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9.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8.xml" ContentType="application/vnd.openxmlformats-officedocument.drawing+xml"/>
  <Override PartName="/xl/charts/chart32.xml" ContentType="application/vnd.openxmlformats-officedocument.drawingml.chart+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showInkAnnotation="0" codeName="ThisWorkbook" autoCompressPictures="0"/>
  <mc:AlternateContent xmlns:mc="http://schemas.openxmlformats.org/markup-compatibility/2006">
    <mc:Choice Requires="x15">
      <x15ac:absPath xmlns:x15ac="http://schemas.microsoft.com/office/spreadsheetml/2010/11/ac" url="C:\Users\HJEE\Desktop\Brembo B2 solution\Spec\Boost\Boost IC\"/>
    </mc:Choice>
  </mc:AlternateContent>
  <xr:revisionPtr revIDLastSave="0" documentId="13_ncr:1_{F161C736-68B3-434E-863C-2FD84F3899AA}" xr6:coauthVersionLast="47" xr6:coauthVersionMax="47" xr10:uidLastSave="{00000000-0000-0000-0000-000000000000}"/>
  <workbookProtection workbookAlgorithmName="SHA-512" workbookHashValue="b+MirVK01DCTvsCU9y7fP25bI7uUqi+KdI3ZGE8YxGgNy4EqaaT226YeSnnSUJb6UfvQh2b0yT+mXy8rMeG2jg==" workbookSaltValue="DY8B3Op4I7nQpnoYqGopwg==" workbookSpinCount="100000" lockStructure="1"/>
  <bookViews>
    <workbookView xWindow="-108" yWindow="-108" windowWidth="23256" windowHeight="12456" tabRatio="468" xr2:uid="{00000000-000D-0000-FFFF-FFFF00000000}"/>
  </bookViews>
  <sheets>
    <sheet name="Design Converter" sheetId="1" r:id="rId1"/>
    <sheet name="Stability Calculations" sheetId="29" state="hidden" r:id="rId2"/>
    <sheet name="Variable Mgmt" sheetId="2" state="hidden" r:id="rId3"/>
    <sheet name="Parameters" sheetId="19" state="hidden" r:id="rId4"/>
    <sheet name="Calculations - Single" sheetId="24" state="hidden" r:id="rId5"/>
    <sheet name="Calculations - Dual" sheetId="25" state="hidden" r:id="rId6"/>
    <sheet name="Fsw vs VIN" sheetId="23" state="hidden" r:id="rId7"/>
    <sheet name="BOM &amp; Schematic" sheetId="16" r:id="rId8"/>
    <sheet name="EVMs" sheetId="14"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Mgmt'!$B$82</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DserR">Parameters!$D$50</definedName>
    <definedName name="BODE_TYPE">'Variable Mgmt'!$Q$20</definedName>
    <definedName name="Cb">'Variable Mgmt'!$B$186</definedName>
    <definedName name="Ccomp">'Stability Calculations'!$D$38</definedName>
    <definedName name="Chf">'Stability Calculations'!$D$39</definedName>
    <definedName name="Cin" localSheetId="3">Parameters!$D$30</definedName>
    <definedName name="Cin">'Variable Mgmt'!$B$152</definedName>
    <definedName name="CinEsrMax">'Variable Mgmt'!$B$154</definedName>
    <definedName name="Cinmin">'Variable Mgmt'!$B$150</definedName>
    <definedName name="CONFIG">'Variable Mgmt'!$C$74</definedName>
    <definedName name="Coss">Parameters!$D$45</definedName>
    <definedName name="Cout" localSheetId="3">Parameters!$D$32</definedName>
    <definedName name="Cout">'Variable Mgmt'!$B$127</definedName>
    <definedName name="Cout_pri">'Stability Calculations'!$B$27</definedName>
    <definedName name="Cout_sec">'Stability Calculations'!$B$25</definedName>
    <definedName name="Cout_Voltage_Rating">'Variable Mgmt'!$S$76</definedName>
    <definedName name="Cout2">'Variable Mgmt'!$B$137</definedName>
    <definedName name="CoutEsr">'Variable Mgmt'!$B$129</definedName>
    <definedName name="CoutEsr2">'Variable Mgmt'!$B$139</definedName>
    <definedName name="Css">'Variable Mgmt'!$B$166</definedName>
    <definedName name="Css_u">'Variable Mgmt'!$B$167</definedName>
    <definedName name="Csw">Parameters!$D$46</definedName>
    <definedName name="Diode_TC">'Variable Mgmt'!$B$197</definedName>
    <definedName name="Don_Vinmax">'Variable Mgmt'!$B$86</definedName>
    <definedName name="Don_Vinmin">'Variable Mgmt'!$B$83</definedName>
    <definedName name="Don_Vinnom">'Variable Mgmt'!$B$85</definedName>
    <definedName name="EFF_DUAL">'Efficiency Plots'!$B$7</definedName>
    <definedName name="EFF_SINGLE">'Efficiency Plots'!$B$5</definedName>
    <definedName name="Efficiency">'Variable Mgmt'!$B$39</definedName>
    <definedName name="Fco_desire">'Design Converter'!$E$58</definedName>
    <definedName name="Fsw" localSheetId="3">Parameters!$D$20</definedName>
    <definedName name="Fsw_DCM">'Variable Mgmt'!$B$61</definedName>
    <definedName name="Fsw_DUAL">'Fsw Plots'!$B$7</definedName>
    <definedName name="Fsw_max">Parameters!$D$21</definedName>
    <definedName name="Fsw_SINGLE">'Fsw Plots'!$B$5</definedName>
    <definedName name="gmEA">'Stability Calculations'!$D$31</definedName>
    <definedName name="Icinrms">'Variable Mgmt'!$B$149</definedName>
    <definedName name="Icoutrms">'Variable Mgmt'!$B$121</definedName>
    <definedName name="Iin_Vinmax">'Variable Mgmt'!$B$47</definedName>
    <definedName name="Iin_Vinmin">'Variable Mgmt'!$B$43</definedName>
    <definedName name="Iin_Vinnom">'Variable Mgmt'!$B$45</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5">'Calculations - Dual'!$Q$216</definedName>
    <definedName name="Ioutmax_Vinmax">'Calculations - Single'!$P$216</definedName>
    <definedName name="Ioutmax_Vinmin" localSheetId="5">'Calculations - Dual'!$Q$110</definedName>
    <definedName name="Ioutmax_Vinmin">'Calculations - Single'!$P$110</definedName>
    <definedName name="Ioutmax_Vinnom" localSheetId="5">'Calculations - Dual'!$Q$5</definedName>
    <definedName name="Ioutmax_Vinnom">'Calculations - Single'!$P$5</definedName>
    <definedName name="IpkCAL">'Variable Mgmt'!$B$117</definedName>
    <definedName name="IQ">Parameters!$D$39</definedName>
    <definedName name="Iripple">Parameters!$D$19</definedName>
    <definedName name="Iripple_Vinmax" localSheetId="5">'Variable Mgmt'!#REF!</definedName>
    <definedName name="Iripple_Vinmax" localSheetId="10">'Variable Mgmt'!#REF!</definedName>
    <definedName name="Iripple_Vinmin" localSheetId="5">'Variable Mgmt'!#REF!</definedName>
    <definedName name="Iripple_Vinmin" localSheetId="10">'Variable Mgmt'!#REF!</definedName>
    <definedName name="Iripple_Vinnom" localSheetId="5">'Variable Mgmt'!#REF!</definedName>
    <definedName name="Iripple_Vinnom" localSheetId="10">'Variable Mgmt'!#REF!</definedName>
    <definedName name="Iripple1" localSheetId="5">'Variable Mgmt'!#REF!</definedName>
    <definedName name="Iripple1" localSheetId="10">'Variable Mgmt'!#REF!</definedName>
    <definedName name="Iss">'Variable Mgmt'!$B$165</definedName>
    <definedName name="Isw_max">Parameters!$D$35</definedName>
    <definedName name="Isw_min">Parameters!$D$36</definedName>
    <definedName name="Iuvlo_hys">'Variable Mgmt'!$B$176</definedName>
    <definedName name="Iuvlo1">'Variable Mgmt'!$B$174</definedName>
    <definedName name="Iuvlo2">'Variable Mgmt'!$B$175</definedName>
    <definedName name="k_core">Parameters!$D$29</definedName>
    <definedName name="ktr_rcmd">'Variable Mgmt'!$B$88</definedName>
    <definedName name="L">Parameters!$D$26</definedName>
    <definedName name="Lleak">'Variable Mgmt'!$B$97</definedName>
    <definedName name="Lmag">'Variable Mgmt'!$B$96</definedName>
    <definedName name="Lmin">'Variable Mgmt'!$B$110</definedName>
    <definedName name="Lmin_abs">'Variable Mgmt'!$B$111</definedName>
    <definedName name="Ls1_">'Variable Mgmt'!$B$98</definedName>
    <definedName name="Ls2_">'Variable Mgmt'!$B$99</definedName>
    <definedName name="Ltc">'Variable Mgmt'!$B$208</definedName>
    <definedName name="M">'Stability Calculations'!$B$18</definedName>
    <definedName name="max_I">Parameters!$H$109</definedName>
    <definedName name="min_I">Parameters!$H$108</definedName>
    <definedName name="MODE">'Variable Mgmt'!$C$73</definedName>
    <definedName name="MODE_SS">'Variable Mgmt'!$J$78</definedName>
    <definedName name="MODE_TC">'Variable Mgmt'!$G$72</definedName>
    <definedName name="MODE_TOP">'Variable Mgmt'!$B$73</definedName>
    <definedName name="MODE_UVLO">'Variable Mgmt'!$G$78</definedName>
    <definedName name="Npri_sec">'Stability Calculations'!$B$13</definedName>
    <definedName name="Npri_sec1">'Variable Mgmt'!$R$64</definedName>
    <definedName name="Npri_sec2">'Variable Mgmt'!$R$66</definedName>
    <definedName name="Nps">'Variable Mgmt'!$R$63</definedName>
    <definedName name="Nsec1sec2">'Variable Mgmt'!$R$65</definedName>
    <definedName name="OffTime">Parameters!$D$18</definedName>
    <definedName name="OnTime">Parameters!$D$17</definedName>
    <definedName name="Pi">'Variable Mgmt'!$B$189</definedName>
    <definedName name="PICTURE1">INDIRECT('Schematic Mgmt'!$A$2)</definedName>
    <definedName name="PICTURE2">INDIRECT('Fsw Plots'!$A$2)</definedName>
    <definedName name="PICTURE3">INDIRECT('Efficiency Plots'!$A$2)</definedName>
    <definedName name="Pin">'Variable Mgmt'!$B$41</definedName>
    <definedName name="PLOT_TYPE">'Variable Mgmt'!$M$78</definedName>
    <definedName name="pole1">'Stability Calculations'!$Q$4</definedName>
    <definedName name="Pole2">'Stability Calculations'!$I$5</definedName>
    <definedName name="pole3">'Stability Calculations'!$T$3</definedName>
    <definedName name="pole4">'Stability Calculations'!$I$7</definedName>
    <definedName name="Pomax_allowed">'Variable Mgmt'!$B$48</definedName>
    <definedName name="Pout">'Variable Mgmt'!$B$14</definedName>
    <definedName name="Pout_total">'Variable Mgmt'!$B$22</definedName>
    <definedName name="Pout2">'Variable Mgmt'!$B$21</definedName>
    <definedName name="_xlnm.Print_Area" localSheetId="7">'BOM &amp; Schematic'!$A$1:$I$59</definedName>
    <definedName name="_xlnm.Print_Area" localSheetId="0">'Design Converter'!$A$1:$R$87</definedName>
    <definedName name="pterm1">'Stability Calculations'!$T$4</definedName>
    <definedName name="pterm2">'Stability Calculations'!$T$5</definedName>
    <definedName name="Qg">Parameters!$D$44</definedName>
    <definedName name="radconv">'Stability Calculations'!$W$6</definedName>
    <definedName name="RCinEsr" localSheetId="3">Parameters!$D$31</definedName>
    <definedName name="RCinEsr">'Variable Mgmt'!$B$155</definedName>
    <definedName name="Rcomp">'Stability Calculations'!$D$37</definedName>
    <definedName name="RCoutEsr" localSheetId="3">Parameters!$D$33</definedName>
    <definedName name="RCoutEsr">'Variable Mgmt'!$B$129</definedName>
    <definedName name="RCS">'Design Converter'!$E$17</definedName>
    <definedName name="Rcs_gain">'Stability Calculations'!$B$34</definedName>
    <definedName name="RCSmin">'Variable Mgmt'!$B$118</definedName>
    <definedName name="Rdcr_pri">'Variable Mgmt'!$B$101</definedName>
    <definedName name="Rdcr_sec">'Variable Mgmt'!$B$102</definedName>
    <definedName name="Rdcr_sec2">'Variable Mgmt'!$B$103</definedName>
    <definedName name="Rdson">Parameters!$D$41</definedName>
    <definedName name="RdsonTC">Parameters!$D$42</definedName>
    <definedName name="REAout">'Stability Calculations'!$D$32</definedName>
    <definedName name="Rfb">'Variable Mgmt'!$B$63</definedName>
    <definedName name="Rfb_recommend">'Variable Mgmt'!$B$193</definedName>
    <definedName name="Rfb2_u">'Variable Mgmt'!$B$195</definedName>
    <definedName name="Rload_pri">'Stability Calculations'!$B$22</definedName>
    <definedName name="Rload_sec">'Stability Calculations'!$B$21</definedName>
    <definedName name="RON">'Design Converter'!$L$22</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Mgmt'!$B$199</definedName>
    <definedName name="RTC_1">'Variable Mgmt'!$B$198</definedName>
    <definedName name="Ruvlo1">'Variable Mgmt'!$B$181</definedName>
    <definedName name="Ruvlo2">'Variable Mgmt'!$B$182</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3">Parameters!$D$12</definedName>
    <definedName name="Ta">'Variable Mgmt'!$B$206</definedName>
    <definedName name="TC">'Variable Mgmt'!$G$72</definedName>
    <definedName name="Tfall">Parameters!$D$23</definedName>
    <definedName name="ThetaCa">'Variable Mgmt'!$B$209</definedName>
    <definedName name="ThetaJA">Parameters!$D$54</definedName>
    <definedName name="TL">'Variable Mgmt'!$B$117</definedName>
    <definedName name="toff_max">'Variable Mgmt'!$B$109</definedName>
    <definedName name="Toff_Vinmax">'Variable Mgmt'!$B$190</definedName>
    <definedName name="Ton_Vinmin">'Variable Mgmt'!$B$191</definedName>
    <definedName name="Trise">Parameters!$D$22</definedName>
    <definedName name="TrrBot">Parameters!$D$52</definedName>
    <definedName name="Tss">'Variable Mgmt'!$B$164</definedName>
    <definedName name="Tsw">'Stability Calculations'!$B$19</definedName>
    <definedName name="Turns_Ratio">'Variable Mgmt'!$S$61</definedName>
    <definedName name="Turns_Ratio2">'Variable Mgmt'!$W$61</definedName>
    <definedName name="Vdd">Parameters!$D$13</definedName>
    <definedName name="Vds_req">'Design Converter'!$E$24</definedName>
    <definedName name="Vfwd1">Parameters!$D$48</definedName>
    <definedName name="Vfwd2">Parameters!$D$49</definedName>
    <definedName name="Vfwd22">'Variable Mgmt'!$L$106</definedName>
    <definedName name="Vin">'Design Converter'!$E$7</definedName>
    <definedName name="Vin_eff">'Stability Calculations'!$B$16</definedName>
    <definedName name="VIN_max">'Variable Mgmt'!$B$9</definedName>
    <definedName name="VIN_min">'Variable Mgmt'!$B$7</definedName>
    <definedName name="VIN_nom">'Variable Mgmt'!$B$8</definedName>
    <definedName name="Vinripple1">'Variable Mgmt'!$B$147</definedName>
    <definedName name="Vinripple2">'Variable Mgmt'!$B$160</definedName>
    <definedName name="VINuvlo_off">'Variable Mgmt'!$B$179</definedName>
    <definedName name="VINuvlo_on">'Variable Mgmt'!$B$178</definedName>
    <definedName name="Vout">'Variable Mgmt'!$B$11</definedName>
    <definedName name="Vout_eff">'Stability Calculations'!$B$14</definedName>
    <definedName name="Vout_ripple">'Variable Mgmt'!$B$35</definedName>
    <definedName name="Vout_ripple2">'Variable Mgmt'!$B$36</definedName>
    <definedName name="Vout2">'Variable Mgmt'!$B$16</definedName>
    <definedName name="Vout2_actual">'Variable Mgmt'!$B$17</definedName>
    <definedName name="Vref">'Variable Mgmt'!$B$62</definedName>
    <definedName name="Vripple1_actual">'Variable Mgmt'!$B$131</definedName>
    <definedName name="Vripple1_spec">'Variable Mgmt'!$B$125</definedName>
    <definedName name="Vripple2_actual">'Variable Mgmt'!$B$141</definedName>
    <definedName name="Vripple2_spec">'Variable Mgmt'!$B$135</definedName>
    <definedName name="VRRM_DIODE">'Variable Mgmt'!$B$28</definedName>
    <definedName name="Vuvlo_hys">'Variable Mgmt'!$B$173</definedName>
    <definedName name="Vuvlo_off">'Variable Mgmt'!$B$172</definedName>
    <definedName name="Vuvlo_on">'Variable Mgmt'!$B$171</definedName>
    <definedName name="z_RHP">'Stability Calculations'!$Q$5</definedName>
    <definedName name="Zero1">'Stability Calculations'!$Q$3</definedName>
    <definedName name="Zero2">'Stability Calculations'!$I$4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63" i="2" l="1"/>
  <c r="V61" i="2" l="1"/>
  <c r="R64" i="2"/>
  <c r="R61" i="2"/>
  <c r="R63" i="2"/>
  <c r="T58" i="2"/>
  <c r="T55" i="2"/>
  <c r="T53" i="2"/>
  <c r="T50" i="2"/>
  <c r="T47" i="2"/>
  <c r="T44" i="2"/>
  <c r="T43" i="2"/>
  <c r="T42" i="2"/>
  <c r="V49" i="2"/>
  <c r="V50" i="2"/>
  <c r="V51" i="2"/>
  <c r="V52" i="2"/>
  <c r="V53" i="2"/>
  <c r="V54" i="2"/>
  <c r="V55" i="2"/>
  <c r="V56" i="2"/>
  <c r="V57" i="2"/>
  <c r="V58" i="2"/>
  <c r="V59" i="2"/>
  <c r="V60" i="2"/>
  <c r="V32" i="2"/>
  <c r="V31" i="2"/>
  <c r="V30" i="2"/>
  <c r="V29" i="2"/>
  <c r="V28" i="2"/>
  <c r="T60" i="2"/>
  <c r="T59" i="2"/>
  <c r="T57" i="2"/>
  <c r="R60" i="2"/>
  <c r="R59" i="2"/>
  <c r="R58" i="2"/>
  <c r="R57" i="2"/>
  <c r="T56" i="2"/>
  <c r="T54" i="2"/>
  <c r="T52" i="2"/>
  <c r="T51" i="2"/>
  <c r="R29" i="2"/>
  <c r="R28" i="2"/>
  <c r="R30" i="2"/>
  <c r="R31" i="2"/>
  <c r="R55" i="2"/>
  <c r="R56" i="2"/>
  <c r="R54" i="2"/>
  <c r="R53" i="2"/>
  <c r="R52" i="2"/>
  <c r="R51" i="2"/>
  <c r="R50" i="2"/>
  <c r="R32" i="2"/>
  <c r="E45" i="1"/>
  <c r="V33" i="2" l="1"/>
  <c r="R33" i="2"/>
  <c r="R49" i="2"/>
  <c r="B29" i="19" l="1"/>
  <c r="U96" i="2" l="1"/>
  <c r="U95" i="2"/>
  <c r="K55" i="16"/>
  <c r="K54" i="16"/>
  <c r="J54" i="16"/>
  <c r="K51" i="16" l="1"/>
  <c r="J51" i="16"/>
  <c r="K53" i="16"/>
  <c r="K52" i="16"/>
  <c r="J53" i="16"/>
  <c r="J52" i="16"/>
  <c r="K38" i="16"/>
  <c r="K37" i="16"/>
  <c r="K36" i="16"/>
  <c r="K35" i="16"/>
  <c r="J38" i="16"/>
  <c r="J37" i="16"/>
  <c r="J35" i="16"/>
  <c r="J36" i="16"/>
  <c r="I38" i="16"/>
  <c r="H38" i="16"/>
  <c r="I36" i="16"/>
  <c r="H36" i="16"/>
  <c r="I35" i="16"/>
  <c r="H35" i="16"/>
  <c r="K44" i="16"/>
  <c r="J44" i="16"/>
  <c r="I44" i="16"/>
  <c r="H44" i="16"/>
  <c r="A44" i="16"/>
  <c r="K43" i="16"/>
  <c r="K46" i="16"/>
  <c r="K42" i="16"/>
  <c r="J43" i="16"/>
  <c r="J41" i="16"/>
  <c r="J42" i="16"/>
  <c r="C54" i="16" l="1"/>
  <c r="C52" i="16"/>
  <c r="D52" i="16" s="1"/>
  <c r="C36" i="16"/>
  <c r="D36" i="16" s="1"/>
  <c r="C35" i="16"/>
  <c r="D35" i="16" s="1"/>
  <c r="K31" i="1" l="1"/>
  <c r="M322" i="25" l="1"/>
  <c r="F322" i="25"/>
  <c r="M77" i="1"/>
  <c r="M74" i="1"/>
  <c r="M73" i="1"/>
  <c r="K77" i="1"/>
  <c r="K75" i="1"/>
  <c r="K74" i="1"/>
  <c r="K73" i="1"/>
  <c r="O325" i="25"/>
  <c r="H325" i="25"/>
  <c r="F322" i="24"/>
  <c r="H325" i="24"/>
  <c r="D75" i="1" l="1"/>
  <c r="D74" i="1"/>
  <c r="D73" i="1"/>
  <c r="D69" i="1"/>
  <c r="D67" i="1"/>
  <c r="N321" i="24" l="1"/>
  <c r="B44" i="19" l="1"/>
  <c r="B23" i="19" s="1"/>
  <c r="B46" i="19"/>
  <c r="L30" i="1"/>
  <c r="S30" i="1"/>
  <c r="L106" i="2"/>
  <c r="E81" i="1"/>
  <c r="K30" i="1"/>
  <c r="K29" i="1"/>
  <c r="B22" i="19" l="1"/>
  <c r="FM5" i="25"/>
  <c r="D48" i="1" l="1"/>
  <c r="D315" i="2" l="1"/>
  <c r="C53" i="16" s="1"/>
  <c r="D53" i="16" s="1"/>
  <c r="B313" i="2"/>
  <c r="D313" i="2" s="1"/>
  <c r="C51" i="16" s="1"/>
  <c r="B311" i="2"/>
  <c r="D311" i="2" s="1"/>
  <c r="B310" i="2"/>
  <c r="D310" i="2" s="1"/>
  <c r="B309" i="2"/>
  <c r="D309" i="2" s="1"/>
  <c r="B137" i="2"/>
  <c r="L23" i="1" l="1"/>
  <c r="E24" i="1"/>
  <c r="C45" i="16" s="1"/>
  <c r="T48" i="2" l="1"/>
  <c r="T46" i="2"/>
  <c r="T45" i="2"/>
  <c r="K14" i="1" l="1"/>
  <c r="CN5" i="25" l="1"/>
  <c r="DP216" i="25"/>
  <c r="DP110" i="25"/>
  <c r="CN105" i="25"/>
  <c r="CN104" i="25"/>
  <c r="CN103" i="25"/>
  <c r="CN102" i="25"/>
  <c r="CN101" i="25"/>
  <c r="CN100" i="25"/>
  <c r="CN99" i="25"/>
  <c r="CN98" i="25"/>
  <c r="CN97" i="25"/>
  <c r="CN96" i="25"/>
  <c r="CN95" i="25"/>
  <c r="CN94" i="25"/>
  <c r="CN93" i="25"/>
  <c r="CN92" i="25"/>
  <c r="CN91" i="25"/>
  <c r="CN90" i="25"/>
  <c r="CN89" i="25"/>
  <c r="CN88" i="25"/>
  <c r="CN87" i="25"/>
  <c r="CN86" i="25"/>
  <c r="CN85" i="25"/>
  <c r="CN84" i="25"/>
  <c r="CN83" i="25"/>
  <c r="CN82" i="25"/>
  <c r="CN81" i="25"/>
  <c r="CN80" i="25"/>
  <c r="CN79" i="25"/>
  <c r="CN78" i="25"/>
  <c r="CN77" i="25"/>
  <c r="CN76" i="25"/>
  <c r="CN75" i="25"/>
  <c r="CN74" i="25"/>
  <c r="CN73" i="25"/>
  <c r="CN72" i="25"/>
  <c r="CN71" i="25"/>
  <c r="CN70" i="25"/>
  <c r="CN69" i="25"/>
  <c r="CN68" i="25"/>
  <c r="CN67" i="25"/>
  <c r="CN66" i="25"/>
  <c r="CN65" i="25"/>
  <c r="CN64" i="25"/>
  <c r="CN63" i="25"/>
  <c r="CN62" i="25"/>
  <c r="CN61" i="25"/>
  <c r="CN60" i="25"/>
  <c r="CN59" i="25"/>
  <c r="CN58" i="25"/>
  <c r="CN57" i="25"/>
  <c r="CN56" i="25"/>
  <c r="CN55" i="25"/>
  <c r="CN54" i="25"/>
  <c r="CN53" i="25"/>
  <c r="CN52" i="25"/>
  <c r="CN51" i="25"/>
  <c r="CN50" i="25"/>
  <c r="CN49" i="25"/>
  <c r="CN48" i="25"/>
  <c r="CN47" i="25"/>
  <c r="CN46" i="25"/>
  <c r="CN45" i="25"/>
  <c r="CN44" i="25"/>
  <c r="CN43" i="25"/>
  <c r="CN42" i="25"/>
  <c r="CN41" i="25"/>
  <c r="CN40" i="25"/>
  <c r="CN39" i="25"/>
  <c r="CN38" i="25"/>
  <c r="CN37" i="25"/>
  <c r="CN36" i="25"/>
  <c r="CN35" i="25"/>
  <c r="CN34" i="25"/>
  <c r="CN33" i="25"/>
  <c r="CN32" i="25"/>
  <c r="CN31" i="25"/>
  <c r="CN30" i="25"/>
  <c r="CN29" i="25"/>
  <c r="CN28" i="25"/>
  <c r="CN27" i="25"/>
  <c r="CN26" i="25"/>
  <c r="CN25" i="25"/>
  <c r="CN24" i="25"/>
  <c r="CN23" i="25"/>
  <c r="CN22" i="25"/>
  <c r="CN21" i="25"/>
  <c r="CN20" i="25"/>
  <c r="CN19" i="25"/>
  <c r="CN18" i="25"/>
  <c r="CN17" i="25"/>
  <c r="CN16" i="25"/>
  <c r="CN15" i="25"/>
  <c r="CN14" i="25"/>
  <c r="CN13" i="25"/>
  <c r="CN12" i="25"/>
  <c r="CN11" i="25"/>
  <c r="CN10" i="25"/>
  <c r="CN9" i="25"/>
  <c r="CN8" i="25"/>
  <c r="CN7" i="25"/>
  <c r="CN6" i="25"/>
  <c r="DP5" i="25"/>
  <c r="DQ216" i="24" l="1"/>
  <c r="DQ110" i="24"/>
  <c r="CR108" i="24"/>
  <c r="CM105" i="24"/>
  <c r="CM104" i="24"/>
  <c r="CM103" i="24"/>
  <c r="CM102" i="24"/>
  <c r="CM101" i="24"/>
  <c r="CM100" i="24"/>
  <c r="CM99" i="24"/>
  <c r="CM98" i="24"/>
  <c r="CM97" i="24"/>
  <c r="CM96" i="24"/>
  <c r="CM95" i="24"/>
  <c r="CM94" i="24"/>
  <c r="CM93" i="24"/>
  <c r="CM92" i="24"/>
  <c r="CM91" i="24"/>
  <c r="CM90" i="24"/>
  <c r="CM89" i="24"/>
  <c r="CM88" i="24"/>
  <c r="CM87" i="24"/>
  <c r="CM86" i="24"/>
  <c r="CM85" i="24"/>
  <c r="CM84" i="24"/>
  <c r="CM83" i="24"/>
  <c r="CM82" i="24"/>
  <c r="CM81" i="24"/>
  <c r="CM80" i="24"/>
  <c r="CM79" i="24"/>
  <c r="CM78" i="24"/>
  <c r="CM77" i="24"/>
  <c r="CM76" i="24"/>
  <c r="CM75" i="24"/>
  <c r="CM74" i="24"/>
  <c r="CM73" i="24"/>
  <c r="CM72" i="24"/>
  <c r="CM71" i="24"/>
  <c r="CM70" i="24"/>
  <c r="CM69" i="24"/>
  <c r="CM68" i="24"/>
  <c r="CM67" i="24"/>
  <c r="CM66" i="24"/>
  <c r="CM65" i="24"/>
  <c r="CM64" i="24"/>
  <c r="CM63" i="24"/>
  <c r="CM62" i="24"/>
  <c r="CM61" i="24"/>
  <c r="CM60" i="24"/>
  <c r="CM59" i="24"/>
  <c r="CM58" i="24"/>
  <c r="CM57" i="24"/>
  <c r="CM56" i="24"/>
  <c r="CM55" i="24"/>
  <c r="CM54" i="24"/>
  <c r="CM53" i="24"/>
  <c r="CM52" i="24"/>
  <c r="CM51" i="24"/>
  <c r="CM50" i="24"/>
  <c r="CM49" i="24"/>
  <c r="CM48" i="24"/>
  <c r="CM47" i="24"/>
  <c r="CM46" i="24"/>
  <c r="CM45" i="24"/>
  <c r="CM44" i="24"/>
  <c r="CM43" i="24"/>
  <c r="CM42" i="24"/>
  <c r="CM41" i="24"/>
  <c r="CM40" i="24"/>
  <c r="CM39" i="24"/>
  <c r="CM38" i="24"/>
  <c r="CM37" i="24"/>
  <c r="CM36" i="24"/>
  <c r="CM35" i="24"/>
  <c r="CM34" i="24"/>
  <c r="CM33" i="24"/>
  <c r="CM32" i="24"/>
  <c r="CM31" i="24"/>
  <c r="CM30" i="24"/>
  <c r="CM29" i="24"/>
  <c r="CM28" i="24"/>
  <c r="CM27" i="24"/>
  <c r="CM26" i="24"/>
  <c r="CM25" i="24"/>
  <c r="CM24" i="24"/>
  <c r="CM23" i="24"/>
  <c r="CM22" i="24"/>
  <c r="CM21" i="24"/>
  <c r="CM20" i="24"/>
  <c r="CM19" i="24"/>
  <c r="CM18" i="24"/>
  <c r="CM17" i="24"/>
  <c r="CM16" i="24"/>
  <c r="CM15" i="24"/>
  <c r="CM14" i="24"/>
  <c r="CM13" i="24"/>
  <c r="CM12" i="24"/>
  <c r="CM11" i="24"/>
  <c r="CM10" i="24"/>
  <c r="CM9" i="24"/>
  <c r="CM8" i="24"/>
  <c r="CM7" i="24"/>
  <c r="CM6" i="24"/>
  <c r="DQ5" i="24"/>
  <c r="CM5" i="24"/>
  <c r="W63" i="1" l="1"/>
  <c r="B39" i="29"/>
  <c r="B38" i="29"/>
  <c r="B37" i="29"/>
  <c r="D49" i="29"/>
  <c r="D13" i="1" l="1"/>
  <c r="F13" i="1"/>
  <c r="B35" i="19"/>
  <c r="B33" i="29" l="1"/>
  <c r="B34" i="29" s="1"/>
  <c r="B30" i="29"/>
  <c r="R48" i="2" l="1"/>
  <c r="V48" i="2" s="1"/>
  <c r="V47" i="2"/>
  <c r="V46" i="2"/>
  <c r="V45" i="2"/>
  <c r="V44" i="2"/>
  <c r="V43" i="2"/>
  <c r="V41" i="2"/>
  <c r="V39" i="2"/>
  <c r="V38" i="2"/>
  <c r="V37" i="2"/>
  <c r="V36" i="2"/>
  <c r="V35" i="2"/>
  <c r="V34" i="2"/>
  <c r="Q105" i="2"/>
  <c r="R46" i="2"/>
  <c r="R44" i="2"/>
  <c r="R42" i="2"/>
  <c r="R40" i="2"/>
  <c r="R38" i="2"/>
  <c r="D37" i="29" l="1"/>
  <c r="C43" i="29" l="1"/>
  <c r="C42" i="29"/>
  <c r="C41" i="29"/>
  <c r="A43" i="29"/>
  <c r="A42" i="29"/>
  <c r="A41" i="29"/>
  <c r="R36" i="2" l="1"/>
  <c r="B13" i="29"/>
  <c r="R37" i="2"/>
  <c r="R39" i="2"/>
  <c r="R41" i="2"/>
  <c r="R43" i="2"/>
  <c r="R45" i="2"/>
  <c r="R47" i="2"/>
  <c r="B45" i="19"/>
  <c r="B41" i="19"/>
  <c r="D12" i="1"/>
  <c r="F12" i="1"/>
  <c r="B36" i="19"/>
  <c r="L3" i="29" l="1"/>
  <c r="D39" i="29"/>
  <c r="D38" i="29"/>
  <c r="D32" i="29"/>
  <c r="D31" i="29"/>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O3" i="29" l="1"/>
  <c r="I6" i="29"/>
  <c r="I7" i="29"/>
  <c r="S452" i="29" s="1"/>
  <c r="I4" i="29"/>
  <c r="R18" i="29" s="1"/>
  <c r="I5" i="29"/>
  <c r="O4" i="29"/>
  <c r="G626" i="29"/>
  <c r="I636" i="29"/>
  <c r="P14" i="29" l="1"/>
  <c r="P22" i="29"/>
  <c r="O297" i="29"/>
  <c r="P408" i="29"/>
  <c r="O382" i="29"/>
  <c r="O158" i="29"/>
  <c r="P21" i="29"/>
  <c r="P94" i="29"/>
  <c r="P162" i="29"/>
  <c r="O159" i="29"/>
  <c r="P235" i="29"/>
  <c r="Q90" i="29"/>
  <c r="R38" i="29"/>
  <c r="Q283" i="29"/>
  <c r="Q334" i="29"/>
  <c r="R73" i="29"/>
  <c r="R30" i="29"/>
  <c r="R26" i="29"/>
  <c r="Q525" i="29"/>
  <c r="Q59" i="29"/>
  <c r="R22" i="29"/>
  <c r="Q50" i="29"/>
  <c r="R34" i="29"/>
  <c r="Q394" i="29"/>
  <c r="Q627" i="29"/>
  <c r="R46" i="29"/>
  <c r="Q101" i="29"/>
  <c r="Q103" i="29"/>
  <c r="R42" i="29"/>
  <c r="R186" i="29"/>
  <c r="Q88" i="29"/>
  <c r="R85" i="29"/>
  <c r="R217" i="29"/>
  <c r="P150" i="29"/>
  <c r="O193" i="29"/>
  <c r="P261" i="29"/>
  <c r="O453" i="29"/>
  <c r="P107" i="29"/>
  <c r="P201" i="29"/>
  <c r="P230" i="29"/>
  <c r="P465" i="29"/>
  <c r="P76" i="29"/>
  <c r="O202" i="29"/>
  <c r="O295" i="29"/>
  <c r="P511" i="29"/>
  <c r="O162" i="29"/>
  <c r="P226" i="29"/>
  <c r="O359" i="29"/>
  <c r="O574" i="29"/>
  <c r="O125" i="29"/>
  <c r="O223" i="29"/>
  <c r="P314" i="29"/>
  <c r="P43" i="29"/>
  <c r="P97" i="29"/>
  <c r="P125" i="29"/>
  <c r="P223" i="29"/>
  <c r="O329" i="29"/>
  <c r="P19" i="29"/>
  <c r="P69" i="29"/>
  <c r="O110" i="29"/>
  <c r="P79" i="29"/>
  <c r="O140" i="29"/>
  <c r="P156" i="29"/>
  <c r="P161" i="29"/>
  <c r="O238" i="29"/>
  <c r="P27" i="29"/>
  <c r="P73" i="29"/>
  <c r="P135" i="29"/>
  <c r="O114" i="29"/>
  <c r="O156" i="29"/>
  <c r="P83" i="29"/>
  <c r="P147" i="29"/>
  <c r="P116" i="29"/>
  <c r="P160" i="29"/>
  <c r="O165" i="29"/>
  <c r="P165" i="29"/>
  <c r="O135" i="29"/>
  <c r="P196" i="29"/>
  <c r="P177" i="29"/>
  <c r="O178" i="29"/>
  <c r="P202" i="29"/>
  <c r="O199" i="29"/>
  <c r="P199" i="29"/>
  <c r="O228" i="29"/>
  <c r="P252" i="29"/>
  <c r="P233" i="29"/>
  <c r="P289" i="29"/>
  <c r="O255" i="29"/>
  <c r="P284" i="29"/>
  <c r="O298" i="29"/>
  <c r="P320" i="29"/>
  <c r="P374" i="29"/>
  <c r="P401" i="29"/>
  <c r="P435" i="29"/>
  <c r="O475" i="29"/>
  <c r="O560" i="29"/>
  <c r="P561" i="29"/>
  <c r="P41" i="29"/>
  <c r="P33" i="29"/>
  <c r="O18" i="29"/>
  <c r="O64" i="29"/>
  <c r="O66" i="29"/>
  <c r="O39" i="29"/>
  <c r="O608" i="29"/>
  <c r="O603" i="29"/>
  <c r="P586" i="29"/>
  <c r="O582" i="29"/>
  <c r="O598" i="29"/>
  <c r="P562" i="29"/>
  <c r="P581" i="29"/>
  <c r="O562" i="29"/>
  <c r="P559" i="29"/>
  <c r="O580" i="29"/>
  <c r="P567" i="29"/>
  <c r="O539" i="29"/>
  <c r="O530" i="29"/>
  <c r="P525" i="29"/>
  <c r="P555" i="29"/>
  <c r="P535" i="29"/>
  <c r="O513" i="29"/>
  <c r="P512" i="29"/>
  <c r="O512" i="29"/>
  <c r="P507" i="29"/>
  <c r="P534" i="29"/>
  <c r="P498" i="29"/>
  <c r="P497" i="29"/>
  <c r="O493" i="29"/>
  <c r="P496" i="29"/>
  <c r="O496" i="29"/>
  <c r="P474" i="29"/>
  <c r="P483" i="29"/>
  <c r="P538" i="29"/>
  <c r="O473" i="29"/>
  <c r="P491" i="29"/>
  <c r="P475" i="29"/>
  <c r="O463" i="29"/>
  <c r="O459" i="29"/>
  <c r="O427" i="29"/>
  <c r="P458" i="29"/>
  <c r="O458" i="29"/>
  <c r="O426" i="29"/>
  <c r="P441" i="29"/>
  <c r="P409" i="29"/>
  <c r="O441" i="29"/>
  <c r="O409" i="29"/>
  <c r="P428" i="29"/>
  <c r="O391" i="29"/>
  <c r="O428" i="29"/>
  <c r="P394" i="29"/>
  <c r="O420" i="29"/>
  <c r="O386" i="29"/>
  <c r="P397" i="29"/>
  <c r="P440" i="29"/>
  <c r="O414" i="29"/>
  <c r="O444" i="29"/>
  <c r="P388" i="29"/>
  <c r="P426" i="29"/>
  <c r="O376" i="29"/>
  <c r="P387" i="29"/>
  <c r="P358" i="29"/>
  <c r="O358" i="29"/>
  <c r="O326" i="29"/>
  <c r="P349" i="29"/>
  <c r="O357" i="29"/>
  <c r="O325" i="29"/>
  <c r="P356" i="29"/>
  <c r="P324" i="29"/>
  <c r="P355" i="29"/>
  <c r="P323" i="29"/>
  <c r="O331" i="29"/>
  <c r="P302" i="29"/>
  <c r="P338" i="29"/>
  <c r="O302" i="29"/>
  <c r="O373" i="29"/>
  <c r="P305" i="29"/>
  <c r="O344" i="29"/>
  <c r="O339" i="29"/>
  <c r="O288" i="29"/>
  <c r="O335" i="29"/>
  <c r="P283" i="29"/>
  <c r="P277" i="29"/>
  <c r="O252" i="29"/>
  <c r="P37" i="29"/>
  <c r="O22" i="29"/>
  <c r="O95" i="29"/>
  <c r="P30" i="29"/>
  <c r="O99" i="29"/>
  <c r="O43" i="29"/>
  <c r="O604" i="29"/>
  <c r="O599" i="29"/>
  <c r="P582" i="29"/>
  <c r="P604" i="29"/>
  <c r="O597" i="29"/>
  <c r="P558" i="29"/>
  <c r="O578" i="29"/>
  <c r="O558" i="29"/>
  <c r="P571" i="29"/>
  <c r="O571" i="29"/>
  <c r="O563" i="29"/>
  <c r="O535" i="29"/>
  <c r="O526" i="29"/>
  <c r="O591" i="29"/>
  <c r="O544" i="29"/>
  <c r="P531" i="29"/>
  <c r="O509" i="29"/>
  <c r="P508" i="29"/>
  <c r="O508" i="29"/>
  <c r="O556" i="29"/>
  <c r="O523" i="29"/>
  <c r="P494" i="29"/>
  <c r="P493" i="29"/>
  <c r="O489" i="29"/>
  <c r="P492" i="29"/>
  <c r="O492" i="29"/>
  <c r="P470" i="29"/>
  <c r="O482" i="29"/>
  <c r="P504" i="29"/>
  <c r="O469" i="29"/>
  <c r="O481" i="29"/>
  <c r="P471" i="29"/>
  <c r="O499" i="29"/>
  <c r="O455" i="29"/>
  <c r="O423" i="29"/>
  <c r="P454" i="29"/>
  <c r="O454" i="29"/>
  <c r="O422" i="29"/>
  <c r="P437" i="29"/>
  <c r="P405" i="29"/>
  <c r="P60" i="29"/>
  <c r="O26" i="29"/>
  <c r="O112" i="29"/>
  <c r="P34" i="29"/>
  <c r="O36" i="29"/>
  <c r="O600" i="29"/>
  <c r="P606" i="29"/>
  <c r="P578" i="29"/>
  <c r="P596" i="29"/>
  <c r="P592" i="29"/>
  <c r="P600" i="29"/>
  <c r="O581" i="29"/>
  <c r="P556" i="29"/>
  <c r="O570" i="29"/>
  <c r="P568" i="29"/>
  <c r="P560" i="29"/>
  <c r="O531" i="29"/>
  <c r="P552" i="29"/>
  <c r="P551" i="29"/>
  <c r="O540" i="29"/>
  <c r="P527" i="29"/>
  <c r="O505" i="29"/>
  <c r="P573" i="29"/>
  <c r="O579" i="29"/>
  <c r="P540" i="29"/>
  <c r="P522" i="29"/>
  <c r="P490" i="29"/>
  <c r="P489" i="29"/>
  <c r="O485" i="29"/>
  <c r="P488" i="29"/>
  <c r="O488" i="29"/>
  <c r="P466" i="29"/>
  <c r="P479" i="29"/>
  <c r="P499" i="29"/>
  <c r="O465" i="29"/>
  <c r="O476" i="29"/>
  <c r="P467" i="29"/>
  <c r="P459" i="29"/>
  <c r="O451" i="29"/>
  <c r="O419" i="29"/>
  <c r="P450" i="29"/>
  <c r="O450" i="29"/>
  <c r="P464" i="29"/>
  <c r="P433" i="29"/>
  <c r="P495" i="29"/>
  <c r="O433" i="29"/>
  <c r="P472" i="29"/>
  <c r="P416" i="29"/>
  <c r="O383" i="29"/>
  <c r="O416" i="29"/>
  <c r="P386" i="29"/>
  <c r="P410" i="29"/>
  <c r="O378" i="29"/>
  <c r="P389" i="29"/>
  <c r="P432" i="29"/>
  <c r="O397" i="29"/>
  <c r="O432" i="29"/>
  <c r="P380" i="29"/>
  <c r="O400" i="29"/>
  <c r="P412" i="29"/>
  <c r="P379" i="29"/>
  <c r="P350" i="29"/>
  <c r="O350" i="29"/>
  <c r="O318" i="29"/>
  <c r="P341" i="29"/>
  <c r="O349" i="29"/>
  <c r="O317" i="29"/>
  <c r="P348" i="29"/>
  <c r="P316" i="29"/>
  <c r="P347" i="29"/>
  <c r="P315" i="29"/>
  <c r="O323" i="29"/>
  <c r="P294" i="29"/>
  <c r="P333" i="29"/>
  <c r="O294" i="29"/>
  <c r="O356" i="29"/>
  <c r="P326" i="29"/>
  <c r="O327" i="29"/>
  <c r="P321" i="29"/>
  <c r="O280" i="29"/>
  <c r="P307" i="29"/>
  <c r="P275" i="29"/>
  <c r="O273" i="29"/>
  <c r="O244" i="29"/>
  <c r="O62" i="29"/>
  <c r="O30" i="29"/>
  <c r="O120" i="29"/>
  <c r="P38" i="29"/>
  <c r="P18" i="29"/>
  <c r="O59" i="29"/>
  <c r="O596" i="29"/>
  <c r="P602" i="29"/>
  <c r="O610" i="29"/>
  <c r="O589" i="29"/>
  <c r="P591" i="29"/>
  <c r="P587" i="29"/>
  <c r="P579" i="29"/>
  <c r="O552" i="29"/>
  <c r="P569" i="29"/>
  <c r="P563" i="29"/>
  <c r="O553" i="29"/>
  <c r="O527" i="29"/>
  <c r="P547" i="29"/>
  <c r="O541" i="29"/>
  <c r="O536" i="29"/>
  <c r="P523" i="29"/>
  <c r="O567" i="29"/>
  <c r="P536" i="29"/>
  <c r="P530" i="29"/>
  <c r="O519" i="29"/>
  <c r="P518" i="29"/>
  <c r="P486" i="29"/>
  <c r="P485" i="29"/>
  <c r="P546" i="29"/>
  <c r="P484" i="29"/>
  <c r="O484" i="29"/>
  <c r="O494" i="29"/>
  <c r="O478" i="29"/>
  <c r="O486" i="29"/>
  <c r="O518" i="29"/>
  <c r="O472" i="29"/>
  <c r="P463" i="29"/>
  <c r="P455" i="29"/>
  <c r="O447" i="29"/>
  <c r="O415" i="29"/>
  <c r="P446" i="29"/>
  <c r="O446" i="29"/>
  <c r="P461" i="29"/>
  <c r="P429" i="29"/>
  <c r="O461" i="29"/>
  <c r="O429" i="29"/>
  <c r="P460" i="29"/>
  <c r="O412" i="29"/>
  <c r="O379" i="29"/>
  <c r="P407" i="29"/>
  <c r="P382" i="29"/>
  <c r="O406" i="29"/>
  <c r="O460" i="29"/>
  <c r="P385" i="29"/>
  <c r="P431" i="29"/>
  <c r="O393" i="29"/>
  <c r="O424" i="29"/>
  <c r="P376" i="29"/>
  <c r="O396" i="29"/>
  <c r="O408" i="29"/>
  <c r="P375" i="29"/>
  <c r="P346" i="29"/>
  <c r="O346" i="29"/>
  <c r="P369" i="29"/>
  <c r="P337" i="29"/>
  <c r="O345" i="29"/>
  <c r="O313" i="29"/>
  <c r="P344" i="29"/>
  <c r="P312" i="29"/>
  <c r="P343" i="29"/>
  <c r="O368" i="29"/>
  <c r="O316" i="29"/>
  <c r="P290" i="29"/>
  <c r="P325" i="29"/>
  <c r="O290" i="29"/>
  <c r="O351" i="29"/>
  <c r="P318" i="29"/>
  <c r="O320" i="29"/>
  <c r="O308" i="29"/>
  <c r="O276" i="29"/>
  <c r="P303" i="29"/>
  <c r="O307" i="29"/>
  <c r="O272" i="29"/>
  <c r="O240" i="29"/>
  <c r="O69" i="29"/>
  <c r="O46" i="29"/>
  <c r="P130" i="29"/>
  <c r="P48" i="29"/>
  <c r="P26" i="29"/>
  <c r="P66" i="29"/>
  <c r="P611" i="29"/>
  <c r="P598" i="29"/>
  <c r="O594" i="29"/>
  <c r="O585" i="29"/>
  <c r="P588" i="29"/>
  <c r="P577" i="29"/>
  <c r="O576" i="29"/>
  <c r="O547" i="29"/>
  <c r="P564" i="29"/>
  <c r="P557" i="29"/>
  <c r="O549" i="29"/>
  <c r="O546" i="29"/>
  <c r="P541" i="29"/>
  <c r="O537" i="29"/>
  <c r="O532" i="29"/>
  <c r="O575" i="29"/>
  <c r="P548" i="29"/>
  <c r="P526" i="29"/>
  <c r="O524" i="29"/>
  <c r="O515" i="29"/>
  <c r="P514" i="29"/>
  <c r="P482" i="29"/>
  <c r="O522" i="29"/>
  <c r="P528" i="29"/>
  <c r="P521" i="29"/>
  <c r="P544" i="29"/>
  <c r="O474" i="29"/>
  <c r="P477" i="29"/>
  <c r="O483" i="29"/>
  <c r="P513" i="29"/>
  <c r="O468" i="29"/>
  <c r="O487" i="29"/>
  <c r="P451" i="29"/>
  <c r="O443" i="29"/>
  <c r="O411" i="29"/>
  <c r="P442" i="29"/>
  <c r="O442" i="29"/>
  <c r="P457" i="29"/>
  <c r="P425" i="29"/>
  <c r="O457" i="29"/>
  <c r="O425" i="29"/>
  <c r="P456" i="29"/>
  <c r="P404" i="29"/>
  <c r="O375" i="29"/>
  <c r="P406" i="29"/>
  <c r="P378" i="29"/>
  <c r="O402" i="29"/>
  <c r="P415" i="29"/>
  <c r="P381" i="29"/>
  <c r="P424" i="29"/>
  <c r="O389" i="29"/>
  <c r="O418" i="29"/>
  <c r="P372" i="29"/>
  <c r="O392" i="29"/>
  <c r="P403" i="29"/>
  <c r="P371" i="29"/>
  <c r="P342" i="29"/>
  <c r="O342" i="29"/>
  <c r="P365" i="29"/>
  <c r="P370" i="29"/>
  <c r="O341" i="29"/>
  <c r="O370" i="29"/>
  <c r="P340" i="29"/>
  <c r="O372" i="29"/>
  <c r="P339" i="29"/>
  <c r="O363" i="29"/>
  <c r="O315" i="29"/>
  <c r="P286" i="29"/>
  <c r="P317" i="29"/>
  <c r="O286" i="29"/>
  <c r="O340" i="29"/>
  <c r="O309" i="29"/>
  <c r="O319" i="29"/>
  <c r="O304" i="29"/>
  <c r="O364" i="29"/>
  <c r="P299" i="29"/>
  <c r="P293" i="29"/>
  <c r="O268" i="29"/>
  <c r="O236" i="29"/>
  <c r="P25" i="29"/>
  <c r="O89" i="29"/>
  <c r="O55" i="29"/>
  <c r="O57" i="29"/>
  <c r="O31" i="29"/>
  <c r="O611" i="29"/>
  <c r="G624" i="29"/>
  <c r="R624" i="29" s="1"/>
  <c r="O590" i="29"/>
  <c r="O606" i="29"/>
  <c r="P584" i="29"/>
  <c r="O557" i="29"/>
  <c r="O568" i="29"/>
  <c r="P565" i="29"/>
  <c r="O554" i="29"/>
  <c r="P549" i="29"/>
  <c r="O566" i="29"/>
  <c r="O538" i="29"/>
  <c r="P533" i="29"/>
  <c r="O529" i="29"/>
  <c r="P543" i="29"/>
  <c r="O521" i="29"/>
  <c r="P520" i="29"/>
  <c r="O520" i="29"/>
  <c r="P515" i="29"/>
  <c r="O507" i="29"/>
  <c r="P506" i="29"/>
  <c r="O502" i="29"/>
  <c r="O501" i="29"/>
  <c r="P503" i="29"/>
  <c r="O503" i="29"/>
  <c r="P502" i="29"/>
  <c r="O466" i="29"/>
  <c r="P469" i="29"/>
  <c r="O479" i="29"/>
  <c r="O514" i="29"/>
  <c r="O491" i="29"/>
  <c r="O471" i="29"/>
  <c r="P443" i="29"/>
  <c r="O435" i="29"/>
  <c r="O480" i="29"/>
  <c r="P476" i="29"/>
  <c r="O434" i="29"/>
  <c r="P449" i="29"/>
  <c r="P417" i="29"/>
  <c r="O449" i="29"/>
  <c r="O417" i="29"/>
  <c r="P436" i="29"/>
  <c r="O399" i="29"/>
  <c r="O452" i="29"/>
  <c r="P402" i="29"/>
  <c r="P430" i="29"/>
  <c r="O394" i="29"/>
  <c r="O410" i="29"/>
  <c r="P373" i="29"/>
  <c r="P419" i="29"/>
  <c r="O381" i="29"/>
  <c r="P396" i="29"/>
  <c r="P448" i="29"/>
  <c r="O384" i="29"/>
  <c r="P395" i="29"/>
  <c r="P366" i="29"/>
  <c r="O366" i="29"/>
  <c r="O334" i="29"/>
  <c r="P357" i="29"/>
  <c r="O365" i="29"/>
  <c r="O333" i="29"/>
  <c r="P364" i="29"/>
  <c r="P332" i="29"/>
  <c r="P363" i="29"/>
  <c r="P331" i="29"/>
  <c r="O347" i="29"/>
  <c r="P310" i="29"/>
  <c r="P278" i="29"/>
  <c r="O310" i="29"/>
  <c r="O278" i="29"/>
  <c r="O312" i="29"/>
  <c r="O360" i="29"/>
  <c r="P304" i="29"/>
  <c r="O296" i="29"/>
  <c r="O348" i="29"/>
  <c r="P291" i="29"/>
  <c r="P285" i="29"/>
  <c r="O260" i="29"/>
  <c r="P330" i="29"/>
  <c r="O14" i="29"/>
  <c r="O15" i="29"/>
  <c r="P594" i="29"/>
  <c r="O561" i="29"/>
  <c r="P553" i="29"/>
  <c r="O533" i="29"/>
  <c r="P524" i="29"/>
  <c r="P478" i="29"/>
  <c r="O506" i="29"/>
  <c r="P509" i="29"/>
  <c r="O439" i="29"/>
  <c r="P453" i="29"/>
  <c r="O413" i="29"/>
  <c r="O371" i="29"/>
  <c r="P411" i="29"/>
  <c r="P444" i="29"/>
  <c r="P400" i="29"/>
  <c r="O362" i="29"/>
  <c r="P352" i="29"/>
  <c r="P327" i="29"/>
  <c r="P282" i="29"/>
  <c r="O367" i="29"/>
  <c r="P300" i="29"/>
  <c r="O248" i="29"/>
  <c r="O267" i="29"/>
  <c r="P242" i="29"/>
  <c r="P297" i="29"/>
  <c r="O48" i="29"/>
  <c r="O35" i="29"/>
  <c r="P590" i="29"/>
  <c r="O587" i="29"/>
  <c r="P545" i="29"/>
  <c r="O525" i="29"/>
  <c r="O516" i="29"/>
  <c r="P501" i="29"/>
  <c r="O498" i="29"/>
  <c r="O495" i="29"/>
  <c r="O431" i="29"/>
  <c r="P445" i="29"/>
  <c r="O405" i="29"/>
  <c r="O436" i="29"/>
  <c r="O398" i="29"/>
  <c r="P439" i="29"/>
  <c r="P392" i="29"/>
  <c r="P399" i="29"/>
  <c r="O354" i="29"/>
  <c r="O361" i="29"/>
  <c r="P336" i="29"/>
  <c r="P319" i="29"/>
  <c r="P274" i="29"/>
  <c r="O314" i="29"/>
  <c r="P329" i="29"/>
  <c r="P287" i="29"/>
  <c r="O232" i="29"/>
  <c r="P255" i="29"/>
  <c r="O263" i="29"/>
  <c r="P270" i="29"/>
  <c r="P238" i="29"/>
  <c r="O270" i="29"/>
  <c r="O289" i="29"/>
  <c r="P245" i="29"/>
  <c r="O291" i="29"/>
  <c r="O249" i="29"/>
  <c r="P260" i="29"/>
  <c r="O233" i="29"/>
  <c r="P200" i="29"/>
  <c r="O212" i="29"/>
  <c r="O180" i="29"/>
  <c r="P207" i="29"/>
  <c r="P175" i="29"/>
  <c r="O207" i="29"/>
  <c r="O175" i="29"/>
  <c r="P210" i="29"/>
  <c r="O218" i="29"/>
  <c r="O186" i="29"/>
  <c r="P217" i="29"/>
  <c r="P185" i="29"/>
  <c r="O209" i="29"/>
  <c r="O177" i="29"/>
  <c r="P184" i="29"/>
  <c r="O143" i="29"/>
  <c r="P178" i="29"/>
  <c r="P171" i="29"/>
  <c r="P141" i="29"/>
  <c r="P176" i="29"/>
  <c r="O141" i="29"/>
  <c r="P168" i="29"/>
  <c r="P136" i="29"/>
  <c r="O130" i="29"/>
  <c r="P92" i="29"/>
  <c r="P155" i="29"/>
  <c r="P123" i="29"/>
  <c r="P91" i="29"/>
  <c r="P59" i="29"/>
  <c r="O115" i="29"/>
  <c r="P110" i="29"/>
  <c r="P159" i="29"/>
  <c r="O90" i="29"/>
  <c r="P143" i="29"/>
  <c r="P113" i="29"/>
  <c r="P81" i="29"/>
  <c r="P49" i="29"/>
  <c r="O70" i="29"/>
  <c r="O105" i="29"/>
  <c r="O68" i="29"/>
  <c r="O586" i="29"/>
  <c r="O543" i="29"/>
  <c r="P62" i="29"/>
  <c r="P593" i="29"/>
  <c r="O572" i="29"/>
  <c r="O545" i="29"/>
  <c r="O528" i="29"/>
  <c r="P519" i="29"/>
  <c r="P517" i="29"/>
  <c r="O470" i="29"/>
  <c r="O464" i="29"/>
  <c r="O407" i="29"/>
  <c r="P421" i="29"/>
  <c r="P452" i="29"/>
  <c r="P420" i="29"/>
  <c r="O390" i="29"/>
  <c r="P423" i="29"/>
  <c r="P384" i="29"/>
  <c r="P391" i="29"/>
  <c r="O338" i="29"/>
  <c r="O353" i="29"/>
  <c r="P328" i="29"/>
  <c r="O352" i="29"/>
  <c r="O336" i="29"/>
  <c r="P309" i="29"/>
  <c r="O300" i="29"/>
  <c r="P279" i="29"/>
  <c r="O293" i="29"/>
  <c r="P251" i="29"/>
  <c r="O259" i="29"/>
  <c r="P266" i="29"/>
  <c r="P234" i="29"/>
  <c r="O266" i="29"/>
  <c r="O281" i="29"/>
  <c r="P241" i="29"/>
  <c r="O283" i="29"/>
  <c r="O245" i="29"/>
  <c r="P256" i="29"/>
  <c r="P228" i="29"/>
  <c r="P239" i="29"/>
  <c r="O208" i="29"/>
  <c r="O176" i="29"/>
  <c r="P203" i="29"/>
  <c r="O246" i="29"/>
  <c r="O203" i="29"/>
  <c r="O171" i="29"/>
  <c r="P206" i="29"/>
  <c r="O214" i="29"/>
  <c r="O182" i="29"/>
  <c r="P213" i="29"/>
  <c r="P181" i="29"/>
  <c r="O205" i="29"/>
  <c r="O173" i="29"/>
  <c r="P172" i="29"/>
  <c r="O139" i="29"/>
  <c r="O172" i="29"/>
  <c r="P169" i="29"/>
  <c r="P137" i="29"/>
  <c r="O169" i="29"/>
  <c r="O137" i="29"/>
  <c r="P164" i="29"/>
  <c r="P132" i="29"/>
  <c r="O122" i="29"/>
  <c r="P88" i="29"/>
  <c r="O148" i="29"/>
  <c r="P119" i="29"/>
  <c r="P87" i="29"/>
  <c r="P55" i="29"/>
  <c r="O170" i="29"/>
  <c r="P106" i="29"/>
  <c r="P118" i="29"/>
  <c r="O86" i="29"/>
  <c r="O136" i="29"/>
  <c r="P109" i="29"/>
  <c r="P77" i="29"/>
  <c r="P15" i="29"/>
  <c r="P31" i="29"/>
  <c r="O107" i="29"/>
  <c r="P146" i="29"/>
  <c r="P29" i="29"/>
  <c r="O50" i="29"/>
  <c r="P595" i="29"/>
  <c r="P585" i="29"/>
  <c r="O559" i="29"/>
  <c r="P537" i="29"/>
  <c r="P542" i="29"/>
  <c r="P510" i="29"/>
  <c r="O510" i="29"/>
  <c r="P480" i="29"/>
  <c r="P447" i="29"/>
  <c r="O438" i="29"/>
  <c r="O437" i="29"/>
  <c r="O395" i="29"/>
  <c r="P438" i="29"/>
  <c r="P393" i="29"/>
  <c r="O377" i="29"/>
  <c r="O388" i="29"/>
  <c r="P354" i="29"/>
  <c r="P353" i="29"/>
  <c r="P368" i="29"/>
  <c r="P351" i="29"/>
  <c r="P306" i="29"/>
  <c r="O282" i="29"/>
  <c r="O328" i="29"/>
  <c r="O343" i="29"/>
  <c r="O264" i="29"/>
  <c r="P267" i="29"/>
  <c r="O279" i="29"/>
  <c r="O243" i="29"/>
  <c r="P250" i="29"/>
  <c r="P288" i="29"/>
  <c r="O250" i="29"/>
  <c r="P257" i="29"/>
  <c r="O301" i="29"/>
  <c r="O261" i="29"/>
  <c r="P272" i="29"/>
  <c r="P240" i="29"/>
  <c r="P212" i="29"/>
  <c r="O224" i="29"/>
  <c r="O192" i="29"/>
  <c r="P219" i="29"/>
  <c r="P187" i="29"/>
  <c r="O219" i="29"/>
  <c r="O187" i="29"/>
  <c r="P222" i="29"/>
  <c r="O230" i="29"/>
  <c r="O198" i="29"/>
  <c r="P229" i="29"/>
  <c r="P197" i="29"/>
  <c r="O221" i="29"/>
  <c r="O189" i="29"/>
  <c r="O164" i="29"/>
  <c r="O155" i="29"/>
  <c r="O123" i="29"/>
  <c r="P158" i="29"/>
  <c r="P153" i="29"/>
  <c r="P121" i="29"/>
  <c r="O153" i="29"/>
  <c r="O121" i="29"/>
  <c r="P148" i="29"/>
  <c r="O154" i="29"/>
  <c r="P104" i="29"/>
  <c r="P167" i="29"/>
  <c r="O132" i="29"/>
  <c r="P103" i="29"/>
  <c r="P71" i="29"/>
  <c r="P142" i="29"/>
  <c r="O134" i="29"/>
  <c r="P90" i="29"/>
  <c r="O102" i="29"/>
  <c r="O152" i="29"/>
  <c r="P120" i="29"/>
  <c r="P93" i="29"/>
  <c r="P61" i="29"/>
  <c r="P23" i="29"/>
  <c r="P39" i="29"/>
  <c r="O61" i="29"/>
  <c r="O369" i="29"/>
  <c r="P301" i="29"/>
  <c r="P264" i="29"/>
  <c r="P204" i="29"/>
  <c r="O184" i="29"/>
  <c r="O75" i="29"/>
  <c r="P64" i="29"/>
  <c r="O607" i="29"/>
  <c r="P583" i="29"/>
  <c r="O550" i="29"/>
  <c r="P529" i="29"/>
  <c r="P516" i="29"/>
  <c r="O504" i="29"/>
  <c r="O500" i="29"/>
  <c r="O477" i="29"/>
  <c r="P468" i="29"/>
  <c r="O430" i="29"/>
  <c r="O421" i="29"/>
  <c r="O387" i="29"/>
  <c r="P422" i="29"/>
  <c r="P377" i="29"/>
  <c r="O440" i="29"/>
  <c r="O380" i="29"/>
  <c r="O374" i="29"/>
  <c r="P345" i="29"/>
  <c r="P360" i="29"/>
  <c r="P335" i="29"/>
  <c r="P298" i="29"/>
  <c r="O274" i="29"/>
  <c r="P308" i="29"/>
  <c r="P313" i="29"/>
  <c r="O256" i="29"/>
  <c r="P263" i="29"/>
  <c r="O271" i="29"/>
  <c r="O239" i="29"/>
  <c r="P246" i="29"/>
  <c r="P281" i="29"/>
  <c r="P311" i="29"/>
  <c r="P253" i="29"/>
  <c r="O299" i="29"/>
  <c r="O257" i="29"/>
  <c r="P268" i="29"/>
  <c r="P236" i="29"/>
  <c r="P208" i="29"/>
  <c r="O220" i="29"/>
  <c r="O188" i="29"/>
  <c r="P215" i="29"/>
  <c r="P183" i="29"/>
  <c r="O215" i="29"/>
  <c r="O183" i="29"/>
  <c r="P218" i="29"/>
  <c r="O226" i="29"/>
  <c r="O194" i="29"/>
  <c r="P225" i="29"/>
  <c r="P193" i="29"/>
  <c r="O217" i="29"/>
  <c r="O185" i="29"/>
  <c r="O160" i="29"/>
  <c r="O151" i="29"/>
  <c r="O119" i="29"/>
  <c r="P188" i="29"/>
  <c r="P149" i="29"/>
  <c r="P198" i="29"/>
  <c r="O149" i="29"/>
  <c r="P186" i="29"/>
  <c r="P144" i="29"/>
  <c r="O146" i="29"/>
  <c r="P100" i="29"/>
  <c r="O116" i="29"/>
  <c r="P131" i="29"/>
  <c r="P99" i="29"/>
  <c r="P67" i="29"/>
  <c r="P134" i="29"/>
  <c r="O126" i="29"/>
  <c r="P86" i="29"/>
  <c r="O98" i="29"/>
  <c r="P151" i="29"/>
  <c r="O118" i="29"/>
  <c r="P89" i="29"/>
  <c r="P57" i="29"/>
  <c r="O92" i="29"/>
  <c r="O448" i="29"/>
  <c r="P295" i="29"/>
  <c r="P259" i="29"/>
  <c r="O303" i="29"/>
  <c r="P280" i="29"/>
  <c r="P249" i="29"/>
  <c r="O253" i="29"/>
  <c r="P232" i="29"/>
  <c r="O216" i="29"/>
  <c r="P105" i="29"/>
  <c r="P115" i="29"/>
  <c r="P52" i="29"/>
  <c r="O128" i="29"/>
  <c r="O79" i="29"/>
  <c r="P85" i="29"/>
  <c r="O144" i="29"/>
  <c r="P82" i="29"/>
  <c r="P126" i="29"/>
  <c r="P95" i="29"/>
  <c r="O166" i="29"/>
  <c r="O138" i="29"/>
  <c r="P174" i="29"/>
  <c r="P192" i="29"/>
  <c r="P182" i="29"/>
  <c r="O147" i="29"/>
  <c r="O181" i="29"/>
  <c r="P189" i="29"/>
  <c r="O190" i="29"/>
  <c r="P214" i="29"/>
  <c r="O211" i="29"/>
  <c r="P211" i="29"/>
  <c r="O234" i="29"/>
  <c r="P273" i="29"/>
  <c r="P237" i="29"/>
  <c r="P296" i="29"/>
  <c r="O287" i="29"/>
  <c r="P292" i="29"/>
  <c r="O306" i="29"/>
  <c r="O321" i="29"/>
  <c r="P383" i="29"/>
  <c r="P414" i="29"/>
  <c r="O445" i="29"/>
  <c r="P487" i="29"/>
  <c r="O511" i="29"/>
  <c r="O583" i="29"/>
  <c r="P627" i="29"/>
  <c r="P68" i="29"/>
  <c r="P101" i="29"/>
  <c r="O78" i="29"/>
  <c r="P98" i="29"/>
  <c r="P173" i="29"/>
  <c r="P111" i="29"/>
  <c r="P80" i="29"/>
  <c r="P124" i="29"/>
  <c r="O129" i="29"/>
  <c r="P129" i="29"/>
  <c r="P166" i="29"/>
  <c r="O163" i="29"/>
  <c r="O197" i="29"/>
  <c r="P205" i="29"/>
  <c r="O206" i="29"/>
  <c r="O237" i="29"/>
  <c r="O227" i="29"/>
  <c r="P227" i="29"/>
  <c r="P216" i="29"/>
  <c r="O241" i="29"/>
  <c r="P265" i="29"/>
  <c r="P254" i="29"/>
  <c r="P247" i="29"/>
  <c r="O284" i="29"/>
  <c r="O311" i="29"/>
  <c r="O337" i="29"/>
  <c r="P434" i="29"/>
  <c r="P390" i="29"/>
  <c r="P413" i="29"/>
  <c r="P473" i="29"/>
  <c r="O517" i="29"/>
  <c r="O605" i="29"/>
  <c r="P51" i="29"/>
  <c r="O133" i="29"/>
  <c r="O167" i="29"/>
  <c r="P209" i="29"/>
  <c r="O242" i="29"/>
  <c r="P243" i="29"/>
  <c r="O235" i="29"/>
  <c r="O265" i="29"/>
  <c r="P269" i="29"/>
  <c r="P258" i="29"/>
  <c r="P271" i="29"/>
  <c r="O292" i="29"/>
  <c r="O324" i="29"/>
  <c r="P361" i="29"/>
  <c r="O456" i="29"/>
  <c r="P398" i="29"/>
  <c r="O462" i="29"/>
  <c r="O490" i="29"/>
  <c r="P532" i="29"/>
  <c r="P613" i="29"/>
  <c r="O82" i="29"/>
  <c r="P84" i="29"/>
  <c r="P133" i="29"/>
  <c r="P170" i="29"/>
  <c r="O201" i="29"/>
  <c r="O210" i="29"/>
  <c r="P220" i="29"/>
  <c r="P35" i="29"/>
  <c r="P53" i="29"/>
  <c r="P117" i="29"/>
  <c r="O94" i="29"/>
  <c r="P114" i="29"/>
  <c r="P63" i="29"/>
  <c r="O124" i="29"/>
  <c r="P96" i="29"/>
  <c r="P140" i="29"/>
  <c r="O145" i="29"/>
  <c r="P145" i="29"/>
  <c r="P194" i="29"/>
  <c r="P190" i="29"/>
  <c r="O213" i="29"/>
  <c r="P221" i="29"/>
  <c r="O222" i="29"/>
  <c r="O179" i="29"/>
  <c r="P179" i="29"/>
  <c r="O196" i="29"/>
  <c r="P224" i="29"/>
  <c r="O269" i="29"/>
  <c r="O254" i="29"/>
  <c r="P262" i="29"/>
  <c r="O277" i="29"/>
  <c r="O355" i="29"/>
  <c r="O332" i="29"/>
  <c r="O322" i="29"/>
  <c r="O385" i="29"/>
  <c r="O404" i="29"/>
  <c r="P481" i="29"/>
  <c r="P500" i="29"/>
  <c r="P539" i="29"/>
  <c r="O88" i="29"/>
  <c r="P128" i="29"/>
  <c r="O54" i="29"/>
  <c r="P65" i="29"/>
  <c r="P127" i="29"/>
  <c r="O106" i="29"/>
  <c r="O142" i="29"/>
  <c r="P75" i="29"/>
  <c r="P139" i="29"/>
  <c r="P108" i="29"/>
  <c r="P152" i="29"/>
  <c r="O157" i="29"/>
  <c r="P157" i="29"/>
  <c r="O127" i="29"/>
  <c r="O168" i="29"/>
  <c r="O225" i="29"/>
  <c r="O231" i="29"/>
  <c r="P231" i="29"/>
  <c r="O191" i="29"/>
  <c r="P191" i="29"/>
  <c r="O200" i="29"/>
  <c r="P244" i="29"/>
  <c r="O275" i="29"/>
  <c r="O258" i="29"/>
  <c r="O247" i="29"/>
  <c r="O285" i="29"/>
  <c r="O305" i="29"/>
  <c r="P359" i="29"/>
  <c r="O330" i="29"/>
  <c r="O401" i="29"/>
  <c r="O403" i="29"/>
  <c r="P462" i="29"/>
  <c r="P505" i="29"/>
  <c r="O534" i="29"/>
  <c r="O627" i="29"/>
  <c r="P102" i="29"/>
  <c r="O150" i="29"/>
  <c r="P112" i="29"/>
  <c r="O161" i="29"/>
  <c r="O131" i="29"/>
  <c r="P180" i="29"/>
  <c r="O229" i="29"/>
  <c r="O174" i="29"/>
  <c r="O195" i="29"/>
  <c r="P195" i="29"/>
  <c r="O204" i="29"/>
  <c r="P248" i="29"/>
  <c r="P322" i="29"/>
  <c r="O262" i="29"/>
  <c r="O251" i="29"/>
  <c r="P276" i="29"/>
  <c r="P334" i="29"/>
  <c r="P367" i="29"/>
  <c r="P362" i="29"/>
  <c r="P418" i="29"/>
  <c r="P427" i="29"/>
  <c r="O467" i="29"/>
  <c r="O497" i="29"/>
  <c r="O542" i="29"/>
  <c r="P580" i="29"/>
  <c r="O551" i="29"/>
  <c r="P575" i="29"/>
  <c r="P572" i="29"/>
  <c r="O565" i="29"/>
  <c r="P566" i="29"/>
  <c r="P608" i="29"/>
  <c r="O613" i="29"/>
  <c r="P612" i="29"/>
  <c r="O601" i="29"/>
  <c r="P601" i="29"/>
  <c r="P610" i="29"/>
  <c r="P599" i="29"/>
  <c r="O612" i="29"/>
  <c r="O52" i="29"/>
  <c r="O27" i="29"/>
  <c r="O97" i="29"/>
  <c r="O47" i="29"/>
  <c r="O44" i="29"/>
  <c r="O93" i="29"/>
  <c r="O42" i="29"/>
  <c r="P163" i="29"/>
  <c r="O53" i="29"/>
  <c r="P17" i="29"/>
  <c r="P550" i="29"/>
  <c r="O555" i="29"/>
  <c r="O592" i="29"/>
  <c r="P576" i="29"/>
  <c r="O569" i="29"/>
  <c r="P570" i="29"/>
  <c r="O584" i="29"/>
  <c r="P597" i="29"/>
  <c r="P589" i="29"/>
  <c r="O602" i="29"/>
  <c r="P609" i="29"/>
  <c r="I634" i="29"/>
  <c r="P603" i="29"/>
  <c r="O103" i="29"/>
  <c r="P50" i="29"/>
  <c r="O23" i="29"/>
  <c r="O84" i="29"/>
  <c r="P46" i="29"/>
  <c r="O24" i="29"/>
  <c r="O80" i="29"/>
  <c r="O38" i="29"/>
  <c r="O108" i="29"/>
  <c r="P45" i="29"/>
  <c r="P13" i="29"/>
  <c r="P554" i="29"/>
  <c r="O548" i="29"/>
  <c r="O564" i="29"/>
  <c r="O577" i="29"/>
  <c r="O573" i="29"/>
  <c r="P574" i="29"/>
  <c r="O588" i="29"/>
  <c r="P605" i="29"/>
  <c r="O593" i="29"/>
  <c r="O609" i="29"/>
  <c r="AC624" i="29"/>
  <c r="O595" i="29"/>
  <c r="P607" i="29"/>
  <c r="O101" i="29"/>
  <c r="P47" i="29"/>
  <c r="O19" i="29"/>
  <c r="O73" i="29"/>
  <c r="P42" i="29"/>
  <c r="O71" i="29"/>
  <c r="O34" i="29"/>
  <c r="O91" i="29"/>
  <c r="T35" i="29"/>
  <c r="S109" i="29"/>
  <c r="Q416" i="29"/>
  <c r="Q559" i="29"/>
  <c r="R627" i="29"/>
  <c r="Q66" i="29"/>
  <c r="R57" i="29"/>
  <c r="Q47" i="29"/>
  <c r="R159" i="29"/>
  <c r="R291" i="29"/>
  <c r="Q333" i="29"/>
  <c r="Q468" i="29"/>
  <c r="R161" i="29"/>
  <c r="Q261" i="29"/>
  <c r="Q383" i="29"/>
  <c r="Q492" i="29"/>
  <c r="Q145" i="29"/>
  <c r="Q30" i="29"/>
  <c r="R67" i="29"/>
  <c r="R149" i="29"/>
  <c r="R185" i="29"/>
  <c r="R214" i="29"/>
  <c r="R296" i="29"/>
  <c r="R318" i="29"/>
  <c r="R375" i="29"/>
  <c r="R453" i="29"/>
  <c r="Q518" i="29"/>
  <c r="Q582" i="29"/>
  <c r="R609" i="29"/>
  <c r="R84" i="29"/>
  <c r="R131" i="29"/>
  <c r="Q228" i="29"/>
  <c r="R316" i="29"/>
  <c r="Q323" i="29"/>
  <c r="R346" i="29"/>
  <c r="Q381" i="29"/>
  <c r="R474" i="29"/>
  <c r="R523" i="29"/>
  <c r="I635" i="29"/>
  <c r="S96" i="29"/>
  <c r="S186" i="29"/>
  <c r="S114" i="29"/>
  <c r="S270" i="29"/>
  <c r="T147" i="29"/>
  <c r="T344" i="29"/>
  <c r="T215" i="29"/>
  <c r="T25" i="29"/>
  <c r="T145" i="29"/>
  <c r="T86" i="29"/>
  <c r="S125" i="29"/>
  <c r="S212" i="29"/>
  <c r="T270" i="29"/>
  <c r="S302" i="29"/>
  <c r="T433" i="29"/>
  <c r="T116" i="29"/>
  <c r="T138" i="29"/>
  <c r="S158" i="29"/>
  <c r="S231" i="29"/>
  <c r="S297" i="29"/>
  <c r="S284" i="29"/>
  <c r="S461" i="29"/>
  <c r="T75" i="29"/>
  <c r="T61" i="29"/>
  <c r="S139" i="29"/>
  <c r="S211" i="29"/>
  <c r="T177" i="29"/>
  <c r="S289" i="29"/>
  <c r="T345" i="29"/>
  <c r="T91" i="29"/>
  <c r="S112" i="29"/>
  <c r="S154" i="29"/>
  <c r="T144" i="29"/>
  <c r="T77" i="29"/>
  <c r="S132" i="29"/>
  <c r="T102" i="29"/>
  <c r="T154" i="29"/>
  <c r="S155" i="29"/>
  <c r="T163" i="29"/>
  <c r="S141" i="29"/>
  <c r="T172" i="29"/>
  <c r="S227" i="29"/>
  <c r="S232" i="29"/>
  <c r="S228" i="29"/>
  <c r="S185" i="29"/>
  <c r="T193" i="29"/>
  <c r="S218" i="29"/>
  <c r="S333" i="29"/>
  <c r="S268" i="29"/>
  <c r="S265" i="29"/>
  <c r="T289" i="29"/>
  <c r="T306" i="29"/>
  <c r="S326" i="29"/>
  <c r="T350" i="29"/>
  <c r="S406" i="29"/>
  <c r="T396" i="29"/>
  <c r="T520" i="29"/>
  <c r="T13" i="29"/>
  <c r="T107" i="29"/>
  <c r="S122" i="29"/>
  <c r="T84" i="29"/>
  <c r="S118" i="29"/>
  <c r="T93" i="29"/>
  <c r="T141" i="29"/>
  <c r="T124" i="29"/>
  <c r="T170" i="29"/>
  <c r="T186" i="29"/>
  <c r="T192" i="29"/>
  <c r="S157" i="29"/>
  <c r="S179" i="29"/>
  <c r="T183" i="29"/>
  <c r="S180" i="29"/>
  <c r="T204" i="29"/>
  <c r="S201" i="29"/>
  <c r="T209" i="29"/>
  <c r="T210" i="29"/>
  <c r="S267" i="29"/>
  <c r="S325" i="29"/>
  <c r="T265" i="29"/>
  <c r="T316" i="29"/>
  <c r="S321" i="29"/>
  <c r="T300" i="29"/>
  <c r="S347" i="29"/>
  <c r="S398" i="29"/>
  <c r="S423" i="29"/>
  <c r="T583" i="29"/>
  <c r="S99" i="29"/>
  <c r="S86" i="29"/>
  <c r="S71" i="29"/>
  <c r="S64" i="29"/>
  <c r="T41" i="29"/>
  <c r="T59" i="29"/>
  <c r="S80" i="29"/>
  <c r="S136" i="29"/>
  <c r="T100" i="29"/>
  <c r="T174" i="29"/>
  <c r="T109" i="29"/>
  <c r="S150" i="29"/>
  <c r="T122" i="29"/>
  <c r="S123" i="29"/>
  <c r="T131" i="29"/>
  <c r="T164" i="29"/>
  <c r="T171" i="29"/>
  <c r="S195" i="29"/>
  <c r="T199" i="29"/>
  <c r="S196" i="29"/>
  <c r="T220" i="29"/>
  <c r="S217" i="29"/>
  <c r="T225" i="29"/>
  <c r="T238" i="29"/>
  <c r="T255" i="29"/>
  <c r="T256" i="29"/>
  <c r="S238" i="29"/>
  <c r="S369" i="29"/>
  <c r="T327" i="29"/>
  <c r="S362" i="29"/>
  <c r="S370" i="29"/>
  <c r="T402" i="29"/>
  <c r="S27" i="29"/>
  <c r="S28" i="29"/>
  <c r="S87" i="29"/>
  <c r="S106" i="29"/>
  <c r="T36" i="29"/>
  <c r="S51" i="29"/>
  <c r="S91" i="29"/>
  <c r="S110" i="29"/>
  <c r="S62" i="29"/>
  <c r="S82" i="29"/>
  <c r="S598" i="29"/>
  <c r="T605" i="29"/>
  <c r="S609" i="29"/>
  <c r="S593" i="29"/>
  <c r="T600" i="29"/>
  <c r="S612" i="29"/>
  <c r="S603" i="29"/>
  <c r="T594" i="29"/>
  <c r="S588" i="29"/>
  <c r="T591" i="29"/>
  <c r="S591" i="29"/>
  <c r="T606" i="29"/>
  <c r="T590" i="29"/>
  <c r="S582" i="29"/>
  <c r="T576" i="29"/>
  <c r="T560" i="29"/>
  <c r="S575" i="29"/>
  <c r="S559" i="29"/>
  <c r="S574" i="29"/>
  <c r="S585" i="29"/>
  <c r="T565" i="29"/>
  <c r="S550" i="29"/>
  <c r="T557" i="29"/>
  <c r="S577" i="29"/>
  <c r="S557" i="29"/>
  <c r="T573" i="29"/>
  <c r="T558" i="29"/>
  <c r="S578" i="29"/>
  <c r="T555" i="29"/>
  <c r="T566" i="29"/>
  <c r="S547" i="29"/>
  <c r="S541" i="29"/>
  <c r="S525" i="29"/>
  <c r="S540" i="29"/>
  <c r="S524" i="29"/>
  <c r="T539" i="29"/>
  <c r="T575" i="29"/>
  <c r="S535" i="29"/>
  <c r="T554" i="29"/>
  <c r="S530" i="29"/>
  <c r="T545" i="29"/>
  <c r="T529" i="29"/>
  <c r="T526" i="29"/>
  <c r="S507" i="29"/>
  <c r="T524" i="29"/>
  <c r="T514" i="29"/>
  <c r="S522" i="29"/>
  <c r="T540" i="29"/>
  <c r="T509" i="29"/>
  <c r="S513" i="29"/>
  <c r="T516" i="29"/>
  <c r="S512" i="29"/>
  <c r="T488" i="29"/>
  <c r="S505" i="29"/>
  <c r="T487" i="29"/>
  <c r="S491" i="29"/>
  <c r="S520" i="29"/>
  <c r="T486" i="29"/>
  <c r="T506" i="29"/>
  <c r="S494" i="29"/>
  <c r="T507" i="29"/>
  <c r="T472" i="29"/>
  <c r="T505" i="29"/>
  <c r="T481" i="29"/>
  <c r="S464" i="29"/>
  <c r="S481" i="29"/>
  <c r="T463" i="29"/>
  <c r="S475" i="29"/>
  <c r="T532" i="29"/>
  <c r="S474" i="29"/>
  <c r="T519" i="29"/>
  <c r="T478" i="29"/>
  <c r="T465" i="29"/>
  <c r="S56" i="29"/>
  <c r="T70" i="29"/>
  <c r="S20" i="29"/>
  <c r="S74" i="29"/>
  <c r="S89" i="29"/>
  <c r="S93" i="29"/>
  <c r="S25" i="29"/>
  <c r="S610" i="29"/>
  <c r="S594" i="29"/>
  <c r="T601" i="29"/>
  <c r="S605" i="29"/>
  <c r="T612" i="29"/>
  <c r="T596" i="29"/>
  <c r="S611" i="29"/>
  <c r="T602" i="29"/>
  <c r="T588" i="29"/>
  <c r="S584" i="29"/>
  <c r="T587" i="29"/>
  <c r="S587" i="29"/>
  <c r="S600" i="29"/>
  <c r="S627" i="29"/>
  <c r="T595" i="29"/>
  <c r="T572" i="29"/>
  <c r="T556" i="29"/>
  <c r="S571" i="29"/>
  <c r="T574" i="29"/>
  <c r="S570" i="29"/>
  <c r="T581" i="29"/>
  <c r="T561" i="29"/>
  <c r="S546" i="29"/>
  <c r="S553" i="29"/>
  <c r="T571" i="29"/>
  <c r="T552" i="29"/>
  <c r="S572" i="29"/>
  <c r="S552" i="29"/>
  <c r="S573" i="29"/>
  <c r="T551" i="29"/>
  <c r="S556" i="29"/>
  <c r="T603" i="29"/>
  <c r="S537" i="29"/>
  <c r="T593" i="29"/>
  <c r="S536" i="29"/>
  <c r="S583" i="29"/>
  <c r="T535" i="29"/>
  <c r="T550" i="29"/>
  <c r="S531" i="29"/>
  <c r="S542" i="29"/>
  <c r="S565" i="29"/>
  <c r="T541" i="29"/>
  <c r="T525" i="29"/>
  <c r="S519" i="29"/>
  <c r="S503" i="29"/>
  <c r="T523" i="29"/>
  <c r="T510" i="29"/>
  <c r="S518" i="29"/>
  <c r="T521" i="29"/>
  <c r="T534" i="29"/>
  <c r="S509" i="29"/>
  <c r="T512" i="29"/>
  <c r="T500" i="29"/>
  <c r="T484" i="29"/>
  <c r="T499" i="29"/>
  <c r="T511" i="29"/>
  <c r="S487" i="29"/>
  <c r="T498" i="29"/>
  <c r="T482" i="29"/>
  <c r="S504" i="29"/>
  <c r="S490" i="29"/>
  <c r="S496" i="29"/>
  <c r="T468" i="29"/>
  <c r="T501" i="29"/>
  <c r="S476" i="29"/>
  <c r="S501" i="29"/>
  <c r="T475" i="29"/>
  <c r="S497" i="29"/>
  <c r="S471" i="29"/>
  <c r="T503" i="29"/>
  <c r="S470" i="29"/>
  <c r="S502" i="29"/>
  <c r="T43" i="29"/>
  <c r="S44" i="29"/>
  <c r="T56" i="29"/>
  <c r="S65" i="29"/>
  <c r="T76" i="29"/>
  <c r="S60" i="29"/>
  <c r="T74" i="29"/>
  <c r="S17" i="29"/>
  <c r="S37" i="29"/>
  <c r="S45" i="29"/>
  <c r="S53" i="29"/>
  <c r="S97" i="29"/>
  <c r="S606" i="29"/>
  <c r="T613" i="29"/>
  <c r="T597" i="29"/>
  <c r="S601" i="29"/>
  <c r="T608" i="29"/>
  <c r="T592" i="29"/>
  <c r="T610" i="29"/>
  <c r="S596" i="29"/>
  <c r="T584" i="29"/>
  <c r="S580" i="29"/>
  <c r="T607" i="29"/>
  <c r="S608" i="29"/>
  <c r="S599" i="29"/>
  <c r="S590" i="29"/>
  <c r="T578" i="29"/>
  <c r="T568" i="29"/>
  <c r="S589" i="29"/>
  <c r="S567" i="29"/>
  <c r="T570" i="29"/>
  <c r="S566" i="29"/>
  <c r="S579" i="29"/>
  <c r="T559" i="29"/>
  <c r="S569" i="29"/>
  <c r="S549" i="29"/>
  <c r="S568" i="29"/>
  <c r="T548" i="29"/>
  <c r="T567" i="29"/>
  <c r="S548" i="29"/>
  <c r="T562" i="29"/>
  <c r="T547" i="29"/>
  <c r="S555" i="29"/>
  <c r="T585" i="29"/>
  <c r="S533" i="29"/>
  <c r="T569" i="29"/>
  <c r="S532" i="29"/>
  <c r="S544" i="29"/>
  <c r="T531" i="29"/>
  <c r="S543" i="29"/>
  <c r="S527" i="29"/>
  <c r="S538" i="29"/>
  <c r="T549" i="29"/>
  <c r="T537" i="29"/>
  <c r="S561" i="29"/>
  <c r="S515" i="29"/>
  <c r="T536" i="29"/>
  <c r="T522" i="29"/>
  <c r="T530" i="29"/>
  <c r="S514" i="29"/>
  <c r="T517" i="29"/>
  <c r="S521" i="29"/>
  <c r="T528" i="29"/>
  <c r="T508" i="29"/>
  <c r="T496" i="29"/>
  <c r="T480" i="29"/>
  <c r="T495" i="29"/>
  <c r="S499" i="29"/>
  <c r="S483" i="29"/>
  <c r="T494" i="29"/>
  <c r="T538" i="29"/>
  <c r="T502" i="29"/>
  <c r="S486" i="29"/>
  <c r="S480" i="29"/>
  <c r="T464" i="29"/>
  <c r="S492" i="29"/>
  <c r="S472" i="29"/>
  <c r="T497" i="29"/>
  <c r="T471" i="29"/>
  <c r="T493" i="29"/>
  <c r="S467" i="29"/>
  <c r="S489" i="29"/>
  <c r="S466" i="29"/>
  <c r="S485" i="29"/>
  <c r="T473" i="29"/>
  <c r="S58" i="29"/>
  <c r="S597" i="29"/>
  <c r="S595" i="29"/>
  <c r="S607" i="29"/>
  <c r="T564" i="29"/>
  <c r="S562" i="29"/>
  <c r="S545" i="29"/>
  <c r="T582" i="29"/>
  <c r="T579" i="29"/>
  <c r="T543" i="29"/>
  <c r="S534" i="29"/>
  <c r="S511" i="29"/>
  <c r="S510" i="29"/>
  <c r="T504" i="29"/>
  <c r="S495" i="29"/>
  <c r="S498" i="29"/>
  <c r="T483" i="29"/>
  <c r="S484" i="29"/>
  <c r="T479" i="29"/>
  <c r="S500" i="29"/>
  <c r="S473" i="29"/>
  <c r="S493" i="29"/>
  <c r="T449" i="29"/>
  <c r="T461" i="29"/>
  <c r="S445" i="29"/>
  <c r="S429" i="29"/>
  <c r="S413" i="29"/>
  <c r="T456" i="29"/>
  <c r="T470" i="29"/>
  <c r="S448" i="29"/>
  <c r="S432" i="29"/>
  <c r="T459" i="29"/>
  <c r="T443" i="29"/>
  <c r="T427" i="29"/>
  <c r="T411" i="29"/>
  <c r="S451" i="29"/>
  <c r="S435" i="29"/>
  <c r="S419" i="29"/>
  <c r="T466" i="29"/>
  <c r="S458" i="29"/>
  <c r="S430" i="29"/>
  <c r="S420" i="29"/>
  <c r="S397" i="29"/>
  <c r="S381" i="29"/>
  <c r="T418" i="29"/>
  <c r="T392" i="29"/>
  <c r="T376" i="29"/>
  <c r="S396" i="29"/>
  <c r="S380" i="29"/>
  <c r="T434" i="29"/>
  <c r="T409" i="29"/>
  <c r="T391" i="29"/>
  <c r="T375" i="29"/>
  <c r="S426" i="29"/>
  <c r="S403" i="29"/>
  <c r="S387" i="29"/>
  <c r="T417" i="29"/>
  <c r="T398" i="29"/>
  <c r="T382" i="29"/>
  <c r="S450" i="29"/>
  <c r="T406" i="29"/>
  <c r="S394" i="29"/>
  <c r="S378" i="29"/>
  <c r="T436" i="29"/>
  <c r="T420" i="29"/>
  <c r="S404" i="29"/>
  <c r="T389" i="29"/>
  <c r="T373" i="29"/>
  <c r="T356" i="29"/>
  <c r="T340" i="29"/>
  <c r="S356" i="29"/>
  <c r="S340" i="29"/>
  <c r="S324" i="29"/>
  <c r="T367" i="29"/>
  <c r="T351" i="29"/>
  <c r="T335" i="29"/>
  <c r="S359" i="29"/>
  <c r="S343" i="29"/>
  <c r="S327" i="29"/>
  <c r="S311" i="29"/>
  <c r="T362" i="29"/>
  <c r="T346" i="29"/>
  <c r="T330" i="29"/>
  <c r="T314" i="29"/>
  <c r="T357" i="29"/>
  <c r="T44" i="29"/>
  <c r="S602" i="29"/>
  <c r="T604" i="29"/>
  <c r="T580" i="29"/>
  <c r="T598" i="29"/>
  <c r="S581" i="29"/>
  <c r="S576" i="29"/>
  <c r="T563" i="29"/>
  <c r="S558" i="29"/>
  <c r="S529" i="29"/>
  <c r="T527" i="29"/>
  <c r="T546" i="29"/>
  <c r="S526" i="29"/>
  <c r="T513" i="29"/>
  <c r="T492" i="29"/>
  <c r="T553" i="29"/>
  <c r="S482" i="29"/>
  <c r="S468" i="29"/>
  <c r="S463" i="29"/>
  <c r="T477" i="29"/>
  <c r="S479" i="29"/>
  <c r="S469" i="29"/>
  <c r="T474" i="29"/>
  <c r="T445" i="29"/>
  <c r="S457" i="29"/>
  <c r="S441" i="29"/>
  <c r="S425" i="29"/>
  <c r="S409" i="29"/>
  <c r="T452" i="29"/>
  <c r="S460" i="29"/>
  <c r="S444" i="29"/>
  <c r="S428" i="29"/>
  <c r="T455" i="29"/>
  <c r="T439" i="29"/>
  <c r="T423" i="29"/>
  <c r="T407" i="29"/>
  <c r="S447" i="29"/>
  <c r="S431" i="29"/>
  <c r="S415" i="29"/>
  <c r="T458" i="29"/>
  <c r="T446" i="29"/>
  <c r="T429" i="29"/>
  <c r="T414" i="29"/>
  <c r="S393" i="29"/>
  <c r="S377" i="29"/>
  <c r="S414" i="29"/>
  <c r="T388" i="29"/>
  <c r="S418" i="29"/>
  <c r="S392" i="29"/>
  <c r="S376" i="29"/>
  <c r="T432" i="29"/>
  <c r="T403" i="29"/>
  <c r="T387" i="29"/>
  <c r="T371" i="29"/>
  <c r="S36" i="29"/>
  <c r="T609" i="29"/>
  <c r="T627" i="29"/>
  <c r="S592" i="29"/>
  <c r="S586" i="29"/>
  <c r="S563" i="29"/>
  <c r="S554" i="29"/>
  <c r="T589" i="29"/>
  <c r="T586" i="29"/>
  <c r="T544" i="29"/>
  <c r="S539" i="29"/>
  <c r="T533" i="29"/>
  <c r="T518" i="29"/>
  <c r="S517" i="29"/>
  <c r="S516" i="29"/>
  <c r="T490" i="29"/>
  <c r="T476" i="29"/>
  <c r="S488" i="29"/>
  <c r="T485" i="29"/>
  <c r="T469" i="29"/>
  <c r="S478" i="29"/>
  <c r="S465" i="29"/>
  <c r="T457" i="29"/>
  <c r="T441" i="29"/>
  <c r="S453" i="29"/>
  <c r="S437" i="29"/>
  <c r="S421" i="29"/>
  <c r="S405" i="29"/>
  <c r="T448" i="29"/>
  <c r="S456" i="29"/>
  <c r="S440" i="29"/>
  <c r="S424" i="29"/>
  <c r="T451" i="29"/>
  <c r="T435" i="29"/>
  <c r="T419" i="29"/>
  <c r="S459" i="29"/>
  <c r="S443" i="29"/>
  <c r="S427" i="29"/>
  <c r="S411" i="29"/>
  <c r="T454" i="29"/>
  <c r="S438" i="29"/>
  <c r="S422" i="29"/>
  <c r="S410" i="29"/>
  <c r="S389" i="29"/>
  <c r="S373" i="29"/>
  <c r="T400" i="29"/>
  <c r="T384" i="29"/>
  <c r="T405" i="29"/>
  <c r="S388" i="29"/>
  <c r="S454" i="29"/>
  <c r="T426" i="29"/>
  <c r="T399" i="29"/>
  <c r="T383" i="29"/>
  <c r="S434" i="29"/>
  <c r="T413" i="29"/>
  <c r="S395" i="29"/>
  <c r="S379" i="29"/>
  <c r="S408" i="29"/>
  <c r="T390" i="29"/>
  <c r="T374" i="29"/>
  <c r="T416" i="29"/>
  <c r="S402" i="29"/>
  <c r="S386" i="29"/>
  <c r="S442" i="29"/>
  <c r="T428" i="29"/>
  <c r="T410" i="29"/>
  <c r="T397" i="29"/>
  <c r="T381" i="29"/>
  <c r="T364" i="29"/>
  <c r="T348" i="29"/>
  <c r="S364" i="29"/>
  <c r="S348" i="29"/>
  <c r="S332" i="29"/>
  <c r="S316" i="29"/>
  <c r="T359" i="29"/>
  <c r="T343" i="29"/>
  <c r="S367" i="29"/>
  <c r="S351" i="29"/>
  <c r="S335" i="29"/>
  <c r="S319" i="29"/>
  <c r="S371" i="29"/>
  <c r="T354" i="29"/>
  <c r="T338" i="29"/>
  <c r="T322" i="29"/>
  <c r="T365" i="29"/>
  <c r="T349" i="29"/>
  <c r="T24" i="29"/>
  <c r="T599" i="29"/>
  <c r="S560" i="29"/>
  <c r="T542" i="29"/>
  <c r="T515" i="29"/>
  <c r="S506" i="29"/>
  <c r="T462" i="29"/>
  <c r="T460" i="29"/>
  <c r="T489" i="29"/>
  <c r="S455" i="29"/>
  <c r="T450" i="29"/>
  <c r="S385" i="29"/>
  <c r="S400" i="29"/>
  <c r="T395" i="29"/>
  <c r="T408" i="29"/>
  <c r="S375" i="29"/>
  <c r="T386" i="29"/>
  <c r="S412" i="29"/>
  <c r="S382" i="29"/>
  <c r="T422" i="29"/>
  <c r="T393" i="29"/>
  <c r="T360" i="29"/>
  <c r="S360" i="29"/>
  <c r="S328" i="29"/>
  <c r="T355" i="29"/>
  <c r="S363" i="29"/>
  <c r="S331" i="29"/>
  <c r="T366" i="29"/>
  <c r="T334" i="29"/>
  <c r="T361" i="29"/>
  <c r="T337" i="29"/>
  <c r="T321" i="29"/>
  <c r="S346" i="29"/>
  <c r="T308" i="29"/>
  <c r="T292" i="29"/>
  <c r="T276" i="29"/>
  <c r="S308" i="29"/>
  <c r="S292" i="29"/>
  <c r="S276" i="29"/>
  <c r="S345" i="29"/>
  <c r="T319" i="29"/>
  <c r="S337" i="29"/>
  <c r="S307" i="29"/>
  <c r="S349" i="29"/>
  <c r="T298" i="29"/>
  <c r="S310" i="29"/>
  <c r="S294" i="29"/>
  <c r="S278" i="29"/>
  <c r="S353" i="29"/>
  <c r="T324" i="29"/>
  <c r="S314" i="29"/>
  <c r="T297" i="29"/>
  <c r="T281" i="29"/>
  <c r="S287" i="29"/>
  <c r="S262" i="29"/>
  <c r="S246" i="29"/>
  <c r="S230" i="29"/>
  <c r="T278" i="29"/>
  <c r="T257" i="29"/>
  <c r="S309" i="29"/>
  <c r="S257" i="29"/>
  <c r="S241" i="29"/>
  <c r="S281" i="29"/>
  <c r="T264" i="29"/>
  <c r="T248" i="29"/>
  <c r="T232" i="29"/>
  <c r="T299" i="29"/>
  <c r="S273" i="29"/>
  <c r="S260" i="29"/>
  <c r="S305" i="29"/>
  <c r="T282" i="29"/>
  <c r="T263" i="29"/>
  <c r="T247" i="29"/>
  <c r="T231" i="29"/>
  <c r="S259" i="29"/>
  <c r="S243" i="29"/>
  <c r="T295" i="29"/>
  <c r="T279" i="29"/>
  <c r="T262" i="29"/>
  <c r="T246" i="29"/>
  <c r="T230" i="29"/>
  <c r="T218" i="29"/>
  <c r="T202" i="29"/>
  <c r="S226" i="29"/>
  <c r="S210" i="29"/>
  <c r="S194" i="29"/>
  <c r="S178" i="29"/>
  <c r="T577" i="29"/>
  <c r="S551" i="29"/>
  <c r="S523" i="29"/>
  <c r="S508" i="29"/>
  <c r="S477" i="29"/>
  <c r="S449" i="29"/>
  <c r="T444" i="29"/>
  <c r="T447" i="29"/>
  <c r="S439" i="29"/>
  <c r="T437" i="29"/>
  <c r="S446" i="29"/>
  <c r="S384" i="29"/>
  <c r="T379" i="29"/>
  <c r="S399" i="29"/>
  <c r="T412" i="29"/>
  <c r="T378" i="29"/>
  <c r="T404" i="29"/>
  <c r="S374" i="29"/>
  <c r="S416" i="29"/>
  <c r="T385" i="29"/>
  <c r="T352" i="29"/>
  <c r="S352" i="29"/>
  <c r="S320" i="29"/>
  <c r="T347" i="29"/>
  <c r="S355" i="29"/>
  <c r="S323" i="29"/>
  <c r="T358" i="29"/>
  <c r="T326" i="29"/>
  <c r="T353" i="29"/>
  <c r="T333" i="29"/>
  <c r="T317" i="29"/>
  <c r="S341" i="29"/>
  <c r="T304" i="29"/>
  <c r="T288" i="29"/>
  <c r="S334" i="29"/>
  <c r="S304" i="29"/>
  <c r="S288" i="29"/>
  <c r="S366" i="29"/>
  <c r="T328" i="29"/>
  <c r="T313" i="29"/>
  <c r="S329" i="29"/>
  <c r="S303" i="29"/>
  <c r="T310" i="29"/>
  <c r="S330" i="29"/>
  <c r="S306" i="29"/>
  <c r="S290" i="29"/>
  <c r="S274" i="29"/>
  <c r="S342" i="29"/>
  <c r="T323" i="29"/>
  <c r="T309" i="29"/>
  <c r="T293" i="29"/>
  <c r="T277" i="29"/>
  <c r="S279" i="29"/>
  <c r="S258" i="29"/>
  <c r="S242" i="29"/>
  <c r="S317" i="29"/>
  <c r="T269" i="29"/>
  <c r="T253" i="29"/>
  <c r="S269" i="29"/>
  <c r="S253" i="29"/>
  <c r="T291" i="29"/>
  <c r="T275" i="29"/>
  <c r="T260" i="29"/>
  <c r="T244" i="29"/>
  <c r="S338" i="29"/>
  <c r="S291" i="29"/>
  <c r="S272" i="29"/>
  <c r="S256" i="29"/>
  <c r="S299" i="29"/>
  <c r="T274" i="29"/>
  <c r="T259" i="29"/>
  <c r="T243" i="29"/>
  <c r="S271" i="29"/>
  <c r="S255" i="29"/>
  <c r="S239" i="29"/>
  <c r="S293" i="29"/>
  <c r="S277" i="29"/>
  <c r="T258" i="29"/>
  <c r="T242" i="29"/>
  <c r="S235" i="29"/>
  <c r="T214" i="29"/>
  <c r="T198" i="29"/>
  <c r="S222" i="29"/>
  <c r="S206" i="29"/>
  <c r="S190" i="29"/>
  <c r="T63" i="29"/>
  <c r="T111" i="29"/>
  <c r="S100" i="29"/>
  <c r="S128" i="29"/>
  <c r="S146" i="29"/>
  <c r="S164" i="29"/>
  <c r="T88" i="29"/>
  <c r="T104" i="29"/>
  <c r="T120" i="29"/>
  <c r="S156" i="29"/>
  <c r="T49" i="29"/>
  <c r="T65" i="29"/>
  <c r="T81" i="29"/>
  <c r="T97" i="29"/>
  <c r="T113" i="29"/>
  <c r="S124" i="29"/>
  <c r="T133" i="29"/>
  <c r="S142" i="29"/>
  <c r="T161" i="29"/>
  <c r="T90" i="29"/>
  <c r="T106" i="29"/>
  <c r="T132" i="29"/>
  <c r="T126" i="29"/>
  <c r="T142" i="29"/>
  <c r="T158" i="29"/>
  <c r="T173" i="29"/>
  <c r="S127" i="29"/>
  <c r="S143" i="29"/>
  <c r="S159" i="29"/>
  <c r="T119" i="29"/>
  <c r="T135" i="29"/>
  <c r="T151" i="29"/>
  <c r="T167" i="29"/>
  <c r="T182" i="29"/>
  <c r="S145" i="29"/>
  <c r="T178" i="29"/>
  <c r="S162" i="29"/>
  <c r="T190" i="29"/>
  <c r="S215" i="29"/>
  <c r="T187" i="29"/>
  <c r="T219" i="29"/>
  <c r="T233" i="29"/>
  <c r="S173" i="29"/>
  <c r="S221" i="29"/>
  <c r="T197" i="29"/>
  <c r="S236" i="29"/>
  <c r="T237" i="29"/>
  <c r="T250" i="29"/>
  <c r="S247" i="29"/>
  <c r="T267" i="29"/>
  <c r="T236" i="29"/>
  <c r="S245" i="29"/>
  <c r="S250" i="29"/>
  <c r="T301" i="29"/>
  <c r="S282" i="29"/>
  <c r="S354" i="29"/>
  <c r="S350" i="29"/>
  <c r="T280" i="29"/>
  <c r="T325" i="29"/>
  <c r="T369" i="29"/>
  <c r="T372" i="29"/>
  <c r="S336" i="29"/>
  <c r="T368" i="29"/>
  <c r="T442" i="29"/>
  <c r="S383" i="29"/>
  <c r="T424" i="29"/>
  <c r="S401" i="29"/>
  <c r="T415" i="29"/>
  <c r="S417" i="29"/>
  <c r="S462" i="29"/>
  <c r="S604" i="29"/>
  <c r="S199" i="29"/>
  <c r="S240" i="29"/>
  <c r="S184" i="29"/>
  <c r="T430" i="29"/>
  <c r="S55" i="29"/>
  <c r="S48" i="29"/>
  <c r="T33" i="29"/>
  <c r="T17" i="29"/>
  <c r="T51" i="29"/>
  <c r="T67" i="29"/>
  <c r="T83" i="29"/>
  <c r="T99" i="29"/>
  <c r="T115" i="29"/>
  <c r="S88" i="29"/>
  <c r="S104" i="29"/>
  <c r="S120" i="29"/>
  <c r="T129" i="29"/>
  <c r="S138" i="29"/>
  <c r="S152" i="29"/>
  <c r="T169" i="29"/>
  <c r="T92" i="29"/>
  <c r="T108" i="29"/>
  <c r="T128" i="29"/>
  <c r="S113" i="29"/>
  <c r="S160" i="29"/>
  <c r="T53" i="29"/>
  <c r="T69" i="29"/>
  <c r="T85" i="29"/>
  <c r="T101" i="29"/>
  <c r="T117" i="29"/>
  <c r="T125" i="29"/>
  <c r="S134" i="29"/>
  <c r="S148" i="29"/>
  <c r="T78" i="29"/>
  <c r="T94" i="29"/>
  <c r="T110" i="29"/>
  <c r="T140" i="29"/>
  <c r="T130" i="29"/>
  <c r="T146" i="29"/>
  <c r="T162" i="29"/>
  <c r="T180" i="29"/>
  <c r="S131" i="29"/>
  <c r="S147" i="29"/>
  <c r="S163" i="29"/>
  <c r="T123" i="29"/>
  <c r="T139" i="29"/>
  <c r="T155" i="29"/>
  <c r="S174" i="29"/>
  <c r="T156" i="29"/>
  <c r="T188" i="29"/>
  <c r="S133" i="29"/>
  <c r="S149" i="29"/>
  <c r="S165" i="29"/>
  <c r="T194" i="29"/>
  <c r="S166" i="29"/>
  <c r="S171" i="29"/>
  <c r="S187" i="29"/>
  <c r="S203" i="29"/>
  <c r="S219" i="29"/>
  <c r="T175" i="29"/>
  <c r="T191" i="29"/>
  <c r="T207" i="29"/>
  <c r="T223" i="29"/>
  <c r="S172" i="29"/>
  <c r="S188" i="29"/>
  <c r="S204" i="29"/>
  <c r="S220" i="29"/>
  <c r="T241" i="29"/>
  <c r="T212" i="29"/>
  <c r="T228" i="29"/>
  <c r="S177" i="29"/>
  <c r="S193" i="29"/>
  <c r="S209" i="29"/>
  <c r="S225" i="29"/>
  <c r="T185" i="29"/>
  <c r="T201" i="29"/>
  <c r="T217" i="29"/>
  <c r="S237" i="29"/>
  <c r="S202" i="29"/>
  <c r="S244" i="29"/>
  <c r="T226" i="29"/>
  <c r="T254" i="29"/>
  <c r="T287" i="29"/>
  <c r="S251" i="29"/>
  <c r="T239" i="29"/>
  <c r="T271" i="29"/>
  <c r="S252" i="29"/>
  <c r="S283" i="29"/>
  <c r="T240" i="29"/>
  <c r="T272" i="29"/>
  <c r="S249" i="29"/>
  <c r="T249" i="29"/>
  <c r="T294" i="29"/>
  <c r="S254" i="29"/>
  <c r="T273" i="29"/>
  <c r="T305" i="29"/>
  <c r="T332" i="29"/>
  <c r="S286" i="29"/>
  <c r="S322" i="29"/>
  <c r="S365" i="29"/>
  <c r="T307" i="29"/>
  <c r="S361" i="29"/>
  <c r="S300" i="29"/>
  <c r="T284" i="29"/>
  <c r="T336" i="29"/>
  <c r="T329" i="29"/>
  <c r="T318" i="29"/>
  <c r="S315" i="29"/>
  <c r="T339" i="29"/>
  <c r="S344" i="29"/>
  <c r="T377" i="29"/>
  <c r="T438" i="29"/>
  <c r="T370" i="29"/>
  <c r="S391" i="29"/>
  <c r="T440" i="29"/>
  <c r="T421" i="29"/>
  <c r="T431" i="29"/>
  <c r="S433" i="29"/>
  <c r="T467" i="29"/>
  <c r="S528" i="29"/>
  <c r="S613" i="29"/>
  <c r="T62" i="29"/>
  <c r="T45" i="29"/>
  <c r="T29" i="29"/>
  <c r="T47" i="29"/>
  <c r="T79" i="29"/>
  <c r="T95" i="29"/>
  <c r="S84" i="29"/>
  <c r="S116" i="29"/>
  <c r="T137" i="29"/>
  <c r="T152" i="29"/>
  <c r="T168" i="29"/>
  <c r="S129" i="29"/>
  <c r="S161" i="29"/>
  <c r="S183" i="29"/>
  <c r="T203" i="29"/>
  <c r="S233" i="29"/>
  <c r="S200" i="29"/>
  <c r="S216" i="29"/>
  <c r="T208" i="29"/>
  <c r="T224" i="29"/>
  <c r="S189" i="29"/>
  <c r="S205" i="29"/>
  <c r="T181" i="29"/>
  <c r="T213" i="29"/>
  <c r="S198" i="29"/>
  <c r="T222" i="29"/>
  <c r="S285" i="29"/>
  <c r="T235" i="29"/>
  <c r="S248" i="29"/>
  <c r="S275" i="29"/>
  <c r="T268" i="29"/>
  <c r="T245" i="29"/>
  <c r="T286" i="29"/>
  <c r="S295" i="29"/>
  <c r="T331" i="29"/>
  <c r="T311" i="29"/>
  <c r="T303" i="29"/>
  <c r="S296" i="29"/>
  <c r="S312" i="29"/>
  <c r="S372" i="29"/>
  <c r="T611" i="29"/>
  <c r="S101" i="29"/>
  <c r="T37" i="29"/>
  <c r="T21" i="29"/>
  <c r="T55" i="29"/>
  <c r="T71" i="29"/>
  <c r="T87" i="29"/>
  <c r="T103" i="29"/>
  <c r="S76" i="29"/>
  <c r="S92" i="29"/>
  <c r="S108" i="29"/>
  <c r="T121" i="29"/>
  <c r="S130" i="29"/>
  <c r="S144" i="29"/>
  <c r="T153" i="29"/>
  <c r="T80" i="29"/>
  <c r="T96" i="29"/>
  <c r="T112" i="29"/>
  <c r="T136" i="29"/>
  <c r="S117" i="29"/>
  <c r="T165" i="29"/>
  <c r="T57" i="29"/>
  <c r="T73" i="29"/>
  <c r="T89" i="29"/>
  <c r="T105" i="29"/>
  <c r="T118" i="29"/>
  <c r="S126" i="29"/>
  <c r="S140" i="29"/>
  <c r="T149" i="29"/>
  <c r="T82" i="29"/>
  <c r="T98" i="29"/>
  <c r="T114" i="29"/>
  <c r="T148" i="29"/>
  <c r="T134" i="29"/>
  <c r="T150" i="29"/>
  <c r="T166" i="29"/>
  <c r="T196" i="29"/>
  <c r="S135" i="29"/>
  <c r="S151" i="29"/>
  <c r="S167" i="29"/>
  <c r="T127" i="29"/>
  <c r="T143" i="29"/>
  <c r="T159" i="29"/>
  <c r="T176" i="29"/>
  <c r="T160" i="29"/>
  <c r="S121" i="29"/>
  <c r="S137" i="29"/>
  <c r="S153" i="29"/>
  <c r="S169" i="29"/>
  <c r="T184" i="29"/>
  <c r="S170" i="29"/>
  <c r="S175" i="29"/>
  <c r="S191" i="29"/>
  <c r="S207" i="29"/>
  <c r="S223" i="29"/>
  <c r="T179" i="29"/>
  <c r="T195" i="29"/>
  <c r="T211" i="29"/>
  <c r="T227" i="29"/>
  <c r="S176" i="29"/>
  <c r="S192" i="29"/>
  <c r="S208" i="29"/>
  <c r="S224" i="29"/>
  <c r="T200" i="29"/>
  <c r="T216" i="29"/>
  <c r="S229" i="29"/>
  <c r="S181" i="29"/>
  <c r="S197" i="29"/>
  <c r="S213" i="29"/>
  <c r="T229" i="29"/>
  <c r="T189" i="29"/>
  <c r="T205" i="29"/>
  <c r="T221" i="29"/>
  <c r="S182" i="29"/>
  <c r="S214" i="29"/>
  <c r="T206" i="29"/>
  <c r="T234" i="29"/>
  <c r="T266" i="29"/>
  <c r="T312" i="29"/>
  <c r="S263" i="29"/>
  <c r="T251" i="29"/>
  <c r="T290" i="29"/>
  <c r="S264" i="29"/>
  <c r="S301" i="29"/>
  <c r="T252" i="29"/>
  <c r="T283" i="29"/>
  <c r="S261" i="29"/>
  <c r="T261" i="29"/>
  <c r="S234" i="29"/>
  <c r="S266" i="29"/>
  <c r="T285" i="29"/>
  <c r="T315" i="29"/>
  <c r="S358" i="29"/>
  <c r="S298" i="29"/>
  <c r="T302" i="29"/>
  <c r="S313" i="29"/>
  <c r="T320" i="29"/>
  <c r="S280" i="29"/>
  <c r="S318" i="29"/>
  <c r="T296" i="29"/>
  <c r="S357" i="29"/>
  <c r="T341" i="29"/>
  <c r="T342" i="29"/>
  <c r="S339" i="29"/>
  <c r="T363" i="29"/>
  <c r="S368" i="29"/>
  <c r="T401" i="29"/>
  <c r="S390" i="29"/>
  <c r="T394" i="29"/>
  <c r="T425" i="29"/>
  <c r="T380" i="29"/>
  <c r="S407" i="29"/>
  <c r="S436" i="29"/>
  <c r="T453" i="29"/>
  <c r="T491" i="29"/>
  <c r="S564" i="29"/>
  <c r="S95" i="29"/>
  <c r="S69" i="29"/>
  <c r="T60" i="29"/>
  <c r="S29" i="29"/>
  <c r="S21" i="29"/>
  <c r="S13" i="29"/>
  <c r="S67" i="29"/>
  <c r="T58" i="29"/>
  <c r="T20" i="29"/>
  <c r="T72" i="29"/>
  <c r="S83" i="29"/>
  <c r="S63" i="29"/>
  <c r="T54" i="29"/>
  <c r="T19" i="29"/>
  <c r="T68" i="29"/>
  <c r="S119" i="29"/>
  <c r="S41" i="29"/>
  <c r="S33" i="29"/>
  <c r="T28" i="29"/>
  <c r="T16" i="29"/>
  <c r="S75" i="29"/>
  <c r="T40" i="29"/>
  <c r="T32" i="29"/>
  <c r="S168" i="29"/>
  <c r="S115" i="29"/>
  <c r="S77" i="29"/>
  <c r="S40" i="29"/>
  <c r="S32" i="29"/>
  <c r="S24" i="29"/>
  <c r="S16" i="29"/>
  <c r="S102" i="29"/>
  <c r="T27" i="29"/>
  <c r="R55" i="29"/>
  <c r="Q71" i="29"/>
  <c r="Q76" i="29"/>
  <c r="Q81" i="29"/>
  <c r="R75" i="29"/>
  <c r="R179" i="29"/>
  <c r="Q236" i="29"/>
  <c r="Q290" i="29"/>
  <c r="Q251" i="29"/>
  <c r="R289" i="29"/>
  <c r="R374" i="29"/>
  <c r="R422" i="29"/>
  <c r="Q474" i="29"/>
  <c r="R485" i="29"/>
  <c r="Q577" i="29"/>
  <c r="R21" i="29"/>
  <c r="Q114" i="29"/>
  <c r="Q140" i="29"/>
  <c r="R188" i="29"/>
  <c r="Q219" i="29"/>
  <c r="Q363" i="29"/>
  <c r="Q299" i="29"/>
  <c r="R355" i="29"/>
  <c r="R395" i="29"/>
  <c r="Q460" i="29"/>
  <c r="R512" i="29"/>
  <c r="R519" i="29"/>
  <c r="AC625" i="29"/>
  <c r="Q98" i="29"/>
  <c r="Q14" i="29"/>
  <c r="R54" i="29"/>
  <c r="R128" i="29"/>
  <c r="R224" i="29"/>
  <c r="R207" i="29"/>
  <c r="Q298" i="29"/>
  <c r="Q359" i="29"/>
  <c r="Q324" i="29"/>
  <c r="R372" i="29"/>
  <c r="R428" i="29"/>
  <c r="R465" i="29"/>
  <c r="Q531" i="29"/>
  <c r="Q604" i="29"/>
  <c r="R39" i="29"/>
  <c r="Q112" i="29"/>
  <c r="Q62" i="29"/>
  <c r="R17" i="29"/>
  <c r="R51" i="29"/>
  <c r="R28" i="29"/>
  <c r="R60" i="29"/>
  <c r="R78" i="29"/>
  <c r="R164" i="29"/>
  <c r="Q205" i="29"/>
  <c r="R247" i="29"/>
  <c r="Q258" i="29"/>
  <c r="Q350" i="29"/>
  <c r="Q356" i="29"/>
  <c r="R400" i="29"/>
  <c r="Q461" i="29"/>
  <c r="R482" i="29"/>
  <c r="R524"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R533" i="29"/>
  <c r="R481" i="29"/>
  <c r="R484" i="29"/>
  <c r="Q484" i="29"/>
  <c r="R525" i="29"/>
  <c r="R490" i="29"/>
  <c r="Q490" i="29"/>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Q341" i="29"/>
  <c r="R348" i="29"/>
  <c r="Q328" i="29"/>
  <c r="R335" i="29"/>
  <c r="R350" i="29"/>
  <c r="R317" i="29"/>
  <c r="R373" i="29"/>
  <c r="Q289" i="29"/>
  <c r="Q355" i="29"/>
  <c r="R329" i="29"/>
  <c r="Q303" i="29"/>
  <c r="Q311" i="29"/>
  <c r="R274" i="29"/>
  <c r="Q231" i="29"/>
  <c r="R258" i="29"/>
  <c r="Q286" i="29"/>
  <c r="R314" i="29"/>
  <c r="R249" i="29"/>
  <c r="Q265" i="29"/>
  <c r="R268" i="29"/>
  <c r="R292" i="29"/>
  <c r="Q260" i="29"/>
  <c r="R267" i="29"/>
  <c r="Q234" i="29"/>
  <c r="Q223" i="29"/>
  <c r="Q245" i="29"/>
  <c r="R190" i="29"/>
  <c r="Q222" i="29"/>
  <c r="Q174" i="29"/>
  <c r="Q229" i="29"/>
  <c r="Q189" i="29"/>
  <c r="R204" i="29"/>
  <c r="Q232" i="29"/>
  <c r="Q192" i="29"/>
  <c r="R195" i="29"/>
  <c r="Q142" i="29"/>
  <c r="R165" i="29"/>
  <c r="R144" i="29"/>
  <c r="Q168" i="29"/>
  <c r="Q128" i="29"/>
  <c r="R135" i="29"/>
  <c r="R99" i="29"/>
  <c r="Q139" i="29"/>
  <c r="R126" i="29"/>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R260" i="29"/>
  <c r="R284" i="29"/>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R546" i="29"/>
  <c r="R536" i="29"/>
  <c r="Q535" i="29"/>
  <c r="Q504" i="29"/>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R499" i="29"/>
  <c r="R508" i="29"/>
  <c r="R450" i="29"/>
  <c r="Q433" i="29"/>
  <c r="Q412" i="29"/>
  <c r="Q459" i="29"/>
  <c r="Q384" i="29"/>
  <c r="Q375" i="29"/>
  <c r="R368" i="29"/>
  <c r="R331" i="29"/>
  <c r="R285" i="29"/>
  <c r="Q308" i="29"/>
  <c r="R310" i="29"/>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Q499" i="29"/>
  <c r="Q476" i="29"/>
  <c r="Q442" i="29"/>
  <c r="R452" i="29"/>
  <c r="Q398" i="29"/>
  <c r="Q397" i="29"/>
  <c r="R433" i="29"/>
  <c r="R386" i="29"/>
  <c r="R336" i="29"/>
  <c r="R366" i="29"/>
  <c r="R312" i="29"/>
  <c r="R321" i="29"/>
  <c r="R286" i="29"/>
  <c r="Q300" i="29"/>
  <c r="R245" i="29"/>
  <c r="R248" i="29"/>
  <c r="R251" i="29"/>
  <c r="R226" i="29"/>
  <c r="Q194" i="29"/>
  <c r="R228" i="29"/>
  <c r="Q188" i="29"/>
  <c r="R183" i="29"/>
  <c r="Q144" i="29"/>
  <c r="R95" i="29"/>
  <c r="R102" i="29"/>
  <c r="R89" i="29"/>
  <c r="R122" i="29"/>
  <c r="Q21" i="29"/>
  <c r="Q107" i="29"/>
  <c r="R43" i="29"/>
  <c r="Q137" i="29"/>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R200" i="29"/>
  <c r="R175" i="29"/>
  <c r="R168" i="29"/>
  <c r="Q124" i="29"/>
  <c r="R166" i="29"/>
  <c r="R58" i="29"/>
  <c r="Q127" i="29"/>
  <c r="R108" i="29"/>
  <c r="Q69" i="29"/>
  <c r="R69" i="29"/>
  <c r="Q38" i="29"/>
  <c r="Q46" i="29"/>
  <c r="Q57" i="29"/>
  <c r="Q129" i="29"/>
  <c r="Q73" i="29"/>
  <c r="R40" i="29"/>
  <c r="R112" i="29"/>
  <c r="Q131" i="29"/>
  <c r="Q162" i="29"/>
  <c r="Q238" i="29"/>
  <c r="Q272" i="29"/>
  <c r="R295" i="29"/>
  <c r="Q309" i="29"/>
  <c r="Q365" i="29"/>
  <c r="R389" i="29"/>
  <c r="Q422" i="29"/>
  <c r="R488" i="29"/>
  <c r="R572" i="29"/>
  <c r="S49" i="29"/>
  <c r="S72" i="29"/>
  <c r="O113" i="29"/>
  <c r="O74" i="29"/>
  <c r="S85" i="29"/>
  <c r="T39" i="29"/>
  <c r="T31" i="29"/>
  <c r="T23" i="29"/>
  <c r="T15" i="29"/>
  <c r="O76" i="29"/>
  <c r="S43" i="29"/>
  <c r="T66" i="29"/>
  <c r="P54" i="29"/>
  <c r="O100" i="29"/>
  <c r="O28" i="29"/>
  <c r="P70" i="29"/>
  <c r="S19" i="29"/>
  <c r="S59" i="29"/>
  <c r="T14" i="29"/>
  <c r="S50" i="29"/>
  <c r="S46" i="29"/>
  <c r="T30" i="29"/>
  <c r="S35" i="29"/>
  <c r="T157" i="29"/>
  <c r="T26" i="29"/>
  <c r="S38" i="29"/>
  <c r="S54" i="29"/>
  <c r="T46" i="29"/>
  <c r="S34" i="29"/>
  <c r="S14" i="29"/>
  <c r="P58" i="29"/>
  <c r="O21" i="29"/>
  <c r="O33" i="29"/>
  <c r="O45" i="29"/>
  <c r="O13" i="29"/>
  <c r="O81" i="29"/>
  <c r="O41" i="29"/>
  <c r="O16" i="29"/>
  <c r="O56" i="29"/>
  <c r="O87" i="29"/>
  <c r="O117" i="29"/>
  <c r="P138" i="29"/>
  <c r="O29" i="29"/>
  <c r="O17" i="29"/>
  <c r="O58" i="29"/>
  <c r="P122" i="29"/>
  <c r="P74" i="29"/>
  <c r="O37" i="29"/>
  <c r="O25" i="29"/>
  <c r="O109" i="29"/>
  <c r="S111" i="29"/>
  <c r="S81" i="29"/>
  <c r="T34" i="29"/>
  <c r="S105" i="29"/>
  <c r="S103" i="29"/>
  <c r="S73" i="29"/>
  <c r="S78" i="29"/>
  <c r="T52" i="29"/>
  <c r="S94" i="29"/>
  <c r="S68" i="29"/>
  <c r="T22" i="29"/>
  <c r="S30" i="29"/>
  <c r="S66" i="29"/>
  <c r="T64" i="29"/>
  <c r="S61" i="29"/>
  <c r="S39" i="29"/>
  <c r="S31" i="29"/>
  <c r="S23" i="29"/>
  <c r="S15" i="29"/>
  <c r="S52" i="29"/>
  <c r="T42" i="29"/>
  <c r="S57" i="29"/>
  <c r="S90" i="29"/>
  <c r="T48" i="29"/>
  <c r="S98" i="29"/>
  <c r="S107" i="29"/>
  <c r="S79" i="29"/>
  <c r="T50" i="29"/>
  <c r="T18" i="29"/>
  <c r="AE18" i="29" s="1"/>
  <c r="S42" i="29"/>
  <c r="S26" i="29"/>
  <c r="S18" i="29"/>
  <c r="S70" i="29"/>
  <c r="S47" i="29"/>
  <c r="T38" i="29"/>
  <c r="S22" i="29"/>
  <c r="O40" i="29"/>
  <c r="O104" i="29"/>
  <c r="O60" i="29"/>
  <c r="O65" i="29"/>
  <c r="P44" i="29"/>
  <c r="P36" i="29"/>
  <c r="P28" i="29"/>
  <c r="P20" i="29"/>
  <c r="P78" i="29"/>
  <c r="O67" i="29"/>
  <c r="O72" i="29"/>
  <c r="O83" i="29"/>
  <c r="P72" i="29"/>
  <c r="O32" i="29"/>
  <c r="O77" i="29"/>
  <c r="O63" i="29"/>
  <c r="O49" i="29"/>
  <c r="P40" i="29"/>
  <c r="P32" i="29"/>
  <c r="P24" i="29"/>
  <c r="P16" i="29"/>
  <c r="P154" i="29"/>
  <c r="O96" i="29"/>
  <c r="O85" i="29"/>
  <c r="O51" i="29"/>
  <c r="O20" i="29"/>
  <c r="P56" i="29"/>
  <c r="O111" i="29"/>
  <c r="P626" i="29"/>
  <c r="O626" i="29"/>
  <c r="V626" i="29"/>
  <c r="U626" i="29"/>
  <c r="R626" i="29"/>
  <c r="T626" i="29"/>
  <c r="S626" i="29"/>
  <c r="Q626" i="29"/>
  <c r="AD452" i="29" l="1"/>
  <c r="AD283" i="29"/>
  <c r="AE46" i="29"/>
  <c r="AE183" i="29"/>
  <c r="AE557" i="29"/>
  <c r="AE457" i="29"/>
  <c r="AD547" i="29"/>
  <c r="AE57" i="29"/>
  <c r="P624" i="29"/>
  <c r="S624" i="29"/>
  <c r="AD306" i="29"/>
  <c r="AD408" i="29"/>
  <c r="AE542" i="29"/>
  <c r="AD489" i="29"/>
  <c r="AE250" i="29"/>
  <c r="AD437" i="29"/>
  <c r="AE564" i="29"/>
  <c r="T624" i="29"/>
  <c r="O624" i="29"/>
  <c r="U624" i="29"/>
  <c r="AE297" i="29"/>
  <c r="Q624" i="29"/>
  <c r="V624" i="29"/>
  <c r="AE38" i="29"/>
  <c r="AE22" i="29"/>
  <c r="AE42" i="29"/>
  <c r="AD334" i="29"/>
  <c r="AE186" i="29"/>
  <c r="AE254" i="29"/>
  <c r="AD203" i="29"/>
  <c r="AD210" i="29"/>
  <c r="AD609" i="29"/>
  <c r="AD257" i="29"/>
  <c r="AD114" i="29"/>
  <c r="AD70" i="29"/>
  <c r="AD304" i="29"/>
  <c r="AE277" i="29"/>
  <c r="AE476" i="29"/>
  <c r="AD268" i="29"/>
  <c r="AD371" i="29"/>
  <c r="AD610" i="29"/>
  <c r="AE492" i="29"/>
  <c r="AE521" i="29"/>
  <c r="AE145" i="29"/>
  <c r="AE571" i="29"/>
  <c r="AE451" i="29"/>
  <c r="AD487" i="29"/>
  <c r="AD557" i="29"/>
  <c r="AE98" i="29"/>
  <c r="AE558" i="29"/>
  <c r="AD591" i="29"/>
  <c r="AD193" i="29"/>
  <c r="AD144" i="29"/>
  <c r="AD166" i="29"/>
  <c r="AE132" i="29"/>
  <c r="AE479" i="29"/>
  <c r="AE513" i="29"/>
  <c r="AE396" i="29"/>
  <c r="AE567" i="29"/>
  <c r="AE25" i="29"/>
  <c r="AE73" i="29"/>
  <c r="AE34" i="29"/>
  <c r="AD194" i="29"/>
  <c r="AE328" i="29"/>
  <c r="AD514" i="29"/>
  <c r="AD432" i="29"/>
  <c r="AE134" i="29"/>
  <c r="AE152" i="29"/>
  <c r="AD297" i="29"/>
  <c r="AE424" i="29"/>
  <c r="AE606" i="29"/>
  <c r="AE512" i="29"/>
  <c r="AE527" i="29"/>
  <c r="AE37" i="29"/>
  <c r="AE76" i="29"/>
  <c r="AD170" i="29"/>
  <c r="AD458" i="29"/>
  <c r="AE507" i="29"/>
  <c r="AE244" i="29"/>
  <c r="AD318" i="29"/>
  <c r="AD425" i="29"/>
  <c r="AD102" i="29"/>
  <c r="AE26" i="29"/>
  <c r="AE389" i="29"/>
  <c r="AE217" i="29"/>
  <c r="AE425" i="29"/>
  <c r="AD424" i="29"/>
  <c r="AD414" i="29"/>
  <c r="AE589" i="29"/>
  <c r="AD566" i="29"/>
  <c r="AE428" i="29"/>
  <c r="AD440" i="29"/>
  <c r="AE30" i="29"/>
  <c r="AE241" i="29"/>
  <c r="AE459" i="29"/>
  <c r="AD519" i="29"/>
  <c r="AD593" i="29"/>
  <c r="AD480" i="29"/>
  <c r="AD590" i="29"/>
  <c r="AD129" i="29"/>
  <c r="AE263" i="29"/>
  <c r="AD445" i="29"/>
  <c r="AD155" i="29"/>
  <c r="AD517" i="29"/>
  <c r="AE65" i="29"/>
  <c r="AE483" i="29"/>
  <c r="AE27" i="29"/>
  <c r="AD128" i="29"/>
  <c r="AE294" i="29"/>
  <c r="AE443" i="29"/>
  <c r="AD402" i="29"/>
  <c r="AD427" i="29"/>
  <c r="AD86" i="29"/>
  <c r="AE35" i="29"/>
  <c r="AE305" i="29"/>
  <c r="AE88" i="29"/>
  <c r="AD525" i="29"/>
  <c r="AE230" i="29"/>
  <c r="AD429" i="29"/>
  <c r="AD377" i="29"/>
  <c r="AD88" i="29"/>
  <c r="AD550" i="29"/>
  <c r="AE546" i="29"/>
  <c r="AE146" i="29"/>
  <c r="AD185" i="29"/>
  <c r="AE29" i="29"/>
  <c r="AD284" i="29"/>
  <c r="AE262" i="29"/>
  <c r="AD589" i="29"/>
  <c r="AD342" i="29"/>
  <c r="AE549" i="29"/>
  <c r="AE270" i="29"/>
  <c r="AE243" i="29"/>
  <c r="AD143" i="29"/>
  <c r="AD351" i="29"/>
  <c r="AD521" i="29"/>
  <c r="AD302" i="29"/>
  <c r="AE472" i="29"/>
  <c r="AD55" i="29"/>
  <c r="AD301" i="29"/>
  <c r="AE550" i="29"/>
  <c r="AE116" i="29"/>
  <c r="AD229" i="29"/>
  <c r="AE317" i="29"/>
  <c r="AE462" i="29"/>
  <c r="AE257" i="29"/>
  <c r="AE423" i="29"/>
  <c r="AE509" i="29"/>
  <c r="AD438" i="29"/>
  <c r="AE373" i="29"/>
  <c r="AE612" i="29"/>
  <c r="AD576" i="29"/>
  <c r="AD498" i="29"/>
  <c r="AD565" i="29"/>
  <c r="AD568" i="29"/>
  <c r="AE85" i="29"/>
  <c r="AD50" i="29"/>
  <c r="AD366" i="29"/>
  <c r="AE220" i="29"/>
  <c r="AE515" i="29"/>
  <c r="AE167" i="29"/>
  <c r="AE274" i="29"/>
  <c r="AE359" i="29"/>
  <c r="AD24" i="29"/>
  <c r="AD394" i="29"/>
  <c r="AE522" i="29"/>
  <c r="AD160" i="29"/>
  <c r="AD148" i="29"/>
  <c r="AE238" i="29"/>
  <c r="AE406" i="29"/>
  <c r="AE561" i="29"/>
  <c r="AE422" i="29"/>
  <c r="AE375" i="29"/>
  <c r="AE336" i="29"/>
  <c r="AE592" i="29"/>
  <c r="AD277" i="29"/>
  <c r="AD59" i="29"/>
  <c r="AD157" i="29"/>
  <c r="AD244" i="29"/>
  <c r="AD139" i="29"/>
  <c r="AE202" i="29"/>
  <c r="AD312" i="29"/>
  <c r="AE545" i="29"/>
  <c r="AE301" i="29"/>
  <c r="AD534" i="29"/>
  <c r="AD90" i="29"/>
  <c r="AE413" i="29"/>
  <c r="AE487" i="29"/>
  <c r="AD522" i="29"/>
  <c r="AE247" i="29"/>
  <c r="AD416" i="29"/>
  <c r="AD100" i="29"/>
  <c r="AD272" i="29"/>
  <c r="AD442" i="29"/>
  <c r="AD164" i="29"/>
  <c r="AE502" i="29"/>
  <c r="AE218" i="29"/>
  <c r="AD462" i="29"/>
  <c r="AD413" i="29"/>
  <c r="AE602" i="29"/>
  <c r="AD239" i="29"/>
  <c r="AD348" i="29"/>
  <c r="AE371" i="29"/>
  <c r="AD541" i="29"/>
  <c r="AE599" i="29"/>
  <c r="AD207" i="29"/>
  <c r="AD296" i="29"/>
  <c r="AD183" i="29"/>
  <c r="AE273" i="29"/>
  <c r="AE136" i="29"/>
  <c r="AE430" i="29"/>
  <c r="AD430" i="29"/>
  <c r="AE477" i="29"/>
  <c r="AE417" i="29"/>
  <c r="AE609" i="29"/>
  <c r="AD361" i="29"/>
  <c r="AE510" i="29"/>
  <c r="AD386" i="29"/>
  <c r="AE437" i="29"/>
  <c r="AE165" i="29"/>
  <c r="AD248" i="29"/>
  <c r="AD374" i="29"/>
  <c r="AD479" i="29"/>
  <c r="AE607" i="29"/>
  <c r="AE528" i="29"/>
  <c r="AD597" i="29"/>
  <c r="AD531" i="29"/>
  <c r="AE75" i="29"/>
  <c r="AD197" i="29"/>
  <c r="AE339" i="29"/>
  <c r="AD71" i="29"/>
  <c r="AE296" i="29"/>
  <c r="AD98" i="29"/>
  <c r="AD101" i="29"/>
  <c r="AD103" i="29"/>
  <c r="AD108" i="29"/>
  <c r="AD27" i="29"/>
  <c r="AD518" i="29"/>
  <c r="AD333" i="29"/>
  <c r="AE112" i="29"/>
  <c r="AD280" i="29"/>
  <c r="AD495" i="29"/>
  <c r="AD217" i="29"/>
  <c r="AD182" i="29"/>
  <c r="AD242" i="29"/>
  <c r="AE360" i="29"/>
  <c r="AD570" i="29"/>
  <c r="AD309" i="29"/>
  <c r="AD188" i="29"/>
  <c r="AD226" i="29"/>
  <c r="AE80" i="29"/>
  <c r="AD209" i="29"/>
  <c r="AE552" i="29"/>
  <c r="AD613" i="29"/>
  <c r="AE276" i="29"/>
  <c r="AD369" i="29"/>
  <c r="AE553" i="29"/>
  <c r="AD571" i="29"/>
  <c r="AE529" i="29"/>
  <c r="AD153" i="29"/>
  <c r="AD359" i="29"/>
  <c r="AD381" i="29"/>
  <c r="AD85" i="29"/>
  <c r="AE464" i="29"/>
  <c r="AD138" i="29"/>
  <c r="AE63" i="29"/>
  <c r="AE53" i="29"/>
  <c r="AD449" i="29"/>
  <c r="AD232" i="29"/>
  <c r="AE393" i="29"/>
  <c r="AE506" i="29"/>
  <c r="AE340" i="29"/>
  <c r="AD527" i="29"/>
  <c r="AD323" i="29"/>
  <c r="AE196" i="29"/>
  <c r="AD109" i="29"/>
  <c r="AE215" i="29"/>
  <c r="AE303" i="29"/>
  <c r="AD448" i="29"/>
  <c r="AE171" i="29"/>
  <c r="AD125" i="29"/>
  <c r="AE329" i="29"/>
  <c r="AE139" i="29"/>
  <c r="AD516" i="29"/>
  <c r="AD436" i="29"/>
  <c r="AE67" i="29"/>
  <c r="AD383" i="29"/>
  <c r="AE131" i="29"/>
  <c r="AD387" i="29"/>
  <c r="AE144" i="29"/>
  <c r="AD163" i="29"/>
  <c r="AE518" i="29"/>
  <c r="AD588" i="29"/>
  <c r="AE318" i="29"/>
  <c r="AD468" i="29"/>
  <c r="AD492" i="29"/>
  <c r="AD228" i="29"/>
  <c r="AD47" i="29"/>
  <c r="AD256" i="29"/>
  <c r="AE147" i="29"/>
  <c r="AE169" i="29"/>
  <c r="AD134" i="29"/>
  <c r="AE345" i="29"/>
  <c r="AD223" i="29"/>
  <c r="AE49" i="29"/>
  <c r="AE313" i="29"/>
  <c r="AD500" i="29"/>
  <c r="AD598" i="29"/>
  <c r="AD508" i="29"/>
  <c r="AE149" i="29"/>
  <c r="AD559" i="29"/>
  <c r="AD582" i="29"/>
  <c r="AE156" i="29"/>
  <c r="AD179" i="29"/>
  <c r="AE353" i="29"/>
  <c r="AD186" i="29"/>
  <c r="AE159" i="29"/>
  <c r="AD145" i="29"/>
  <c r="AE161" i="29"/>
  <c r="AE185" i="29"/>
  <c r="AE316" i="29"/>
  <c r="AE70" i="29"/>
  <c r="AD66" i="29"/>
  <c r="AE214" i="29"/>
  <c r="AE291" i="29"/>
  <c r="AE523" i="29"/>
  <c r="AD261" i="29"/>
  <c r="AE84" i="29"/>
  <c r="AD30" i="29"/>
  <c r="AE453" i="29"/>
  <c r="AE474" i="29"/>
  <c r="AD69" i="29"/>
  <c r="AE377" i="29"/>
  <c r="AE223" i="29"/>
  <c r="AD184" i="29"/>
  <c r="AD236" i="29"/>
  <c r="AE260" i="29"/>
  <c r="AE278" i="29"/>
  <c r="AD337" i="29"/>
  <c r="AE405" i="29"/>
  <c r="AD405" i="29"/>
  <c r="AD460" i="29"/>
  <c r="AD469" i="29"/>
  <c r="AE376" i="29"/>
  <c r="AE466" i="29"/>
  <c r="AD485" i="29"/>
  <c r="AD538" i="29"/>
  <c r="AD542" i="29"/>
  <c r="AD553" i="29"/>
  <c r="AE539" i="29"/>
  <c r="AD362" i="29"/>
  <c r="AD123" i="29"/>
  <c r="AE346" i="29"/>
  <c r="AE58" i="29"/>
  <c r="AE143" i="29"/>
  <c r="AE40" i="29"/>
  <c r="AE572" i="29"/>
  <c r="AE210" i="29"/>
  <c r="AE280" i="29"/>
  <c r="AE322" i="29"/>
  <c r="AD431" i="29"/>
  <c r="AD300" i="29"/>
  <c r="AD397" i="29"/>
  <c r="AD82" i="29"/>
  <c r="AD195" i="29"/>
  <c r="AE287" i="29"/>
  <c r="AD459" i="29"/>
  <c r="AE508" i="29"/>
  <c r="AE71" i="29"/>
  <c r="AE184" i="29"/>
  <c r="AD287" i="29"/>
  <c r="AD608" i="29"/>
  <c r="AE232" i="29"/>
  <c r="AE444" i="29"/>
  <c r="AE283" i="29"/>
  <c r="AD305" i="29"/>
  <c r="AE351" i="29"/>
  <c r="AE409" i="29"/>
  <c r="AD596" i="29"/>
  <c r="AD220" i="29"/>
  <c r="AD327" i="29"/>
  <c r="AE330" i="29"/>
  <c r="AE467" i="29"/>
  <c r="AE478" i="29"/>
  <c r="AD506" i="29"/>
  <c r="AE306" i="29"/>
  <c r="AD515" i="29"/>
  <c r="AD494" i="29"/>
  <c r="AD529" i="29"/>
  <c r="AD141" i="29"/>
  <c r="AD180" i="29"/>
  <c r="AD177" i="29"/>
  <c r="AD270" i="29"/>
  <c r="AE399" i="29"/>
  <c r="AD548" i="29"/>
  <c r="AD602" i="29"/>
  <c r="AD252" i="29"/>
  <c r="AE382" i="29"/>
  <c r="AD523" i="29"/>
  <c r="AE439" i="29"/>
  <c r="AD446" i="29"/>
  <c r="AE490" i="29"/>
  <c r="AE481" i="29"/>
  <c r="AD581" i="29"/>
  <c r="AD544" i="29"/>
  <c r="AD549" i="29"/>
  <c r="AE594" i="29"/>
  <c r="AD363" i="29"/>
  <c r="AE69" i="29"/>
  <c r="AE102" i="29"/>
  <c r="AD398" i="29"/>
  <c r="AD499" i="29"/>
  <c r="AE33" i="29"/>
  <c r="AE290" i="29"/>
  <c r="AE125" i="29"/>
  <c r="AD208" i="29"/>
  <c r="AE310" i="29"/>
  <c r="AD412" i="29"/>
  <c r="AE155" i="29"/>
  <c r="AD403" i="29"/>
  <c r="AD497" i="29"/>
  <c r="AE141" i="29"/>
  <c r="AE231" i="29"/>
  <c r="AD322" i="29"/>
  <c r="AE45" i="29"/>
  <c r="AE118" i="29"/>
  <c r="AE173" i="29"/>
  <c r="AD292" i="29"/>
  <c r="AD310" i="29"/>
  <c r="AE266" i="29"/>
  <c r="AE192" i="29"/>
  <c r="AD202" i="29"/>
  <c r="AE256" i="29"/>
  <c r="AE341" i="29"/>
  <c r="AD376" i="29"/>
  <c r="AE429" i="29"/>
  <c r="AD587" i="29"/>
  <c r="AE97" i="29"/>
  <c r="AE182" i="29"/>
  <c r="AE259" i="29"/>
  <c r="AD249" i="29"/>
  <c r="AD295" i="29"/>
  <c r="AD320" i="29"/>
  <c r="AE411" i="29"/>
  <c r="AE449" i="29"/>
  <c r="AD545" i="29"/>
  <c r="AD512" i="29"/>
  <c r="AE568" i="29"/>
  <c r="AD135" i="29"/>
  <c r="AD142" i="29"/>
  <c r="AD222" i="29"/>
  <c r="AD289" i="29"/>
  <c r="AE361" i="29"/>
  <c r="AD378" i="29"/>
  <c r="AD592" i="29"/>
  <c r="AE59" i="29"/>
  <c r="AD122" i="29"/>
  <c r="AD212" i="29"/>
  <c r="AD274" i="29"/>
  <c r="AD319" i="29"/>
  <c r="AE293" i="29"/>
  <c r="AD475" i="29"/>
  <c r="AE61" i="29"/>
  <c r="AE242" i="29"/>
  <c r="AE324" i="29"/>
  <c r="AE343" i="29"/>
  <c r="AD455" i="29"/>
  <c r="AD507" i="29"/>
  <c r="AE560" i="29"/>
  <c r="AD601" i="29"/>
  <c r="AD441" i="29"/>
  <c r="AE454" i="29"/>
  <c r="AE533" i="29"/>
  <c r="AD605" i="29"/>
  <c r="AD595" i="29"/>
  <c r="AD530" i="29"/>
  <c r="AD578" i="29"/>
  <c r="AD585" i="29"/>
  <c r="AD356" i="29"/>
  <c r="AD140" i="29"/>
  <c r="AE142" i="29"/>
  <c r="AE404" i="29"/>
  <c r="AD246" i="29"/>
  <c r="AE349" i="29"/>
  <c r="AD465" i="29"/>
  <c r="AD563" i="29"/>
  <c r="AE573" i="29"/>
  <c r="AD150" i="29"/>
  <c r="AD265" i="29"/>
  <c r="AD461" i="29"/>
  <c r="AE469" i="29"/>
  <c r="AD20" i="29"/>
  <c r="AD18" i="29"/>
  <c r="AD61" i="29"/>
  <c r="AD78" i="29"/>
  <c r="AD87" i="29"/>
  <c r="AE412" i="29"/>
  <c r="AE95" i="29"/>
  <c r="AD502" i="29"/>
  <c r="AE119" i="29"/>
  <c r="AD97" i="29"/>
  <c r="AD147" i="29"/>
  <c r="AE174" i="29"/>
  <c r="AD269" i="29"/>
  <c r="AD336" i="29"/>
  <c r="AE585" i="29"/>
  <c r="AD156" i="29"/>
  <c r="AD241" i="29"/>
  <c r="AE441" i="29"/>
  <c r="AD504" i="29"/>
  <c r="AD133" i="29"/>
  <c r="AE222" i="29"/>
  <c r="AD368" i="29"/>
  <c r="AD389" i="29"/>
  <c r="AE501" i="29"/>
  <c r="AE190" i="29"/>
  <c r="AE267" i="29"/>
  <c r="AE94" i="29"/>
  <c r="AE111" i="29"/>
  <c r="AD154" i="29"/>
  <c r="AD275" i="29"/>
  <c r="AE308" i="29"/>
  <c r="AE493" i="29"/>
  <c r="AE540" i="29"/>
  <c r="AE19" i="29"/>
  <c r="AE279" i="29"/>
  <c r="AD395" i="29"/>
  <c r="AE381" i="29"/>
  <c r="AD491" i="29"/>
  <c r="AE511" i="29"/>
  <c r="AE603" i="29"/>
  <c r="AE358" i="29"/>
  <c r="AD583" i="29"/>
  <c r="AD92" i="29"/>
  <c r="AD552" i="29"/>
  <c r="AD298" i="29"/>
  <c r="AD577" i="29"/>
  <c r="AE374" i="29"/>
  <c r="AE402" i="29"/>
  <c r="AD201" i="29"/>
  <c r="AD481" i="29"/>
  <c r="AE77" i="29"/>
  <c r="AE91" i="29"/>
  <c r="AD221" i="29"/>
  <c r="AE240" i="29"/>
  <c r="AD158" i="29"/>
  <c r="AD279" i="29"/>
  <c r="AD338" i="29"/>
  <c r="AE13" i="29"/>
  <c r="AE445" i="29"/>
  <c r="AE164" i="29"/>
  <c r="AD64" i="29"/>
  <c r="AE170" i="29"/>
  <c r="AD196" i="29"/>
  <c r="AE300" i="29"/>
  <c r="AD118" i="29"/>
  <c r="AE86" i="29"/>
  <c r="AD227" i="29"/>
  <c r="AD136" i="29"/>
  <c r="AD325" i="29"/>
  <c r="AE323" i="29"/>
  <c r="AD380" i="29"/>
  <c r="AE350" i="29"/>
  <c r="AE193" i="29"/>
  <c r="AD211" i="29"/>
  <c r="AE344" i="29"/>
  <c r="AE583" i="29"/>
  <c r="AD324" i="29"/>
  <c r="AD474" i="29"/>
  <c r="AE221" i="29"/>
  <c r="AE127" i="29"/>
  <c r="AE55" i="29"/>
  <c r="AE137" i="29"/>
  <c r="AD344" i="29"/>
  <c r="AE272" i="29"/>
  <c r="AE271" i="29"/>
  <c r="AE130" i="29"/>
  <c r="AE372" i="29"/>
  <c r="AD159" i="29"/>
  <c r="AE133" i="29"/>
  <c r="AD258" i="29"/>
  <c r="AD260" i="29"/>
  <c r="AD353" i="29"/>
  <c r="AE334" i="29"/>
  <c r="AE338" i="29"/>
  <c r="AD364" i="29"/>
  <c r="AE390" i="29"/>
  <c r="AE426" i="29"/>
  <c r="AD421" i="29"/>
  <c r="AE485" i="29"/>
  <c r="AE387" i="29"/>
  <c r="AD482" i="29"/>
  <c r="AD526" i="29"/>
  <c r="AD404" i="29"/>
  <c r="AE398" i="29"/>
  <c r="AE504" i="29"/>
  <c r="AD466" i="29"/>
  <c r="AE578" i="29"/>
  <c r="AE74" i="29"/>
  <c r="AD470" i="29"/>
  <c r="AE554" i="29"/>
  <c r="AD347" i="29"/>
  <c r="AE289" i="29"/>
  <c r="AD112" i="29"/>
  <c r="AE177" i="29"/>
  <c r="AD231" i="29"/>
  <c r="AE56" i="29"/>
  <c r="AD96" i="29"/>
  <c r="AE16" i="29"/>
  <c r="AD77" i="29"/>
  <c r="AD39" i="29"/>
  <c r="AD73" i="29"/>
  <c r="AD117" i="29"/>
  <c r="AD13" i="29"/>
  <c r="AD162" i="29"/>
  <c r="AD255" i="29"/>
  <c r="AD352" i="29"/>
  <c r="AD554" i="29"/>
  <c r="AE251" i="29"/>
  <c r="AE286" i="29"/>
  <c r="AD555" i="29"/>
  <c r="AE106" i="29"/>
  <c r="AD204" i="29"/>
  <c r="AD447" i="29"/>
  <c r="AD99" i="29"/>
  <c r="AE499" i="29"/>
  <c r="AD556" i="29"/>
  <c r="AD48" i="29"/>
  <c r="AE64" i="29"/>
  <c r="AD225" i="29"/>
  <c r="AE598" i="29"/>
  <c r="AD132" i="29"/>
  <c r="AD146" i="29"/>
  <c r="AE216" i="29"/>
  <c r="AE275" i="29"/>
  <c r="AE288" i="29"/>
  <c r="AE543" i="29"/>
  <c r="AD562" i="29"/>
  <c r="AE96" i="29"/>
  <c r="AE198" i="29"/>
  <c r="AD343" i="29"/>
  <c r="AE281" i="29"/>
  <c r="AE36" i="29"/>
  <c r="AD15" i="29"/>
  <c r="AD16" i="29"/>
  <c r="AE31" i="29"/>
  <c r="AE295" i="29"/>
  <c r="AD131" i="29"/>
  <c r="AE228" i="29"/>
  <c r="AE248" i="29"/>
  <c r="AE386" i="29"/>
  <c r="AE452" i="29"/>
  <c r="AE252" i="29"/>
  <c r="AE611" i="29"/>
  <c r="AE41" i="29"/>
  <c r="AD308" i="29"/>
  <c r="AD433" i="29"/>
  <c r="AE601" i="29"/>
  <c r="AD237" i="29"/>
  <c r="AD254" i="29"/>
  <c r="AE309" i="29"/>
  <c r="AD524" i="29"/>
  <c r="AE117" i="29"/>
  <c r="AE194" i="29"/>
  <c r="AD335" i="29"/>
  <c r="AE455" i="29"/>
  <c r="AD406" i="29"/>
  <c r="AE530" i="29"/>
  <c r="AD569" i="29"/>
  <c r="AE107" i="29"/>
  <c r="AE160" i="29"/>
  <c r="AD200" i="29"/>
  <c r="AD191" i="29"/>
  <c r="AD247" i="29"/>
  <c r="AD611" i="29"/>
  <c r="AE93" i="29"/>
  <c r="AD161" i="29"/>
  <c r="AE255" i="29"/>
  <c r="AD291" i="29"/>
  <c r="AD346" i="29"/>
  <c r="AE367" i="29"/>
  <c r="AE384" i="29"/>
  <c r="AD75" i="29"/>
  <c r="AD399" i="29"/>
  <c r="AD539" i="29"/>
  <c r="AD551" i="29"/>
  <c r="AE105" i="29"/>
  <c r="AE195" i="29"/>
  <c r="AE44" i="29"/>
  <c r="AD33" i="29"/>
  <c r="AE157" i="29"/>
  <c r="AE108" i="29"/>
  <c r="AD358" i="29"/>
  <c r="AE433" i="29"/>
  <c r="AD198" i="29"/>
  <c r="AE434" i="29"/>
  <c r="AE446" i="29"/>
  <c r="AD218" i="29"/>
  <c r="AD95" i="29"/>
  <c r="AE363" i="29"/>
  <c r="AE587" i="29"/>
  <c r="AE253" i="29"/>
  <c r="AD410" i="29"/>
  <c r="AE597" i="29"/>
  <c r="AE163" i="29"/>
  <c r="AD130" i="29"/>
  <c r="AE219" i="29"/>
  <c r="AE319" i="29"/>
  <c r="AE471" i="29"/>
  <c r="AD115" i="29"/>
  <c r="AE394" i="29"/>
  <c r="AE516" i="29"/>
  <c r="AD234" i="29"/>
  <c r="AD286" i="29"/>
  <c r="AD392" i="29"/>
  <c r="AE574" i="29"/>
  <c r="AE62" i="29"/>
  <c r="AE79" i="29"/>
  <c r="AD417" i="29"/>
  <c r="AD426" i="29"/>
  <c r="AD532" i="29"/>
  <c r="AD213" i="29"/>
  <c r="AE298" i="29"/>
  <c r="AE320" i="29"/>
  <c r="AD493" i="29"/>
  <c r="AD536" i="29"/>
  <c r="AD603" i="29"/>
  <c r="AE397" i="29"/>
  <c r="AD420" i="29"/>
  <c r="AE525" i="29"/>
  <c r="AD558" i="29"/>
  <c r="AE538" i="29"/>
  <c r="AD290" i="29"/>
  <c r="AD189" i="29"/>
  <c r="AE258" i="29"/>
  <c r="AD303" i="29"/>
  <c r="AE463" i="29"/>
  <c r="AE468" i="29"/>
  <c r="AE526" i="29"/>
  <c r="AE100" i="29"/>
  <c r="AE158" i="29"/>
  <c r="AE197" i="29"/>
  <c r="AE209" i="29"/>
  <c r="AE333" i="29"/>
  <c r="AD391" i="29"/>
  <c r="AD400" i="29"/>
  <c r="AD572" i="29"/>
  <c r="AE81" i="29"/>
  <c r="AE120" i="29"/>
  <c r="AE265" i="29"/>
  <c r="AE475" i="29"/>
  <c r="AD509" i="29"/>
  <c r="AD419" i="29"/>
  <c r="AD484" i="29"/>
  <c r="AE595" i="29"/>
  <c r="AD561" i="29"/>
  <c r="AE482" i="29"/>
  <c r="AD350" i="29"/>
  <c r="AD62" i="29"/>
  <c r="AE519" i="29"/>
  <c r="AE355" i="29"/>
  <c r="AE188" i="29"/>
  <c r="AE491" i="29"/>
  <c r="AD214" i="29"/>
  <c r="AD181" i="29"/>
  <c r="AD528" i="29"/>
  <c r="AD365" i="29"/>
  <c r="AE249" i="29"/>
  <c r="AD251" i="29"/>
  <c r="AD149" i="29"/>
  <c r="AE162" i="29"/>
  <c r="AD120" i="29"/>
  <c r="AD604" i="29"/>
  <c r="AD282" i="29"/>
  <c r="AD215" i="29"/>
  <c r="AE135" i="29"/>
  <c r="AD206" i="29"/>
  <c r="AD253" i="29"/>
  <c r="AD341" i="29"/>
  <c r="AD384" i="29"/>
  <c r="AD178" i="29"/>
  <c r="AD259" i="29"/>
  <c r="AD314" i="29"/>
  <c r="AD307" i="29"/>
  <c r="AE408" i="29"/>
  <c r="AD367" i="29"/>
  <c r="AE416" i="29"/>
  <c r="AE383" i="29"/>
  <c r="AD388" i="29"/>
  <c r="AD443" i="29"/>
  <c r="AE448" i="29"/>
  <c r="AD478" i="29"/>
  <c r="AE586" i="29"/>
  <c r="AD586" i="29"/>
  <c r="AD444" i="29"/>
  <c r="AD463" i="29"/>
  <c r="AE314" i="29"/>
  <c r="AD450" i="29"/>
  <c r="AE391" i="29"/>
  <c r="AD451" i="29"/>
  <c r="AE461" i="29"/>
  <c r="AD483" i="29"/>
  <c r="AE517" i="29"/>
  <c r="AE536" i="29"/>
  <c r="AE562" i="29"/>
  <c r="AD606" i="29"/>
  <c r="AE43" i="29"/>
  <c r="AD490" i="29"/>
  <c r="AD503" i="29"/>
  <c r="AD537" i="29"/>
  <c r="AD573" i="29"/>
  <c r="AE556" i="29"/>
  <c r="AE575" i="29"/>
  <c r="AE590" i="29"/>
  <c r="AE600" i="29"/>
  <c r="AD370" i="29"/>
  <c r="AE225" i="29"/>
  <c r="AD267" i="29"/>
  <c r="AE427" i="29"/>
  <c r="AE419" i="29"/>
  <c r="AE505" i="29"/>
  <c r="AE610" i="29"/>
  <c r="AD93" i="29"/>
  <c r="AE234" i="29"/>
  <c r="AD250" i="29"/>
  <c r="AD357" i="29"/>
  <c r="AD240" i="29"/>
  <c r="AE489" i="29"/>
  <c r="AE570" i="29"/>
  <c r="AD53" i="29"/>
  <c r="AD169" i="29"/>
  <c r="AD230" i="29"/>
  <c r="AD574" i="29"/>
  <c r="AD192" i="29"/>
  <c r="AE148" i="29"/>
  <c r="AE392" i="29"/>
  <c r="AD411" i="29"/>
  <c r="AD457" i="29"/>
  <c r="AE495" i="29"/>
  <c r="AD546" i="29"/>
  <c r="AE327" i="29"/>
  <c r="AE576" i="29"/>
  <c r="AE207" i="29"/>
  <c r="AD14" i="29"/>
  <c r="AD19" i="29"/>
  <c r="AE54" i="29"/>
  <c r="AD285" i="29"/>
  <c r="AD137" i="29"/>
  <c r="AE312" i="29"/>
  <c r="AE531" i="29"/>
  <c r="AD36" i="29"/>
  <c r="AE153" i="29"/>
  <c r="AE124" i="29"/>
  <c r="AD264" i="29"/>
  <c r="AD401" i="29"/>
  <c r="AE28" i="29"/>
  <c r="AD60" i="29"/>
  <c r="AD28" i="29"/>
  <c r="AE203" i="29"/>
  <c r="AE421" i="29"/>
  <c r="AE325" i="29"/>
  <c r="AD84" i="29"/>
  <c r="AE199" i="29"/>
  <c r="AE236" i="29"/>
  <c r="AE282" i="29"/>
  <c r="AD600" i="29"/>
  <c r="AE87" i="29"/>
  <c r="AD172" i="29"/>
  <c r="AE237" i="29"/>
  <c r="AE299" i="29"/>
  <c r="AD360" i="29"/>
  <c r="AD224" i="29"/>
  <c r="AE284" i="29"/>
  <c r="AE385" i="29"/>
  <c r="AD171" i="29"/>
  <c r="AE99" i="29"/>
  <c r="AE584" i="29"/>
  <c r="AE109" i="29"/>
  <c r="AE208" i="29"/>
  <c r="AD331" i="29"/>
  <c r="AD235" i="29"/>
  <c r="AD293" i="29"/>
  <c r="AD453" i="29"/>
  <c r="AD486" i="29"/>
  <c r="AE113" i="29"/>
  <c r="AD276" i="29"/>
  <c r="AE342" i="29"/>
  <c r="AD520" i="29"/>
  <c r="AE285" i="29"/>
  <c r="AE450" i="29"/>
  <c r="AE172" i="29"/>
  <c r="AE201" i="29"/>
  <c r="AE337" i="29"/>
  <c r="AE154" i="29"/>
  <c r="AE50" i="29"/>
  <c r="AD35" i="29"/>
  <c r="AD238" i="29"/>
  <c r="AD127" i="29"/>
  <c r="AE168" i="29"/>
  <c r="AD467" i="29"/>
  <c r="AE532" i="29"/>
  <c r="AD476" i="29"/>
  <c r="AE331" i="29"/>
  <c r="AD91" i="29"/>
  <c r="AE150" i="29"/>
  <c r="AD80" i="29"/>
  <c r="AE401" i="29"/>
  <c r="AE565" i="29"/>
  <c r="AD151" i="29"/>
  <c r="AD294" i="29"/>
  <c r="AD330" i="29"/>
  <c r="AD464" i="29"/>
  <c r="AD266" i="29"/>
  <c r="AD281" i="29"/>
  <c r="AE608" i="29"/>
  <c r="AE82" i="29"/>
  <c r="AD174" i="29"/>
  <c r="AE292" i="29"/>
  <c r="AE432" i="29"/>
  <c r="AE488" i="29"/>
  <c r="AE175" i="29"/>
  <c r="AE227" i="29"/>
  <c r="AE438" i="29"/>
  <c r="AE364" i="29"/>
  <c r="AE520" i="29"/>
  <c r="AD579" i="29"/>
  <c r="AE368" i="29"/>
  <c r="AD315" i="29"/>
  <c r="AD326" i="29"/>
  <c r="AE347" i="29"/>
  <c r="AE365" i="29"/>
  <c r="AD396" i="29"/>
  <c r="AD382" i="29"/>
  <c r="AE582" i="29"/>
  <c r="AE181" i="29"/>
  <c r="AD340" i="29"/>
  <c r="AE447" i="29"/>
  <c r="AD423" i="29"/>
  <c r="AE110" i="29"/>
  <c r="AD262" i="29"/>
  <c r="AE302" i="29"/>
  <c r="AD511" i="29"/>
  <c r="AE189" i="29"/>
  <c r="AD173" i="29"/>
  <c r="AE388" i="29"/>
  <c r="AE604" i="29"/>
  <c r="AE126" i="29"/>
  <c r="AE204" i="29"/>
  <c r="AE268" i="29"/>
  <c r="AD311" i="29"/>
  <c r="AE335" i="29"/>
  <c r="AD471" i="29"/>
  <c r="AE555" i="29"/>
  <c r="AE68" i="29"/>
  <c r="AE211" i="29"/>
  <c r="AE229" i="29"/>
  <c r="AD317" i="29"/>
  <c r="AE414" i="29"/>
  <c r="AE436" i="29"/>
  <c r="AD373" i="29"/>
  <c r="AE378" i="29"/>
  <c r="AD379" i="29"/>
  <c r="AE456" i="29"/>
  <c r="AD472" i="29"/>
  <c r="AD560" i="29"/>
  <c r="AD121" i="29"/>
  <c r="AE60" i="29"/>
  <c r="AE473" i="29"/>
  <c r="AE496" i="29"/>
  <c r="AE535" i="29"/>
  <c r="AD575" i="29"/>
  <c r="AD599" i="29"/>
  <c r="AE72" i="29"/>
  <c r="AE66" i="29"/>
  <c r="AE83" i="29"/>
  <c r="AD152" i="29"/>
  <c r="AD126" i="29"/>
  <c r="AD216" i="29"/>
  <c r="AE233" i="29"/>
  <c r="AD321" i="29"/>
  <c r="AD415" i="29"/>
  <c r="AE440" i="29"/>
  <c r="AE500" i="29"/>
  <c r="AE588" i="29"/>
  <c r="AE326" i="29"/>
  <c r="AD332" i="29"/>
  <c r="AE380" i="29"/>
  <c r="AD533" i="29"/>
  <c r="AE581" i="29"/>
  <c r="AD607" i="29"/>
  <c r="AE524" i="29"/>
  <c r="AD205" i="29"/>
  <c r="AE17" i="29"/>
  <c r="AE465" i="29"/>
  <c r="AE128" i="29"/>
  <c r="AE395" i="29"/>
  <c r="AD219" i="29"/>
  <c r="AD119" i="29"/>
  <c r="AD564" i="29"/>
  <c r="AD407" i="29"/>
  <c r="AD390" i="29"/>
  <c r="AE179" i="29"/>
  <c r="AD175" i="29"/>
  <c r="AE176" i="29"/>
  <c r="AE114" i="29"/>
  <c r="AD372" i="29"/>
  <c r="AE311" i="29"/>
  <c r="AE213" i="29"/>
  <c r="AE224" i="29"/>
  <c r="AD116" i="29"/>
  <c r="AE115" i="29"/>
  <c r="AD354" i="29"/>
  <c r="AD245" i="29"/>
  <c r="AE187" i="29"/>
  <c r="AE90" i="29"/>
  <c r="AD190" i="29"/>
  <c r="AD271" i="29"/>
  <c r="AD355" i="29"/>
  <c r="AE352" i="29"/>
  <c r="AE577" i="29"/>
  <c r="AE246" i="29"/>
  <c r="AD278" i="29"/>
  <c r="AD328" i="29"/>
  <c r="AD375" i="29"/>
  <c r="AE354" i="29"/>
  <c r="AE348" i="29"/>
  <c r="AD434" i="29"/>
  <c r="AE400" i="29"/>
  <c r="AD488" i="29"/>
  <c r="AE544" i="29"/>
  <c r="AE403" i="29"/>
  <c r="AD393" i="29"/>
  <c r="AD428" i="29"/>
  <c r="AE563" i="29"/>
  <c r="AE362" i="29"/>
  <c r="AE356" i="29"/>
  <c r="AD435" i="29"/>
  <c r="AE470" i="29"/>
  <c r="AD473" i="29"/>
  <c r="AD510" i="29"/>
  <c r="AE579" i="29"/>
  <c r="AD543" i="29"/>
  <c r="AE569" i="29"/>
  <c r="AD501" i="29"/>
  <c r="AD496" i="29"/>
  <c r="AE498" i="29"/>
  <c r="AE541" i="29"/>
  <c r="AE593" i="29"/>
  <c r="AD584" i="29"/>
  <c r="AE486" i="29"/>
  <c r="AD540" i="29"/>
  <c r="AE605" i="29"/>
  <c r="AD422" i="29"/>
  <c r="AE166" i="29"/>
  <c r="AE200" i="29"/>
  <c r="AD273" i="29"/>
  <c r="AE357" i="29"/>
  <c r="AE591" i="29"/>
  <c r="AE321" i="29"/>
  <c r="AD612" i="29"/>
  <c r="AE460" i="29"/>
  <c r="AE264" i="29"/>
  <c r="AE140" i="29"/>
  <c r="AE92" i="29"/>
  <c r="AD167" i="29"/>
  <c r="AE418" i="29"/>
  <c r="AE503" i="29"/>
  <c r="AE205" i="29"/>
  <c r="AD339" i="29"/>
  <c r="AE435" i="29"/>
  <c r="AD456" i="29"/>
  <c r="AE442" i="29"/>
  <c r="AE178" i="29"/>
  <c r="AE332" i="29"/>
  <c r="AD505" i="29"/>
  <c r="AE121" i="29"/>
  <c r="AD176" i="29"/>
  <c r="AE407" i="29"/>
  <c r="AE239" i="29"/>
  <c r="AE261" i="29"/>
  <c r="AD349" i="29"/>
  <c r="AE596" i="29"/>
  <c r="AE104" i="29"/>
  <c r="AE180" i="29"/>
  <c r="AE206" i="29"/>
  <c r="AD316" i="29"/>
  <c r="AE497" i="29"/>
  <c r="AE551" i="29"/>
  <c r="AD44" i="29"/>
  <c r="AE369" i="29"/>
  <c r="AE534" i="29"/>
  <c r="AE613" i="29"/>
  <c r="AE47" i="29"/>
  <c r="AE559" i="29"/>
  <c r="AD580" i="29"/>
  <c r="AE21" i="29"/>
  <c r="AD56" i="29"/>
  <c r="AD124" i="29"/>
  <c r="AE379" i="29"/>
  <c r="AD418" i="29"/>
  <c r="AE245" i="29"/>
  <c r="AE269" i="29"/>
  <c r="AE537" i="29"/>
  <c r="AD477" i="29"/>
  <c r="AD110" i="29"/>
  <c r="AE103" i="29"/>
  <c r="AD187" i="29"/>
  <c r="AD243" i="29"/>
  <c r="AD454" i="29"/>
  <c r="AD567" i="29"/>
  <c r="AE151" i="29"/>
  <c r="AE304" i="29"/>
  <c r="AE410" i="29"/>
  <c r="AE514" i="29"/>
  <c r="AD385" i="29"/>
  <c r="AD535" i="29"/>
  <c r="AD594" i="29"/>
  <c r="AD263" i="29"/>
  <c r="AD329" i="29"/>
  <c r="AE420" i="29"/>
  <c r="AE129" i="29"/>
  <c r="AE480" i="29"/>
  <c r="AD513" i="29"/>
  <c r="AE547" i="29"/>
  <c r="AE580" i="29"/>
  <c r="AD106" i="29"/>
  <c r="AE212" i="29"/>
  <c r="AD313" i="29"/>
  <c r="AE415" i="29"/>
  <c r="AE484" i="29"/>
  <c r="AE548" i="29"/>
  <c r="AE51" i="29"/>
  <c r="AD299" i="29"/>
  <c r="AE89" i="29"/>
  <c r="AE226" i="29"/>
  <c r="AE366" i="29"/>
  <c r="AE101" i="29"/>
  <c r="AE315" i="29"/>
  <c r="AE431" i="29"/>
  <c r="AD165" i="29"/>
  <c r="AD199" i="29"/>
  <c r="AD89" i="29"/>
  <c r="AD233" i="29"/>
  <c r="AD345" i="29"/>
  <c r="AE494" i="29"/>
  <c r="AE235" i="29"/>
  <c r="AE370" i="29"/>
  <c r="AE123" i="29"/>
  <c r="AD288" i="29"/>
  <c r="AE458" i="29"/>
  <c r="AD409" i="29"/>
  <c r="AE191" i="29"/>
  <c r="AE307" i="29"/>
  <c r="AD439" i="29"/>
  <c r="AE566" i="29"/>
  <c r="AD168" i="29"/>
  <c r="AD63" i="29"/>
  <c r="AE32" i="29"/>
  <c r="AD26" i="29"/>
  <c r="AD67" i="29"/>
  <c r="AD22" i="29"/>
  <c r="AD79" i="29"/>
  <c r="AE23" i="29"/>
  <c r="AD107" i="29"/>
  <c r="AD68" i="29"/>
  <c r="AD25" i="29"/>
  <c r="AD105" i="29"/>
  <c r="AD74" i="29"/>
  <c r="AD65" i="29"/>
  <c r="AD41" i="29"/>
  <c r="AE39" i="29"/>
  <c r="AE20" i="29"/>
  <c r="AD40" i="29"/>
  <c r="AD21" i="29"/>
  <c r="AD37" i="29"/>
  <c r="AD83" i="29"/>
  <c r="AD46" i="29"/>
  <c r="AE122" i="29"/>
  <c r="AD32" i="29"/>
  <c r="AE78" i="29"/>
  <c r="AD111" i="29"/>
  <c r="AD81" i="29"/>
  <c r="AD72" i="29"/>
  <c r="AD52" i="29"/>
  <c r="AD17" i="29"/>
  <c r="AE138" i="29"/>
  <c r="AD76" i="29"/>
  <c r="AD42" i="29"/>
  <c r="AD45" i="29"/>
  <c r="AD51" i="29"/>
  <c r="AD54" i="29"/>
  <c r="AD94" i="29"/>
  <c r="Q625" i="29"/>
  <c r="AD49" i="29"/>
  <c r="AD43" i="29"/>
  <c r="AD57" i="29"/>
  <c r="AD29" i="29"/>
  <c r="U625" i="29"/>
  <c r="AE24" i="29"/>
  <c r="AE15" i="29"/>
  <c r="AD34" i="29"/>
  <c r="AD58" i="29"/>
  <c r="AD113" i="29"/>
  <c r="AD104" i="29"/>
  <c r="AE48" i="29"/>
  <c r="AD23" i="29"/>
  <c r="AE14" i="29"/>
  <c r="T625" i="29"/>
  <c r="P625" i="29"/>
  <c r="V625" i="29"/>
  <c r="AD31" i="29"/>
  <c r="R625" i="29"/>
  <c r="O625" i="29"/>
  <c r="S625" i="29"/>
  <c r="AD38" i="29"/>
  <c r="AE52" i="29"/>
  <c r="AE626" i="29"/>
  <c r="AD626" i="29"/>
  <c r="AE624" i="29" l="1"/>
  <c r="AD624" i="29"/>
  <c r="AE625" i="29"/>
  <c r="AD625" i="29"/>
  <c r="D37" i="19" l="1"/>
  <c r="N108" i="24" l="1"/>
  <c r="B54" i="19" l="1"/>
  <c r="D54" i="19" s="1"/>
  <c r="D42" i="19"/>
  <c r="B206" i="2"/>
  <c r="EX1" i="24" s="1"/>
  <c r="BT1" i="24" l="1"/>
  <c r="B97" i="2" l="1"/>
  <c r="M10" i="1"/>
  <c r="K10" i="1"/>
  <c r="B18" i="2" l="1"/>
  <c r="CK212" i="25" s="1"/>
  <c r="B28" i="19"/>
  <c r="D28" i="19" s="1"/>
  <c r="B49" i="19"/>
  <c r="D49" i="19" s="1"/>
  <c r="EQ216" i="25" l="1"/>
  <c r="ES216" i="24"/>
  <c r="EV216" i="24" s="1"/>
  <c r="BO216" i="24"/>
  <c r="BR216" i="24" s="1"/>
  <c r="CK112" i="25"/>
  <c r="L105" i="2"/>
  <c r="G83" i="2"/>
  <c r="EQ110" i="25"/>
  <c r="ES110" i="24"/>
  <c r="EV110" i="24" s="1"/>
  <c r="CQ1" i="24"/>
  <c r="CK287" i="25"/>
  <c r="CK201" i="25"/>
  <c r="CK186" i="25"/>
  <c r="CK172" i="25"/>
  <c r="CK147" i="25"/>
  <c r="CK143" i="25"/>
  <c r="CK118" i="25"/>
  <c r="CK94" i="25"/>
  <c r="CK54" i="25"/>
  <c r="CK46" i="25"/>
  <c r="CK302" i="25"/>
  <c r="CK297" i="25"/>
  <c r="CK292" i="25"/>
  <c r="CK289" i="25"/>
  <c r="CK280" i="25"/>
  <c r="CK261" i="25"/>
  <c r="CK249" i="25"/>
  <c r="CK228" i="25"/>
  <c r="CK225" i="25"/>
  <c r="CK222" i="25"/>
  <c r="CK219" i="25"/>
  <c r="CK199" i="25"/>
  <c r="CK197" i="25"/>
  <c r="CK194" i="25"/>
  <c r="CK191" i="25"/>
  <c r="CK161" i="25"/>
  <c r="CK157" i="25"/>
  <c r="CK139" i="25"/>
  <c r="CK127" i="25"/>
  <c r="CK124" i="25"/>
  <c r="CK113" i="25"/>
  <c r="CK104" i="25"/>
  <c r="CK98" i="25"/>
  <c r="CK96" i="25"/>
  <c r="CK92" i="25"/>
  <c r="CK83" i="25"/>
  <c r="CK81" i="25"/>
  <c r="CK79" i="25"/>
  <c r="CK65" i="25"/>
  <c r="CK23" i="25"/>
  <c r="CK17" i="25"/>
  <c r="CK13" i="25"/>
  <c r="CK314" i="25"/>
  <c r="CK282" i="25"/>
  <c r="CK278" i="25"/>
  <c r="CK272" i="25"/>
  <c r="CK267" i="25"/>
  <c r="CK265" i="25"/>
  <c r="CK263" i="25"/>
  <c r="CK253" i="25"/>
  <c r="CK242" i="25"/>
  <c r="CK233" i="25"/>
  <c r="CK206" i="25"/>
  <c r="CK183" i="25"/>
  <c r="CK179" i="25"/>
  <c r="CK177" i="25"/>
  <c r="CK170" i="25"/>
  <c r="CK150" i="25"/>
  <c r="CK137" i="25"/>
  <c r="CK119" i="25"/>
  <c r="CK87" i="25"/>
  <c r="CK85" i="25"/>
  <c r="CK76" i="25"/>
  <c r="CK72" i="25"/>
  <c r="CK269" i="25"/>
  <c r="CK251" i="25"/>
  <c r="CK230" i="25"/>
  <c r="CK181" i="25"/>
  <c r="CK168" i="25"/>
  <c r="CK164" i="25"/>
  <c r="CK130" i="25"/>
  <c r="CK116" i="25"/>
  <c r="CK74" i="25"/>
  <c r="CK316" i="25"/>
  <c r="CK311" i="25"/>
  <c r="CK309" i="25"/>
  <c r="CK301" i="25"/>
  <c r="CK299" i="25"/>
  <c r="CK294" i="25"/>
  <c r="CK291" i="25"/>
  <c r="CK288" i="25"/>
  <c r="CK286" i="25"/>
  <c r="CK284" i="25"/>
  <c r="CK275" i="25"/>
  <c r="CK258" i="25"/>
  <c r="CK256" i="25"/>
  <c r="CK246" i="25"/>
  <c r="CK244" i="25"/>
  <c r="CK237" i="25"/>
  <c r="CK235" i="25"/>
  <c r="CK224" i="25"/>
  <c r="CK216" i="25"/>
  <c r="CK208" i="25"/>
  <c r="CK204" i="25"/>
  <c r="CK195" i="25"/>
  <c r="CK189" i="25"/>
  <c r="CK185" i="25"/>
  <c r="CK175" i="25"/>
  <c r="CK166" i="25"/>
  <c r="CK160" i="25"/>
  <c r="CK156" i="25"/>
  <c r="CK153" i="25"/>
  <c r="CK122" i="25"/>
  <c r="CK111" i="25"/>
  <c r="CK110" i="25"/>
  <c r="CK89" i="25"/>
  <c r="CK38" i="25"/>
  <c r="CK31" i="25"/>
  <c r="CK27" i="25"/>
  <c r="CK25" i="25"/>
  <c r="CK12" i="25"/>
  <c r="CK10" i="25"/>
  <c r="CK290" i="25"/>
  <c r="CK277" i="25"/>
  <c r="CK254" i="25"/>
  <c r="CK227" i="25"/>
  <c r="CK200" i="25"/>
  <c r="CK196" i="25"/>
  <c r="CK159" i="25"/>
  <c r="CK138" i="25"/>
  <c r="CK120" i="25"/>
  <c r="CK97" i="25"/>
  <c r="CK93" i="25"/>
  <c r="CK80" i="25"/>
  <c r="CK62" i="25"/>
  <c r="CK53" i="25"/>
  <c r="CK42" i="25"/>
  <c r="CK33" i="25"/>
  <c r="CK24" i="25"/>
  <c r="CK313" i="25"/>
  <c r="CK306" i="25"/>
  <c r="CK304" i="25"/>
  <c r="CK296" i="25"/>
  <c r="CK248" i="25"/>
  <c r="CK239" i="25"/>
  <c r="CK232" i="25"/>
  <c r="CK221" i="25"/>
  <c r="CK218" i="25"/>
  <c r="CK202" i="25"/>
  <c r="CK192" i="25"/>
  <c r="CK187" i="25"/>
  <c r="CK173" i="25"/>
  <c r="CK163" i="25"/>
  <c r="CK148" i="25"/>
  <c r="CK146" i="25"/>
  <c r="CK144" i="25"/>
  <c r="CK142" i="25"/>
  <c r="CK140" i="25"/>
  <c r="CK135" i="25"/>
  <c r="CK133" i="25"/>
  <c r="CK128" i="25"/>
  <c r="CK125" i="25"/>
  <c r="CK114" i="25"/>
  <c r="CK103" i="25"/>
  <c r="CK101" i="25"/>
  <c r="CK95" i="25"/>
  <c r="CK91" i="25"/>
  <c r="CK68" i="25"/>
  <c r="CK66" i="25"/>
  <c r="CK55" i="25"/>
  <c r="CK51" i="25"/>
  <c r="CK49" i="25"/>
  <c r="CK45" i="25"/>
  <c r="CK40" i="25"/>
  <c r="CK29" i="25"/>
  <c r="CK22" i="25"/>
  <c r="CK20" i="25"/>
  <c r="CK18" i="25"/>
  <c r="CK16" i="25"/>
  <c r="CK14" i="25"/>
  <c r="CK6" i="25"/>
  <c r="CK308" i="25"/>
  <c r="CK279" i="25"/>
  <c r="CK274" i="25"/>
  <c r="CK260" i="25"/>
  <c r="CK250" i="25"/>
  <c r="CK210" i="25"/>
  <c r="CK198" i="25"/>
  <c r="CK171" i="25"/>
  <c r="CK152" i="25"/>
  <c r="CK131" i="25"/>
  <c r="CK117" i="25"/>
  <c r="CK99" i="25"/>
  <c r="CK82" i="25"/>
  <c r="CK78" i="25"/>
  <c r="CK58" i="25"/>
  <c r="CK47" i="25"/>
  <c r="CK35" i="25"/>
  <c r="CK271" i="25"/>
  <c r="CK71" i="25"/>
  <c r="CK298" i="25"/>
  <c r="CK293" i="25"/>
  <c r="CK281" i="25"/>
  <c r="CK268" i="25"/>
  <c r="CK266" i="25"/>
  <c r="CK264" i="25"/>
  <c r="CK252" i="25"/>
  <c r="CK241" i="25"/>
  <c r="CK234" i="25"/>
  <c r="CK229" i="25"/>
  <c r="CK207" i="25"/>
  <c r="CK193" i="25"/>
  <c r="CK190" i="25"/>
  <c r="CK182" i="25"/>
  <c r="CK180" i="25"/>
  <c r="CK178" i="25"/>
  <c r="CK176" i="25"/>
  <c r="CK162" i="25"/>
  <c r="CK315" i="25"/>
  <c r="CK312" i="25"/>
  <c r="CK310" i="25"/>
  <c r="CK303" i="25"/>
  <c r="CK300" i="25"/>
  <c r="CK295" i="25"/>
  <c r="CK283" i="25"/>
  <c r="CK270" i="25"/>
  <c r="CK262" i="25"/>
  <c r="CK259" i="25"/>
  <c r="CK257" i="25"/>
  <c r="CK245" i="25"/>
  <c r="CK243" i="25"/>
  <c r="CK238" i="25"/>
  <c r="CK236" i="25"/>
  <c r="CK226" i="25"/>
  <c r="CK223" i="25"/>
  <c r="CK220" i="25"/>
  <c r="CK217" i="25"/>
  <c r="CK205" i="25"/>
  <c r="CK184" i="25"/>
  <c r="CK165" i="25"/>
  <c r="CK158" i="25"/>
  <c r="CK151" i="25"/>
  <c r="CK136" i="25"/>
  <c r="CK132" i="25"/>
  <c r="CK129" i="25"/>
  <c r="CK126" i="25"/>
  <c r="CK115" i="25"/>
  <c r="CK105" i="25"/>
  <c r="CK100" i="25"/>
  <c r="CK90" i="25"/>
  <c r="CK88" i="25"/>
  <c r="CK77" i="25"/>
  <c r="CK69" i="25"/>
  <c r="CK67" i="25"/>
  <c r="CK60" i="25"/>
  <c r="CK56" i="25"/>
  <c r="CK50" i="25"/>
  <c r="CK32" i="25"/>
  <c r="CK30" i="25"/>
  <c r="CK28" i="25"/>
  <c r="CK11" i="25"/>
  <c r="CK307" i="25"/>
  <c r="CK305" i="25"/>
  <c r="CK285" i="25"/>
  <c r="CK276" i="25"/>
  <c r="CK273" i="25"/>
  <c r="CK255" i="25"/>
  <c r="CK247" i="25"/>
  <c r="CK240" i="25"/>
  <c r="CK231" i="25"/>
  <c r="CK209" i="25"/>
  <c r="CK203" i="25"/>
  <c r="CK188" i="25"/>
  <c r="CK174" i="25"/>
  <c r="CK154" i="25"/>
  <c r="CK149" i="25"/>
  <c r="CK145" i="25"/>
  <c r="CK141" i="25"/>
  <c r="CK134" i="25"/>
  <c r="CK121" i="25"/>
  <c r="CK102" i="25"/>
  <c r="CK52" i="25"/>
  <c r="CK48" i="25"/>
  <c r="CK70" i="25"/>
  <c r="CK61" i="25"/>
  <c r="CK36" i="25"/>
  <c r="CK44" i="25"/>
  <c r="CK9" i="25"/>
  <c r="CK167" i="25"/>
  <c r="CK169" i="25"/>
  <c r="CK155" i="25"/>
  <c r="CK84" i="25"/>
  <c r="CK41" i="25"/>
  <c r="CK21" i="25"/>
  <c r="CK7" i="25"/>
  <c r="CK39" i="25"/>
  <c r="CK19" i="25"/>
  <c r="CK43" i="25"/>
  <c r="CK26" i="25"/>
  <c r="CK15" i="25"/>
  <c r="CK123" i="25"/>
  <c r="CK34" i="25"/>
  <c r="CK63" i="25"/>
  <c r="CK8" i="25"/>
  <c r="CK86" i="25"/>
  <c r="CK73" i="25"/>
  <c r="CK64" i="25"/>
  <c r="CK57" i="25"/>
  <c r="CK37" i="25"/>
  <c r="CK59" i="25"/>
  <c r="CK75" i="25"/>
  <c r="BO110" i="24"/>
  <c r="BR110" i="24" s="1"/>
  <c r="M1" i="24"/>
  <c r="K41" i="16" l="1"/>
  <c r="K40" i="16"/>
  <c r="K39" i="16"/>
  <c r="K33" i="16"/>
  <c r="J33" i="16"/>
  <c r="I33" i="16"/>
  <c r="H33" i="16"/>
  <c r="I34" i="16"/>
  <c r="H34" i="16"/>
  <c r="C41" i="16"/>
  <c r="D40" i="16"/>
  <c r="D39" i="16"/>
  <c r="J40" i="16"/>
  <c r="H40" i="16"/>
  <c r="J39" i="16"/>
  <c r="J50" i="16"/>
  <c r="I50" i="16"/>
  <c r="H50" i="16"/>
  <c r="A50" i="16"/>
  <c r="D42" i="16"/>
  <c r="D41" i="16"/>
  <c r="F245" i="2"/>
  <c r="K47" i="16"/>
  <c r="J47" i="16"/>
  <c r="I40" i="16"/>
  <c r="C40" i="16"/>
  <c r="B34" i="16"/>
  <c r="A40" i="16"/>
  <c r="B251" i="2"/>
  <c r="A33" i="16"/>
  <c r="K50" i="16"/>
  <c r="M14" i="1" l="1"/>
  <c r="A2" i="28"/>
  <c r="A2" i="22"/>
  <c r="B17" i="2"/>
  <c r="B16" i="2"/>
  <c r="C44" i="16" l="1"/>
  <c r="D44" i="16"/>
  <c r="CM212" i="25"/>
  <c r="N322" i="25"/>
  <c r="CM112" i="25"/>
  <c r="CM5" i="25"/>
  <c r="CM273" i="25"/>
  <c r="CM261" i="25"/>
  <c r="CM298" i="25"/>
  <c r="CM305" i="25"/>
  <c r="CM301" i="25"/>
  <c r="CM307" i="25"/>
  <c r="CM309" i="25"/>
  <c r="CM240" i="25"/>
  <c r="CM284" i="25"/>
  <c r="CM220" i="25"/>
  <c r="CM286" i="25"/>
  <c r="CM223" i="25"/>
  <c r="CM269" i="25"/>
  <c r="CM198" i="25"/>
  <c r="CM162" i="25"/>
  <c r="CM102" i="25"/>
  <c r="CM158" i="25"/>
  <c r="CM66" i="25"/>
  <c r="CM159" i="25"/>
  <c r="CM151" i="25"/>
  <c r="CM7" i="25"/>
  <c r="CM71" i="25"/>
  <c r="CM25" i="25"/>
  <c r="CM85" i="25"/>
  <c r="CM34" i="25"/>
  <c r="CM135" i="25"/>
  <c r="CM202" i="25"/>
  <c r="CM35" i="25"/>
  <c r="CM140" i="25"/>
  <c r="CM160" i="25"/>
  <c r="CM97" i="25"/>
  <c r="CM11" i="25"/>
  <c r="CM77" i="25"/>
  <c r="CM30" i="25"/>
  <c r="CM170" i="25"/>
  <c r="CM26" i="25"/>
  <c r="CM218" i="25"/>
  <c r="CM226" i="25"/>
  <c r="CM285" i="25"/>
  <c r="CM260" i="25"/>
  <c r="CM243" i="25"/>
  <c r="CM278" i="25"/>
  <c r="CM245" i="25"/>
  <c r="CM233" i="25"/>
  <c r="CM217" i="25"/>
  <c r="CM311" i="25"/>
  <c r="CM259" i="25"/>
  <c r="CM316" i="25"/>
  <c r="CM262" i="25"/>
  <c r="CM263" i="25"/>
  <c r="CM116" i="25"/>
  <c r="CM130" i="25"/>
  <c r="CM113" i="25"/>
  <c r="CM6" i="25"/>
  <c r="CM72" i="25"/>
  <c r="CM56" i="25"/>
  <c r="CM133" i="25"/>
  <c r="CM199" i="25"/>
  <c r="CM171" i="25"/>
  <c r="CM32" i="25"/>
  <c r="CM177" i="25"/>
  <c r="CM209" i="25"/>
  <c r="CM180" i="25"/>
  <c r="CM27" i="25"/>
  <c r="CM87" i="25"/>
  <c r="CM147" i="25"/>
  <c r="CM144" i="25"/>
  <c r="CM123" i="25"/>
  <c r="CM67" i="25"/>
  <c r="CM83" i="25"/>
  <c r="CM101" i="25"/>
  <c r="CM92" i="25"/>
  <c r="CM45" i="25"/>
  <c r="CM13" i="25"/>
  <c r="CM43" i="25"/>
  <c r="CM78" i="25"/>
  <c r="CM114" i="25"/>
  <c r="CM139" i="25"/>
  <c r="CM146" i="25"/>
  <c r="CM294" i="25"/>
  <c r="CM52" i="25"/>
  <c r="CM194" i="25"/>
  <c r="CM81" i="25"/>
  <c r="CM279" i="25"/>
  <c r="CM118" i="25"/>
  <c r="CM53" i="25"/>
  <c r="CM75" i="25"/>
  <c r="CM208" i="25"/>
  <c r="CM186" i="25"/>
  <c r="CM48" i="25"/>
  <c r="CM191" i="25"/>
  <c r="CM293" i="25"/>
  <c r="CM270" i="25"/>
  <c r="CM239" i="25"/>
  <c r="CM300" i="25"/>
  <c r="CM219" i="25"/>
  <c r="CM303" i="25"/>
  <c r="CM282" i="25"/>
  <c r="CM257" i="25"/>
  <c r="CM230" i="25"/>
  <c r="CM312" i="25"/>
  <c r="CM251" i="25"/>
  <c r="CM315" i="25"/>
  <c r="CM249" i="25"/>
  <c r="CM188" i="25"/>
  <c r="CM76" i="25"/>
  <c r="CM197" i="25"/>
  <c r="CM9" i="25"/>
  <c r="CM105" i="25"/>
  <c r="CM117" i="25"/>
  <c r="CM153" i="25"/>
  <c r="CM183" i="25"/>
  <c r="CM70" i="25"/>
  <c r="CM82" i="25"/>
  <c r="CM187" i="25"/>
  <c r="CM206" i="25"/>
  <c r="CM189" i="25"/>
  <c r="CM152" i="25"/>
  <c r="CM192" i="25"/>
  <c r="CM216" i="25"/>
  <c r="CM38" i="25"/>
  <c r="CM157" i="25"/>
  <c r="CM89" i="25"/>
  <c r="CM190" i="25"/>
  <c r="CM103" i="25"/>
  <c r="CM161" i="25"/>
  <c r="CM155" i="25"/>
  <c r="CM88" i="25"/>
  <c r="CM110" i="25"/>
  <c r="CM17" i="25"/>
  <c r="CM271" i="25"/>
  <c r="CM228" i="25"/>
  <c r="CM39" i="25"/>
  <c r="CM163" i="25"/>
  <c r="CM62" i="25"/>
  <c r="CM80" i="25"/>
  <c r="CM172" i="25"/>
  <c r="CM236" i="25"/>
  <c r="CM304" i="25"/>
  <c r="CM225" i="25"/>
  <c r="CM121" i="25"/>
  <c r="CM166" i="25"/>
  <c r="CM16" i="25"/>
  <c r="CM250" i="25"/>
  <c r="CM229" i="25"/>
  <c r="CM246" i="25"/>
  <c r="CM252" i="25"/>
  <c r="CM292" i="25"/>
  <c r="CM264" i="25"/>
  <c r="CM222" i="25"/>
  <c r="CM310" i="25"/>
  <c r="CM242" i="25"/>
  <c r="CM268" i="25"/>
  <c r="CM253" i="25"/>
  <c r="CM281" i="25"/>
  <c r="CM287" i="25"/>
  <c r="CM86" i="25"/>
  <c r="CM55" i="25"/>
  <c r="CM8" i="25"/>
  <c r="CM176" i="25"/>
  <c r="CM128" i="25"/>
  <c r="CM12" i="25"/>
  <c r="CM14" i="25"/>
  <c r="CM18" i="25"/>
  <c r="CM23" i="25"/>
  <c r="CM173" i="25"/>
  <c r="CM143" i="25"/>
  <c r="CM94" i="25"/>
  <c r="CM21" i="25"/>
  <c r="CM60" i="25"/>
  <c r="CM131" i="25"/>
  <c r="CM156" i="25"/>
  <c r="CM145" i="25"/>
  <c r="CM41" i="25"/>
  <c r="CM126" i="25"/>
  <c r="CM248" i="25"/>
  <c r="CM93" i="25"/>
  <c r="CM204" i="25"/>
  <c r="CM29" i="25"/>
  <c r="CM104" i="25"/>
  <c r="CM205" i="25"/>
  <c r="CM142" i="25"/>
  <c r="CM185" i="25"/>
  <c r="CM244" i="25"/>
  <c r="CM238" i="25"/>
  <c r="CM241" i="25"/>
  <c r="CM148" i="25"/>
  <c r="CM125" i="25"/>
  <c r="CM115" i="25"/>
  <c r="CM28" i="25"/>
  <c r="CM36" i="25"/>
  <c r="CM181" i="25"/>
  <c r="CM132" i="25"/>
  <c r="CM136" i="25"/>
  <c r="CM74" i="25"/>
  <c r="CM79" i="25"/>
  <c r="CM96" i="25"/>
  <c r="CM299" i="25"/>
  <c r="CM99" i="25"/>
  <c r="CM49" i="25"/>
  <c r="CM46" i="25"/>
  <c r="CM291" i="25"/>
  <c r="CM283" i="25"/>
  <c r="CM280" i="25"/>
  <c r="CM296" i="25"/>
  <c r="CM289" i="25"/>
  <c r="CM227" i="25"/>
  <c r="CM274" i="25"/>
  <c r="CM254" i="25"/>
  <c r="CM302" i="25"/>
  <c r="CM277" i="25"/>
  <c r="CM272" i="25"/>
  <c r="CM237" i="25"/>
  <c r="CM90" i="25"/>
  <c r="CM111" i="25"/>
  <c r="CM195" i="25"/>
  <c r="CM65" i="25"/>
  <c r="CM84" i="25"/>
  <c r="CM203" i="25"/>
  <c r="CM178" i="25"/>
  <c r="CM68" i="25"/>
  <c r="CM196" i="25"/>
  <c r="CM164" i="25"/>
  <c r="CM124" i="25"/>
  <c r="CM69" i="25"/>
  <c r="CM193" i="25"/>
  <c r="CM182" i="25"/>
  <c r="CM95" i="25"/>
  <c r="CM61" i="25"/>
  <c r="CM57" i="25"/>
  <c r="CM58" i="25"/>
  <c r="CM73" i="25"/>
  <c r="CM54" i="25"/>
  <c r="CM210" i="25"/>
  <c r="CM98" i="25"/>
  <c r="CM232" i="25"/>
  <c r="CM313" i="25"/>
  <c r="CM165" i="25"/>
  <c r="CM44" i="25"/>
  <c r="CM40" i="25"/>
  <c r="CM265" i="25"/>
  <c r="CM234" i="25"/>
  <c r="CM295" i="25"/>
  <c r="CM258" i="25"/>
  <c r="CM231" i="25"/>
  <c r="CM275" i="25"/>
  <c r="CM256" i="25"/>
  <c r="CM224" i="25"/>
  <c r="CM247" i="25"/>
  <c r="CM235" i="25"/>
  <c r="CM255" i="25"/>
  <c r="CM288" i="25"/>
  <c r="CM149" i="25"/>
  <c r="CM167" i="25"/>
  <c r="CM100" i="25"/>
  <c r="CM20" i="25"/>
  <c r="CM42" i="25"/>
  <c r="CM174" i="25"/>
  <c r="CM10" i="25"/>
  <c r="CM63" i="25"/>
  <c r="CM169" i="25"/>
  <c r="CM138" i="25"/>
  <c r="CM59" i="25"/>
  <c r="CM134" i="25"/>
  <c r="CM184" i="25"/>
  <c r="CM91" i="25"/>
  <c r="CM200" i="25"/>
  <c r="CM168" i="25"/>
  <c r="CM127" i="25"/>
  <c r="CM47" i="25"/>
  <c r="CM37" i="25"/>
  <c r="CM141" i="25"/>
  <c r="CM31" i="25"/>
  <c r="CM119" i="25"/>
  <c r="CM137" i="25"/>
  <c r="CM201" i="25"/>
  <c r="CM64" i="25"/>
  <c r="CM150" i="25"/>
  <c r="CM154" i="25"/>
  <c r="CM207" i="25"/>
  <c r="CM51" i="25"/>
  <c r="CM120" i="25"/>
  <c r="CM276" i="25"/>
  <c r="CM308" i="25"/>
  <c r="CM297" i="25"/>
  <c r="CM266" i="25"/>
  <c r="CM314" i="25"/>
  <c r="CM221" i="25"/>
  <c r="CM122" i="25"/>
  <c r="CM15" i="25"/>
  <c r="CM129" i="25"/>
  <c r="CM267" i="25"/>
  <c r="CM306" i="25"/>
  <c r="CM290" i="25"/>
  <c r="CM33" i="25"/>
  <c r="CM50" i="25"/>
  <c r="CM179" i="25"/>
  <c r="CM19" i="25"/>
  <c r="CM22" i="25"/>
  <c r="CM175" i="25"/>
  <c r="CM24" i="25"/>
  <c r="I5" i="25"/>
  <c r="B73" i="2"/>
  <c r="D245" i="2" s="1"/>
  <c r="B19" i="2"/>
  <c r="BP6" i="19"/>
  <c r="BQ6" i="19"/>
  <c r="BU6" i="19"/>
  <c r="CA6" i="19" s="1"/>
  <c r="BV6" i="19"/>
  <c r="CB6" i="19" s="1"/>
  <c r="BW6" i="19"/>
  <c r="CC6" i="19" s="1"/>
  <c r="BP7" i="19"/>
  <c r="BQ7" i="19"/>
  <c r="BU7" i="19"/>
  <c r="CA7" i="19" s="1"/>
  <c r="BV7" i="19"/>
  <c r="CB7" i="19" s="1"/>
  <c r="BW7" i="19"/>
  <c r="CC7" i="19" s="1"/>
  <c r="BP8" i="19"/>
  <c r="BQ8" i="19"/>
  <c r="BU8" i="19"/>
  <c r="CA8" i="19" s="1"/>
  <c r="BV8" i="19"/>
  <c r="CB8" i="19" s="1"/>
  <c r="BW8" i="19"/>
  <c r="CC8" i="19"/>
  <c r="BP9" i="19"/>
  <c r="BQ9" i="19"/>
  <c r="BU9" i="19"/>
  <c r="BV9" i="19"/>
  <c r="CB9" i="19" s="1"/>
  <c r="BW9" i="19"/>
  <c r="CA9" i="19"/>
  <c r="CC9" i="19"/>
  <c r="D24" i="2"/>
  <c r="A24" i="2"/>
  <c r="AL216" i="25"/>
  <c r="AL110" i="25"/>
  <c r="AL5" i="25"/>
  <c r="K13" i="1"/>
  <c r="K9" i="1"/>
  <c r="B297" i="2" l="1"/>
  <c r="R35" i="2"/>
  <c r="R34" i="2"/>
  <c r="B139" i="2" l="1"/>
  <c r="C33" i="16"/>
  <c r="B103" i="2"/>
  <c r="B108" i="2" l="1"/>
  <c r="K36" i="1"/>
  <c r="K33" i="1"/>
  <c r="D10" i="1"/>
  <c r="D11" i="1"/>
  <c r="D36" i="1"/>
  <c r="D33" i="1"/>
  <c r="D49" i="1"/>
  <c r="B197" i="2" l="1"/>
  <c r="ER212" i="25" s="1"/>
  <c r="BN5" i="25" l="1"/>
  <c r="BM110" i="25"/>
  <c r="BM216" i="25"/>
  <c r="ER237" i="25"/>
  <c r="ER270" i="25"/>
  <c r="ER261" i="25"/>
  <c r="ER246" i="25"/>
  <c r="ER274" i="25"/>
  <c r="ER300" i="25"/>
  <c r="ER219" i="25"/>
  <c r="ER304" i="25"/>
  <c r="ER297" i="25"/>
  <c r="ER224" i="25"/>
  <c r="ER247" i="25"/>
  <c r="ER235" i="25"/>
  <c r="ER238" i="25"/>
  <c r="ER303" i="25"/>
  <c r="ER255" i="25"/>
  <c r="ER288" i="25"/>
  <c r="ER229" i="25"/>
  <c r="ER276" i="25"/>
  <c r="ER294" i="25"/>
  <c r="ER248" i="25"/>
  <c r="ER252" i="25"/>
  <c r="ER292" i="25"/>
  <c r="ER227" i="25"/>
  <c r="ER240" i="25"/>
  <c r="ER284" i="25"/>
  <c r="ER220" i="25"/>
  <c r="ER286" i="25"/>
  <c r="ER298" i="25"/>
  <c r="ER233" i="25"/>
  <c r="ER223" i="25"/>
  <c r="ER269" i="25"/>
  <c r="ER293" i="25"/>
  <c r="ER236" i="25"/>
  <c r="ER267" i="25"/>
  <c r="ER256" i="25"/>
  <c r="ER271" i="25"/>
  <c r="ER231" i="25"/>
  <c r="ER216" i="25"/>
  <c r="EU216" i="25" s="1"/>
  <c r="ER217" i="25"/>
  <c r="ER311" i="25"/>
  <c r="ER259" i="25"/>
  <c r="ER316" i="25"/>
  <c r="ER262" i="25"/>
  <c r="ER263" i="25"/>
  <c r="ER250" i="25"/>
  <c r="ER283" i="25"/>
  <c r="ER280" i="25"/>
  <c r="ER299" i="25"/>
  <c r="ER279" i="25"/>
  <c r="ER307" i="25"/>
  <c r="ER275" i="25"/>
  <c r="ER257" i="25"/>
  <c r="ER230" i="25"/>
  <c r="ER312" i="25"/>
  <c r="ER251" i="25"/>
  <c r="ER281" i="25"/>
  <c r="ER314" i="25"/>
  <c r="ER315" i="25"/>
  <c r="ER249" i="25"/>
  <c r="ER232" i="25"/>
  <c r="ER234" i="25"/>
  <c r="ER285" i="25"/>
  <c r="ER272" i="25"/>
  <c r="ER296" i="25"/>
  <c r="ER245" i="25"/>
  <c r="ER309" i="25"/>
  <c r="ER310" i="25"/>
  <c r="ER242" i="25"/>
  <c r="ER268" i="25"/>
  <c r="ER253" i="25"/>
  <c r="ER287" i="25"/>
  <c r="ER266" i="25"/>
  <c r="ER221" i="25"/>
  <c r="ER273" i="25"/>
  <c r="ER291" i="25"/>
  <c r="ER260" i="25"/>
  <c r="ER295" i="25"/>
  <c r="ER305" i="25"/>
  <c r="ER301" i="25"/>
  <c r="ER264" i="25"/>
  <c r="ER282" i="25"/>
  <c r="ER306" i="25"/>
  <c r="ER225" i="25"/>
  <c r="ER313" i="25"/>
  <c r="ER244" i="25"/>
  <c r="ER218" i="25"/>
  <c r="ER290" i="25"/>
  <c r="ER226" i="25"/>
  <c r="ER265" i="25"/>
  <c r="ER239" i="25"/>
  <c r="ER241" i="25"/>
  <c r="ER243" i="25"/>
  <c r="ER278" i="25"/>
  <c r="ER308" i="25"/>
  <c r="ER222" i="25"/>
  <c r="ER254" i="25"/>
  <c r="ER302" i="25"/>
  <c r="ER277" i="25"/>
  <c r="ER289" i="25"/>
  <c r="ER258" i="25"/>
  <c r="ER228" i="25"/>
  <c r="ER5" i="25"/>
  <c r="ER73" i="25"/>
  <c r="ER162" i="25"/>
  <c r="ER10" i="25"/>
  <c r="ER194" i="25"/>
  <c r="ER100" i="25"/>
  <c r="ER42" i="25"/>
  <c r="ER65" i="25"/>
  <c r="ER203" i="25"/>
  <c r="ER68" i="25"/>
  <c r="ER164" i="25"/>
  <c r="ER63" i="25"/>
  <c r="ER180" i="25"/>
  <c r="ER27" i="25"/>
  <c r="ER147" i="25"/>
  <c r="ER205" i="25"/>
  <c r="ER80" i="25"/>
  <c r="ER37" i="25"/>
  <c r="ER190" i="25"/>
  <c r="ER93" i="25"/>
  <c r="ER15" i="25"/>
  <c r="ER58" i="25"/>
  <c r="ER175" i="25"/>
  <c r="ER26" i="25"/>
  <c r="ER78" i="25"/>
  <c r="ER110" i="25"/>
  <c r="EU110" i="25" s="1"/>
  <c r="ER16" i="25"/>
  <c r="ER43" i="25"/>
  <c r="ER82" i="25"/>
  <c r="ER111" i="25"/>
  <c r="ER94" i="25"/>
  <c r="ER158" i="25"/>
  <c r="ER159" i="25"/>
  <c r="ER113" i="25"/>
  <c r="ER56" i="25"/>
  <c r="ER133" i="25"/>
  <c r="ER85" i="25"/>
  <c r="ER7" i="25"/>
  <c r="ER131" i="25"/>
  <c r="ER156" i="25"/>
  <c r="ER59" i="25"/>
  <c r="ER182" i="25"/>
  <c r="ER31" i="25"/>
  <c r="ER123" i="25"/>
  <c r="ER47" i="25"/>
  <c r="ER38" i="25"/>
  <c r="ER84" i="25"/>
  <c r="ER198" i="25"/>
  <c r="ER150" i="25"/>
  <c r="ER155" i="25"/>
  <c r="ER210" i="25"/>
  <c r="ER185" i="25"/>
  <c r="ER169" i="25"/>
  <c r="ER18" i="25"/>
  <c r="ER189" i="25"/>
  <c r="ER86" i="25"/>
  <c r="ER176" i="25"/>
  <c r="ER12" i="25"/>
  <c r="ER197" i="25"/>
  <c r="ER105" i="25"/>
  <c r="ER173" i="25"/>
  <c r="ER183" i="25"/>
  <c r="ER44" i="25"/>
  <c r="ER29" i="25"/>
  <c r="ER208" i="25"/>
  <c r="ER34" i="25"/>
  <c r="ER35" i="25"/>
  <c r="ER160" i="25"/>
  <c r="ER41" i="25"/>
  <c r="ER171" i="25"/>
  <c r="ER166" i="25"/>
  <c r="ER70" i="25"/>
  <c r="ER14" i="25"/>
  <c r="ER13" i="25"/>
  <c r="ER52" i="25"/>
  <c r="ER55" i="25"/>
  <c r="ER116" i="25"/>
  <c r="ER19" i="25"/>
  <c r="ER99" i="25"/>
  <c r="ER122" i="25"/>
  <c r="ER118" i="25"/>
  <c r="ER165" i="25"/>
  <c r="ER53" i="25"/>
  <c r="ER79" i="25"/>
  <c r="ER134" i="25"/>
  <c r="ER91" i="25"/>
  <c r="ER168" i="25"/>
  <c r="ER21" i="25"/>
  <c r="ER152" i="25"/>
  <c r="ER181" i="25"/>
  <c r="ER61" i="25"/>
  <c r="ER6" i="25"/>
  <c r="ER137" i="25"/>
  <c r="ER149" i="25"/>
  <c r="ER49" i="25"/>
  <c r="ER96" i="25"/>
  <c r="ER154" i="25"/>
  <c r="ER174" i="25"/>
  <c r="ER125" i="25"/>
  <c r="ER72" i="25"/>
  <c r="ER167" i="25"/>
  <c r="ER20" i="25"/>
  <c r="ER195" i="25"/>
  <c r="ER8" i="25"/>
  <c r="ER178" i="25"/>
  <c r="ER196" i="25"/>
  <c r="ER124" i="25"/>
  <c r="ER209" i="25"/>
  <c r="ER135" i="25"/>
  <c r="ER87" i="25"/>
  <c r="ER36" i="25"/>
  <c r="ER40" i="25"/>
  <c r="ER119" i="25"/>
  <c r="ER145" i="25"/>
  <c r="ER45" i="25"/>
  <c r="ER92" i="25"/>
  <c r="ER28" i="25"/>
  <c r="ER103" i="25"/>
  <c r="ER161" i="25"/>
  <c r="ER30" i="25"/>
  <c r="ER114" i="25"/>
  <c r="ER17" i="25"/>
  <c r="ER51" i="25"/>
  <c r="ER32" i="25"/>
  <c r="ER148" i="25"/>
  <c r="ER177" i="25"/>
  <c r="ER102" i="25"/>
  <c r="ER66" i="25"/>
  <c r="ER130" i="25"/>
  <c r="ER39" i="25"/>
  <c r="ER71" i="25"/>
  <c r="ER25" i="25"/>
  <c r="ER199" i="25"/>
  <c r="ER60" i="25"/>
  <c r="ER187" i="25"/>
  <c r="ER206" i="25"/>
  <c r="ER141" i="25"/>
  <c r="ER95" i="25"/>
  <c r="ER83" i="25"/>
  <c r="ER11" i="25"/>
  <c r="ER101" i="25"/>
  <c r="ER157" i="25"/>
  <c r="ER77" i="25"/>
  <c r="ER144" i="25"/>
  <c r="ER46" i="25"/>
  <c r="ER88" i="25"/>
  <c r="ER146" i="25"/>
  <c r="ER98" i="25"/>
  <c r="ER74" i="25"/>
  <c r="ER170" i="25"/>
  <c r="ER90" i="25"/>
  <c r="ER33" i="25"/>
  <c r="ER23" i="25"/>
  <c r="ER188" i="25"/>
  <c r="ER128" i="25"/>
  <c r="ER76" i="25"/>
  <c r="ER9" i="25"/>
  <c r="ER117" i="25"/>
  <c r="ER153" i="25"/>
  <c r="ER143" i="25"/>
  <c r="ER115" i="25"/>
  <c r="ER62" i="25"/>
  <c r="ER81" i="25"/>
  <c r="ER67" i="25"/>
  <c r="ER140" i="25"/>
  <c r="ER139" i="25"/>
  <c r="ER69" i="25"/>
  <c r="ER142" i="25"/>
  <c r="ER186" i="25"/>
  <c r="ER132" i="25"/>
  <c r="ER97" i="25"/>
  <c r="ER201" i="25"/>
  <c r="ER136" i="25"/>
  <c r="ER24" i="25"/>
  <c r="ER191" i="25"/>
  <c r="ER112" i="25"/>
  <c r="ER151" i="25"/>
  <c r="ER138" i="25"/>
  <c r="ER104" i="25"/>
  <c r="ER50" i="25"/>
  <c r="ER163" i="25"/>
  <c r="ER179" i="25"/>
  <c r="ER121" i="25"/>
  <c r="ER22" i="25"/>
  <c r="ER204" i="25"/>
  <c r="ER75" i="25"/>
  <c r="ER184" i="25"/>
  <c r="ER200" i="25"/>
  <c r="ER127" i="25"/>
  <c r="ER126" i="25"/>
  <c r="ER192" i="25"/>
  <c r="ER172" i="25"/>
  <c r="ER129" i="25"/>
  <c r="ER202" i="25"/>
  <c r="ER57" i="25"/>
  <c r="ER193" i="25"/>
  <c r="ER89" i="25"/>
  <c r="ER64" i="25"/>
  <c r="ER207" i="25"/>
  <c r="ER120" i="25"/>
  <c r="ER54" i="25"/>
  <c r="ER48" i="25"/>
  <c r="BO5" i="24"/>
  <c r="EQ5" i="25"/>
  <c r="ES5" i="24"/>
  <c r="EV5" i="24" s="1"/>
  <c r="BM5" i="25"/>
  <c r="I78" i="2"/>
  <c r="B295" i="2"/>
  <c r="B12" i="2"/>
  <c r="CC216" i="25" l="1"/>
  <c r="FG216" i="25"/>
  <c r="EU5" i="25"/>
  <c r="FG110" i="25"/>
  <c r="CJ7" i="25"/>
  <c r="CJ6" i="25"/>
  <c r="CC110" i="25"/>
  <c r="B280" i="2"/>
  <c r="EQ6" i="25" l="1"/>
  <c r="EU6" i="25" s="1"/>
  <c r="DP6" i="25"/>
  <c r="FG6" i="25"/>
  <c r="EQ7" i="25"/>
  <c r="EU7" i="25" s="1"/>
  <c r="DP7" i="25"/>
  <c r="FG7" i="25"/>
  <c r="B244" i="2"/>
  <c r="A242" i="2"/>
  <c r="B74" i="2"/>
  <c r="D241" i="2" l="1"/>
  <c r="A241" i="2"/>
  <c r="D240" i="2" l="1"/>
  <c r="D296" i="2"/>
  <c r="C259" i="2"/>
  <c r="C268" i="2"/>
  <c r="D268" i="2"/>
  <c r="B48" i="19"/>
  <c r="B36" i="2" l="1"/>
  <c r="B20" i="2"/>
  <c r="B21" i="2"/>
  <c r="B24" i="2"/>
  <c r="C245" i="2"/>
  <c r="C74" i="2"/>
  <c r="B102" i="2"/>
  <c r="B107" i="2" l="1"/>
  <c r="B135" i="2"/>
  <c r="B80" i="2"/>
  <c r="C80" i="2"/>
  <c r="B296" i="2"/>
  <c r="C244" i="2"/>
  <c r="F244" i="2"/>
  <c r="D244" i="2"/>
  <c r="B241" i="2"/>
  <c r="B242" i="2"/>
  <c r="B156" i="2"/>
  <c r="B152" i="2"/>
  <c r="B252" i="2" s="1"/>
  <c r="B129" i="2"/>
  <c r="B127" i="2"/>
  <c r="C32" i="16" s="1"/>
  <c r="D45" i="1"/>
  <c r="AM5" i="24"/>
  <c r="AM216" i="24"/>
  <c r="AM110" i="24"/>
  <c r="B247" i="2" l="1"/>
  <c r="B248" i="2"/>
  <c r="B250" i="2"/>
  <c r="C31" i="16"/>
  <c r="D21" i="19"/>
  <c r="D36" i="19"/>
  <c r="F12" i="19"/>
  <c r="D38" i="19"/>
  <c r="D35" i="19"/>
  <c r="B63" i="2"/>
  <c r="C47" i="16" s="1"/>
  <c r="D47" i="16" s="1"/>
  <c r="B33" i="19"/>
  <c r="F78" i="2"/>
  <c r="F72" i="2"/>
  <c r="D42" i="1"/>
  <c r="G269" i="2"/>
  <c r="C264" i="2"/>
  <c r="C265" i="2"/>
  <c r="A273" i="2"/>
  <c r="G73" i="2"/>
  <c r="A231" i="2"/>
  <c r="C277" i="2"/>
  <c r="E18" i="1" l="1"/>
  <c r="CY2" i="24"/>
  <c r="D93" i="2"/>
  <c r="U2" i="24"/>
  <c r="B194" i="2"/>
  <c r="I10" i="8"/>
  <c r="B179" i="2"/>
  <c r="B176" i="2"/>
  <c r="B198" i="2" l="1"/>
  <c r="I9" i="8" s="1"/>
  <c r="B78" i="2"/>
  <c r="K66" i="2"/>
  <c r="K34" i="16" l="1"/>
  <c r="J34" i="16"/>
  <c r="K49" i="16"/>
  <c r="K48" i="16"/>
  <c r="J49" i="16"/>
  <c r="J48" i="16"/>
  <c r="I49" i="16" l="1"/>
  <c r="I48" i="16"/>
  <c r="H49" i="16"/>
  <c r="H48" i="16"/>
  <c r="J46" i="16"/>
  <c r="K32" i="16"/>
  <c r="J32" i="16"/>
  <c r="K31" i="16"/>
  <c r="J31" i="16" l="1"/>
  <c r="T83" i="2"/>
  <c r="R85" i="2"/>
  <c r="B11" i="2" l="1"/>
  <c r="B26" i="19"/>
  <c r="D26" i="19" s="1"/>
  <c r="D20" i="19"/>
  <c r="B27" i="19"/>
  <c r="D27" i="19" s="1"/>
  <c r="B8" i="2"/>
  <c r="B101" i="2"/>
  <c r="B96" i="2"/>
  <c r="B155" i="2"/>
  <c r="BP106" i="19"/>
  <c r="D46" i="19"/>
  <c r="A34" i="16"/>
  <c r="A49" i="16"/>
  <c r="A48" i="16"/>
  <c r="C278" i="2"/>
  <c r="B293" i="2"/>
  <c r="B268" i="2"/>
  <c r="B264" i="2"/>
  <c r="J72" i="2"/>
  <c r="C261" i="2"/>
  <c r="B261" i="2"/>
  <c r="B32" i="19"/>
  <c r="D32" i="19" s="1"/>
  <c r="B31" i="19"/>
  <c r="D31" i="19" s="1"/>
  <c r="B30" i="19"/>
  <c r="D30" i="19" s="1"/>
  <c r="B8" i="19"/>
  <c r="D8" i="19" s="1"/>
  <c r="F91" i="19"/>
  <c r="F90" i="19"/>
  <c r="F89" i="19"/>
  <c r="D53" i="19"/>
  <c r="D52" i="19"/>
  <c r="D51" i="19"/>
  <c r="D50" i="19"/>
  <c r="D48" i="19"/>
  <c r="D45" i="19"/>
  <c r="D44" i="19"/>
  <c r="D41" i="19"/>
  <c r="D39" i="19"/>
  <c r="D33" i="19"/>
  <c r="D29" i="19"/>
  <c r="D23" i="19"/>
  <c r="D22" i="19"/>
  <c r="D13" i="19"/>
  <c r="B213" i="2" s="1"/>
  <c r="D12" i="19"/>
  <c r="A31" i="16"/>
  <c r="B246" i="2"/>
  <c r="A245" i="2"/>
  <c r="B9" i="2"/>
  <c r="I6" i="8"/>
  <c r="J6" i="8" s="1"/>
  <c r="D46" i="16"/>
  <c r="B178" i="2"/>
  <c r="B181" i="2" s="1"/>
  <c r="B173" i="2"/>
  <c r="B231" i="2"/>
  <c r="B245" i="2"/>
  <c r="B7" i="2"/>
  <c r="B164" i="2"/>
  <c r="B166" i="2" s="1"/>
  <c r="B208" i="2"/>
  <c r="A34" i="8"/>
  <c r="A46" i="8" s="1"/>
  <c r="A58" i="8" s="1"/>
  <c r="A70" i="8" s="1"/>
  <c r="A82" i="8" s="1"/>
  <c r="A94" i="8" s="1"/>
  <c r="A106" i="8" s="1"/>
  <c r="A118" i="8" s="1"/>
  <c r="A130" i="8" s="1"/>
  <c r="A142" i="8" s="1"/>
  <c r="A154" i="8" s="1"/>
  <c r="A35" i="8"/>
  <c r="A36" i="8"/>
  <c r="A48" i="8" s="1"/>
  <c r="A60" i="8" s="1"/>
  <c r="A72" i="8" s="1"/>
  <c r="A84" i="8" s="1"/>
  <c r="A96" i="8" s="1"/>
  <c r="A108" i="8" s="1"/>
  <c r="A120" i="8" s="1"/>
  <c r="A132" i="8" s="1"/>
  <c r="A144" i="8" s="1"/>
  <c r="A156" i="8" s="1"/>
  <c r="A37" i="8"/>
  <c r="A49" i="8" s="1"/>
  <c r="A61" i="8" s="1"/>
  <c r="A73" i="8" s="1"/>
  <c r="A85" i="8" s="1"/>
  <c r="A97" i="8" s="1"/>
  <c r="A109" i="8" s="1"/>
  <c r="A121" i="8" s="1"/>
  <c r="A133" i="8" s="1"/>
  <c r="A145" i="8" s="1"/>
  <c r="A157" i="8" s="1"/>
  <c r="A38" i="8"/>
  <c r="A50" i="8" s="1"/>
  <c r="A62" i="8" s="1"/>
  <c r="A74" i="8" s="1"/>
  <c r="A86" i="8" s="1"/>
  <c r="A98" i="8" s="1"/>
  <c r="A110" i="8" s="1"/>
  <c r="A122" i="8" s="1"/>
  <c r="A134" i="8" s="1"/>
  <c r="A146" i="8" s="1"/>
  <c r="A158" i="8" s="1"/>
  <c r="A39" i="8"/>
  <c r="A51" i="8" s="1"/>
  <c r="A63" i="8" s="1"/>
  <c r="A75" i="8" s="1"/>
  <c r="A87" i="8" s="1"/>
  <c r="A99" i="8" s="1"/>
  <c r="A111" i="8" s="1"/>
  <c r="A123" i="8" s="1"/>
  <c r="A135" i="8" s="1"/>
  <c r="A147" i="8" s="1"/>
  <c r="A159" i="8" s="1"/>
  <c r="A40" i="8"/>
  <c r="A52" i="8" s="1"/>
  <c r="A64" i="8" s="1"/>
  <c r="A76" i="8" s="1"/>
  <c r="A88" i="8" s="1"/>
  <c r="A100" i="8" s="1"/>
  <c r="A112" i="8" s="1"/>
  <c r="A124" i="8" s="1"/>
  <c r="A136" i="8" s="1"/>
  <c r="A148" i="8" s="1"/>
  <c r="A41" i="8"/>
  <c r="A53" i="8" s="1"/>
  <c r="A65" i="8" s="1"/>
  <c r="A77" i="8" s="1"/>
  <c r="A89" i="8" s="1"/>
  <c r="A101" i="8" s="1"/>
  <c r="A113" i="8" s="1"/>
  <c r="A125" i="8" s="1"/>
  <c r="A137" i="8" s="1"/>
  <c r="A149" i="8" s="1"/>
  <c r="A42" i="8"/>
  <c r="A54" i="8" s="1"/>
  <c r="A66" i="8" s="1"/>
  <c r="A78" i="8" s="1"/>
  <c r="A90" i="8" s="1"/>
  <c r="A102" i="8" s="1"/>
  <c r="A114" i="8" s="1"/>
  <c r="A126" i="8" s="1"/>
  <c r="A138" i="8" s="1"/>
  <c r="A150" i="8" s="1"/>
  <c r="A43" i="8"/>
  <c r="A44" i="8"/>
  <c r="A45" i="8"/>
  <c r="A47" i="8"/>
  <c r="A59" i="8" s="1"/>
  <c r="A71" i="8" s="1"/>
  <c r="A83" i="8" s="1"/>
  <c r="A95" i="8" s="1"/>
  <c r="A107" i="8" s="1"/>
  <c r="A119" i="8" s="1"/>
  <c r="A131" i="8" s="1"/>
  <c r="A143" i="8" s="1"/>
  <c r="A155" i="8" s="1"/>
  <c r="A55" i="8"/>
  <c r="A56" i="8"/>
  <c r="A68" i="8" s="1"/>
  <c r="A80" i="8" s="1"/>
  <c r="A92" i="8" s="1"/>
  <c r="A104" i="8" s="1"/>
  <c r="A116" i="8" s="1"/>
  <c r="A128" i="8" s="1"/>
  <c r="A140" i="8" s="1"/>
  <c r="A152" i="8" s="1"/>
  <c r="A57" i="8"/>
  <c r="A69" i="8" s="1"/>
  <c r="A81" i="8" s="1"/>
  <c r="A93" i="8" s="1"/>
  <c r="A105" i="8" s="1"/>
  <c r="A117" i="8" s="1"/>
  <c r="A129" i="8" s="1"/>
  <c r="A141" i="8" s="1"/>
  <c r="A153" i="8" s="1"/>
  <c r="A67" i="8"/>
  <c r="A79" i="8" s="1"/>
  <c r="A91" i="8" s="1"/>
  <c r="A103" i="8" s="1"/>
  <c r="A115" i="8" s="1"/>
  <c r="A127" i="8" s="1"/>
  <c r="A139" i="8" s="1"/>
  <c r="A151" i="8" s="1"/>
  <c r="E3" i="8"/>
  <c r="A240" i="2"/>
  <c r="B240" i="2"/>
  <c r="I14" i="8"/>
  <c r="J13" i="8"/>
  <c r="J7" i="8"/>
  <c r="J14" i="8"/>
  <c r="EM96" i="25" l="1"/>
  <c r="EM53" i="25"/>
  <c r="EM64" i="25"/>
  <c r="EM33" i="25"/>
  <c r="EM12" i="25"/>
  <c r="EM52" i="25"/>
  <c r="EM83" i="25"/>
  <c r="EM103" i="25"/>
  <c r="EM13" i="25"/>
  <c r="EM90" i="25"/>
  <c r="EM24" i="25"/>
  <c r="EM75" i="25"/>
  <c r="EM102" i="25"/>
  <c r="EM80" i="25"/>
  <c r="EM86" i="25"/>
  <c r="EM89" i="25"/>
  <c r="EM21" i="25"/>
  <c r="EM97" i="25"/>
  <c r="EM69" i="25"/>
  <c r="EM68" i="25"/>
  <c r="EM35" i="25"/>
  <c r="EM16" i="25"/>
  <c r="EM42" i="25"/>
  <c r="EM87" i="25"/>
  <c r="EM95" i="25"/>
  <c r="EM47" i="25"/>
  <c r="EM74" i="25"/>
  <c r="EM6" i="25"/>
  <c r="EM67" i="25"/>
  <c r="EM58" i="25"/>
  <c r="EM84" i="25"/>
  <c r="EM105" i="25"/>
  <c r="EM34" i="25"/>
  <c r="EM29" i="25"/>
  <c r="EM85" i="25"/>
  <c r="EM56" i="25"/>
  <c r="EM10" i="25"/>
  <c r="EM28" i="25"/>
  <c r="EM46" i="25"/>
  <c r="EM91" i="25"/>
  <c r="EM77" i="25"/>
  <c r="EM27" i="25"/>
  <c r="EM20" i="25"/>
  <c r="EM50" i="25"/>
  <c r="EM70" i="25"/>
  <c r="EM99" i="25"/>
  <c r="EM17" i="25"/>
  <c r="EM55" i="25"/>
  <c r="EM63" i="25"/>
  <c r="EM101" i="25"/>
  <c r="EM72" i="25"/>
  <c r="EM66" i="25"/>
  <c r="EM32" i="25"/>
  <c r="EM9" i="25"/>
  <c r="EM54" i="25"/>
  <c r="EM14" i="25"/>
  <c r="EM44" i="25"/>
  <c r="EM22" i="25"/>
  <c r="EM26" i="25"/>
  <c r="EM39" i="25"/>
  <c r="EM38" i="25"/>
  <c r="EM82" i="25"/>
  <c r="EM93" i="25"/>
  <c r="EM88" i="25"/>
  <c r="EM11" i="25"/>
  <c r="EM36" i="25"/>
  <c r="EM59" i="25"/>
  <c r="EM8" i="25"/>
  <c r="EM41" i="25"/>
  <c r="EM57" i="25"/>
  <c r="EM18" i="25"/>
  <c r="EM7" i="25"/>
  <c r="EM94" i="25"/>
  <c r="EM30" i="25"/>
  <c r="EM61" i="25"/>
  <c r="EM92" i="25"/>
  <c r="EM98" i="25"/>
  <c r="EM48" i="25"/>
  <c r="EM62" i="25"/>
  <c r="EM73" i="25"/>
  <c r="EM19" i="25"/>
  <c r="EM79" i="25"/>
  <c r="EM45" i="25"/>
  <c r="EM65" i="25"/>
  <c r="EM81" i="25"/>
  <c r="EM43" i="25"/>
  <c r="EM51" i="25"/>
  <c r="EM40" i="25"/>
  <c r="EM78" i="25"/>
  <c r="EM23" i="25"/>
  <c r="EM104" i="25"/>
  <c r="EM31" i="25"/>
  <c r="EM15" i="25"/>
  <c r="EM100" i="25"/>
  <c r="EM76" i="25"/>
  <c r="EM25" i="25"/>
  <c r="EM49" i="25"/>
  <c r="EM60" i="25"/>
  <c r="EM71" i="25"/>
  <c r="EM37" i="25"/>
  <c r="EO64" i="24"/>
  <c r="EO73" i="24"/>
  <c r="EO35" i="24"/>
  <c r="EO12" i="24"/>
  <c r="EO22" i="24"/>
  <c r="EO43" i="24"/>
  <c r="EO105" i="24"/>
  <c r="EO70" i="24"/>
  <c r="EO86" i="24"/>
  <c r="EO93" i="24"/>
  <c r="EO79" i="24"/>
  <c r="EO27" i="24"/>
  <c r="EO28" i="24"/>
  <c r="EO49" i="24"/>
  <c r="EO51" i="24"/>
  <c r="EO97" i="24"/>
  <c r="EO5" i="24"/>
  <c r="EO71" i="24"/>
  <c r="EO41" i="24"/>
  <c r="EO45" i="24"/>
  <c r="EO30" i="24"/>
  <c r="EO52" i="24"/>
  <c r="EO40" i="24"/>
  <c r="EO60" i="24"/>
  <c r="EO31" i="24"/>
  <c r="EO59" i="24"/>
  <c r="EO98" i="24"/>
  <c r="EO75" i="24"/>
  <c r="EO66" i="24"/>
  <c r="EO18" i="24"/>
  <c r="EO21" i="24"/>
  <c r="EO96" i="24"/>
  <c r="EO7" i="24"/>
  <c r="EO94" i="24"/>
  <c r="EO10" i="24"/>
  <c r="EO56" i="24"/>
  <c r="EO90" i="24"/>
  <c r="EO16" i="24"/>
  <c r="EO83" i="24"/>
  <c r="EO95" i="24"/>
  <c r="EO20" i="24"/>
  <c r="EO46" i="24"/>
  <c r="EO85" i="24"/>
  <c r="EO9" i="24"/>
  <c r="EO17" i="24"/>
  <c r="EO54" i="24"/>
  <c r="EO58" i="24"/>
  <c r="EO82" i="24"/>
  <c r="EO100" i="24"/>
  <c r="EO42" i="24"/>
  <c r="EO48" i="24"/>
  <c r="EO55" i="24"/>
  <c r="EO24" i="24"/>
  <c r="EO87" i="24"/>
  <c r="EO103" i="24"/>
  <c r="EO67" i="24"/>
  <c r="EO39" i="24"/>
  <c r="EO63" i="24"/>
  <c r="EO91" i="24"/>
  <c r="EO62" i="24"/>
  <c r="EO69" i="24"/>
  <c r="EO74" i="24"/>
  <c r="EO37" i="24"/>
  <c r="EO15" i="24"/>
  <c r="EO32" i="24"/>
  <c r="EO76" i="24"/>
  <c r="EO8" i="24"/>
  <c r="EO99" i="24"/>
  <c r="EO44" i="24"/>
  <c r="EO19" i="24"/>
  <c r="EO13" i="24"/>
  <c r="EO101" i="24"/>
  <c r="EO77" i="24"/>
  <c r="EO68" i="24"/>
  <c r="EO33" i="24"/>
  <c r="EO57" i="24"/>
  <c r="EO25" i="24"/>
  <c r="EO61" i="24"/>
  <c r="EO65" i="24"/>
  <c r="EO102" i="24"/>
  <c r="EO26" i="24"/>
  <c r="EO104" i="24"/>
  <c r="EO50" i="24"/>
  <c r="EO80" i="24"/>
  <c r="EO34" i="24"/>
  <c r="EO78" i="24"/>
  <c r="EO88" i="24"/>
  <c r="EO84" i="24"/>
  <c r="EO53" i="24"/>
  <c r="EO11" i="24"/>
  <c r="EO92" i="24"/>
  <c r="EO6" i="24"/>
  <c r="EO38" i="24"/>
  <c r="EO29" i="24"/>
  <c r="EO47" i="24"/>
  <c r="EO23" i="24"/>
  <c r="EO81" i="24"/>
  <c r="EO89" i="24"/>
  <c r="EO14" i="24"/>
  <c r="EO72" i="24"/>
  <c r="EO36" i="24"/>
  <c r="BB1" i="24"/>
  <c r="EF1" i="24"/>
  <c r="B111" i="2"/>
  <c r="L29" i="1"/>
  <c r="B88" i="2"/>
  <c r="L12" i="1" s="1"/>
  <c r="CN212" i="25"/>
  <c r="CR212" i="25" s="1"/>
  <c r="CM212" i="24"/>
  <c r="EO212" i="24" s="1"/>
  <c r="L104" i="2"/>
  <c r="G325" i="25"/>
  <c r="G325" i="24"/>
  <c r="N325" i="25"/>
  <c r="E68" i="1"/>
  <c r="E70" i="1" s="1"/>
  <c r="G322" i="25"/>
  <c r="G322" i="24"/>
  <c r="I325" i="24"/>
  <c r="I325" i="25"/>
  <c r="P325" i="25"/>
  <c r="E26" i="1"/>
  <c r="CN112" i="25"/>
  <c r="CP112" i="25" s="1"/>
  <c r="CP12" i="25"/>
  <c r="CP20" i="25"/>
  <c r="CP28" i="25"/>
  <c r="CP36" i="25"/>
  <c r="CP44" i="25"/>
  <c r="CP52" i="25"/>
  <c r="CP60" i="25"/>
  <c r="CP68" i="25"/>
  <c r="CP76" i="25"/>
  <c r="CP84" i="25"/>
  <c r="CP92" i="25"/>
  <c r="CP100" i="25"/>
  <c r="CP19" i="25"/>
  <c r="CP75" i="25"/>
  <c r="CP13" i="25"/>
  <c r="CP21" i="25"/>
  <c r="CP29" i="25"/>
  <c r="CP37" i="25"/>
  <c r="CP45" i="25"/>
  <c r="CP53" i="25"/>
  <c r="CP61" i="25"/>
  <c r="CP69" i="25"/>
  <c r="CP77" i="25"/>
  <c r="CP85" i="25"/>
  <c r="CP93" i="25"/>
  <c r="CP101" i="25"/>
  <c r="CP11" i="25"/>
  <c r="CP59" i="25"/>
  <c r="CP5" i="25"/>
  <c r="CP6" i="25"/>
  <c r="CP14" i="25"/>
  <c r="CP22" i="25"/>
  <c r="CP30" i="25"/>
  <c r="CP38" i="25"/>
  <c r="CP46" i="25"/>
  <c r="CP54" i="25"/>
  <c r="CP62" i="25"/>
  <c r="CP70" i="25"/>
  <c r="CP78" i="25"/>
  <c r="CP86" i="25"/>
  <c r="CP94" i="25"/>
  <c r="CP102" i="25"/>
  <c r="CP35" i="25"/>
  <c r="CP83" i="25"/>
  <c r="CP7" i="25"/>
  <c r="CP15" i="25"/>
  <c r="CP23" i="25"/>
  <c r="CP31" i="25"/>
  <c r="CP39" i="25"/>
  <c r="CP47" i="25"/>
  <c r="CP55" i="25"/>
  <c r="CP63" i="25"/>
  <c r="CP71" i="25"/>
  <c r="CP79" i="25"/>
  <c r="CP87" i="25"/>
  <c r="CP95" i="25"/>
  <c r="CP103" i="25"/>
  <c r="CP51" i="25"/>
  <c r="CP8" i="25"/>
  <c r="CP16" i="25"/>
  <c r="CP24" i="25"/>
  <c r="CP32" i="25"/>
  <c r="CP40" i="25"/>
  <c r="CP48" i="25"/>
  <c r="CP56" i="25"/>
  <c r="CP64" i="25"/>
  <c r="CP72" i="25"/>
  <c r="CP80" i="25"/>
  <c r="CP88" i="25"/>
  <c r="CP96" i="25"/>
  <c r="CP104" i="25"/>
  <c r="CP43" i="25"/>
  <c r="CP99" i="25"/>
  <c r="CP9" i="25"/>
  <c r="CP17" i="25"/>
  <c r="CP25" i="25"/>
  <c r="CP33" i="25"/>
  <c r="CP41" i="25"/>
  <c r="CP49" i="25"/>
  <c r="CP57" i="25"/>
  <c r="CP65" i="25"/>
  <c r="CP73" i="25"/>
  <c r="CP81" i="25"/>
  <c r="CP89" i="25"/>
  <c r="CP97" i="25"/>
  <c r="CP105" i="25"/>
  <c r="CP27" i="25"/>
  <c r="CP91" i="25"/>
  <c r="CP10" i="25"/>
  <c r="CP18" i="25"/>
  <c r="CP26" i="25"/>
  <c r="CP34" i="25"/>
  <c r="CP42" i="25"/>
  <c r="CP50" i="25"/>
  <c r="CP58" i="25"/>
  <c r="CP66" i="25"/>
  <c r="CP74" i="25"/>
  <c r="CP82" i="25"/>
  <c r="CP90" i="25"/>
  <c r="CP98" i="25"/>
  <c r="CR5" i="25"/>
  <c r="CP67" i="25"/>
  <c r="R65" i="2"/>
  <c r="B92" i="2"/>
  <c r="B115" i="2"/>
  <c r="B85" i="2"/>
  <c r="CQ2" i="24"/>
  <c r="CW5" i="24"/>
  <c r="CX5" i="24" s="1"/>
  <c r="FL106" i="24"/>
  <c r="FL107" i="24"/>
  <c r="FL108" i="24"/>
  <c r="Y13" i="2"/>
  <c r="B98" i="2"/>
  <c r="CN207" i="25"/>
  <c r="EM207" i="25" s="1"/>
  <c r="CN203" i="25"/>
  <c r="EM203" i="25" s="1"/>
  <c r="CN199" i="25"/>
  <c r="EM199" i="25" s="1"/>
  <c r="CN195" i="25"/>
  <c r="EM195" i="25" s="1"/>
  <c r="CN191" i="25"/>
  <c r="EM191" i="25" s="1"/>
  <c r="CN187" i="25"/>
  <c r="EM187" i="25" s="1"/>
  <c r="CN179" i="25"/>
  <c r="EM179" i="25" s="1"/>
  <c r="CN171" i="25"/>
  <c r="EM171" i="25" s="1"/>
  <c r="CN164" i="25"/>
  <c r="EM164" i="25" s="1"/>
  <c r="CN156" i="25"/>
  <c r="EM156" i="25" s="1"/>
  <c r="CN144" i="25"/>
  <c r="EM144" i="25" s="1"/>
  <c r="CN136" i="25"/>
  <c r="EM136" i="25" s="1"/>
  <c r="CN130" i="25"/>
  <c r="EM130" i="25" s="1"/>
  <c r="CN126" i="25"/>
  <c r="EM126" i="25" s="1"/>
  <c r="CN122" i="25"/>
  <c r="EM122" i="25" s="1"/>
  <c r="CN118" i="25"/>
  <c r="EM118" i="25" s="1"/>
  <c r="CN114" i="25"/>
  <c r="EM114" i="25" s="1"/>
  <c r="CN186" i="25"/>
  <c r="EM186" i="25" s="1"/>
  <c r="CN178" i="25"/>
  <c r="EM178" i="25" s="1"/>
  <c r="CN170" i="25"/>
  <c r="EM170" i="25" s="1"/>
  <c r="CN163" i="25"/>
  <c r="EM163" i="25" s="1"/>
  <c r="CN150" i="25"/>
  <c r="EM150" i="25" s="1"/>
  <c r="CN143" i="25"/>
  <c r="EM143" i="25" s="1"/>
  <c r="CN135" i="25"/>
  <c r="EM135" i="25" s="1"/>
  <c r="CN210" i="25"/>
  <c r="EM210" i="25" s="1"/>
  <c r="CN206" i="25"/>
  <c r="EM206" i="25" s="1"/>
  <c r="CN202" i="25"/>
  <c r="EM202" i="25" s="1"/>
  <c r="CN198" i="25"/>
  <c r="EM198" i="25" s="1"/>
  <c r="CN194" i="25"/>
  <c r="EM194" i="25" s="1"/>
  <c r="CN190" i="25"/>
  <c r="EM190" i="25" s="1"/>
  <c r="CN185" i="25"/>
  <c r="EM185" i="25" s="1"/>
  <c r="CN177" i="25"/>
  <c r="EM177" i="25" s="1"/>
  <c r="CN169" i="25"/>
  <c r="EM169" i="25" s="1"/>
  <c r="CN162" i="25"/>
  <c r="EM162" i="25" s="1"/>
  <c r="CN155" i="25"/>
  <c r="EM155" i="25" s="1"/>
  <c r="CN142" i="25"/>
  <c r="EM142" i="25" s="1"/>
  <c r="CN134" i="25"/>
  <c r="EM134" i="25" s="1"/>
  <c r="CN129" i="25"/>
  <c r="EM129" i="25" s="1"/>
  <c r="CN125" i="25"/>
  <c r="EM125" i="25" s="1"/>
  <c r="CN121" i="25"/>
  <c r="EM121" i="25" s="1"/>
  <c r="CN117" i="25"/>
  <c r="EM117" i="25" s="1"/>
  <c r="CN113" i="25"/>
  <c r="EM113" i="25" s="1"/>
  <c r="CN110" i="25"/>
  <c r="EM110" i="25" s="1"/>
  <c r="CN184" i="25"/>
  <c r="EM184" i="25" s="1"/>
  <c r="CN176" i="25"/>
  <c r="EM176" i="25" s="1"/>
  <c r="CN168" i="25"/>
  <c r="EM168" i="25" s="1"/>
  <c r="CN161" i="25"/>
  <c r="EM161" i="25" s="1"/>
  <c r="CN154" i="25"/>
  <c r="EM154" i="25" s="1"/>
  <c r="CN149" i="25"/>
  <c r="EM149" i="25" s="1"/>
  <c r="CN141" i="25"/>
  <c r="EM141" i="25" s="1"/>
  <c r="CN133" i="25"/>
  <c r="EM133" i="25" s="1"/>
  <c r="CN209" i="25"/>
  <c r="EM209" i="25" s="1"/>
  <c r="CN205" i="25"/>
  <c r="EM205" i="25" s="1"/>
  <c r="CN201" i="25"/>
  <c r="EM201" i="25" s="1"/>
  <c r="CN197" i="25"/>
  <c r="EM197" i="25" s="1"/>
  <c r="CN193" i="25"/>
  <c r="EM193" i="25" s="1"/>
  <c r="CN189" i="25"/>
  <c r="EM189" i="25" s="1"/>
  <c r="CN183" i="25"/>
  <c r="EM183" i="25" s="1"/>
  <c r="CN175" i="25"/>
  <c r="EM175" i="25" s="1"/>
  <c r="CN167" i="25"/>
  <c r="EM167" i="25" s="1"/>
  <c r="CN160" i="25"/>
  <c r="EM160" i="25" s="1"/>
  <c r="CN148" i="25"/>
  <c r="EM148" i="25" s="1"/>
  <c r="CN140" i="25"/>
  <c r="EM140" i="25" s="1"/>
  <c r="CN132" i="25"/>
  <c r="EM132" i="25" s="1"/>
  <c r="CN128" i="25"/>
  <c r="EM128" i="25" s="1"/>
  <c r="CN124" i="25"/>
  <c r="EM124" i="25" s="1"/>
  <c r="CN120" i="25"/>
  <c r="EM120" i="25" s="1"/>
  <c r="CN116" i="25"/>
  <c r="EM116" i="25" s="1"/>
  <c r="CN182" i="25"/>
  <c r="EM182" i="25" s="1"/>
  <c r="CN174" i="25"/>
  <c r="EM174" i="25" s="1"/>
  <c r="CN166" i="25"/>
  <c r="EM166" i="25" s="1"/>
  <c r="CN159" i="25"/>
  <c r="EM159" i="25" s="1"/>
  <c r="CN153" i="25"/>
  <c r="EM153" i="25" s="1"/>
  <c r="CN147" i="25"/>
  <c r="EM147" i="25" s="1"/>
  <c r="CN139" i="25"/>
  <c r="EM139" i="25" s="1"/>
  <c r="CN208" i="25"/>
  <c r="EM208" i="25" s="1"/>
  <c r="CN204" i="25"/>
  <c r="EM204" i="25" s="1"/>
  <c r="CN200" i="25"/>
  <c r="EM200" i="25" s="1"/>
  <c r="CN196" i="25"/>
  <c r="EM196" i="25" s="1"/>
  <c r="CN192" i="25"/>
  <c r="EM192" i="25" s="1"/>
  <c r="CN188" i="25"/>
  <c r="EM188" i="25" s="1"/>
  <c r="CN181" i="25"/>
  <c r="EM181" i="25" s="1"/>
  <c r="CN173" i="25"/>
  <c r="EM173" i="25" s="1"/>
  <c r="CN165" i="25"/>
  <c r="EM165" i="25" s="1"/>
  <c r="CN158" i="25"/>
  <c r="EM158" i="25" s="1"/>
  <c r="CN152" i="25"/>
  <c r="EM152" i="25" s="1"/>
  <c r="CN146" i="25"/>
  <c r="EM146" i="25" s="1"/>
  <c r="CN138" i="25"/>
  <c r="EM138" i="25" s="1"/>
  <c r="CN131" i="25"/>
  <c r="EM131" i="25" s="1"/>
  <c r="CN127" i="25"/>
  <c r="EM127" i="25" s="1"/>
  <c r="CN123" i="25"/>
  <c r="EM123" i="25" s="1"/>
  <c r="CN119" i="25"/>
  <c r="EM119" i="25" s="1"/>
  <c r="CN115" i="25"/>
  <c r="EM115" i="25" s="1"/>
  <c r="CN111" i="25"/>
  <c r="EM111" i="25" s="1"/>
  <c r="CN180" i="25"/>
  <c r="EM180" i="25" s="1"/>
  <c r="CN172" i="25"/>
  <c r="EM172" i="25" s="1"/>
  <c r="CN157" i="25"/>
  <c r="EM157" i="25" s="1"/>
  <c r="CN151" i="25"/>
  <c r="EM151" i="25" s="1"/>
  <c r="CN145" i="25"/>
  <c r="EM145" i="25" s="1"/>
  <c r="CN137" i="25"/>
  <c r="EM137" i="25" s="1"/>
  <c r="CM209" i="24"/>
  <c r="EO209" i="24" s="1"/>
  <c r="CM204" i="24"/>
  <c r="EO204" i="24" s="1"/>
  <c r="CM197" i="24"/>
  <c r="EO197" i="24" s="1"/>
  <c r="CM192" i="24"/>
  <c r="EO192" i="24" s="1"/>
  <c r="CM181" i="24"/>
  <c r="EO181" i="24" s="1"/>
  <c r="CM176" i="24"/>
  <c r="EO176" i="24" s="1"/>
  <c r="CM170" i="24"/>
  <c r="EO170" i="24" s="1"/>
  <c r="CM159" i="24"/>
  <c r="EO159" i="24" s="1"/>
  <c r="CM154" i="24"/>
  <c r="EO154" i="24" s="1"/>
  <c r="CM149" i="24"/>
  <c r="EO149" i="24" s="1"/>
  <c r="CM144" i="24"/>
  <c r="EO144" i="24" s="1"/>
  <c r="CM138" i="24"/>
  <c r="EO138" i="24" s="1"/>
  <c r="CM121" i="24"/>
  <c r="EO121" i="24" s="1"/>
  <c r="CM115" i="24"/>
  <c r="EO115" i="24" s="1"/>
  <c r="CM208" i="24"/>
  <c r="EO208" i="24" s="1"/>
  <c r="CM203" i="24"/>
  <c r="EO203" i="24" s="1"/>
  <c r="CM187" i="24"/>
  <c r="EO187" i="24" s="1"/>
  <c r="CM175" i="24"/>
  <c r="EO175" i="24" s="1"/>
  <c r="CM169" i="24"/>
  <c r="EO169" i="24" s="1"/>
  <c r="CM164" i="24"/>
  <c r="EO164" i="24" s="1"/>
  <c r="CM158" i="24"/>
  <c r="EO158" i="24" s="1"/>
  <c r="CM153" i="24"/>
  <c r="EO153" i="24" s="1"/>
  <c r="CM148" i="24"/>
  <c r="EO148" i="24" s="1"/>
  <c r="CM143" i="24"/>
  <c r="EO143" i="24" s="1"/>
  <c r="CM137" i="24"/>
  <c r="EO137" i="24" s="1"/>
  <c r="CM131" i="24"/>
  <c r="EO131" i="24" s="1"/>
  <c r="CM126" i="24"/>
  <c r="EO126" i="24" s="1"/>
  <c r="CM120" i="24"/>
  <c r="EO120" i="24" s="1"/>
  <c r="CM202" i="24"/>
  <c r="EO202" i="24" s="1"/>
  <c r="CM196" i="24"/>
  <c r="EO196" i="24" s="1"/>
  <c r="CM191" i="24"/>
  <c r="EO191" i="24" s="1"/>
  <c r="CM186" i="24"/>
  <c r="EO186" i="24" s="1"/>
  <c r="CM180" i="24"/>
  <c r="EO180" i="24" s="1"/>
  <c r="CM174" i="24"/>
  <c r="EO174" i="24" s="1"/>
  <c r="CM163" i="24"/>
  <c r="EO163" i="24" s="1"/>
  <c r="CM142" i="24"/>
  <c r="EO142" i="24" s="1"/>
  <c r="CM125" i="24"/>
  <c r="EO125" i="24" s="1"/>
  <c r="CM119" i="24"/>
  <c r="EO119" i="24" s="1"/>
  <c r="CM114" i="24"/>
  <c r="EO114" i="24" s="1"/>
  <c r="CM207" i="24"/>
  <c r="EO207" i="24" s="1"/>
  <c r="CM201" i="24"/>
  <c r="EO201" i="24" s="1"/>
  <c r="CM185" i="24"/>
  <c r="EO185" i="24" s="1"/>
  <c r="CM179" i="24"/>
  <c r="EO179" i="24" s="1"/>
  <c r="CM173" i="24"/>
  <c r="EO173" i="24" s="1"/>
  <c r="CM168" i="24"/>
  <c r="EO168" i="24" s="1"/>
  <c r="CM157" i="24"/>
  <c r="EO157" i="24" s="1"/>
  <c r="CM152" i="24"/>
  <c r="EO152" i="24" s="1"/>
  <c r="CM147" i="24"/>
  <c r="EO147" i="24" s="1"/>
  <c r="CM141" i="24"/>
  <c r="EO141" i="24" s="1"/>
  <c r="CM136" i="24"/>
  <c r="EO136" i="24" s="1"/>
  <c r="CM130" i="24"/>
  <c r="EO130" i="24" s="1"/>
  <c r="CM124" i="24"/>
  <c r="EO124" i="24" s="1"/>
  <c r="CM110" i="24"/>
  <c r="CO110" i="24" s="1"/>
  <c r="CM206" i="24"/>
  <c r="EO206" i="24" s="1"/>
  <c r="CM195" i="24"/>
  <c r="EO195" i="24" s="1"/>
  <c r="CM190" i="24"/>
  <c r="EO190" i="24" s="1"/>
  <c r="CM162" i="24"/>
  <c r="EO162" i="24" s="1"/>
  <c r="CM140" i="24"/>
  <c r="EO140" i="24" s="1"/>
  <c r="CM135" i="24"/>
  <c r="EO135" i="24" s="1"/>
  <c r="CM129" i="24"/>
  <c r="EO129" i="24" s="1"/>
  <c r="CM118" i="24"/>
  <c r="EO118" i="24" s="1"/>
  <c r="CM113" i="24"/>
  <c r="EO113" i="24" s="1"/>
  <c r="CM200" i="24"/>
  <c r="EO200" i="24" s="1"/>
  <c r="CM184" i="24"/>
  <c r="EO184" i="24" s="1"/>
  <c r="CM178" i="24"/>
  <c r="EO178" i="24" s="1"/>
  <c r="CM172" i="24"/>
  <c r="EO172" i="24" s="1"/>
  <c r="CM167" i="24"/>
  <c r="EO167" i="24" s="1"/>
  <c r="CM161" i="24"/>
  <c r="EO161" i="24" s="1"/>
  <c r="CM156" i="24"/>
  <c r="EO156" i="24" s="1"/>
  <c r="CM151" i="24"/>
  <c r="EO151" i="24" s="1"/>
  <c r="CM146" i="24"/>
  <c r="EO146" i="24" s="1"/>
  <c r="CM134" i="24"/>
  <c r="EO134" i="24" s="1"/>
  <c r="CM128" i="24"/>
  <c r="EO128" i="24" s="1"/>
  <c r="CM123" i="24"/>
  <c r="EO123" i="24" s="1"/>
  <c r="CM117" i="24"/>
  <c r="EO117" i="24" s="1"/>
  <c r="CM205" i="24"/>
  <c r="EO205" i="24" s="1"/>
  <c r="CM199" i="24"/>
  <c r="EO199" i="24" s="1"/>
  <c r="CM194" i="24"/>
  <c r="EO194" i="24" s="1"/>
  <c r="CM189" i="24"/>
  <c r="EO189" i="24" s="1"/>
  <c r="CM183" i="24"/>
  <c r="EO183" i="24" s="1"/>
  <c r="CM177" i="24"/>
  <c r="EO177" i="24" s="1"/>
  <c r="CM171" i="24"/>
  <c r="EO171" i="24" s="1"/>
  <c r="CM166" i="24"/>
  <c r="EO166" i="24" s="1"/>
  <c r="CM155" i="24"/>
  <c r="EO155" i="24" s="1"/>
  <c r="CM150" i="24"/>
  <c r="EO150" i="24" s="1"/>
  <c r="CM145" i="24"/>
  <c r="EO145" i="24" s="1"/>
  <c r="CM139" i="24"/>
  <c r="EO139" i="24" s="1"/>
  <c r="CM133" i="24"/>
  <c r="EO133" i="24" s="1"/>
  <c r="CM122" i="24"/>
  <c r="EO122" i="24" s="1"/>
  <c r="CM116" i="24"/>
  <c r="EO116" i="24" s="1"/>
  <c r="CM112" i="24"/>
  <c r="EO112" i="24" s="1"/>
  <c r="CM210" i="24"/>
  <c r="EO210" i="24" s="1"/>
  <c r="CM198" i="24"/>
  <c r="EO198" i="24" s="1"/>
  <c r="CM193" i="24"/>
  <c r="EO193" i="24" s="1"/>
  <c r="CM188" i="24"/>
  <c r="EO188" i="24" s="1"/>
  <c r="CM182" i="24"/>
  <c r="EO182" i="24" s="1"/>
  <c r="CM165" i="24"/>
  <c r="EO165" i="24" s="1"/>
  <c r="CM160" i="24"/>
  <c r="EO160" i="24" s="1"/>
  <c r="CM132" i="24"/>
  <c r="EO132" i="24" s="1"/>
  <c r="CM127" i="24"/>
  <c r="EO127" i="24" s="1"/>
  <c r="CM111" i="24"/>
  <c r="EO111" i="24" s="1"/>
  <c r="CL216" i="25"/>
  <c r="DL216" i="25" s="1"/>
  <c r="CL110" i="25"/>
  <c r="DL110" i="25" s="1"/>
  <c r="CL5" i="25"/>
  <c r="DL5" i="25" s="1"/>
  <c r="CL5" i="24"/>
  <c r="CL216" i="24"/>
  <c r="CL110" i="24"/>
  <c r="CR81" i="25"/>
  <c r="CR16" i="25"/>
  <c r="CR84" i="25"/>
  <c r="CR13" i="25"/>
  <c r="CR34" i="25"/>
  <c r="CR46" i="25"/>
  <c r="CR54" i="25"/>
  <c r="CR122" i="25"/>
  <c r="CR53" i="25"/>
  <c r="CR15" i="25"/>
  <c r="CR19" i="25"/>
  <c r="CR77" i="25"/>
  <c r="CR27" i="25"/>
  <c r="CR40" i="25"/>
  <c r="CR100" i="25"/>
  <c r="CO37" i="24"/>
  <c r="CQ78" i="24"/>
  <c r="CR78" i="24" s="1"/>
  <c r="CT78" i="24" s="1"/>
  <c r="CQ62" i="24"/>
  <c r="CR62" i="24" s="1"/>
  <c r="CT62" i="24" s="1"/>
  <c r="CQ38" i="24"/>
  <c r="CR38" i="24" s="1"/>
  <c r="CT38" i="24" s="1"/>
  <c r="CQ12" i="24"/>
  <c r="CR12" i="24" s="1"/>
  <c r="CT12" i="24" s="1"/>
  <c r="CO79" i="24"/>
  <c r="CQ87" i="24"/>
  <c r="CR87" i="24" s="1"/>
  <c r="CT87" i="24" s="1"/>
  <c r="CO23" i="24"/>
  <c r="CQ57" i="24"/>
  <c r="CR57" i="24" s="1"/>
  <c r="CT57" i="24" s="1"/>
  <c r="CQ33" i="24"/>
  <c r="CR33" i="24" s="1"/>
  <c r="CT33" i="24" s="1"/>
  <c r="CO52" i="24"/>
  <c r="CO25" i="24"/>
  <c r="CR66" i="25"/>
  <c r="CR10" i="25"/>
  <c r="CR21" i="25"/>
  <c r="CR26" i="25"/>
  <c r="CR44" i="25"/>
  <c r="CR79" i="25"/>
  <c r="CR85" i="25"/>
  <c r="CR91" i="25"/>
  <c r="CR52" i="25"/>
  <c r="CR31" i="25"/>
  <c r="CR51" i="25"/>
  <c r="CR48" i="25"/>
  <c r="CO24" i="24"/>
  <c r="CO5" i="24"/>
  <c r="CQ20" i="24"/>
  <c r="CR20" i="24" s="1"/>
  <c r="CT20" i="24" s="1"/>
  <c r="CQ46" i="24"/>
  <c r="CR46" i="24" s="1"/>
  <c r="CT46" i="24" s="1"/>
  <c r="CQ92" i="24"/>
  <c r="CR92" i="24" s="1"/>
  <c r="CT92" i="24" s="1"/>
  <c r="CQ85" i="24"/>
  <c r="CR85" i="24" s="1"/>
  <c r="CT85" i="24" s="1"/>
  <c r="CO28" i="24"/>
  <c r="CO51" i="24"/>
  <c r="CQ70" i="24"/>
  <c r="CR70" i="24" s="1"/>
  <c r="CT70" i="24" s="1"/>
  <c r="CQ71" i="24"/>
  <c r="CR71" i="24" s="1"/>
  <c r="CT71" i="24" s="1"/>
  <c r="CQ65" i="24"/>
  <c r="CR65" i="24" s="1"/>
  <c r="CT65" i="24" s="1"/>
  <c r="CQ49" i="24"/>
  <c r="CR49" i="24" s="1"/>
  <c r="CT49" i="24" s="1"/>
  <c r="CQ35" i="24"/>
  <c r="CR35" i="24" s="1"/>
  <c r="CT35" i="24" s="1"/>
  <c r="CQ22" i="24"/>
  <c r="CR22" i="24" s="1"/>
  <c r="CT22" i="24" s="1"/>
  <c r="CO39" i="24"/>
  <c r="CO93" i="24"/>
  <c r="CR64" i="25"/>
  <c r="CR96" i="25"/>
  <c r="CR18" i="25"/>
  <c r="CR80" i="25"/>
  <c r="CR65" i="25"/>
  <c r="CR73" i="25"/>
  <c r="CR30" i="25"/>
  <c r="CR62" i="25"/>
  <c r="CR75" i="25"/>
  <c r="CR17" i="25"/>
  <c r="CR76" i="25"/>
  <c r="CR67" i="25"/>
  <c r="CR23" i="25"/>
  <c r="CR43" i="25"/>
  <c r="CR11" i="25"/>
  <c r="CQ103" i="24"/>
  <c r="CR103" i="24" s="1"/>
  <c r="CT103" i="24" s="1"/>
  <c r="CQ14" i="24"/>
  <c r="CR14" i="24" s="1"/>
  <c r="CT14" i="24" s="1"/>
  <c r="CO77" i="24"/>
  <c r="CO34" i="24"/>
  <c r="CQ91" i="24"/>
  <c r="CR91" i="24" s="1"/>
  <c r="CT91" i="24" s="1"/>
  <c r="CO68" i="24"/>
  <c r="CO102" i="24"/>
  <c r="CO67" i="24"/>
  <c r="CO14" i="24"/>
  <c r="CO59" i="24"/>
  <c r="CO21" i="24"/>
  <c r="CO71" i="24"/>
  <c r="CQ17" i="24"/>
  <c r="CR17" i="24" s="1"/>
  <c r="CT17" i="24" s="1"/>
  <c r="CO41" i="24"/>
  <c r="CO94" i="24"/>
  <c r="CO10" i="24"/>
  <c r="CR49" i="25"/>
  <c r="CR102" i="25"/>
  <c r="CR70" i="25"/>
  <c r="CR9" i="25"/>
  <c r="CR72" i="25"/>
  <c r="CR14" i="25"/>
  <c r="CR63" i="25"/>
  <c r="CR45" i="25"/>
  <c r="CR28" i="25"/>
  <c r="CR37" i="25"/>
  <c r="CO96" i="24"/>
  <c r="CO81" i="24"/>
  <c r="CQ42" i="24"/>
  <c r="CR42" i="24" s="1"/>
  <c r="CT42" i="24" s="1"/>
  <c r="CQ27" i="24"/>
  <c r="CR27" i="24" s="1"/>
  <c r="CT27" i="24" s="1"/>
  <c r="CO62" i="24"/>
  <c r="CO55" i="24"/>
  <c r="CO84" i="24"/>
  <c r="CQ86" i="24"/>
  <c r="CR86" i="24" s="1"/>
  <c r="CT86" i="24" s="1"/>
  <c r="CO60" i="24"/>
  <c r="CQ73" i="24"/>
  <c r="CR73" i="24" s="1"/>
  <c r="CT73" i="24" s="1"/>
  <c r="CQ82" i="24"/>
  <c r="CR82" i="24" s="1"/>
  <c r="CT82" i="24" s="1"/>
  <c r="CR42" i="25"/>
  <c r="CR38" i="25"/>
  <c r="CR61" i="25"/>
  <c r="CR105" i="25"/>
  <c r="CR68" i="25"/>
  <c r="CR6" i="25"/>
  <c r="CX6" i="25" s="1"/>
  <c r="CY6" i="25" s="1"/>
  <c r="CR41" i="25"/>
  <c r="CR59" i="25"/>
  <c r="CR94" i="25"/>
  <c r="CR78" i="25"/>
  <c r="CR47" i="25"/>
  <c r="CR83" i="25"/>
  <c r="CO89" i="24"/>
  <c r="CQ5" i="24"/>
  <c r="CY5" i="24" s="1"/>
  <c r="CO15" i="24"/>
  <c r="CO88" i="24"/>
  <c r="CQ45" i="24"/>
  <c r="CR45" i="24" s="1"/>
  <c r="CT45" i="24" s="1"/>
  <c r="CQ105" i="24"/>
  <c r="CR105" i="24" s="1"/>
  <c r="CT105" i="24" s="1"/>
  <c r="CQ40" i="24"/>
  <c r="CR40" i="24" s="1"/>
  <c r="CT40" i="24" s="1"/>
  <c r="CQ68" i="24"/>
  <c r="CR68" i="24" s="1"/>
  <c r="CT68" i="24" s="1"/>
  <c r="CO33" i="24"/>
  <c r="CR35" i="25"/>
  <c r="CR101" i="25"/>
  <c r="CR57" i="25"/>
  <c r="CR60" i="25"/>
  <c r="CR97" i="25"/>
  <c r="CR92" i="25"/>
  <c r="CR25" i="25"/>
  <c r="CR88" i="25"/>
  <c r="CR58" i="25"/>
  <c r="CR56" i="25"/>
  <c r="CR32" i="25"/>
  <c r="CR12" i="25"/>
  <c r="CR71" i="25"/>
  <c r="CR87" i="25"/>
  <c r="CR36" i="25"/>
  <c r="CR24" i="25"/>
  <c r="CR39" i="25"/>
  <c r="CR95" i="25"/>
  <c r="CR55" i="25"/>
  <c r="CQ74" i="24"/>
  <c r="CR74" i="24" s="1"/>
  <c r="CT74" i="24" s="1"/>
  <c r="CO30" i="24"/>
  <c r="CQ37" i="24"/>
  <c r="CR37" i="24" s="1"/>
  <c r="CT37" i="24" s="1"/>
  <c r="CO100" i="24"/>
  <c r="CO58" i="24"/>
  <c r="CO29" i="24"/>
  <c r="CO19" i="24"/>
  <c r="CO17" i="24"/>
  <c r="CQ96" i="24"/>
  <c r="CR96" i="24" s="1"/>
  <c r="CT96" i="24" s="1"/>
  <c r="CQ48" i="24"/>
  <c r="CR48" i="24" s="1"/>
  <c r="CT48" i="24" s="1"/>
  <c r="CO80" i="24"/>
  <c r="CO104" i="24"/>
  <c r="CO99" i="24"/>
  <c r="CO54" i="24"/>
  <c r="CQ81" i="24"/>
  <c r="CR81" i="24" s="1"/>
  <c r="CT81" i="24" s="1"/>
  <c r="CO50" i="24"/>
  <c r="CO87" i="24"/>
  <c r="CR50" i="25"/>
  <c r="CR69" i="25"/>
  <c r="CQ11" i="24"/>
  <c r="CR11" i="24" s="1"/>
  <c r="CT11" i="24" s="1"/>
  <c r="CO82" i="24"/>
  <c r="CQ39" i="24"/>
  <c r="CR39" i="24" s="1"/>
  <c r="CT39" i="24" s="1"/>
  <c r="CQ60" i="24"/>
  <c r="CR60" i="24" s="1"/>
  <c r="CT60" i="24" s="1"/>
  <c r="CO11" i="24"/>
  <c r="CQ56" i="24"/>
  <c r="CR56" i="24" s="1"/>
  <c r="CT56" i="24" s="1"/>
  <c r="CQ13" i="24"/>
  <c r="CR13" i="24" s="1"/>
  <c r="CT13" i="24" s="1"/>
  <c r="CO66" i="24"/>
  <c r="CO91" i="24"/>
  <c r="CQ94" i="24"/>
  <c r="CR94" i="24" s="1"/>
  <c r="CT94" i="24" s="1"/>
  <c r="CQ10" i="24"/>
  <c r="CR10" i="24" s="1"/>
  <c r="CT10" i="24" s="1"/>
  <c r="CO78" i="24"/>
  <c r="CQ30" i="24"/>
  <c r="CR30" i="24" s="1"/>
  <c r="CT30" i="24" s="1"/>
  <c r="CQ26" i="24"/>
  <c r="CR26" i="24" s="1"/>
  <c r="CT26" i="24" s="1"/>
  <c r="CO98" i="24"/>
  <c r="CQ34" i="24"/>
  <c r="CR34" i="24" s="1"/>
  <c r="CT34" i="24" s="1"/>
  <c r="CO76" i="24"/>
  <c r="CO13" i="24"/>
  <c r="CR89" i="25"/>
  <c r="CO6" i="24"/>
  <c r="CO43" i="24"/>
  <c r="CQ51" i="24"/>
  <c r="CR51" i="24" s="1"/>
  <c r="CT51" i="24" s="1"/>
  <c r="CO72" i="24"/>
  <c r="CQ24" i="24"/>
  <c r="CR24" i="24" s="1"/>
  <c r="CT24" i="24" s="1"/>
  <c r="CQ61" i="24"/>
  <c r="CR61" i="24" s="1"/>
  <c r="CT61" i="24" s="1"/>
  <c r="CO9" i="24"/>
  <c r="CR20" i="25"/>
  <c r="CQ104" i="24"/>
  <c r="CR104" i="24" s="1"/>
  <c r="CT104" i="24" s="1"/>
  <c r="CO44" i="24"/>
  <c r="CQ23" i="24"/>
  <c r="CR23" i="24" s="1"/>
  <c r="CT23" i="24" s="1"/>
  <c r="CQ53" i="24"/>
  <c r="CR53" i="24" s="1"/>
  <c r="CT53" i="24" s="1"/>
  <c r="CO69" i="24"/>
  <c r="CQ44" i="24"/>
  <c r="CR44" i="24" s="1"/>
  <c r="CT44" i="24" s="1"/>
  <c r="CO26" i="24"/>
  <c r="CQ31" i="24"/>
  <c r="CR31" i="24" s="1"/>
  <c r="CT31" i="24" s="1"/>
  <c r="CQ7" i="24"/>
  <c r="CR7" i="24" s="1"/>
  <c r="CT7" i="24" s="1"/>
  <c r="CR22" i="25"/>
  <c r="CR82" i="25"/>
  <c r="CR33" i="25"/>
  <c r="CR98" i="25"/>
  <c r="CO57" i="24"/>
  <c r="CO40" i="24"/>
  <c r="CO45" i="24"/>
  <c r="CQ76" i="24"/>
  <c r="CR76" i="24" s="1"/>
  <c r="CT76" i="24" s="1"/>
  <c r="CQ66" i="24"/>
  <c r="CR66" i="24" s="1"/>
  <c r="CT66" i="24" s="1"/>
  <c r="CQ88" i="24"/>
  <c r="CR88" i="24" s="1"/>
  <c r="CT88" i="24" s="1"/>
  <c r="CO42" i="24"/>
  <c r="CO16" i="24"/>
  <c r="CQ90" i="24"/>
  <c r="CR90" i="24" s="1"/>
  <c r="CT90" i="24" s="1"/>
  <c r="CO65" i="24"/>
  <c r="CO64" i="24"/>
  <c r="CQ47" i="24"/>
  <c r="CR47" i="24" s="1"/>
  <c r="CT47" i="24" s="1"/>
  <c r="CO8" i="24"/>
  <c r="CQ95" i="24"/>
  <c r="CR95" i="24" s="1"/>
  <c r="CT95" i="24" s="1"/>
  <c r="CQ32" i="24"/>
  <c r="CR32" i="24" s="1"/>
  <c r="CT32" i="24" s="1"/>
  <c r="CR7" i="25"/>
  <c r="CX7" i="25" s="1"/>
  <c r="CY7" i="25" s="1"/>
  <c r="CQ25" i="24"/>
  <c r="CR25" i="24" s="1"/>
  <c r="CT25" i="24" s="1"/>
  <c r="CO31" i="24"/>
  <c r="CQ15" i="24"/>
  <c r="CR15" i="24" s="1"/>
  <c r="CT15" i="24" s="1"/>
  <c r="CQ99" i="24"/>
  <c r="CR99" i="24" s="1"/>
  <c r="CT99" i="24" s="1"/>
  <c r="CQ100" i="24"/>
  <c r="CR100" i="24" s="1"/>
  <c r="CT100" i="24" s="1"/>
  <c r="CO12" i="24"/>
  <c r="CO85" i="24"/>
  <c r="CO7" i="24"/>
  <c r="CO105" i="24"/>
  <c r="CR104" i="25"/>
  <c r="CQ75" i="24"/>
  <c r="CR75" i="24" s="1"/>
  <c r="CT75" i="24" s="1"/>
  <c r="CQ16" i="24"/>
  <c r="CR16" i="24" s="1"/>
  <c r="CT16" i="24" s="1"/>
  <c r="CO74" i="24"/>
  <c r="CO97" i="24"/>
  <c r="CQ102" i="24"/>
  <c r="CR102" i="24" s="1"/>
  <c r="CT102" i="24" s="1"/>
  <c r="CR99" i="25"/>
  <c r="CR103" i="25"/>
  <c r="CO32" i="24"/>
  <c r="CQ36" i="24"/>
  <c r="CR36" i="24" s="1"/>
  <c r="CT36" i="24" s="1"/>
  <c r="CQ19" i="24"/>
  <c r="CR19" i="24" s="1"/>
  <c r="CT19" i="24" s="1"/>
  <c r="CO27" i="24"/>
  <c r="CQ55" i="24"/>
  <c r="CR55" i="24" s="1"/>
  <c r="CT55" i="24" s="1"/>
  <c r="CO95" i="24"/>
  <c r="CQ54" i="24"/>
  <c r="CR54" i="24" s="1"/>
  <c r="CT54" i="24" s="1"/>
  <c r="CO75" i="24"/>
  <c r="CO103" i="24"/>
  <c r="CQ64" i="24"/>
  <c r="CR64" i="24" s="1"/>
  <c r="CT64" i="24" s="1"/>
  <c r="CQ77" i="24"/>
  <c r="CR77" i="24" s="1"/>
  <c r="CT77" i="24" s="1"/>
  <c r="CO86" i="24"/>
  <c r="CO70" i="24"/>
  <c r="CO46" i="24"/>
  <c r="CQ97" i="24"/>
  <c r="CR97" i="24" s="1"/>
  <c r="CT97" i="24" s="1"/>
  <c r="CQ21" i="24"/>
  <c r="CR21" i="24" s="1"/>
  <c r="CT21" i="24" s="1"/>
  <c r="CO83" i="24"/>
  <c r="CQ89" i="24"/>
  <c r="CR89" i="24" s="1"/>
  <c r="CT89" i="24" s="1"/>
  <c r="CO22" i="24"/>
  <c r="CQ50" i="24"/>
  <c r="CR50" i="24" s="1"/>
  <c r="CT50" i="24" s="1"/>
  <c r="CO36" i="24"/>
  <c r="CO47" i="24"/>
  <c r="CR93" i="25"/>
  <c r="CR74" i="25"/>
  <c r="CQ6" i="24"/>
  <c r="CR6" i="24" s="1"/>
  <c r="CT6" i="24" s="1"/>
  <c r="CQ83" i="24"/>
  <c r="CR83" i="24" s="1"/>
  <c r="CT83" i="24" s="1"/>
  <c r="CQ80" i="24"/>
  <c r="CR80" i="24" s="1"/>
  <c r="CT80" i="24" s="1"/>
  <c r="CQ52" i="24"/>
  <c r="CR52" i="24" s="1"/>
  <c r="CT52" i="24" s="1"/>
  <c r="CQ98" i="24"/>
  <c r="CR98" i="24" s="1"/>
  <c r="CT98" i="24" s="1"/>
  <c r="CQ59" i="24"/>
  <c r="CR59" i="24" s="1"/>
  <c r="CT59" i="24" s="1"/>
  <c r="CO38" i="24"/>
  <c r="CO90" i="24"/>
  <c r="CO53" i="24"/>
  <c r="CR8" i="25"/>
  <c r="CR86" i="25"/>
  <c r="CQ58" i="24"/>
  <c r="CR58" i="24" s="1"/>
  <c r="CT58" i="24" s="1"/>
  <c r="CO61" i="24"/>
  <c r="CQ43" i="24"/>
  <c r="CR43" i="24" s="1"/>
  <c r="CT43" i="24" s="1"/>
  <c r="CQ84" i="24"/>
  <c r="CR84" i="24" s="1"/>
  <c r="CT84" i="24" s="1"/>
  <c r="CO35" i="24"/>
  <c r="CQ41" i="24"/>
  <c r="CR41" i="24" s="1"/>
  <c r="CT41" i="24" s="1"/>
  <c r="CQ29" i="24"/>
  <c r="CR29" i="24" s="1"/>
  <c r="CT29" i="24" s="1"/>
  <c r="CO48" i="24"/>
  <c r="CQ93" i="24"/>
  <c r="CR93" i="24" s="1"/>
  <c r="CT93" i="24" s="1"/>
  <c r="CO56" i="24"/>
  <c r="CQ18" i="24"/>
  <c r="CR18" i="24" s="1"/>
  <c r="CT18" i="24" s="1"/>
  <c r="CO101" i="24"/>
  <c r="CO20" i="24"/>
  <c r="CO18" i="24"/>
  <c r="CQ67" i="24"/>
  <c r="CR67" i="24" s="1"/>
  <c r="CT67" i="24" s="1"/>
  <c r="CR29" i="25"/>
  <c r="CR90" i="25"/>
  <c r="CQ101" i="24"/>
  <c r="CR101" i="24" s="1"/>
  <c r="CT101" i="24" s="1"/>
  <c r="CQ69" i="24"/>
  <c r="CR69" i="24" s="1"/>
  <c r="CT69" i="24" s="1"/>
  <c r="CQ9" i="24"/>
  <c r="CR9" i="24" s="1"/>
  <c r="CT9" i="24" s="1"/>
  <c r="CO73" i="24"/>
  <c r="CO63" i="24"/>
  <c r="CQ8" i="24"/>
  <c r="CR8" i="24" s="1"/>
  <c r="CT8" i="24" s="1"/>
  <c r="CQ63" i="24"/>
  <c r="CR63" i="24" s="1"/>
  <c r="CT63" i="24" s="1"/>
  <c r="CQ72" i="24"/>
  <c r="CR72" i="24" s="1"/>
  <c r="CT72" i="24" s="1"/>
  <c r="CQ28" i="24"/>
  <c r="CR28" i="24" s="1"/>
  <c r="CT28" i="24" s="1"/>
  <c r="CO92" i="24"/>
  <c r="CO49" i="24"/>
  <c r="CQ79" i="24"/>
  <c r="CR79" i="24" s="1"/>
  <c r="CT79" i="24" s="1"/>
  <c r="CL6" i="25"/>
  <c r="DL6" i="25" s="1"/>
  <c r="CL7" i="25"/>
  <c r="DL7" i="25" s="1"/>
  <c r="CN309" i="25"/>
  <c r="CN301" i="25"/>
  <c r="CN293" i="25"/>
  <c r="CN285" i="25"/>
  <c r="CN277" i="25"/>
  <c r="CN269" i="25"/>
  <c r="CN261" i="25"/>
  <c r="CN253" i="25"/>
  <c r="CN245" i="25"/>
  <c r="CN237" i="25"/>
  <c r="CN229" i="25"/>
  <c r="CN221" i="25"/>
  <c r="CN262" i="25"/>
  <c r="CN246" i="25"/>
  <c r="CN222" i="25"/>
  <c r="CN316" i="25"/>
  <c r="CN308" i="25"/>
  <c r="CN300" i="25"/>
  <c r="CN292" i="25"/>
  <c r="CN284" i="25"/>
  <c r="CN276" i="25"/>
  <c r="CN268" i="25"/>
  <c r="CN260" i="25"/>
  <c r="CN252" i="25"/>
  <c r="CN244" i="25"/>
  <c r="CN236" i="25"/>
  <c r="CN228" i="25"/>
  <c r="CN220" i="25"/>
  <c r="CN278" i="25"/>
  <c r="CN254" i="25"/>
  <c r="CN315" i="25"/>
  <c r="CN307" i="25"/>
  <c r="CN299" i="25"/>
  <c r="CN291" i="25"/>
  <c r="CN283" i="25"/>
  <c r="CN275" i="25"/>
  <c r="CN267" i="25"/>
  <c r="CN259" i="25"/>
  <c r="CN251" i="25"/>
  <c r="CN243" i="25"/>
  <c r="CN235" i="25"/>
  <c r="CN227" i="25"/>
  <c r="CN219" i="25"/>
  <c r="CN270" i="25"/>
  <c r="CN238" i="25"/>
  <c r="CN314" i="25"/>
  <c r="CN306" i="25"/>
  <c r="CN298" i="25"/>
  <c r="CN290" i="25"/>
  <c r="CN282" i="25"/>
  <c r="CN274" i="25"/>
  <c r="CN266" i="25"/>
  <c r="CN258" i="25"/>
  <c r="CN250" i="25"/>
  <c r="CN242" i="25"/>
  <c r="CN234" i="25"/>
  <c r="CN226" i="25"/>
  <c r="CN218" i="25"/>
  <c r="CN294" i="25"/>
  <c r="CN313" i="25"/>
  <c r="CN305" i="25"/>
  <c r="CN297" i="25"/>
  <c r="CN289" i="25"/>
  <c r="CN281" i="25"/>
  <c r="CN273" i="25"/>
  <c r="CN265" i="25"/>
  <c r="CN257" i="25"/>
  <c r="CN249" i="25"/>
  <c r="CN241" i="25"/>
  <c r="CN233" i="25"/>
  <c r="CN225" i="25"/>
  <c r="CN217" i="25"/>
  <c r="CN286" i="25"/>
  <c r="CN312" i="25"/>
  <c r="CN304" i="25"/>
  <c r="CN296" i="25"/>
  <c r="CN288" i="25"/>
  <c r="CN280" i="25"/>
  <c r="CN272" i="25"/>
  <c r="CN264" i="25"/>
  <c r="CN256" i="25"/>
  <c r="CN248" i="25"/>
  <c r="CN240" i="25"/>
  <c r="CN232" i="25"/>
  <c r="CN224" i="25"/>
  <c r="CN302" i="25"/>
  <c r="CN230" i="25"/>
  <c r="CN311" i="25"/>
  <c r="CN303" i="25"/>
  <c r="CN295" i="25"/>
  <c r="CN287" i="25"/>
  <c r="CN279" i="25"/>
  <c r="CN271" i="25"/>
  <c r="CN263" i="25"/>
  <c r="CN255" i="25"/>
  <c r="CN247" i="25"/>
  <c r="CN239" i="25"/>
  <c r="CN231" i="25"/>
  <c r="CN223" i="25"/>
  <c r="CN216" i="25"/>
  <c r="CN310" i="25"/>
  <c r="CM312" i="24"/>
  <c r="EO312" i="24" s="1"/>
  <c r="CM304" i="24"/>
  <c r="EO304" i="24" s="1"/>
  <c r="CM296" i="24"/>
  <c r="EO296" i="24" s="1"/>
  <c r="CM288" i="24"/>
  <c r="EO288" i="24" s="1"/>
  <c r="CM280" i="24"/>
  <c r="EO280" i="24" s="1"/>
  <c r="CM272" i="24"/>
  <c r="EO272" i="24" s="1"/>
  <c r="CM264" i="24"/>
  <c r="EO264" i="24" s="1"/>
  <c r="CM256" i="24"/>
  <c r="EO256" i="24" s="1"/>
  <c r="CM248" i="24"/>
  <c r="EO248" i="24" s="1"/>
  <c r="CM240" i="24"/>
  <c r="EO240" i="24" s="1"/>
  <c r="CM232" i="24"/>
  <c r="EO232" i="24" s="1"/>
  <c r="CM224" i="24"/>
  <c r="EO224" i="24" s="1"/>
  <c r="CM281" i="24"/>
  <c r="EO281" i="24" s="1"/>
  <c r="CM311" i="24"/>
  <c r="EO311" i="24" s="1"/>
  <c r="CM303" i="24"/>
  <c r="EO303" i="24" s="1"/>
  <c r="CM295" i="24"/>
  <c r="EO295" i="24" s="1"/>
  <c r="CM287" i="24"/>
  <c r="EO287" i="24" s="1"/>
  <c r="CM279" i="24"/>
  <c r="EO279" i="24" s="1"/>
  <c r="CM271" i="24"/>
  <c r="EO271" i="24" s="1"/>
  <c r="CM263" i="24"/>
  <c r="EO263" i="24" s="1"/>
  <c r="CM255" i="24"/>
  <c r="EO255" i="24" s="1"/>
  <c r="CM247" i="24"/>
  <c r="EO247" i="24" s="1"/>
  <c r="CM239" i="24"/>
  <c r="EO239" i="24" s="1"/>
  <c r="CM231" i="24"/>
  <c r="EO231" i="24" s="1"/>
  <c r="CM223" i="24"/>
  <c r="EO223" i="24" s="1"/>
  <c r="CM216" i="24"/>
  <c r="EO216" i="24" s="1"/>
  <c r="CM305" i="24"/>
  <c r="EO305" i="24" s="1"/>
  <c r="CM241" i="24"/>
  <c r="EO241" i="24" s="1"/>
  <c r="CM310" i="24"/>
  <c r="EO310" i="24" s="1"/>
  <c r="CM302" i="24"/>
  <c r="EO302" i="24" s="1"/>
  <c r="CM294" i="24"/>
  <c r="EO294" i="24" s="1"/>
  <c r="CM286" i="24"/>
  <c r="EO286" i="24" s="1"/>
  <c r="CM278" i="24"/>
  <c r="EO278" i="24" s="1"/>
  <c r="CM270" i="24"/>
  <c r="EO270" i="24" s="1"/>
  <c r="CM262" i="24"/>
  <c r="EO262" i="24" s="1"/>
  <c r="CM254" i="24"/>
  <c r="EO254" i="24" s="1"/>
  <c r="CM246" i="24"/>
  <c r="EO246" i="24" s="1"/>
  <c r="CM238" i="24"/>
  <c r="EO238" i="24" s="1"/>
  <c r="CM230" i="24"/>
  <c r="EO230" i="24" s="1"/>
  <c r="CM222" i="24"/>
  <c r="EO222" i="24" s="1"/>
  <c r="CM313" i="24"/>
  <c r="EO313" i="24" s="1"/>
  <c r="CM233" i="24"/>
  <c r="EO233" i="24" s="1"/>
  <c r="CM309" i="24"/>
  <c r="EO309" i="24" s="1"/>
  <c r="CM301" i="24"/>
  <c r="EO301" i="24" s="1"/>
  <c r="CM293" i="24"/>
  <c r="EO293" i="24" s="1"/>
  <c r="CM285" i="24"/>
  <c r="EO285" i="24" s="1"/>
  <c r="CM277" i="24"/>
  <c r="EO277" i="24" s="1"/>
  <c r="CM269" i="24"/>
  <c r="EO269" i="24" s="1"/>
  <c r="CM261" i="24"/>
  <c r="EO261" i="24" s="1"/>
  <c r="CM253" i="24"/>
  <c r="EO253" i="24" s="1"/>
  <c r="CM245" i="24"/>
  <c r="EO245" i="24" s="1"/>
  <c r="CM237" i="24"/>
  <c r="EO237" i="24" s="1"/>
  <c r="CM229" i="24"/>
  <c r="EO229" i="24" s="1"/>
  <c r="CM221" i="24"/>
  <c r="EO221" i="24" s="1"/>
  <c r="CM289" i="24"/>
  <c r="EO289" i="24" s="1"/>
  <c r="CM249" i="24"/>
  <c r="EO249" i="24" s="1"/>
  <c r="CM316" i="24"/>
  <c r="EO316" i="24" s="1"/>
  <c r="CM308" i="24"/>
  <c r="EO308" i="24" s="1"/>
  <c r="CM300" i="24"/>
  <c r="EO300" i="24" s="1"/>
  <c r="CM292" i="24"/>
  <c r="EO292" i="24" s="1"/>
  <c r="CM284" i="24"/>
  <c r="EO284" i="24" s="1"/>
  <c r="CM276" i="24"/>
  <c r="EO276" i="24" s="1"/>
  <c r="CM268" i="24"/>
  <c r="EO268" i="24" s="1"/>
  <c r="CM260" i="24"/>
  <c r="EO260" i="24" s="1"/>
  <c r="CM252" i="24"/>
  <c r="EO252" i="24" s="1"/>
  <c r="CM244" i="24"/>
  <c r="EO244" i="24" s="1"/>
  <c r="CM236" i="24"/>
  <c r="EO236" i="24" s="1"/>
  <c r="CM228" i="24"/>
  <c r="EO228" i="24" s="1"/>
  <c r="CM220" i="24"/>
  <c r="EO220" i="24" s="1"/>
  <c r="CM226" i="24"/>
  <c r="EO226" i="24" s="1"/>
  <c r="CM297" i="24"/>
  <c r="EO297" i="24" s="1"/>
  <c r="CM265" i="24"/>
  <c r="EO265" i="24" s="1"/>
  <c r="CM225" i="24"/>
  <c r="EO225" i="24" s="1"/>
  <c r="CM315" i="24"/>
  <c r="EO315" i="24" s="1"/>
  <c r="CM307" i="24"/>
  <c r="EO307" i="24" s="1"/>
  <c r="CM299" i="24"/>
  <c r="EO299" i="24" s="1"/>
  <c r="CM291" i="24"/>
  <c r="EO291" i="24" s="1"/>
  <c r="CM283" i="24"/>
  <c r="EO283" i="24" s="1"/>
  <c r="CM275" i="24"/>
  <c r="EO275" i="24" s="1"/>
  <c r="CM267" i="24"/>
  <c r="EO267" i="24" s="1"/>
  <c r="CM259" i="24"/>
  <c r="EO259" i="24" s="1"/>
  <c r="CM251" i="24"/>
  <c r="EO251" i="24" s="1"/>
  <c r="CM243" i="24"/>
  <c r="EO243" i="24" s="1"/>
  <c r="CM235" i="24"/>
  <c r="EO235" i="24" s="1"/>
  <c r="CM227" i="24"/>
  <c r="EO227" i="24" s="1"/>
  <c r="CM219" i="24"/>
  <c r="EO219" i="24" s="1"/>
  <c r="CM234" i="24"/>
  <c r="EO234" i="24" s="1"/>
  <c r="CM257" i="24"/>
  <c r="EO257" i="24" s="1"/>
  <c r="CM314" i="24"/>
  <c r="EO314" i="24" s="1"/>
  <c r="CM306" i="24"/>
  <c r="EO306" i="24" s="1"/>
  <c r="CM298" i="24"/>
  <c r="EO298" i="24" s="1"/>
  <c r="CM290" i="24"/>
  <c r="EO290" i="24" s="1"/>
  <c r="CM282" i="24"/>
  <c r="EO282" i="24" s="1"/>
  <c r="CM274" i="24"/>
  <c r="EO274" i="24" s="1"/>
  <c r="CM266" i="24"/>
  <c r="EO266" i="24" s="1"/>
  <c r="CM258" i="24"/>
  <c r="EO258" i="24" s="1"/>
  <c r="CM250" i="24"/>
  <c r="EO250" i="24" s="1"/>
  <c r="CM242" i="24"/>
  <c r="EO242" i="24" s="1"/>
  <c r="CM218" i="24"/>
  <c r="EO218" i="24" s="1"/>
  <c r="CM273" i="24"/>
  <c r="EO273" i="24" s="1"/>
  <c r="CM217" i="24"/>
  <c r="EO217" i="24" s="1"/>
  <c r="B16" i="29"/>
  <c r="B106" i="2"/>
  <c r="G11" i="2"/>
  <c r="Y14" i="2" s="1"/>
  <c r="Y19" i="2"/>
  <c r="B14" i="29"/>
  <c r="B147" i="2"/>
  <c r="M2" i="24"/>
  <c r="D43" i="16"/>
  <c r="K12" i="2"/>
  <c r="K11" i="2"/>
  <c r="BR5" i="24"/>
  <c r="B28" i="2"/>
  <c r="C43" i="16"/>
  <c r="B14" i="2"/>
  <c r="H110" i="25"/>
  <c r="H5" i="25"/>
  <c r="AH5" i="25" s="1"/>
  <c r="H216" i="25"/>
  <c r="B193" i="2"/>
  <c r="E39" i="1" s="1"/>
  <c r="B214" i="2"/>
  <c r="B210" i="2"/>
  <c r="B35" i="2"/>
  <c r="B157" i="2"/>
  <c r="H216" i="24"/>
  <c r="H110" i="24"/>
  <c r="E15" i="23"/>
  <c r="R15" i="23" s="1"/>
  <c r="E23" i="23"/>
  <c r="R23" i="23" s="1"/>
  <c r="E31" i="23"/>
  <c r="R31" i="23" s="1"/>
  <c r="E39" i="23"/>
  <c r="R39" i="23" s="1"/>
  <c r="E47" i="23"/>
  <c r="R47" i="23" s="1"/>
  <c r="E55" i="23"/>
  <c r="R55" i="23" s="1"/>
  <c r="E63" i="23"/>
  <c r="R63" i="23" s="1"/>
  <c r="E71" i="23"/>
  <c r="R71" i="23" s="1"/>
  <c r="E79" i="23"/>
  <c r="R79" i="23" s="1"/>
  <c r="E87" i="23"/>
  <c r="R87" i="23" s="1"/>
  <c r="E95" i="23"/>
  <c r="R95" i="23" s="1"/>
  <c r="E103" i="23"/>
  <c r="R103" i="23" s="1"/>
  <c r="E20" i="23"/>
  <c r="R20" i="23" s="1"/>
  <c r="E44" i="23"/>
  <c r="R44" i="23" s="1"/>
  <c r="E68" i="23"/>
  <c r="R68" i="23" s="1"/>
  <c r="E84" i="23"/>
  <c r="R84" i="23" s="1"/>
  <c r="E7" i="23"/>
  <c r="R7" i="23" s="1"/>
  <c r="E16" i="23"/>
  <c r="R16" i="23" s="1"/>
  <c r="E24" i="23"/>
  <c r="R24" i="23" s="1"/>
  <c r="E32" i="23"/>
  <c r="R32" i="23" s="1"/>
  <c r="E40" i="23"/>
  <c r="R40" i="23" s="1"/>
  <c r="E48" i="23"/>
  <c r="R48" i="23" s="1"/>
  <c r="E56" i="23"/>
  <c r="R56" i="23" s="1"/>
  <c r="E64" i="23"/>
  <c r="R64" i="23" s="1"/>
  <c r="E72" i="23"/>
  <c r="R72" i="23" s="1"/>
  <c r="E80" i="23"/>
  <c r="R80" i="23" s="1"/>
  <c r="E88" i="23"/>
  <c r="R88" i="23" s="1"/>
  <c r="E96" i="23"/>
  <c r="R96" i="23" s="1"/>
  <c r="E104" i="23"/>
  <c r="R104" i="23" s="1"/>
  <c r="E28" i="23"/>
  <c r="R28" i="23" s="1"/>
  <c r="E60" i="23"/>
  <c r="R60" i="23" s="1"/>
  <c r="E92" i="23"/>
  <c r="R92" i="23" s="1"/>
  <c r="E11" i="23"/>
  <c r="R11" i="23" s="1"/>
  <c r="E19" i="23"/>
  <c r="R19" i="23" s="1"/>
  <c r="E27" i="23"/>
  <c r="R27" i="23" s="1"/>
  <c r="E35" i="23"/>
  <c r="R35" i="23" s="1"/>
  <c r="E43" i="23"/>
  <c r="R43" i="23" s="1"/>
  <c r="E51" i="23"/>
  <c r="R51" i="23" s="1"/>
  <c r="E59" i="23"/>
  <c r="R59" i="23" s="1"/>
  <c r="E67" i="23"/>
  <c r="R67" i="23" s="1"/>
  <c r="E75" i="23"/>
  <c r="R75" i="23" s="1"/>
  <c r="E83" i="23"/>
  <c r="R83" i="23" s="1"/>
  <c r="E91" i="23"/>
  <c r="R91" i="23" s="1"/>
  <c r="E99" i="23"/>
  <c r="R99" i="23" s="1"/>
  <c r="E6" i="23"/>
  <c r="R6" i="23" s="1"/>
  <c r="E12" i="23"/>
  <c r="R12" i="23" s="1"/>
  <c r="E36" i="23"/>
  <c r="R36" i="23" s="1"/>
  <c r="E52" i="23"/>
  <c r="R52" i="23" s="1"/>
  <c r="E76" i="23"/>
  <c r="R76" i="23" s="1"/>
  <c r="E100" i="23"/>
  <c r="R100" i="23" s="1"/>
  <c r="E94" i="23"/>
  <c r="R94" i="23" s="1"/>
  <c r="E78" i="23"/>
  <c r="R78" i="23" s="1"/>
  <c r="E62" i="23"/>
  <c r="R62" i="23" s="1"/>
  <c r="E46" i="23"/>
  <c r="R46" i="23" s="1"/>
  <c r="E30" i="23"/>
  <c r="R30" i="23" s="1"/>
  <c r="E14" i="23"/>
  <c r="R14" i="23" s="1"/>
  <c r="E106" i="23"/>
  <c r="R106" i="23" s="1"/>
  <c r="E90" i="23"/>
  <c r="R90" i="23" s="1"/>
  <c r="E74" i="23"/>
  <c r="R74" i="23" s="1"/>
  <c r="E58" i="23"/>
  <c r="R58" i="23" s="1"/>
  <c r="E42" i="23"/>
  <c r="R42" i="23" s="1"/>
  <c r="E26" i="23"/>
  <c r="R26" i="23" s="1"/>
  <c r="E9" i="23"/>
  <c r="R9" i="23" s="1"/>
  <c r="E102" i="23"/>
  <c r="R102" i="23" s="1"/>
  <c r="E70" i="23"/>
  <c r="R70" i="23" s="1"/>
  <c r="E38" i="23"/>
  <c r="R38" i="23" s="1"/>
  <c r="E101" i="23"/>
  <c r="R101" i="23" s="1"/>
  <c r="E85" i="23"/>
  <c r="R85" i="23" s="1"/>
  <c r="E69" i="23"/>
  <c r="R69" i="23" s="1"/>
  <c r="E53" i="23"/>
  <c r="R53" i="23" s="1"/>
  <c r="E37" i="23"/>
  <c r="R37" i="23" s="1"/>
  <c r="E21" i="23"/>
  <c r="R21" i="23" s="1"/>
  <c r="E86" i="23"/>
  <c r="R86" i="23" s="1"/>
  <c r="E22" i="23"/>
  <c r="R22" i="23" s="1"/>
  <c r="E93" i="23"/>
  <c r="R93" i="23" s="1"/>
  <c r="E77" i="23"/>
  <c r="R77" i="23" s="1"/>
  <c r="E45" i="23"/>
  <c r="R45" i="23" s="1"/>
  <c r="E13" i="23"/>
  <c r="R13" i="23" s="1"/>
  <c r="E82" i="23"/>
  <c r="R82" i="23" s="1"/>
  <c r="E50" i="23"/>
  <c r="R50" i="23" s="1"/>
  <c r="E89" i="23"/>
  <c r="R89" i="23" s="1"/>
  <c r="E57" i="23"/>
  <c r="R57" i="23" s="1"/>
  <c r="E25" i="23"/>
  <c r="R25" i="23" s="1"/>
  <c r="E98" i="23"/>
  <c r="R98" i="23" s="1"/>
  <c r="E66" i="23"/>
  <c r="R66" i="23" s="1"/>
  <c r="E34" i="23"/>
  <c r="R34" i="23" s="1"/>
  <c r="E97" i="23"/>
  <c r="R97" i="23" s="1"/>
  <c r="E81" i="23"/>
  <c r="R81" i="23" s="1"/>
  <c r="E65" i="23"/>
  <c r="R65" i="23" s="1"/>
  <c r="E49" i="23"/>
  <c r="R49" i="23" s="1"/>
  <c r="E33" i="23"/>
  <c r="R33" i="23" s="1"/>
  <c r="E17" i="23"/>
  <c r="R17" i="23" s="1"/>
  <c r="E54" i="23"/>
  <c r="R54" i="23" s="1"/>
  <c r="E10" i="23"/>
  <c r="R10" i="23" s="1"/>
  <c r="E61" i="23"/>
  <c r="R61" i="23" s="1"/>
  <c r="E29" i="23"/>
  <c r="R29" i="23" s="1"/>
  <c r="E18" i="23"/>
  <c r="R18" i="23" s="1"/>
  <c r="E105" i="23"/>
  <c r="R105" i="23" s="1"/>
  <c r="E73" i="23"/>
  <c r="R73" i="23" s="1"/>
  <c r="E41" i="23"/>
  <c r="R41" i="23" s="1"/>
  <c r="E8" i="23"/>
  <c r="R8" i="23" s="1"/>
  <c r="D9" i="23"/>
  <c r="F9" i="23" s="1"/>
  <c r="D13" i="23"/>
  <c r="I13" i="23" s="1"/>
  <c r="D17" i="23"/>
  <c r="I17" i="23" s="1"/>
  <c r="D21" i="23"/>
  <c r="D25" i="23"/>
  <c r="I25" i="23" s="1"/>
  <c r="D29" i="23"/>
  <c r="D33" i="23"/>
  <c r="F33" i="23" s="1"/>
  <c r="D37" i="23"/>
  <c r="D41" i="23"/>
  <c r="F41" i="23" s="1"/>
  <c r="D45" i="23"/>
  <c r="D49" i="23"/>
  <c r="I49" i="23" s="1"/>
  <c r="D10" i="23"/>
  <c r="I10" i="23" s="1"/>
  <c r="D14" i="23"/>
  <c r="I14" i="23" s="1"/>
  <c r="D18" i="23"/>
  <c r="D22" i="23"/>
  <c r="I22" i="23" s="1"/>
  <c r="D26" i="23"/>
  <c r="D30" i="23"/>
  <c r="I30" i="23" s="1"/>
  <c r="D34" i="23"/>
  <c r="D38" i="23"/>
  <c r="F38" i="23" s="1"/>
  <c r="D42" i="23"/>
  <c r="D46" i="23"/>
  <c r="I46" i="23" s="1"/>
  <c r="D50" i="23"/>
  <c r="D54" i="23"/>
  <c r="I54" i="23" s="1"/>
  <c r="D58" i="23"/>
  <c r="D62" i="23"/>
  <c r="F62" i="23" s="1"/>
  <c r="D66" i="23"/>
  <c r="D70" i="23"/>
  <c r="F70" i="23" s="1"/>
  <c r="D74" i="23"/>
  <c r="D78" i="23"/>
  <c r="F78" i="23" s="1"/>
  <c r="D82" i="23"/>
  <c r="D86" i="23"/>
  <c r="F86" i="23" s="1"/>
  <c r="D90" i="23"/>
  <c r="D94" i="23"/>
  <c r="I94" i="23" s="1"/>
  <c r="D98" i="23"/>
  <c r="F98" i="23" s="1"/>
  <c r="D102" i="23"/>
  <c r="I102" i="23" s="1"/>
  <c r="D106" i="23"/>
  <c r="F106" i="23" s="1"/>
  <c r="D16" i="23"/>
  <c r="F16" i="23" s="1"/>
  <c r="D24" i="23"/>
  <c r="D32" i="23"/>
  <c r="I32" i="23" s="1"/>
  <c r="D40" i="23"/>
  <c r="D48" i="23"/>
  <c r="F48" i="23" s="1"/>
  <c r="D55" i="23"/>
  <c r="D60" i="23"/>
  <c r="I60" i="23" s="1"/>
  <c r="D65" i="23"/>
  <c r="I65" i="23" s="1"/>
  <c r="D71" i="23"/>
  <c r="I71" i="23" s="1"/>
  <c r="D76" i="23"/>
  <c r="F76" i="23" s="1"/>
  <c r="D81" i="23"/>
  <c r="I81" i="23" s="1"/>
  <c r="D87" i="23"/>
  <c r="D92" i="23"/>
  <c r="I92" i="23" s="1"/>
  <c r="D97" i="23"/>
  <c r="D103" i="23"/>
  <c r="I103" i="23" s="1"/>
  <c r="D7" i="23"/>
  <c r="F7" i="23" s="1"/>
  <c r="D23" i="23"/>
  <c r="F23" i="23" s="1"/>
  <c r="D39" i="23"/>
  <c r="F39" i="23" s="1"/>
  <c r="D53" i="23"/>
  <c r="I53" i="23" s="1"/>
  <c r="D64" i="23"/>
  <c r="D75" i="23"/>
  <c r="F75" i="23" s="1"/>
  <c r="D85" i="23"/>
  <c r="D96" i="23"/>
  <c r="F96" i="23" s="1"/>
  <c r="D8" i="23"/>
  <c r="D11" i="23"/>
  <c r="F11" i="23" s="1"/>
  <c r="D19" i="23"/>
  <c r="D27" i="23"/>
  <c r="F27" i="23" s="1"/>
  <c r="D35" i="23"/>
  <c r="D43" i="23"/>
  <c r="F43" i="23" s="1"/>
  <c r="D51" i="23"/>
  <c r="D56" i="23"/>
  <c r="F56" i="23" s="1"/>
  <c r="D61" i="23"/>
  <c r="I61" i="23" s="1"/>
  <c r="D67" i="23"/>
  <c r="I67" i="23" s="1"/>
  <c r="D72" i="23"/>
  <c r="D77" i="23"/>
  <c r="I77" i="23" s="1"/>
  <c r="D83" i="23"/>
  <c r="D88" i="23"/>
  <c r="I88" i="23" s="1"/>
  <c r="D93" i="23"/>
  <c r="D99" i="23"/>
  <c r="F99" i="23" s="1"/>
  <c r="D104" i="23"/>
  <c r="D6" i="23"/>
  <c r="I6" i="23" s="1"/>
  <c r="D12" i="23"/>
  <c r="I12" i="23" s="1"/>
  <c r="D20" i="23"/>
  <c r="I20" i="23" s="1"/>
  <c r="D28" i="23"/>
  <c r="D36" i="23"/>
  <c r="F36" i="23" s="1"/>
  <c r="D44" i="23"/>
  <c r="F44" i="23" s="1"/>
  <c r="D52" i="23"/>
  <c r="I52" i="23" s="1"/>
  <c r="D57" i="23"/>
  <c r="D63" i="23"/>
  <c r="I63" i="23" s="1"/>
  <c r="D68" i="23"/>
  <c r="D73" i="23"/>
  <c r="I73" i="23" s="1"/>
  <c r="D79" i="23"/>
  <c r="F79" i="23" s="1"/>
  <c r="D84" i="23"/>
  <c r="I84" i="23" s="1"/>
  <c r="D89" i="23"/>
  <c r="F89" i="23" s="1"/>
  <c r="D95" i="23"/>
  <c r="I95" i="23" s="1"/>
  <c r="D100" i="23"/>
  <c r="D105" i="23"/>
  <c r="I105" i="23" s="1"/>
  <c r="D15" i="23"/>
  <c r="D31" i="23"/>
  <c r="F31" i="23" s="1"/>
  <c r="D47" i="23"/>
  <c r="D59" i="23"/>
  <c r="F59" i="23" s="1"/>
  <c r="D69" i="23"/>
  <c r="F69" i="23" s="1"/>
  <c r="D80" i="23"/>
  <c r="I80" i="23" s="1"/>
  <c r="D91" i="23"/>
  <c r="D101" i="23"/>
  <c r="I101" i="23" s="1"/>
  <c r="B10" i="19"/>
  <c r="D10" i="19" s="1"/>
  <c r="CJ212" i="25" s="1"/>
  <c r="I16" i="8"/>
  <c r="J16" i="8" s="1"/>
  <c r="D181" i="2" s="1"/>
  <c r="B182" i="2" s="1"/>
  <c r="B11" i="19"/>
  <c r="D11" i="19" s="1"/>
  <c r="I4" i="8" s="1"/>
  <c r="J4" i="8" s="1"/>
  <c r="B237" i="2"/>
  <c r="B3" i="8"/>
  <c r="B159" i="8" s="1"/>
  <c r="B158" i="8" s="1"/>
  <c r="B157" i="8" s="1"/>
  <c r="B156" i="8" s="1"/>
  <c r="B155" i="8" s="1"/>
  <c r="B154" i="8" s="1"/>
  <c r="B153" i="8" s="1"/>
  <c r="B152" i="8" s="1"/>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31" i="16"/>
  <c r="D3" i="8"/>
  <c r="D159" i="8" s="1"/>
  <c r="D158" i="8" s="1"/>
  <c r="D157" i="8" s="1"/>
  <c r="D156" i="8" s="1"/>
  <c r="D155" i="8" s="1"/>
  <c r="D154" i="8" s="1"/>
  <c r="D153" i="8" s="1"/>
  <c r="D152" i="8" s="1"/>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9" i="8"/>
  <c r="E158" i="8" s="1"/>
  <c r="E157" i="8" s="1"/>
  <c r="E156" i="8" s="1"/>
  <c r="E155" i="8" s="1"/>
  <c r="E154" i="8" s="1"/>
  <c r="E153" i="8" s="1"/>
  <c r="E152" i="8" s="1"/>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B238" i="2"/>
  <c r="S76" i="2"/>
  <c r="B232" i="2"/>
  <c r="I72" i="2"/>
  <c r="C3" i="8"/>
  <c r="C159" i="8" s="1"/>
  <c r="C158" i="8" s="1"/>
  <c r="A232" i="2"/>
  <c r="F40" i="1"/>
  <c r="B9" i="19"/>
  <c r="D9" i="19" s="1"/>
  <c r="B17" i="19"/>
  <c r="D17" i="19" s="1"/>
  <c r="B221" i="2"/>
  <c r="B13" i="2"/>
  <c r="CR195" i="25" l="1"/>
  <c r="CS195" i="25" s="1"/>
  <c r="Q104" i="2"/>
  <c r="CQ136" i="24"/>
  <c r="CR136" i="24" s="1"/>
  <c r="CT136" i="24" s="1"/>
  <c r="CQ204" i="24"/>
  <c r="CR204" i="24" s="1"/>
  <c r="CT204" i="24" s="1"/>
  <c r="CQ140" i="24"/>
  <c r="CR140" i="24" s="1"/>
  <c r="CT140" i="24" s="1"/>
  <c r="CQ149" i="24"/>
  <c r="CR149" i="24" s="1"/>
  <c r="CT149" i="24" s="1"/>
  <c r="CO140" i="24"/>
  <c r="CR197" i="25"/>
  <c r="CS197" i="25" s="1"/>
  <c r="CR111" i="25"/>
  <c r="CS111" i="25" s="1"/>
  <c r="CQ175" i="24"/>
  <c r="CR175" i="24" s="1"/>
  <c r="CT175" i="24" s="1"/>
  <c r="CR200" i="25"/>
  <c r="CS200" i="25" s="1"/>
  <c r="CO136" i="24"/>
  <c r="CO174" i="24"/>
  <c r="CQ131" i="24"/>
  <c r="CR131" i="24" s="1"/>
  <c r="CT131" i="24" s="1"/>
  <c r="CQ185" i="24"/>
  <c r="CR185" i="24" s="1"/>
  <c r="CT185" i="24" s="1"/>
  <c r="CQ174" i="24"/>
  <c r="CR174" i="24" s="1"/>
  <c r="CT174" i="24" s="1"/>
  <c r="CO185" i="24"/>
  <c r="CO175" i="24"/>
  <c r="CR152" i="25"/>
  <c r="CS152" i="25" s="1"/>
  <c r="CR126" i="25"/>
  <c r="CS126" i="25" s="1"/>
  <c r="CO204" i="24"/>
  <c r="CR116" i="25"/>
  <c r="CS116" i="25" s="1"/>
  <c r="CR185" i="25"/>
  <c r="CS185" i="25" s="1"/>
  <c r="CR143" i="25"/>
  <c r="CS143" i="25" s="1"/>
  <c r="CR125" i="25"/>
  <c r="CS125" i="25" s="1"/>
  <c r="CR179" i="25"/>
  <c r="CS179" i="25" s="1"/>
  <c r="CR140" i="25"/>
  <c r="CS140" i="25" s="1"/>
  <c r="CQ212" i="24"/>
  <c r="CR212" i="24" s="1"/>
  <c r="CT212" i="24" s="1"/>
  <c r="CO212" i="24"/>
  <c r="CR205" i="25"/>
  <c r="CS205" i="25" s="1"/>
  <c r="D33" i="16"/>
  <c r="D32" i="16"/>
  <c r="CQ114" i="24"/>
  <c r="CR114" i="24" s="1"/>
  <c r="CT114" i="24" s="1"/>
  <c r="CO177" i="24"/>
  <c r="CO165" i="24"/>
  <c r="CQ177" i="24"/>
  <c r="CR177" i="24" s="1"/>
  <c r="CT177" i="24" s="1"/>
  <c r="G327" i="24"/>
  <c r="I27" i="8" s="1"/>
  <c r="CQ128" i="24"/>
  <c r="CR128" i="24" s="1"/>
  <c r="CT128" i="24" s="1"/>
  <c r="CQ178" i="24"/>
  <c r="CR178" i="24" s="1"/>
  <c r="CT178" i="24" s="1"/>
  <c r="CR123" i="25"/>
  <c r="CS123" i="25" s="1"/>
  <c r="CQ122" i="24"/>
  <c r="CR122" i="24" s="1"/>
  <c r="CT122" i="24" s="1"/>
  <c r="CO178" i="24"/>
  <c r="CO128" i="24"/>
  <c r="FG212" i="25"/>
  <c r="CL212" i="25"/>
  <c r="DL212" i="25" s="1"/>
  <c r="DP212" i="25"/>
  <c r="EQ212" i="25"/>
  <c r="EU212" i="25" s="1"/>
  <c r="CP212" i="25"/>
  <c r="EM212" i="25"/>
  <c r="B18" i="29"/>
  <c r="CX212" i="25"/>
  <c r="CS212" i="25"/>
  <c r="L68" i="1"/>
  <c r="L70" i="1" s="1"/>
  <c r="E22" i="1"/>
  <c r="CJ212" i="24"/>
  <c r="N327" i="25"/>
  <c r="I29" i="8" s="1"/>
  <c r="CP223" i="25"/>
  <c r="EM223" i="25"/>
  <c r="CP287" i="25"/>
  <c r="EM287" i="25"/>
  <c r="CP240" i="25"/>
  <c r="EM240" i="25"/>
  <c r="CP304" i="25"/>
  <c r="EM304" i="25"/>
  <c r="CP257" i="25"/>
  <c r="EM257" i="25"/>
  <c r="CP294" i="25"/>
  <c r="EM294" i="25"/>
  <c r="CP274" i="25"/>
  <c r="EM274" i="25"/>
  <c r="CP219" i="25"/>
  <c r="EM219" i="25"/>
  <c r="CP283" i="25"/>
  <c r="EM283" i="25"/>
  <c r="CP228" i="25"/>
  <c r="EM228" i="25"/>
  <c r="CP292" i="25"/>
  <c r="EM292" i="25"/>
  <c r="CP229" i="25"/>
  <c r="EM229" i="25"/>
  <c r="CP293" i="25"/>
  <c r="EM293" i="25"/>
  <c r="CP231" i="25"/>
  <c r="EM231" i="25"/>
  <c r="CP295" i="25"/>
  <c r="EM295" i="25"/>
  <c r="CP248" i="25"/>
  <c r="EM248" i="25"/>
  <c r="CP312" i="25"/>
  <c r="EM312" i="25"/>
  <c r="CP265" i="25"/>
  <c r="EM265" i="25"/>
  <c r="CP218" i="25"/>
  <c r="EM218" i="25"/>
  <c r="CP282" i="25"/>
  <c r="EM282" i="25"/>
  <c r="CP227" i="25"/>
  <c r="EM227" i="25"/>
  <c r="CP291" i="25"/>
  <c r="EM291" i="25"/>
  <c r="CP236" i="25"/>
  <c r="EM236" i="25"/>
  <c r="CP300" i="25"/>
  <c r="EM300" i="25"/>
  <c r="CP237" i="25"/>
  <c r="EM237" i="25"/>
  <c r="CP301" i="25"/>
  <c r="EM301" i="25"/>
  <c r="CP239" i="25"/>
  <c r="EM239" i="25"/>
  <c r="CP303" i="25"/>
  <c r="EM303" i="25"/>
  <c r="CP256" i="25"/>
  <c r="EM256" i="25"/>
  <c r="CP286" i="25"/>
  <c r="EM286" i="25"/>
  <c r="CP273" i="25"/>
  <c r="EM273" i="25"/>
  <c r="CP226" i="25"/>
  <c r="EM226" i="25"/>
  <c r="CP290" i="25"/>
  <c r="EM290" i="25"/>
  <c r="CP235" i="25"/>
  <c r="EM235" i="25"/>
  <c r="CP299" i="25"/>
  <c r="EM299" i="25"/>
  <c r="CP244" i="25"/>
  <c r="EM244" i="25"/>
  <c r="CP308" i="25"/>
  <c r="EM308" i="25"/>
  <c r="CP245" i="25"/>
  <c r="EM245" i="25"/>
  <c r="CP309" i="25"/>
  <c r="EM309" i="25"/>
  <c r="CP247" i="25"/>
  <c r="EM247" i="25"/>
  <c r="CP311" i="25"/>
  <c r="EM311" i="25"/>
  <c r="CP264" i="25"/>
  <c r="EM264" i="25"/>
  <c r="CP217" i="25"/>
  <c r="EM217" i="25"/>
  <c r="CP281" i="25"/>
  <c r="EM281" i="25"/>
  <c r="CP234" i="25"/>
  <c r="EM234" i="25"/>
  <c r="CP298" i="25"/>
  <c r="EM298" i="25"/>
  <c r="CP243" i="25"/>
  <c r="EM243" i="25"/>
  <c r="CP307" i="25"/>
  <c r="EM307" i="25"/>
  <c r="CP252" i="25"/>
  <c r="EM252" i="25"/>
  <c r="CP316" i="25"/>
  <c r="EM316" i="25"/>
  <c r="CP253" i="25"/>
  <c r="EM253" i="25"/>
  <c r="CP255" i="25"/>
  <c r="EM255" i="25"/>
  <c r="CP230" i="25"/>
  <c r="EM230" i="25"/>
  <c r="CP272" i="25"/>
  <c r="EM272" i="25"/>
  <c r="CP225" i="25"/>
  <c r="EM225" i="25"/>
  <c r="CP289" i="25"/>
  <c r="EM289" i="25"/>
  <c r="CP242" i="25"/>
  <c r="EM242" i="25"/>
  <c r="CP306" i="25"/>
  <c r="EM306" i="25"/>
  <c r="CP251" i="25"/>
  <c r="EM251" i="25"/>
  <c r="CP315" i="25"/>
  <c r="EM315" i="25"/>
  <c r="CP260" i="25"/>
  <c r="EM260" i="25"/>
  <c r="CP222" i="25"/>
  <c r="EM222" i="25"/>
  <c r="CP261" i="25"/>
  <c r="EM261" i="25"/>
  <c r="CP263" i="25"/>
  <c r="EM263" i="25"/>
  <c r="CP302" i="25"/>
  <c r="EM302" i="25"/>
  <c r="CP280" i="25"/>
  <c r="EM280" i="25"/>
  <c r="CP233" i="25"/>
  <c r="EM233" i="25"/>
  <c r="CP297" i="25"/>
  <c r="EM297" i="25"/>
  <c r="CP250" i="25"/>
  <c r="EM250" i="25"/>
  <c r="CP314" i="25"/>
  <c r="EM314" i="25"/>
  <c r="CP259" i="25"/>
  <c r="EM259" i="25"/>
  <c r="CP254" i="25"/>
  <c r="EM254" i="25"/>
  <c r="CP268" i="25"/>
  <c r="EM268" i="25"/>
  <c r="CP246" i="25"/>
  <c r="EM246" i="25"/>
  <c r="CP269" i="25"/>
  <c r="EM269" i="25"/>
  <c r="CP310" i="25"/>
  <c r="EM310" i="25"/>
  <c r="CP271" i="25"/>
  <c r="EM271" i="25"/>
  <c r="CP224" i="25"/>
  <c r="EM224" i="25"/>
  <c r="CP288" i="25"/>
  <c r="EM288" i="25"/>
  <c r="CP241" i="25"/>
  <c r="EM241" i="25"/>
  <c r="CP305" i="25"/>
  <c r="EM305" i="25"/>
  <c r="CP258" i="25"/>
  <c r="EM258" i="25"/>
  <c r="CP238" i="25"/>
  <c r="EM238" i="25"/>
  <c r="CP267" i="25"/>
  <c r="EM267" i="25"/>
  <c r="CP278" i="25"/>
  <c r="EM278" i="25"/>
  <c r="CP276" i="25"/>
  <c r="EM276" i="25"/>
  <c r="CP262" i="25"/>
  <c r="EM262" i="25"/>
  <c r="CP277" i="25"/>
  <c r="EM277" i="25"/>
  <c r="CP216" i="25"/>
  <c r="EM216" i="25"/>
  <c r="CP279" i="25"/>
  <c r="EM279" i="25"/>
  <c r="CP232" i="25"/>
  <c r="EM232" i="25"/>
  <c r="CP296" i="25"/>
  <c r="EM296" i="25"/>
  <c r="CP249" i="25"/>
  <c r="EM249" i="25"/>
  <c r="CP313" i="25"/>
  <c r="EM313" i="25"/>
  <c r="CP266" i="25"/>
  <c r="EM266" i="25"/>
  <c r="CP270" i="25"/>
  <c r="EM270" i="25"/>
  <c r="CP275" i="25"/>
  <c r="EM275" i="25"/>
  <c r="CP220" i="25"/>
  <c r="EM220" i="25"/>
  <c r="CP284" i="25"/>
  <c r="EM284" i="25"/>
  <c r="CP221" i="25"/>
  <c r="EM221" i="25"/>
  <c r="CP285" i="25"/>
  <c r="EM285" i="25"/>
  <c r="G327" i="25"/>
  <c r="H329" i="25" s="1"/>
  <c r="I24" i="8" s="1"/>
  <c r="J24" i="8" s="1"/>
  <c r="CP113" i="25"/>
  <c r="CP170" i="25"/>
  <c r="CP139" i="25"/>
  <c r="CP203" i="25"/>
  <c r="CP121" i="25"/>
  <c r="CP172" i="25"/>
  <c r="CP165" i="25"/>
  <c r="CP142" i="25"/>
  <c r="CP206" i="25"/>
  <c r="CP167" i="25"/>
  <c r="CP136" i="25"/>
  <c r="CP200" i="25"/>
  <c r="CP169" i="25"/>
  <c r="CP114" i="25"/>
  <c r="CP178" i="25"/>
  <c r="CP147" i="25"/>
  <c r="CP177" i="25"/>
  <c r="CP116" i="25"/>
  <c r="CP180" i="25"/>
  <c r="CP173" i="25"/>
  <c r="CP150" i="25"/>
  <c r="CP161" i="25"/>
  <c r="CP110" i="25"/>
  <c r="CP175" i="25"/>
  <c r="CP144" i="25"/>
  <c r="CP208" i="25"/>
  <c r="CP122" i="25"/>
  <c r="CP186" i="25"/>
  <c r="CP155" i="25"/>
  <c r="CP124" i="25"/>
  <c r="CP188" i="25"/>
  <c r="CP117" i="25"/>
  <c r="CP181" i="25"/>
  <c r="CP158" i="25"/>
  <c r="CP201" i="25"/>
  <c r="CP119" i="25"/>
  <c r="CP183" i="25"/>
  <c r="CP152" i="25"/>
  <c r="CP130" i="25"/>
  <c r="CP194" i="25"/>
  <c r="CP163" i="25"/>
  <c r="CP132" i="25"/>
  <c r="CP196" i="25"/>
  <c r="CP153" i="25"/>
  <c r="CP125" i="25"/>
  <c r="CP189" i="25"/>
  <c r="CP166" i="25"/>
  <c r="CP127" i="25"/>
  <c r="CP191" i="25"/>
  <c r="CP160" i="25"/>
  <c r="CP138" i="25"/>
  <c r="CP202" i="25"/>
  <c r="CP137" i="25"/>
  <c r="CP171" i="25"/>
  <c r="CP140" i="25"/>
  <c r="CP204" i="25"/>
  <c r="CP133" i="25"/>
  <c r="CP197" i="25"/>
  <c r="CP174" i="25"/>
  <c r="CP135" i="25"/>
  <c r="CP199" i="25"/>
  <c r="CP168" i="25"/>
  <c r="CP146" i="25"/>
  <c r="CP210" i="25"/>
  <c r="CP185" i="25"/>
  <c r="CP115" i="25"/>
  <c r="CP179" i="25"/>
  <c r="CP148" i="25"/>
  <c r="CP141" i="25"/>
  <c r="CP205" i="25"/>
  <c r="CP129" i="25"/>
  <c r="CP118" i="25"/>
  <c r="CP182" i="25"/>
  <c r="CP143" i="25"/>
  <c r="CP207" i="25"/>
  <c r="CP145" i="25"/>
  <c r="CP111" i="25"/>
  <c r="CP176" i="25"/>
  <c r="CP154" i="25"/>
  <c r="CP123" i="25"/>
  <c r="CP187" i="25"/>
  <c r="CP156" i="25"/>
  <c r="CP149" i="25"/>
  <c r="CP193" i="25"/>
  <c r="CP126" i="25"/>
  <c r="CP190" i="25"/>
  <c r="CP151" i="25"/>
  <c r="CP209" i="25"/>
  <c r="CP120" i="25"/>
  <c r="CP184" i="25"/>
  <c r="CR112" i="25"/>
  <c r="CS112" i="25" s="1"/>
  <c r="EM112" i="25"/>
  <c r="CP162" i="25"/>
  <c r="CP131" i="25"/>
  <c r="CP195" i="25"/>
  <c r="CP164" i="25"/>
  <c r="CP157" i="25"/>
  <c r="CP134" i="25"/>
  <c r="CP198" i="25"/>
  <c r="CP159" i="25"/>
  <c r="CP128" i="25"/>
  <c r="CP192" i="25"/>
  <c r="CJ112" i="25"/>
  <c r="CR174" i="25"/>
  <c r="CS174" i="25" s="1"/>
  <c r="CO131" i="24"/>
  <c r="CO149" i="24"/>
  <c r="CQ165" i="24"/>
  <c r="CR165" i="24" s="1"/>
  <c r="CT165" i="24" s="1"/>
  <c r="CR161" i="25"/>
  <c r="CS161" i="25" s="1"/>
  <c r="CQ163" i="24"/>
  <c r="CR163" i="24" s="1"/>
  <c r="CT163" i="24" s="1"/>
  <c r="CO122" i="24"/>
  <c r="CO164" i="24"/>
  <c r="CO132" i="24"/>
  <c r="CO129" i="24"/>
  <c r="CQ167" i="24"/>
  <c r="CR167" i="24" s="1"/>
  <c r="CT167" i="24" s="1"/>
  <c r="CQ164" i="24"/>
  <c r="CR164" i="24" s="1"/>
  <c r="CT164" i="24" s="1"/>
  <c r="CQ192" i="24"/>
  <c r="CR192" i="24" s="1"/>
  <c r="CT192" i="24" s="1"/>
  <c r="CO112" i="24"/>
  <c r="CO124" i="24"/>
  <c r="CR169" i="25"/>
  <c r="CS169" i="25" s="1"/>
  <c r="CR138" i="25"/>
  <c r="CS138" i="25" s="1"/>
  <c r="CR189" i="25"/>
  <c r="CS189" i="25" s="1"/>
  <c r="CR207" i="25"/>
  <c r="CS207" i="25" s="1"/>
  <c r="CO117" i="24"/>
  <c r="CQ142" i="24"/>
  <c r="CR142" i="24" s="1"/>
  <c r="CT142" i="24" s="1"/>
  <c r="CO142" i="24"/>
  <c r="CQ120" i="24"/>
  <c r="CR120" i="24" s="1"/>
  <c r="CT120" i="24" s="1"/>
  <c r="CO138" i="24"/>
  <c r="CO192" i="24"/>
  <c r="CQ129" i="24"/>
  <c r="CR129" i="24" s="1"/>
  <c r="CT129" i="24" s="1"/>
  <c r="CQ132" i="24"/>
  <c r="CR132" i="24" s="1"/>
  <c r="CT132" i="24" s="1"/>
  <c r="CO166" i="24"/>
  <c r="CR164" i="25"/>
  <c r="CS164" i="25" s="1"/>
  <c r="CQ173" i="24"/>
  <c r="CR173" i="24" s="1"/>
  <c r="CT173" i="24" s="1"/>
  <c r="CQ112" i="24"/>
  <c r="CR112" i="24" s="1"/>
  <c r="CT112" i="24" s="1"/>
  <c r="CQ116" i="24"/>
  <c r="CR116" i="24" s="1"/>
  <c r="CT116" i="24" s="1"/>
  <c r="CQ124" i="24"/>
  <c r="CR124" i="24" s="1"/>
  <c r="CT124" i="24" s="1"/>
  <c r="CQ117" i="24"/>
  <c r="CR117" i="24" s="1"/>
  <c r="CT117" i="24" s="1"/>
  <c r="CR132" i="25"/>
  <c r="CS132" i="25" s="1"/>
  <c r="CR192" i="25"/>
  <c r="CS192" i="25" s="1"/>
  <c r="CO167" i="24"/>
  <c r="CR128" i="25"/>
  <c r="CS128" i="25" s="1"/>
  <c r="CQ166" i="24"/>
  <c r="CR166" i="24" s="1"/>
  <c r="CT166" i="24" s="1"/>
  <c r="CR114" i="25"/>
  <c r="CS114" i="25" s="1"/>
  <c r="CO171" i="24"/>
  <c r="CO173" i="24"/>
  <c r="CR172" i="25"/>
  <c r="CS172" i="25" s="1"/>
  <c r="CR159" i="25"/>
  <c r="CS159" i="25" s="1"/>
  <c r="CR201" i="25"/>
  <c r="CS201" i="25" s="1"/>
  <c r="CR115" i="25"/>
  <c r="CS115" i="25" s="1"/>
  <c r="CQ138" i="24"/>
  <c r="CR138" i="24" s="1"/>
  <c r="CT138" i="24" s="1"/>
  <c r="CO116" i="24"/>
  <c r="CQ115" i="24"/>
  <c r="CR115" i="24" s="1"/>
  <c r="CT115" i="24" s="1"/>
  <c r="CO176" i="24"/>
  <c r="CR141" i="25"/>
  <c r="CS141" i="25" s="1"/>
  <c r="CR131" i="25"/>
  <c r="CS131" i="25" s="1"/>
  <c r="CO125" i="24"/>
  <c r="CQ155" i="24"/>
  <c r="CR155" i="24" s="1"/>
  <c r="CT155" i="24" s="1"/>
  <c r="CR183" i="25"/>
  <c r="CS183" i="25" s="1"/>
  <c r="CQ118" i="24"/>
  <c r="CR118" i="24" s="1"/>
  <c r="CT118" i="24" s="1"/>
  <c r="CO118" i="24"/>
  <c r="CO111" i="24"/>
  <c r="CQ113" i="24"/>
  <c r="CR113" i="24" s="1"/>
  <c r="CT113" i="24" s="1"/>
  <c r="CQ119" i="24"/>
  <c r="CR119" i="24" s="1"/>
  <c r="CT119" i="24" s="1"/>
  <c r="CQ156" i="24"/>
  <c r="CR156" i="24" s="1"/>
  <c r="CT156" i="24" s="1"/>
  <c r="CO199" i="24"/>
  <c r="CR147" i="25"/>
  <c r="CS147" i="25" s="1"/>
  <c r="CR199" i="25"/>
  <c r="CS199" i="25" s="1"/>
  <c r="CQ176" i="24"/>
  <c r="CR176" i="24" s="1"/>
  <c r="CT176" i="24" s="1"/>
  <c r="CQ196" i="24"/>
  <c r="CR196" i="24" s="1"/>
  <c r="CT196" i="24" s="1"/>
  <c r="CQ153" i="24"/>
  <c r="CR153" i="24" s="1"/>
  <c r="CT153" i="24" s="1"/>
  <c r="CQ206" i="24"/>
  <c r="CR206" i="24" s="1"/>
  <c r="CT206" i="24" s="1"/>
  <c r="CR110" i="25"/>
  <c r="CX110" i="25" s="1"/>
  <c r="CY110" i="25" s="1"/>
  <c r="CO113" i="24"/>
  <c r="CO150" i="24"/>
  <c r="CQ111" i="24"/>
  <c r="CR111" i="24" s="1"/>
  <c r="CT111" i="24" s="1"/>
  <c r="CO119" i="24"/>
  <c r="CO196" i="24"/>
  <c r="CO198" i="24"/>
  <c r="CQ199" i="24"/>
  <c r="CR199" i="24" s="1"/>
  <c r="CT199" i="24" s="1"/>
  <c r="CR181" i="25"/>
  <c r="CS181" i="25" s="1"/>
  <c r="CO115" i="24"/>
  <c r="CR133" i="25"/>
  <c r="CS133" i="25" s="1"/>
  <c r="CR127" i="25"/>
  <c r="CS127" i="25" s="1"/>
  <c r="CO156" i="24"/>
  <c r="CO157" i="24"/>
  <c r="CQ198" i="24"/>
  <c r="CR198" i="24" s="1"/>
  <c r="CT198" i="24" s="1"/>
  <c r="CR155" i="25"/>
  <c r="CS155" i="25" s="1"/>
  <c r="CR120" i="25"/>
  <c r="CS120" i="25" s="1"/>
  <c r="CQ157" i="24"/>
  <c r="CR157" i="24" s="1"/>
  <c r="CT157" i="24" s="1"/>
  <c r="CR178" i="25"/>
  <c r="CS178" i="25" s="1"/>
  <c r="CR144" i="25"/>
  <c r="CS144" i="25" s="1"/>
  <c r="CQ158" i="24"/>
  <c r="CR158" i="24" s="1"/>
  <c r="CT158" i="24" s="1"/>
  <c r="CO168" i="24"/>
  <c r="CR153" i="25"/>
  <c r="CS153" i="25" s="1"/>
  <c r="CQ181" i="24"/>
  <c r="CR181" i="24" s="1"/>
  <c r="CT181" i="24" s="1"/>
  <c r="CQ110" i="24"/>
  <c r="CR110" i="24" s="1"/>
  <c r="DT110" i="24" s="1"/>
  <c r="CQ127" i="24"/>
  <c r="CR127" i="24" s="1"/>
  <c r="CT127" i="24" s="1"/>
  <c r="CQ205" i="24"/>
  <c r="CR205" i="24" s="1"/>
  <c r="CT205" i="24" s="1"/>
  <c r="CR124" i="25"/>
  <c r="CS124" i="25" s="1"/>
  <c r="CR156" i="25"/>
  <c r="CS156" i="25" s="1"/>
  <c r="CR162" i="25"/>
  <c r="CS162" i="25" s="1"/>
  <c r="CQ125" i="24"/>
  <c r="CR125" i="24" s="1"/>
  <c r="CT125" i="24" s="1"/>
  <c r="CO161" i="24"/>
  <c r="CO210" i="24"/>
  <c r="CR186" i="25"/>
  <c r="CS186" i="25" s="1"/>
  <c r="CR206" i="25"/>
  <c r="CS206" i="25" s="1"/>
  <c r="CO121" i="24"/>
  <c r="CO158" i="24"/>
  <c r="CR113" i="25"/>
  <c r="CS113" i="25" s="1"/>
  <c r="CQ161" i="24"/>
  <c r="CR161" i="24" s="1"/>
  <c r="CT161" i="24" s="1"/>
  <c r="CQ121" i="24"/>
  <c r="CR121" i="24" s="1"/>
  <c r="CT121" i="24" s="1"/>
  <c r="CR157" i="25"/>
  <c r="CS157" i="25" s="1"/>
  <c r="CO154" i="24"/>
  <c r="CQ210" i="24"/>
  <c r="CR210" i="24" s="1"/>
  <c r="CT210" i="24" s="1"/>
  <c r="CO127" i="24"/>
  <c r="CQ195" i="24"/>
  <c r="CR195" i="24" s="1"/>
  <c r="CT195" i="24" s="1"/>
  <c r="CO152" i="24"/>
  <c r="CQ170" i="24"/>
  <c r="CR170" i="24" s="1"/>
  <c r="CT170" i="24" s="1"/>
  <c r="CQ194" i="24"/>
  <c r="CR194" i="24" s="1"/>
  <c r="CT194" i="24" s="1"/>
  <c r="CR145" i="25"/>
  <c r="CS145" i="25" s="1"/>
  <c r="CR170" i="25"/>
  <c r="CS170" i="25" s="1"/>
  <c r="CO194" i="24"/>
  <c r="CR167" i="25"/>
  <c r="CS167" i="25" s="1"/>
  <c r="CR210" i="25"/>
  <c r="CS210" i="25" s="1"/>
  <c r="CR139" i="25"/>
  <c r="CS139" i="25" s="1"/>
  <c r="CQ151" i="24"/>
  <c r="CR151" i="24" s="1"/>
  <c r="CT151" i="24" s="1"/>
  <c r="CO191" i="24"/>
  <c r="CO170" i="24"/>
  <c r="CO151" i="24"/>
  <c r="CO195" i="24"/>
  <c r="CR142" i="25"/>
  <c r="CS142" i="25" s="1"/>
  <c r="CO208" i="24"/>
  <c r="CR173" i="25"/>
  <c r="CS173" i="25" s="1"/>
  <c r="CQ193" i="24"/>
  <c r="CR193" i="24" s="1"/>
  <c r="CT193" i="24" s="1"/>
  <c r="CR184" i="25"/>
  <c r="CS184" i="25" s="1"/>
  <c r="CO145" i="24"/>
  <c r="CQ208" i="24"/>
  <c r="CR208" i="24" s="1"/>
  <c r="CT208" i="24" s="1"/>
  <c r="CQ145" i="24"/>
  <c r="CR145" i="24" s="1"/>
  <c r="CT145" i="24" s="1"/>
  <c r="CR209" i="25"/>
  <c r="CS209" i="25" s="1"/>
  <c r="CO114" i="24"/>
  <c r="CO193" i="24"/>
  <c r="CQ191" i="24"/>
  <c r="CR191" i="24" s="1"/>
  <c r="CT191" i="24" s="1"/>
  <c r="CR136" i="25"/>
  <c r="CS136" i="25" s="1"/>
  <c r="CR117" i="25"/>
  <c r="CS117" i="25" s="1"/>
  <c r="CO148" i="24"/>
  <c r="CO120" i="24"/>
  <c r="CQ148" i="24"/>
  <c r="CR148" i="24" s="1"/>
  <c r="CT148" i="24" s="1"/>
  <c r="CQ152" i="24"/>
  <c r="CR152" i="24" s="1"/>
  <c r="CT152" i="24" s="1"/>
  <c r="CR198" i="25"/>
  <c r="CS198" i="25" s="1"/>
  <c r="CO155" i="24"/>
  <c r="CR188" i="25"/>
  <c r="CS188" i="25" s="1"/>
  <c r="CO205" i="24"/>
  <c r="CO202" i="24"/>
  <c r="CR203" i="25"/>
  <c r="CS203" i="25" s="1"/>
  <c r="CQ202" i="24"/>
  <c r="CR202" i="24" s="1"/>
  <c r="CT202" i="24" s="1"/>
  <c r="CO181" i="24"/>
  <c r="CQ168" i="24"/>
  <c r="CR168" i="24" s="1"/>
  <c r="CT168" i="24" s="1"/>
  <c r="CQ143" i="24"/>
  <c r="CR143" i="24" s="1"/>
  <c r="CT143" i="24" s="1"/>
  <c r="CQ146" i="24"/>
  <c r="CR146" i="24" s="1"/>
  <c r="CT146" i="24" s="1"/>
  <c r="CR191" i="25"/>
  <c r="CS191" i="25" s="1"/>
  <c r="CQ189" i="24"/>
  <c r="CR189" i="24" s="1"/>
  <c r="CT189" i="24" s="1"/>
  <c r="CR151" i="25"/>
  <c r="CS151" i="25" s="1"/>
  <c r="CR175" i="25"/>
  <c r="CS175" i="25" s="1"/>
  <c r="CO206" i="24"/>
  <c r="CQ150" i="24"/>
  <c r="CR150" i="24" s="1"/>
  <c r="CT150" i="24" s="1"/>
  <c r="CR202" i="25"/>
  <c r="CS202" i="25" s="1"/>
  <c r="CO153" i="24"/>
  <c r="CO209" i="24"/>
  <c r="CR204" i="25"/>
  <c r="CS204" i="25" s="1"/>
  <c r="CQ201" i="24"/>
  <c r="CR201" i="24" s="1"/>
  <c r="CT201" i="24" s="1"/>
  <c r="CO133" i="24"/>
  <c r="CR150" i="25"/>
  <c r="CS150" i="25" s="1"/>
  <c r="CO137" i="24"/>
  <c r="CQ137" i="24"/>
  <c r="CR137" i="24" s="1"/>
  <c r="CT137" i="24" s="1"/>
  <c r="CQ180" i="24"/>
  <c r="CR180" i="24" s="1"/>
  <c r="CT180" i="24" s="1"/>
  <c r="CQ141" i="24"/>
  <c r="CR141" i="24" s="1"/>
  <c r="CT141" i="24" s="1"/>
  <c r="CR148" i="25"/>
  <c r="CS148" i="25" s="1"/>
  <c r="CO201" i="24"/>
  <c r="CO182" i="24"/>
  <c r="CR187" i="25"/>
  <c r="CS187" i="25" s="1"/>
  <c r="CR190" i="25"/>
  <c r="CS190" i="25" s="1"/>
  <c r="CO183" i="24"/>
  <c r="CQ154" i="24"/>
  <c r="CR154" i="24" s="1"/>
  <c r="CT154" i="24" s="1"/>
  <c r="CQ182" i="24"/>
  <c r="CR182" i="24" s="1"/>
  <c r="CT182" i="24" s="1"/>
  <c r="CR129" i="25"/>
  <c r="CS129" i="25" s="1"/>
  <c r="CR182" i="25"/>
  <c r="CS182" i="25" s="1"/>
  <c r="CO187" i="24"/>
  <c r="CO141" i="24"/>
  <c r="CO180" i="24"/>
  <c r="CQ133" i="24"/>
  <c r="CR133" i="24" s="1"/>
  <c r="CT133" i="24" s="1"/>
  <c r="CQ187" i="24"/>
  <c r="CR187" i="24" s="1"/>
  <c r="CT187" i="24" s="1"/>
  <c r="CR158" i="25"/>
  <c r="CS158" i="25" s="1"/>
  <c r="CO184" i="24"/>
  <c r="CO162" i="24"/>
  <c r="CQ209" i="24"/>
  <c r="CR209" i="24" s="1"/>
  <c r="CT209" i="24" s="1"/>
  <c r="CQ162" i="24"/>
  <c r="CR162" i="24" s="1"/>
  <c r="CT162" i="24" s="1"/>
  <c r="CR168" i="25"/>
  <c r="CS168" i="25" s="1"/>
  <c r="CO134" i="24"/>
  <c r="CQ183" i="24"/>
  <c r="CR183" i="24" s="1"/>
  <c r="CT183" i="24" s="1"/>
  <c r="CQ134" i="24"/>
  <c r="CR134" i="24" s="1"/>
  <c r="CT134" i="24" s="1"/>
  <c r="CQ184" i="24"/>
  <c r="CR184" i="24" s="1"/>
  <c r="CT184" i="24" s="1"/>
  <c r="CO163" i="24"/>
  <c r="CQ197" i="24"/>
  <c r="CR197" i="24" s="1"/>
  <c r="CT197" i="24" s="1"/>
  <c r="CR146" i="25"/>
  <c r="CS146" i="25" s="1"/>
  <c r="CO130" i="24"/>
  <c r="CR5" i="24"/>
  <c r="DT5" i="24" s="1"/>
  <c r="CO179" i="24"/>
  <c r="CR171" i="25"/>
  <c r="CS171" i="25" s="1"/>
  <c r="CQ172" i="24"/>
  <c r="CR172" i="24" s="1"/>
  <c r="CT172" i="24" s="1"/>
  <c r="CR193" i="25"/>
  <c r="CS193" i="25" s="1"/>
  <c r="CR118" i="25"/>
  <c r="CS118" i="25" s="1"/>
  <c r="CR177" i="25"/>
  <c r="CS177" i="25" s="1"/>
  <c r="CQ171" i="24"/>
  <c r="CR171" i="24" s="1"/>
  <c r="CT171" i="24" s="1"/>
  <c r="CQ126" i="24"/>
  <c r="CR126" i="24" s="1"/>
  <c r="CT126" i="24" s="1"/>
  <c r="CO126" i="24"/>
  <c r="CO160" i="24"/>
  <c r="CO169" i="24"/>
  <c r="CQ160" i="24"/>
  <c r="CR160" i="24" s="1"/>
  <c r="CT160" i="24" s="1"/>
  <c r="CR196" i="25"/>
  <c r="CS196" i="25" s="1"/>
  <c r="CR121" i="25"/>
  <c r="CS121" i="25" s="1"/>
  <c r="CO123" i="24"/>
  <c r="CO197" i="24"/>
  <c r="CR135" i="25"/>
  <c r="CS135" i="25" s="1"/>
  <c r="CQ130" i="24"/>
  <c r="CR130" i="24" s="1"/>
  <c r="CT130" i="24" s="1"/>
  <c r="CR149" i="25"/>
  <c r="CS149" i="25" s="1"/>
  <c r="CO135" i="24"/>
  <c r="CO172" i="24"/>
  <c r="CQ169" i="24"/>
  <c r="CR169" i="24" s="1"/>
  <c r="CT169" i="24" s="1"/>
  <c r="CR166" i="25"/>
  <c r="CS166" i="25" s="1"/>
  <c r="CQ179" i="24"/>
  <c r="CR179" i="24" s="1"/>
  <c r="CT179" i="24" s="1"/>
  <c r="CQ144" i="24"/>
  <c r="CR144" i="24" s="1"/>
  <c r="CT144" i="24" s="1"/>
  <c r="CQ135" i="24"/>
  <c r="CR135" i="24" s="1"/>
  <c r="CT135" i="24" s="1"/>
  <c r="CR180" i="25"/>
  <c r="CS180" i="25" s="1"/>
  <c r="CO144" i="24"/>
  <c r="CQ123" i="24"/>
  <c r="CR123" i="24" s="1"/>
  <c r="CT123" i="24" s="1"/>
  <c r="CR154" i="25"/>
  <c r="CS154" i="25" s="1"/>
  <c r="L14" i="1"/>
  <c r="B99" i="2"/>
  <c r="CO139" i="24"/>
  <c r="CO203" i="24"/>
  <c r="CO190" i="24"/>
  <c r="CO159" i="24"/>
  <c r="CR208" i="25"/>
  <c r="CS208" i="25" s="1"/>
  <c r="CR119" i="25"/>
  <c r="CS119" i="25" s="1"/>
  <c r="CQ188" i="24"/>
  <c r="CR188" i="24" s="1"/>
  <c r="CT188" i="24" s="1"/>
  <c r="CR134" i="25"/>
  <c r="CS134" i="25" s="1"/>
  <c r="CR194" i="25"/>
  <c r="CS194" i="25" s="1"/>
  <c r="CO143" i="24"/>
  <c r="CR160" i="25"/>
  <c r="CS160" i="25" s="1"/>
  <c r="CO189" i="24"/>
  <c r="CQ207" i="24"/>
  <c r="CR207" i="24" s="1"/>
  <c r="CT207" i="24" s="1"/>
  <c r="CR130" i="25"/>
  <c r="CS130" i="25" s="1"/>
  <c r="CO200" i="24"/>
  <c r="CQ203" i="24"/>
  <c r="CR203" i="24" s="1"/>
  <c r="CT203" i="24" s="1"/>
  <c r="CO188" i="24"/>
  <c r="CR176" i="25"/>
  <c r="CS176" i="25" s="1"/>
  <c r="CQ147" i="24"/>
  <c r="CR147" i="24" s="1"/>
  <c r="CT147" i="24" s="1"/>
  <c r="CR165" i="25"/>
  <c r="CS165" i="25" s="1"/>
  <c r="CO146" i="24"/>
  <c r="CO186" i="24"/>
  <c r="CQ190" i="24"/>
  <c r="CR190" i="24" s="1"/>
  <c r="CT190" i="24" s="1"/>
  <c r="CO207" i="24"/>
  <c r="CQ139" i="24"/>
  <c r="CR139" i="24" s="1"/>
  <c r="CT139" i="24" s="1"/>
  <c r="CR163" i="25"/>
  <c r="CS163" i="25" s="1"/>
  <c r="CO147" i="24"/>
  <c r="CQ159" i="24"/>
  <c r="CR159" i="24" s="1"/>
  <c r="CT159" i="24" s="1"/>
  <c r="CR137" i="25"/>
  <c r="CS137" i="25" s="1"/>
  <c r="CQ186" i="24"/>
  <c r="CR186" i="24" s="1"/>
  <c r="CT186" i="24" s="1"/>
  <c r="CQ200" i="24"/>
  <c r="CR200" i="24" s="1"/>
  <c r="CT200" i="24" s="1"/>
  <c r="EO110" i="24"/>
  <c r="CW110" i="24"/>
  <c r="CX110" i="24" s="1"/>
  <c r="CN110" i="24" s="1"/>
  <c r="CN5" i="24"/>
  <c r="DA5" i="24" s="1"/>
  <c r="CS5" i="24"/>
  <c r="FD5" i="24" s="1"/>
  <c r="AW2" i="25"/>
  <c r="EA2" i="25"/>
  <c r="CZ5" i="24"/>
  <c r="CQ298" i="24"/>
  <c r="CR298" i="24" s="1"/>
  <c r="CT298" i="24" s="1"/>
  <c r="CO298" i="24"/>
  <c r="CO307" i="24"/>
  <c r="CQ307" i="24"/>
  <c r="CR307" i="24" s="1"/>
  <c r="CT307" i="24" s="1"/>
  <c r="CO236" i="24"/>
  <c r="CQ236" i="24"/>
  <c r="CR236" i="24" s="1"/>
  <c r="CT236" i="24" s="1"/>
  <c r="CO300" i="24"/>
  <c r="CQ300" i="24"/>
  <c r="CR300" i="24" s="1"/>
  <c r="CT300" i="24" s="1"/>
  <c r="CO309" i="24"/>
  <c r="CQ309" i="24"/>
  <c r="CR309" i="24" s="1"/>
  <c r="CT309" i="24" s="1"/>
  <c r="CQ262" i="24"/>
  <c r="CR262" i="24" s="1"/>
  <c r="CT262" i="24" s="1"/>
  <c r="CO262" i="24"/>
  <c r="CQ232" i="24"/>
  <c r="CR232" i="24" s="1"/>
  <c r="CT232" i="24" s="1"/>
  <c r="CO232" i="24"/>
  <c r="CO296" i="24"/>
  <c r="CQ296" i="24"/>
  <c r="CR296" i="24" s="1"/>
  <c r="CT296" i="24" s="1"/>
  <c r="CR247" i="25"/>
  <c r="CS247" i="25" s="1"/>
  <c r="CR311" i="25"/>
  <c r="CS311" i="25" s="1"/>
  <c r="CR264" i="25"/>
  <c r="CS264" i="25" s="1"/>
  <c r="CR217" i="25"/>
  <c r="CS217" i="25" s="1"/>
  <c r="CR281" i="25"/>
  <c r="CS281" i="25" s="1"/>
  <c r="CR234" i="25"/>
  <c r="CS234" i="25" s="1"/>
  <c r="CR298" i="25"/>
  <c r="CS298" i="25" s="1"/>
  <c r="CR243" i="25"/>
  <c r="CS243" i="25" s="1"/>
  <c r="CR307" i="25"/>
  <c r="CS307" i="25" s="1"/>
  <c r="CR252" i="25"/>
  <c r="CS252" i="25" s="1"/>
  <c r="CR316" i="25"/>
  <c r="CS316" i="25" s="1"/>
  <c r="CR253" i="25"/>
  <c r="CS253" i="25" s="1"/>
  <c r="CQ242" i="24"/>
  <c r="CR242" i="24" s="1"/>
  <c r="CT242" i="24" s="1"/>
  <c r="CO242" i="24"/>
  <c r="CO306" i="24"/>
  <c r="CQ306" i="24"/>
  <c r="CR306" i="24" s="1"/>
  <c r="CT306" i="24" s="1"/>
  <c r="CO251" i="24"/>
  <c r="CQ251" i="24"/>
  <c r="CR251" i="24" s="1"/>
  <c r="CT251" i="24" s="1"/>
  <c r="CO315" i="24"/>
  <c r="CQ315" i="24"/>
  <c r="CR315" i="24" s="1"/>
  <c r="CT315" i="24" s="1"/>
  <c r="CO244" i="24"/>
  <c r="CQ244" i="24"/>
  <c r="CR244" i="24" s="1"/>
  <c r="CT244" i="24" s="1"/>
  <c r="CQ308" i="24"/>
  <c r="CR308" i="24" s="1"/>
  <c r="CT308" i="24" s="1"/>
  <c r="CO308" i="24"/>
  <c r="CQ253" i="24"/>
  <c r="CR253" i="24" s="1"/>
  <c r="CT253" i="24" s="1"/>
  <c r="CO253" i="24"/>
  <c r="CO233" i="24"/>
  <c r="CQ233" i="24"/>
  <c r="CR233" i="24" s="1"/>
  <c r="CT233" i="24" s="1"/>
  <c r="CQ270" i="24"/>
  <c r="CR270" i="24" s="1"/>
  <c r="CT270" i="24" s="1"/>
  <c r="CO270" i="24"/>
  <c r="CW216" i="24"/>
  <c r="CX216" i="24" s="1"/>
  <c r="CO216" i="24"/>
  <c r="CQ216" i="24"/>
  <c r="CR216" i="24" s="1"/>
  <c r="CO279" i="24"/>
  <c r="CQ279" i="24"/>
  <c r="CR279" i="24" s="1"/>
  <c r="CT279" i="24" s="1"/>
  <c r="CQ240" i="24"/>
  <c r="CR240" i="24" s="1"/>
  <c r="CT240" i="24" s="1"/>
  <c r="CO240" i="24"/>
  <c r="CO304" i="24"/>
  <c r="CQ304" i="24"/>
  <c r="CR304" i="24" s="1"/>
  <c r="CT304" i="24" s="1"/>
  <c r="CR255" i="25"/>
  <c r="CS255" i="25" s="1"/>
  <c r="CR230" i="25"/>
  <c r="CS230" i="25" s="1"/>
  <c r="CR272" i="25"/>
  <c r="CS272" i="25" s="1"/>
  <c r="CR225" i="25"/>
  <c r="CS225" i="25" s="1"/>
  <c r="CR289" i="25"/>
  <c r="CS289" i="25" s="1"/>
  <c r="CR242" i="25"/>
  <c r="CS242" i="25" s="1"/>
  <c r="CR306" i="25"/>
  <c r="CS306" i="25" s="1"/>
  <c r="CR251" i="25"/>
  <c r="CS251" i="25" s="1"/>
  <c r="CR315" i="25"/>
  <c r="CS315" i="25" s="1"/>
  <c r="CR260" i="25"/>
  <c r="CS260" i="25" s="1"/>
  <c r="CR222" i="25"/>
  <c r="CS222" i="25" s="1"/>
  <c r="CR261" i="25"/>
  <c r="CS261" i="25" s="1"/>
  <c r="CQ218" i="24"/>
  <c r="CR218" i="24" s="1"/>
  <c r="CT218" i="24" s="1"/>
  <c r="CO218" i="24"/>
  <c r="CQ250" i="24"/>
  <c r="CR250" i="24" s="1"/>
  <c r="CT250" i="24" s="1"/>
  <c r="CO250" i="24"/>
  <c r="CO314" i="24"/>
  <c r="CQ314" i="24"/>
  <c r="CR314" i="24" s="1"/>
  <c r="CT314" i="24" s="1"/>
  <c r="CQ259" i="24"/>
  <c r="CR259" i="24" s="1"/>
  <c r="CT259" i="24" s="1"/>
  <c r="CO259" i="24"/>
  <c r="CO225" i="24"/>
  <c r="CQ225" i="24"/>
  <c r="CR225" i="24" s="1"/>
  <c r="CT225" i="24" s="1"/>
  <c r="CQ252" i="24"/>
  <c r="CR252" i="24" s="1"/>
  <c r="CT252" i="24" s="1"/>
  <c r="CO252" i="24"/>
  <c r="CO316" i="24"/>
  <c r="CQ316" i="24"/>
  <c r="CR316" i="24" s="1"/>
  <c r="CT316" i="24" s="1"/>
  <c r="CQ261" i="24"/>
  <c r="CR261" i="24" s="1"/>
  <c r="CT261" i="24" s="1"/>
  <c r="CO261" i="24"/>
  <c r="CO313" i="24"/>
  <c r="CQ313" i="24"/>
  <c r="CR313" i="24" s="1"/>
  <c r="CT313" i="24" s="1"/>
  <c r="CQ278" i="24"/>
  <c r="CR278" i="24" s="1"/>
  <c r="CT278" i="24" s="1"/>
  <c r="CO278" i="24"/>
  <c r="CQ223" i="24"/>
  <c r="CR223" i="24" s="1"/>
  <c r="CT223" i="24" s="1"/>
  <c r="CO223" i="24"/>
  <c r="CQ287" i="24"/>
  <c r="CR287" i="24" s="1"/>
  <c r="CT287" i="24" s="1"/>
  <c r="CO287" i="24"/>
  <c r="CQ248" i="24"/>
  <c r="CR248" i="24" s="1"/>
  <c r="CT248" i="24" s="1"/>
  <c r="CO248" i="24"/>
  <c r="CO312" i="24"/>
  <c r="CQ312" i="24"/>
  <c r="CR312" i="24" s="1"/>
  <c r="CT312" i="24" s="1"/>
  <c r="CR263" i="25"/>
  <c r="CS263" i="25" s="1"/>
  <c r="CR302" i="25"/>
  <c r="CS302" i="25" s="1"/>
  <c r="CR280" i="25"/>
  <c r="CS280" i="25" s="1"/>
  <c r="CR233" i="25"/>
  <c r="CS233" i="25" s="1"/>
  <c r="CR297" i="25"/>
  <c r="CS297" i="25" s="1"/>
  <c r="CR250" i="25"/>
  <c r="CS250" i="25" s="1"/>
  <c r="CR314" i="25"/>
  <c r="CS314" i="25" s="1"/>
  <c r="CR259" i="25"/>
  <c r="CS259" i="25" s="1"/>
  <c r="CR254" i="25"/>
  <c r="CS254" i="25" s="1"/>
  <c r="CR268" i="25"/>
  <c r="CS268" i="25" s="1"/>
  <c r="CR246" i="25"/>
  <c r="CS246" i="25" s="1"/>
  <c r="CR269" i="25"/>
  <c r="CS269" i="25" s="1"/>
  <c r="CO243" i="24"/>
  <c r="CQ243" i="24"/>
  <c r="CR243" i="24" s="1"/>
  <c r="CT243" i="24" s="1"/>
  <c r="CQ258" i="24"/>
  <c r="CR258" i="24" s="1"/>
  <c r="CT258" i="24" s="1"/>
  <c r="CO258" i="24"/>
  <c r="CO257" i="24"/>
  <c r="CQ257" i="24"/>
  <c r="CR257" i="24" s="1"/>
  <c r="CT257" i="24" s="1"/>
  <c r="CO267" i="24"/>
  <c r="CQ267" i="24"/>
  <c r="CR267" i="24" s="1"/>
  <c r="CT267" i="24" s="1"/>
  <c r="CO265" i="24"/>
  <c r="CQ265" i="24"/>
  <c r="CR265" i="24" s="1"/>
  <c r="CT265" i="24" s="1"/>
  <c r="CO260" i="24"/>
  <c r="CQ260" i="24"/>
  <c r="CR260" i="24" s="1"/>
  <c r="CT260" i="24" s="1"/>
  <c r="CQ249" i="24"/>
  <c r="CR249" i="24" s="1"/>
  <c r="CT249" i="24" s="1"/>
  <c r="CO249" i="24"/>
  <c r="CO269" i="24"/>
  <c r="CQ269" i="24"/>
  <c r="CR269" i="24" s="1"/>
  <c r="CT269" i="24" s="1"/>
  <c r="CO222" i="24"/>
  <c r="CQ222" i="24"/>
  <c r="CR222" i="24" s="1"/>
  <c r="CT222" i="24" s="1"/>
  <c r="CO286" i="24"/>
  <c r="CQ286" i="24"/>
  <c r="CR286" i="24" s="1"/>
  <c r="CT286" i="24" s="1"/>
  <c r="CQ231" i="24"/>
  <c r="CR231" i="24" s="1"/>
  <c r="CT231" i="24" s="1"/>
  <c r="CO231" i="24"/>
  <c r="CQ295" i="24"/>
  <c r="CR295" i="24" s="1"/>
  <c r="CT295" i="24" s="1"/>
  <c r="CO295" i="24"/>
  <c r="CO256" i="24"/>
  <c r="CQ256" i="24"/>
  <c r="CR256" i="24" s="1"/>
  <c r="CT256" i="24" s="1"/>
  <c r="CR310" i="25"/>
  <c r="CS310" i="25" s="1"/>
  <c r="CR271" i="25"/>
  <c r="CS271" i="25" s="1"/>
  <c r="CR224" i="25"/>
  <c r="CS224" i="25" s="1"/>
  <c r="CR288" i="25"/>
  <c r="CS288" i="25" s="1"/>
  <c r="CR241" i="25"/>
  <c r="CS241" i="25" s="1"/>
  <c r="CR305" i="25"/>
  <c r="CS305" i="25" s="1"/>
  <c r="CR258" i="25"/>
  <c r="CS258" i="25" s="1"/>
  <c r="CR238" i="25"/>
  <c r="CS238" i="25" s="1"/>
  <c r="CR267" i="25"/>
  <c r="CS267" i="25" s="1"/>
  <c r="CR278" i="25"/>
  <c r="CS278" i="25" s="1"/>
  <c r="CR276" i="25"/>
  <c r="CS276" i="25" s="1"/>
  <c r="CR262" i="25"/>
  <c r="CS262" i="25" s="1"/>
  <c r="CR277" i="25"/>
  <c r="CS277" i="25" s="1"/>
  <c r="CO245" i="24"/>
  <c r="CQ245" i="24"/>
  <c r="CR245" i="24" s="1"/>
  <c r="CT245" i="24" s="1"/>
  <c r="CO266" i="24"/>
  <c r="CQ266" i="24"/>
  <c r="CR266" i="24" s="1"/>
  <c r="CT266" i="24" s="1"/>
  <c r="CQ234" i="24"/>
  <c r="CR234" i="24" s="1"/>
  <c r="CT234" i="24" s="1"/>
  <c r="CO234" i="24"/>
  <c r="CQ275" i="24"/>
  <c r="CR275" i="24" s="1"/>
  <c r="CT275" i="24" s="1"/>
  <c r="CO275" i="24"/>
  <c r="CQ297" i="24"/>
  <c r="CR297" i="24" s="1"/>
  <c r="CT297" i="24" s="1"/>
  <c r="CO297" i="24"/>
  <c r="CO268" i="24"/>
  <c r="CQ268" i="24"/>
  <c r="CR268" i="24" s="1"/>
  <c r="CT268" i="24" s="1"/>
  <c r="CQ289" i="24"/>
  <c r="CR289" i="24" s="1"/>
  <c r="CT289" i="24" s="1"/>
  <c r="CO289" i="24"/>
  <c r="CQ277" i="24"/>
  <c r="CR277" i="24" s="1"/>
  <c r="CT277" i="24" s="1"/>
  <c r="CO277" i="24"/>
  <c r="CQ230" i="24"/>
  <c r="CR230" i="24" s="1"/>
  <c r="CT230" i="24" s="1"/>
  <c r="CO230" i="24"/>
  <c r="CQ294" i="24"/>
  <c r="CR294" i="24" s="1"/>
  <c r="CT294" i="24" s="1"/>
  <c r="CO294" i="24"/>
  <c r="CO239" i="24"/>
  <c r="CQ239" i="24"/>
  <c r="CR239" i="24" s="1"/>
  <c r="CT239" i="24" s="1"/>
  <c r="CQ303" i="24"/>
  <c r="CR303" i="24" s="1"/>
  <c r="CT303" i="24" s="1"/>
  <c r="CO303" i="24"/>
  <c r="CQ264" i="24"/>
  <c r="CR264" i="24" s="1"/>
  <c r="CT264" i="24" s="1"/>
  <c r="CO264" i="24"/>
  <c r="CR216" i="25"/>
  <c r="CX216" i="25" s="1"/>
  <c r="CY216" i="25" s="1"/>
  <c r="CR279" i="25"/>
  <c r="CS279" i="25" s="1"/>
  <c r="CR232" i="25"/>
  <c r="CS232" i="25" s="1"/>
  <c r="CR296" i="25"/>
  <c r="CS296" i="25" s="1"/>
  <c r="CR249" i="25"/>
  <c r="CS249" i="25" s="1"/>
  <c r="CR313" i="25"/>
  <c r="CS313" i="25" s="1"/>
  <c r="CR266" i="25"/>
  <c r="CS266" i="25" s="1"/>
  <c r="CR270" i="25"/>
  <c r="CS270" i="25" s="1"/>
  <c r="CR275" i="25"/>
  <c r="CS275" i="25" s="1"/>
  <c r="CR220" i="25"/>
  <c r="CS220" i="25" s="1"/>
  <c r="CR284" i="25"/>
  <c r="CS284" i="25" s="1"/>
  <c r="CR221" i="25"/>
  <c r="CS221" i="25" s="1"/>
  <c r="CR285" i="25"/>
  <c r="CS285" i="25" s="1"/>
  <c r="CQ305" i="24"/>
  <c r="CR305" i="24" s="1"/>
  <c r="CT305" i="24" s="1"/>
  <c r="CO305" i="24"/>
  <c r="CQ274" i="24"/>
  <c r="CR274" i="24" s="1"/>
  <c r="CT274" i="24" s="1"/>
  <c r="CO274" i="24"/>
  <c r="CO219" i="24"/>
  <c r="CQ219" i="24"/>
  <c r="CR219" i="24" s="1"/>
  <c r="CT219" i="24" s="1"/>
  <c r="CO283" i="24"/>
  <c r="CQ283" i="24"/>
  <c r="CR283" i="24" s="1"/>
  <c r="CT283" i="24" s="1"/>
  <c r="CQ226" i="24"/>
  <c r="CR226" i="24" s="1"/>
  <c r="CT226" i="24" s="1"/>
  <c r="CO226" i="24"/>
  <c r="CQ276" i="24"/>
  <c r="CR276" i="24" s="1"/>
  <c r="CT276" i="24" s="1"/>
  <c r="CO276" i="24"/>
  <c r="CQ221" i="24"/>
  <c r="CR221" i="24" s="1"/>
  <c r="CT221" i="24" s="1"/>
  <c r="CO221" i="24"/>
  <c r="CO285" i="24"/>
  <c r="CQ285" i="24"/>
  <c r="CR285" i="24" s="1"/>
  <c r="CT285" i="24" s="1"/>
  <c r="CO238" i="24"/>
  <c r="CQ238" i="24"/>
  <c r="CR238" i="24" s="1"/>
  <c r="CT238" i="24" s="1"/>
  <c r="CQ302" i="24"/>
  <c r="CR302" i="24" s="1"/>
  <c r="CT302" i="24" s="1"/>
  <c r="CO302" i="24"/>
  <c r="CQ247" i="24"/>
  <c r="CR247" i="24" s="1"/>
  <c r="CT247" i="24" s="1"/>
  <c r="CO247" i="24"/>
  <c r="CQ311" i="24"/>
  <c r="CR311" i="24" s="1"/>
  <c r="CT311" i="24" s="1"/>
  <c r="CO311" i="24"/>
  <c r="CQ272" i="24"/>
  <c r="CR272" i="24" s="1"/>
  <c r="CT272" i="24" s="1"/>
  <c r="CO272" i="24"/>
  <c r="CR223" i="25"/>
  <c r="CS223" i="25" s="1"/>
  <c r="CR287" i="25"/>
  <c r="CS287" i="25" s="1"/>
  <c r="CR240" i="25"/>
  <c r="CS240" i="25" s="1"/>
  <c r="CR304" i="25"/>
  <c r="CS304" i="25" s="1"/>
  <c r="CR257" i="25"/>
  <c r="CS257" i="25" s="1"/>
  <c r="CR294" i="25"/>
  <c r="CS294" i="25" s="1"/>
  <c r="CR274" i="25"/>
  <c r="CS274" i="25" s="1"/>
  <c r="CR219" i="25"/>
  <c r="CS219" i="25" s="1"/>
  <c r="CR283" i="25"/>
  <c r="CS283" i="25" s="1"/>
  <c r="CR228" i="25"/>
  <c r="CS228" i="25" s="1"/>
  <c r="CR292" i="25"/>
  <c r="CS292" i="25" s="1"/>
  <c r="CR229" i="25"/>
  <c r="CS229" i="25" s="1"/>
  <c r="CR293" i="25"/>
  <c r="CS293" i="25" s="1"/>
  <c r="CO217" i="24"/>
  <c r="CQ217" i="24"/>
  <c r="CR217" i="24" s="1"/>
  <c r="CT217" i="24" s="1"/>
  <c r="CQ282" i="24"/>
  <c r="CR282" i="24" s="1"/>
  <c r="CT282" i="24" s="1"/>
  <c r="CO282" i="24"/>
  <c r="CO227" i="24"/>
  <c r="CQ227" i="24"/>
  <c r="CR227" i="24" s="1"/>
  <c r="CT227" i="24" s="1"/>
  <c r="CQ291" i="24"/>
  <c r="CR291" i="24" s="1"/>
  <c r="CT291" i="24" s="1"/>
  <c r="CO291" i="24"/>
  <c r="CO220" i="24"/>
  <c r="CQ220" i="24"/>
  <c r="CR220" i="24" s="1"/>
  <c r="CT220" i="24" s="1"/>
  <c r="CQ284" i="24"/>
  <c r="CR284" i="24" s="1"/>
  <c r="CT284" i="24" s="1"/>
  <c r="CO284" i="24"/>
  <c r="CQ229" i="24"/>
  <c r="CR229" i="24" s="1"/>
  <c r="CT229" i="24" s="1"/>
  <c r="CO229" i="24"/>
  <c r="CO293" i="24"/>
  <c r="CQ293" i="24"/>
  <c r="CR293" i="24" s="1"/>
  <c r="CT293" i="24" s="1"/>
  <c r="CQ246" i="24"/>
  <c r="CR246" i="24" s="1"/>
  <c r="CT246" i="24" s="1"/>
  <c r="CO246" i="24"/>
  <c r="CO310" i="24"/>
  <c r="CQ310" i="24"/>
  <c r="CR310" i="24" s="1"/>
  <c r="CT310" i="24" s="1"/>
  <c r="CQ255" i="24"/>
  <c r="CR255" i="24" s="1"/>
  <c r="CT255" i="24" s="1"/>
  <c r="CO255" i="24"/>
  <c r="CO281" i="24"/>
  <c r="CQ281" i="24"/>
  <c r="CR281" i="24" s="1"/>
  <c r="CT281" i="24" s="1"/>
  <c r="CO280" i="24"/>
  <c r="CQ280" i="24"/>
  <c r="CR280" i="24" s="1"/>
  <c r="CT280" i="24" s="1"/>
  <c r="CR231" i="25"/>
  <c r="CS231" i="25" s="1"/>
  <c r="CR295" i="25"/>
  <c r="CS295" i="25" s="1"/>
  <c r="CR248" i="25"/>
  <c r="CS248" i="25" s="1"/>
  <c r="CR312" i="25"/>
  <c r="CS312" i="25" s="1"/>
  <c r="CR265" i="25"/>
  <c r="CS265" i="25" s="1"/>
  <c r="CR218" i="25"/>
  <c r="CS218" i="25" s="1"/>
  <c r="CR282" i="25"/>
  <c r="CS282" i="25" s="1"/>
  <c r="CR227" i="25"/>
  <c r="CS227" i="25" s="1"/>
  <c r="CR291" i="25"/>
  <c r="CS291" i="25" s="1"/>
  <c r="CR236" i="25"/>
  <c r="CS236" i="25" s="1"/>
  <c r="CR300" i="25"/>
  <c r="CS300" i="25" s="1"/>
  <c r="CR237" i="25"/>
  <c r="CS237" i="25" s="1"/>
  <c r="CR301" i="25"/>
  <c r="CS301" i="25" s="1"/>
  <c r="CQ271" i="24"/>
  <c r="CR271" i="24" s="1"/>
  <c r="CT271" i="24" s="1"/>
  <c r="CO271" i="24"/>
  <c r="CQ273" i="24"/>
  <c r="CR273" i="24" s="1"/>
  <c r="CT273" i="24" s="1"/>
  <c r="CO273" i="24"/>
  <c r="CQ290" i="24"/>
  <c r="CR290" i="24" s="1"/>
  <c r="CT290" i="24" s="1"/>
  <c r="CO290" i="24"/>
  <c r="CQ235" i="24"/>
  <c r="CR235" i="24" s="1"/>
  <c r="CT235" i="24" s="1"/>
  <c r="CO235" i="24"/>
  <c r="CQ299" i="24"/>
  <c r="CR299" i="24" s="1"/>
  <c r="CT299" i="24" s="1"/>
  <c r="CO299" i="24"/>
  <c r="CO228" i="24"/>
  <c r="CQ228" i="24"/>
  <c r="CR228" i="24" s="1"/>
  <c r="CT228" i="24" s="1"/>
  <c r="CO292" i="24"/>
  <c r="CQ292" i="24"/>
  <c r="CR292" i="24" s="1"/>
  <c r="CT292" i="24" s="1"/>
  <c r="CQ237" i="24"/>
  <c r="CR237" i="24" s="1"/>
  <c r="CT237" i="24" s="1"/>
  <c r="CO237" i="24"/>
  <c r="CO301" i="24"/>
  <c r="CQ301" i="24"/>
  <c r="CR301" i="24" s="1"/>
  <c r="CT301" i="24" s="1"/>
  <c r="CO254" i="24"/>
  <c r="CQ254" i="24"/>
  <c r="CR254" i="24" s="1"/>
  <c r="CT254" i="24" s="1"/>
  <c r="CO241" i="24"/>
  <c r="CQ241" i="24"/>
  <c r="CR241" i="24" s="1"/>
  <c r="CT241" i="24" s="1"/>
  <c r="CQ263" i="24"/>
  <c r="CR263" i="24" s="1"/>
  <c r="CT263" i="24" s="1"/>
  <c r="CO263" i="24"/>
  <c r="CO224" i="24"/>
  <c r="CQ224" i="24"/>
  <c r="CR224" i="24" s="1"/>
  <c r="CT224" i="24" s="1"/>
  <c r="CQ288" i="24"/>
  <c r="CR288" i="24" s="1"/>
  <c r="CT288" i="24" s="1"/>
  <c r="CO288" i="24"/>
  <c r="CR239" i="25"/>
  <c r="CS239" i="25" s="1"/>
  <c r="CR303" i="25"/>
  <c r="CS303" i="25" s="1"/>
  <c r="CR256" i="25"/>
  <c r="CS256" i="25" s="1"/>
  <c r="CR286" i="25"/>
  <c r="CS286" i="25" s="1"/>
  <c r="CR273" i="25"/>
  <c r="CS273" i="25" s="1"/>
  <c r="CR226" i="25"/>
  <c r="CS226" i="25" s="1"/>
  <c r="CR290" i="25"/>
  <c r="CS290" i="25" s="1"/>
  <c r="CR235" i="25"/>
  <c r="CS235" i="25" s="1"/>
  <c r="CR299" i="25"/>
  <c r="CS299" i="25" s="1"/>
  <c r="CR244" i="25"/>
  <c r="CS244" i="25" s="1"/>
  <c r="CR308" i="25"/>
  <c r="CS308" i="25" s="1"/>
  <c r="CR245" i="25"/>
  <c r="CS245" i="25" s="1"/>
  <c r="CR309" i="25"/>
  <c r="CS309" i="25" s="1"/>
  <c r="CS96" i="25"/>
  <c r="CS49" i="25"/>
  <c r="CS30" i="25"/>
  <c r="CS83" i="25"/>
  <c r="CS60" i="25"/>
  <c r="CS84" i="25"/>
  <c r="CS38" i="25"/>
  <c r="CS69" i="25"/>
  <c r="CS65" i="25"/>
  <c r="CS57" i="25"/>
  <c r="CS102" i="25"/>
  <c r="CS64" i="25"/>
  <c r="CS56" i="25"/>
  <c r="CS53" i="25"/>
  <c r="CS75" i="25"/>
  <c r="CS22" i="25"/>
  <c r="CS101" i="25"/>
  <c r="CS73" i="25"/>
  <c r="CS122" i="25"/>
  <c r="CS34" i="25"/>
  <c r="CS26" i="25"/>
  <c r="CS18" i="25"/>
  <c r="CS61" i="25"/>
  <c r="CS105" i="25"/>
  <c r="CS14" i="25"/>
  <c r="CS6" i="25"/>
  <c r="CS13" i="25"/>
  <c r="CS97" i="25"/>
  <c r="CS72" i="25"/>
  <c r="CS21" i="25"/>
  <c r="CS87" i="25"/>
  <c r="CS10" i="25"/>
  <c r="CS46" i="25"/>
  <c r="CS54" i="25"/>
  <c r="CS62" i="25"/>
  <c r="CS70" i="25"/>
  <c r="CS80" i="25"/>
  <c r="CS81" i="25"/>
  <c r="CS25" i="25"/>
  <c r="CS17" i="25"/>
  <c r="CS95" i="25"/>
  <c r="CS91" i="25"/>
  <c r="CS92" i="25"/>
  <c r="CS68" i="25"/>
  <c r="CS88" i="25"/>
  <c r="CS98" i="25"/>
  <c r="CS16" i="25"/>
  <c r="CS9" i="25"/>
  <c r="CS50" i="25"/>
  <c r="CS35" i="25"/>
  <c r="CS42" i="25"/>
  <c r="CS29" i="25"/>
  <c r="CS66" i="25"/>
  <c r="CS58" i="25"/>
  <c r="CS79" i="25"/>
  <c r="CS32" i="25"/>
  <c r="CS15" i="25"/>
  <c r="CS103" i="25"/>
  <c r="CS7" i="25"/>
  <c r="CS48" i="25"/>
  <c r="CS55" i="25"/>
  <c r="CS86" i="25"/>
  <c r="CS20" i="25"/>
  <c r="CS33" i="25"/>
  <c r="CS89" i="25"/>
  <c r="CS90" i="25"/>
  <c r="CS74" i="25"/>
  <c r="CS76" i="25"/>
  <c r="CS51" i="25"/>
  <c r="CS28" i="25"/>
  <c r="CS41" i="25"/>
  <c r="CS44" i="25"/>
  <c r="CS27" i="25"/>
  <c r="CS11" i="25"/>
  <c r="CS36" i="25"/>
  <c r="CS67" i="25"/>
  <c r="CS31" i="25"/>
  <c r="CS47" i="25"/>
  <c r="CS59" i="25"/>
  <c r="CS71" i="25"/>
  <c r="CS94" i="25"/>
  <c r="CS45" i="25"/>
  <c r="CS40" i="25"/>
  <c r="CS43" i="25"/>
  <c r="CS78" i="25"/>
  <c r="CS85" i="25"/>
  <c r="CS77" i="25"/>
  <c r="CS63" i="25"/>
  <c r="CS23" i="25"/>
  <c r="CS37" i="25"/>
  <c r="CS104" i="25"/>
  <c r="CS82" i="25"/>
  <c r="CS8" i="25"/>
  <c r="CS99" i="25"/>
  <c r="CS93" i="25"/>
  <c r="CS39" i="25"/>
  <c r="CS12" i="25"/>
  <c r="CS100" i="25"/>
  <c r="CS24" i="25"/>
  <c r="CS19" i="25"/>
  <c r="CS52" i="25"/>
  <c r="CJ306" i="25"/>
  <c r="CJ300" i="25"/>
  <c r="CJ299" i="25"/>
  <c r="CJ278" i="25"/>
  <c r="CJ263" i="25"/>
  <c r="CJ259" i="25"/>
  <c r="CJ256" i="25"/>
  <c r="CJ250" i="25"/>
  <c r="CJ235" i="25"/>
  <c r="CJ225" i="25"/>
  <c r="CJ220" i="25"/>
  <c r="CJ210" i="25"/>
  <c r="CJ207" i="25"/>
  <c r="CJ200" i="25"/>
  <c r="CJ197" i="25"/>
  <c r="CJ195" i="25"/>
  <c r="CJ194" i="25"/>
  <c r="CJ192" i="25"/>
  <c r="CJ186" i="25"/>
  <c r="CJ178" i="25"/>
  <c r="CJ167" i="25"/>
  <c r="CJ147" i="25"/>
  <c r="CJ309" i="25"/>
  <c r="CJ307" i="25"/>
  <c r="CJ275" i="25"/>
  <c r="CJ272" i="25"/>
  <c r="CJ271" i="25"/>
  <c r="CJ267" i="25"/>
  <c r="CJ255" i="25"/>
  <c r="CJ254" i="25"/>
  <c r="CJ251" i="25"/>
  <c r="CJ242" i="25"/>
  <c r="CJ241" i="25"/>
  <c r="CJ236" i="25"/>
  <c r="CJ231" i="25"/>
  <c r="CJ218" i="25"/>
  <c r="CJ205" i="25"/>
  <c r="CJ198" i="25"/>
  <c r="CJ182" i="25"/>
  <c r="CJ181" i="25"/>
  <c r="CJ180" i="25"/>
  <c r="CJ179" i="25"/>
  <c r="CJ166" i="25"/>
  <c r="CJ158" i="25"/>
  <c r="CJ155" i="25"/>
  <c r="CJ149" i="25"/>
  <c r="CJ314" i="25"/>
  <c r="CJ295" i="25"/>
  <c r="CJ294" i="25"/>
  <c r="CJ289" i="25"/>
  <c r="CJ279" i="25"/>
  <c r="CJ268" i="25"/>
  <c r="CJ260" i="25"/>
  <c r="CJ253" i="25"/>
  <c r="CJ252" i="25"/>
  <c r="CJ244" i="25"/>
  <c r="CJ237" i="25"/>
  <c r="CJ228" i="25"/>
  <c r="CJ204" i="25"/>
  <c r="CJ203" i="25"/>
  <c r="CJ187" i="25"/>
  <c r="CJ183" i="25"/>
  <c r="CJ168" i="25"/>
  <c r="CJ164" i="25"/>
  <c r="CJ161" i="25"/>
  <c r="CJ152" i="25"/>
  <c r="CJ310" i="25"/>
  <c r="CJ303" i="25"/>
  <c r="CJ301" i="25"/>
  <c r="CJ246" i="25"/>
  <c r="CJ245" i="25"/>
  <c r="CJ243" i="25"/>
  <c r="CJ238" i="25"/>
  <c r="CJ232" i="25"/>
  <c r="CJ223" i="25"/>
  <c r="CJ221" i="25"/>
  <c r="CJ191" i="25"/>
  <c r="CJ170" i="25"/>
  <c r="CJ169" i="25"/>
  <c r="CJ156" i="25"/>
  <c r="CJ146" i="25"/>
  <c r="CJ315" i="25"/>
  <c r="CJ311" i="25"/>
  <c r="CJ297" i="25"/>
  <c r="CJ296" i="25"/>
  <c r="CJ292" i="25"/>
  <c r="CJ290" i="25"/>
  <c r="CJ280" i="25"/>
  <c r="CJ276" i="25"/>
  <c r="CJ269" i="25"/>
  <c r="CJ261" i="25"/>
  <c r="CJ248" i="25"/>
  <c r="CJ229" i="25"/>
  <c r="CJ190" i="25"/>
  <c r="CJ189" i="25"/>
  <c r="CJ188" i="25"/>
  <c r="CJ185" i="25"/>
  <c r="CJ184" i="25"/>
  <c r="CJ165" i="25"/>
  <c r="CJ162" i="25"/>
  <c r="CJ159" i="25"/>
  <c r="CJ308" i="25"/>
  <c r="CJ287" i="25"/>
  <c r="CJ285" i="25"/>
  <c r="CJ283" i="25"/>
  <c r="CJ281" i="25"/>
  <c r="CJ274" i="25"/>
  <c r="CJ273" i="25"/>
  <c r="CJ270" i="25"/>
  <c r="CJ247" i="25"/>
  <c r="CJ239" i="25"/>
  <c r="CJ233" i="25"/>
  <c r="CJ226" i="25"/>
  <c r="CJ219" i="25"/>
  <c r="CJ217" i="25"/>
  <c r="CJ206" i="25"/>
  <c r="CJ202" i="25"/>
  <c r="CJ172" i="25"/>
  <c r="CJ171" i="25"/>
  <c r="CJ153" i="25"/>
  <c r="CJ148" i="25"/>
  <c r="CJ302" i="25"/>
  <c r="CJ291" i="25"/>
  <c r="CJ249" i="25"/>
  <c r="CJ222" i="25"/>
  <c r="CJ193" i="25"/>
  <c r="CJ173" i="25"/>
  <c r="CJ151" i="25"/>
  <c r="CJ143" i="25"/>
  <c r="CJ288" i="25"/>
  <c r="CJ282" i="25"/>
  <c r="CJ264" i="25"/>
  <c r="CJ224" i="25"/>
  <c r="CJ209" i="25"/>
  <c r="CJ140" i="25"/>
  <c r="CJ130" i="25"/>
  <c r="CJ129" i="25"/>
  <c r="CJ128" i="25"/>
  <c r="CJ124" i="25"/>
  <c r="CJ120" i="25"/>
  <c r="CJ118" i="25"/>
  <c r="CJ78" i="25"/>
  <c r="CJ69" i="25"/>
  <c r="CJ65" i="25"/>
  <c r="CJ57" i="25"/>
  <c r="CJ44" i="25"/>
  <c r="CJ32" i="25"/>
  <c r="CJ304" i="25"/>
  <c r="CJ293" i="25"/>
  <c r="CJ257" i="25"/>
  <c r="CJ227" i="25"/>
  <c r="CJ177" i="25"/>
  <c r="CJ145" i="25"/>
  <c r="CJ137" i="25"/>
  <c r="CJ134" i="25"/>
  <c r="CJ127" i="25"/>
  <c r="CJ123" i="25"/>
  <c r="CJ122" i="25"/>
  <c r="CJ121" i="25"/>
  <c r="CJ100" i="25"/>
  <c r="CJ85" i="25"/>
  <c r="CJ39" i="25"/>
  <c r="CJ312" i="25"/>
  <c r="CJ201" i="25"/>
  <c r="CJ174" i="25"/>
  <c r="CJ142" i="25"/>
  <c r="CJ139" i="25"/>
  <c r="CJ126" i="25"/>
  <c r="CJ125" i="25"/>
  <c r="CJ102" i="25"/>
  <c r="CJ101" i="25"/>
  <c r="CJ99" i="25"/>
  <c r="CJ94" i="25"/>
  <c r="CJ93" i="25"/>
  <c r="CJ88" i="25"/>
  <c r="CJ86" i="25"/>
  <c r="CJ79" i="25"/>
  <c r="CJ64" i="25"/>
  <c r="CJ56" i="25"/>
  <c r="CJ54" i="25"/>
  <c r="CJ50" i="25"/>
  <c r="CJ45" i="25"/>
  <c r="CJ40" i="25"/>
  <c r="CJ34" i="25"/>
  <c r="CJ33" i="25"/>
  <c r="CJ316" i="25"/>
  <c r="CJ286" i="25"/>
  <c r="CJ265" i="25"/>
  <c r="CJ150" i="25"/>
  <c r="CJ136" i="25"/>
  <c r="CJ95" i="25"/>
  <c r="CJ87" i="25"/>
  <c r="CJ74" i="25"/>
  <c r="CJ73" i="25"/>
  <c r="CJ63" i="25"/>
  <c r="CJ62" i="25"/>
  <c r="CJ52" i="25"/>
  <c r="CJ46" i="25"/>
  <c r="CJ298" i="25"/>
  <c r="CJ277" i="25"/>
  <c r="CJ262" i="25"/>
  <c r="CJ234" i="25"/>
  <c r="CJ196" i="25"/>
  <c r="CJ144" i="25"/>
  <c r="CJ138" i="25"/>
  <c r="CJ104" i="25"/>
  <c r="CJ96" i="25"/>
  <c r="CJ90" i="25"/>
  <c r="CJ89" i="25"/>
  <c r="CJ68" i="25"/>
  <c r="CJ67" i="25"/>
  <c r="CJ53" i="25"/>
  <c r="CJ51" i="25"/>
  <c r="CJ313" i="25"/>
  <c r="CJ284" i="25"/>
  <c r="CJ266" i="25"/>
  <c r="CJ119" i="25"/>
  <c r="CJ91" i="25"/>
  <c r="CJ84" i="25"/>
  <c r="CJ80" i="25"/>
  <c r="CJ75" i="25"/>
  <c r="CJ70" i="25"/>
  <c r="CJ48" i="25"/>
  <c r="CJ47" i="25"/>
  <c r="CJ22" i="25"/>
  <c r="CJ12" i="25"/>
  <c r="CJ11" i="25"/>
  <c r="CJ10" i="25"/>
  <c r="CJ258" i="25"/>
  <c r="CJ115" i="25"/>
  <c r="CJ71" i="25"/>
  <c r="CJ55" i="25"/>
  <c r="CJ43" i="25"/>
  <c r="CJ305" i="25"/>
  <c r="CJ135" i="25"/>
  <c r="CJ116" i="25"/>
  <c r="CJ111" i="25"/>
  <c r="CJ105" i="25"/>
  <c r="CJ92" i="25"/>
  <c r="CJ82" i="25"/>
  <c r="CJ59" i="25"/>
  <c r="CJ49" i="25"/>
  <c r="CJ36" i="25"/>
  <c r="CJ35" i="25"/>
  <c r="CJ41" i="25"/>
  <c r="CJ30" i="25"/>
  <c r="CJ28" i="25"/>
  <c r="CJ27" i="25"/>
  <c r="CJ25" i="25"/>
  <c r="CJ16" i="25"/>
  <c r="CJ61" i="25"/>
  <c r="CJ31" i="25"/>
  <c r="CJ141" i="25"/>
  <c r="CJ13" i="25"/>
  <c r="CJ9" i="25"/>
  <c r="CJ175" i="25"/>
  <c r="CJ117" i="25"/>
  <c r="CJ103" i="25"/>
  <c r="CJ97" i="25"/>
  <c r="CJ77" i="25"/>
  <c r="CJ21" i="25"/>
  <c r="CJ42" i="25"/>
  <c r="CJ17" i="25"/>
  <c r="CJ15" i="25"/>
  <c r="CJ230" i="25"/>
  <c r="CJ131" i="25"/>
  <c r="CJ83" i="25"/>
  <c r="CJ72" i="25"/>
  <c r="CJ66" i="25"/>
  <c r="CJ81" i="25"/>
  <c r="CJ176" i="25"/>
  <c r="CJ157" i="25"/>
  <c r="CJ154" i="25"/>
  <c r="CJ132" i="25"/>
  <c r="CJ113" i="25"/>
  <c r="CJ98" i="25"/>
  <c r="CJ60" i="25"/>
  <c r="CJ29" i="25"/>
  <c r="CJ14" i="25"/>
  <c r="CJ208" i="25"/>
  <c r="CJ199" i="25"/>
  <c r="CJ163" i="25"/>
  <c r="CJ160" i="25"/>
  <c r="CJ133" i="25"/>
  <c r="CJ114" i="25"/>
  <c r="CJ58" i="25"/>
  <c r="CJ37" i="25"/>
  <c r="CJ8" i="25"/>
  <c r="CJ240" i="25"/>
  <c r="CJ76" i="25"/>
  <c r="CJ26" i="25"/>
  <c r="CJ19" i="25"/>
  <c r="CJ23" i="25"/>
  <c r="CJ24" i="25"/>
  <c r="CJ38" i="25"/>
  <c r="CJ20" i="25"/>
  <c r="CJ18" i="25"/>
  <c r="CJ300" i="24"/>
  <c r="ES300" i="24" s="1"/>
  <c r="EV300" i="24" s="1"/>
  <c r="CJ296" i="24"/>
  <c r="ES296" i="24" s="1"/>
  <c r="EV296" i="24" s="1"/>
  <c r="CJ289" i="24"/>
  <c r="ES289" i="24" s="1"/>
  <c r="EV289" i="24" s="1"/>
  <c r="CJ280" i="24"/>
  <c r="ES280" i="24" s="1"/>
  <c r="EV280" i="24" s="1"/>
  <c r="CJ274" i="24"/>
  <c r="ES274" i="24" s="1"/>
  <c r="EV274" i="24" s="1"/>
  <c r="CJ269" i="24"/>
  <c r="ES269" i="24" s="1"/>
  <c r="EV269" i="24" s="1"/>
  <c r="CJ316" i="24"/>
  <c r="ES316" i="24" s="1"/>
  <c r="EV316" i="24" s="1"/>
  <c r="CJ313" i="24"/>
  <c r="ES313" i="24" s="1"/>
  <c r="EV313" i="24" s="1"/>
  <c r="CJ302" i="24"/>
  <c r="ES302" i="24" s="1"/>
  <c r="EV302" i="24" s="1"/>
  <c r="CJ283" i="24"/>
  <c r="ES283" i="24" s="1"/>
  <c r="EV283" i="24" s="1"/>
  <c r="CJ281" i="24"/>
  <c r="ES281" i="24" s="1"/>
  <c r="EV281" i="24" s="1"/>
  <c r="CJ278" i="24"/>
  <c r="ES278" i="24" s="1"/>
  <c r="EV278" i="24" s="1"/>
  <c r="CJ254" i="24"/>
  <c r="ES254" i="24" s="1"/>
  <c r="EV254" i="24" s="1"/>
  <c r="CJ252" i="24"/>
  <c r="ES252" i="24" s="1"/>
  <c r="EV252" i="24" s="1"/>
  <c r="CJ251" i="24"/>
  <c r="ES251" i="24" s="1"/>
  <c r="EV251" i="24" s="1"/>
  <c r="CJ246" i="24"/>
  <c r="ES246" i="24" s="1"/>
  <c r="EV246" i="24" s="1"/>
  <c r="CJ238" i="24"/>
  <c r="ES238" i="24" s="1"/>
  <c r="EV238" i="24" s="1"/>
  <c r="CJ236" i="24"/>
  <c r="ES236" i="24" s="1"/>
  <c r="EV236" i="24" s="1"/>
  <c r="CJ205" i="24"/>
  <c r="CJ204" i="24"/>
  <c r="CJ202" i="24"/>
  <c r="CJ199" i="24"/>
  <c r="CJ198" i="24"/>
  <c r="CJ196" i="24"/>
  <c r="CJ190" i="24"/>
  <c r="CJ189" i="24"/>
  <c r="CJ314" i="24"/>
  <c r="ES314" i="24" s="1"/>
  <c r="EV314" i="24" s="1"/>
  <c r="CJ311" i="24"/>
  <c r="ES311" i="24" s="1"/>
  <c r="EV311" i="24" s="1"/>
  <c r="CJ308" i="24"/>
  <c r="ES308" i="24" s="1"/>
  <c r="EV308" i="24" s="1"/>
  <c r="CJ304" i="24"/>
  <c r="ES304" i="24" s="1"/>
  <c r="EV304" i="24" s="1"/>
  <c r="CJ295" i="24"/>
  <c r="ES295" i="24" s="1"/>
  <c r="EV295" i="24" s="1"/>
  <c r="CJ290" i="24"/>
  <c r="ES290" i="24" s="1"/>
  <c r="EV290" i="24" s="1"/>
  <c r="CJ287" i="24"/>
  <c r="ES287" i="24" s="1"/>
  <c r="EV287" i="24" s="1"/>
  <c r="CJ284" i="24"/>
  <c r="ES284" i="24" s="1"/>
  <c r="EV284" i="24" s="1"/>
  <c r="CJ282" i="24"/>
  <c r="ES282" i="24" s="1"/>
  <c r="EV282" i="24" s="1"/>
  <c r="CJ262" i="24"/>
  <c r="ES262" i="24" s="1"/>
  <c r="EV262" i="24" s="1"/>
  <c r="CJ248" i="24"/>
  <c r="ES248" i="24" s="1"/>
  <c r="EV248" i="24" s="1"/>
  <c r="CJ247" i="24"/>
  <c r="ES247" i="24" s="1"/>
  <c r="EV247" i="24" s="1"/>
  <c r="CJ227" i="24"/>
  <c r="ES227" i="24" s="1"/>
  <c r="EV227" i="24" s="1"/>
  <c r="CJ223" i="24"/>
  <c r="ES223" i="24" s="1"/>
  <c r="EV223" i="24" s="1"/>
  <c r="CJ219" i="24"/>
  <c r="ES219" i="24" s="1"/>
  <c r="EV219" i="24" s="1"/>
  <c r="CJ206" i="24"/>
  <c r="CJ200" i="24"/>
  <c r="CJ293" i="24"/>
  <c r="ES293" i="24" s="1"/>
  <c r="EV293" i="24" s="1"/>
  <c r="CJ292" i="24"/>
  <c r="ES292" i="24" s="1"/>
  <c r="EV292" i="24" s="1"/>
  <c r="CJ273" i="24"/>
  <c r="ES273" i="24" s="1"/>
  <c r="EV273" i="24" s="1"/>
  <c r="CJ268" i="24"/>
  <c r="ES268" i="24" s="1"/>
  <c r="EV268" i="24" s="1"/>
  <c r="CJ260" i="24"/>
  <c r="ES260" i="24" s="1"/>
  <c r="EV260" i="24" s="1"/>
  <c r="CJ259" i="24"/>
  <c r="ES259" i="24" s="1"/>
  <c r="EV259" i="24" s="1"/>
  <c r="CJ255" i="24"/>
  <c r="ES255" i="24" s="1"/>
  <c r="EV255" i="24" s="1"/>
  <c r="CJ253" i="24"/>
  <c r="ES253" i="24" s="1"/>
  <c r="EV253" i="24" s="1"/>
  <c r="CJ245" i="24"/>
  <c r="ES245" i="24" s="1"/>
  <c r="EV245" i="24" s="1"/>
  <c r="CJ241" i="24"/>
  <c r="ES241" i="24" s="1"/>
  <c r="EV241" i="24" s="1"/>
  <c r="CJ231" i="24"/>
  <c r="ES231" i="24" s="1"/>
  <c r="EV231" i="24" s="1"/>
  <c r="CJ229" i="24"/>
  <c r="ES229" i="24" s="1"/>
  <c r="EV229" i="24" s="1"/>
  <c r="CJ225" i="24"/>
  <c r="ES225" i="24" s="1"/>
  <c r="EV225" i="24" s="1"/>
  <c r="CJ208" i="24"/>
  <c r="CJ203" i="24"/>
  <c r="CJ187" i="24"/>
  <c r="CJ185" i="24"/>
  <c r="CJ305" i="24"/>
  <c r="ES305" i="24" s="1"/>
  <c r="EV305" i="24" s="1"/>
  <c r="CJ303" i="24"/>
  <c r="ES303" i="24" s="1"/>
  <c r="EV303" i="24" s="1"/>
  <c r="CJ301" i="24"/>
  <c r="ES301" i="24" s="1"/>
  <c r="EV301" i="24" s="1"/>
  <c r="CJ299" i="24"/>
  <c r="ES299" i="24" s="1"/>
  <c r="EV299" i="24" s="1"/>
  <c r="CJ297" i="24"/>
  <c r="ES297" i="24" s="1"/>
  <c r="EV297" i="24" s="1"/>
  <c r="CJ285" i="24"/>
  <c r="ES285" i="24" s="1"/>
  <c r="EV285" i="24" s="1"/>
  <c r="CJ277" i="24"/>
  <c r="ES277" i="24" s="1"/>
  <c r="EV277" i="24" s="1"/>
  <c r="CJ276" i="24"/>
  <c r="ES276" i="24" s="1"/>
  <c r="EV276" i="24" s="1"/>
  <c r="CJ265" i="24"/>
  <c r="ES265" i="24" s="1"/>
  <c r="EV265" i="24" s="1"/>
  <c r="CJ261" i="24"/>
  <c r="ES261" i="24" s="1"/>
  <c r="EV261" i="24" s="1"/>
  <c r="CJ257" i="24"/>
  <c r="ES257" i="24" s="1"/>
  <c r="EV257" i="24" s="1"/>
  <c r="CJ239" i="24"/>
  <c r="ES239" i="24" s="1"/>
  <c r="EV239" i="24" s="1"/>
  <c r="CJ232" i="24"/>
  <c r="ES232" i="24" s="1"/>
  <c r="EV232" i="24" s="1"/>
  <c r="CJ226" i="24"/>
  <c r="ES226" i="24" s="1"/>
  <c r="EV226" i="24" s="1"/>
  <c r="CJ224" i="24"/>
  <c r="ES224" i="24" s="1"/>
  <c r="EV224" i="24" s="1"/>
  <c r="CJ222" i="24"/>
  <c r="ES222" i="24" s="1"/>
  <c r="EV222" i="24" s="1"/>
  <c r="CJ210" i="24"/>
  <c r="CJ197" i="24"/>
  <c r="CJ195" i="24"/>
  <c r="CJ315" i="24"/>
  <c r="ES315" i="24" s="1"/>
  <c r="EV315" i="24" s="1"/>
  <c r="CJ309" i="24"/>
  <c r="ES309" i="24" s="1"/>
  <c r="EV309" i="24" s="1"/>
  <c r="CJ294" i="24"/>
  <c r="ES294" i="24" s="1"/>
  <c r="EV294" i="24" s="1"/>
  <c r="CJ286" i="24"/>
  <c r="ES286" i="24" s="1"/>
  <c r="EV286" i="24" s="1"/>
  <c r="CJ279" i="24"/>
  <c r="ES279" i="24" s="1"/>
  <c r="EV279" i="24" s="1"/>
  <c r="CJ275" i="24"/>
  <c r="ES275" i="24" s="1"/>
  <c r="EV275" i="24" s="1"/>
  <c r="CJ270" i="24"/>
  <c r="ES270" i="24" s="1"/>
  <c r="EV270" i="24" s="1"/>
  <c r="CJ249" i="24"/>
  <c r="ES249" i="24" s="1"/>
  <c r="EV249" i="24" s="1"/>
  <c r="CJ237" i="24"/>
  <c r="ES237" i="24" s="1"/>
  <c r="EV237" i="24" s="1"/>
  <c r="CJ233" i="24"/>
  <c r="ES233" i="24" s="1"/>
  <c r="EV233" i="24" s="1"/>
  <c r="CJ221" i="24"/>
  <c r="ES221" i="24" s="1"/>
  <c r="EV221" i="24" s="1"/>
  <c r="CJ192" i="24"/>
  <c r="CJ191" i="24"/>
  <c r="CJ312" i="24"/>
  <c r="ES312" i="24" s="1"/>
  <c r="EV312" i="24" s="1"/>
  <c r="CJ288" i="24"/>
  <c r="ES288" i="24" s="1"/>
  <c r="EV288" i="24" s="1"/>
  <c r="CJ272" i="24"/>
  <c r="ES272" i="24" s="1"/>
  <c r="EV272" i="24" s="1"/>
  <c r="CJ271" i="24"/>
  <c r="ES271" i="24" s="1"/>
  <c r="EV271" i="24" s="1"/>
  <c r="CJ267" i="24"/>
  <c r="ES267" i="24" s="1"/>
  <c r="EV267" i="24" s="1"/>
  <c r="CJ263" i="24"/>
  <c r="ES263" i="24" s="1"/>
  <c r="EV263" i="24" s="1"/>
  <c r="CJ240" i="24"/>
  <c r="ES240" i="24" s="1"/>
  <c r="EV240" i="24" s="1"/>
  <c r="CJ235" i="24"/>
  <c r="ES235" i="24" s="1"/>
  <c r="EV235" i="24" s="1"/>
  <c r="CJ230" i="24"/>
  <c r="ES230" i="24" s="1"/>
  <c r="EV230" i="24" s="1"/>
  <c r="CJ220" i="24"/>
  <c r="ES220" i="24" s="1"/>
  <c r="EV220" i="24" s="1"/>
  <c r="CJ207" i="24"/>
  <c r="CJ201" i="24"/>
  <c r="CJ306" i="24"/>
  <c r="ES306" i="24" s="1"/>
  <c r="EV306" i="24" s="1"/>
  <c r="CJ298" i="24"/>
  <c r="ES298" i="24" s="1"/>
  <c r="EV298" i="24" s="1"/>
  <c r="CJ291" i="24"/>
  <c r="ES291" i="24" s="1"/>
  <c r="EV291" i="24" s="1"/>
  <c r="CJ243" i="24"/>
  <c r="ES243" i="24" s="1"/>
  <c r="EV243" i="24" s="1"/>
  <c r="CJ183" i="24"/>
  <c r="CJ181" i="24"/>
  <c r="CJ180" i="24"/>
  <c r="CJ176" i="24"/>
  <c r="CJ171" i="24"/>
  <c r="CJ157" i="24"/>
  <c r="CJ150" i="24"/>
  <c r="CJ143" i="24"/>
  <c r="CJ134" i="24"/>
  <c r="CJ131" i="24"/>
  <c r="CJ125" i="24"/>
  <c r="CJ114" i="24"/>
  <c r="CJ98" i="24"/>
  <c r="CJ83" i="24"/>
  <c r="CJ250" i="24"/>
  <c r="ES250" i="24" s="1"/>
  <c r="EV250" i="24" s="1"/>
  <c r="CJ228" i="24"/>
  <c r="ES228" i="24" s="1"/>
  <c r="EV228" i="24" s="1"/>
  <c r="CJ186" i="24"/>
  <c r="CJ184" i="24"/>
  <c r="CJ178" i="24"/>
  <c r="CJ174" i="24"/>
  <c r="CJ161" i="24"/>
  <c r="CJ153" i="24"/>
  <c r="CJ115" i="24"/>
  <c r="CJ112" i="24"/>
  <c r="CJ105" i="24"/>
  <c r="CJ101" i="24"/>
  <c r="CJ95" i="24"/>
  <c r="CJ310" i="24"/>
  <c r="ES310" i="24" s="1"/>
  <c r="EV310" i="24" s="1"/>
  <c r="CJ307" i="24"/>
  <c r="ES307" i="24" s="1"/>
  <c r="EV307" i="24" s="1"/>
  <c r="CJ209" i="24"/>
  <c r="CJ194" i="24"/>
  <c r="CJ175" i="24"/>
  <c r="CJ169" i="24"/>
  <c r="CJ160" i="24"/>
  <c r="CJ141" i="24"/>
  <c r="CJ138" i="24"/>
  <c r="CJ132" i="24"/>
  <c r="CJ123" i="24"/>
  <c r="CJ116" i="24"/>
  <c r="CJ104" i="24"/>
  <c r="CJ102" i="24"/>
  <c r="CJ100" i="24"/>
  <c r="CJ256" i="24"/>
  <c r="ES256" i="24" s="1"/>
  <c r="EV256" i="24" s="1"/>
  <c r="CJ188" i="24"/>
  <c r="CJ179" i="24"/>
  <c r="CJ177" i="24"/>
  <c r="CJ164" i="24"/>
  <c r="CJ154" i="24"/>
  <c r="CJ147" i="24"/>
  <c r="CJ135" i="24"/>
  <c r="CJ128" i="24"/>
  <c r="CJ124" i="24"/>
  <c r="CJ81" i="24"/>
  <c r="CJ244" i="24"/>
  <c r="ES244" i="24" s="1"/>
  <c r="EV244" i="24" s="1"/>
  <c r="CJ242" i="24"/>
  <c r="ES242" i="24" s="1"/>
  <c r="EV242" i="24" s="1"/>
  <c r="CJ182" i="24"/>
  <c r="CJ173" i="24"/>
  <c r="CJ165" i="24"/>
  <c r="CJ158" i="24"/>
  <c r="CJ151" i="24"/>
  <c r="CJ148" i="24"/>
  <c r="CJ146" i="24"/>
  <c r="CJ133" i="24"/>
  <c r="CJ129" i="24"/>
  <c r="CJ126" i="24"/>
  <c r="CJ121" i="24"/>
  <c r="CJ117" i="24"/>
  <c r="CJ99" i="24"/>
  <c r="CJ264" i="24"/>
  <c r="ES264" i="24" s="1"/>
  <c r="EV264" i="24" s="1"/>
  <c r="CJ217" i="24"/>
  <c r="ES217" i="24" s="1"/>
  <c r="EV217" i="24" s="1"/>
  <c r="CJ172" i="24"/>
  <c r="CJ166" i="24"/>
  <c r="CJ155" i="24"/>
  <c r="CJ144" i="24"/>
  <c r="CJ142" i="24"/>
  <c r="CJ140" i="24"/>
  <c r="CJ139" i="24"/>
  <c r="CJ136" i="24"/>
  <c r="CJ111" i="24"/>
  <c r="CJ82" i="24"/>
  <c r="CJ80" i="24"/>
  <c r="CJ78" i="24"/>
  <c r="CJ74" i="24"/>
  <c r="CJ69" i="24"/>
  <c r="CJ47" i="24"/>
  <c r="CJ40" i="24"/>
  <c r="CJ38" i="24"/>
  <c r="CJ37" i="24"/>
  <c r="CJ33" i="24"/>
  <c r="CJ32" i="24"/>
  <c r="CJ31" i="24"/>
  <c r="CJ266" i="24"/>
  <c r="ES266" i="24" s="1"/>
  <c r="EV266" i="24" s="1"/>
  <c r="CJ258" i="24"/>
  <c r="ES258" i="24" s="1"/>
  <c r="EV258" i="24" s="1"/>
  <c r="CJ234" i="24"/>
  <c r="ES234" i="24" s="1"/>
  <c r="EV234" i="24" s="1"/>
  <c r="CJ193" i="24"/>
  <c r="CJ170" i="24"/>
  <c r="CJ163" i="24"/>
  <c r="CJ159" i="24"/>
  <c r="CJ145" i="24"/>
  <c r="CJ127" i="24"/>
  <c r="CJ120" i="24"/>
  <c r="CJ113" i="24"/>
  <c r="CJ89" i="24"/>
  <c r="CJ88" i="24"/>
  <c r="CJ76" i="24"/>
  <c r="CJ68" i="24"/>
  <c r="CJ218" i="24"/>
  <c r="ES218" i="24" s="1"/>
  <c r="EV218" i="24" s="1"/>
  <c r="CJ168" i="24"/>
  <c r="CJ167" i="24"/>
  <c r="CJ162" i="24"/>
  <c r="CJ156" i="24"/>
  <c r="CJ152" i="24"/>
  <c r="CJ149" i="24"/>
  <c r="CJ137" i="24"/>
  <c r="CJ130" i="24"/>
  <c r="CJ122" i="24"/>
  <c r="CJ119" i="24"/>
  <c r="CJ118" i="24"/>
  <c r="CJ103" i="24"/>
  <c r="CJ97" i="24"/>
  <c r="CJ93" i="24"/>
  <c r="CJ63" i="24"/>
  <c r="CJ44" i="24"/>
  <c r="CJ43" i="24"/>
  <c r="CJ41" i="24"/>
  <c r="CJ70" i="24"/>
  <c r="CJ20" i="24"/>
  <c r="CJ7" i="24"/>
  <c r="CJ90" i="24"/>
  <c r="CJ85" i="24"/>
  <c r="CJ79" i="24"/>
  <c r="CJ71" i="24"/>
  <c r="CJ66" i="24"/>
  <c r="CJ64" i="24"/>
  <c r="CJ60" i="24"/>
  <c r="CJ56" i="24"/>
  <c r="CJ54" i="24"/>
  <c r="CJ51" i="24"/>
  <c r="CJ49" i="24"/>
  <c r="CJ39" i="24"/>
  <c r="CJ36" i="24"/>
  <c r="CJ14" i="24"/>
  <c r="CJ29" i="24"/>
  <c r="CJ19" i="24"/>
  <c r="CJ8" i="24"/>
  <c r="CJ13" i="24"/>
  <c r="CJ96" i="24"/>
  <c r="CJ91" i="24"/>
  <c r="CJ75" i="24"/>
  <c r="CJ73" i="24"/>
  <c r="CJ62" i="24"/>
  <c r="CJ55" i="24"/>
  <c r="CJ25" i="24"/>
  <c r="CJ23" i="24"/>
  <c r="CJ12" i="24"/>
  <c r="CJ11" i="24"/>
  <c r="CJ9" i="24"/>
  <c r="CJ6" i="24"/>
  <c r="CJ58" i="24"/>
  <c r="CJ27" i="24"/>
  <c r="CJ24" i="24"/>
  <c r="CJ35" i="24"/>
  <c r="CJ77" i="24"/>
  <c r="CJ42" i="24"/>
  <c r="CJ21" i="24"/>
  <c r="CJ52" i="24"/>
  <c r="CJ84" i="24"/>
  <c r="CJ67" i="24"/>
  <c r="CJ65" i="24"/>
  <c r="CJ61" i="24"/>
  <c r="CJ59" i="24"/>
  <c r="CJ53" i="24"/>
  <c r="CJ45" i="24"/>
  <c r="CJ18" i="24"/>
  <c r="CJ10" i="24"/>
  <c r="CJ48" i="24"/>
  <c r="CJ16" i="24"/>
  <c r="CJ94" i="24"/>
  <c r="CJ92" i="24"/>
  <c r="CJ87" i="24"/>
  <c r="CJ86" i="24"/>
  <c r="CJ72" i="24"/>
  <c r="CJ57" i="24"/>
  <c r="CJ50" i="24"/>
  <c r="CJ46" i="24"/>
  <c r="CJ28" i="24"/>
  <c r="CJ26" i="24"/>
  <c r="CJ34" i="24"/>
  <c r="CJ15" i="24"/>
  <c r="CJ30" i="24"/>
  <c r="CJ17" i="24"/>
  <c r="CJ22" i="24"/>
  <c r="I3" i="29"/>
  <c r="B222" i="2"/>
  <c r="B281" i="2"/>
  <c r="A28" i="16"/>
  <c r="BQ5" i="25"/>
  <c r="B277" i="2"/>
  <c r="D277" i="2" s="1"/>
  <c r="D34" i="16"/>
  <c r="W64" i="2"/>
  <c r="R66" i="2"/>
  <c r="S29" i="1" s="1"/>
  <c r="R67" i="2"/>
  <c r="B26" i="2"/>
  <c r="I9" i="19"/>
  <c r="I8" i="19"/>
  <c r="I7" i="19"/>
  <c r="I6" i="19"/>
  <c r="B125" i="2"/>
  <c r="B22" i="2"/>
  <c r="F17" i="23"/>
  <c r="J17" i="23" s="1"/>
  <c r="I33" i="23"/>
  <c r="F54" i="23"/>
  <c r="J54" i="23" s="1"/>
  <c r="I9" i="23"/>
  <c r="I70" i="23"/>
  <c r="F32" i="23"/>
  <c r="J32" i="23" s="1"/>
  <c r="F49" i="23"/>
  <c r="G49" i="23" s="1"/>
  <c r="H49" i="23" s="1"/>
  <c r="F103" i="23"/>
  <c r="G103" i="23" s="1"/>
  <c r="H103" i="23" s="1"/>
  <c r="F53" i="23"/>
  <c r="J53" i="23" s="1"/>
  <c r="I16" i="23"/>
  <c r="F46" i="23"/>
  <c r="J46" i="23" s="1"/>
  <c r="I43" i="23"/>
  <c r="I36" i="23"/>
  <c r="F67" i="23"/>
  <c r="G67" i="23" s="1"/>
  <c r="H67" i="23" s="1"/>
  <c r="I59" i="23"/>
  <c r="F30" i="23"/>
  <c r="J30" i="23" s="1"/>
  <c r="F88" i="23"/>
  <c r="G88" i="23" s="1"/>
  <c r="H88" i="23" s="1"/>
  <c r="I78" i="23"/>
  <c r="I27" i="23"/>
  <c r="I75" i="23"/>
  <c r="F73" i="23"/>
  <c r="J73" i="23" s="1"/>
  <c r="F71" i="23"/>
  <c r="J71" i="23" s="1"/>
  <c r="I48" i="23"/>
  <c r="F84" i="23"/>
  <c r="G84" i="23" s="1"/>
  <c r="H84" i="23" s="1"/>
  <c r="F6" i="23"/>
  <c r="J6" i="23" s="1"/>
  <c r="F25" i="23"/>
  <c r="J25" i="23" s="1"/>
  <c r="I23" i="23"/>
  <c r="F60" i="23"/>
  <c r="G60" i="23" s="1"/>
  <c r="H60" i="23" s="1"/>
  <c r="I38" i="23"/>
  <c r="I62" i="23"/>
  <c r="F105" i="23"/>
  <c r="J105" i="23" s="1"/>
  <c r="F94" i="23"/>
  <c r="J94" i="23" s="1"/>
  <c r="I41" i="23"/>
  <c r="F92" i="23"/>
  <c r="J92" i="23" s="1"/>
  <c r="A258" i="2"/>
  <c r="C258" i="2"/>
  <c r="I11" i="23"/>
  <c r="F101" i="23"/>
  <c r="J101" i="23" s="1"/>
  <c r="F20" i="23"/>
  <c r="G20" i="23" s="1"/>
  <c r="H20" i="23" s="1"/>
  <c r="F81" i="23"/>
  <c r="J81" i="23" s="1"/>
  <c r="F14" i="23"/>
  <c r="J14" i="23" s="1"/>
  <c r="F22" i="23"/>
  <c r="J22" i="23" s="1"/>
  <c r="F63" i="23"/>
  <c r="G63" i="23" s="1"/>
  <c r="H63" i="23" s="1"/>
  <c r="I99" i="23"/>
  <c r="F80" i="23"/>
  <c r="J80" i="23" s="1"/>
  <c r="I31" i="23"/>
  <c r="I96" i="23"/>
  <c r="F77" i="23"/>
  <c r="G77" i="23" s="1"/>
  <c r="H77" i="23" s="1"/>
  <c r="I56" i="23"/>
  <c r="I86" i="23"/>
  <c r="I98" i="23"/>
  <c r="H109" i="19"/>
  <c r="H110" i="19" s="1"/>
  <c r="F52" i="23"/>
  <c r="J52" i="23" s="1"/>
  <c r="F102" i="23"/>
  <c r="J102" i="23" s="1"/>
  <c r="J79" i="23"/>
  <c r="J7" i="23"/>
  <c r="J106" i="23"/>
  <c r="I87" i="23"/>
  <c r="I8" i="23"/>
  <c r="I106" i="23"/>
  <c r="J31" i="23"/>
  <c r="J99" i="23"/>
  <c r="J56" i="23"/>
  <c r="J27" i="23"/>
  <c r="J96" i="23"/>
  <c r="J86" i="23"/>
  <c r="J70" i="23"/>
  <c r="J38" i="23"/>
  <c r="J33" i="23"/>
  <c r="J69" i="23"/>
  <c r="J89" i="23"/>
  <c r="J44" i="23"/>
  <c r="F12" i="23"/>
  <c r="J12" i="23" s="1"/>
  <c r="J39" i="23"/>
  <c r="I76" i="23"/>
  <c r="J76" i="23"/>
  <c r="F24" i="23"/>
  <c r="G24" i="23" s="1"/>
  <c r="H24" i="23" s="1"/>
  <c r="J98" i="23"/>
  <c r="I50" i="23"/>
  <c r="F34" i="23"/>
  <c r="J34" i="23" s="1"/>
  <c r="F13" i="23"/>
  <c r="J13" i="23" s="1"/>
  <c r="F85" i="23"/>
  <c r="J85" i="23" s="1"/>
  <c r="F87" i="23"/>
  <c r="J87" i="23" s="1"/>
  <c r="I55" i="23"/>
  <c r="F26" i="23"/>
  <c r="J26" i="23" s="1"/>
  <c r="F61" i="23"/>
  <c r="J61" i="23" s="1"/>
  <c r="I90" i="23"/>
  <c r="J59" i="23"/>
  <c r="J36" i="23"/>
  <c r="J43" i="23"/>
  <c r="J11" i="23"/>
  <c r="J75" i="23"/>
  <c r="J23" i="23"/>
  <c r="J48" i="23"/>
  <c r="J16" i="23"/>
  <c r="J78" i="23"/>
  <c r="J62" i="23"/>
  <c r="J41" i="23"/>
  <c r="J9" i="23"/>
  <c r="N91" i="23"/>
  <c r="O91" i="23" s="1"/>
  <c r="P91" i="23" s="1"/>
  <c r="N47" i="23"/>
  <c r="O47" i="23" s="1"/>
  <c r="P47" i="23" s="1"/>
  <c r="N100" i="23"/>
  <c r="O100" i="23" s="1"/>
  <c r="P100" i="23" s="1"/>
  <c r="N79" i="23"/>
  <c r="O79" i="23" s="1"/>
  <c r="P79" i="23" s="1"/>
  <c r="N57" i="23"/>
  <c r="O57" i="23" s="1"/>
  <c r="P57" i="23" s="1"/>
  <c r="N28" i="23"/>
  <c r="O28" i="23" s="1"/>
  <c r="P28" i="23" s="1"/>
  <c r="N104" i="23"/>
  <c r="O104" i="23" s="1"/>
  <c r="P104" i="23" s="1"/>
  <c r="N83" i="23"/>
  <c r="O83" i="23" s="1"/>
  <c r="P83" i="23" s="1"/>
  <c r="N61" i="23"/>
  <c r="O61" i="23" s="1"/>
  <c r="P61" i="23" s="1"/>
  <c r="N35" i="23"/>
  <c r="O35" i="23" s="1"/>
  <c r="P35" i="23" s="1"/>
  <c r="N8" i="23"/>
  <c r="O8" i="23" s="1"/>
  <c r="P8" i="23" s="1"/>
  <c r="N64" i="23"/>
  <c r="O64" i="23" s="1"/>
  <c r="P64" i="23" s="1"/>
  <c r="N7" i="23"/>
  <c r="O7" i="23" s="1"/>
  <c r="P7" i="23" s="1"/>
  <c r="N87" i="23"/>
  <c r="O87" i="23" s="1"/>
  <c r="P87" i="23" s="1"/>
  <c r="N65" i="23"/>
  <c r="O65" i="23" s="1"/>
  <c r="P65" i="23" s="1"/>
  <c r="N40" i="23"/>
  <c r="O40" i="23" s="1"/>
  <c r="P40" i="23" s="1"/>
  <c r="N106" i="23"/>
  <c r="O106" i="23" s="1"/>
  <c r="P106" i="23" s="1"/>
  <c r="N90" i="23"/>
  <c r="O90" i="23" s="1"/>
  <c r="P90" i="23" s="1"/>
  <c r="N74" i="23"/>
  <c r="O74" i="23" s="1"/>
  <c r="P74" i="23" s="1"/>
  <c r="N58" i="23"/>
  <c r="O58" i="23" s="1"/>
  <c r="P58" i="23" s="1"/>
  <c r="N42" i="23"/>
  <c r="O42" i="23" s="1"/>
  <c r="P42" i="23" s="1"/>
  <c r="N26" i="23"/>
  <c r="O26" i="23" s="1"/>
  <c r="P26" i="23" s="1"/>
  <c r="N10" i="23"/>
  <c r="O10" i="23" s="1"/>
  <c r="P10" i="23" s="1"/>
  <c r="N37" i="23"/>
  <c r="O37" i="23" s="1"/>
  <c r="P37" i="23" s="1"/>
  <c r="N21" i="23"/>
  <c r="O21" i="23" s="1"/>
  <c r="P21" i="23" s="1"/>
  <c r="I57" i="23"/>
  <c r="F91" i="23"/>
  <c r="J91" i="23" s="1"/>
  <c r="I21" i="23"/>
  <c r="F21" i="23"/>
  <c r="J21" i="23" s="1"/>
  <c r="I40" i="23"/>
  <c r="I104" i="23"/>
  <c r="I42" i="23"/>
  <c r="N80" i="23"/>
  <c r="O80" i="23" s="1"/>
  <c r="P80" i="23" s="1"/>
  <c r="N31" i="23"/>
  <c r="O31" i="23" s="1"/>
  <c r="P31" i="23" s="1"/>
  <c r="N95" i="23"/>
  <c r="O95" i="23" s="1"/>
  <c r="P95" i="23" s="1"/>
  <c r="N73" i="23"/>
  <c r="O73" i="23" s="1"/>
  <c r="P73" i="23" s="1"/>
  <c r="N52" i="23"/>
  <c r="O52" i="23" s="1"/>
  <c r="P52" i="23" s="1"/>
  <c r="N20" i="23"/>
  <c r="O20" i="23" s="1"/>
  <c r="P20" i="23" s="1"/>
  <c r="N99" i="23"/>
  <c r="O99" i="23" s="1"/>
  <c r="P99" i="23" s="1"/>
  <c r="N77" i="23"/>
  <c r="O77" i="23" s="1"/>
  <c r="P77" i="23" s="1"/>
  <c r="N56" i="23"/>
  <c r="O56" i="23" s="1"/>
  <c r="P56" i="23" s="1"/>
  <c r="N27" i="23"/>
  <c r="O27" i="23" s="1"/>
  <c r="P27" i="23" s="1"/>
  <c r="N96" i="23"/>
  <c r="O96" i="23" s="1"/>
  <c r="P96" i="23" s="1"/>
  <c r="N53" i="23"/>
  <c r="O53" i="23" s="1"/>
  <c r="P53" i="23" s="1"/>
  <c r="N103" i="23"/>
  <c r="O103" i="23" s="1"/>
  <c r="P103" i="23" s="1"/>
  <c r="N81" i="23"/>
  <c r="O81" i="23" s="1"/>
  <c r="P81" i="23" s="1"/>
  <c r="N60" i="23"/>
  <c r="O60" i="23" s="1"/>
  <c r="P60" i="23" s="1"/>
  <c r="N32" i="23"/>
  <c r="O32" i="23" s="1"/>
  <c r="P32" i="23" s="1"/>
  <c r="N102" i="23"/>
  <c r="O102" i="23" s="1"/>
  <c r="P102" i="23" s="1"/>
  <c r="N86" i="23"/>
  <c r="O86" i="23" s="1"/>
  <c r="P86" i="23" s="1"/>
  <c r="N70" i="23"/>
  <c r="O70" i="23" s="1"/>
  <c r="P70" i="23" s="1"/>
  <c r="N54" i="23"/>
  <c r="O54" i="23" s="1"/>
  <c r="P54" i="23" s="1"/>
  <c r="N38" i="23"/>
  <c r="O38" i="23" s="1"/>
  <c r="P38" i="23" s="1"/>
  <c r="N22" i="23"/>
  <c r="O22" i="23" s="1"/>
  <c r="P22" i="23" s="1"/>
  <c r="N49" i="23"/>
  <c r="O49" i="23" s="1"/>
  <c r="P49" i="23" s="1"/>
  <c r="N33" i="23"/>
  <c r="O33" i="23" s="1"/>
  <c r="P33" i="23" s="1"/>
  <c r="N17" i="23"/>
  <c r="O17" i="23" s="1"/>
  <c r="P17" i="23" s="1"/>
  <c r="N69" i="23"/>
  <c r="O69" i="23" s="1"/>
  <c r="P69" i="23" s="1"/>
  <c r="N15" i="23"/>
  <c r="O15" i="23" s="1"/>
  <c r="P15" i="23" s="1"/>
  <c r="N89" i="23"/>
  <c r="O89" i="23" s="1"/>
  <c r="P89" i="23" s="1"/>
  <c r="N68" i="23"/>
  <c r="O68" i="23" s="1"/>
  <c r="P68" i="23" s="1"/>
  <c r="N44" i="23"/>
  <c r="O44" i="23" s="1"/>
  <c r="P44" i="23" s="1"/>
  <c r="N12" i="23"/>
  <c r="O12" i="23" s="1"/>
  <c r="P12" i="23" s="1"/>
  <c r="N93" i="23"/>
  <c r="O93" i="23" s="1"/>
  <c r="P93" i="23" s="1"/>
  <c r="N72" i="23"/>
  <c r="O72" i="23" s="1"/>
  <c r="P72" i="23" s="1"/>
  <c r="N51" i="23"/>
  <c r="O51" i="23" s="1"/>
  <c r="P51" i="23" s="1"/>
  <c r="N19" i="23"/>
  <c r="O19" i="23" s="1"/>
  <c r="P19" i="23" s="1"/>
  <c r="N85" i="23"/>
  <c r="O85" i="23" s="1"/>
  <c r="P85" i="23" s="1"/>
  <c r="N39" i="23"/>
  <c r="O39" i="23" s="1"/>
  <c r="P39" i="23" s="1"/>
  <c r="N97" i="23"/>
  <c r="O97" i="23" s="1"/>
  <c r="P97" i="23" s="1"/>
  <c r="N76" i="23"/>
  <c r="O76" i="23" s="1"/>
  <c r="P76" i="23" s="1"/>
  <c r="N55" i="23"/>
  <c r="O55" i="23" s="1"/>
  <c r="P55" i="23" s="1"/>
  <c r="N24" i="23"/>
  <c r="O24" i="23" s="1"/>
  <c r="P24" i="23" s="1"/>
  <c r="N98" i="23"/>
  <c r="O98" i="23" s="1"/>
  <c r="P98" i="23" s="1"/>
  <c r="N82" i="23"/>
  <c r="O82" i="23" s="1"/>
  <c r="P82" i="23" s="1"/>
  <c r="N66" i="23"/>
  <c r="O66" i="23" s="1"/>
  <c r="P66" i="23" s="1"/>
  <c r="N50" i="23"/>
  <c r="O50" i="23" s="1"/>
  <c r="P50" i="23" s="1"/>
  <c r="N34" i="23"/>
  <c r="O34" i="23" s="1"/>
  <c r="P34" i="23" s="1"/>
  <c r="N18" i="23"/>
  <c r="O18" i="23" s="1"/>
  <c r="P18" i="23" s="1"/>
  <c r="N45" i="23"/>
  <c r="O45" i="23" s="1"/>
  <c r="P45" i="23" s="1"/>
  <c r="N29" i="23"/>
  <c r="O29" i="23" s="1"/>
  <c r="P29" i="23" s="1"/>
  <c r="N13" i="23"/>
  <c r="O13" i="23" s="1"/>
  <c r="P13" i="23" s="1"/>
  <c r="I51" i="23"/>
  <c r="I83" i="23"/>
  <c r="I91" i="23"/>
  <c r="I44" i="23"/>
  <c r="F90" i="23"/>
  <c r="J90" i="23" s="1"/>
  <c r="F83" i="23"/>
  <c r="G83" i="23" s="1"/>
  <c r="H83" i="23" s="1"/>
  <c r="F42" i="23"/>
  <c r="G42" i="23" s="1"/>
  <c r="H42" i="23" s="1"/>
  <c r="F35" i="23"/>
  <c r="J35" i="23" s="1"/>
  <c r="I69" i="23"/>
  <c r="F50" i="23"/>
  <c r="J50" i="23" s="1"/>
  <c r="I72" i="23"/>
  <c r="I45" i="23"/>
  <c r="F65" i="23"/>
  <c r="G65" i="23" s="1"/>
  <c r="H65" i="23" s="1"/>
  <c r="F82" i="23"/>
  <c r="J82" i="23" s="1"/>
  <c r="N101" i="23"/>
  <c r="O101" i="23" s="1"/>
  <c r="P101" i="23" s="1"/>
  <c r="N59" i="23"/>
  <c r="O59" i="23" s="1"/>
  <c r="P59" i="23" s="1"/>
  <c r="N105" i="23"/>
  <c r="O105" i="23" s="1"/>
  <c r="P105" i="23" s="1"/>
  <c r="N84" i="23"/>
  <c r="O84" i="23" s="1"/>
  <c r="P84" i="23" s="1"/>
  <c r="N63" i="23"/>
  <c r="O63" i="23" s="1"/>
  <c r="P63" i="23" s="1"/>
  <c r="N36" i="23"/>
  <c r="O36" i="23" s="1"/>
  <c r="P36" i="23" s="1"/>
  <c r="N6" i="23"/>
  <c r="O6" i="23" s="1"/>
  <c r="P6" i="23" s="1"/>
  <c r="N88" i="23"/>
  <c r="O88" i="23" s="1"/>
  <c r="P88" i="23" s="1"/>
  <c r="N67" i="23"/>
  <c r="O67" i="23" s="1"/>
  <c r="P67" i="23" s="1"/>
  <c r="N43" i="23"/>
  <c r="O43" i="23" s="1"/>
  <c r="P43" i="23" s="1"/>
  <c r="N11" i="23"/>
  <c r="O11" i="23" s="1"/>
  <c r="P11" i="23" s="1"/>
  <c r="N75" i="23"/>
  <c r="O75" i="23" s="1"/>
  <c r="P75" i="23" s="1"/>
  <c r="N23" i="23"/>
  <c r="O23" i="23" s="1"/>
  <c r="P23" i="23" s="1"/>
  <c r="N92" i="23"/>
  <c r="O92" i="23" s="1"/>
  <c r="P92" i="23" s="1"/>
  <c r="N71" i="23"/>
  <c r="O71" i="23" s="1"/>
  <c r="P71" i="23" s="1"/>
  <c r="N48" i="23"/>
  <c r="O48" i="23" s="1"/>
  <c r="P48" i="23" s="1"/>
  <c r="N16" i="23"/>
  <c r="O16" i="23" s="1"/>
  <c r="P16" i="23" s="1"/>
  <c r="N94" i="23"/>
  <c r="O94" i="23" s="1"/>
  <c r="P94" i="23" s="1"/>
  <c r="N78" i="23"/>
  <c r="O78" i="23" s="1"/>
  <c r="P78" i="23" s="1"/>
  <c r="N62" i="23"/>
  <c r="O62" i="23" s="1"/>
  <c r="P62" i="23" s="1"/>
  <c r="N46" i="23"/>
  <c r="O46" i="23" s="1"/>
  <c r="P46" i="23" s="1"/>
  <c r="N30" i="23"/>
  <c r="O30" i="23" s="1"/>
  <c r="P30" i="23" s="1"/>
  <c r="N14" i="23"/>
  <c r="O14" i="23" s="1"/>
  <c r="P14" i="23" s="1"/>
  <c r="N41" i="23"/>
  <c r="O41" i="23" s="1"/>
  <c r="P41" i="23" s="1"/>
  <c r="N25" i="23"/>
  <c r="O25" i="23" s="1"/>
  <c r="P25" i="23" s="1"/>
  <c r="N9" i="23"/>
  <c r="O9" i="23" s="1"/>
  <c r="P9" i="23" s="1"/>
  <c r="I19" i="23"/>
  <c r="I28" i="23"/>
  <c r="I89" i="23"/>
  <c r="F64" i="23"/>
  <c r="J64" i="23" s="1"/>
  <c r="F37" i="23"/>
  <c r="J37" i="23" s="1"/>
  <c r="F74" i="23"/>
  <c r="G74" i="23" s="1"/>
  <c r="H74" i="23" s="1"/>
  <c r="F15" i="23"/>
  <c r="J15" i="23" s="1"/>
  <c r="I47" i="23"/>
  <c r="I97" i="23"/>
  <c r="F68" i="23"/>
  <c r="J68" i="23" s="1"/>
  <c r="F45" i="23"/>
  <c r="J45" i="23" s="1"/>
  <c r="F19" i="23"/>
  <c r="J19" i="23" s="1"/>
  <c r="F47" i="23"/>
  <c r="J47" i="23" s="1"/>
  <c r="I68" i="23"/>
  <c r="F40" i="23"/>
  <c r="J40" i="23" s="1"/>
  <c r="F104" i="23"/>
  <c r="J104" i="23" s="1"/>
  <c r="F18" i="23"/>
  <c r="J18" i="23" s="1"/>
  <c r="F57" i="23"/>
  <c r="G57" i="23" s="1"/>
  <c r="H57" i="23" s="1"/>
  <c r="I7" i="23"/>
  <c r="F28" i="23"/>
  <c r="J28" i="23" s="1"/>
  <c r="F97" i="23"/>
  <c r="G97" i="23" s="1"/>
  <c r="H97" i="23" s="1"/>
  <c r="F8" i="23"/>
  <c r="J8" i="23" s="1"/>
  <c r="I58" i="23"/>
  <c r="I82" i="23"/>
  <c r="I74" i="23"/>
  <c r="I37" i="23"/>
  <c r="I35" i="23"/>
  <c r="I85" i="23"/>
  <c r="I29" i="23"/>
  <c r="F58" i="23"/>
  <c r="G58" i="23" s="1"/>
  <c r="H58" i="23" s="1"/>
  <c r="F51" i="23"/>
  <c r="J51" i="23" s="1"/>
  <c r="I15" i="23"/>
  <c r="I79" i="23"/>
  <c r="I93" i="23"/>
  <c r="I64" i="23"/>
  <c r="F100" i="23"/>
  <c r="G100" i="23" s="1"/>
  <c r="H100" i="23" s="1"/>
  <c r="F10" i="23"/>
  <c r="J10" i="23" s="1"/>
  <c r="F66" i="23"/>
  <c r="G66" i="23" s="1"/>
  <c r="H66" i="23" s="1"/>
  <c r="F55" i="23"/>
  <c r="J55" i="23" s="1"/>
  <c r="I100" i="23"/>
  <c r="F72" i="23"/>
  <c r="G72" i="23" s="1"/>
  <c r="H72" i="23" s="1"/>
  <c r="I39" i="23"/>
  <c r="I24" i="23"/>
  <c r="F29" i="23"/>
  <c r="J29" i="23" s="1"/>
  <c r="F93" i="23"/>
  <c r="G93" i="23" s="1"/>
  <c r="H93" i="23" s="1"/>
  <c r="F95" i="23"/>
  <c r="G95" i="23" s="1"/>
  <c r="H95" i="23" s="1"/>
  <c r="I26" i="23"/>
  <c r="I66" i="23"/>
  <c r="I18" i="23"/>
  <c r="I34" i="23"/>
  <c r="G96" i="23"/>
  <c r="H96" i="23" s="1"/>
  <c r="G41" i="23"/>
  <c r="H41" i="23" s="1"/>
  <c r="G36" i="23"/>
  <c r="H36" i="23" s="1"/>
  <c r="G86" i="23"/>
  <c r="H86" i="23" s="1"/>
  <c r="G23" i="23"/>
  <c r="H23" i="23" s="1"/>
  <c r="G62" i="23"/>
  <c r="H62" i="23" s="1"/>
  <c r="G11" i="23"/>
  <c r="H11" i="23" s="1"/>
  <c r="G48" i="23"/>
  <c r="H48" i="23" s="1"/>
  <c r="G9" i="23"/>
  <c r="H9" i="23" s="1"/>
  <c r="G69" i="23"/>
  <c r="H69" i="23" s="1"/>
  <c r="G75" i="23"/>
  <c r="H75" i="23" s="1"/>
  <c r="G89" i="23"/>
  <c r="H89" i="23" s="1"/>
  <c r="G39" i="23"/>
  <c r="H39" i="23" s="1"/>
  <c r="G99" i="23"/>
  <c r="H99" i="23" s="1"/>
  <c r="G76" i="23"/>
  <c r="H76" i="23" s="1"/>
  <c r="G98" i="23"/>
  <c r="H98" i="23" s="1"/>
  <c r="G27" i="23"/>
  <c r="H27" i="23" s="1"/>
  <c r="G79" i="23"/>
  <c r="H79" i="23" s="1"/>
  <c r="G78" i="23"/>
  <c r="H78" i="23" s="1"/>
  <c r="G70" i="23"/>
  <c r="H70" i="23" s="1"/>
  <c r="G59" i="23"/>
  <c r="H59" i="23" s="1"/>
  <c r="G33" i="23"/>
  <c r="H33" i="23" s="1"/>
  <c r="G43" i="23"/>
  <c r="H43" i="23" s="1"/>
  <c r="G16" i="23"/>
  <c r="H16" i="23" s="1"/>
  <c r="G106" i="23"/>
  <c r="H106" i="23" s="1"/>
  <c r="G31" i="23"/>
  <c r="H31" i="23" s="1"/>
  <c r="G38" i="23"/>
  <c r="H38" i="23" s="1"/>
  <c r="G56" i="23"/>
  <c r="H56" i="23" s="1"/>
  <c r="G44" i="23"/>
  <c r="H44" i="23" s="1"/>
  <c r="G7" i="23"/>
  <c r="H7" i="23" s="1"/>
  <c r="B19" i="19"/>
  <c r="D19" i="19" s="1"/>
  <c r="I17" i="8"/>
  <c r="J17" i="8" s="1"/>
  <c r="D182" i="2" s="1"/>
  <c r="F270" i="2" s="1"/>
  <c r="G181" i="2"/>
  <c r="F181" i="2"/>
  <c r="E50" i="1" s="1"/>
  <c r="H269" i="2" s="1"/>
  <c r="C48" i="16" s="1"/>
  <c r="I18" i="8"/>
  <c r="J18" i="8" s="1"/>
  <c r="G273" i="2" s="1"/>
  <c r="A276" i="2"/>
  <c r="B276" i="2"/>
  <c r="B257" i="2"/>
  <c r="R76" i="2"/>
  <c r="C34" i="16"/>
  <c r="B167" i="2"/>
  <c r="K71" i="2"/>
  <c r="K72" i="2"/>
  <c r="D257" i="2"/>
  <c r="C157" i="8"/>
  <c r="C156" i="8" s="1"/>
  <c r="C155" i="8" s="1"/>
  <c r="C154" i="8" s="1"/>
  <c r="C153" i="8" s="1"/>
  <c r="C152" i="8" s="1"/>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256" i="2"/>
  <c r="C257" i="2"/>
  <c r="B258" i="2"/>
  <c r="A259" i="2"/>
  <c r="B262" i="2"/>
  <c r="I11" i="19"/>
  <c r="I15" i="19"/>
  <c r="I19" i="19"/>
  <c r="I23" i="19"/>
  <c r="I27" i="19"/>
  <c r="I31" i="19"/>
  <c r="I35" i="19"/>
  <c r="I39" i="19"/>
  <c r="I43" i="19"/>
  <c r="I47" i="19"/>
  <c r="I51" i="19"/>
  <c r="I55" i="19"/>
  <c r="I59" i="19"/>
  <c r="I63" i="19"/>
  <c r="I67" i="19"/>
  <c r="I71" i="19"/>
  <c r="I75" i="19"/>
  <c r="I79" i="19"/>
  <c r="I83" i="19"/>
  <c r="I87" i="19"/>
  <c r="I91" i="19"/>
  <c r="I95" i="19"/>
  <c r="I99" i="19"/>
  <c r="I103" i="19"/>
  <c r="I13" i="19"/>
  <c r="I17" i="19"/>
  <c r="I21" i="19"/>
  <c r="I25" i="19"/>
  <c r="I29" i="19"/>
  <c r="I33" i="19"/>
  <c r="I37" i="19"/>
  <c r="I41" i="19"/>
  <c r="I45" i="19"/>
  <c r="I49" i="19"/>
  <c r="I53" i="19"/>
  <c r="I57" i="19"/>
  <c r="I61" i="19"/>
  <c r="I65" i="19"/>
  <c r="I69" i="19"/>
  <c r="I73" i="19"/>
  <c r="I77" i="19"/>
  <c r="I81" i="19"/>
  <c r="I85" i="19"/>
  <c r="I89" i="19"/>
  <c r="I93" i="19"/>
  <c r="I97" i="19"/>
  <c r="I101" i="19"/>
  <c r="I105" i="19"/>
  <c r="I10" i="19"/>
  <c r="I18" i="19"/>
  <c r="I26" i="19"/>
  <c r="I34" i="19"/>
  <c r="I42" i="19"/>
  <c r="I50" i="19"/>
  <c r="I58" i="19"/>
  <c r="I66" i="19"/>
  <c r="I74" i="19"/>
  <c r="I82" i="19"/>
  <c r="I90" i="19"/>
  <c r="I98" i="19"/>
  <c r="I106" i="19"/>
  <c r="I14" i="19"/>
  <c r="I22" i="19"/>
  <c r="I30" i="19"/>
  <c r="I38" i="19"/>
  <c r="I46" i="19"/>
  <c r="I54" i="19"/>
  <c r="I62" i="19"/>
  <c r="I70" i="19"/>
  <c r="I78" i="19"/>
  <c r="I86" i="19"/>
  <c r="I94" i="19"/>
  <c r="I102" i="19"/>
  <c r="I20" i="19"/>
  <c r="I36" i="19"/>
  <c r="I52" i="19"/>
  <c r="I68" i="19"/>
  <c r="I84" i="19"/>
  <c r="I100" i="19"/>
  <c r="I24" i="19"/>
  <c r="I40" i="19"/>
  <c r="I56" i="19"/>
  <c r="I72" i="19"/>
  <c r="I88" i="19"/>
  <c r="I104" i="19"/>
  <c r="I12" i="19"/>
  <c r="I28" i="19"/>
  <c r="I44" i="19"/>
  <c r="I60" i="19"/>
  <c r="I76" i="19"/>
  <c r="I92" i="19"/>
  <c r="I16" i="19"/>
  <c r="I32" i="19"/>
  <c r="I48" i="19"/>
  <c r="I64" i="19"/>
  <c r="I80" i="19"/>
  <c r="I96" i="19"/>
  <c r="D18" i="19"/>
  <c r="W65" i="2" l="1"/>
  <c r="W66" i="2" s="1"/>
  <c r="D54" i="16" s="1"/>
  <c r="B25" i="29"/>
  <c r="B26" i="29" s="1"/>
  <c r="D26" i="29" s="1"/>
  <c r="DC5" i="24"/>
  <c r="N329" i="25"/>
  <c r="L75" i="1" s="1"/>
  <c r="K76" i="1" s="1"/>
  <c r="O329" i="25"/>
  <c r="I25" i="8" s="1"/>
  <c r="J25" i="8" s="1"/>
  <c r="G329" i="24"/>
  <c r="H329" i="24"/>
  <c r="I23" i="8" s="1"/>
  <c r="J23" i="8" s="1"/>
  <c r="CS110" i="25"/>
  <c r="DS110" i="25" s="1"/>
  <c r="B15" i="29"/>
  <c r="B21" i="29" s="1"/>
  <c r="B22" i="29" s="1"/>
  <c r="CU212" i="25"/>
  <c r="CW212" i="25"/>
  <c r="CO212" i="25" s="1"/>
  <c r="CZ212" i="25" s="1"/>
  <c r="CV212" i="25"/>
  <c r="DS212" i="25"/>
  <c r="CY212" i="25"/>
  <c r="CT212" i="25"/>
  <c r="FD212" i="25" s="1"/>
  <c r="G329" i="25"/>
  <c r="I28" i="8"/>
  <c r="EQ266" i="25"/>
  <c r="EU266" i="25" s="1"/>
  <c r="FG266" i="25"/>
  <c r="EQ277" i="25"/>
  <c r="EU277" i="25" s="1"/>
  <c r="FG277" i="25"/>
  <c r="FG233" i="25"/>
  <c r="EQ233" i="25"/>
  <c r="EU233" i="25" s="1"/>
  <c r="EQ285" i="25"/>
  <c r="EU285" i="25" s="1"/>
  <c r="FG285" i="25"/>
  <c r="FG280" i="25"/>
  <c r="EQ280" i="25"/>
  <c r="EU280" i="25" s="1"/>
  <c r="FG243" i="25"/>
  <c r="EQ243" i="25"/>
  <c r="EU243" i="25" s="1"/>
  <c r="EQ244" i="25"/>
  <c r="EU244" i="25" s="1"/>
  <c r="FG244" i="25"/>
  <c r="FG295" i="25"/>
  <c r="EQ295" i="25"/>
  <c r="EU295" i="25" s="1"/>
  <c r="FG242" i="25"/>
  <c r="EQ242" i="25"/>
  <c r="EU242" i="25" s="1"/>
  <c r="EQ307" i="25"/>
  <c r="EU307" i="25" s="1"/>
  <c r="FG307" i="25"/>
  <c r="EQ250" i="25"/>
  <c r="EU250" i="25" s="1"/>
  <c r="FG250" i="25"/>
  <c r="FG284" i="25"/>
  <c r="EQ284" i="25"/>
  <c r="EU284" i="25" s="1"/>
  <c r="EQ298" i="25"/>
  <c r="EU298" i="25" s="1"/>
  <c r="FG298" i="25"/>
  <c r="EQ227" i="25"/>
  <c r="EU227" i="25" s="1"/>
  <c r="FG227" i="25"/>
  <c r="EQ239" i="25"/>
  <c r="EU239" i="25" s="1"/>
  <c r="FG239" i="25"/>
  <c r="EQ287" i="25"/>
  <c r="EU287" i="25" s="1"/>
  <c r="FG287" i="25"/>
  <c r="FG290" i="25"/>
  <c r="EQ290" i="25"/>
  <c r="EU290" i="25" s="1"/>
  <c r="EQ245" i="25"/>
  <c r="EU245" i="25" s="1"/>
  <c r="FG245" i="25"/>
  <c r="EQ252" i="25"/>
  <c r="EU252" i="25" s="1"/>
  <c r="FG252" i="25"/>
  <c r="FG314" i="25"/>
  <c r="EQ314" i="25"/>
  <c r="EU314" i="25" s="1"/>
  <c r="EQ251" i="25"/>
  <c r="EU251" i="25" s="1"/>
  <c r="FG251" i="25"/>
  <c r="FG309" i="25"/>
  <c r="EQ309" i="25"/>
  <c r="EU309" i="25" s="1"/>
  <c r="EQ256" i="25"/>
  <c r="EU256" i="25" s="1"/>
  <c r="FG256" i="25"/>
  <c r="FG313" i="25"/>
  <c r="EQ313" i="25"/>
  <c r="EU313" i="25" s="1"/>
  <c r="FG257" i="25"/>
  <c r="EQ257" i="25"/>
  <c r="EU257" i="25" s="1"/>
  <c r="FG247" i="25"/>
  <c r="EQ247" i="25"/>
  <c r="EU247" i="25" s="1"/>
  <c r="FG308" i="25"/>
  <c r="EQ308" i="25"/>
  <c r="EU308" i="25" s="1"/>
  <c r="EQ292" i="25"/>
  <c r="EU292" i="25" s="1"/>
  <c r="FG292" i="25"/>
  <c r="EQ246" i="25"/>
  <c r="EU246" i="25" s="1"/>
  <c r="FG246" i="25"/>
  <c r="FG253" i="25"/>
  <c r="EQ253" i="25"/>
  <c r="EU253" i="25" s="1"/>
  <c r="EQ254" i="25"/>
  <c r="EU254" i="25" s="1"/>
  <c r="FG254" i="25"/>
  <c r="FG259" i="25"/>
  <c r="EQ259" i="25"/>
  <c r="EU259" i="25" s="1"/>
  <c r="FG258" i="25"/>
  <c r="EQ258" i="25"/>
  <c r="EU258" i="25" s="1"/>
  <c r="EQ293" i="25"/>
  <c r="EU293" i="25" s="1"/>
  <c r="FG293" i="25"/>
  <c r="EQ224" i="25"/>
  <c r="EU224" i="25" s="1"/>
  <c r="FG224" i="25"/>
  <c r="FG222" i="25"/>
  <c r="EQ222" i="25"/>
  <c r="EU222" i="25" s="1"/>
  <c r="EQ270" i="25"/>
  <c r="EU270" i="25" s="1"/>
  <c r="FG270" i="25"/>
  <c r="FG229" i="25"/>
  <c r="EQ229" i="25"/>
  <c r="EU229" i="25" s="1"/>
  <c r="EQ296" i="25"/>
  <c r="EU296" i="25" s="1"/>
  <c r="FG296" i="25"/>
  <c r="EQ301" i="25"/>
  <c r="EU301" i="25" s="1"/>
  <c r="FG301" i="25"/>
  <c r="EQ260" i="25"/>
  <c r="EU260" i="25" s="1"/>
  <c r="FG260" i="25"/>
  <c r="EQ255" i="25"/>
  <c r="EU255" i="25" s="1"/>
  <c r="FG255" i="25"/>
  <c r="EQ263" i="25"/>
  <c r="EU263" i="25" s="1"/>
  <c r="FG263" i="25"/>
  <c r="EQ265" i="25"/>
  <c r="EU265" i="25" s="1"/>
  <c r="FG265" i="25"/>
  <c r="FG304" i="25"/>
  <c r="EQ304" i="25"/>
  <c r="EU304" i="25" s="1"/>
  <c r="FG264" i="25"/>
  <c r="EQ264" i="25"/>
  <c r="EU264" i="25" s="1"/>
  <c r="EQ249" i="25"/>
  <c r="EU249" i="25" s="1"/>
  <c r="FG249" i="25"/>
  <c r="FG273" i="25"/>
  <c r="EQ273" i="25"/>
  <c r="EU273" i="25" s="1"/>
  <c r="FG248" i="25"/>
  <c r="EQ248" i="25"/>
  <c r="EU248" i="25" s="1"/>
  <c r="EQ297" i="25"/>
  <c r="EU297" i="25" s="1"/>
  <c r="FG297" i="25"/>
  <c r="EQ221" i="25"/>
  <c r="EU221" i="25" s="1"/>
  <c r="FG221" i="25"/>
  <c r="EQ303" i="25"/>
  <c r="EU303" i="25" s="1"/>
  <c r="FG303" i="25"/>
  <c r="EQ268" i="25"/>
  <c r="EU268" i="25" s="1"/>
  <c r="FG268" i="25"/>
  <c r="FG218" i="25"/>
  <c r="EQ218" i="25"/>
  <c r="EU218" i="25" s="1"/>
  <c r="EQ267" i="25"/>
  <c r="EU267" i="25" s="1"/>
  <c r="FG267" i="25"/>
  <c r="EQ278" i="25"/>
  <c r="EU278" i="25" s="1"/>
  <c r="FG278" i="25"/>
  <c r="EQ286" i="25"/>
  <c r="EU286" i="25" s="1"/>
  <c r="FG286" i="25"/>
  <c r="EQ312" i="25"/>
  <c r="EU312" i="25" s="1"/>
  <c r="FG312" i="25"/>
  <c r="EQ282" i="25"/>
  <c r="EU282" i="25" s="1"/>
  <c r="FG282" i="25"/>
  <c r="EQ291" i="25"/>
  <c r="EU291" i="25" s="1"/>
  <c r="FG291" i="25"/>
  <c r="EQ217" i="25"/>
  <c r="EU217" i="25" s="1"/>
  <c r="FG217" i="25"/>
  <c r="FG274" i="25"/>
  <c r="EQ274" i="25"/>
  <c r="EU274" i="25" s="1"/>
  <c r="EQ261" i="25"/>
  <c r="EU261" i="25" s="1"/>
  <c r="FG261" i="25"/>
  <c r="EQ311" i="25"/>
  <c r="EU311" i="25" s="1"/>
  <c r="FG311" i="25"/>
  <c r="FG223" i="25"/>
  <c r="EQ223" i="25"/>
  <c r="EU223" i="25" s="1"/>
  <c r="EQ310" i="25"/>
  <c r="EU310" i="25" s="1"/>
  <c r="FG310" i="25"/>
  <c r="FG279" i="25"/>
  <c r="EQ279" i="25"/>
  <c r="EU279" i="25" s="1"/>
  <c r="EQ231" i="25"/>
  <c r="EU231" i="25" s="1"/>
  <c r="FG231" i="25"/>
  <c r="EQ271" i="25"/>
  <c r="EU271" i="25" s="1"/>
  <c r="FG271" i="25"/>
  <c r="EQ220" i="25"/>
  <c r="EU220" i="25" s="1"/>
  <c r="FG220" i="25"/>
  <c r="FG299" i="25"/>
  <c r="EQ299" i="25"/>
  <c r="EU299" i="25" s="1"/>
  <c r="FG305" i="25"/>
  <c r="EQ305" i="25"/>
  <c r="EU305" i="25" s="1"/>
  <c r="EQ234" i="25"/>
  <c r="EU234" i="25" s="1"/>
  <c r="FG234" i="25"/>
  <c r="EQ316" i="25"/>
  <c r="EU316" i="25" s="1"/>
  <c r="FG316" i="25"/>
  <c r="EQ288" i="25"/>
  <c r="EU288" i="25" s="1"/>
  <c r="FG288" i="25"/>
  <c r="EQ302" i="25"/>
  <c r="EU302" i="25" s="1"/>
  <c r="FG302" i="25"/>
  <c r="FG219" i="25"/>
  <c r="EQ219" i="25"/>
  <c r="EU219" i="25" s="1"/>
  <c r="FG281" i="25"/>
  <c r="EQ281" i="25"/>
  <c r="EU281" i="25" s="1"/>
  <c r="FG269" i="25"/>
  <c r="EQ269" i="25"/>
  <c r="EU269" i="25" s="1"/>
  <c r="EQ315" i="25"/>
  <c r="EU315" i="25" s="1"/>
  <c r="FG315" i="25"/>
  <c r="EQ232" i="25"/>
  <c r="EU232" i="25" s="1"/>
  <c r="FG232" i="25"/>
  <c r="FG228" i="25"/>
  <c r="EQ228" i="25"/>
  <c r="EU228" i="25" s="1"/>
  <c r="FG289" i="25"/>
  <c r="EQ289" i="25"/>
  <c r="EU289" i="25" s="1"/>
  <c r="EQ236" i="25"/>
  <c r="EU236" i="25" s="1"/>
  <c r="FG236" i="25"/>
  <c r="EQ272" i="25"/>
  <c r="EU272" i="25" s="1"/>
  <c r="FG272" i="25"/>
  <c r="EQ225" i="25"/>
  <c r="EU225" i="25" s="1"/>
  <c r="FG225" i="25"/>
  <c r="FG300" i="25"/>
  <c r="EQ300" i="25"/>
  <c r="EU300" i="25" s="1"/>
  <c r="EQ240" i="25"/>
  <c r="EU240" i="25" s="1"/>
  <c r="FG240" i="25"/>
  <c r="EQ230" i="25"/>
  <c r="EU230" i="25" s="1"/>
  <c r="FG230" i="25"/>
  <c r="EQ262" i="25"/>
  <c r="EU262" i="25" s="1"/>
  <c r="FG262" i="25"/>
  <c r="EQ226" i="25"/>
  <c r="EU226" i="25" s="1"/>
  <c r="FG226" i="25"/>
  <c r="EQ283" i="25"/>
  <c r="EU283" i="25" s="1"/>
  <c r="FG283" i="25"/>
  <c r="EQ276" i="25"/>
  <c r="EU276" i="25" s="1"/>
  <c r="FG276" i="25"/>
  <c r="FG238" i="25"/>
  <c r="EQ238" i="25"/>
  <c r="EU238" i="25" s="1"/>
  <c r="FG237" i="25"/>
  <c r="EQ237" i="25"/>
  <c r="EU237" i="25" s="1"/>
  <c r="FG294" i="25"/>
  <c r="EQ294" i="25"/>
  <c r="EU294" i="25" s="1"/>
  <c r="EQ241" i="25"/>
  <c r="EU241" i="25" s="1"/>
  <c r="FG241" i="25"/>
  <c r="FG275" i="25"/>
  <c r="EQ275" i="25"/>
  <c r="EU275" i="25" s="1"/>
  <c r="EQ235" i="25"/>
  <c r="EU235" i="25" s="1"/>
  <c r="FG235" i="25"/>
  <c r="EQ306" i="25"/>
  <c r="EU306" i="25" s="1"/>
  <c r="FG306" i="25"/>
  <c r="CU112" i="25"/>
  <c r="CV112" i="25"/>
  <c r="CL112" i="25"/>
  <c r="DP112" i="25"/>
  <c r="EQ112" i="25"/>
  <c r="EU112" i="25" s="1"/>
  <c r="FG112" i="25"/>
  <c r="CX112" i="25"/>
  <c r="CW112" i="25"/>
  <c r="CO112" i="25" s="1"/>
  <c r="B41" i="2"/>
  <c r="B110" i="2" s="1"/>
  <c r="CT112" i="25"/>
  <c r="CY110" i="24"/>
  <c r="DA110" i="24" s="1"/>
  <c r="CT110" i="24"/>
  <c r="CU110" i="24"/>
  <c r="CU5" i="24"/>
  <c r="CV5" i="24" s="1"/>
  <c r="CT5" i="24"/>
  <c r="CS216" i="25"/>
  <c r="DS216" i="25" s="1"/>
  <c r="CS110" i="24"/>
  <c r="FD110" i="24" s="1"/>
  <c r="DM110" i="24"/>
  <c r="DB110" i="24"/>
  <c r="DE110" i="24" s="1"/>
  <c r="DF110" i="24" s="1"/>
  <c r="DG110" i="24" s="1"/>
  <c r="DI110" i="24"/>
  <c r="DB5" i="24"/>
  <c r="DE5" i="24" s="1"/>
  <c r="DF5" i="24" s="1"/>
  <c r="DG5" i="24" s="1"/>
  <c r="DM5" i="24"/>
  <c r="DI5" i="24"/>
  <c r="CY216" i="24"/>
  <c r="CT216" i="24"/>
  <c r="DT216" i="24"/>
  <c r="CU216" i="24"/>
  <c r="CS216" i="24"/>
  <c r="FD216" i="24" s="1"/>
  <c r="CN216" i="24"/>
  <c r="CW113" i="25"/>
  <c r="CO113" i="25" s="1"/>
  <c r="CU113" i="25"/>
  <c r="CV113" i="25"/>
  <c r="FG20" i="25"/>
  <c r="DP20" i="25"/>
  <c r="EQ20" i="25"/>
  <c r="EU20" i="25" s="1"/>
  <c r="CL20" i="25"/>
  <c r="CX20" i="25"/>
  <c r="EQ8" i="25"/>
  <c r="EU8" i="25" s="1"/>
  <c r="DP8" i="25"/>
  <c r="FG8" i="25"/>
  <c r="CX8" i="25"/>
  <c r="CL8" i="25"/>
  <c r="EQ208" i="25"/>
  <c r="EU208" i="25" s="1"/>
  <c r="CL208" i="25"/>
  <c r="CX208" i="25"/>
  <c r="DP208" i="25"/>
  <c r="FG208" i="25"/>
  <c r="FG157" i="25"/>
  <c r="CL157" i="25"/>
  <c r="EQ157" i="25"/>
  <c r="EU157" i="25" s="1"/>
  <c r="DP157" i="25"/>
  <c r="CX157" i="25"/>
  <c r="CY157" i="25" s="1"/>
  <c r="DP15" i="25"/>
  <c r="CL15" i="25"/>
  <c r="EQ15" i="25"/>
  <c r="EU15" i="25" s="1"/>
  <c r="FG15" i="25"/>
  <c r="CX15" i="25"/>
  <c r="EQ117" i="25"/>
  <c r="EU117" i="25" s="1"/>
  <c r="CX117" i="25"/>
  <c r="DP117" i="25"/>
  <c r="CL117" i="25"/>
  <c r="FG117" i="25"/>
  <c r="EQ25" i="25"/>
  <c r="EU25" i="25" s="1"/>
  <c r="CL25" i="25"/>
  <c r="CX25" i="25"/>
  <c r="FG25" i="25"/>
  <c r="DP25" i="25"/>
  <c r="EQ59" i="25"/>
  <c r="EU59" i="25" s="1"/>
  <c r="DP59" i="25"/>
  <c r="CL59" i="25"/>
  <c r="FG59" i="25"/>
  <c r="CX59" i="25"/>
  <c r="EQ43" i="25"/>
  <c r="EU43" i="25" s="1"/>
  <c r="CL43" i="25"/>
  <c r="FG43" i="25"/>
  <c r="DP43" i="25"/>
  <c r="CX43" i="25"/>
  <c r="FG22" i="25"/>
  <c r="CX22" i="25"/>
  <c r="DP22" i="25"/>
  <c r="EQ22" i="25"/>
  <c r="EU22" i="25" s="1"/>
  <c r="CL22" i="25"/>
  <c r="EQ119" i="25"/>
  <c r="EU119" i="25" s="1"/>
  <c r="FG119" i="25"/>
  <c r="CX119" i="25"/>
  <c r="DP119" i="25"/>
  <c r="CL119" i="25"/>
  <c r="CL89" i="25"/>
  <c r="FG89" i="25"/>
  <c r="EQ89" i="25"/>
  <c r="EU89" i="25" s="1"/>
  <c r="DP89" i="25"/>
  <c r="CX89" i="25"/>
  <c r="DP262" i="25"/>
  <c r="CL262" i="25"/>
  <c r="CX262" i="25"/>
  <c r="CL74" i="25"/>
  <c r="DP74" i="25"/>
  <c r="EQ74" i="25"/>
  <c r="EU74" i="25" s="1"/>
  <c r="FG74" i="25"/>
  <c r="CX74" i="25"/>
  <c r="CL33" i="25"/>
  <c r="EQ33" i="25"/>
  <c r="EU33" i="25" s="1"/>
  <c r="FG33" i="25"/>
  <c r="DP33" i="25"/>
  <c r="CX33" i="25"/>
  <c r="DP79" i="25"/>
  <c r="EQ79" i="25"/>
  <c r="EU79" i="25" s="1"/>
  <c r="CX79" i="25"/>
  <c r="FG79" i="25"/>
  <c r="CL79" i="25"/>
  <c r="CX125" i="25"/>
  <c r="DP125" i="25"/>
  <c r="CL125" i="25"/>
  <c r="EQ125" i="25"/>
  <c r="EU125" i="25" s="1"/>
  <c r="FG125" i="25"/>
  <c r="FG85" i="25"/>
  <c r="CL85" i="25"/>
  <c r="DP85" i="25"/>
  <c r="EQ85" i="25"/>
  <c r="EU85" i="25" s="1"/>
  <c r="CX85" i="25"/>
  <c r="EQ145" i="25"/>
  <c r="EU145" i="25" s="1"/>
  <c r="FG145" i="25"/>
  <c r="CL145" i="25"/>
  <c r="DP145" i="25"/>
  <c r="CX145" i="25"/>
  <c r="EQ57" i="25"/>
  <c r="EU57" i="25" s="1"/>
  <c r="DP57" i="25"/>
  <c r="CX57" i="25"/>
  <c r="CL57" i="25"/>
  <c r="FG57" i="25"/>
  <c r="EQ129" i="25"/>
  <c r="EU129" i="25" s="1"/>
  <c r="FG129" i="25"/>
  <c r="CL129" i="25"/>
  <c r="DP129" i="25"/>
  <c r="CX129" i="25"/>
  <c r="FG143" i="25"/>
  <c r="CL143" i="25"/>
  <c r="DP143" i="25"/>
  <c r="CX143" i="25"/>
  <c r="EQ143" i="25"/>
  <c r="EU143" i="25" s="1"/>
  <c r="EQ148" i="25"/>
  <c r="EU148" i="25" s="1"/>
  <c r="FG148" i="25"/>
  <c r="DP148" i="25"/>
  <c r="CL148" i="25"/>
  <c r="CX148" i="25"/>
  <c r="DP226" i="25"/>
  <c r="CL226" i="25"/>
  <c r="CX226" i="25"/>
  <c r="CY226" i="25" s="1"/>
  <c r="DP283" i="25"/>
  <c r="CL283" i="25"/>
  <c r="CX283" i="25"/>
  <c r="EQ185" i="25"/>
  <c r="EU185" i="25" s="1"/>
  <c r="FG185" i="25"/>
  <c r="CL185" i="25"/>
  <c r="DP185" i="25"/>
  <c r="CX185" i="25"/>
  <c r="CL276" i="25"/>
  <c r="CX276" i="25"/>
  <c r="DP276" i="25"/>
  <c r="EQ146" i="25"/>
  <c r="EU146" i="25" s="1"/>
  <c r="FG146" i="25"/>
  <c r="CL146" i="25"/>
  <c r="DP146" i="25"/>
  <c r="CX146" i="25"/>
  <c r="CL238" i="25"/>
  <c r="DP238" i="25"/>
  <c r="CX238" i="25"/>
  <c r="CY238" i="25" s="1"/>
  <c r="CL161" i="25"/>
  <c r="FG161" i="25"/>
  <c r="DP161" i="25"/>
  <c r="EQ161" i="25"/>
  <c r="EU161" i="25" s="1"/>
  <c r="CX161" i="25"/>
  <c r="CL237" i="25"/>
  <c r="CX237" i="25"/>
  <c r="DP237" i="25"/>
  <c r="DP294" i="25"/>
  <c r="CX294" i="25"/>
  <c r="CL294" i="25"/>
  <c r="EQ180" i="25"/>
  <c r="EU180" i="25" s="1"/>
  <c r="DP180" i="25"/>
  <c r="CX180" i="25"/>
  <c r="FG180" i="25"/>
  <c r="CL180" i="25"/>
  <c r="CL241" i="25"/>
  <c r="CX241" i="25"/>
  <c r="DP241" i="25"/>
  <c r="CL275" i="25"/>
  <c r="DP275" i="25"/>
  <c r="CX275" i="25"/>
  <c r="FG194" i="25"/>
  <c r="CX194" i="25"/>
  <c r="DP194" i="25"/>
  <c r="CL194" i="25"/>
  <c r="EQ194" i="25"/>
  <c r="EU194" i="25" s="1"/>
  <c r="CX235" i="25"/>
  <c r="CL235" i="25"/>
  <c r="DP235" i="25"/>
  <c r="DP306" i="25"/>
  <c r="CL306" i="25"/>
  <c r="CX306" i="25"/>
  <c r="CU12" i="25"/>
  <c r="CW12" i="25"/>
  <c r="CO12" i="25" s="1"/>
  <c r="CV12" i="25"/>
  <c r="CV8" i="25"/>
  <c r="CW8" i="25"/>
  <c r="CO8" i="25" s="1"/>
  <c r="CU8" i="25"/>
  <c r="CW63" i="25"/>
  <c r="CO63" i="25" s="1"/>
  <c r="CU63" i="25"/>
  <c r="CV63" i="25"/>
  <c r="CV225" i="25"/>
  <c r="CU225" i="25"/>
  <c r="CW225" i="25"/>
  <c r="CO225" i="25" s="1"/>
  <c r="CV230" i="25"/>
  <c r="CU230" i="25"/>
  <c r="CW230" i="25"/>
  <c r="CO230" i="25" s="1"/>
  <c r="CW222" i="25"/>
  <c r="CO222" i="25" s="1"/>
  <c r="CU222" i="25"/>
  <c r="CV222" i="25"/>
  <c r="CU261" i="25"/>
  <c r="CV261" i="25"/>
  <c r="CW261" i="25"/>
  <c r="CO261" i="25" s="1"/>
  <c r="CW74" i="25"/>
  <c r="CO74" i="25" s="1"/>
  <c r="CV74" i="25"/>
  <c r="CU74" i="25"/>
  <c r="CV33" i="25"/>
  <c r="CU33" i="25"/>
  <c r="CW33" i="25"/>
  <c r="CO33" i="25" s="1"/>
  <c r="CU291" i="25"/>
  <c r="CV291" i="25"/>
  <c r="CW291" i="25"/>
  <c r="CO291" i="25" s="1"/>
  <c r="CW238" i="25"/>
  <c r="CO238" i="25" s="1"/>
  <c r="CV238" i="25"/>
  <c r="CU238" i="25"/>
  <c r="CU285" i="25"/>
  <c r="CW285" i="25"/>
  <c r="CO285" i="25" s="1"/>
  <c r="CV285" i="25"/>
  <c r="CU309" i="25"/>
  <c r="CW309" i="25"/>
  <c r="CO309" i="25" s="1"/>
  <c r="CV309" i="25"/>
  <c r="CV273" i="25"/>
  <c r="CW273" i="25"/>
  <c r="CO273" i="25" s="1"/>
  <c r="CU273" i="25"/>
  <c r="CW253" i="25"/>
  <c r="CO253" i="25" s="1"/>
  <c r="CU253" i="25"/>
  <c r="CV253" i="25"/>
  <c r="CV223" i="25"/>
  <c r="CU223" i="25"/>
  <c r="CW223" i="25"/>
  <c r="CO223" i="25" s="1"/>
  <c r="CU197" i="25"/>
  <c r="CW197" i="25"/>
  <c r="CO197" i="25" s="1"/>
  <c r="CV197" i="25"/>
  <c r="CW189" i="25"/>
  <c r="CO189" i="25" s="1"/>
  <c r="CV189" i="25"/>
  <c r="CU189" i="25"/>
  <c r="CU297" i="25"/>
  <c r="CW297" i="25"/>
  <c r="CO297" i="25" s="1"/>
  <c r="CV297" i="25"/>
  <c r="CV296" i="25"/>
  <c r="CU296" i="25"/>
  <c r="CW296" i="25"/>
  <c r="CO296" i="25" s="1"/>
  <c r="CW219" i="25"/>
  <c r="CO219" i="25" s="1"/>
  <c r="CV219" i="25"/>
  <c r="CU219" i="25"/>
  <c r="CW140" i="25"/>
  <c r="CO140" i="25" s="1"/>
  <c r="CV140" i="25"/>
  <c r="CU140" i="25"/>
  <c r="CU54" i="25"/>
  <c r="CW54" i="25"/>
  <c r="CO54" i="25" s="1"/>
  <c r="CV54" i="25"/>
  <c r="CV245" i="25"/>
  <c r="CU245" i="25"/>
  <c r="CW245" i="25"/>
  <c r="CO245" i="25" s="1"/>
  <c r="CW133" i="25"/>
  <c r="CO133" i="25" s="1"/>
  <c r="CU133" i="25"/>
  <c r="CV133" i="25"/>
  <c r="CW123" i="25"/>
  <c r="CO123" i="25" s="1"/>
  <c r="CV123" i="25"/>
  <c r="CU123" i="25"/>
  <c r="CW73" i="25"/>
  <c r="CO73" i="25" s="1"/>
  <c r="CV73" i="25"/>
  <c r="CU73" i="25"/>
  <c r="CW125" i="25"/>
  <c r="CO125" i="25" s="1"/>
  <c r="CV125" i="25"/>
  <c r="CU125" i="25"/>
  <c r="CU118" i="25"/>
  <c r="CW118" i="25"/>
  <c r="CO118" i="25" s="1"/>
  <c r="CV118" i="25"/>
  <c r="CW115" i="25"/>
  <c r="CO115" i="25" s="1"/>
  <c r="CV115" i="25"/>
  <c r="CU115" i="25"/>
  <c r="CW49" i="25"/>
  <c r="CO49" i="25" s="1"/>
  <c r="CU49" i="25"/>
  <c r="CV49" i="25"/>
  <c r="CV204" i="25"/>
  <c r="CU204" i="25"/>
  <c r="CW204" i="25"/>
  <c r="CO204" i="25" s="1"/>
  <c r="CW182" i="25"/>
  <c r="CO182" i="25" s="1"/>
  <c r="CU182" i="25"/>
  <c r="CV182" i="25"/>
  <c r="CW178" i="25"/>
  <c r="CO178" i="25" s="1"/>
  <c r="CU178" i="25"/>
  <c r="CV178" i="25"/>
  <c r="CV192" i="25"/>
  <c r="CW192" i="25"/>
  <c r="CO192" i="25" s="1"/>
  <c r="CU192" i="25"/>
  <c r="CW258" i="25"/>
  <c r="CO258" i="25" s="1"/>
  <c r="CV258" i="25"/>
  <c r="CU258" i="25"/>
  <c r="FG154" i="25"/>
  <c r="CL154" i="25"/>
  <c r="EQ154" i="25"/>
  <c r="EU154" i="25" s="1"/>
  <c r="DP154" i="25"/>
  <c r="CX154" i="25"/>
  <c r="CY154" i="25" s="1"/>
  <c r="DP305" i="25"/>
  <c r="CX305" i="25"/>
  <c r="CL305" i="25"/>
  <c r="FG68" i="25"/>
  <c r="CL68" i="25"/>
  <c r="DP68" i="25"/>
  <c r="EQ68" i="25"/>
  <c r="EU68" i="25" s="1"/>
  <c r="CX68" i="25"/>
  <c r="DP64" i="25"/>
  <c r="EQ64" i="25"/>
  <c r="EU64" i="25" s="1"/>
  <c r="FG64" i="25"/>
  <c r="CL64" i="25"/>
  <c r="CX64" i="25"/>
  <c r="EQ128" i="25"/>
  <c r="EU128" i="25" s="1"/>
  <c r="FG128" i="25"/>
  <c r="CL128" i="25"/>
  <c r="DP128" i="25"/>
  <c r="CX128" i="25"/>
  <c r="CL232" i="25"/>
  <c r="DP232" i="25"/>
  <c r="CX232" i="25"/>
  <c r="EQ179" i="25"/>
  <c r="EU179" i="25" s="1"/>
  <c r="DP179" i="25"/>
  <c r="CX179" i="25"/>
  <c r="FG179" i="25"/>
  <c r="CL179" i="25"/>
  <c r="CU250" i="25"/>
  <c r="CW250" i="25"/>
  <c r="CO250" i="25" s="1"/>
  <c r="CV250" i="25"/>
  <c r="CU94" i="25"/>
  <c r="CW94" i="25"/>
  <c r="CO94" i="25" s="1"/>
  <c r="CV94" i="25"/>
  <c r="CW55" i="25"/>
  <c r="CO55" i="25" s="1"/>
  <c r="CV55" i="25"/>
  <c r="CU55" i="25"/>
  <c r="CU260" i="25"/>
  <c r="CV260" i="25"/>
  <c r="CW260" i="25"/>
  <c r="CO260" i="25" s="1"/>
  <c r="CU124" i="25"/>
  <c r="CW124" i="25"/>
  <c r="CO124" i="25" s="1"/>
  <c r="CV124" i="25"/>
  <c r="CW145" i="25"/>
  <c r="CO145" i="25" s="1"/>
  <c r="CV145" i="25"/>
  <c r="CU145" i="25"/>
  <c r="CW62" i="25"/>
  <c r="CO62" i="25" s="1"/>
  <c r="CU62" i="25"/>
  <c r="CV62" i="25"/>
  <c r="CW139" i="25"/>
  <c r="CO139" i="25" s="1"/>
  <c r="CV139" i="25"/>
  <c r="CU139" i="25"/>
  <c r="CU315" i="25"/>
  <c r="CV315" i="25"/>
  <c r="CW315" i="25"/>
  <c r="CO315" i="25" s="1"/>
  <c r="CW69" i="25"/>
  <c r="CO69" i="25" s="1"/>
  <c r="CV69" i="25"/>
  <c r="CU69" i="25"/>
  <c r="CW177" i="25"/>
  <c r="CO177" i="25" s="1"/>
  <c r="CU177" i="25"/>
  <c r="CV177" i="25"/>
  <c r="FG38" i="25"/>
  <c r="CX38" i="25"/>
  <c r="DP38" i="25"/>
  <c r="EQ38" i="25"/>
  <c r="EU38" i="25" s="1"/>
  <c r="CL38" i="25"/>
  <c r="EQ37" i="25"/>
  <c r="EU37" i="25" s="1"/>
  <c r="CL37" i="25"/>
  <c r="CX37" i="25"/>
  <c r="DP37" i="25"/>
  <c r="FG37" i="25"/>
  <c r="FG14" i="25"/>
  <c r="CX14" i="25"/>
  <c r="CL14" i="25"/>
  <c r="EQ14" i="25"/>
  <c r="EU14" i="25" s="1"/>
  <c r="DP14" i="25"/>
  <c r="EQ176" i="25"/>
  <c r="EU176" i="25" s="1"/>
  <c r="DP176" i="25"/>
  <c r="FG176" i="25"/>
  <c r="CX176" i="25"/>
  <c r="CL176" i="25"/>
  <c r="FG17" i="25"/>
  <c r="CL17" i="25"/>
  <c r="EQ17" i="25"/>
  <c r="EU17" i="25" s="1"/>
  <c r="CX17" i="25"/>
  <c r="DP17" i="25"/>
  <c r="FG175" i="25"/>
  <c r="CX175" i="25"/>
  <c r="DP175" i="25"/>
  <c r="CL175" i="25"/>
  <c r="EQ175" i="25"/>
  <c r="EU175" i="25" s="1"/>
  <c r="EQ27" i="25"/>
  <c r="EU27" i="25" s="1"/>
  <c r="DP27" i="25"/>
  <c r="CL27" i="25"/>
  <c r="FG27" i="25"/>
  <c r="CX27" i="25"/>
  <c r="DP82" i="25"/>
  <c r="CL82" i="25"/>
  <c r="FG82" i="25"/>
  <c r="EQ82" i="25"/>
  <c r="EU82" i="25" s="1"/>
  <c r="CX82" i="25"/>
  <c r="CY82" i="25" s="1"/>
  <c r="CL55" i="25"/>
  <c r="FG55" i="25"/>
  <c r="EQ55" i="25"/>
  <c r="EU55" i="25" s="1"/>
  <c r="DP55" i="25"/>
  <c r="CX55" i="25"/>
  <c r="DP47" i="25"/>
  <c r="FG47" i="25"/>
  <c r="EQ47" i="25"/>
  <c r="EU47" i="25" s="1"/>
  <c r="CL47" i="25"/>
  <c r="CX47" i="25"/>
  <c r="CX266" i="25"/>
  <c r="DP266" i="25"/>
  <c r="CL266" i="25"/>
  <c r="DP90" i="25"/>
  <c r="CL90" i="25"/>
  <c r="CX90" i="25"/>
  <c r="EQ90" i="25"/>
  <c r="EU90" i="25" s="1"/>
  <c r="FG90" i="25"/>
  <c r="CX277" i="25"/>
  <c r="CL277" i="25"/>
  <c r="DP277" i="25"/>
  <c r="CL87" i="25"/>
  <c r="EQ87" i="25"/>
  <c r="EU87" i="25" s="1"/>
  <c r="CX87" i="25"/>
  <c r="FG87" i="25"/>
  <c r="DP87" i="25"/>
  <c r="EQ34" i="25"/>
  <c r="EU34" i="25" s="1"/>
  <c r="CX34" i="25"/>
  <c r="DP34" i="25"/>
  <c r="CL34" i="25"/>
  <c r="FG34" i="25"/>
  <c r="CL86" i="25"/>
  <c r="DP86" i="25"/>
  <c r="CX86" i="25"/>
  <c r="FG86" i="25"/>
  <c r="EQ86" i="25"/>
  <c r="EU86" i="25" s="1"/>
  <c r="DP126" i="25"/>
  <c r="CL126" i="25"/>
  <c r="EQ126" i="25"/>
  <c r="EU126" i="25" s="1"/>
  <c r="FG126" i="25"/>
  <c r="CX126" i="25"/>
  <c r="EQ100" i="25"/>
  <c r="EU100" i="25" s="1"/>
  <c r="DP100" i="25"/>
  <c r="CL100" i="25"/>
  <c r="CX100" i="25"/>
  <c r="FG100" i="25"/>
  <c r="EQ177" i="25"/>
  <c r="EU177" i="25" s="1"/>
  <c r="CL177" i="25"/>
  <c r="CX177" i="25"/>
  <c r="FG177" i="25"/>
  <c r="DP177" i="25"/>
  <c r="EQ65" i="25"/>
  <c r="EU65" i="25" s="1"/>
  <c r="DP65" i="25"/>
  <c r="CL65" i="25"/>
  <c r="CX65" i="25"/>
  <c r="FG65" i="25"/>
  <c r="EQ130" i="25"/>
  <c r="EU130" i="25" s="1"/>
  <c r="DP130" i="25"/>
  <c r="CX130" i="25"/>
  <c r="FG130" i="25"/>
  <c r="CL130" i="25"/>
  <c r="FG151" i="25"/>
  <c r="CL151" i="25"/>
  <c r="CX151" i="25"/>
  <c r="DP151" i="25"/>
  <c r="EQ151" i="25"/>
  <c r="EU151" i="25" s="1"/>
  <c r="FG153" i="25"/>
  <c r="CL153" i="25"/>
  <c r="EQ153" i="25"/>
  <c r="EU153" i="25" s="1"/>
  <c r="DP153" i="25"/>
  <c r="CX153" i="25"/>
  <c r="CX233" i="25"/>
  <c r="DP233" i="25"/>
  <c r="CL233" i="25"/>
  <c r="CL285" i="25"/>
  <c r="CX285" i="25"/>
  <c r="DP285" i="25"/>
  <c r="FG188" i="25"/>
  <c r="DP188" i="25"/>
  <c r="EQ188" i="25"/>
  <c r="EU188" i="25" s="1"/>
  <c r="CL188" i="25"/>
  <c r="CX188" i="25"/>
  <c r="CL280" i="25"/>
  <c r="DP280" i="25"/>
  <c r="CX280" i="25"/>
  <c r="CL156" i="25"/>
  <c r="FG156" i="25"/>
  <c r="DP156" i="25"/>
  <c r="EQ156" i="25"/>
  <c r="EU156" i="25" s="1"/>
  <c r="CX156" i="25"/>
  <c r="CL243" i="25"/>
  <c r="DP243" i="25"/>
  <c r="CX243" i="25"/>
  <c r="FG164" i="25"/>
  <c r="CL164" i="25"/>
  <c r="EQ164" i="25"/>
  <c r="EU164" i="25" s="1"/>
  <c r="DP164" i="25"/>
  <c r="CX164" i="25"/>
  <c r="CY164" i="25" s="1"/>
  <c r="CL244" i="25"/>
  <c r="DP244" i="25"/>
  <c r="CX244" i="25"/>
  <c r="CL295" i="25"/>
  <c r="CX295" i="25"/>
  <c r="DP295" i="25"/>
  <c r="EQ181" i="25"/>
  <c r="EU181" i="25" s="1"/>
  <c r="DP181" i="25"/>
  <c r="CL181" i="25"/>
  <c r="CX181" i="25"/>
  <c r="FG181" i="25"/>
  <c r="DP242" i="25"/>
  <c r="CL242" i="25"/>
  <c r="CX242" i="25"/>
  <c r="CL307" i="25"/>
  <c r="DP307" i="25"/>
  <c r="CX307" i="25"/>
  <c r="DP195" i="25"/>
  <c r="CX195" i="25"/>
  <c r="CL195" i="25"/>
  <c r="EQ195" i="25"/>
  <c r="EU195" i="25" s="1"/>
  <c r="FG195" i="25"/>
  <c r="DP250" i="25"/>
  <c r="CL250" i="25"/>
  <c r="CX250" i="25"/>
  <c r="CU159" i="25"/>
  <c r="CW159" i="25"/>
  <c r="CO159" i="25" s="1"/>
  <c r="CV159" i="25"/>
  <c r="CV152" i="25"/>
  <c r="CW152" i="25"/>
  <c r="CO152" i="25" s="1"/>
  <c r="CU152" i="25"/>
  <c r="CW82" i="25"/>
  <c r="CO82" i="25" s="1"/>
  <c r="CU82" i="25"/>
  <c r="CV82" i="25"/>
  <c r="CV154" i="25"/>
  <c r="CW154" i="25"/>
  <c r="CO154" i="25" s="1"/>
  <c r="CU154" i="25"/>
  <c r="CU288" i="25"/>
  <c r="CW288" i="25"/>
  <c r="CO288" i="25" s="1"/>
  <c r="CV288" i="25"/>
  <c r="CU236" i="25"/>
  <c r="CW236" i="25"/>
  <c r="CO236" i="25" s="1"/>
  <c r="CV236" i="25"/>
  <c r="CU36" i="25"/>
  <c r="CW36" i="25"/>
  <c r="CO36" i="25" s="1"/>
  <c r="CV36" i="25"/>
  <c r="CU313" i="25"/>
  <c r="CW313" i="25"/>
  <c r="CO313" i="25" s="1"/>
  <c r="CV313" i="25"/>
  <c r="CV163" i="25"/>
  <c r="CW163" i="25"/>
  <c r="CO163" i="25" s="1"/>
  <c r="CU163" i="25"/>
  <c r="CU90" i="25"/>
  <c r="CW90" i="25"/>
  <c r="CO90" i="25" s="1"/>
  <c r="CV90" i="25"/>
  <c r="CW221" i="25"/>
  <c r="CO221" i="25" s="1"/>
  <c r="CU221" i="25"/>
  <c r="CV221" i="25"/>
  <c r="CV224" i="25"/>
  <c r="CU224" i="25"/>
  <c r="CW224" i="25"/>
  <c r="CO224" i="25" s="1"/>
  <c r="CW155" i="25"/>
  <c r="CO155" i="25" s="1"/>
  <c r="CU155" i="25"/>
  <c r="CV155" i="25"/>
  <c r="CW281" i="25"/>
  <c r="CO281" i="25" s="1"/>
  <c r="CU281" i="25"/>
  <c r="CV281" i="25"/>
  <c r="CW310" i="25"/>
  <c r="CO310" i="25" s="1"/>
  <c r="CU310" i="25"/>
  <c r="CV310" i="25"/>
  <c r="CV278" i="25"/>
  <c r="CU278" i="25"/>
  <c r="CW278" i="25"/>
  <c r="CO278" i="25" s="1"/>
  <c r="CU263" i="25"/>
  <c r="CV263" i="25"/>
  <c r="CW263" i="25"/>
  <c r="CO263" i="25" s="1"/>
  <c r="CV194" i="25"/>
  <c r="CW194" i="25"/>
  <c r="CO194" i="25" s="1"/>
  <c r="CU194" i="25"/>
  <c r="CW142" i="25"/>
  <c r="CO142" i="25" s="1"/>
  <c r="CV142" i="25"/>
  <c r="CU142" i="25"/>
  <c r="CV170" i="25"/>
  <c r="CU170" i="25"/>
  <c r="CW170" i="25"/>
  <c r="CO170" i="25" s="1"/>
  <c r="CW167" i="25"/>
  <c r="CO167" i="25" s="1"/>
  <c r="CU167" i="25"/>
  <c r="CV167" i="25"/>
  <c r="CV293" i="25"/>
  <c r="CW293" i="25"/>
  <c r="CO293" i="25" s="1"/>
  <c r="CU293" i="25"/>
  <c r="CW135" i="25"/>
  <c r="CO135" i="25" s="1"/>
  <c r="CV135" i="25"/>
  <c r="CU135" i="25"/>
  <c r="CU17" i="25"/>
  <c r="CV17" i="25"/>
  <c r="CW17" i="25"/>
  <c r="CO17" i="25" s="1"/>
  <c r="CV46" i="25"/>
  <c r="CU46" i="25"/>
  <c r="CW46" i="25"/>
  <c r="CO46" i="25" s="1"/>
  <c r="CU21" i="25"/>
  <c r="CW21" i="25"/>
  <c r="CO21" i="25" s="1"/>
  <c r="CV21" i="25"/>
  <c r="CU13" i="25"/>
  <c r="CW13" i="25"/>
  <c r="CO13" i="25" s="1"/>
  <c r="CV13" i="25"/>
  <c r="CW127" i="25"/>
  <c r="CO127" i="25" s="1"/>
  <c r="CV127" i="25"/>
  <c r="CU127" i="25"/>
  <c r="CU101" i="25"/>
  <c r="CW101" i="25"/>
  <c r="CO101" i="25" s="1"/>
  <c r="CV101" i="25"/>
  <c r="CW126" i="25"/>
  <c r="CO126" i="25" s="1"/>
  <c r="CU126" i="25"/>
  <c r="CV126" i="25"/>
  <c r="CW128" i="25"/>
  <c r="CO128" i="25" s="1"/>
  <c r="CU128" i="25"/>
  <c r="CV128" i="25"/>
  <c r="CW117" i="25"/>
  <c r="CO117" i="25" s="1"/>
  <c r="CV117" i="25"/>
  <c r="CU117" i="25"/>
  <c r="CU96" i="25"/>
  <c r="CW96" i="25"/>
  <c r="CO96" i="25" s="1"/>
  <c r="CV96" i="25"/>
  <c r="CU243" i="25"/>
  <c r="CV243" i="25"/>
  <c r="CW243" i="25"/>
  <c r="CO243" i="25" s="1"/>
  <c r="CW198" i="25"/>
  <c r="CO198" i="25" s="1"/>
  <c r="CU198" i="25"/>
  <c r="CV198" i="25"/>
  <c r="CV208" i="25"/>
  <c r="CU208" i="25"/>
  <c r="CW208" i="25"/>
  <c r="CO208" i="25" s="1"/>
  <c r="CU195" i="25"/>
  <c r="CV195" i="25"/>
  <c r="CW195" i="25"/>
  <c r="CO195" i="25" s="1"/>
  <c r="CW171" i="25"/>
  <c r="CO171" i="25" s="1"/>
  <c r="CU171" i="25"/>
  <c r="CV171" i="25"/>
  <c r="EQ12" i="25"/>
  <c r="EU12" i="25" s="1"/>
  <c r="DP12" i="25"/>
  <c r="FG12" i="25"/>
  <c r="CL12" i="25"/>
  <c r="CX12" i="25"/>
  <c r="CX269" i="25"/>
  <c r="CL269" i="25"/>
  <c r="DP269" i="25"/>
  <c r="CL225" i="25"/>
  <c r="DP225" i="25"/>
  <c r="CX225" i="25"/>
  <c r="CW185" i="25"/>
  <c r="CO185" i="25" s="1"/>
  <c r="CV185" i="25"/>
  <c r="CU185" i="25"/>
  <c r="CU176" i="25"/>
  <c r="CW176" i="25"/>
  <c r="CO176" i="25" s="1"/>
  <c r="CV176" i="25"/>
  <c r="CT176" i="25"/>
  <c r="CT175" i="25"/>
  <c r="CT173" i="25"/>
  <c r="CT286" i="25"/>
  <c r="CT284" i="25"/>
  <c r="CT282" i="25"/>
  <c r="CT277" i="25"/>
  <c r="CT264" i="25"/>
  <c r="CT249" i="25"/>
  <c r="CT201" i="25"/>
  <c r="CT177" i="25"/>
  <c r="CT174" i="25"/>
  <c r="CT256" i="25"/>
  <c r="CT235" i="25"/>
  <c r="CT208" i="25"/>
  <c r="CT199" i="25"/>
  <c r="CT178" i="25"/>
  <c r="CT251" i="25"/>
  <c r="CT241" i="25"/>
  <c r="CT209" i="25"/>
  <c r="CT205" i="25"/>
  <c r="CT198" i="25"/>
  <c r="CT182" i="25"/>
  <c r="CT181" i="25"/>
  <c r="CT180" i="25"/>
  <c r="CT179" i="25"/>
  <c r="CT271" i="25"/>
  <c r="CT252" i="25"/>
  <c r="CT243" i="25"/>
  <c r="FD243" i="25" s="1"/>
  <c r="CT231" i="25"/>
  <c r="CT207" i="25"/>
  <c r="CT204" i="25"/>
  <c r="CT203" i="25"/>
  <c r="CT197" i="25"/>
  <c r="CT146" i="25"/>
  <c r="CT295" i="25"/>
  <c r="CT294" i="25"/>
  <c r="CT245" i="25"/>
  <c r="CT183" i="25"/>
  <c r="CT169" i="25"/>
  <c r="CT168" i="25"/>
  <c r="CT165" i="25"/>
  <c r="CT184" i="25"/>
  <c r="CT141" i="25"/>
  <c r="CT202" i="25"/>
  <c r="CT172" i="25"/>
  <c r="CT143" i="25"/>
  <c r="CT97" i="25"/>
  <c r="CT83" i="25"/>
  <c r="CT140" i="25"/>
  <c r="CT132" i="25"/>
  <c r="CT131" i="25"/>
  <c r="CT115" i="25"/>
  <c r="CT113" i="25"/>
  <c r="CT111" i="25"/>
  <c r="CT137" i="25"/>
  <c r="CT130" i="25"/>
  <c r="CT129" i="25"/>
  <c r="CT128" i="25"/>
  <c r="CT118" i="25"/>
  <c r="CT69" i="25"/>
  <c r="CT65" i="25"/>
  <c r="CT57" i="25"/>
  <c r="CT296" i="25"/>
  <c r="CT145" i="25"/>
  <c r="CT139" i="25"/>
  <c r="CT134" i="25"/>
  <c r="CT127" i="25"/>
  <c r="CT123" i="25"/>
  <c r="CT122" i="25"/>
  <c r="CT120" i="25"/>
  <c r="CT229" i="25"/>
  <c r="CT148" i="25"/>
  <c r="CT110" i="25"/>
  <c r="CT297" i="25"/>
  <c r="CT233" i="25"/>
  <c r="CT73" i="25"/>
  <c r="CT29" i="25"/>
  <c r="CT144" i="25"/>
  <c r="CT133" i="25"/>
  <c r="CT269" i="25"/>
  <c r="CT247" i="25"/>
  <c r="CT171" i="25"/>
  <c r="CT125" i="25"/>
  <c r="CT13" i="25"/>
  <c r="CT17" i="25"/>
  <c r="CT206" i="25"/>
  <c r="CT136" i="25"/>
  <c r="CT135" i="25"/>
  <c r="CT53" i="25"/>
  <c r="CT142" i="25"/>
  <c r="CT126" i="25"/>
  <c r="CT49" i="25"/>
  <c r="CT35" i="25"/>
  <c r="CT25" i="25"/>
  <c r="CT21" i="25"/>
  <c r="CT138" i="25"/>
  <c r="CT87" i="25"/>
  <c r="CT61" i="25"/>
  <c r="CT75" i="25"/>
  <c r="CT170" i="25"/>
  <c r="CT14" i="25"/>
  <c r="CT84" i="25"/>
  <c r="CT119" i="25"/>
  <c r="CT192" i="25"/>
  <c r="CT6" i="25"/>
  <c r="CT46" i="25"/>
  <c r="CT62" i="25"/>
  <c r="CT70" i="25"/>
  <c r="CT81" i="25"/>
  <c r="CT88" i="25"/>
  <c r="CT18" i="25"/>
  <c r="CT10" i="25"/>
  <c r="CT22" i="25"/>
  <c r="CT79" i="25"/>
  <c r="CT92" i="25"/>
  <c r="CT60" i="25"/>
  <c r="CT188" i="25"/>
  <c r="CT195" i="25"/>
  <c r="CT217" i="25"/>
  <c r="CT292" i="25"/>
  <c r="CT42" i="25"/>
  <c r="CT56" i="25"/>
  <c r="CT54" i="25"/>
  <c r="CT101" i="25"/>
  <c r="CT117" i="25"/>
  <c r="CT223" i="25"/>
  <c r="CT299" i="25"/>
  <c r="CT262" i="25"/>
  <c r="CT9" i="25"/>
  <c r="CT105" i="25"/>
  <c r="CT26" i="25"/>
  <c r="CT64" i="25"/>
  <c r="CT72" i="25"/>
  <c r="CT289" i="25"/>
  <c r="CT279" i="25"/>
  <c r="CT191" i="25"/>
  <c r="CT166" i="25"/>
  <c r="CT258" i="25"/>
  <c r="CT316" i="25"/>
  <c r="CT283" i="25"/>
  <c r="CT34" i="25"/>
  <c r="CT287" i="25"/>
  <c r="CT66" i="25"/>
  <c r="CT16" i="25"/>
  <c r="CT124" i="25"/>
  <c r="CT116" i="25"/>
  <c r="CT80" i="25"/>
  <c r="CT266" i="25"/>
  <c r="CT285" i="25"/>
  <c r="CT98" i="25"/>
  <c r="CT147" i="25"/>
  <c r="CT38" i="25"/>
  <c r="CT30" i="25"/>
  <c r="CT200" i="25"/>
  <c r="CT102" i="25"/>
  <c r="CT303" i="25"/>
  <c r="CT95" i="25"/>
  <c r="CT312" i="25"/>
  <c r="CT190" i="25"/>
  <c r="CT114" i="25"/>
  <c r="CT315" i="25"/>
  <c r="CT167" i="25"/>
  <c r="CT196" i="25"/>
  <c r="CT278" i="25"/>
  <c r="CT227" i="25"/>
  <c r="CT121" i="25"/>
  <c r="CT68" i="25"/>
  <c r="CT50" i="25"/>
  <c r="CT306" i="25"/>
  <c r="CT265" i="25"/>
  <c r="CT263" i="25"/>
  <c r="CT253" i="25"/>
  <c r="CT58" i="25"/>
  <c r="CT189" i="25"/>
  <c r="CT237" i="25"/>
  <c r="CT300" i="25"/>
  <c r="CT193" i="25"/>
  <c r="CT257" i="25"/>
  <c r="CT293" i="25"/>
  <c r="CT310" i="25"/>
  <c r="CT254" i="25"/>
  <c r="CT219" i="25"/>
  <c r="CT280" i="25"/>
  <c r="CT305" i="25"/>
  <c r="CT309" i="25"/>
  <c r="CT311" i="25"/>
  <c r="CT239" i="25"/>
  <c r="CT268" i="25"/>
  <c r="CT194" i="25"/>
  <c r="CT255" i="25"/>
  <c r="CT91" i="25"/>
  <c r="CT149" i="25"/>
  <c r="CT260" i="25"/>
  <c r="CT273" i="25"/>
  <c r="CT275" i="25"/>
  <c r="CT304" i="25"/>
  <c r="CT96" i="25"/>
  <c r="CT276" i="25"/>
  <c r="CT281" i="25"/>
  <c r="CT41" i="25"/>
  <c r="CT298" i="25"/>
  <c r="CT224" i="25"/>
  <c r="CT240" i="25"/>
  <c r="CT155" i="25"/>
  <c r="CT55" i="25"/>
  <c r="CT47" i="25"/>
  <c r="CT225" i="25"/>
  <c r="CT59" i="25"/>
  <c r="CT44" i="25"/>
  <c r="CT154" i="25"/>
  <c r="CT267" i="25"/>
  <c r="CT238" i="25"/>
  <c r="CT33" i="25"/>
  <c r="CT15" i="25"/>
  <c r="CT291" i="25"/>
  <c r="CT77" i="25"/>
  <c r="CT7" i="25"/>
  <c r="FD7" i="25" s="1"/>
  <c r="CT36" i="25"/>
  <c r="CT301" i="25"/>
  <c r="CT19" i="25"/>
  <c r="CT162" i="25"/>
  <c r="CT187" i="25"/>
  <c r="CT100" i="25"/>
  <c r="CT156" i="25"/>
  <c r="CT220" i="25"/>
  <c r="CT27" i="25"/>
  <c r="CT185" i="25"/>
  <c r="CT288" i="25"/>
  <c r="CT157" i="25"/>
  <c r="CT163" i="25"/>
  <c r="CT222" i="25"/>
  <c r="CT259" i="25"/>
  <c r="CT218" i="25"/>
  <c r="CT232" i="25"/>
  <c r="CT32" i="25"/>
  <c r="CT103" i="25"/>
  <c r="CT290" i="25"/>
  <c r="CT270" i="25"/>
  <c r="CT20" i="25"/>
  <c r="CT76" i="25"/>
  <c r="CT28" i="25"/>
  <c r="CT242" i="25"/>
  <c r="CT313" i="25"/>
  <c r="CT86" i="25"/>
  <c r="CT48" i="25"/>
  <c r="CT67" i="25"/>
  <c r="CT159" i="25"/>
  <c r="CT99" i="25"/>
  <c r="CT37" i="25"/>
  <c r="CT8" i="25"/>
  <c r="CT228" i="25"/>
  <c r="CT11" i="25"/>
  <c r="CT307" i="25"/>
  <c r="CT161" i="25"/>
  <c r="CT248" i="25"/>
  <c r="CT31" i="25"/>
  <c r="CT90" i="25"/>
  <c r="CT160" i="25"/>
  <c r="CT158" i="25"/>
  <c r="CT82" i="25"/>
  <c r="CT226" i="25"/>
  <c r="CT150" i="25"/>
  <c r="CT71" i="25"/>
  <c r="CT230" i="25"/>
  <c r="CT94" i="25"/>
  <c r="CT164" i="25"/>
  <c r="CT216" i="25"/>
  <c r="CT74" i="25"/>
  <c r="CT78" i="25"/>
  <c r="CT85" i="25"/>
  <c r="CT186" i="25"/>
  <c r="CT274" i="25"/>
  <c r="CT236" i="25"/>
  <c r="CT89" i="25"/>
  <c r="CT151" i="25"/>
  <c r="CT45" i="25"/>
  <c r="CT244" i="25"/>
  <c r="CT210" i="25"/>
  <c r="CT153" i="25"/>
  <c r="CT234" i="25"/>
  <c r="CT152" i="25"/>
  <c r="CT246" i="25"/>
  <c r="CT51" i="25"/>
  <c r="CT43" i="25"/>
  <c r="CT12" i="25"/>
  <c r="CT63" i="25"/>
  <c r="CT314" i="25"/>
  <c r="CT93" i="25"/>
  <c r="CT104" i="25"/>
  <c r="CT23" i="25"/>
  <c r="CT308" i="25"/>
  <c r="CT261" i="25"/>
  <c r="CT302" i="25"/>
  <c r="CT272" i="25"/>
  <c r="CT24" i="25"/>
  <c r="CT40" i="25"/>
  <c r="CT250" i="25"/>
  <c r="CT39" i="25"/>
  <c r="CT221" i="25"/>
  <c r="CT52" i="25"/>
  <c r="FG24" i="25"/>
  <c r="DP24" i="25"/>
  <c r="CX24" i="25"/>
  <c r="CL24" i="25"/>
  <c r="EQ24" i="25"/>
  <c r="EU24" i="25" s="1"/>
  <c r="FG58" i="25"/>
  <c r="EQ58" i="25"/>
  <c r="EU58" i="25" s="1"/>
  <c r="DP58" i="25"/>
  <c r="CL58" i="25"/>
  <c r="CX58" i="25"/>
  <c r="CL29" i="25"/>
  <c r="EQ29" i="25"/>
  <c r="EU29" i="25" s="1"/>
  <c r="CX29" i="25"/>
  <c r="FG29" i="25"/>
  <c r="DP29" i="25"/>
  <c r="CL81" i="25"/>
  <c r="FG81" i="25"/>
  <c r="DP81" i="25"/>
  <c r="EQ81" i="25"/>
  <c r="EU81" i="25" s="1"/>
  <c r="CX81" i="25"/>
  <c r="DP42" i="25"/>
  <c r="FG42" i="25"/>
  <c r="CX42" i="25"/>
  <c r="EQ42" i="25"/>
  <c r="EU42" i="25" s="1"/>
  <c r="CL42" i="25"/>
  <c r="CL9" i="25"/>
  <c r="FG9" i="25"/>
  <c r="EQ9" i="25"/>
  <c r="EU9" i="25" s="1"/>
  <c r="DP9" i="25"/>
  <c r="CX9" i="25"/>
  <c r="DP28" i="25"/>
  <c r="FG28" i="25"/>
  <c r="CX28" i="25"/>
  <c r="CL28" i="25"/>
  <c r="EQ28" i="25"/>
  <c r="EU28" i="25" s="1"/>
  <c r="CX92" i="25"/>
  <c r="DP92" i="25"/>
  <c r="CL92" i="25"/>
  <c r="EQ92" i="25"/>
  <c r="EU92" i="25" s="1"/>
  <c r="FG92" i="25"/>
  <c r="FG71" i="25"/>
  <c r="EQ71" i="25"/>
  <c r="EU71" i="25" s="1"/>
  <c r="DP71" i="25"/>
  <c r="CL71" i="25"/>
  <c r="CX71" i="25"/>
  <c r="DP48" i="25"/>
  <c r="CX48" i="25"/>
  <c r="CL48" i="25"/>
  <c r="EQ48" i="25"/>
  <c r="EU48" i="25" s="1"/>
  <c r="FG48" i="25"/>
  <c r="CL284" i="25"/>
  <c r="DP284" i="25"/>
  <c r="CX284" i="25"/>
  <c r="EQ96" i="25"/>
  <c r="EU96" i="25" s="1"/>
  <c r="FG96" i="25"/>
  <c r="CX96" i="25"/>
  <c r="DP96" i="25"/>
  <c r="CL96" i="25"/>
  <c r="DP298" i="25"/>
  <c r="CL298" i="25"/>
  <c r="CX298" i="25"/>
  <c r="CL95" i="25"/>
  <c r="EQ95" i="25"/>
  <c r="EU95" i="25" s="1"/>
  <c r="CX95" i="25"/>
  <c r="FG95" i="25"/>
  <c r="DP95" i="25"/>
  <c r="FG40" i="25"/>
  <c r="DP40" i="25"/>
  <c r="CX40" i="25"/>
  <c r="CL40" i="25"/>
  <c r="EQ40" i="25"/>
  <c r="EU40" i="25" s="1"/>
  <c r="DP88" i="25"/>
  <c r="CL88" i="25"/>
  <c r="FG88" i="25"/>
  <c r="CX88" i="25"/>
  <c r="EQ88" i="25"/>
  <c r="EU88" i="25" s="1"/>
  <c r="FG139" i="25"/>
  <c r="CL139" i="25"/>
  <c r="DP139" i="25"/>
  <c r="EQ139" i="25"/>
  <c r="EU139" i="25" s="1"/>
  <c r="CX139" i="25"/>
  <c r="EQ121" i="25"/>
  <c r="EU121" i="25" s="1"/>
  <c r="CL121" i="25"/>
  <c r="FG121" i="25"/>
  <c r="CX121" i="25"/>
  <c r="DP121" i="25"/>
  <c r="DP227" i="25"/>
  <c r="CX227" i="25"/>
  <c r="CL227" i="25"/>
  <c r="EQ69" i="25"/>
  <c r="EU69" i="25" s="1"/>
  <c r="CX69" i="25"/>
  <c r="DP69" i="25"/>
  <c r="FG69" i="25"/>
  <c r="CL69" i="25"/>
  <c r="FG140" i="25"/>
  <c r="DP140" i="25"/>
  <c r="CL140" i="25"/>
  <c r="EQ140" i="25"/>
  <c r="EU140" i="25" s="1"/>
  <c r="CX140" i="25"/>
  <c r="EQ173" i="25"/>
  <c r="EU173" i="25" s="1"/>
  <c r="DP173" i="25"/>
  <c r="CX173" i="25"/>
  <c r="CL173" i="25"/>
  <c r="FG173" i="25"/>
  <c r="EQ171" i="25"/>
  <c r="EU171" i="25" s="1"/>
  <c r="CL171" i="25"/>
  <c r="CX171" i="25"/>
  <c r="DP171" i="25"/>
  <c r="FG171" i="25"/>
  <c r="CL239" i="25"/>
  <c r="CX239" i="25"/>
  <c r="DP239" i="25"/>
  <c r="CL287" i="25"/>
  <c r="CX287" i="25"/>
  <c r="DP287" i="25"/>
  <c r="EQ189" i="25"/>
  <c r="EU189" i="25" s="1"/>
  <c r="CL189" i="25"/>
  <c r="CX189" i="25"/>
  <c r="FG189" i="25"/>
  <c r="DP189" i="25"/>
  <c r="DP290" i="25"/>
  <c r="CL290" i="25"/>
  <c r="CX290" i="25"/>
  <c r="EQ169" i="25"/>
  <c r="EU169" i="25" s="1"/>
  <c r="CL169" i="25"/>
  <c r="FG169" i="25"/>
  <c r="CX169" i="25"/>
  <c r="DP169" i="25"/>
  <c r="CL245" i="25"/>
  <c r="CX245" i="25"/>
  <c r="DP245" i="25"/>
  <c r="DP168" i="25"/>
  <c r="EQ168" i="25"/>
  <c r="EU168" i="25" s="1"/>
  <c r="FG168" i="25"/>
  <c r="CX168" i="25"/>
  <c r="CL168" i="25"/>
  <c r="DP252" i="25"/>
  <c r="CX252" i="25"/>
  <c r="CL252" i="25"/>
  <c r="CL314" i="25"/>
  <c r="DP314" i="25"/>
  <c r="CX314" i="25"/>
  <c r="EQ182" i="25"/>
  <c r="EU182" i="25" s="1"/>
  <c r="CL182" i="25"/>
  <c r="FG182" i="25"/>
  <c r="DP182" i="25"/>
  <c r="CX182" i="25"/>
  <c r="DP251" i="25"/>
  <c r="CL251" i="25"/>
  <c r="CX251" i="25"/>
  <c r="DP309" i="25"/>
  <c r="CL309" i="25"/>
  <c r="CX309" i="25"/>
  <c r="FG197" i="25"/>
  <c r="DP197" i="25"/>
  <c r="EQ197" i="25"/>
  <c r="EU197" i="25" s="1"/>
  <c r="CL197" i="25"/>
  <c r="CX197" i="25"/>
  <c r="DP256" i="25"/>
  <c r="CL256" i="25"/>
  <c r="CX256" i="25"/>
  <c r="CU52" i="25"/>
  <c r="CV52" i="25"/>
  <c r="CW52" i="25"/>
  <c r="CO52" i="25" s="1"/>
  <c r="CW39" i="25"/>
  <c r="CO39" i="25" s="1"/>
  <c r="CU39" i="25"/>
  <c r="CV39" i="25"/>
  <c r="CU246" i="25"/>
  <c r="CW246" i="25"/>
  <c r="CO246" i="25" s="1"/>
  <c r="CV246" i="25"/>
  <c r="CW77" i="25"/>
  <c r="CO77" i="25" s="1"/>
  <c r="CU77" i="25"/>
  <c r="CV77" i="25"/>
  <c r="CV153" i="25"/>
  <c r="CW153" i="25"/>
  <c r="CO153" i="25" s="1"/>
  <c r="CU153" i="25"/>
  <c r="CV71" i="25"/>
  <c r="CU71" i="25"/>
  <c r="CW71" i="25"/>
  <c r="CO71" i="25" s="1"/>
  <c r="CV150" i="25"/>
  <c r="CU150" i="25"/>
  <c r="CW150" i="25"/>
  <c r="CO150" i="25" s="1"/>
  <c r="CV162" i="25"/>
  <c r="CU162" i="25"/>
  <c r="CW162" i="25"/>
  <c r="CO162" i="25" s="1"/>
  <c r="CU242" i="25"/>
  <c r="CW242" i="25"/>
  <c r="CO242" i="25" s="1"/>
  <c r="CV242" i="25"/>
  <c r="CV89" i="25"/>
  <c r="CU89" i="25"/>
  <c r="CW89" i="25"/>
  <c r="CO89" i="25" s="1"/>
  <c r="CU20" i="25"/>
  <c r="CW20" i="25"/>
  <c r="CO20" i="25" s="1"/>
  <c r="CV20" i="25"/>
  <c r="CU48" i="25"/>
  <c r="CW48" i="25"/>
  <c r="CO48" i="25" s="1"/>
  <c r="CV48" i="25"/>
  <c r="CW240" i="25"/>
  <c r="CO240" i="25" s="1"/>
  <c r="CV240" i="25"/>
  <c r="CU240" i="25"/>
  <c r="CW303" i="25"/>
  <c r="CO303" i="25" s="1"/>
  <c r="CU303" i="25"/>
  <c r="CV303" i="25"/>
  <c r="CV300" i="25"/>
  <c r="CW300" i="25"/>
  <c r="CO300" i="25" s="1"/>
  <c r="CU300" i="25"/>
  <c r="CV316" i="25"/>
  <c r="CW316" i="25"/>
  <c r="CO316" i="25" s="1"/>
  <c r="CU316" i="25"/>
  <c r="CV265" i="25"/>
  <c r="CW265" i="25"/>
  <c r="CO265" i="25" s="1"/>
  <c r="CU265" i="25"/>
  <c r="CV193" i="25"/>
  <c r="CW193" i="25"/>
  <c r="CO193" i="25" s="1"/>
  <c r="CU193" i="25"/>
  <c r="CV114" i="25"/>
  <c r="CW114" i="25"/>
  <c r="CO114" i="25" s="1"/>
  <c r="CU114" i="25"/>
  <c r="CW116" i="25"/>
  <c r="CO116" i="25" s="1"/>
  <c r="CV116" i="25"/>
  <c r="CU116" i="25"/>
  <c r="CV119" i="25"/>
  <c r="CW119" i="25"/>
  <c r="CO119" i="25" s="1"/>
  <c r="CU119" i="25"/>
  <c r="CW146" i="25"/>
  <c r="CO146" i="25" s="1"/>
  <c r="CU146" i="25"/>
  <c r="CV146" i="25"/>
  <c r="CW137" i="25"/>
  <c r="CO137" i="25" s="1"/>
  <c r="CV137" i="25"/>
  <c r="CU137" i="25"/>
  <c r="CU25" i="25"/>
  <c r="CV25" i="25"/>
  <c r="CW25" i="25"/>
  <c r="CO25" i="25" s="1"/>
  <c r="CW10" i="25"/>
  <c r="CO10" i="25" s="1"/>
  <c r="CU10" i="25"/>
  <c r="CV10" i="25"/>
  <c r="CV72" i="25"/>
  <c r="CW72" i="25"/>
  <c r="CO72" i="25" s="1"/>
  <c r="CU72" i="25"/>
  <c r="CW134" i="25"/>
  <c r="CO134" i="25" s="1"/>
  <c r="CV134" i="25"/>
  <c r="CU134" i="25"/>
  <c r="CW61" i="25"/>
  <c r="CO61" i="25" s="1"/>
  <c r="CU61" i="25"/>
  <c r="CV61" i="25"/>
  <c r="CW22" i="25"/>
  <c r="CO22" i="25" s="1"/>
  <c r="CV22" i="25"/>
  <c r="CU22" i="25"/>
  <c r="CW183" i="25"/>
  <c r="CO183" i="25" s="1"/>
  <c r="CU183" i="25"/>
  <c r="CV183" i="25"/>
  <c r="CW129" i="25"/>
  <c r="CO129" i="25" s="1"/>
  <c r="CU129" i="25"/>
  <c r="CV129" i="25"/>
  <c r="CW131" i="25"/>
  <c r="CO131" i="25" s="1"/>
  <c r="CV131" i="25"/>
  <c r="CU131" i="25"/>
  <c r="CU169" i="25"/>
  <c r="CW169" i="25"/>
  <c r="CO169" i="25" s="1"/>
  <c r="CV169" i="25"/>
  <c r="CU271" i="25"/>
  <c r="CW271" i="25"/>
  <c r="CO271" i="25" s="1"/>
  <c r="CV271" i="25"/>
  <c r="CU205" i="25"/>
  <c r="CV205" i="25"/>
  <c r="CW205" i="25"/>
  <c r="CO205" i="25" s="1"/>
  <c r="CV235" i="25"/>
  <c r="CU235" i="25"/>
  <c r="CW235" i="25"/>
  <c r="CO235" i="25" s="1"/>
  <c r="CU201" i="25"/>
  <c r="CW201" i="25"/>
  <c r="CO201" i="25" s="1"/>
  <c r="CV201" i="25"/>
  <c r="CW172" i="25"/>
  <c r="CO172" i="25" s="1"/>
  <c r="CV172" i="25"/>
  <c r="CU172" i="25"/>
  <c r="EQ199" i="25"/>
  <c r="EU199" i="25" s="1"/>
  <c r="CX199" i="25"/>
  <c r="CL199" i="25"/>
  <c r="DP199" i="25"/>
  <c r="FG199" i="25"/>
  <c r="CL49" i="25"/>
  <c r="EQ49" i="25"/>
  <c r="EU49" i="25" s="1"/>
  <c r="DP49" i="25"/>
  <c r="FG49" i="25"/>
  <c r="CX49" i="25"/>
  <c r="EQ73" i="25"/>
  <c r="EU73" i="25" s="1"/>
  <c r="CL73" i="25"/>
  <c r="DP73" i="25"/>
  <c r="CX73" i="25"/>
  <c r="FG73" i="25"/>
  <c r="EQ39" i="25"/>
  <c r="EU39" i="25" s="1"/>
  <c r="CL39" i="25"/>
  <c r="FG39" i="25"/>
  <c r="DP39" i="25"/>
  <c r="CX39" i="25"/>
  <c r="DP302" i="25"/>
  <c r="CL302" i="25"/>
  <c r="CX302" i="25"/>
  <c r="EQ184" i="25"/>
  <c r="EU184" i="25" s="1"/>
  <c r="CX184" i="25"/>
  <c r="FG184" i="25"/>
  <c r="DP184" i="25"/>
  <c r="CL184" i="25"/>
  <c r="CX289" i="25"/>
  <c r="CL289" i="25"/>
  <c r="DP289" i="25"/>
  <c r="CL272" i="25"/>
  <c r="DP272" i="25"/>
  <c r="CX272" i="25"/>
  <c r="CW43" i="25"/>
  <c r="CO43" i="25" s="1"/>
  <c r="CV43" i="25"/>
  <c r="CU43" i="25"/>
  <c r="CV160" i="25"/>
  <c r="CU160" i="25"/>
  <c r="CW160" i="25"/>
  <c r="CO160" i="25" s="1"/>
  <c r="CV268" i="25"/>
  <c r="CU268" i="25"/>
  <c r="CW268" i="25"/>
  <c r="CO268" i="25" s="1"/>
  <c r="CW88" i="25"/>
  <c r="CO88" i="25" s="1"/>
  <c r="CV88" i="25"/>
  <c r="CU88" i="25"/>
  <c r="CW181" i="25"/>
  <c r="CO181" i="25" s="1"/>
  <c r="CU181" i="25"/>
  <c r="CV181" i="25"/>
  <c r="CL23" i="25"/>
  <c r="EQ23" i="25"/>
  <c r="EU23" i="25" s="1"/>
  <c r="DP23" i="25"/>
  <c r="FG23" i="25"/>
  <c r="CX23" i="25"/>
  <c r="EQ114" i="25"/>
  <c r="EU114" i="25" s="1"/>
  <c r="CL114" i="25"/>
  <c r="FG114" i="25"/>
  <c r="CX114" i="25"/>
  <c r="DP114" i="25"/>
  <c r="DP60" i="25"/>
  <c r="FG60" i="25"/>
  <c r="EQ60" i="25"/>
  <c r="EU60" i="25" s="1"/>
  <c r="CX60" i="25"/>
  <c r="CL60" i="25"/>
  <c r="DP66" i="25"/>
  <c r="EQ66" i="25"/>
  <c r="EU66" i="25" s="1"/>
  <c r="FG66" i="25"/>
  <c r="CL66" i="25"/>
  <c r="CX66" i="25"/>
  <c r="CY66" i="25" s="1"/>
  <c r="EQ21" i="25"/>
  <c r="EU21" i="25" s="1"/>
  <c r="FG21" i="25"/>
  <c r="CL21" i="25"/>
  <c r="DP21" i="25"/>
  <c r="CX21" i="25"/>
  <c r="EQ13" i="25"/>
  <c r="EU13" i="25" s="1"/>
  <c r="FG13" i="25"/>
  <c r="CL13" i="25"/>
  <c r="DP13" i="25"/>
  <c r="CX13" i="25"/>
  <c r="FG30" i="25"/>
  <c r="CX30" i="25"/>
  <c r="DP30" i="25"/>
  <c r="EQ30" i="25"/>
  <c r="EU30" i="25" s="1"/>
  <c r="CL30" i="25"/>
  <c r="CL105" i="25"/>
  <c r="FG105" i="25"/>
  <c r="EQ105" i="25"/>
  <c r="EU105" i="25" s="1"/>
  <c r="CX105" i="25"/>
  <c r="DP105" i="25"/>
  <c r="CX115" i="25"/>
  <c r="DP115" i="25"/>
  <c r="CL115" i="25"/>
  <c r="FG115" i="25"/>
  <c r="EQ115" i="25"/>
  <c r="EU115" i="25" s="1"/>
  <c r="EQ70" i="25"/>
  <c r="EU70" i="25" s="1"/>
  <c r="DP70" i="25"/>
  <c r="FG70" i="25"/>
  <c r="CX70" i="25"/>
  <c r="CL70" i="25"/>
  <c r="DP313" i="25"/>
  <c r="CL313" i="25"/>
  <c r="CX313" i="25"/>
  <c r="DP104" i="25"/>
  <c r="CL104" i="25"/>
  <c r="EQ104" i="25"/>
  <c r="EU104" i="25" s="1"/>
  <c r="FG104" i="25"/>
  <c r="CX104" i="25"/>
  <c r="CL46" i="25"/>
  <c r="CX46" i="25"/>
  <c r="DP46" i="25"/>
  <c r="EQ46" i="25"/>
  <c r="EU46" i="25" s="1"/>
  <c r="FG46" i="25"/>
  <c r="FG136" i="25"/>
  <c r="CL136" i="25"/>
  <c r="DP136" i="25"/>
  <c r="CX136" i="25"/>
  <c r="EQ136" i="25"/>
  <c r="EU136" i="25" s="1"/>
  <c r="CL45" i="25"/>
  <c r="EQ45" i="25"/>
  <c r="EU45" i="25" s="1"/>
  <c r="FG45" i="25"/>
  <c r="DP45" i="25"/>
  <c r="CX45" i="25"/>
  <c r="CL93" i="25"/>
  <c r="FG93" i="25"/>
  <c r="EQ93" i="25"/>
  <c r="EU93" i="25" s="1"/>
  <c r="DP93" i="25"/>
  <c r="CX93" i="25"/>
  <c r="FG142" i="25"/>
  <c r="DP142" i="25"/>
  <c r="CL142" i="25"/>
  <c r="EQ142" i="25"/>
  <c r="EU142" i="25" s="1"/>
  <c r="CX142" i="25"/>
  <c r="EQ122" i="25"/>
  <c r="EU122" i="25" s="1"/>
  <c r="DP122" i="25"/>
  <c r="CL122" i="25"/>
  <c r="FG122" i="25"/>
  <c r="CX122" i="25"/>
  <c r="DP257" i="25"/>
  <c r="CL257" i="25"/>
  <c r="CX257" i="25"/>
  <c r="EQ78" i="25"/>
  <c r="EU78" i="25" s="1"/>
  <c r="DP78" i="25"/>
  <c r="CL78" i="25"/>
  <c r="FG78" i="25"/>
  <c r="CX78" i="25"/>
  <c r="EQ209" i="25"/>
  <c r="EU209" i="25" s="1"/>
  <c r="FG209" i="25"/>
  <c r="DP209" i="25"/>
  <c r="CX209" i="25"/>
  <c r="CL209" i="25"/>
  <c r="EQ193" i="25"/>
  <c r="EU193" i="25" s="1"/>
  <c r="CL193" i="25"/>
  <c r="DP193" i="25"/>
  <c r="CX193" i="25"/>
  <c r="FG193" i="25"/>
  <c r="EQ172" i="25"/>
  <c r="EU172" i="25" s="1"/>
  <c r="CL172" i="25"/>
  <c r="FG172" i="25"/>
  <c r="CX172" i="25"/>
  <c r="DP172" i="25"/>
  <c r="CL247" i="25"/>
  <c r="DP247" i="25"/>
  <c r="CX247" i="25"/>
  <c r="CL308" i="25"/>
  <c r="CX308" i="25"/>
  <c r="DP308" i="25"/>
  <c r="FG190" i="25"/>
  <c r="CL190" i="25"/>
  <c r="EQ190" i="25"/>
  <c r="EU190" i="25" s="1"/>
  <c r="CX190" i="25"/>
  <c r="DP190" i="25"/>
  <c r="CL292" i="25"/>
  <c r="CX292" i="25"/>
  <c r="DP292" i="25"/>
  <c r="CL170" i="25"/>
  <c r="EQ170" i="25"/>
  <c r="EU170" i="25" s="1"/>
  <c r="CX170" i="25"/>
  <c r="DP170" i="25"/>
  <c r="FG170" i="25"/>
  <c r="CL246" i="25"/>
  <c r="DP246" i="25"/>
  <c r="CX246" i="25"/>
  <c r="EQ183" i="25"/>
  <c r="EU183" i="25" s="1"/>
  <c r="DP183" i="25"/>
  <c r="CX183" i="25"/>
  <c r="CL183" i="25"/>
  <c r="FG183" i="25"/>
  <c r="CL253" i="25"/>
  <c r="DP253" i="25"/>
  <c r="CX253" i="25"/>
  <c r="DP149" i="25"/>
  <c r="CL149" i="25"/>
  <c r="FG149" i="25"/>
  <c r="CX149" i="25"/>
  <c r="EQ149" i="25"/>
  <c r="EU149" i="25" s="1"/>
  <c r="CL198" i="25"/>
  <c r="FG198" i="25"/>
  <c r="DP198" i="25"/>
  <c r="CX198" i="25"/>
  <c r="EQ198" i="25"/>
  <c r="EU198" i="25" s="1"/>
  <c r="DP254" i="25"/>
  <c r="CL254" i="25"/>
  <c r="CX254" i="25"/>
  <c r="EQ147" i="25"/>
  <c r="EU147" i="25" s="1"/>
  <c r="CL147" i="25"/>
  <c r="FG147" i="25"/>
  <c r="DP147" i="25"/>
  <c r="CX147" i="25"/>
  <c r="EQ200" i="25"/>
  <c r="EU200" i="25" s="1"/>
  <c r="DP200" i="25"/>
  <c r="CL200" i="25"/>
  <c r="FG200" i="25"/>
  <c r="CX200" i="25"/>
  <c r="DP259" i="25"/>
  <c r="CL259" i="25"/>
  <c r="CX259" i="25"/>
  <c r="CY259" i="25" s="1"/>
  <c r="CU19" i="25"/>
  <c r="CV19" i="25"/>
  <c r="CW19" i="25"/>
  <c r="CO19" i="25" s="1"/>
  <c r="CU272" i="25"/>
  <c r="CW272" i="25"/>
  <c r="CO272" i="25" s="1"/>
  <c r="CV272" i="25"/>
  <c r="CU307" i="25"/>
  <c r="CV307" i="25"/>
  <c r="CW307" i="25"/>
  <c r="CO307" i="25" s="1"/>
  <c r="CV186" i="25"/>
  <c r="CU186" i="25"/>
  <c r="CW186" i="25"/>
  <c r="CO186" i="25" s="1"/>
  <c r="CW218" i="25"/>
  <c r="CO218" i="25" s="1"/>
  <c r="CV218" i="25"/>
  <c r="CU218" i="25"/>
  <c r="CV274" i="25"/>
  <c r="CU274" i="25"/>
  <c r="CW274" i="25"/>
  <c r="CO274" i="25" s="1"/>
  <c r="CV161" i="25"/>
  <c r="CU161" i="25"/>
  <c r="CW161" i="25"/>
  <c r="CO161" i="25" s="1"/>
  <c r="CU301" i="25"/>
  <c r="CW301" i="25"/>
  <c r="CO301" i="25" s="1"/>
  <c r="CV301" i="25"/>
  <c r="CV28" i="25"/>
  <c r="CU28" i="25"/>
  <c r="CW28" i="25"/>
  <c r="CO28" i="25" s="1"/>
  <c r="CV270" i="25"/>
  <c r="CU270" i="25"/>
  <c r="CW270" i="25"/>
  <c r="CO270" i="25" s="1"/>
  <c r="CW86" i="25"/>
  <c r="CO86" i="25" s="1"/>
  <c r="CV86" i="25"/>
  <c r="CU86" i="25"/>
  <c r="CV151" i="25"/>
  <c r="CU151" i="25"/>
  <c r="CW151" i="25"/>
  <c r="CO151" i="25" s="1"/>
  <c r="CU298" i="25"/>
  <c r="CW298" i="25"/>
  <c r="CO298" i="25" s="1"/>
  <c r="CV298" i="25"/>
  <c r="CW305" i="25"/>
  <c r="CO305" i="25" s="1"/>
  <c r="CU305" i="25"/>
  <c r="CV305" i="25"/>
  <c r="CW255" i="25"/>
  <c r="CO255" i="25" s="1"/>
  <c r="CU255" i="25"/>
  <c r="CV255" i="25"/>
  <c r="CW312" i="25"/>
  <c r="CO312" i="25" s="1"/>
  <c r="CV312" i="25"/>
  <c r="CU312" i="25"/>
  <c r="CU287" i="25"/>
  <c r="CV287" i="25"/>
  <c r="CW287" i="25"/>
  <c r="CO287" i="25" s="1"/>
  <c r="CV66" i="25"/>
  <c r="CU66" i="25"/>
  <c r="CW66" i="25"/>
  <c r="CO66" i="25" s="1"/>
  <c r="CW121" i="25"/>
  <c r="CO121" i="25" s="1"/>
  <c r="CU121" i="25"/>
  <c r="CV121" i="25"/>
  <c r="CW16" i="25"/>
  <c r="CO16" i="25" s="1"/>
  <c r="CU16" i="25"/>
  <c r="CV16" i="25"/>
  <c r="CW68" i="25"/>
  <c r="CO68" i="25" s="1"/>
  <c r="CU68" i="25"/>
  <c r="CV68" i="25"/>
  <c r="CW141" i="25"/>
  <c r="CO141" i="25" s="1"/>
  <c r="CV141" i="25"/>
  <c r="CU141" i="25"/>
  <c r="CW136" i="25"/>
  <c r="CO136" i="25" s="1"/>
  <c r="CV136" i="25"/>
  <c r="CU136" i="25"/>
  <c r="CW149" i="25"/>
  <c r="CO149" i="25" s="1"/>
  <c r="CU149" i="25"/>
  <c r="CV149" i="25"/>
  <c r="CV229" i="25"/>
  <c r="CU229" i="25"/>
  <c r="CW229" i="25"/>
  <c r="CO229" i="25" s="1"/>
  <c r="CW148" i="25"/>
  <c r="CO148" i="25" s="1"/>
  <c r="CV148" i="25"/>
  <c r="CU148" i="25"/>
  <c r="CW6" i="25"/>
  <c r="CO6" i="25" s="1"/>
  <c r="CV6" i="25"/>
  <c r="CU6" i="25"/>
  <c r="FD6" i="25"/>
  <c r="DS6" i="25"/>
  <c r="CW18" i="25"/>
  <c r="CO18" i="25" s="1"/>
  <c r="CV18" i="25"/>
  <c r="CU18" i="25"/>
  <c r="CV75" i="25"/>
  <c r="CU75" i="25"/>
  <c r="CW75" i="25"/>
  <c r="CO75" i="25" s="1"/>
  <c r="CU247" i="25"/>
  <c r="CV247" i="25"/>
  <c r="CW247" i="25"/>
  <c r="CO247" i="25" s="1"/>
  <c r="CW130" i="25"/>
  <c r="CO130" i="25" s="1"/>
  <c r="CV130" i="25"/>
  <c r="CU130" i="25"/>
  <c r="CV165" i="25"/>
  <c r="CW165" i="25"/>
  <c r="CO165" i="25" s="1"/>
  <c r="CU165" i="25"/>
  <c r="CW184" i="25"/>
  <c r="CO184" i="25" s="1"/>
  <c r="CV184" i="25"/>
  <c r="CU184" i="25"/>
  <c r="CW279" i="25"/>
  <c r="CO279" i="25" s="1"/>
  <c r="CU279" i="25"/>
  <c r="CV279" i="25"/>
  <c r="CV209" i="25"/>
  <c r="CU209" i="25"/>
  <c r="CW209" i="25"/>
  <c r="CO209" i="25" s="1"/>
  <c r="CV256" i="25"/>
  <c r="CU256" i="25"/>
  <c r="CW256" i="25"/>
  <c r="CO256" i="25" s="1"/>
  <c r="CV264" i="25"/>
  <c r="CU264" i="25"/>
  <c r="CW264" i="25"/>
  <c r="CO264" i="25" s="1"/>
  <c r="CW196" i="25"/>
  <c r="CO196" i="25" s="1"/>
  <c r="CV196" i="25"/>
  <c r="CU196" i="25"/>
  <c r="DP230" i="25"/>
  <c r="CL230" i="25"/>
  <c r="CX230" i="25"/>
  <c r="FG137" i="25"/>
  <c r="CL137" i="25"/>
  <c r="DP137" i="25"/>
  <c r="EQ137" i="25"/>
  <c r="EU137" i="25" s="1"/>
  <c r="CX137" i="25"/>
  <c r="CL228" i="25"/>
  <c r="DP228" i="25"/>
  <c r="CX228" i="25"/>
  <c r="DP300" i="25"/>
  <c r="CL300" i="25"/>
  <c r="CX300" i="25"/>
  <c r="CY300" i="25" s="1"/>
  <c r="CW11" i="25"/>
  <c r="CO11" i="25" s="1"/>
  <c r="CV11" i="25"/>
  <c r="CU11" i="25"/>
  <c r="CV227" i="25"/>
  <c r="CU227" i="25"/>
  <c r="CW227" i="25"/>
  <c r="CO227" i="25" s="1"/>
  <c r="CV30" i="25"/>
  <c r="CW30" i="25"/>
  <c r="CO30" i="25" s="1"/>
  <c r="CU30" i="25"/>
  <c r="CL19" i="25"/>
  <c r="EQ19" i="25"/>
  <c r="EU19" i="25" s="1"/>
  <c r="DP19" i="25"/>
  <c r="FG19" i="25"/>
  <c r="CX19" i="25"/>
  <c r="CY19" i="25" s="1"/>
  <c r="FG133" i="25"/>
  <c r="DP133" i="25"/>
  <c r="CL133" i="25"/>
  <c r="EQ133" i="25"/>
  <c r="EU133" i="25" s="1"/>
  <c r="CX133" i="25"/>
  <c r="CX98" i="25"/>
  <c r="FG98" i="25"/>
  <c r="CL98" i="25"/>
  <c r="EQ98" i="25"/>
  <c r="EU98" i="25" s="1"/>
  <c r="DP98" i="25"/>
  <c r="DP72" i="25"/>
  <c r="CL72" i="25"/>
  <c r="EQ72" i="25"/>
  <c r="EU72" i="25" s="1"/>
  <c r="FG72" i="25"/>
  <c r="CX72" i="25"/>
  <c r="FG77" i="25"/>
  <c r="CL77" i="25"/>
  <c r="EQ77" i="25"/>
  <c r="EU77" i="25" s="1"/>
  <c r="DP77" i="25"/>
  <c r="CX77" i="25"/>
  <c r="FG141" i="25"/>
  <c r="DP141" i="25"/>
  <c r="CL141" i="25"/>
  <c r="EQ141" i="25"/>
  <c r="EU141" i="25" s="1"/>
  <c r="CX141" i="25"/>
  <c r="CL41" i="25"/>
  <c r="EQ41" i="25"/>
  <c r="EU41" i="25" s="1"/>
  <c r="FG41" i="25"/>
  <c r="DP41" i="25"/>
  <c r="CX41" i="25"/>
  <c r="EQ111" i="25"/>
  <c r="EU111" i="25" s="1"/>
  <c r="DP111" i="25"/>
  <c r="CL111" i="25"/>
  <c r="FG111" i="25"/>
  <c r="CX111" i="25"/>
  <c r="DP258" i="25"/>
  <c r="CL258" i="25"/>
  <c r="CX258" i="25"/>
  <c r="EQ75" i="25"/>
  <c r="EU75" i="25" s="1"/>
  <c r="FG75" i="25"/>
  <c r="CX75" i="25"/>
  <c r="CL75" i="25"/>
  <c r="DP75" i="25"/>
  <c r="DP51" i="25"/>
  <c r="CL51" i="25"/>
  <c r="FG51" i="25"/>
  <c r="EQ51" i="25"/>
  <c r="EU51" i="25" s="1"/>
  <c r="CX51" i="25"/>
  <c r="CY51" i="25" s="1"/>
  <c r="FG138" i="25"/>
  <c r="DP138" i="25"/>
  <c r="CL138" i="25"/>
  <c r="EQ138" i="25"/>
  <c r="EU138" i="25" s="1"/>
  <c r="CX138" i="25"/>
  <c r="DP52" i="25"/>
  <c r="CL52" i="25"/>
  <c r="EQ52" i="25"/>
  <c r="EU52" i="25" s="1"/>
  <c r="FG52" i="25"/>
  <c r="CX52" i="25"/>
  <c r="FG150" i="25"/>
  <c r="CL150" i="25"/>
  <c r="EQ150" i="25"/>
  <c r="EU150" i="25" s="1"/>
  <c r="DP150" i="25"/>
  <c r="CX150" i="25"/>
  <c r="FG50" i="25"/>
  <c r="CX50" i="25"/>
  <c r="DP50" i="25"/>
  <c r="EQ50" i="25"/>
  <c r="EU50" i="25" s="1"/>
  <c r="CL50" i="25"/>
  <c r="CL94" i="25"/>
  <c r="DP94" i="25"/>
  <c r="FG94" i="25"/>
  <c r="EQ94" i="25"/>
  <c r="EU94" i="25" s="1"/>
  <c r="CX94" i="25"/>
  <c r="EQ174" i="25"/>
  <c r="EU174" i="25" s="1"/>
  <c r="DP174" i="25"/>
  <c r="CX174" i="25"/>
  <c r="FG174" i="25"/>
  <c r="CL174" i="25"/>
  <c r="DP123" i="25"/>
  <c r="CL123" i="25"/>
  <c r="EQ123" i="25"/>
  <c r="EU123" i="25" s="1"/>
  <c r="CX123" i="25"/>
  <c r="FG123" i="25"/>
  <c r="CL293" i="25"/>
  <c r="CX293" i="25"/>
  <c r="DP293" i="25"/>
  <c r="EQ118" i="25"/>
  <c r="EU118" i="25" s="1"/>
  <c r="DP118" i="25"/>
  <c r="CX118" i="25"/>
  <c r="CL118" i="25"/>
  <c r="FG118" i="25"/>
  <c r="DP224" i="25"/>
  <c r="CL224" i="25"/>
  <c r="CX224" i="25"/>
  <c r="CL222" i="25"/>
  <c r="DP222" i="25"/>
  <c r="CX222" i="25"/>
  <c r="DP202" i="25"/>
  <c r="CL202" i="25"/>
  <c r="CX202" i="25"/>
  <c r="FG202" i="25"/>
  <c r="EQ202" i="25"/>
  <c r="EU202" i="25" s="1"/>
  <c r="CL270" i="25"/>
  <c r="DP270" i="25"/>
  <c r="CX270" i="25"/>
  <c r="CY270" i="25" s="1"/>
  <c r="FG159" i="25"/>
  <c r="CL159" i="25"/>
  <c r="DP159" i="25"/>
  <c r="EQ159" i="25"/>
  <c r="EU159" i="25" s="1"/>
  <c r="CX159" i="25"/>
  <c r="CL229" i="25"/>
  <c r="CX229" i="25"/>
  <c r="DP229" i="25"/>
  <c r="DP296" i="25"/>
  <c r="CX296" i="25"/>
  <c r="CL296" i="25"/>
  <c r="FG191" i="25"/>
  <c r="DP191" i="25"/>
  <c r="CX191" i="25"/>
  <c r="EQ191" i="25"/>
  <c r="EU191" i="25" s="1"/>
  <c r="CL191" i="25"/>
  <c r="CL301" i="25"/>
  <c r="DP301" i="25"/>
  <c r="CX301" i="25"/>
  <c r="DP187" i="25"/>
  <c r="FG187" i="25"/>
  <c r="EQ187" i="25"/>
  <c r="EU187" i="25" s="1"/>
  <c r="CL187" i="25"/>
  <c r="CX187" i="25"/>
  <c r="DP260" i="25"/>
  <c r="CX260" i="25"/>
  <c r="CL260" i="25"/>
  <c r="FG155" i="25"/>
  <c r="CL155" i="25"/>
  <c r="DP155" i="25"/>
  <c r="EQ155" i="25"/>
  <c r="EU155" i="25" s="1"/>
  <c r="CX155" i="25"/>
  <c r="CY155" i="25" s="1"/>
  <c r="DP205" i="25"/>
  <c r="CX205" i="25"/>
  <c r="FG205" i="25"/>
  <c r="CL205" i="25"/>
  <c r="EQ205" i="25"/>
  <c r="EU205" i="25" s="1"/>
  <c r="DP255" i="25"/>
  <c r="CX255" i="25"/>
  <c r="CL255" i="25"/>
  <c r="DP167" i="25"/>
  <c r="CL167" i="25"/>
  <c r="CX167" i="25"/>
  <c r="FG167" i="25"/>
  <c r="EQ167" i="25"/>
  <c r="EU167" i="25" s="1"/>
  <c r="EQ207" i="25"/>
  <c r="EU207" i="25" s="1"/>
  <c r="CX207" i="25"/>
  <c r="CY207" i="25" s="1"/>
  <c r="CL207" i="25"/>
  <c r="FG207" i="25"/>
  <c r="DP207" i="25"/>
  <c r="DP263" i="25"/>
  <c r="CX263" i="25"/>
  <c r="CL263" i="25"/>
  <c r="CV24" i="25"/>
  <c r="CU24" i="25"/>
  <c r="CW24" i="25"/>
  <c r="CO24" i="25" s="1"/>
  <c r="CW93" i="25"/>
  <c r="CO93" i="25" s="1"/>
  <c r="CV93" i="25"/>
  <c r="CU93" i="25"/>
  <c r="CV104" i="25"/>
  <c r="CU104" i="25"/>
  <c r="CW104" i="25"/>
  <c r="CO104" i="25" s="1"/>
  <c r="CV85" i="25"/>
  <c r="CU85" i="25"/>
  <c r="CW85" i="25"/>
  <c r="CO85" i="25" s="1"/>
  <c r="CU244" i="25"/>
  <c r="CW244" i="25"/>
  <c r="CO244" i="25" s="1"/>
  <c r="CV244" i="25"/>
  <c r="CW59" i="25"/>
  <c r="CO59" i="25" s="1"/>
  <c r="CV59" i="25"/>
  <c r="CU59" i="25"/>
  <c r="CV232" i="25"/>
  <c r="CU232" i="25"/>
  <c r="CW232" i="25"/>
  <c r="CO232" i="25" s="1"/>
  <c r="CU248" i="25"/>
  <c r="CW248" i="25"/>
  <c r="CO248" i="25" s="1"/>
  <c r="CV248" i="25"/>
  <c r="CV51" i="25"/>
  <c r="CU51" i="25"/>
  <c r="CW51" i="25"/>
  <c r="CO51" i="25" s="1"/>
  <c r="CW234" i="25"/>
  <c r="CO234" i="25" s="1"/>
  <c r="CV234" i="25"/>
  <c r="CU234" i="25"/>
  <c r="CU157" i="25"/>
  <c r="CV157" i="25"/>
  <c r="CW157" i="25"/>
  <c r="CO157" i="25" s="1"/>
  <c r="CU290" i="25"/>
  <c r="CW290" i="25"/>
  <c r="CO290" i="25" s="1"/>
  <c r="CV290" i="25"/>
  <c r="CV226" i="25"/>
  <c r="CU226" i="25"/>
  <c r="CW226" i="25"/>
  <c r="CO226" i="25" s="1"/>
  <c r="CV266" i="25"/>
  <c r="CW266" i="25"/>
  <c r="CO266" i="25" s="1"/>
  <c r="CU266" i="25"/>
  <c r="CV257" i="25"/>
  <c r="CU257" i="25"/>
  <c r="CW257" i="25"/>
  <c r="CO257" i="25" s="1"/>
  <c r="CW304" i="25"/>
  <c r="CO304" i="25" s="1"/>
  <c r="CV304" i="25"/>
  <c r="CU304" i="25"/>
  <c r="CU217" i="25"/>
  <c r="CV217" i="25"/>
  <c r="CW217" i="25"/>
  <c r="CO217" i="25" s="1"/>
  <c r="CU29" i="25"/>
  <c r="CW29" i="25"/>
  <c r="CO29" i="25" s="1"/>
  <c r="CV29" i="25"/>
  <c r="CW50" i="25"/>
  <c r="CO50" i="25" s="1"/>
  <c r="CU50" i="25"/>
  <c r="CV50" i="25"/>
  <c r="CW282" i="25"/>
  <c r="CO282" i="25" s="1"/>
  <c r="CU282" i="25"/>
  <c r="CV282" i="25"/>
  <c r="CV207" i="25"/>
  <c r="CU207" i="25"/>
  <c r="CW207" i="25"/>
  <c r="CO207" i="25" s="1"/>
  <c r="CW249" i="25"/>
  <c r="CO249" i="25" s="1"/>
  <c r="CU249" i="25"/>
  <c r="CV249" i="25"/>
  <c r="CV81" i="25"/>
  <c r="CW81" i="25"/>
  <c r="CO81" i="25" s="1"/>
  <c r="CU81" i="25"/>
  <c r="CW252" i="25"/>
  <c r="CO252" i="25" s="1"/>
  <c r="CV252" i="25"/>
  <c r="CU252" i="25"/>
  <c r="CW286" i="25"/>
  <c r="CO286" i="25" s="1"/>
  <c r="CU286" i="25"/>
  <c r="CV286" i="25"/>
  <c r="CV14" i="25"/>
  <c r="CW14" i="25"/>
  <c r="CO14" i="25" s="1"/>
  <c r="CU14" i="25"/>
  <c r="CW26" i="25"/>
  <c r="CO26" i="25" s="1"/>
  <c r="CV26" i="25"/>
  <c r="CU26" i="25"/>
  <c r="CW53" i="25"/>
  <c r="CO53" i="25" s="1"/>
  <c r="CU53" i="25"/>
  <c r="CV53" i="25"/>
  <c r="CW269" i="25"/>
  <c r="CO269" i="25" s="1"/>
  <c r="CU269" i="25"/>
  <c r="CV269" i="25"/>
  <c r="CV38" i="25"/>
  <c r="CU38" i="25"/>
  <c r="CW38" i="25"/>
  <c r="CO38" i="25" s="1"/>
  <c r="CU60" i="25"/>
  <c r="CV60" i="25"/>
  <c r="CW60" i="25"/>
  <c r="CO60" i="25" s="1"/>
  <c r="CW188" i="25"/>
  <c r="CO188" i="25" s="1"/>
  <c r="CV188" i="25"/>
  <c r="CU188" i="25"/>
  <c r="CW289" i="25"/>
  <c r="CO289" i="25" s="1"/>
  <c r="CV289" i="25"/>
  <c r="CU289" i="25"/>
  <c r="CV237" i="25"/>
  <c r="CU237" i="25"/>
  <c r="CW237" i="25"/>
  <c r="CO237" i="25" s="1"/>
  <c r="CV299" i="25"/>
  <c r="CU299" i="25"/>
  <c r="CW299" i="25"/>
  <c r="CO299" i="25" s="1"/>
  <c r="CU277" i="25"/>
  <c r="CW277" i="25"/>
  <c r="CO277" i="25" s="1"/>
  <c r="CV277" i="25"/>
  <c r="CW206" i="25"/>
  <c r="CO206" i="25" s="1"/>
  <c r="CV206" i="25"/>
  <c r="CU206" i="25"/>
  <c r="DP240" i="25"/>
  <c r="CL240" i="25"/>
  <c r="CX240" i="25"/>
  <c r="DP16" i="25"/>
  <c r="FG16" i="25"/>
  <c r="EQ16" i="25"/>
  <c r="EU16" i="25" s="1"/>
  <c r="CX16" i="25"/>
  <c r="CL16" i="25"/>
  <c r="EQ91" i="25"/>
  <c r="EU91" i="25" s="1"/>
  <c r="CL91" i="25"/>
  <c r="FG91" i="25"/>
  <c r="CX91" i="25"/>
  <c r="DP91" i="25"/>
  <c r="CL102" i="25"/>
  <c r="DP102" i="25"/>
  <c r="EQ102" i="25"/>
  <c r="EU102" i="25" s="1"/>
  <c r="FG102" i="25"/>
  <c r="CX102" i="25"/>
  <c r="DP288" i="25"/>
  <c r="CL288" i="25"/>
  <c r="CX288" i="25"/>
  <c r="CX219" i="25"/>
  <c r="DP219" i="25"/>
  <c r="CL219" i="25"/>
  <c r="CL152" i="25"/>
  <c r="FG152" i="25"/>
  <c r="EQ152" i="25"/>
  <c r="EU152" i="25" s="1"/>
  <c r="DP152" i="25"/>
  <c r="CX152" i="25"/>
  <c r="EQ192" i="25"/>
  <c r="EU192" i="25" s="1"/>
  <c r="FG192" i="25"/>
  <c r="CX192" i="25"/>
  <c r="CL192" i="25"/>
  <c r="DP192" i="25"/>
  <c r="CW23" i="25"/>
  <c r="CO23" i="25" s="1"/>
  <c r="CV23" i="25"/>
  <c r="CU23" i="25"/>
  <c r="CV41" i="25"/>
  <c r="CW41" i="25"/>
  <c r="CO41" i="25" s="1"/>
  <c r="CU41" i="25"/>
  <c r="CW15" i="25"/>
  <c r="CO15" i="25" s="1"/>
  <c r="CV15" i="25"/>
  <c r="CU15" i="25"/>
  <c r="CV58" i="25"/>
  <c r="CU58" i="25"/>
  <c r="CW58" i="25"/>
  <c r="CO58" i="25" s="1"/>
  <c r="CW91" i="25"/>
  <c r="CO91" i="25" s="1"/>
  <c r="CU91" i="25"/>
  <c r="CV91" i="25"/>
  <c r="CU95" i="25"/>
  <c r="CW95" i="25"/>
  <c r="CO95" i="25" s="1"/>
  <c r="CV95" i="25"/>
  <c r="CU132" i="25"/>
  <c r="CW132" i="25"/>
  <c r="CO132" i="25" s="1"/>
  <c r="CV132" i="25"/>
  <c r="CU105" i="25"/>
  <c r="CW105" i="25"/>
  <c r="CO105" i="25" s="1"/>
  <c r="CV105" i="25"/>
  <c r="CU102" i="25"/>
  <c r="CV102" i="25"/>
  <c r="CW102" i="25"/>
  <c r="CO102" i="25" s="1"/>
  <c r="CW166" i="25"/>
  <c r="CO166" i="25" s="1"/>
  <c r="CU166" i="25"/>
  <c r="CV166" i="25"/>
  <c r="FG26" i="25"/>
  <c r="CX26" i="25"/>
  <c r="DP26" i="25"/>
  <c r="CL26" i="25"/>
  <c r="EQ26" i="25"/>
  <c r="EU26" i="25" s="1"/>
  <c r="FG160" i="25"/>
  <c r="CL160" i="25"/>
  <c r="CX160" i="25"/>
  <c r="DP160" i="25"/>
  <c r="EQ160" i="25"/>
  <c r="EU160" i="25" s="1"/>
  <c r="EQ113" i="25"/>
  <c r="EU113" i="25" s="1"/>
  <c r="CL113" i="25"/>
  <c r="FG113" i="25"/>
  <c r="CX113" i="25"/>
  <c r="DP113" i="25"/>
  <c r="EQ83" i="25"/>
  <c r="EU83" i="25" s="1"/>
  <c r="CL83" i="25"/>
  <c r="DP83" i="25"/>
  <c r="FG83" i="25"/>
  <c r="CX83" i="25"/>
  <c r="CL97" i="25"/>
  <c r="DP97" i="25"/>
  <c r="EQ97" i="25"/>
  <c r="EU97" i="25" s="1"/>
  <c r="FG97" i="25"/>
  <c r="CX97" i="25"/>
  <c r="EQ31" i="25"/>
  <c r="EU31" i="25" s="1"/>
  <c r="CL31" i="25"/>
  <c r="FG31" i="25"/>
  <c r="DP31" i="25"/>
  <c r="CX31" i="25"/>
  <c r="EQ35" i="25"/>
  <c r="EU35" i="25" s="1"/>
  <c r="CL35" i="25"/>
  <c r="DP35" i="25"/>
  <c r="CX35" i="25"/>
  <c r="FG35" i="25"/>
  <c r="EQ116" i="25"/>
  <c r="EU116" i="25" s="1"/>
  <c r="DP116" i="25"/>
  <c r="CL116" i="25"/>
  <c r="FG116" i="25"/>
  <c r="CX116" i="25"/>
  <c r="DP10" i="25"/>
  <c r="FG10" i="25"/>
  <c r="CL10" i="25"/>
  <c r="CX10" i="25"/>
  <c r="EQ10" i="25"/>
  <c r="EU10" i="25" s="1"/>
  <c r="EQ80" i="25"/>
  <c r="EU80" i="25" s="1"/>
  <c r="DP80" i="25"/>
  <c r="CL80" i="25"/>
  <c r="FG80" i="25"/>
  <c r="CX80" i="25"/>
  <c r="EQ53" i="25"/>
  <c r="EU53" i="25" s="1"/>
  <c r="CL53" i="25"/>
  <c r="DP53" i="25"/>
  <c r="CX53" i="25"/>
  <c r="FG53" i="25"/>
  <c r="EQ144" i="25"/>
  <c r="EU144" i="25" s="1"/>
  <c r="FG144" i="25"/>
  <c r="DP144" i="25"/>
  <c r="CL144" i="25"/>
  <c r="CX144" i="25"/>
  <c r="EQ62" i="25"/>
  <c r="EU62" i="25" s="1"/>
  <c r="DP62" i="25"/>
  <c r="FG62" i="25"/>
  <c r="CX62" i="25"/>
  <c r="CL62" i="25"/>
  <c r="DP265" i="25"/>
  <c r="CL265" i="25"/>
  <c r="CX265" i="25"/>
  <c r="CY265" i="25" s="1"/>
  <c r="FG54" i="25"/>
  <c r="CX54" i="25"/>
  <c r="DP54" i="25"/>
  <c r="CL54" i="25"/>
  <c r="EQ54" i="25"/>
  <c r="EU54" i="25" s="1"/>
  <c r="CL99" i="25"/>
  <c r="DP99" i="25"/>
  <c r="FG99" i="25"/>
  <c r="EQ99" i="25"/>
  <c r="EU99" i="25" s="1"/>
  <c r="CX99" i="25"/>
  <c r="DP201" i="25"/>
  <c r="CL201" i="25"/>
  <c r="FG201" i="25"/>
  <c r="CX201" i="25"/>
  <c r="EQ201" i="25"/>
  <c r="EU201" i="25" s="1"/>
  <c r="EQ127" i="25"/>
  <c r="EU127" i="25" s="1"/>
  <c r="CL127" i="25"/>
  <c r="FG127" i="25"/>
  <c r="DP127" i="25"/>
  <c r="CX127" i="25"/>
  <c r="DP304" i="25"/>
  <c r="CL304" i="25"/>
  <c r="CX304" i="25"/>
  <c r="CX120" i="25"/>
  <c r="CL120" i="25"/>
  <c r="FG120" i="25"/>
  <c r="DP120" i="25"/>
  <c r="EQ120" i="25"/>
  <c r="EU120" i="25" s="1"/>
  <c r="CX264" i="25"/>
  <c r="DP264" i="25"/>
  <c r="CL264" i="25"/>
  <c r="CX249" i="25"/>
  <c r="CL249" i="25"/>
  <c r="DP249" i="25"/>
  <c r="FG206" i="25"/>
  <c r="DP206" i="25"/>
  <c r="CL206" i="25"/>
  <c r="EQ206" i="25"/>
  <c r="EU206" i="25" s="1"/>
  <c r="CX206" i="25"/>
  <c r="CL273" i="25"/>
  <c r="DP273" i="25"/>
  <c r="CX273" i="25"/>
  <c r="FG162" i="25"/>
  <c r="CL162" i="25"/>
  <c r="DP162" i="25"/>
  <c r="EQ162" i="25"/>
  <c r="EU162" i="25" s="1"/>
  <c r="CX162" i="25"/>
  <c r="CY162" i="25" s="1"/>
  <c r="CL248" i="25"/>
  <c r="DP248" i="25"/>
  <c r="CX248" i="25"/>
  <c r="CL297" i="25"/>
  <c r="CX297" i="25"/>
  <c r="DP297" i="25"/>
  <c r="DP221" i="25"/>
  <c r="CL221" i="25"/>
  <c r="CX221" i="25"/>
  <c r="CX303" i="25"/>
  <c r="DP303" i="25"/>
  <c r="CL303" i="25"/>
  <c r="CX203" i="25"/>
  <c r="FG203" i="25"/>
  <c r="CL203" i="25"/>
  <c r="EQ203" i="25"/>
  <c r="EU203" i="25" s="1"/>
  <c r="DP203" i="25"/>
  <c r="DP268" i="25"/>
  <c r="CX268" i="25"/>
  <c r="CL268" i="25"/>
  <c r="FG158" i="25"/>
  <c r="CL158" i="25"/>
  <c r="EQ158" i="25"/>
  <c r="EU158" i="25" s="1"/>
  <c r="DP158" i="25"/>
  <c r="CX158" i="25"/>
  <c r="CX218" i="25"/>
  <c r="DP218" i="25"/>
  <c r="CL218" i="25"/>
  <c r="DP267" i="25"/>
  <c r="CL267" i="25"/>
  <c r="CX267" i="25"/>
  <c r="EQ178" i="25"/>
  <c r="EU178" i="25" s="1"/>
  <c r="FG178" i="25"/>
  <c r="CL178" i="25"/>
  <c r="DP178" i="25"/>
  <c r="CX178" i="25"/>
  <c r="FG210" i="25"/>
  <c r="EQ210" i="25"/>
  <c r="EU210" i="25" s="1"/>
  <c r="DP210" i="25"/>
  <c r="CL210" i="25"/>
  <c r="CX210" i="25"/>
  <c r="CX278" i="25"/>
  <c r="DP278" i="25"/>
  <c r="CL278" i="25"/>
  <c r="CW302" i="25"/>
  <c r="CO302" i="25" s="1"/>
  <c r="CU302" i="25"/>
  <c r="CV302" i="25"/>
  <c r="CU228" i="25"/>
  <c r="CW228" i="25"/>
  <c r="CO228" i="25" s="1"/>
  <c r="CV228" i="25"/>
  <c r="CU314" i="25"/>
  <c r="CW314" i="25"/>
  <c r="CO314" i="25" s="1"/>
  <c r="CV314" i="25"/>
  <c r="CW78" i="25"/>
  <c r="CO78" i="25" s="1"/>
  <c r="CV78" i="25"/>
  <c r="CU78" i="25"/>
  <c r="CW40" i="25"/>
  <c r="CO40" i="25" s="1"/>
  <c r="CV40" i="25"/>
  <c r="CU40" i="25"/>
  <c r="CW47" i="25"/>
  <c r="CO47" i="25" s="1"/>
  <c r="CV47" i="25"/>
  <c r="CU47" i="25"/>
  <c r="CV308" i="25"/>
  <c r="CW308" i="25"/>
  <c r="CO308" i="25" s="1"/>
  <c r="CU308" i="25"/>
  <c r="CW27" i="25"/>
  <c r="CO27" i="25" s="1"/>
  <c r="CV27" i="25"/>
  <c r="CU27" i="25"/>
  <c r="CU210" i="25"/>
  <c r="CW210" i="25"/>
  <c r="CO210" i="25" s="1"/>
  <c r="CV210" i="25"/>
  <c r="CV220" i="25"/>
  <c r="CW220" i="25"/>
  <c r="CO220" i="25" s="1"/>
  <c r="CU220" i="25"/>
  <c r="CV267" i="25"/>
  <c r="CW267" i="25"/>
  <c r="CO267" i="25" s="1"/>
  <c r="CU267" i="25"/>
  <c r="CU7" i="25"/>
  <c r="CW7" i="25"/>
  <c r="CO7" i="25" s="1"/>
  <c r="CV7" i="25"/>
  <c r="DS7" i="25"/>
  <c r="CV32" i="25"/>
  <c r="CU32" i="25"/>
  <c r="CW32" i="25"/>
  <c r="CO32" i="25" s="1"/>
  <c r="CV254" i="25"/>
  <c r="CW254" i="25"/>
  <c r="CO254" i="25" s="1"/>
  <c r="CU254" i="25"/>
  <c r="CU79" i="25"/>
  <c r="CW79" i="25"/>
  <c r="CO79" i="25" s="1"/>
  <c r="CV79" i="25"/>
  <c r="CV276" i="25"/>
  <c r="CU276" i="25"/>
  <c r="CW276" i="25"/>
  <c r="CO276" i="25" s="1"/>
  <c r="CV200" i="25"/>
  <c r="CW200" i="25"/>
  <c r="CO200" i="25" s="1"/>
  <c r="CU200" i="25"/>
  <c r="CU42" i="25"/>
  <c r="CV42" i="25"/>
  <c r="CW42" i="25"/>
  <c r="CO42" i="25" s="1"/>
  <c r="CW147" i="25"/>
  <c r="CO147" i="25" s="1"/>
  <c r="CV147" i="25"/>
  <c r="CU147" i="25"/>
  <c r="CW138" i="25"/>
  <c r="CO138" i="25" s="1"/>
  <c r="CV138" i="25"/>
  <c r="CU138" i="25"/>
  <c r="CW120" i="25"/>
  <c r="CO120" i="25" s="1"/>
  <c r="CV120" i="25"/>
  <c r="CU120" i="25"/>
  <c r="CV294" i="25"/>
  <c r="CW294" i="25"/>
  <c r="CO294" i="25" s="1"/>
  <c r="CU294" i="25"/>
  <c r="CW199" i="25"/>
  <c r="CO199" i="25" s="1"/>
  <c r="CV199" i="25"/>
  <c r="CU199" i="25"/>
  <c r="CW80" i="25"/>
  <c r="CO80" i="25" s="1"/>
  <c r="CU80" i="25"/>
  <c r="CV80" i="25"/>
  <c r="CU87" i="25"/>
  <c r="CW87" i="25"/>
  <c r="CO87" i="25" s="1"/>
  <c r="CV87" i="25"/>
  <c r="CU231" i="25"/>
  <c r="CW231" i="25"/>
  <c r="CO231" i="25" s="1"/>
  <c r="CV231" i="25"/>
  <c r="CW190" i="25"/>
  <c r="CO190" i="25" s="1"/>
  <c r="CV190" i="25"/>
  <c r="CU190" i="25"/>
  <c r="CU34" i="25"/>
  <c r="CW34" i="25"/>
  <c r="CO34" i="25" s="1"/>
  <c r="CV34" i="25"/>
  <c r="CU56" i="25"/>
  <c r="CV56" i="25"/>
  <c r="CW56" i="25"/>
  <c r="CO56" i="25" s="1"/>
  <c r="CW57" i="25"/>
  <c r="CO57" i="25" s="1"/>
  <c r="CV57" i="25"/>
  <c r="CU57" i="25"/>
  <c r="CV84" i="25"/>
  <c r="CW84" i="25"/>
  <c r="CO84" i="25" s="1"/>
  <c r="CU84" i="25"/>
  <c r="CW83" i="25"/>
  <c r="CO83" i="25" s="1"/>
  <c r="CU83" i="25"/>
  <c r="CV83" i="25"/>
  <c r="CW262" i="25"/>
  <c r="CO262" i="25" s="1"/>
  <c r="CV262" i="25"/>
  <c r="CU262" i="25"/>
  <c r="CW179" i="25"/>
  <c r="CO179" i="25" s="1"/>
  <c r="CU179" i="25"/>
  <c r="CV179" i="25"/>
  <c r="CU241" i="25"/>
  <c r="CW241" i="25"/>
  <c r="CO241" i="25" s="1"/>
  <c r="CV241" i="25"/>
  <c r="CV306" i="25"/>
  <c r="CW306" i="25"/>
  <c r="CO306" i="25" s="1"/>
  <c r="CU306" i="25"/>
  <c r="CW173" i="25"/>
  <c r="CO173" i="25" s="1"/>
  <c r="CU173" i="25"/>
  <c r="CV173" i="25"/>
  <c r="CW233" i="25"/>
  <c r="CO233" i="25" s="1"/>
  <c r="CV233" i="25"/>
  <c r="CU233" i="25"/>
  <c r="FG18" i="25"/>
  <c r="CX18" i="25"/>
  <c r="DP18" i="25"/>
  <c r="CL18" i="25"/>
  <c r="EQ18" i="25"/>
  <c r="EU18" i="25" s="1"/>
  <c r="DP234" i="25"/>
  <c r="CL234" i="25"/>
  <c r="CX234" i="25"/>
  <c r="CX316" i="25"/>
  <c r="CL316" i="25"/>
  <c r="DP316" i="25"/>
  <c r="DP44" i="25"/>
  <c r="EQ44" i="25"/>
  <c r="EU44" i="25" s="1"/>
  <c r="FG44" i="25"/>
  <c r="CL44" i="25"/>
  <c r="CX44" i="25"/>
  <c r="DP281" i="25"/>
  <c r="CX281" i="25"/>
  <c r="CL281" i="25"/>
  <c r="DP315" i="25"/>
  <c r="CX315" i="25"/>
  <c r="CL315" i="25"/>
  <c r="DP236" i="25"/>
  <c r="CL236" i="25"/>
  <c r="CX236" i="25"/>
  <c r="CY236" i="25" s="1"/>
  <c r="CU259" i="25"/>
  <c r="CV259" i="25"/>
  <c r="CW259" i="25"/>
  <c r="CO259" i="25" s="1"/>
  <c r="CW67" i="25"/>
  <c r="CO67" i="25" s="1"/>
  <c r="CV67" i="25"/>
  <c r="CU67" i="25"/>
  <c r="CU311" i="25"/>
  <c r="CW311" i="25"/>
  <c r="CO311" i="25" s="1"/>
  <c r="CV311" i="25"/>
  <c r="CW9" i="25"/>
  <c r="CO9" i="25" s="1"/>
  <c r="CV9" i="25"/>
  <c r="CU9" i="25"/>
  <c r="CV203" i="25"/>
  <c r="CW203" i="25"/>
  <c r="CO203" i="25" s="1"/>
  <c r="CU203" i="25"/>
  <c r="EQ76" i="25"/>
  <c r="EU76" i="25" s="1"/>
  <c r="FG76" i="25"/>
  <c r="CX76" i="25"/>
  <c r="DP76" i="25"/>
  <c r="CL76" i="25"/>
  <c r="FG163" i="25"/>
  <c r="CL163" i="25"/>
  <c r="DP163" i="25"/>
  <c r="EQ163" i="25"/>
  <c r="EU163" i="25" s="1"/>
  <c r="CX163" i="25"/>
  <c r="FG132" i="25"/>
  <c r="DP132" i="25"/>
  <c r="CL132" i="25"/>
  <c r="CX132" i="25"/>
  <c r="EQ132" i="25"/>
  <c r="EU132" i="25" s="1"/>
  <c r="FG131" i="25"/>
  <c r="DP131" i="25"/>
  <c r="CX131" i="25"/>
  <c r="CL131" i="25"/>
  <c r="EQ131" i="25"/>
  <c r="EU131" i="25" s="1"/>
  <c r="CL103" i="25"/>
  <c r="DP103" i="25"/>
  <c r="CX103" i="25"/>
  <c r="EQ103" i="25"/>
  <c r="EU103" i="25" s="1"/>
  <c r="FG103" i="25"/>
  <c r="EQ61" i="25"/>
  <c r="EU61" i="25" s="1"/>
  <c r="DP61" i="25"/>
  <c r="CX61" i="25"/>
  <c r="FG61" i="25"/>
  <c r="CL61" i="25"/>
  <c r="DP36" i="25"/>
  <c r="FG36" i="25"/>
  <c r="CL36" i="25"/>
  <c r="CX36" i="25"/>
  <c r="EQ36" i="25"/>
  <c r="EU36" i="25" s="1"/>
  <c r="FG135" i="25"/>
  <c r="DP135" i="25"/>
  <c r="CL135" i="25"/>
  <c r="EQ135" i="25"/>
  <c r="EU135" i="25" s="1"/>
  <c r="CX135" i="25"/>
  <c r="DP11" i="25"/>
  <c r="EQ11" i="25"/>
  <c r="EU11" i="25" s="1"/>
  <c r="CL11" i="25"/>
  <c r="FG11" i="25"/>
  <c r="CX11" i="25"/>
  <c r="EQ84" i="25"/>
  <c r="EU84" i="25" s="1"/>
  <c r="FG84" i="25"/>
  <c r="CL84" i="25"/>
  <c r="CX84" i="25"/>
  <c r="DP84" i="25"/>
  <c r="DP67" i="25"/>
  <c r="CL67" i="25"/>
  <c r="FG67" i="25"/>
  <c r="EQ67" i="25"/>
  <c r="EU67" i="25" s="1"/>
  <c r="CX67" i="25"/>
  <c r="FG196" i="25"/>
  <c r="EQ196" i="25"/>
  <c r="EU196" i="25" s="1"/>
  <c r="DP196" i="25"/>
  <c r="CL196" i="25"/>
  <c r="CX196" i="25"/>
  <c r="CL63" i="25"/>
  <c r="FG63" i="25"/>
  <c r="EQ63" i="25"/>
  <c r="EU63" i="25" s="1"/>
  <c r="DP63" i="25"/>
  <c r="CX63" i="25"/>
  <c r="CY63" i="25" s="1"/>
  <c r="CX286" i="25"/>
  <c r="CL286" i="25"/>
  <c r="DP286" i="25"/>
  <c r="DP56" i="25"/>
  <c r="EQ56" i="25"/>
  <c r="EU56" i="25" s="1"/>
  <c r="CX56" i="25"/>
  <c r="CL56" i="25"/>
  <c r="FG56" i="25"/>
  <c r="CL101" i="25"/>
  <c r="FG101" i="25"/>
  <c r="DP101" i="25"/>
  <c r="EQ101" i="25"/>
  <c r="EU101" i="25" s="1"/>
  <c r="CX101" i="25"/>
  <c r="DP312" i="25"/>
  <c r="CL312" i="25"/>
  <c r="CX312" i="25"/>
  <c r="FG134" i="25"/>
  <c r="DP134" i="25"/>
  <c r="CL134" i="25"/>
  <c r="CX134" i="25"/>
  <c r="EQ134" i="25"/>
  <c r="EU134" i="25" s="1"/>
  <c r="FG32" i="25"/>
  <c r="DP32" i="25"/>
  <c r="CL32" i="25"/>
  <c r="EQ32" i="25"/>
  <c r="EU32" i="25" s="1"/>
  <c r="CX32" i="25"/>
  <c r="DP124" i="25"/>
  <c r="CL124" i="25"/>
  <c r="EQ124" i="25"/>
  <c r="EU124" i="25" s="1"/>
  <c r="FG124" i="25"/>
  <c r="CX124" i="25"/>
  <c r="CL282" i="25"/>
  <c r="DP282" i="25"/>
  <c r="CX282" i="25"/>
  <c r="DP291" i="25"/>
  <c r="CX291" i="25"/>
  <c r="CL291" i="25"/>
  <c r="CL217" i="25"/>
  <c r="CX217" i="25"/>
  <c r="DP217" i="25"/>
  <c r="CL274" i="25"/>
  <c r="DP274" i="25"/>
  <c r="CX274" i="25"/>
  <c r="EQ165" i="25"/>
  <c r="EU165" i="25" s="1"/>
  <c r="DP165" i="25"/>
  <c r="CX165" i="25"/>
  <c r="CL165" i="25"/>
  <c r="FG165" i="25"/>
  <c r="CL261" i="25"/>
  <c r="DP261" i="25"/>
  <c r="CX261" i="25"/>
  <c r="CX311" i="25"/>
  <c r="DP311" i="25"/>
  <c r="CL311" i="25"/>
  <c r="CX223" i="25"/>
  <c r="CL223" i="25"/>
  <c r="DP223" i="25"/>
  <c r="CL310" i="25"/>
  <c r="DP310" i="25"/>
  <c r="CX310" i="25"/>
  <c r="DP204" i="25"/>
  <c r="CX204" i="25"/>
  <c r="CL204" i="25"/>
  <c r="FG204" i="25"/>
  <c r="EQ204" i="25"/>
  <c r="EU204" i="25" s="1"/>
  <c r="CL279" i="25"/>
  <c r="DP279" i="25"/>
  <c r="CX279" i="25"/>
  <c r="EQ166" i="25"/>
  <c r="EU166" i="25" s="1"/>
  <c r="DP166" i="25"/>
  <c r="CL166" i="25"/>
  <c r="CX166" i="25"/>
  <c r="FG166" i="25"/>
  <c r="DP231" i="25"/>
  <c r="CL231" i="25"/>
  <c r="CX231" i="25"/>
  <c r="DP271" i="25"/>
  <c r="CX271" i="25"/>
  <c r="CL271" i="25"/>
  <c r="FG186" i="25"/>
  <c r="EQ186" i="25"/>
  <c r="EU186" i="25" s="1"/>
  <c r="CX186" i="25"/>
  <c r="DP186" i="25"/>
  <c r="CL186" i="25"/>
  <c r="DP220" i="25"/>
  <c r="CL220" i="25"/>
  <c r="CX220" i="25"/>
  <c r="CY220" i="25" s="1"/>
  <c r="DP299" i="25"/>
  <c r="CX299" i="25"/>
  <c r="CL299" i="25"/>
  <c r="CW100" i="25"/>
  <c r="CO100" i="25" s="1"/>
  <c r="CV100" i="25"/>
  <c r="CU100" i="25"/>
  <c r="CW99" i="25"/>
  <c r="CO99" i="25" s="1"/>
  <c r="CV99" i="25"/>
  <c r="CU99" i="25"/>
  <c r="CV37" i="25"/>
  <c r="CU37" i="25"/>
  <c r="CW37" i="25"/>
  <c r="CO37" i="25" s="1"/>
  <c r="CV187" i="25"/>
  <c r="CU187" i="25"/>
  <c r="CW187" i="25"/>
  <c r="CO187" i="25" s="1"/>
  <c r="CU45" i="25"/>
  <c r="CW45" i="25"/>
  <c r="CO45" i="25" s="1"/>
  <c r="CV45" i="25"/>
  <c r="CV31" i="25"/>
  <c r="CU31" i="25"/>
  <c r="CW31" i="25"/>
  <c r="CO31" i="25" s="1"/>
  <c r="CU158" i="25"/>
  <c r="CW158" i="25"/>
  <c r="CO158" i="25" s="1"/>
  <c r="CV158" i="25"/>
  <c r="CU44" i="25"/>
  <c r="CV44" i="25"/>
  <c r="CW44" i="25"/>
  <c r="CO44" i="25" s="1"/>
  <c r="CV76" i="25"/>
  <c r="CW76" i="25"/>
  <c r="CO76" i="25" s="1"/>
  <c r="CU76" i="25"/>
  <c r="CV164" i="25"/>
  <c r="CU164" i="25"/>
  <c r="CW164" i="25"/>
  <c r="CO164" i="25" s="1"/>
  <c r="CV156" i="25"/>
  <c r="CU156" i="25"/>
  <c r="CW156" i="25"/>
  <c r="CO156" i="25" s="1"/>
  <c r="CV103" i="25"/>
  <c r="CW103" i="25"/>
  <c r="CO103" i="25" s="1"/>
  <c r="CU103" i="25"/>
  <c r="CW275" i="25"/>
  <c r="CO275" i="25" s="1"/>
  <c r="CV275" i="25"/>
  <c r="CU275" i="25"/>
  <c r="CU283" i="25"/>
  <c r="CV283" i="25"/>
  <c r="CW283" i="25"/>
  <c r="CO283" i="25" s="1"/>
  <c r="CW280" i="25"/>
  <c r="CO280" i="25" s="1"/>
  <c r="CU280" i="25"/>
  <c r="CV280" i="25"/>
  <c r="CW239" i="25"/>
  <c r="CO239" i="25" s="1"/>
  <c r="CV239" i="25"/>
  <c r="CU239" i="25"/>
  <c r="CW284" i="25"/>
  <c r="CO284" i="25" s="1"/>
  <c r="CU284" i="25"/>
  <c r="CV284" i="25"/>
  <c r="CW35" i="25"/>
  <c r="CO35" i="25" s="1"/>
  <c r="CV35" i="25"/>
  <c r="CU35" i="25"/>
  <c r="CU295" i="25"/>
  <c r="CW295" i="25"/>
  <c r="CO295" i="25" s="1"/>
  <c r="CV295" i="25"/>
  <c r="CV98" i="25"/>
  <c r="CU98" i="25"/>
  <c r="CW98" i="25"/>
  <c r="CO98" i="25" s="1"/>
  <c r="CU92" i="25"/>
  <c r="CW92" i="25"/>
  <c r="CO92" i="25" s="1"/>
  <c r="CV92" i="25"/>
  <c r="CV168" i="25"/>
  <c r="CW168" i="25"/>
  <c r="CO168" i="25" s="1"/>
  <c r="CU168" i="25"/>
  <c r="CW144" i="25"/>
  <c r="CO144" i="25" s="1"/>
  <c r="CV144" i="25"/>
  <c r="CU144" i="25"/>
  <c r="CV70" i="25"/>
  <c r="CU70" i="25"/>
  <c r="CW70" i="25"/>
  <c r="CO70" i="25" s="1"/>
  <c r="CW143" i="25"/>
  <c r="CO143" i="25" s="1"/>
  <c r="CU143" i="25"/>
  <c r="CV143" i="25"/>
  <c r="CW97" i="25"/>
  <c r="CO97" i="25" s="1"/>
  <c r="CV97" i="25"/>
  <c r="CU97" i="25"/>
  <c r="CV122" i="25"/>
  <c r="CU122" i="25"/>
  <c r="CW122" i="25"/>
  <c r="CO122" i="25" s="1"/>
  <c r="CU64" i="25"/>
  <c r="CV64" i="25"/>
  <c r="CW64" i="25"/>
  <c r="CO64" i="25" s="1"/>
  <c r="CW65" i="25"/>
  <c r="CO65" i="25" s="1"/>
  <c r="CV65" i="25"/>
  <c r="CU65" i="25"/>
  <c r="CV111" i="25"/>
  <c r="CU111" i="25"/>
  <c r="CW111" i="25"/>
  <c r="CO111" i="25" s="1"/>
  <c r="CV202" i="25"/>
  <c r="CU202" i="25"/>
  <c r="CW202" i="25"/>
  <c r="CO202" i="25" s="1"/>
  <c r="CV191" i="25"/>
  <c r="CW191" i="25"/>
  <c r="CO191" i="25" s="1"/>
  <c r="CU191" i="25"/>
  <c r="CW180" i="25"/>
  <c r="CO180" i="25" s="1"/>
  <c r="CV180" i="25"/>
  <c r="CU180" i="25"/>
  <c r="CU251" i="25"/>
  <c r="CW251" i="25"/>
  <c r="CO251" i="25" s="1"/>
  <c r="CV251" i="25"/>
  <c r="CU174" i="25"/>
  <c r="CW174" i="25"/>
  <c r="CO174" i="25" s="1"/>
  <c r="CV174" i="25"/>
  <c r="CU175" i="25"/>
  <c r="CV175" i="25"/>
  <c r="CW175" i="25"/>
  <c r="CO175" i="25" s="1"/>
  <c r="CW292" i="25"/>
  <c r="CO292" i="25" s="1"/>
  <c r="CU292" i="25"/>
  <c r="CV292" i="25"/>
  <c r="CL34" i="24"/>
  <c r="CW34" i="24"/>
  <c r="CX34" i="24" s="1"/>
  <c r="DQ34" i="24"/>
  <c r="ES34" i="24"/>
  <c r="EV34" i="24" s="1"/>
  <c r="CY34" i="24"/>
  <c r="CU34" i="24"/>
  <c r="CV34" i="24" s="1"/>
  <c r="CY87" i="24"/>
  <c r="CL87" i="24"/>
  <c r="ES87" i="24"/>
  <c r="EV87" i="24" s="1"/>
  <c r="CW87" i="24"/>
  <c r="CX87" i="24" s="1"/>
  <c r="DQ87" i="24"/>
  <c r="CU87" i="24"/>
  <c r="CV87" i="24" s="1"/>
  <c r="ES53" i="24"/>
  <c r="EV53" i="24" s="1"/>
  <c r="CL53" i="24"/>
  <c r="DQ53" i="24"/>
  <c r="CW53" i="24"/>
  <c r="CX53" i="24" s="1"/>
  <c r="CY53" i="24"/>
  <c r="CU53" i="24"/>
  <c r="CV53" i="24" s="1"/>
  <c r="ES42" i="24"/>
  <c r="EV42" i="24" s="1"/>
  <c r="CL42" i="24"/>
  <c r="CW42" i="24"/>
  <c r="CX42" i="24" s="1"/>
  <c r="CY42" i="24"/>
  <c r="DQ42" i="24"/>
  <c r="CU42" i="24"/>
  <c r="CV42" i="24" s="1"/>
  <c r="CU11" i="24"/>
  <c r="CV11" i="24" s="1"/>
  <c r="CL11" i="24"/>
  <c r="DQ11" i="24"/>
  <c r="ES11" i="24"/>
  <c r="EV11" i="24" s="1"/>
  <c r="CW11" i="24"/>
  <c r="CX11" i="24" s="1"/>
  <c r="CY11" i="24"/>
  <c r="CZ11" i="24" s="1"/>
  <c r="CL91" i="24"/>
  <c r="DQ91" i="24"/>
  <c r="ES91" i="24"/>
  <c r="EV91" i="24" s="1"/>
  <c r="CW91" i="24"/>
  <c r="CX91" i="24" s="1"/>
  <c r="CY91" i="24"/>
  <c r="CZ91" i="24" s="1"/>
  <c r="CU91" i="24"/>
  <c r="CV91" i="24" s="1"/>
  <c r="CL39" i="24"/>
  <c r="CU39" i="24"/>
  <c r="CV39" i="24" s="1"/>
  <c r="ES39" i="24"/>
  <c r="EV39" i="24" s="1"/>
  <c r="CY39" i="24"/>
  <c r="CW39" i="24"/>
  <c r="CX39" i="24" s="1"/>
  <c r="DQ39" i="24"/>
  <c r="CW71" i="24"/>
  <c r="CX71" i="24" s="1"/>
  <c r="DQ71" i="24"/>
  <c r="ES71" i="24"/>
  <c r="EV71" i="24" s="1"/>
  <c r="CL71" i="24"/>
  <c r="CY71" i="24"/>
  <c r="CU71" i="24"/>
  <c r="CV71" i="24" s="1"/>
  <c r="CW43" i="24"/>
  <c r="CX43" i="24" s="1"/>
  <c r="CL43" i="24"/>
  <c r="ES43" i="24"/>
  <c r="EV43" i="24" s="1"/>
  <c r="CU43" i="24"/>
  <c r="CV43" i="24" s="1"/>
  <c r="DQ43" i="24"/>
  <c r="CY43" i="24"/>
  <c r="DQ122" i="24"/>
  <c r="CY122" i="24"/>
  <c r="CZ122" i="24" s="1"/>
  <c r="CU122" i="24"/>
  <c r="ES122" i="24"/>
  <c r="EV122" i="24" s="1"/>
  <c r="CW122" i="24"/>
  <c r="CX122" i="24" s="1"/>
  <c r="CL122" i="24"/>
  <c r="ES168" i="24"/>
  <c r="EV168" i="24" s="1"/>
  <c r="CL168" i="24"/>
  <c r="CU168" i="24"/>
  <c r="CW168" i="24"/>
  <c r="CX168" i="24" s="1"/>
  <c r="DQ168" i="24"/>
  <c r="CY168" i="24"/>
  <c r="CZ168" i="24" s="1"/>
  <c r="ES127" i="24"/>
  <c r="EV127" i="24" s="1"/>
  <c r="DQ127" i="24"/>
  <c r="CW127" i="24"/>
  <c r="CX127" i="24" s="1"/>
  <c r="CL127" i="24"/>
  <c r="CY127" i="24"/>
  <c r="CU127" i="24"/>
  <c r="CW266" i="24"/>
  <c r="CX266" i="24" s="1"/>
  <c r="CU266" i="24"/>
  <c r="CL266" i="24"/>
  <c r="DQ266" i="24"/>
  <c r="CY266" i="24"/>
  <c r="ES69" i="24"/>
  <c r="EV69" i="24" s="1"/>
  <c r="CW69" i="24"/>
  <c r="CX69" i="24" s="1"/>
  <c r="CL69" i="24"/>
  <c r="DQ69" i="24"/>
  <c r="CU69" i="24"/>
  <c r="CV69" i="24" s="1"/>
  <c r="CY69" i="24"/>
  <c r="CL140" i="24"/>
  <c r="ES140" i="24"/>
  <c r="EV140" i="24" s="1"/>
  <c r="DQ140" i="24"/>
  <c r="CW140" i="24"/>
  <c r="CX140" i="24" s="1"/>
  <c r="CY140" i="24"/>
  <c r="CU140" i="24"/>
  <c r="ES99" i="24"/>
  <c r="EV99" i="24" s="1"/>
  <c r="CW99" i="24"/>
  <c r="CX99" i="24" s="1"/>
  <c r="CY99" i="24"/>
  <c r="DQ99" i="24"/>
  <c r="CL99" i="24"/>
  <c r="CU99" i="24"/>
  <c r="CV99" i="24" s="1"/>
  <c r="DQ151" i="24"/>
  <c r="CL151" i="24"/>
  <c r="CW151" i="24"/>
  <c r="CX151" i="24" s="1"/>
  <c r="ES151" i="24"/>
  <c r="EV151" i="24" s="1"/>
  <c r="CY151" i="24"/>
  <c r="CU151" i="24"/>
  <c r="CY124" i="24"/>
  <c r="DQ124" i="24"/>
  <c r="ES124" i="24"/>
  <c r="EV124" i="24" s="1"/>
  <c r="CL124" i="24"/>
  <c r="CW124" i="24"/>
  <c r="CX124" i="24" s="1"/>
  <c r="CU124" i="24"/>
  <c r="DQ188" i="24"/>
  <c r="CY188" i="24"/>
  <c r="ES188" i="24"/>
  <c r="EV188" i="24" s="1"/>
  <c r="CU188" i="24"/>
  <c r="CL188" i="24"/>
  <c r="CW188" i="24"/>
  <c r="CX188" i="24" s="1"/>
  <c r="ES138" i="24"/>
  <c r="EV138" i="24" s="1"/>
  <c r="CL138" i="24"/>
  <c r="DQ138" i="24"/>
  <c r="CY138" i="24"/>
  <c r="CW138" i="24"/>
  <c r="CX138" i="24" s="1"/>
  <c r="CU138" i="24"/>
  <c r="CL310" i="24"/>
  <c r="CW310" i="24"/>
  <c r="CX310" i="24" s="1"/>
  <c r="CU310" i="24"/>
  <c r="CY310" i="24"/>
  <c r="DQ310" i="24"/>
  <c r="CL174" i="24"/>
  <c r="ES174" i="24"/>
  <c r="EV174" i="24" s="1"/>
  <c r="DQ174" i="24"/>
  <c r="CU174" i="24"/>
  <c r="CW174" i="24"/>
  <c r="CX174" i="24" s="1"/>
  <c r="CY174" i="24"/>
  <c r="ES114" i="24"/>
  <c r="EV114" i="24" s="1"/>
  <c r="CW114" i="24"/>
  <c r="CX114" i="24" s="1"/>
  <c r="DQ114" i="24"/>
  <c r="CL114" i="24"/>
  <c r="CY114" i="24"/>
  <c r="CU114" i="24"/>
  <c r="CL176" i="24"/>
  <c r="CU176" i="24"/>
  <c r="ES176" i="24"/>
  <c r="EV176" i="24" s="1"/>
  <c r="CW176" i="24"/>
  <c r="CX176" i="24" s="1"/>
  <c r="DQ176" i="24"/>
  <c r="CY176" i="24"/>
  <c r="ES201" i="24"/>
  <c r="EV201" i="24" s="1"/>
  <c r="DQ201" i="24"/>
  <c r="CW201" i="24"/>
  <c r="CX201" i="24" s="1"/>
  <c r="CU201" i="24"/>
  <c r="CL201" i="24"/>
  <c r="CY201" i="24"/>
  <c r="CZ201" i="24" s="1"/>
  <c r="CW271" i="24"/>
  <c r="CX271" i="24" s="1"/>
  <c r="CL271" i="24"/>
  <c r="DQ271" i="24"/>
  <c r="CY271" i="24"/>
  <c r="CU271" i="24"/>
  <c r="DQ237" i="24"/>
  <c r="CL237" i="24"/>
  <c r="CW237" i="24"/>
  <c r="CX237" i="24" s="1"/>
  <c r="CU237" i="24"/>
  <c r="CY237" i="24"/>
  <c r="DQ315" i="24"/>
  <c r="CL315" i="24"/>
  <c r="CW315" i="24"/>
  <c r="CX315" i="24" s="1"/>
  <c r="CY315" i="24"/>
  <c r="CU315" i="24"/>
  <c r="DQ239" i="24"/>
  <c r="CW239" i="24"/>
  <c r="CX239" i="24" s="1"/>
  <c r="CL239" i="24"/>
  <c r="CY239" i="24"/>
  <c r="CU239" i="24"/>
  <c r="DQ299" i="24"/>
  <c r="CL299" i="24"/>
  <c r="CY299" i="24"/>
  <c r="CZ299" i="24" s="1"/>
  <c r="CW299" i="24"/>
  <c r="CX299" i="24" s="1"/>
  <c r="CU299" i="24"/>
  <c r="CY225" i="24"/>
  <c r="CW225" i="24"/>
  <c r="CX225" i="24" s="1"/>
  <c r="CU225" i="24"/>
  <c r="DQ225" i="24"/>
  <c r="CL225" i="24"/>
  <c r="CW260" i="24"/>
  <c r="CX260" i="24" s="1"/>
  <c r="CU260" i="24"/>
  <c r="CL260" i="24"/>
  <c r="DQ260" i="24"/>
  <c r="CY260" i="24"/>
  <c r="CU223" i="24"/>
  <c r="CW223" i="24"/>
  <c r="CX223" i="24" s="1"/>
  <c r="CY223" i="24"/>
  <c r="DQ223" i="24"/>
  <c r="CL223" i="24"/>
  <c r="DQ290" i="24"/>
  <c r="CL290" i="24"/>
  <c r="CW290" i="24"/>
  <c r="CX290" i="24" s="1"/>
  <c r="CY290" i="24"/>
  <c r="CU290" i="24"/>
  <c r="ES196" i="24"/>
  <c r="EV196" i="24" s="1"/>
  <c r="CU196" i="24"/>
  <c r="CY196" i="24"/>
  <c r="DQ196" i="24"/>
  <c r="CW196" i="24"/>
  <c r="CX196" i="24" s="1"/>
  <c r="CL196" i="24"/>
  <c r="DQ246" i="24"/>
  <c r="CU246" i="24"/>
  <c r="CL246" i="24"/>
  <c r="CW246" i="24"/>
  <c r="CX246" i="24" s="1"/>
  <c r="CY246" i="24"/>
  <c r="CL313" i="24"/>
  <c r="DQ313" i="24"/>
  <c r="CY313" i="24"/>
  <c r="CW313" i="24"/>
  <c r="CX313" i="24" s="1"/>
  <c r="CU313" i="24"/>
  <c r="CL26" i="24"/>
  <c r="CW26" i="24"/>
  <c r="CX26" i="24" s="1"/>
  <c r="CY26" i="24"/>
  <c r="ES26" i="24"/>
  <c r="EV26" i="24" s="1"/>
  <c r="DQ26" i="24"/>
  <c r="CU26" i="24"/>
  <c r="CV26" i="24" s="1"/>
  <c r="DQ92" i="24"/>
  <c r="CL92" i="24"/>
  <c r="CW92" i="24"/>
  <c r="CX92" i="24" s="1"/>
  <c r="CY92" i="24"/>
  <c r="CU92" i="24"/>
  <c r="CV92" i="24" s="1"/>
  <c r="ES92" i="24"/>
  <c r="EV92" i="24" s="1"/>
  <c r="DQ59" i="24"/>
  <c r="ES59" i="24"/>
  <c r="EV59" i="24" s="1"/>
  <c r="CL59" i="24"/>
  <c r="CW59" i="24"/>
  <c r="CX59" i="24" s="1"/>
  <c r="CY59" i="24"/>
  <c r="CU59" i="24"/>
  <c r="CV59" i="24" s="1"/>
  <c r="CW77" i="24"/>
  <c r="CX77" i="24" s="1"/>
  <c r="ES77" i="24"/>
  <c r="EV77" i="24" s="1"/>
  <c r="CL77" i="24"/>
  <c r="CY77" i="24"/>
  <c r="DQ77" i="24"/>
  <c r="CU77" i="24"/>
  <c r="CV77" i="24" s="1"/>
  <c r="CY12" i="24"/>
  <c r="ES12" i="24"/>
  <c r="EV12" i="24" s="1"/>
  <c r="CW12" i="24"/>
  <c r="CX12" i="24" s="1"/>
  <c r="CU12" i="24"/>
  <c r="CV12" i="24" s="1"/>
  <c r="DQ12" i="24"/>
  <c r="CL12" i="24"/>
  <c r="ES96" i="24"/>
  <c r="EV96" i="24" s="1"/>
  <c r="CL96" i="24"/>
  <c r="DQ96" i="24"/>
  <c r="CW96" i="24"/>
  <c r="CX96" i="24" s="1"/>
  <c r="CU96" i="24"/>
  <c r="CV96" i="24" s="1"/>
  <c r="CY96" i="24"/>
  <c r="ES49" i="24"/>
  <c r="EV49" i="24" s="1"/>
  <c r="CL49" i="24"/>
  <c r="CW49" i="24"/>
  <c r="CX49" i="24" s="1"/>
  <c r="CY49" i="24"/>
  <c r="DQ49" i="24"/>
  <c r="CU49" i="24"/>
  <c r="CV49" i="24" s="1"/>
  <c r="ES79" i="24"/>
  <c r="EV79" i="24" s="1"/>
  <c r="CW79" i="24"/>
  <c r="CX79" i="24" s="1"/>
  <c r="CY79" i="24"/>
  <c r="DQ79" i="24"/>
  <c r="CU79" i="24"/>
  <c r="CV79" i="24" s="1"/>
  <c r="CL79" i="24"/>
  <c r="CW44" i="24"/>
  <c r="CX44" i="24" s="1"/>
  <c r="CL44" i="24"/>
  <c r="DQ44" i="24"/>
  <c r="ES44" i="24"/>
  <c r="EV44" i="24" s="1"/>
  <c r="CY44" i="24"/>
  <c r="CU44" i="24"/>
  <c r="CV44" i="24" s="1"/>
  <c r="ES130" i="24"/>
  <c r="EV130" i="24" s="1"/>
  <c r="DQ130" i="24"/>
  <c r="CL130" i="24"/>
  <c r="CU130" i="24"/>
  <c r="CW130" i="24"/>
  <c r="CX130" i="24" s="1"/>
  <c r="CY130" i="24"/>
  <c r="CU218" i="24"/>
  <c r="CW218" i="24"/>
  <c r="CX218" i="24" s="1"/>
  <c r="CL218" i="24"/>
  <c r="CY218" i="24"/>
  <c r="DQ218" i="24"/>
  <c r="ES145" i="24"/>
  <c r="EV145" i="24" s="1"/>
  <c r="CW145" i="24"/>
  <c r="CX145" i="24" s="1"/>
  <c r="DQ145" i="24"/>
  <c r="CL145" i="24"/>
  <c r="CU145" i="24"/>
  <c r="CY145" i="24"/>
  <c r="ES31" i="24"/>
  <c r="EV31" i="24" s="1"/>
  <c r="DQ31" i="24"/>
  <c r="CY31" i="24"/>
  <c r="CW31" i="24"/>
  <c r="CX31" i="24" s="1"/>
  <c r="CU31" i="24"/>
  <c r="CV31" i="24" s="1"/>
  <c r="CL31" i="24"/>
  <c r="DQ74" i="24"/>
  <c r="ES74" i="24"/>
  <c r="EV74" i="24" s="1"/>
  <c r="CL74" i="24"/>
  <c r="CW74" i="24"/>
  <c r="CX74" i="24" s="1"/>
  <c r="CU74" i="24"/>
  <c r="CV74" i="24" s="1"/>
  <c r="CY74" i="24"/>
  <c r="DQ142" i="24"/>
  <c r="CW142" i="24"/>
  <c r="CX142" i="24" s="1"/>
  <c r="CL142" i="24"/>
  <c r="ES142" i="24"/>
  <c r="EV142" i="24" s="1"/>
  <c r="CU142" i="24"/>
  <c r="CY142" i="24"/>
  <c r="ES117" i="24"/>
  <c r="EV117" i="24" s="1"/>
  <c r="DQ117" i="24"/>
  <c r="CL117" i="24"/>
  <c r="CW117" i="24"/>
  <c r="CX117" i="24" s="1"/>
  <c r="CU117" i="24"/>
  <c r="CY117" i="24"/>
  <c r="DQ158" i="24"/>
  <c r="CL158" i="24"/>
  <c r="ES158" i="24"/>
  <c r="EV158" i="24" s="1"/>
  <c r="CY158" i="24"/>
  <c r="CW158" i="24"/>
  <c r="CX158" i="24" s="1"/>
  <c r="CU158" i="24"/>
  <c r="CW128" i="24"/>
  <c r="CX128" i="24" s="1"/>
  <c r="ES128" i="24"/>
  <c r="EV128" i="24" s="1"/>
  <c r="DQ128" i="24"/>
  <c r="CU128" i="24"/>
  <c r="CY128" i="24"/>
  <c r="CL128" i="24"/>
  <c r="CW256" i="24"/>
  <c r="CX256" i="24" s="1"/>
  <c r="CU256" i="24"/>
  <c r="CY256" i="24"/>
  <c r="DQ256" i="24"/>
  <c r="CL256" i="24"/>
  <c r="ES141" i="24"/>
  <c r="EV141" i="24" s="1"/>
  <c r="CL141" i="24"/>
  <c r="DQ141" i="24"/>
  <c r="CW141" i="24"/>
  <c r="CX141" i="24" s="1"/>
  <c r="CY141" i="24"/>
  <c r="CU141" i="24"/>
  <c r="ES95" i="24"/>
  <c r="EV95" i="24" s="1"/>
  <c r="DQ95" i="24"/>
  <c r="CL95" i="24"/>
  <c r="CU95" i="24"/>
  <c r="CV95" i="24" s="1"/>
  <c r="CW95" i="24"/>
  <c r="CX95" i="24" s="1"/>
  <c r="CY95" i="24"/>
  <c r="DQ178" i="24"/>
  <c r="CL178" i="24"/>
  <c r="CW178" i="24"/>
  <c r="CX178" i="24" s="1"/>
  <c r="CY178" i="24"/>
  <c r="ES178" i="24"/>
  <c r="EV178" i="24" s="1"/>
  <c r="CU178" i="24"/>
  <c r="ES125" i="24"/>
  <c r="EV125" i="24" s="1"/>
  <c r="DQ125" i="24"/>
  <c r="CL125" i="24"/>
  <c r="CW125" i="24"/>
  <c r="CX125" i="24" s="1"/>
  <c r="CY125" i="24"/>
  <c r="CU125" i="24"/>
  <c r="ES180" i="24"/>
  <c r="EV180" i="24" s="1"/>
  <c r="DQ180" i="24"/>
  <c r="CU180" i="24"/>
  <c r="CL180" i="24"/>
  <c r="CY180" i="24"/>
  <c r="CW180" i="24"/>
  <c r="CX180" i="24" s="1"/>
  <c r="ES207" i="24"/>
  <c r="EV207" i="24" s="1"/>
  <c r="CL207" i="24"/>
  <c r="DQ207" i="24"/>
  <c r="CY207" i="24"/>
  <c r="CW207" i="24"/>
  <c r="CX207" i="24" s="1"/>
  <c r="CU207" i="24"/>
  <c r="DQ272" i="24"/>
  <c r="CW272" i="24"/>
  <c r="CX272" i="24" s="1"/>
  <c r="CL272" i="24"/>
  <c r="CY272" i="24"/>
  <c r="CU272" i="24"/>
  <c r="DQ249" i="24"/>
  <c r="CL249" i="24"/>
  <c r="CW249" i="24"/>
  <c r="CX249" i="24" s="1"/>
  <c r="CU249" i="24"/>
  <c r="CY249" i="24"/>
  <c r="DQ195" i="24"/>
  <c r="CW195" i="24"/>
  <c r="CX195" i="24" s="1"/>
  <c r="ES195" i="24"/>
  <c r="EV195" i="24" s="1"/>
  <c r="CY195" i="24"/>
  <c r="CL195" i="24"/>
  <c r="CU195" i="24"/>
  <c r="DQ257" i="24"/>
  <c r="CL257" i="24"/>
  <c r="CW257" i="24"/>
  <c r="CX257" i="24" s="1"/>
  <c r="CY257" i="24"/>
  <c r="CU257" i="24"/>
  <c r="DQ301" i="24"/>
  <c r="CL301" i="24"/>
  <c r="CW301" i="24"/>
  <c r="CX301" i="24" s="1"/>
  <c r="CY301" i="24"/>
  <c r="CU301" i="24"/>
  <c r="DQ229" i="24"/>
  <c r="CY229" i="24"/>
  <c r="CZ229" i="24" s="1"/>
  <c r="CL229" i="24"/>
  <c r="CW229" i="24"/>
  <c r="CX229" i="24" s="1"/>
  <c r="CU229" i="24"/>
  <c r="DQ268" i="24"/>
  <c r="CL268" i="24"/>
  <c r="CW268" i="24"/>
  <c r="CX268" i="24" s="1"/>
  <c r="CY268" i="24"/>
  <c r="CU268" i="24"/>
  <c r="CY227" i="24"/>
  <c r="CZ227" i="24" s="1"/>
  <c r="CL227" i="24"/>
  <c r="DQ227" i="24"/>
  <c r="CW227" i="24"/>
  <c r="CX227" i="24" s="1"/>
  <c r="CU227" i="24"/>
  <c r="CY295" i="24"/>
  <c r="CW295" i="24"/>
  <c r="CX295" i="24" s="1"/>
  <c r="CL295" i="24"/>
  <c r="DQ295" i="24"/>
  <c r="CU295" i="24"/>
  <c r="ES198" i="24"/>
  <c r="EV198" i="24" s="1"/>
  <c r="CL198" i="24"/>
  <c r="CY198" i="24"/>
  <c r="DQ198" i="24"/>
  <c r="CW198" i="24"/>
  <c r="CX198" i="24" s="1"/>
  <c r="CU198" i="24"/>
  <c r="DQ251" i="24"/>
  <c r="CY251" i="24"/>
  <c r="CL251" i="24"/>
  <c r="CW251" i="24"/>
  <c r="CX251" i="24" s="1"/>
  <c r="CU251" i="24"/>
  <c r="DQ316" i="24"/>
  <c r="CY316" i="24"/>
  <c r="CL316" i="24"/>
  <c r="CW316" i="24"/>
  <c r="CX316" i="24" s="1"/>
  <c r="CU316" i="24"/>
  <c r="CL28" i="24"/>
  <c r="CU28" i="24"/>
  <c r="CV28" i="24" s="1"/>
  <c r="DQ28" i="24"/>
  <c r="CW28" i="24"/>
  <c r="CX28" i="24" s="1"/>
  <c r="CY28" i="24"/>
  <c r="CZ28" i="24" s="1"/>
  <c r="ES28" i="24"/>
  <c r="EV28" i="24" s="1"/>
  <c r="CL94" i="24"/>
  <c r="CY94" i="24"/>
  <c r="CW94" i="24"/>
  <c r="CX94" i="24" s="1"/>
  <c r="ES94" i="24"/>
  <c r="EV94" i="24" s="1"/>
  <c r="DQ94" i="24"/>
  <c r="CU94" i="24"/>
  <c r="CV94" i="24" s="1"/>
  <c r="CL61" i="24"/>
  <c r="CY61" i="24"/>
  <c r="CW61" i="24"/>
  <c r="CX61" i="24" s="1"/>
  <c r="DQ61" i="24"/>
  <c r="ES61" i="24"/>
  <c r="EV61" i="24" s="1"/>
  <c r="CU61" i="24"/>
  <c r="CV61" i="24" s="1"/>
  <c r="CL35" i="24"/>
  <c r="ES35" i="24"/>
  <c r="EV35" i="24" s="1"/>
  <c r="DQ35" i="24"/>
  <c r="CU35" i="24"/>
  <c r="CV35" i="24" s="1"/>
  <c r="CY35" i="24"/>
  <c r="CW35" i="24"/>
  <c r="CX35" i="24" s="1"/>
  <c r="ES23" i="24"/>
  <c r="EV23" i="24" s="1"/>
  <c r="DQ23" i="24"/>
  <c r="CY23" i="24"/>
  <c r="CW23" i="24"/>
  <c r="CX23" i="24" s="1"/>
  <c r="CL23" i="24"/>
  <c r="CU23" i="24"/>
  <c r="CV23" i="24" s="1"/>
  <c r="ES13" i="24"/>
  <c r="EV13" i="24" s="1"/>
  <c r="CL13" i="24"/>
  <c r="CW13" i="24"/>
  <c r="CX13" i="24" s="1"/>
  <c r="CY13" i="24"/>
  <c r="CU13" i="24"/>
  <c r="CV13" i="24" s="1"/>
  <c r="DQ13" i="24"/>
  <c r="CU51" i="24"/>
  <c r="CV51" i="24" s="1"/>
  <c r="CY51" i="24"/>
  <c r="CW51" i="24"/>
  <c r="CX51" i="24" s="1"/>
  <c r="CL51" i="24"/>
  <c r="ES51" i="24"/>
  <c r="EV51" i="24" s="1"/>
  <c r="DQ51" i="24"/>
  <c r="CL85" i="24"/>
  <c r="CW85" i="24"/>
  <c r="CX85" i="24" s="1"/>
  <c r="ES85" i="24"/>
  <c r="EV85" i="24" s="1"/>
  <c r="DQ85" i="24"/>
  <c r="CY85" i="24"/>
  <c r="CU85" i="24"/>
  <c r="CV85" i="24" s="1"/>
  <c r="CU63" i="24"/>
  <c r="CV63" i="24" s="1"/>
  <c r="DQ63" i="24"/>
  <c r="CW63" i="24"/>
  <c r="CX63" i="24" s="1"/>
  <c r="CL63" i="24"/>
  <c r="ES63" i="24"/>
  <c r="EV63" i="24" s="1"/>
  <c r="CY63" i="24"/>
  <c r="ES137" i="24"/>
  <c r="EV137" i="24" s="1"/>
  <c r="CW137" i="24"/>
  <c r="CX137" i="24" s="1"/>
  <c r="CL137" i="24"/>
  <c r="DQ137" i="24"/>
  <c r="CY137" i="24"/>
  <c r="CU137" i="24"/>
  <c r="DQ68" i="24"/>
  <c r="CL68" i="24"/>
  <c r="CW68" i="24"/>
  <c r="CX68" i="24" s="1"/>
  <c r="CU68" i="24"/>
  <c r="CV68" i="24" s="1"/>
  <c r="ES68" i="24"/>
  <c r="EV68" i="24" s="1"/>
  <c r="CY68" i="24"/>
  <c r="DQ159" i="24"/>
  <c r="CW159" i="24"/>
  <c r="CX159" i="24" s="1"/>
  <c r="CY159" i="24"/>
  <c r="CU159" i="24"/>
  <c r="ES159" i="24"/>
  <c r="EV159" i="24" s="1"/>
  <c r="CL159" i="24"/>
  <c r="ES32" i="24"/>
  <c r="EV32" i="24" s="1"/>
  <c r="CL32" i="24"/>
  <c r="DQ32" i="24"/>
  <c r="CW32" i="24"/>
  <c r="CX32" i="24" s="1"/>
  <c r="CY32" i="24"/>
  <c r="CU32" i="24"/>
  <c r="CV32" i="24" s="1"/>
  <c r="DQ78" i="24"/>
  <c r="CW78" i="24"/>
  <c r="CX78" i="24" s="1"/>
  <c r="CU78" i="24"/>
  <c r="CV78" i="24" s="1"/>
  <c r="CL78" i="24"/>
  <c r="ES78" i="24"/>
  <c r="EV78" i="24" s="1"/>
  <c r="CY78" i="24"/>
  <c r="ES144" i="24"/>
  <c r="EV144" i="24" s="1"/>
  <c r="CW144" i="24"/>
  <c r="CX144" i="24" s="1"/>
  <c r="CL144" i="24"/>
  <c r="CU144" i="24"/>
  <c r="DQ144" i="24"/>
  <c r="CY144" i="24"/>
  <c r="DQ121" i="24"/>
  <c r="ES121" i="24"/>
  <c r="EV121" i="24" s="1"/>
  <c r="CU121" i="24"/>
  <c r="CY121" i="24"/>
  <c r="CW121" i="24"/>
  <c r="CX121" i="24" s="1"/>
  <c r="CL121" i="24"/>
  <c r="ES165" i="24"/>
  <c r="EV165" i="24" s="1"/>
  <c r="CU165" i="24"/>
  <c r="CY165" i="24"/>
  <c r="CL165" i="24"/>
  <c r="CW165" i="24"/>
  <c r="CX165" i="24" s="1"/>
  <c r="DQ165" i="24"/>
  <c r="CL135" i="24"/>
  <c r="ES135" i="24"/>
  <c r="EV135" i="24" s="1"/>
  <c r="DQ135" i="24"/>
  <c r="CY135" i="24"/>
  <c r="CW135" i="24"/>
  <c r="CX135" i="24" s="1"/>
  <c r="CU135" i="24"/>
  <c r="DQ100" i="24"/>
  <c r="CL100" i="24"/>
  <c r="ES100" i="24"/>
  <c r="EV100" i="24" s="1"/>
  <c r="CU100" i="24"/>
  <c r="CV100" i="24" s="1"/>
  <c r="CY100" i="24"/>
  <c r="CW100" i="24"/>
  <c r="CX100" i="24" s="1"/>
  <c r="CL160" i="24"/>
  <c r="ES160" i="24"/>
  <c r="EV160" i="24" s="1"/>
  <c r="CU160" i="24"/>
  <c r="DQ160" i="24"/>
  <c r="CW160" i="24"/>
  <c r="CX160" i="24" s="1"/>
  <c r="CY160" i="24"/>
  <c r="CY101" i="24"/>
  <c r="CU101" i="24"/>
  <c r="CV101" i="24" s="1"/>
  <c r="DQ101" i="24"/>
  <c r="ES101" i="24"/>
  <c r="EV101" i="24" s="1"/>
  <c r="CL101" i="24"/>
  <c r="CW101" i="24"/>
  <c r="CX101" i="24" s="1"/>
  <c r="DQ184" i="24"/>
  <c r="ES184" i="24"/>
  <c r="EV184" i="24" s="1"/>
  <c r="CL184" i="24"/>
  <c r="CU184" i="24"/>
  <c r="CW184" i="24"/>
  <c r="CX184" i="24" s="1"/>
  <c r="CY184" i="24"/>
  <c r="CZ184" i="24" s="1"/>
  <c r="CU131" i="24"/>
  <c r="CL131" i="24"/>
  <c r="CY131" i="24"/>
  <c r="DQ131" i="24"/>
  <c r="ES131" i="24"/>
  <c r="EV131" i="24" s="1"/>
  <c r="CW131" i="24"/>
  <c r="CX131" i="24" s="1"/>
  <c r="DQ181" i="24"/>
  <c r="CW181" i="24"/>
  <c r="CX181" i="24" s="1"/>
  <c r="CY181" i="24"/>
  <c r="ES181" i="24"/>
  <c r="EV181" i="24" s="1"/>
  <c r="CL181" i="24"/>
  <c r="CU181" i="24"/>
  <c r="CL220" i="24"/>
  <c r="DQ220" i="24"/>
  <c r="CY220" i="24"/>
  <c r="CW220" i="24"/>
  <c r="CX220" i="24" s="1"/>
  <c r="CU220" i="24"/>
  <c r="DQ288" i="24"/>
  <c r="CY288" i="24"/>
  <c r="CL288" i="24"/>
  <c r="CU288" i="24"/>
  <c r="CW288" i="24"/>
  <c r="CX288" i="24" s="1"/>
  <c r="CY270" i="24"/>
  <c r="DQ270" i="24"/>
  <c r="CL270" i="24"/>
  <c r="CU270" i="24"/>
  <c r="CW270" i="24"/>
  <c r="CX270" i="24" s="1"/>
  <c r="CL197" i="24"/>
  <c r="CW197" i="24"/>
  <c r="CX197" i="24" s="1"/>
  <c r="ES197" i="24"/>
  <c r="EV197" i="24" s="1"/>
  <c r="DQ197" i="24"/>
  <c r="CY197" i="24"/>
  <c r="CU197" i="24"/>
  <c r="CW261" i="24"/>
  <c r="CX261" i="24" s="1"/>
  <c r="CY261" i="24"/>
  <c r="CZ261" i="24" s="1"/>
  <c r="DQ261" i="24"/>
  <c r="CL261" i="24"/>
  <c r="CU261" i="24"/>
  <c r="CW303" i="24"/>
  <c r="CX303" i="24" s="1"/>
  <c r="DQ303" i="24"/>
  <c r="CL303" i="24"/>
  <c r="CY303" i="24"/>
  <c r="CU303" i="24"/>
  <c r="CL231" i="24"/>
  <c r="CU231" i="24"/>
  <c r="CY231" i="24"/>
  <c r="DQ231" i="24"/>
  <c r="CW231" i="24"/>
  <c r="CX231" i="24" s="1"/>
  <c r="CL273" i="24"/>
  <c r="CW273" i="24"/>
  <c r="CX273" i="24" s="1"/>
  <c r="DQ273" i="24"/>
  <c r="CY273" i="24"/>
  <c r="CU273" i="24"/>
  <c r="CL247" i="24"/>
  <c r="DQ247" i="24"/>
  <c r="CW247" i="24"/>
  <c r="CX247" i="24" s="1"/>
  <c r="CY247" i="24"/>
  <c r="CU247" i="24"/>
  <c r="CL304" i="24"/>
  <c r="DQ304" i="24"/>
  <c r="CW304" i="24"/>
  <c r="CX304" i="24" s="1"/>
  <c r="CY304" i="24"/>
  <c r="CU304" i="24"/>
  <c r="DQ199" i="24"/>
  <c r="CW199" i="24"/>
  <c r="CX199" i="24" s="1"/>
  <c r="CL199" i="24"/>
  <c r="ES199" i="24"/>
  <c r="EV199" i="24" s="1"/>
  <c r="CY199" i="24"/>
  <c r="CU199" i="24"/>
  <c r="CW252" i="24"/>
  <c r="CX252" i="24" s="1"/>
  <c r="CL252" i="24"/>
  <c r="CU252" i="24"/>
  <c r="DQ252" i="24"/>
  <c r="CY252" i="24"/>
  <c r="CL269" i="24"/>
  <c r="DQ269" i="24"/>
  <c r="CW269" i="24"/>
  <c r="CX269" i="24" s="1"/>
  <c r="CU269" i="24"/>
  <c r="CY269" i="24"/>
  <c r="ES46" i="24"/>
  <c r="EV46" i="24" s="1"/>
  <c r="DQ46" i="24"/>
  <c r="CU46" i="24"/>
  <c r="CV46" i="24" s="1"/>
  <c r="CW46" i="24"/>
  <c r="CX46" i="24" s="1"/>
  <c r="CL46" i="24"/>
  <c r="CY46" i="24"/>
  <c r="CL16" i="24"/>
  <c r="ES16" i="24"/>
  <c r="EV16" i="24" s="1"/>
  <c r="DQ16" i="24"/>
  <c r="CW16" i="24"/>
  <c r="CX16" i="24" s="1"/>
  <c r="CY16" i="24"/>
  <c r="CU16" i="24"/>
  <c r="CV16" i="24" s="1"/>
  <c r="ES65" i="24"/>
  <c r="EV65" i="24" s="1"/>
  <c r="DQ65" i="24"/>
  <c r="CY65" i="24"/>
  <c r="CZ65" i="24" s="1"/>
  <c r="CL65" i="24"/>
  <c r="CW65" i="24"/>
  <c r="CX65" i="24" s="1"/>
  <c r="CU65" i="24"/>
  <c r="CV65" i="24" s="1"/>
  <c r="CL24" i="24"/>
  <c r="ES24" i="24"/>
  <c r="EV24" i="24" s="1"/>
  <c r="DQ24" i="24"/>
  <c r="CW24" i="24"/>
  <c r="CX24" i="24" s="1"/>
  <c r="CY24" i="24"/>
  <c r="CU24" i="24"/>
  <c r="CV24" i="24" s="1"/>
  <c r="DQ25" i="24"/>
  <c r="ES25" i="24"/>
  <c r="EV25" i="24" s="1"/>
  <c r="CW25" i="24"/>
  <c r="CX25" i="24" s="1"/>
  <c r="CL25" i="24"/>
  <c r="CY25" i="24"/>
  <c r="CU25" i="24"/>
  <c r="CV25" i="24" s="1"/>
  <c r="CL8" i="24"/>
  <c r="ES8" i="24"/>
  <c r="EV8" i="24" s="1"/>
  <c r="DQ8" i="24"/>
  <c r="CW8" i="24"/>
  <c r="CX8" i="24" s="1"/>
  <c r="CY8" i="24"/>
  <c r="CU8" i="24"/>
  <c r="CV8" i="24" s="1"/>
  <c r="DQ54" i="24"/>
  <c r="CY54" i="24"/>
  <c r="CL54" i="24"/>
  <c r="CU54" i="24"/>
  <c r="CV54" i="24" s="1"/>
  <c r="ES54" i="24"/>
  <c r="EV54" i="24" s="1"/>
  <c r="CW54" i="24"/>
  <c r="CX54" i="24" s="1"/>
  <c r="CL90" i="24"/>
  <c r="CW90" i="24"/>
  <c r="CX90" i="24" s="1"/>
  <c r="ES90" i="24"/>
  <c r="EV90" i="24" s="1"/>
  <c r="DQ90" i="24"/>
  <c r="CU90" i="24"/>
  <c r="CV90" i="24" s="1"/>
  <c r="CY90" i="24"/>
  <c r="DQ93" i="24"/>
  <c r="ES93" i="24"/>
  <c r="EV93" i="24" s="1"/>
  <c r="CY93" i="24"/>
  <c r="CL93" i="24"/>
  <c r="CW93" i="24"/>
  <c r="CX93" i="24" s="1"/>
  <c r="CU93" i="24"/>
  <c r="CV93" i="24" s="1"/>
  <c r="DQ149" i="24"/>
  <c r="CY149" i="24"/>
  <c r="CU149" i="24"/>
  <c r="CW149" i="24"/>
  <c r="CX149" i="24" s="1"/>
  <c r="ES149" i="24"/>
  <c r="EV149" i="24" s="1"/>
  <c r="CL149" i="24"/>
  <c r="CL76" i="24"/>
  <c r="ES76" i="24"/>
  <c r="EV76" i="24" s="1"/>
  <c r="CY76" i="24"/>
  <c r="CZ76" i="24" s="1"/>
  <c r="CW76" i="24"/>
  <c r="CX76" i="24" s="1"/>
  <c r="DQ76" i="24"/>
  <c r="CU76" i="24"/>
  <c r="CV76" i="24" s="1"/>
  <c r="DQ163" i="24"/>
  <c r="ES163" i="24"/>
  <c r="EV163" i="24" s="1"/>
  <c r="CL163" i="24"/>
  <c r="CW163" i="24"/>
  <c r="CX163" i="24" s="1"/>
  <c r="CY163" i="24"/>
  <c r="CZ163" i="24" s="1"/>
  <c r="CU163" i="24"/>
  <c r="ES33" i="24"/>
  <c r="EV33" i="24" s="1"/>
  <c r="DQ33" i="24"/>
  <c r="CY33" i="24"/>
  <c r="CL33" i="24"/>
  <c r="CW33" i="24"/>
  <c r="CX33" i="24" s="1"/>
  <c r="CU33" i="24"/>
  <c r="CV33" i="24" s="1"/>
  <c r="DQ80" i="24"/>
  <c r="CW80" i="24"/>
  <c r="CX80" i="24" s="1"/>
  <c r="ES80" i="24"/>
  <c r="EV80" i="24" s="1"/>
  <c r="CU80" i="24"/>
  <c r="CV80" i="24" s="1"/>
  <c r="CL80" i="24"/>
  <c r="CY80" i="24"/>
  <c r="ES155" i="24"/>
  <c r="EV155" i="24" s="1"/>
  <c r="DQ155" i="24"/>
  <c r="CL155" i="24"/>
  <c r="CW155" i="24"/>
  <c r="CX155" i="24" s="1"/>
  <c r="CY155" i="24"/>
  <c r="CU155" i="24"/>
  <c r="DQ126" i="24"/>
  <c r="CW126" i="24"/>
  <c r="CX126" i="24" s="1"/>
  <c r="CL126" i="24"/>
  <c r="ES126" i="24"/>
  <c r="EV126" i="24" s="1"/>
  <c r="CU126" i="24"/>
  <c r="CY126" i="24"/>
  <c r="CW173" i="24"/>
  <c r="CX173" i="24" s="1"/>
  <c r="CL173" i="24"/>
  <c r="ES173" i="24"/>
  <c r="EV173" i="24" s="1"/>
  <c r="DQ173" i="24"/>
  <c r="CY173" i="24"/>
  <c r="CU173" i="24"/>
  <c r="CY147" i="24"/>
  <c r="CU147" i="24"/>
  <c r="DQ147" i="24"/>
  <c r="CW147" i="24"/>
  <c r="CX147" i="24" s="1"/>
  <c r="ES147" i="24"/>
  <c r="EV147" i="24" s="1"/>
  <c r="CL147" i="24"/>
  <c r="ES102" i="24"/>
  <c r="EV102" i="24" s="1"/>
  <c r="CL102" i="24"/>
  <c r="DQ102" i="24"/>
  <c r="CW102" i="24"/>
  <c r="CX102" i="24" s="1"/>
  <c r="CY102" i="24"/>
  <c r="CU102" i="24"/>
  <c r="CV102" i="24" s="1"/>
  <c r="DQ169" i="24"/>
  <c r="CW169" i="24"/>
  <c r="CX169" i="24" s="1"/>
  <c r="CL169" i="24"/>
  <c r="ES169" i="24"/>
  <c r="EV169" i="24" s="1"/>
  <c r="CY169" i="24"/>
  <c r="CU169" i="24"/>
  <c r="CL105" i="24"/>
  <c r="ES105" i="24"/>
  <c r="EV105" i="24" s="1"/>
  <c r="DQ105" i="24"/>
  <c r="CW105" i="24"/>
  <c r="CX105" i="24" s="1"/>
  <c r="CY105" i="24"/>
  <c r="CU105" i="24"/>
  <c r="CV105" i="24" s="1"/>
  <c r="DQ186" i="24"/>
  <c r="CW186" i="24"/>
  <c r="CX186" i="24" s="1"/>
  <c r="CL186" i="24"/>
  <c r="ES186" i="24"/>
  <c r="EV186" i="24" s="1"/>
  <c r="CY186" i="24"/>
  <c r="CU186" i="24"/>
  <c r="DQ134" i="24"/>
  <c r="CL134" i="24"/>
  <c r="CW134" i="24"/>
  <c r="CX134" i="24" s="1"/>
  <c r="CY134" i="24"/>
  <c r="ES134" i="24"/>
  <c r="EV134" i="24" s="1"/>
  <c r="CU134" i="24"/>
  <c r="ES183" i="24"/>
  <c r="EV183" i="24" s="1"/>
  <c r="DQ183" i="24"/>
  <c r="CY183" i="24"/>
  <c r="CL183" i="24"/>
  <c r="CW183" i="24"/>
  <c r="CX183" i="24" s="1"/>
  <c r="CU183" i="24"/>
  <c r="DQ230" i="24"/>
  <c r="CW230" i="24"/>
  <c r="CX230" i="24" s="1"/>
  <c r="CL230" i="24"/>
  <c r="CY230" i="24"/>
  <c r="CU230" i="24"/>
  <c r="DQ312" i="24"/>
  <c r="CL312" i="24"/>
  <c r="CY312" i="24"/>
  <c r="CW312" i="24"/>
  <c r="CX312" i="24" s="1"/>
  <c r="CU312" i="24"/>
  <c r="CL275" i="24"/>
  <c r="DQ275" i="24"/>
  <c r="CW275" i="24"/>
  <c r="CX275" i="24" s="1"/>
  <c r="CU275" i="24"/>
  <c r="CY275" i="24"/>
  <c r="ES210" i="24"/>
  <c r="EV210" i="24" s="1"/>
  <c r="CW210" i="24"/>
  <c r="CX210" i="24" s="1"/>
  <c r="CY210" i="24"/>
  <c r="CU210" i="24"/>
  <c r="CL210" i="24"/>
  <c r="DQ210" i="24"/>
  <c r="DQ265" i="24"/>
  <c r="CL265" i="24"/>
  <c r="CU265" i="24"/>
  <c r="CW265" i="24"/>
  <c r="CX265" i="24" s="1"/>
  <c r="CY265" i="24"/>
  <c r="DQ305" i="24"/>
  <c r="CW305" i="24"/>
  <c r="CX305" i="24" s="1"/>
  <c r="CY305" i="24"/>
  <c r="CZ305" i="24" s="1"/>
  <c r="CL305" i="24"/>
  <c r="CU305" i="24"/>
  <c r="DQ241" i="24"/>
  <c r="CW241" i="24"/>
  <c r="CX241" i="24" s="1"/>
  <c r="CL241" i="24"/>
  <c r="CU241" i="24"/>
  <c r="CY241" i="24"/>
  <c r="CL292" i="24"/>
  <c r="DQ292" i="24"/>
  <c r="CY292" i="24"/>
  <c r="CW292" i="24"/>
  <c r="CX292" i="24" s="1"/>
  <c r="CU292" i="24"/>
  <c r="CY248" i="24"/>
  <c r="CZ248" i="24" s="1"/>
  <c r="DQ248" i="24"/>
  <c r="CU248" i="24"/>
  <c r="CW248" i="24"/>
  <c r="CX248" i="24" s="1"/>
  <c r="CL248" i="24"/>
  <c r="CL308" i="24"/>
  <c r="DQ308" i="24"/>
  <c r="CU308" i="24"/>
  <c r="CY308" i="24"/>
  <c r="CW308" i="24"/>
  <c r="CX308" i="24" s="1"/>
  <c r="ES202" i="24"/>
  <c r="EV202" i="24" s="1"/>
  <c r="DQ202" i="24"/>
  <c r="CW202" i="24"/>
  <c r="CX202" i="24" s="1"/>
  <c r="CL202" i="24"/>
  <c r="CU202" i="24"/>
  <c r="CY202" i="24"/>
  <c r="CZ202" i="24" s="1"/>
  <c r="DQ254" i="24"/>
  <c r="CW254" i="24"/>
  <c r="CX254" i="24" s="1"/>
  <c r="CL254" i="24"/>
  <c r="CY254" i="24"/>
  <c r="CU254" i="24"/>
  <c r="CU274" i="24"/>
  <c r="CL274" i="24"/>
  <c r="CW274" i="24"/>
  <c r="CX274" i="24" s="1"/>
  <c r="DQ274" i="24"/>
  <c r="CY274" i="24"/>
  <c r="ES22" i="24"/>
  <c r="EV22" i="24" s="1"/>
  <c r="DQ22" i="24"/>
  <c r="CW22" i="24"/>
  <c r="CX22" i="24" s="1"/>
  <c r="CY22" i="24"/>
  <c r="CU22" i="24"/>
  <c r="CV22" i="24" s="1"/>
  <c r="CL22" i="24"/>
  <c r="ES50" i="24"/>
  <c r="EV50" i="24" s="1"/>
  <c r="CL50" i="24"/>
  <c r="CU50" i="24"/>
  <c r="CV50" i="24" s="1"/>
  <c r="CW50" i="24"/>
  <c r="CX50" i="24" s="1"/>
  <c r="DQ50" i="24"/>
  <c r="CY50" i="24"/>
  <c r="CZ50" i="24" s="1"/>
  <c r="CW48" i="24"/>
  <c r="CX48" i="24" s="1"/>
  <c r="DQ48" i="24"/>
  <c r="ES48" i="24"/>
  <c r="EV48" i="24" s="1"/>
  <c r="CL48" i="24"/>
  <c r="CY48" i="24"/>
  <c r="CU48" i="24"/>
  <c r="CV48" i="24" s="1"/>
  <c r="DQ67" i="24"/>
  <c r="ES67" i="24"/>
  <c r="EV67" i="24" s="1"/>
  <c r="CL67" i="24"/>
  <c r="CW67" i="24"/>
  <c r="CX67" i="24" s="1"/>
  <c r="CY67" i="24"/>
  <c r="CU67" i="24"/>
  <c r="CV67" i="24" s="1"/>
  <c r="CL27" i="24"/>
  <c r="CU27" i="24"/>
  <c r="CV27" i="24" s="1"/>
  <c r="CW27" i="24"/>
  <c r="CX27" i="24" s="1"/>
  <c r="DQ27" i="24"/>
  <c r="ES27" i="24"/>
  <c r="EV27" i="24" s="1"/>
  <c r="CY27" i="24"/>
  <c r="CL55" i="24"/>
  <c r="CW55" i="24"/>
  <c r="CX55" i="24" s="1"/>
  <c r="ES55" i="24"/>
  <c r="EV55" i="24" s="1"/>
  <c r="CY55" i="24"/>
  <c r="DQ55" i="24"/>
  <c r="CU55" i="24"/>
  <c r="CV55" i="24" s="1"/>
  <c r="CU19" i="24"/>
  <c r="CV19" i="24" s="1"/>
  <c r="CL19" i="24"/>
  <c r="CY19" i="24"/>
  <c r="ES19" i="24"/>
  <c r="EV19" i="24" s="1"/>
  <c r="DQ19" i="24"/>
  <c r="CW19" i="24"/>
  <c r="CX19" i="24" s="1"/>
  <c r="CL56" i="24"/>
  <c r="ES56" i="24"/>
  <c r="EV56" i="24" s="1"/>
  <c r="CY56" i="24"/>
  <c r="CW56" i="24"/>
  <c r="CX56" i="24" s="1"/>
  <c r="DQ56" i="24"/>
  <c r="CU56" i="24"/>
  <c r="CV56" i="24" s="1"/>
  <c r="ES7" i="24"/>
  <c r="EV7" i="24" s="1"/>
  <c r="CL7" i="24"/>
  <c r="DQ7" i="24"/>
  <c r="CW7" i="24"/>
  <c r="CX7" i="24" s="1"/>
  <c r="CY7" i="24"/>
  <c r="CU7" i="24"/>
  <c r="CV7" i="24" s="1"/>
  <c r="DQ97" i="24"/>
  <c r="CL97" i="24"/>
  <c r="ES97" i="24"/>
  <c r="EV97" i="24" s="1"/>
  <c r="CW97" i="24"/>
  <c r="CX97" i="24" s="1"/>
  <c r="CY97" i="24"/>
  <c r="CU97" i="24"/>
  <c r="CV97" i="24" s="1"/>
  <c r="ES152" i="24"/>
  <c r="EV152" i="24" s="1"/>
  <c r="CU152" i="24"/>
  <c r="CY152" i="24"/>
  <c r="CW152" i="24"/>
  <c r="CX152" i="24" s="1"/>
  <c r="CL152" i="24"/>
  <c r="DQ152" i="24"/>
  <c r="ES88" i="24"/>
  <c r="EV88" i="24" s="1"/>
  <c r="CU88" i="24"/>
  <c r="CV88" i="24" s="1"/>
  <c r="CL88" i="24"/>
  <c r="CW88" i="24"/>
  <c r="CX88" i="24" s="1"/>
  <c r="DQ88" i="24"/>
  <c r="CY88" i="24"/>
  <c r="DQ170" i="24"/>
  <c r="CL170" i="24"/>
  <c r="CW170" i="24"/>
  <c r="CX170" i="24" s="1"/>
  <c r="CU170" i="24"/>
  <c r="ES170" i="24"/>
  <c r="EV170" i="24" s="1"/>
  <c r="CY170" i="24"/>
  <c r="ES37" i="24"/>
  <c r="EV37" i="24" s="1"/>
  <c r="CL37" i="24"/>
  <c r="CY37" i="24"/>
  <c r="CW37" i="24"/>
  <c r="CX37" i="24" s="1"/>
  <c r="DQ37" i="24"/>
  <c r="CU37" i="24"/>
  <c r="CV37" i="24" s="1"/>
  <c r="ES82" i="24"/>
  <c r="EV82" i="24" s="1"/>
  <c r="DQ82" i="24"/>
  <c r="CL82" i="24"/>
  <c r="CY82" i="24"/>
  <c r="CW82" i="24"/>
  <c r="CX82" i="24" s="1"/>
  <c r="CU82" i="24"/>
  <c r="CV82" i="24" s="1"/>
  <c r="ES166" i="24"/>
  <c r="EV166" i="24" s="1"/>
  <c r="DQ166" i="24"/>
  <c r="CL166" i="24"/>
  <c r="CW166" i="24"/>
  <c r="CX166" i="24" s="1"/>
  <c r="CY166" i="24"/>
  <c r="CU166" i="24"/>
  <c r="DQ129" i="24"/>
  <c r="CW129" i="24"/>
  <c r="CX129" i="24" s="1"/>
  <c r="CL129" i="24"/>
  <c r="ES129" i="24"/>
  <c r="EV129" i="24" s="1"/>
  <c r="CU129" i="24"/>
  <c r="CY129" i="24"/>
  <c r="ES182" i="24"/>
  <c r="EV182" i="24" s="1"/>
  <c r="DQ182" i="24"/>
  <c r="CL182" i="24"/>
  <c r="CW182" i="24"/>
  <c r="CX182" i="24" s="1"/>
  <c r="CU182" i="24"/>
  <c r="CY182" i="24"/>
  <c r="DQ154" i="24"/>
  <c r="CL154" i="24"/>
  <c r="CW154" i="24"/>
  <c r="CX154" i="24" s="1"/>
  <c r="CY154" i="24"/>
  <c r="ES154" i="24"/>
  <c r="EV154" i="24" s="1"/>
  <c r="CU154" i="24"/>
  <c r="ES104" i="24"/>
  <c r="EV104" i="24" s="1"/>
  <c r="DQ104" i="24"/>
  <c r="CW104" i="24"/>
  <c r="CX104" i="24" s="1"/>
  <c r="CY104" i="24"/>
  <c r="CL104" i="24"/>
  <c r="CU104" i="24"/>
  <c r="CV104" i="24" s="1"/>
  <c r="CY175" i="24"/>
  <c r="DQ175" i="24"/>
  <c r="CW175" i="24"/>
  <c r="CX175" i="24" s="1"/>
  <c r="ES175" i="24"/>
  <c r="EV175" i="24" s="1"/>
  <c r="CL175" i="24"/>
  <c r="CU175" i="24"/>
  <c r="DQ112" i="24"/>
  <c r="CW112" i="24"/>
  <c r="CX112" i="24" s="1"/>
  <c r="ES112" i="24"/>
  <c r="EV112" i="24" s="1"/>
  <c r="CL112" i="24"/>
  <c r="CY112" i="24"/>
  <c r="CU112" i="24"/>
  <c r="DQ228" i="24"/>
  <c r="CL228" i="24"/>
  <c r="CW228" i="24"/>
  <c r="CX228" i="24" s="1"/>
  <c r="CY228" i="24"/>
  <c r="CU228" i="24"/>
  <c r="DQ143" i="24"/>
  <c r="CL143" i="24"/>
  <c r="CW143" i="24"/>
  <c r="CX143" i="24" s="1"/>
  <c r="ES143" i="24"/>
  <c r="EV143" i="24" s="1"/>
  <c r="CU143" i="24"/>
  <c r="CY143" i="24"/>
  <c r="DQ243" i="24"/>
  <c r="CW243" i="24"/>
  <c r="CX243" i="24" s="1"/>
  <c r="CL243" i="24"/>
  <c r="CU243" i="24"/>
  <c r="CY243" i="24"/>
  <c r="DQ235" i="24"/>
  <c r="CL235" i="24"/>
  <c r="CY235" i="24"/>
  <c r="CW235" i="24"/>
  <c r="CX235" i="24" s="1"/>
  <c r="CU235" i="24"/>
  <c r="CL191" i="24"/>
  <c r="CU191" i="24"/>
  <c r="CY191" i="24"/>
  <c r="ES191" i="24"/>
  <c r="EV191" i="24" s="1"/>
  <c r="CW191" i="24"/>
  <c r="CX191" i="24" s="1"/>
  <c r="DQ191" i="24"/>
  <c r="DQ279" i="24"/>
  <c r="CL279" i="24"/>
  <c r="CW279" i="24"/>
  <c r="CX279" i="24" s="1"/>
  <c r="CU279" i="24"/>
  <c r="CY279" i="24"/>
  <c r="DQ222" i="24"/>
  <c r="CW222" i="24"/>
  <c r="CX222" i="24" s="1"/>
  <c r="CL222" i="24"/>
  <c r="CY222" i="24"/>
  <c r="CU222" i="24"/>
  <c r="CL276" i="24"/>
  <c r="CY276" i="24"/>
  <c r="CZ276" i="24" s="1"/>
  <c r="CW276" i="24"/>
  <c r="CX276" i="24" s="1"/>
  <c r="DQ276" i="24"/>
  <c r="CU276" i="24"/>
  <c r="ES185" i="24"/>
  <c r="EV185" i="24" s="1"/>
  <c r="CL185" i="24"/>
  <c r="CW185" i="24"/>
  <c r="CX185" i="24" s="1"/>
  <c r="DQ185" i="24"/>
  <c r="CU185" i="24"/>
  <c r="CY185" i="24"/>
  <c r="CL245" i="24"/>
  <c r="CY245" i="24"/>
  <c r="CZ245" i="24" s="1"/>
  <c r="DQ245" i="24"/>
  <c r="CW245" i="24"/>
  <c r="CX245" i="24" s="1"/>
  <c r="CU245" i="24"/>
  <c r="CU293" i="24"/>
  <c r="CW293" i="24"/>
  <c r="CX293" i="24" s="1"/>
  <c r="DQ293" i="24"/>
  <c r="CL293" i="24"/>
  <c r="CY293" i="24"/>
  <c r="CL262" i="24"/>
  <c r="DQ262" i="24"/>
  <c r="CW262" i="24"/>
  <c r="CX262" i="24" s="1"/>
  <c r="CU262" i="24"/>
  <c r="CY262" i="24"/>
  <c r="CL311" i="24"/>
  <c r="DQ311" i="24"/>
  <c r="CY311" i="24"/>
  <c r="CW311" i="24"/>
  <c r="CX311" i="24" s="1"/>
  <c r="CU311" i="24"/>
  <c r="ES204" i="24"/>
  <c r="EV204" i="24" s="1"/>
  <c r="CW204" i="24"/>
  <c r="CX204" i="24" s="1"/>
  <c r="CY204" i="24"/>
  <c r="CL204" i="24"/>
  <c r="DQ204" i="24"/>
  <c r="CU204" i="24"/>
  <c r="CL278" i="24"/>
  <c r="DQ278" i="24"/>
  <c r="CW278" i="24"/>
  <c r="CX278" i="24" s="1"/>
  <c r="CY278" i="24"/>
  <c r="CU278" i="24"/>
  <c r="CY280" i="24"/>
  <c r="CL280" i="24"/>
  <c r="CW280" i="24"/>
  <c r="CX280" i="24" s="1"/>
  <c r="CU280" i="24"/>
  <c r="DQ280" i="24"/>
  <c r="ES17" i="24"/>
  <c r="EV17" i="24" s="1"/>
  <c r="CW17" i="24"/>
  <c r="CX17" i="24" s="1"/>
  <c r="DQ17" i="24"/>
  <c r="CL17" i="24"/>
  <c r="CU17" i="24"/>
  <c r="CV17" i="24" s="1"/>
  <c r="CY17" i="24"/>
  <c r="ES57" i="24"/>
  <c r="EV57" i="24" s="1"/>
  <c r="DQ57" i="24"/>
  <c r="CW57" i="24"/>
  <c r="CX57" i="24" s="1"/>
  <c r="CL57" i="24"/>
  <c r="CY57" i="24"/>
  <c r="CU57" i="24"/>
  <c r="CV57" i="24" s="1"/>
  <c r="CL10" i="24"/>
  <c r="ES10" i="24"/>
  <c r="EV10" i="24" s="1"/>
  <c r="CW10" i="24"/>
  <c r="CX10" i="24" s="1"/>
  <c r="DQ10" i="24"/>
  <c r="CU10" i="24"/>
  <c r="CV10" i="24" s="1"/>
  <c r="CY10" i="24"/>
  <c r="DQ84" i="24"/>
  <c r="ES84" i="24"/>
  <c r="EV84" i="24" s="1"/>
  <c r="CU84" i="24"/>
  <c r="CV84" i="24" s="1"/>
  <c r="CW84" i="24"/>
  <c r="CX84" i="24" s="1"/>
  <c r="CL84" i="24"/>
  <c r="CY84" i="24"/>
  <c r="DQ58" i="24"/>
  <c r="ES58" i="24"/>
  <c r="EV58" i="24" s="1"/>
  <c r="CL58" i="24"/>
  <c r="CY58" i="24"/>
  <c r="CU58" i="24"/>
  <c r="CV58" i="24" s="1"/>
  <c r="CW58" i="24"/>
  <c r="CX58" i="24" s="1"/>
  <c r="ES62" i="24"/>
  <c r="EV62" i="24" s="1"/>
  <c r="CL62" i="24"/>
  <c r="CW62" i="24"/>
  <c r="CX62" i="24" s="1"/>
  <c r="CU62" i="24"/>
  <c r="CV62" i="24" s="1"/>
  <c r="CY62" i="24"/>
  <c r="DQ62" i="24"/>
  <c r="ES29" i="24"/>
  <c r="EV29" i="24" s="1"/>
  <c r="CL29" i="24"/>
  <c r="CW29" i="24"/>
  <c r="CX29" i="24" s="1"/>
  <c r="CY29" i="24"/>
  <c r="CU29" i="24"/>
  <c r="CV29" i="24" s="1"/>
  <c r="DQ29" i="24"/>
  <c r="CY60" i="24"/>
  <c r="CW60" i="24"/>
  <c r="CX60" i="24" s="1"/>
  <c r="ES60" i="24"/>
  <c r="EV60" i="24" s="1"/>
  <c r="DQ60" i="24"/>
  <c r="CL60" i="24"/>
  <c r="CU60" i="24"/>
  <c r="CV60" i="24" s="1"/>
  <c r="CY20" i="24"/>
  <c r="CU20" i="24"/>
  <c r="CV20" i="24" s="1"/>
  <c r="CL20" i="24"/>
  <c r="CW20" i="24"/>
  <c r="CX20" i="24" s="1"/>
  <c r="ES20" i="24"/>
  <c r="EV20" i="24" s="1"/>
  <c r="DQ20" i="24"/>
  <c r="DQ103" i="24"/>
  <c r="ES103" i="24"/>
  <c r="EV103" i="24" s="1"/>
  <c r="CL103" i="24"/>
  <c r="CW103" i="24"/>
  <c r="CX103" i="24" s="1"/>
  <c r="CY103" i="24"/>
  <c r="CU103" i="24"/>
  <c r="CV103" i="24" s="1"/>
  <c r="ES156" i="24"/>
  <c r="EV156" i="24" s="1"/>
  <c r="DQ156" i="24"/>
  <c r="CW156" i="24"/>
  <c r="CX156" i="24" s="1"/>
  <c r="CL156" i="24"/>
  <c r="CY156" i="24"/>
  <c r="CU156" i="24"/>
  <c r="CU89" i="24"/>
  <c r="CV89" i="24" s="1"/>
  <c r="DQ89" i="24"/>
  <c r="CL89" i="24"/>
  <c r="ES89" i="24"/>
  <c r="EV89" i="24" s="1"/>
  <c r="CW89" i="24"/>
  <c r="CX89" i="24" s="1"/>
  <c r="CY89" i="24"/>
  <c r="CZ89" i="24" s="1"/>
  <c r="ES193" i="24"/>
  <c r="EV193" i="24" s="1"/>
  <c r="DQ193" i="24"/>
  <c r="CW193" i="24"/>
  <c r="CX193" i="24" s="1"/>
  <c r="CL193" i="24"/>
  <c r="CY193" i="24"/>
  <c r="CU193" i="24"/>
  <c r="ES38" i="24"/>
  <c r="EV38" i="24" s="1"/>
  <c r="DQ38" i="24"/>
  <c r="CW38" i="24"/>
  <c r="CX38" i="24" s="1"/>
  <c r="CU38" i="24"/>
  <c r="CV38" i="24" s="1"/>
  <c r="CY38" i="24"/>
  <c r="CL38" i="24"/>
  <c r="DQ111" i="24"/>
  <c r="CW111" i="24"/>
  <c r="CX111" i="24" s="1"/>
  <c r="ES111" i="24"/>
  <c r="EV111" i="24" s="1"/>
  <c r="CY111" i="24"/>
  <c r="CL111" i="24"/>
  <c r="CU111" i="24"/>
  <c r="ES172" i="24"/>
  <c r="EV172" i="24" s="1"/>
  <c r="CW172" i="24"/>
  <c r="CX172" i="24" s="1"/>
  <c r="CU172" i="24"/>
  <c r="CL172" i="24"/>
  <c r="DQ172" i="24"/>
  <c r="CY172" i="24"/>
  <c r="ES133" i="24"/>
  <c r="EV133" i="24" s="1"/>
  <c r="DQ133" i="24"/>
  <c r="CL133" i="24"/>
  <c r="CW133" i="24"/>
  <c r="CX133" i="24" s="1"/>
  <c r="CY133" i="24"/>
  <c r="CU133" i="24"/>
  <c r="CW242" i="24"/>
  <c r="CX242" i="24" s="1"/>
  <c r="DQ242" i="24"/>
  <c r="CL242" i="24"/>
  <c r="CY242" i="24"/>
  <c r="CU242" i="24"/>
  <c r="ES164" i="24"/>
  <c r="EV164" i="24" s="1"/>
  <c r="CL164" i="24"/>
  <c r="DQ164" i="24"/>
  <c r="CW164" i="24"/>
  <c r="CX164" i="24" s="1"/>
  <c r="CU164" i="24"/>
  <c r="CY164" i="24"/>
  <c r="CL116" i="24"/>
  <c r="ES116" i="24"/>
  <c r="EV116" i="24" s="1"/>
  <c r="CW116" i="24"/>
  <c r="CX116" i="24" s="1"/>
  <c r="DQ116" i="24"/>
  <c r="CY116" i="24"/>
  <c r="CU116" i="24"/>
  <c r="CW194" i="24"/>
  <c r="CX194" i="24" s="1"/>
  <c r="CY194" i="24"/>
  <c r="CZ194" i="24" s="1"/>
  <c r="DQ194" i="24"/>
  <c r="CU194" i="24"/>
  <c r="ES194" i="24"/>
  <c r="EV194" i="24" s="1"/>
  <c r="CL194" i="24"/>
  <c r="CY115" i="24"/>
  <c r="CZ115" i="24" s="1"/>
  <c r="CW115" i="24"/>
  <c r="CX115" i="24" s="1"/>
  <c r="CU115" i="24"/>
  <c r="DQ115" i="24"/>
  <c r="ES115" i="24"/>
  <c r="EV115" i="24" s="1"/>
  <c r="CL115" i="24"/>
  <c r="DQ250" i="24"/>
  <c r="CY250" i="24"/>
  <c r="CZ250" i="24" s="1"/>
  <c r="CW250" i="24"/>
  <c r="CX250" i="24" s="1"/>
  <c r="CL250" i="24"/>
  <c r="CU250" i="24"/>
  <c r="ES150" i="24"/>
  <c r="EV150" i="24" s="1"/>
  <c r="CL150" i="24"/>
  <c r="DQ150" i="24"/>
  <c r="CU150" i="24"/>
  <c r="CW150" i="24"/>
  <c r="CX150" i="24" s="1"/>
  <c r="CY150" i="24"/>
  <c r="DQ291" i="24"/>
  <c r="CL291" i="24"/>
  <c r="CW291" i="24"/>
  <c r="CX291" i="24" s="1"/>
  <c r="CY291" i="24"/>
  <c r="CU291" i="24"/>
  <c r="CL240" i="24"/>
  <c r="CW240" i="24"/>
  <c r="CX240" i="24" s="1"/>
  <c r="DQ240" i="24"/>
  <c r="CY240" i="24"/>
  <c r="CU240" i="24"/>
  <c r="ES192" i="24"/>
  <c r="EV192" i="24" s="1"/>
  <c r="CW192" i="24"/>
  <c r="CX192" i="24" s="1"/>
  <c r="CL192" i="24"/>
  <c r="DQ192" i="24"/>
  <c r="CY192" i="24"/>
  <c r="CU192" i="24"/>
  <c r="DQ286" i="24"/>
  <c r="CY286" i="24"/>
  <c r="CL286" i="24"/>
  <c r="CW286" i="24"/>
  <c r="CX286" i="24" s="1"/>
  <c r="CU286" i="24"/>
  <c r="CL224" i="24"/>
  <c r="DQ224" i="24"/>
  <c r="CW224" i="24"/>
  <c r="CX224" i="24" s="1"/>
  <c r="CU224" i="24"/>
  <c r="CY224" i="24"/>
  <c r="DQ277" i="24"/>
  <c r="CY277" i="24"/>
  <c r="CL277" i="24"/>
  <c r="CW277" i="24"/>
  <c r="CX277" i="24" s="1"/>
  <c r="CU277" i="24"/>
  <c r="CL187" i="24"/>
  <c r="CY187" i="24"/>
  <c r="ES187" i="24"/>
  <c r="EV187" i="24" s="1"/>
  <c r="CU187" i="24"/>
  <c r="CW187" i="24"/>
  <c r="CX187" i="24" s="1"/>
  <c r="DQ187" i="24"/>
  <c r="CY253" i="24"/>
  <c r="DQ253" i="24"/>
  <c r="CW253" i="24"/>
  <c r="CX253" i="24" s="1"/>
  <c r="CL253" i="24"/>
  <c r="CU253" i="24"/>
  <c r="CL200" i="24"/>
  <c r="CW200" i="24"/>
  <c r="CX200" i="24" s="1"/>
  <c r="DQ200" i="24"/>
  <c r="ES200" i="24"/>
  <c r="EV200" i="24" s="1"/>
  <c r="CY200" i="24"/>
  <c r="CU200" i="24"/>
  <c r="CL282" i="24"/>
  <c r="CY282" i="24"/>
  <c r="CU282" i="24"/>
  <c r="CW282" i="24"/>
  <c r="CX282" i="24" s="1"/>
  <c r="DQ282" i="24"/>
  <c r="CW314" i="24"/>
  <c r="CX314" i="24" s="1"/>
  <c r="CU314" i="24"/>
  <c r="CL314" i="24"/>
  <c r="CY314" i="24"/>
  <c r="DQ314" i="24"/>
  <c r="CW205" i="24"/>
  <c r="CX205" i="24" s="1"/>
  <c r="CY205" i="24"/>
  <c r="DQ205" i="24"/>
  <c r="CU205" i="24"/>
  <c r="CL205" i="24"/>
  <c r="ES205" i="24"/>
  <c r="EV205" i="24" s="1"/>
  <c r="CL281" i="24"/>
  <c r="DQ281" i="24"/>
  <c r="CW281" i="24"/>
  <c r="CX281" i="24" s="1"/>
  <c r="CU281" i="24"/>
  <c r="CY281" i="24"/>
  <c r="CU289" i="24"/>
  <c r="CL289" i="24"/>
  <c r="CY289" i="24"/>
  <c r="DQ289" i="24"/>
  <c r="CW289" i="24"/>
  <c r="CX289" i="24" s="1"/>
  <c r="ES30" i="24"/>
  <c r="EV30" i="24" s="1"/>
  <c r="DQ30" i="24"/>
  <c r="CY30" i="24"/>
  <c r="CW30" i="24"/>
  <c r="CX30" i="24" s="1"/>
  <c r="CL30" i="24"/>
  <c r="CU30" i="24"/>
  <c r="CV30" i="24" s="1"/>
  <c r="CY72" i="24"/>
  <c r="ES72" i="24"/>
  <c r="EV72" i="24" s="1"/>
  <c r="DQ72" i="24"/>
  <c r="CW72" i="24"/>
  <c r="CX72" i="24" s="1"/>
  <c r="CL72" i="24"/>
  <c r="CU72" i="24"/>
  <c r="CV72" i="24" s="1"/>
  <c r="CL18" i="24"/>
  <c r="ES18" i="24"/>
  <c r="EV18" i="24" s="1"/>
  <c r="CW18" i="24"/>
  <c r="CX18" i="24" s="1"/>
  <c r="DQ18" i="24"/>
  <c r="CY18" i="24"/>
  <c r="CZ18" i="24" s="1"/>
  <c r="CU18" i="24"/>
  <c r="CV18" i="24" s="1"/>
  <c r="ES52" i="24"/>
  <c r="EV52" i="24" s="1"/>
  <c r="DQ52" i="24"/>
  <c r="CW52" i="24"/>
  <c r="CX52" i="24" s="1"/>
  <c r="CU52" i="24"/>
  <c r="CV52" i="24" s="1"/>
  <c r="CL52" i="24"/>
  <c r="CY52" i="24"/>
  <c r="CZ52" i="24" s="1"/>
  <c r="DQ6" i="24"/>
  <c r="CY6" i="24"/>
  <c r="CU6" i="24"/>
  <c r="CV6" i="24" s="1"/>
  <c r="CL6" i="24"/>
  <c r="CW6" i="24"/>
  <c r="CX6" i="24" s="1"/>
  <c r="ES6" i="24"/>
  <c r="EV6" i="24" s="1"/>
  <c r="ES73" i="24"/>
  <c r="EV73" i="24" s="1"/>
  <c r="DQ73" i="24"/>
  <c r="CU73" i="24"/>
  <c r="CV73" i="24" s="1"/>
  <c r="CW73" i="24"/>
  <c r="CX73" i="24" s="1"/>
  <c r="CY73" i="24"/>
  <c r="CL73" i="24"/>
  <c r="ES14" i="24"/>
  <c r="EV14" i="24" s="1"/>
  <c r="DQ14" i="24"/>
  <c r="CY14" i="24"/>
  <c r="CZ14" i="24" s="1"/>
  <c r="CW14" i="24"/>
  <c r="CX14" i="24" s="1"/>
  <c r="CL14" i="24"/>
  <c r="CU14" i="24"/>
  <c r="CV14" i="24" s="1"/>
  <c r="CL64" i="24"/>
  <c r="DQ64" i="24"/>
  <c r="CY64" i="24"/>
  <c r="CW64" i="24"/>
  <c r="CX64" i="24" s="1"/>
  <c r="ES64" i="24"/>
  <c r="EV64" i="24" s="1"/>
  <c r="CU64" i="24"/>
  <c r="CV64" i="24" s="1"/>
  <c r="CL70" i="24"/>
  <c r="DQ70" i="24"/>
  <c r="CY70" i="24"/>
  <c r="CZ70" i="24" s="1"/>
  <c r="CW70" i="24"/>
  <c r="CX70" i="24" s="1"/>
  <c r="CU70" i="24"/>
  <c r="CV70" i="24" s="1"/>
  <c r="ES70" i="24"/>
  <c r="EV70" i="24" s="1"/>
  <c r="DQ118" i="24"/>
  <c r="CU118" i="24"/>
  <c r="CL118" i="24"/>
  <c r="CY118" i="24"/>
  <c r="CW118" i="24"/>
  <c r="CX118" i="24" s="1"/>
  <c r="ES118" i="24"/>
  <c r="EV118" i="24" s="1"/>
  <c r="DQ162" i="24"/>
  <c r="CL162" i="24"/>
  <c r="CW162" i="24"/>
  <c r="CX162" i="24" s="1"/>
  <c r="CY162" i="24"/>
  <c r="CU162" i="24"/>
  <c r="ES162" i="24"/>
  <c r="EV162" i="24" s="1"/>
  <c r="ES113" i="24"/>
  <c r="EV113" i="24" s="1"/>
  <c r="CU113" i="24"/>
  <c r="CW113" i="24"/>
  <c r="CX113" i="24" s="1"/>
  <c r="DQ113" i="24"/>
  <c r="CL113" i="24"/>
  <c r="CY113" i="24"/>
  <c r="DQ234" i="24"/>
  <c r="CL234" i="24"/>
  <c r="CY234" i="24"/>
  <c r="CW234" i="24"/>
  <c r="CX234" i="24" s="1"/>
  <c r="CU234" i="24"/>
  <c r="ES40" i="24"/>
  <c r="EV40" i="24" s="1"/>
  <c r="DQ40" i="24"/>
  <c r="CY40" i="24"/>
  <c r="CU40" i="24"/>
  <c r="CV40" i="24" s="1"/>
  <c r="CL40" i="24"/>
  <c r="CW40" i="24"/>
  <c r="CX40" i="24" s="1"/>
  <c r="ES136" i="24"/>
  <c r="EV136" i="24" s="1"/>
  <c r="CU136" i="24"/>
  <c r="CL136" i="24"/>
  <c r="DQ136" i="24"/>
  <c r="CW136" i="24"/>
  <c r="CX136" i="24" s="1"/>
  <c r="CY136" i="24"/>
  <c r="CY217" i="24"/>
  <c r="CW217" i="24"/>
  <c r="CX217" i="24" s="1"/>
  <c r="CU217" i="24"/>
  <c r="CL217" i="24"/>
  <c r="DQ217" i="24"/>
  <c r="ES146" i="24"/>
  <c r="EV146" i="24" s="1"/>
  <c r="CL146" i="24"/>
  <c r="DQ146" i="24"/>
  <c r="CW146" i="24"/>
  <c r="CX146" i="24" s="1"/>
  <c r="CU146" i="24"/>
  <c r="CY146" i="24"/>
  <c r="DQ244" i="24"/>
  <c r="CY244" i="24"/>
  <c r="CW244" i="24"/>
  <c r="CX244" i="24" s="1"/>
  <c r="CU244" i="24"/>
  <c r="CL244" i="24"/>
  <c r="DQ177" i="24"/>
  <c r="CW177" i="24"/>
  <c r="CX177" i="24" s="1"/>
  <c r="CY177" i="24"/>
  <c r="CL177" i="24"/>
  <c r="ES177" i="24"/>
  <c r="EV177" i="24" s="1"/>
  <c r="CU177" i="24"/>
  <c r="CY123" i="24"/>
  <c r="CU123" i="24"/>
  <c r="CL123" i="24"/>
  <c r="DQ123" i="24"/>
  <c r="ES123" i="24"/>
  <c r="EV123" i="24" s="1"/>
  <c r="CW123" i="24"/>
  <c r="CX123" i="24" s="1"/>
  <c r="DQ209" i="24"/>
  <c r="CL209" i="24"/>
  <c r="ES209" i="24"/>
  <c r="EV209" i="24" s="1"/>
  <c r="CW209" i="24"/>
  <c r="CX209" i="24" s="1"/>
  <c r="CY209" i="24"/>
  <c r="CU209" i="24"/>
  <c r="CL153" i="24"/>
  <c r="ES153" i="24"/>
  <c r="EV153" i="24" s="1"/>
  <c r="DQ153" i="24"/>
  <c r="CW153" i="24"/>
  <c r="CX153" i="24" s="1"/>
  <c r="CU153" i="24"/>
  <c r="CY153" i="24"/>
  <c r="ES83" i="24"/>
  <c r="EV83" i="24" s="1"/>
  <c r="CL83" i="24"/>
  <c r="DQ83" i="24"/>
  <c r="CW83" i="24"/>
  <c r="CX83" i="24" s="1"/>
  <c r="CY83" i="24"/>
  <c r="CZ83" i="24" s="1"/>
  <c r="CU83" i="24"/>
  <c r="CV83" i="24" s="1"/>
  <c r="ES157" i="24"/>
  <c r="EV157" i="24" s="1"/>
  <c r="CY157" i="24"/>
  <c r="CW157" i="24"/>
  <c r="CX157" i="24" s="1"/>
  <c r="DQ157" i="24"/>
  <c r="CL157" i="24"/>
  <c r="CU157" i="24"/>
  <c r="DQ298" i="24"/>
  <c r="CW298" i="24"/>
  <c r="CX298" i="24" s="1"/>
  <c r="CL298" i="24"/>
  <c r="CU298" i="24"/>
  <c r="CY298" i="24"/>
  <c r="DQ263" i="24"/>
  <c r="CL263" i="24"/>
  <c r="CW263" i="24"/>
  <c r="CX263" i="24" s="1"/>
  <c r="CU263" i="24"/>
  <c r="CY263" i="24"/>
  <c r="CL221" i="24"/>
  <c r="CY221" i="24"/>
  <c r="CU221" i="24"/>
  <c r="CW221" i="24"/>
  <c r="CX221" i="24" s="1"/>
  <c r="DQ221" i="24"/>
  <c r="CW294" i="24"/>
  <c r="CX294" i="24" s="1"/>
  <c r="DQ294" i="24"/>
  <c r="CY294" i="24"/>
  <c r="CL294" i="24"/>
  <c r="CU294" i="24"/>
  <c r="CL226" i="24"/>
  <c r="CW226" i="24"/>
  <c r="CX226" i="24" s="1"/>
  <c r="DQ226" i="24"/>
  <c r="CU226" i="24"/>
  <c r="CY226" i="24"/>
  <c r="CL285" i="24"/>
  <c r="DQ285" i="24"/>
  <c r="CW285" i="24"/>
  <c r="CX285" i="24" s="1"/>
  <c r="CY285" i="24"/>
  <c r="CU285" i="24"/>
  <c r="ES203" i="24"/>
  <c r="EV203" i="24" s="1"/>
  <c r="DQ203" i="24"/>
  <c r="CL203" i="24"/>
  <c r="CW203" i="24"/>
  <c r="CX203" i="24" s="1"/>
  <c r="CY203" i="24"/>
  <c r="CU203" i="24"/>
  <c r="DQ255" i="24"/>
  <c r="CL255" i="24"/>
  <c r="CY255" i="24"/>
  <c r="CU255" i="24"/>
  <c r="CW255" i="24"/>
  <c r="CX255" i="24" s="1"/>
  <c r="ES206" i="24"/>
  <c r="EV206" i="24" s="1"/>
  <c r="CL206" i="24"/>
  <c r="DQ206" i="24"/>
  <c r="CW206" i="24"/>
  <c r="CX206" i="24" s="1"/>
  <c r="CY206" i="24"/>
  <c r="CU206" i="24"/>
  <c r="CL284" i="24"/>
  <c r="CW284" i="24"/>
  <c r="CX284" i="24" s="1"/>
  <c r="CY284" i="24"/>
  <c r="DQ284" i="24"/>
  <c r="CU284" i="24"/>
  <c r="DQ189" i="24"/>
  <c r="CU189" i="24"/>
  <c r="CL189" i="24"/>
  <c r="CY189" i="24"/>
  <c r="CZ189" i="24" s="1"/>
  <c r="CW189" i="24"/>
  <c r="CX189" i="24" s="1"/>
  <c r="ES189" i="24"/>
  <c r="EV189" i="24" s="1"/>
  <c r="DQ236" i="24"/>
  <c r="CL236" i="24"/>
  <c r="CW236" i="24"/>
  <c r="CX236" i="24" s="1"/>
  <c r="CY236" i="24"/>
  <c r="CU236" i="24"/>
  <c r="CL283" i="24"/>
  <c r="DQ283" i="24"/>
  <c r="CW283" i="24"/>
  <c r="CX283" i="24" s="1"/>
  <c r="CY283" i="24"/>
  <c r="CU283" i="24"/>
  <c r="DQ296" i="24"/>
  <c r="CL296" i="24"/>
  <c r="CY296" i="24"/>
  <c r="CW296" i="24"/>
  <c r="CX296" i="24" s="1"/>
  <c r="CU296" i="24"/>
  <c r="DQ15" i="24"/>
  <c r="ES15" i="24"/>
  <c r="EV15" i="24" s="1"/>
  <c r="CL15" i="24"/>
  <c r="CW15" i="24"/>
  <c r="CX15" i="24" s="1"/>
  <c r="CY15" i="24"/>
  <c r="CU15" i="24"/>
  <c r="CV15" i="24" s="1"/>
  <c r="CW86" i="24"/>
  <c r="CX86" i="24" s="1"/>
  <c r="ES86" i="24"/>
  <c r="EV86" i="24" s="1"/>
  <c r="DQ86" i="24"/>
  <c r="CL86" i="24"/>
  <c r="CU86" i="24"/>
  <c r="CV86" i="24" s="1"/>
  <c r="CY86" i="24"/>
  <c r="CW45" i="24"/>
  <c r="CX45" i="24" s="1"/>
  <c r="DQ45" i="24"/>
  <c r="CL45" i="24"/>
  <c r="ES45" i="24"/>
  <c r="EV45" i="24" s="1"/>
  <c r="CY45" i="24"/>
  <c r="CU45" i="24"/>
  <c r="CV45" i="24" s="1"/>
  <c r="ES21" i="24"/>
  <c r="EV21" i="24" s="1"/>
  <c r="CL21" i="24"/>
  <c r="CY21" i="24"/>
  <c r="CW21" i="24"/>
  <c r="CX21" i="24" s="1"/>
  <c r="CU21" i="24"/>
  <c r="CV21" i="24" s="1"/>
  <c r="DQ21" i="24"/>
  <c r="DQ9" i="24"/>
  <c r="CL9" i="24"/>
  <c r="CU9" i="24"/>
  <c r="CV9" i="24" s="1"/>
  <c r="CW9" i="24"/>
  <c r="CX9" i="24" s="1"/>
  <c r="ES9" i="24"/>
  <c r="EV9" i="24" s="1"/>
  <c r="CY9" i="24"/>
  <c r="ES75" i="24"/>
  <c r="EV75" i="24" s="1"/>
  <c r="CL75" i="24"/>
  <c r="DQ75" i="24"/>
  <c r="CW75" i="24"/>
  <c r="CX75" i="24" s="1"/>
  <c r="CY75" i="24"/>
  <c r="CU75" i="24"/>
  <c r="CV75" i="24" s="1"/>
  <c r="DQ36" i="24"/>
  <c r="CU36" i="24"/>
  <c r="CV36" i="24" s="1"/>
  <c r="ES36" i="24"/>
  <c r="EV36" i="24" s="1"/>
  <c r="CW36" i="24"/>
  <c r="CX36" i="24" s="1"/>
  <c r="CL36" i="24"/>
  <c r="CY36" i="24"/>
  <c r="CL66" i="24"/>
  <c r="ES66" i="24"/>
  <c r="EV66" i="24" s="1"/>
  <c r="DQ66" i="24"/>
  <c r="CW66" i="24"/>
  <c r="CX66" i="24" s="1"/>
  <c r="CY66" i="24"/>
  <c r="CU66" i="24"/>
  <c r="CV66" i="24" s="1"/>
  <c r="DQ41" i="24"/>
  <c r="ES41" i="24"/>
  <c r="EV41" i="24" s="1"/>
  <c r="CL41" i="24"/>
  <c r="CW41" i="24"/>
  <c r="CX41" i="24" s="1"/>
  <c r="CY41" i="24"/>
  <c r="CU41" i="24"/>
  <c r="CV41" i="24" s="1"/>
  <c r="DQ119" i="24"/>
  <c r="CY119" i="24"/>
  <c r="CU119" i="24"/>
  <c r="CL119" i="24"/>
  <c r="ES119" i="24"/>
  <c r="EV119" i="24" s="1"/>
  <c r="CW119" i="24"/>
  <c r="CX119" i="24" s="1"/>
  <c r="DQ167" i="24"/>
  <c r="CY167" i="24"/>
  <c r="CW167" i="24"/>
  <c r="CX167" i="24" s="1"/>
  <c r="CU167" i="24"/>
  <c r="ES167" i="24"/>
  <c r="EV167" i="24" s="1"/>
  <c r="CL167" i="24"/>
  <c r="DQ120" i="24"/>
  <c r="ES120" i="24"/>
  <c r="EV120" i="24" s="1"/>
  <c r="CW120" i="24"/>
  <c r="CX120" i="24" s="1"/>
  <c r="CL120" i="24"/>
  <c r="CY120" i="24"/>
  <c r="CU120" i="24"/>
  <c r="DQ258" i="24"/>
  <c r="CW258" i="24"/>
  <c r="CX258" i="24" s="1"/>
  <c r="CL258" i="24"/>
  <c r="CY258" i="24"/>
  <c r="CU258" i="24"/>
  <c r="CW47" i="24"/>
  <c r="CX47" i="24" s="1"/>
  <c r="DQ47" i="24"/>
  <c r="CL47" i="24"/>
  <c r="CY47" i="24"/>
  <c r="ES47" i="24"/>
  <c r="EV47" i="24" s="1"/>
  <c r="CU47" i="24"/>
  <c r="CV47" i="24" s="1"/>
  <c r="CU139" i="24"/>
  <c r="CL139" i="24"/>
  <c r="ES139" i="24"/>
  <c r="EV139" i="24" s="1"/>
  <c r="CY139" i="24"/>
  <c r="CW139" i="24"/>
  <c r="CX139" i="24" s="1"/>
  <c r="DQ139" i="24"/>
  <c r="CU264" i="24"/>
  <c r="CL264" i="24"/>
  <c r="CW264" i="24"/>
  <c r="CX264" i="24" s="1"/>
  <c r="CY264" i="24"/>
  <c r="DQ264" i="24"/>
  <c r="ES148" i="24"/>
  <c r="EV148" i="24" s="1"/>
  <c r="CL148" i="24"/>
  <c r="CW148" i="24"/>
  <c r="CX148" i="24" s="1"/>
  <c r="DQ148" i="24"/>
  <c r="CY148" i="24"/>
  <c r="CU148" i="24"/>
  <c r="DQ81" i="24"/>
  <c r="ES81" i="24"/>
  <c r="EV81" i="24" s="1"/>
  <c r="CY81" i="24"/>
  <c r="CZ81" i="24" s="1"/>
  <c r="CU81" i="24"/>
  <c r="CV81" i="24" s="1"/>
  <c r="CL81" i="24"/>
  <c r="CW81" i="24"/>
  <c r="CX81" i="24" s="1"/>
  <c r="ES179" i="24"/>
  <c r="EV179" i="24" s="1"/>
  <c r="CL179" i="24"/>
  <c r="CY179" i="24"/>
  <c r="DQ179" i="24"/>
  <c r="CW179" i="24"/>
  <c r="CX179" i="24" s="1"/>
  <c r="CU179" i="24"/>
  <c r="CL132" i="24"/>
  <c r="ES132" i="24"/>
  <c r="EV132" i="24" s="1"/>
  <c r="CW132" i="24"/>
  <c r="CX132" i="24" s="1"/>
  <c r="DQ132" i="24"/>
  <c r="CY132" i="24"/>
  <c r="CU132" i="24"/>
  <c r="DQ307" i="24"/>
  <c r="CW307" i="24"/>
  <c r="CX307" i="24" s="1"/>
  <c r="CL307" i="24"/>
  <c r="CY307" i="24"/>
  <c r="CU307" i="24"/>
  <c r="ES161" i="24"/>
  <c r="EV161" i="24" s="1"/>
  <c r="CY161" i="24"/>
  <c r="DQ161" i="24"/>
  <c r="CL161" i="24"/>
  <c r="CW161" i="24"/>
  <c r="CX161" i="24" s="1"/>
  <c r="CU161" i="24"/>
  <c r="ES98" i="24"/>
  <c r="EV98" i="24" s="1"/>
  <c r="CL98" i="24"/>
  <c r="DQ98" i="24"/>
  <c r="CW98" i="24"/>
  <c r="CX98" i="24" s="1"/>
  <c r="CY98" i="24"/>
  <c r="CU98" i="24"/>
  <c r="CV98" i="24" s="1"/>
  <c r="DQ171" i="24"/>
  <c r="CL171" i="24"/>
  <c r="ES171" i="24"/>
  <c r="EV171" i="24" s="1"/>
  <c r="CY171" i="24"/>
  <c r="CZ171" i="24" s="1"/>
  <c r="CW171" i="24"/>
  <c r="CX171" i="24" s="1"/>
  <c r="CU171" i="24"/>
  <c r="CW306" i="24"/>
  <c r="CX306" i="24" s="1"/>
  <c r="CL306" i="24"/>
  <c r="CU306" i="24"/>
  <c r="CY306" i="24"/>
  <c r="DQ306" i="24"/>
  <c r="DQ267" i="24"/>
  <c r="CL267" i="24"/>
  <c r="CY267" i="24"/>
  <c r="CU267" i="24"/>
  <c r="CW267" i="24"/>
  <c r="CX267" i="24" s="1"/>
  <c r="CW233" i="24"/>
  <c r="CX233" i="24" s="1"/>
  <c r="CU233" i="24"/>
  <c r="CL233" i="24"/>
  <c r="DQ233" i="24"/>
  <c r="CY233" i="24"/>
  <c r="DQ309" i="24"/>
  <c r="CY309" i="24"/>
  <c r="CL309" i="24"/>
  <c r="CW309" i="24"/>
  <c r="CX309" i="24" s="1"/>
  <c r="CU309" i="24"/>
  <c r="CL232" i="24"/>
  <c r="DQ232" i="24"/>
  <c r="CY232" i="24"/>
  <c r="CZ232" i="24" s="1"/>
  <c r="CW232" i="24"/>
  <c r="CX232" i="24" s="1"/>
  <c r="CU232" i="24"/>
  <c r="CL297" i="24"/>
  <c r="CU297" i="24"/>
  <c r="DQ297" i="24"/>
  <c r="CY297" i="24"/>
  <c r="CW297" i="24"/>
  <c r="CX297" i="24" s="1"/>
  <c r="CL208" i="24"/>
  <c r="CW208" i="24"/>
  <c r="CX208" i="24" s="1"/>
  <c r="DQ208" i="24"/>
  <c r="ES208" i="24"/>
  <c r="EV208" i="24" s="1"/>
  <c r="CY208" i="24"/>
  <c r="CU208" i="24"/>
  <c r="CL259" i="24"/>
  <c r="DQ259" i="24"/>
  <c r="CY259" i="24"/>
  <c r="CW259" i="24"/>
  <c r="CX259" i="24" s="1"/>
  <c r="CU259" i="24"/>
  <c r="DQ219" i="24"/>
  <c r="CU219" i="24"/>
  <c r="CL219" i="24"/>
  <c r="CW219" i="24"/>
  <c r="CX219" i="24" s="1"/>
  <c r="CY219" i="24"/>
  <c r="CL287" i="24"/>
  <c r="CW287" i="24"/>
  <c r="CX287" i="24" s="1"/>
  <c r="DQ287" i="24"/>
  <c r="CY287" i="24"/>
  <c r="CU287" i="24"/>
  <c r="CW190" i="24"/>
  <c r="CX190" i="24" s="1"/>
  <c r="CL190" i="24"/>
  <c r="DQ190" i="24"/>
  <c r="ES190" i="24"/>
  <c r="EV190" i="24" s="1"/>
  <c r="CU190" i="24"/>
  <c r="CY190" i="24"/>
  <c r="CW238" i="24"/>
  <c r="CX238" i="24" s="1"/>
  <c r="CL238" i="24"/>
  <c r="DQ238" i="24"/>
  <c r="CU238" i="24"/>
  <c r="CY238" i="24"/>
  <c r="CU302" i="24"/>
  <c r="DQ302" i="24"/>
  <c r="CW302" i="24"/>
  <c r="CX302" i="24" s="1"/>
  <c r="CL302" i="24"/>
  <c r="CY302" i="24"/>
  <c r="DQ300" i="24"/>
  <c r="CL300" i="24"/>
  <c r="CW300" i="24"/>
  <c r="CX300" i="24" s="1"/>
  <c r="CY300" i="24"/>
  <c r="CU300" i="24"/>
  <c r="J77" i="23"/>
  <c r="L77" i="23" s="1"/>
  <c r="B25" i="2"/>
  <c r="AY7" i="19"/>
  <c r="BD7" i="19" s="1"/>
  <c r="BN7" i="19"/>
  <c r="AY8" i="19"/>
  <c r="BC8" i="19" s="1"/>
  <c r="BN8" i="19"/>
  <c r="AY6" i="19"/>
  <c r="BJ6" i="19" s="1"/>
  <c r="BN6" i="19"/>
  <c r="AY9" i="19"/>
  <c r="BN9" i="19"/>
  <c r="J67" i="23"/>
  <c r="L67" i="23" s="1"/>
  <c r="G71" i="23"/>
  <c r="H71" i="23" s="1"/>
  <c r="G17" i="23"/>
  <c r="H17" i="23" s="1"/>
  <c r="G32" i="23"/>
  <c r="H32" i="23" s="1"/>
  <c r="G54" i="23"/>
  <c r="H54" i="23" s="1"/>
  <c r="G101" i="23"/>
  <c r="H101" i="23" s="1"/>
  <c r="G30" i="23"/>
  <c r="H30" i="23" s="1"/>
  <c r="G51" i="23"/>
  <c r="H51" i="23" s="1"/>
  <c r="J103" i="23"/>
  <c r="K103" i="23" s="1"/>
  <c r="G25" i="23"/>
  <c r="H25" i="23" s="1"/>
  <c r="G80" i="23"/>
  <c r="H80" i="23" s="1"/>
  <c r="G21" i="23"/>
  <c r="H21" i="23" s="1"/>
  <c r="G105" i="23"/>
  <c r="H105" i="23" s="1"/>
  <c r="J63" i="23"/>
  <c r="L63" i="23" s="1"/>
  <c r="J88" i="23"/>
  <c r="K88" i="23" s="1"/>
  <c r="J49" i="23"/>
  <c r="K49" i="23" s="1"/>
  <c r="G92" i="23"/>
  <c r="H92" i="23" s="1"/>
  <c r="G22" i="23"/>
  <c r="H22" i="23" s="1"/>
  <c r="J20" i="23"/>
  <c r="L20" i="23" s="1"/>
  <c r="G53" i="23"/>
  <c r="H53" i="23" s="1"/>
  <c r="G73" i="23"/>
  <c r="H73" i="23" s="1"/>
  <c r="G46" i="23"/>
  <c r="H46" i="23" s="1"/>
  <c r="G6" i="23"/>
  <c r="H6" i="23" s="1"/>
  <c r="G94" i="23"/>
  <c r="H94" i="23" s="1"/>
  <c r="G90" i="23"/>
  <c r="H90" i="23" s="1"/>
  <c r="G14" i="23"/>
  <c r="H14" i="23" s="1"/>
  <c r="J60" i="23"/>
  <c r="K60" i="23" s="1"/>
  <c r="J10" i="8"/>
  <c r="B195" i="2" s="1"/>
  <c r="B259" i="2" s="1"/>
  <c r="J84" i="23"/>
  <c r="L84" i="23" s="1"/>
  <c r="G81" i="23"/>
  <c r="H81" i="23" s="1"/>
  <c r="G52" i="23"/>
  <c r="H52" i="23" s="1"/>
  <c r="G87" i="23"/>
  <c r="H87" i="23" s="1"/>
  <c r="G47" i="23"/>
  <c r="H47" i="23" s="1"/>
  <c r="G15" i="23"/>
  <c r="H15" i="23" s="1"/>
  <c r="G34" i="23"/>
  <c r="H34" i="23" s="1"/>
  <c r="Q34" i="23"/>
  <c r="Q44" i="23"/>
  <c r="Q106" i="23"/>
  <c r="Q14" i="23"/>
  <c r="Q81" i="23"/>
  <c r="Q91" i="23"/>
  <c r="Q6" i="23"/>
  <c r="Q48" i="23"/>
  <c r="Q82" i="23"/>
  <c r="Q93" i="23"/>
  <c r="Q22" i="23"/>
  <c r="Q99" i="23"/>
  <c r="Q42" i="23"/>
  <c r="Q35" i="23"/>
  <c r="Q9" i="23"/>
  <c r="Q78" i="23"/>
  <c r="Q75" i="23"/>
  <c r="Q88" i="23"/>
  <c r="Q63" i="23"/>
  <c r="Q101" i="23"/>
  <c r="Q29" i="23"/>
  <c r="Q98" i="23"/>
  <c r="Q19" i="23"/>
  <c r="Q12" i="23"/>
  <c r="Q89" i="23"/>
  <c r="Q33" i="23"/>
  <c r="Q38" i="23"/>
  <c r="Q102" i="23"/>
  <c r="Q27" i="23"/>
  <c r="Q95" i="23"/>
  <c r="Q37" i="23"/>
  <c r="Q58" i="23"/>
  <c r="Q7" i="23"/>
  <c r="Q28" i="23"/>
  <c r="Q47" i="23"/>
  <c r="J24" i="23"/>
  <c r="K24" i="23" s="1"/>
  <c r="J97" i="23"/>
  <c r="K97" i="23" s="1"/>
  <c r="H5" i="24"/>
  <c r="Q23" i="23"/>
  <c r="Q59" i="23"/>
  <c r="Q13" i="23"/>
  <c r="Q76" i="23"/>
  <c r="Q17" i="23"/>
  <c r="Q96" i="23"/>
  <c r="Q21" i="23"/>
  <c r="Q87" i="23"/>
  <c r="Q94" i="23"/>
  <c r="Q71" i="23"/>
  <c r="Q84" i="23"/>
  <c r="Q24" i="23"/>
  <c r="Q97" i="23"/>
  <c r="Q54" i="23"/>
  <c r="Q103" i="23"/>
  <c r="Q20" i="23"/>
  <c r="Q31" i="23"/>
  <c r="Q10" i="23"/>
  <c r="Q40" i="23"/>
  <c r="Q64" i="23"/>
  <c r="Q61" i="23"/>
  <c r="Q57" i="23"/>
  <c r="Q62" i="23"/>
  <c r="Q67" i="23"/>
  <c r="Q36" i="23"/>
  <c r="Q85" i="23"/>
  <c r="Q68" i="23"/>
  <c r="Q86" i="23"/>
  <c r="Q73" i="23"/>
  <c r="Q104" i="23"/>
  <c r="Q100" i="23"/>
  <c r="Q25" i="23"/>
  <c r="Q30" i="23"/>
  <c r="Q11" i="23"/>
  <c r="Q45" i="23"/>
  <c r="Q50" i="23"/>
  <c r="Q51" i="23"/>
  <c r="Q15" i="23"/>
  <c r="Q49" i="23"/>
  <c r="Q32" i="23"/>
  <c r="Q56" i="23"/>
  <c r="Q74" i="23"/>
  <c r="G82" i="23"/>
  <c r="H82" i="23" s="1"/>
  <c r="G102" i="23"/>
  <c r="H102" i="23" s="1"/>
  <c r="G13" i="23"/>
  <c r="H13" i="23" s="1"/>
  <c r="G104" i="23"/>
  <c r="H104" i="23" s="1"/>
  <c r="Q41" i="23"/>
  <c r="Q46" i="23"/>
  <c r="Q16" i="23"/>
  <c r="Q92" i="23"/>
  <c r="Q43" i="23"/>
  <c r="Q105" i="23"/>
  <c r="Q18" i="23"/>
  <c r="Q66" i="23"/>
  <c r="Q55" i="23"/>
  <c r="Q39" i="23"/>
  <c r="Q72" i="23"/>
  <c r="Q69" i="23"/>
  <c r="Q70" i="23"/>
  <c r="Q60" i="23"/>
  <c r="Q53" i="23"/>
  <c r="Q77" i="23"/>
  <c r="Q52" i="23"/>
  <c r="Q80" i="23"/>
  <c r="Q26" i="23"/>
  <c r="Q90" i="23"/>
  <c r="Q65" i="23"/>
  <c r="Q8" i="23"/>
  <c r="Q83" i="23"/>
  <c r="Q79" i="23"/>
  <c r="G85" i="23"/>
  <c r="H85" i="23" s="1"/>
  <c r="J83" i="23"/>
  <c r="L83" i="23" s="1"/>
  <c r="G12" i="23"/>
  <c r="H12" i="23" s="1"/>
  <c r="J65" i="23"/>
  <c r="L65" i="23" s="1"/>
  <c r="G61" i="23"/>
  <c r="H61" i="23" s="1"/>
  <c r="J58" i="23"/>
  <c r="L58" i="23" s="1"/>
  <c r="J100" i="23"/>
  <c r="K100" i="23" s="1"/>
  <c r="G26" i="23"/>
  <c r="H26" i="23" s="1"/>
  <c r="G91" i="23"/>
  <c r="H91" i="23" s="1"/>
  <c r="G40" i="23"/>
  <c r="H40" i="23" s="1"/>
  <c r="G55" i="23"/>
  <c r="H55" i="23" s="1"/>
  <c r="J74" i="23"/>
  <c r="L74" i="23" s="1"/>
  <c r="G35" i="23"/>
  <c r="H35" i="23" s="1"/>
  <c r="G68" i="23"/>
  <c r="H68" i="23" s="1"/>
  <c r="G29" i="23"/>
  <c r="H29" i="23" s="1"/>
  <c r="J72" i="23"/>
  <c r="K72" i="23" s="1"/>
  <c r="G45" i="23"/>
  <c r="H45" i="23" s="1"/>
  <c r="J66" i="23"/>
  <c r="L66" i="23" s="1"/>
  <c r="J95" i="23"/>
  <c r="K95" i="23" s="1"/>
  <c r="J93" i="23"/>
  <c r="L93" i="23" s="1"/>
  <c r="J42" i="23"/>
  <c r="L42" i="23" s="1"/>
  <c r="J57" i="23"/>
  <c r="K57" i="23" s="1"/>
  <c r="G37" i="23"/>
  <c r="H37" i="23" s="1"/>
  <c r="G50" i="23"/>
  <c r="H50" i="23" s="1"/>
  <c r="G64" i="23"/>
  <c r="H64" i="23" s="1"/>
  <c r="G18" i="23"/>
  <c r="H18" i="23" s="1"/>
  <c r="G10" i="23"/>
  <c r="H10" i="23" s="1"/>
  <c r="G28" i="23"/>
  <c r="H28" i="23" s="1"/>
  <c r="G8" i="23"/>
  <c r="H8" i="23" s="1"/>
  <c r="G19" i="23"/>
  <c r="H19" i="23" s="1"/>
  <c r="K26" i="23"/>
  <c r="L26" i="23"/>
  <c r="K44" i="23"/>
  <c r="L44" i="23"/>
  <c r="K102" i="23"/>
  <c r="L102" i="23"/>
  <c r="L56" i="23"/>
  <c r="K56" i="23"/>
  <c r="L35" i="23"/>
  <c r="K35" i="23"/>
  <c r="K13" i="23"/>
  <c r="L13" i="23"/>
  <c r="K30" i="23"/>
  <c r="L30" i="23"/>
  <c r="K73" i="23"/>
  <c r="L73" i="23"/>
  <c r="L16" i="23"/>
  <c r="K16" i="23"/>
  <c r="L43" i="23"/>
  <c r="K43" i="23"/>
  <c r="K33" i="23"/>
  <c r="L33" i="23"/>
  <c r="K92" i="23"/>
  <c r="L92" i="23"/>
  <c r="L59" i="23"/>
  <c r="K59" i="23"/>
  <c r="L104" i="23"/>
  <c r="K104" i="23"/>
  <c r="L47" i="23"/>
  <c r="K47" i="23"/>
  <c r="K45" i="23"/>
  <c r="L45" i="23"/>
  <c r="K101" i="23"/>
  <c r="L101" i="23"/>
  <c r="K37" i="23"/>
  <c r="L37" i="23"/>
  <c r="L79" i="23"/>
  <c r="K79" i="23"/>
  <c r="K22" i="23"/>
  <c r="L22" i="23"/>
  <c r="L12" i="23"/>
  <c r="K12" i="23"/>
  <c r="L39" i="23"/>
  <c r="K39" i="23"/>
  <c r="K21" i="23"/>
  <c r="L21" i="23"/>
  <c r="L75" i="23"/>
  <c r="K75" i="23"/>
  <c r="K17" i="23"/>
  <c r="L17" i="23"/>
  <c r="L71" i="23"/>
  <c r="K71" i="23"/>
  <c r="K69" i="23"/>
  <c r="L69" i="23"/>
  <c r="K9" i="23"/>
  <c r="L9" i="23"/>
  <c r="K29" i="23"/>
  <c r="L29" i="23"/>
  <c r="K14" i="23"/>
  <c r="L14" i="23"/>
  <c r="K53" i="23"/>
  <c r="L53" i="23"/>
  <c r="L55" i="23"/>
  <c r="K55" i="23"/>
  <c r="L51" i="23"/>
  <c r="K51" i="23"/>
  <c r="K41" i="23"/>
  <c r="L41" i="23"/>
  <c r="L96" i="23"/>
  <c r="K96" i="23"/>
  <c r="K82" i="23"/>
  <c r="L82" i="23"/>
  <c r="K50" i="23"/>
  <c r="L50" i="23"/>
  <c r="L6" i="23"/>
  <c r="K6" i="23"/>
  <c r="K61" i="23"/>
  <c r="L61" i="23"/>
  <c r="L7" i="23"/>
  <c r="K7" i="23"/>
  <c r="L87" i="23"/>
  <c r="K87" i="23"/>
  <c r="K85" i="23"/>
  <c r="L85" i="23"/>
  <c r="K25" i="23"/>
  <c r="L25" i="23"/>
  <c r="L91" i="23"/>
  <c r="K91" i="23"/>
  <c r="K38" i="23"/>
  <c r="L38" i="23"/>
  <c r="K81" i="23"/>
  <c r="L81" i="23"/>
  <c r="L31" i="23"/>
  <c r="K31" i="23"/>
  <c r="K106" i="23"/>
  <c r="L106" i="23"/>
  <c r="L80" i="23"/>
  <c r="K80" i="23"/>
  <c r="L8" i="23"/>
  <c r="K8" i="23"/>
  <c r="K54" i="23"/>
  <c r="L54" i="23"/>
  <c r="K28" i="23"/>
  <c r="L28" i="23"/>
  <c r="K70" i="23"/>
  <c r="L70" i="23"/>
  <c r="L40" i="23"/>
  <c r="K40" i="23"/>
  <c r="L19" i="23"/>
  <c r="K19" i="23"/>
  <c r="K78" i="23"/>
  <c r="L78" i="23"/>
  <c r="K68" i="23"/>
  <c r="L68" i="23"/>
  <c r="L15" i="23"/>
  <c r="K15" i="23"/>
  <c r="L64" i="23"/>
  <c r="K64" i="23"/>
  <c r="L27" i="23"/>
  <c r="K27" i="23"/>
  <c r="K76" i="23"/>
  <c r="L76" i="23"/>
  <c r="L99" i="23"/>
  <c r="K99" i="23"/>
  <c r="K46" i="23"/>
  <c r="L46" i="23"/>
  <c r="K89" i="23"/>
  <c r="L89" i="23"/>
  <c r="K94" i="23"/>
  <c r="L94" i="23"/>
  <c r="K52" i="23"/>
  <c r="L52" i="23"/>
  <c r="L48" i="23"/>
  <c r="K48" i="23"/>
  <c r="L11" i="23"/>
  <c r="K11" i="23"/>
  <c r="K62" i="23"/>
  <c r="L62" i="23"/>
  <c r="L23" i="23"/>
  <c r="K23" i="23"/>
  <c r="K86" i="23"/>
  <c r="L86" i="23"/>
  <c r="K10" i="23"/>
  <c r="L10" i="23"/>
  <c r="K36" i="23"/>
  <c r="L36" i="23"/>
  <c r="K105" i="23"/>
  <c r="L105" i="23"/>
  <c r="L32" i="23"/>
  <c r="K32" i="23"/>
  <c r="K18" i="23"/>
  <c r="L18" i="23"/>
  <c r="K98" i="23"/>
  <c r="L98" i="23"/>
  <c r="K90" i="23"/>
  <c r="L90" i="23"/>
  <c r="K34" i="23"/>
  <c r="L34" i="23"/>
  <c r="C269" i="2"/>
  <c r="B269" i="2"/>
  <c r="B185" i="2"/>
  <c r="A228" i="2"/>
  <c r="F269" i="2"/>
  <c r="B270" i="2"/>
  <c r="H270" i="2"/>
  <c r="C49" i="16" s="1"/>
  <c r="F182" i="2"/>
  <c r="E51" i="1" s="1"/>
  <c r="A229" i="2" s="1"/>
  <c r="G182" i="2"/>
  <c r="G270" i="2"/>
  <c r="C270" i="2"/>
  <c r="A270" i="2" s="1"/>
  <c r="B184" i="2"/>
  <c r="AO2" i="19"/>
  <c r="H273" i="2"/>
  <c r="F273" i="2"/>
  <c r="K57" i="16"/>
  <c r="M57" i="16" s="1"/>
  <c r="B235" i="2"/>
  <c r="A235" i="2"/>
  <c r="E43" i="1"/>
  <c r="A2" i="21"/>
  <c r="K70" i="2"/>
  <c r="G89" i="19"/>
  <c r="G64" i="19"/>
  <c r="G65" i="19"/>
  <c r="G90" i="19"/>
  <c r="G91" i="19"/>
  <c r="AY106" i="19"/>
  <c r="G66" i="19"/>
  <c r="BN106" i="19"/>
  <c r="FD225" i="25" l="1"/>
  <c r="FD233" i="25"/>
  <c r="DB212" i="25"/>
  <c r="CV110" i="25"/>
  <c r="B47" i="2"/>
  <c r="CW110" i="25"/>
  <c r="CO110" i="25" s="1"/>
  <c r="DH110" i="25" s="1"/>
  <c r="CU110" i="25"/>
  <c r="FD110" i="25"/>
  <c r="B112" i="2"/>
  <c r="B113" i="2" s="1"/>
  <c r="L6" i="1"/>
  <c r="M76" i="1"/>
  <c r="L76" i="1"/>
  <c r="L77" i="1" s="1"/>
  <c r="E75" i="1"/>
  <c r="B43" i="2"/>
  <c r="D25" i="29"/>
  <c r="Q3" i="29" s="1"/>
  <c r="B27" i="29"/>
  <c r="D27" i="29" s="1"/>
  <c r="DH212" i="25"/>
  <c r="DA212" i="25"/>
  <c r="DD212" i="25" s="1"/>
  <c r="DE212" i="25" s="1"/>
  <c r="DF212" i="25" s="1"/>
  <c r="DM212" i="25" s="1"/>
  <c r="DW212" i="25" s="1"/>
  <c r="DS193" i="25"/>
  <c r="DS204" i="25"/>
  <c r="DS203" i="25"/>
  <c r="DS99" i="25"/>
  <c r="DS96" i="25"/>
  <c r="DS194" i="25"/>
  <c r="DS206" i="25"/>
  <c r="DS209" i="25"/>
  <c r="DS100" i="25"/>
  <c r="DS201" i="25"/>
  <c r="DS205" i="25"/>
  <c r="DS105" i="25"/>
  <c r="DS103" i="25"/>
  <c r="DS198" i="25"/>
  <c r="DS102" i="25"/>
  <c r="DS202" i="25"/>
  <c r="DS200" i="25"/>
  <c r="DS199" i="25"/>
  <c r="DS196" i="25"/>
  <c r="DS97" i="25"/>
  <c r="DS197" i="25"/>
  <c r="DS208" i="25"/>
  <c r="DS101" i="25"/>
  <c r="DS207" i="25"/>
  <c r="DS210" i="25"/>
  <c r="DS98" i="25"/>
  <c r="DS104" i="25"/>
  <c r="DS195" i="25"/>
  <c r="DS91" i="25"/>
  <c r="DS94" i="25"/>
  <c r="DS93" i="25"/>
  <c r="DS95" i="25"/>
  <c r="DS92" i="25"/>
  <c r="DT120" i="24"/>
  <c r="DT189" i="24"/>
  <c r="DT157" i="24"/>
  <c r="DT153" i="24"/>
  <c r="DT193" i="24"/>
  <c r="DT204" i="24"/>
  <c r="DT202" i="24"/>
  <c r="DT155" i="24"/>
  <c r="DT198" i="24"/>
  <c r="DT180" i="24"/>
  <c r="DT117" i="24"/>
  <c r="DT174" i="24"/>
  <c r="DT139" i="24"/>
  <c r="DT192" i="24"/>
  <c r="DT115" i="24"/>
  <c r="DT133" i="24"/>
  <c r="DT143" i="24"/>
  <c r="DT129" i="24"/>
  <c r="DT183" i="24"/>
  <c r="DT134" i="24"/>
  <c r="DT184" i="24"/>
  <c r="DT137" i="24"/>
  <c r="DT195" i="24"/>
  <c r="DT128" i="24"/>
  <c r="DT140" i="24"/>
  <c r="DT122" i="24"/>
  <c r="DT208" i="24"/>
  <c r="DT179" i="24"/>
  <c r="DT123" i="24"/>
  <c r="DT150" i="24"/>
  <c r="DT116" i="24"/>
  <c r="DT191" i="24"/>
  <c r="DT112" i="24"/>
  <c r="DT170" i="24"/>
  <c r="DT169" i="24"/>
  <c r="DT126" i="24"/>
  <c r="DT163" i="24"/>
  <c r="DT197" i="24"/>
  <c r="DT121" i="24"/>
  <c r="DT159" i="24"/>
  <c r="DT141" i="24"/>
  <c r="DT201" i="24"/>
  <c r="DT138" i="24"/>
  <c r="DT118" i="24"/>
  <c r="DT200" i="24"/>
  <c r="DT111" i="24"/>
  <c r="DT182" i="24"/>
  <c r="DT152" i="24"/>
  <c r="DT210" i="24"/>
  <c r="H83" i="2" s="1"/>
  <c r="DT147" i="24"/>
  <c r="DT149" i="24"/>
  <c r="DT181" i="24"/>
  <c r="DT135" i="24"/>
  <c r="DT144" i="24"/>
  <c r="DT158" i="24"/>
  <c r="DT130" i="24"/>
  <c r="DT190" i="24"/>
  <c r="DT167" i="24"/>
  <c r="DT119" i="24"/>
  <c r="DT206" i="24"/>
  <c r="DT146" i="24"/>
  <c r="DT156" i="24"/>
  <c r="DT185" i="24"/>
  <c r="DT199" i="24"/>
  <c r="DT131" i="24"/>
  <c r="DT207" i="24"/>
  <c r="DT176" i="24"/>
  <c r="DT124" i="24"/>
  <c r="DT151" i="24"/>
  <c r="DT171" i="24"/>
  <c r="DT132" i="24"/>
  <c r="DT209" i="24"/>
  <c r="DT113" i="24"/>
  <c r="DT173" i="24"/>
  <c r="DT188" i="24"/>
  <c r="DT148" i="24"/>
  <c r="DT203" i="24"/>
  <c r="DT136" i="24"/>
  <c r="DT162" i="24"/>
  <c r="DT187" i="24"/>
  <c r="DT172" i="24"/>
  <c r="DT154" i="24"/>
  <c r="DT186" i="24"/>
  <c r="DT165" i="24"/>
  <c r="DT178" i="24"/>
  <c r="DT142" i="24"/>
  <c r="DT196" i="24"/>
  <c r="DT161" i="24"/>
  <c r="DT177" i="24"/>
  <c r="DT205" i="24"/>
  <c r="DT194" i="24"/>
  <c r="DT164" i="24"/>
  <c r="DT175" i="24"/>
  <c r="DT166" i="24"/>
  <c r="DT160" i="24"/>
  <c r="DT125" i="24"/>
  <c r="DT145" i="24"/>
  <c r="DT114" i="24"/>
  <c r="DT127" i="24"/>
  <c r="DT168" i="24"/>
  <c r="FD266" i="25"/>
  <c r="FD232" i="25"/>
  <c r="FD305" i="25"/>
  <c r="FD235" i="25"/>
  <c r="FD216" i="25"/>
  <c r="FD241" i="25"/>
  <c r="FD269" i="25"/>
  <c r="FD277" i="25"/>
  <c r="FD237" i="25"/>
  <c r="FD276" i="25"/>
  <c r="FD307" i="25"/>
  <c r="FD238" i="25"/>
  <c r="FD242" i="25"/>
  <c r="FD226" i="25"/>
  <c r="FD294" i="25"/>
  <c r="FD275" i="25"/>
  <c r="FD295" i="25"/>
  <c r="FD154" i="25"/>
  <c r="FD250" i="25"/>
  <c r="FD306" i="25"/>
  <c r="FD262" i="25"/>
  <c r="FD280" i="25"/>
  <c r="FD244" i="25"/>
  <c r="FD285" i="25"/>
  <c r="FD283" i="25"/>
  <c r="FD234" i="25"/>
  <c r="FD274" i="25"/>
  <c r="FD230" i="25"/>
  <c r="FD259" i="25"/>
  <c r="FD300" i="25"/>
  <c r="FD292" i="25"/>
  <c r="FD249" i="25"/>
  <c r="FD314" i="25"/>
  <c r="FD248" i="25"/>
  <c r="FD222" i="25"/>
  <c r="FD291" i="25"/>
  <c r="FD281" i="25"/>
  <c r="FD279" i="25"/>
  <c r="FD299" i="25"/>
  <c r="FD217" i="25"/>
  <c r="FD229" i="25"/>
  <c r="FD296" i="25"/>
  <c r="FD264" i="25"/>
  <c r="FD272" i="25"/>
  <c r="FD270" i="25"/>
  <c r="FD255" i="25"/>
  <c r="FD219" i="25"/>
  <c r="FD312" i="25"/>
  <c r="FD287" i="25"/>
  <c r="FD289" i="25"/>
  <c r="FD223" i="25"/>
  <c r="FD302" i="25"/>
  <c r="FD290" i="25"/>
  <c r="FD254" i="25"/>
  <c r="FD227" i="25"/>
  <c r="FD245" i="25"/>
  <c r="FD231" i="25"/>
  <c r="FD282" i="25"/>
  <c r="FD261" i="25"/>
  <c r="FD288" i="25"/>
  <c r="FD304" i="25"/>
  <c r="FD268" i="25"/>
  <c r="FD310" i="25"/>
  <c r="FD253" i="25"/>
  <c r="FD278" i="25"/>
  <c r="FD303" i="25"/>
  <c r="FD256" i="25"/>
  <c r="FD284" i="25"/>
  <c r="FD221" i="25"/>
  <c r="FD308" i="25"/>
  <c r="FD228" i="25"/>
  <c r="FD313" i="25"/>
  <c r="FD301" i="25"/>
  <c r="FD267" i="25"/>
  <c r="FD240" i="25"/>
  <c r="FD239" i="25"/>
  <c r="FD293" i="25"/>
  <c r="FD263" i="25"/>
  <c r="FD316" i="25"/>
  <c r="FD252" i="25"/>
  <c r="FD286" i="25"/>
  <c r="FD246" i="25"/>
  <c r="FD224" i="25"/>
  <c r="FD273" i="25"/>
  <c r="FD311" i="25"/>
  <c r="FD257" i="25"/>
  <c r="FD265" i="25"/>
  <c r="FD258" i="25"/>
  <c r="FD297" i="25"/>
  <c r="FD271" i="25"/>
  <c r="FD236" i="25"/>
  <c r="FD218" i="25"/>
  <c r="FD220" i="25"/>
  <c r="FD298" i="25"/>
  <c r="FD260" i="25"/>
  <c r="FD309" i="25"/>
  <c r="FD315" i="25"/>
  <c r="FD247" i="25"/>
  <c r="FD251" i="25"/>
  <c r="B45" i="2"/>
  <c r="FD112" i="25"/>
  <c r="DL112" i="25"/>
  <c r="DS112" i="25"/>
  <c r="DA112" i="25"/>
  <c r="DD112" i="25" s="1"/>
  <c r="DE112" i="25" s="1"/>
  <c r="DF112" i="25" s="1"/>
  <c r="DH112" i="25"/>
  <c r="CY112" i="25"/>
  <c r="CZ112" i="25"/>
  <c r="CZ110" i="24"/>
  <c r="DC110" i="24" s="1"/>
  <c r="DN5" i="24"/>
  <c r="DZ5" i="24" s="1"/>
  <c r="FD27" i="25"/>
  <c r="CW216" i="25"/>
  <c r="FD51" i="25"/>
  <c r="DS24" i="25"/>
  <c r="FD31" i="25"/>
  <c r="CV216" i="25"/>
  <c r="CU216" i="25"/>
  <c r="DS87" i="25"/>
  <c r="DN110" i="24"/>
  <c r="DX110" i="24" s="1"/>
  <c r="DJ5" i="24"/>
  <c r="DK5" i="24"/>
  <c r="DJ110" i="24"/>
  <c r="DK110" i="24"/>
  <c r="DI216" i="24"/>
  <c r="DM216" i="24"/>
  <c r="DB216" i="24"/>
  <c r="DE216" i="24" s="1"/>
  <c r="DF216" i="24" s="1"/>
  <c r="DG216" i="24" s="1"/>
  <c r="DA216" i="24"/>
  <c r="CZ216" i="24"/>
  <c r="DT35" i="24"/>
  <c r="DT289" i="24"/>
  <c r="DT221" i="24"/>
  <c r="DT37" i="24"/>
  <c r="DT50" i="24"/>
  <c r="FD19" i="25"/>
  <c r="DS9" i="25"/>
  <c r="DS83" i="25"/>
  <c r="DS49" i="25"/>
  <c r="DS245" i="25"/>
  <c r="DA180" i="25"/>
  <c r="DD180" i="25" s="1"/>
  <c r="DE180" i="25" s="1"/>
  <c r="DF180" i="25" s="1"/>
  <c r="DH180" i="25"/>
  <c r="DA122" i="25"/>
  <c r="DD122" i="25" s="1"/>
  <c r="DE122" i="25" s="1"/>
  <c r="DF122" i="25" s="1"/>
  <c r="DH122" i="25"/>
  <c r="DL271" i="25"/>
  <c r="DS271" i="25"/>
  <c r="DL231" i="25"/>
  <c r="DS231" i="25"/>
  <c r="DS166" i="25"/>
  <c r="FD166" i="25"/>
  <c r="DL166" i="25"/>
  <c r="DS279" i="25"/>
  <c r="DL279" i="25"/>
  <c r="CY204" i="25"/>
  <c r="CZ204" i="25"/>
  <c r="CY165" i="25"/>
  <c r="CZ165" i="25"/>
  <c r="DL274" i="25"/>
  <c r="DS274" i="25"/>
  <c r="CY32" i="25"/>
  <c r="CZ32" i="25"/>
  <c r="CZ101" i="25"/>
  <c r="CY101" i="25"/>
  <c r="DL36" i="25"/>
  <c r="FD36" i="25"/>
  <c r="DS36" i="25"/>
  <c r="DA203" i="25"/>
  <c r="DD203" i="25" s="1"/>
  <c r="DE203" i="25" s="1"/>
  <c r="DF203" i="25" s="1"/>
  <c r="DH203" i="25"/>
  <c r="CY315" i="25"/>
  <c r="CZ315" i="25"/>
  <c r="DA233" i="25"/>
  <c r="DD233" i="25" s="1"/>
  <c r="DE233" i="25" s="1"/>
  <c r="DF233" i="25" s="1"/>
  <c r="DH233" i="25"/>
  <c r="DA241" i="25"/>
  <c r="DD241" i="25" s="1"/>
  <c r="DE241" i="25" s="1"/>
  <c r="DF241" i="25" s="1"/>
  <c r="DH241" i="25"/>
  <c r="DA57" i="25"/>
  <c r="DD57" i="25" s="1"/>
  <c r="DE57" i="25" s="1"/>
  <c r="DF57" i="25" s="1"/>
  <c r="DH57" i="25"/>
  <c r="DH276" i="25"/>
  <c r="DA276" i="25"/>
  <c r="DD276" i="25" s="1"/>
  <c r="DE276" i="25" s="1"/>
  <c r="DF276" i="25" s="1"/>
  <c r="CZ7" i="25"/>
  <c r="DB7" i="25" s="1"/>
  <c r="DH7" i="25"/>
  <c r="DA7" i="25"/>
  <c r="DD7" i="25" s="1"/>
  <c r="DE7" i="25" s="1"/>
  <c r="DF7" i="25" s="1"/>
  <c r="DM7" i="25" s="1"/>
  <c r="CZ278" i="25"/>
  <c r="CY278" i="25"/>
  <c r="CY221" i="25"/>
  <c r="CZ221" i="25"/>
  <c r="DL297" i="25"/>
  <c r="DS264" i="25"/>
  <c r="DL264" i="25"/>
  <c r="CY304" i="25"/>
  <c r="CZ304" i="25"/>
  <c r="DL127" i="25"/>
  <c r="FD127" i="25"/>
  <c r="DS127" i="25"/>
  <c r="CZ201" i="25"/>
  <c r="CY201" i="25"/>
  <c r="CY99" i="25"/>
  <c r="CZ99" i="25"/>
  <c r="DL62" i="25"/>
  <c r="DS62" i="25"/>
  <c r="FD62" i="25"/>
  <c r="CZ144" i="25"/>
  <c r="CY144" i="25"/>
  <c r="FD116" i="25"/>
  <c r="DS116" i="25"/>
  <c r="DL116" i="25"/>
  <c r="DS113" i="25"/>
  <c r="FD113" i="25"/>
  <c r="DL113" i="25"/>
  <c r="CY160" i="25"/>
  <c r="CZ160" i="25"/>
  <c r="FD26" i="25"/>
  <c r="DS26" i="25"/>
  <c r="DL26" i="25"/>
  <c r="DL240" i="25"/>
  <c r="DS240" i="25"/>
  <c r="DH206" i="25"/>
  <c r="DA206" i="25"/>
  <c r="DD206" i="25" s="1"/>
  <c r="DE206" i="25" s="1"/>
  <c r="DF206" i="25" s="1"/>
  <c r="DA60" i="25"/>
  <c r="DD60" i="25" s="1"/>
  <c r="DE60" i="25" s="1"/>
  <c r="DF60" i="25" s="1"/>
  <c r="DH60" i="25"/>
  <c r="DH269" i="25"/>
  <c r="DA269" i="25"/>
  <c r="DD269" i="25" s="1"/>
  <c r="DE269" i="25" s="1"/>
  <c r="DF269" i="25" s="1"/>
  <c r="DH14" i="25"/>
  <c r="DA14" i="25"/>
  <c r="DD14" i="25" s="1"/>
  <c r="DE14" i="25" s="1"/>
  <c r="DF14" i="25" s="1"/>
  <c r="FD50" i="25"/>
  <c r="DL50" i="25"/>
  <c r="DS50" i="25"/>
  <c r="DH174" i="25"/>
  <c r="DA174" i="25"/>
  <c r="DD174" i="25" s="1"/>
  <c r="DE174" i="25" s="1"/>
  <c r="DF174" i="25" s="1"/>
  <c r="DH92" i="25"/>
  <c r="DA92" i="25"/>
  <c r="DD92" i="25" s="1"/>
  <c r="DE92" i="25" s="1"/>
  <c r="DF92" i="25" s="1"/>
  <c r="DA239" i="25"/>
  <c r="DD239" i="25" s="1"/>
  <c r="DE239" i="25" s="1"/>
  <c r="DF239" i="25" s="1"/>
  <c r="DH239" i="25"/>
  <c r="CZ164" i="25"/>
  <c r="DB164" i="25" s="1"/>
  <c r="DH164" i="25"/>
  <c r="DA164" i="25"/>
  <c r="DD164" i="25" s="1"/>
  <c r="DE164" i="25" s="1"/>
  <c r="DF164" i="25" s="1"/>
  <c r="DL220" i="25"/>
  <c r="DS220" i="25"/>
  <c r="CY186" i="25"/>
  <c r="CZ186" i="25"/>
  <c r="CY271" i="25"/>
  <c r="CZ271" i="25"/>
  <c r="DS311" i="25"/>
  <c r="DL311" i="25"/>
  <c r="DL261" i="25"/>
  <c r="DS261" i="25"/>
  <c r="DS282" i="25"/>
  <c r="DL282" i="25"/>
  <c r="CZ134" i="25"/>
  <c r="CY134" i="25"/>
  <c r="CZ312" i="25"/>
  <c r="CY312" i="25"/>
  <c r="CZ196" i="25"/>
  <c r="CY196" i="25"/>
  <c r="CY61" i="25"/>
  <c r="CZ61" i="25"/>
  <c r="DH56" i="25"/>
  <c r="DA56" i="25"/>
  <c r="DD56" i="25" s="1"/>
  <c r="DE56" i="25" s="1"/>
  <c r="DF56" i="25" s="1"/>
  <c r="DA190" i="25"/>
  <c r="DD190" i="25" s="1"/>
  <c r="DE190" i="25" s="1"/>
  <c r="DF190" i="25" s="1"/>
  <c r="DH190" i="25"/>
  <c r="DH147" i="25"/>
  <c r="DA147" i="25"/>
  <c r="DD147" i="25" s="1"/>
  <c r="DE147" i="25" s="1"/>
  <c r="DF147" i="25" s="1"/>
  <c r="DA32" i="25"/>
  <c r="DD32" i="25" s="1"/>
  <c r="DE32" i="25" s="1"/>
  <c r="DF32" i="25" s="1"/>
  <c r="DH32" i="25"/>
  <c r="DA210" i="25"/>
  <c r="DD210" i="25" s="1"/>
  <c r="DE210" i="25" s="1"/>
  <c r="DF210" i="25" s="1"/>
  <c r="DH210" i="25"/>
  <c r="DA78" i="25"/>
  <c r="DD78" i="25" s="1"/>
  <c r="DE78" i="25" s="1"/>
  <c r="DF78" i="25" s="1"/>
  <c r="DH78" i="25"/>
  <c r="DL221" i="25"/>
  <c r="DS221" i="25"/>
  <c r="CZ206" i="25"/>
  <c r="CY206" i="25"/>
  <c r="DL304" i="25"/>
  <c r="DS304" i="25"/>
  <c r="CY62" i="25"/>
  <c r="CZ62" i="25"/>
  <c r="CY35" i="25"/>
  <c r="CZ35" i="25"/>
  <c r="CY31" i="25"/>
  <c r="CZ31" i="25"/>
  <c r="DL160" i="25"/>
  <c r="FD160" i="25"/>
  <c r="DS160" i="25"/>
  <c r="DH105" i="25"/>
  <c r="DA105" i="25"/>
  <c r="DD105" i="25" s="1"/>
  <c r="DE105" i="25" s="1"/>
  <c r="DF105" i="25" s="1"/>
  <c r="DH15" i="25"/>
  <c r="DA15" i="25"/>
  <c r="DD15" i="25" s="1"/>
  <c r="DE15" i="25" s="1"/>
  <c r="DF15" i="25" s="1"/>
  <c r="DL219" i="25"/>
  <c r="DS219" i="25"/>
  <c r="CY16" i="25"/>
  <c r="CZ16" i="25"/>
  <c r="CZ226" i="25"/>
  <c r="DB226" i="25" s="1"/>
  <c r="DH226" i="25"/>
  <c r="DA226" i="25"/>
  <c r="DD226" i="25" s="1"/>
  <c r="DE226" i="25" s="1"/>
  <c r="DF226" i="25" s="1"/>
  <c r="DH59" i="25"/>
  <c r="DA59" i="25"/>
  <c r="DD59" i="25" s="1"/>
  <c r="DE59" i="25" s="1"/>
  <c r="DF59" i="25" s="1"/>
  <c r="CY167" i="25"/>
  <c r="CZ167" i="25"/>
  <c r="CZ229" i="25"/>
  <c r="CY229" i="25"/>
  <c r="DL202" i="25"/>
  <c r="FD202" i="25"/>
  <c r="DL224" i="25"/>
  <c r="DS224" i="25"/>
  <c r="DS123" i="25"/>
  <c r="DL123" i="25"/>
  <c r="FD123" i="25"/>
  <c r="DL150" i="25"/>
  <c r="DS150" i="25"/>
  <c r="FD150" i="25"/>
  <c r="DL41" i="25"/>
  <c r="FD41" i="25"/>
  <c r="DS41" i="25"/>
  <c r="DH191" i="25"/>
  <c r="DA191" i="25"/>
  <c r="DD191" i="25" s="1"/>
  <c r="DE191" i="25" s="1"/>
  <c r="DF191" i="25" s="1"/>
  <c r="DA275" i="25"/>
  <c r="DD275" i="25" s="1"/>
  <c r="DE275" i="25" s="1"/>
  <c r="DF275" i="25" s="1"/>
  <c r="DH275" i="25"/>
  <c r="DH45" i="25"/>
  <c r="DA45" i="25"/>
  <c r="DD45" i="25" s="1"/>
  <c r="DE45" i="25" s="1"/>
  <c r="DF45" i="25" s="1"/>
  <c r="DS299" i="25"/>
  <c r="DL299" i="25"/>
  <c r="DL291" i="25"/>
  <c r="DS291" i="25"/>
  <c r="DS124" i="25"/>
  <c r="FD124" i="25"/>
  <c r="DL124" i="25"/>
  <c r="DL32" i="25"/>
  <c r="DS32" i="25"/>
  <c r="FD32" i="25"/>
  <c r="DS134" i="25"/>
  <c r="FD134" i="25"/>
  <c r="DL134" i="25"/>
  <c r="DL312" i="25"/>
  <c r="DS312" i="25"/>
  <c r="DL286" i="25"/>
  <c r="DS286" i="25"/>
  <c r="FD196" i="25"/>
  <c r="DL196" i="25"/>
  <c r="CZ67" i="25"/>
  <c r="CY67" i="25"/>
  <c r="CY103" i="25"/>
  <c r="CZ103" i="25"/>
  <c r="DL131" i="25"/>
  <c r="DS131" i="25"/>
  <c r="FD131" i="25"/>
  <c r="DH67" i="25"/>
  <c r="DA67" i="25"/>
  <c r="DD67" i="25" s="1"/>
  <c r="DE67" i="25" s="1"/>
  <c r="DF67" i="25" s="1"/>
  <c r="DL236" i="25"/>
  <c r="DS236" i="25"/>
  <c r="CY234" i="25"/>
  <c r="CZ234" i="25"/>
  <c r="DH83" i="25"/>
  <c r="DA83" i="25"/>
  <c r="DD83" i="25" s="1"/>
  <c r="DE83" i="25" s="1"/>
  <c r="DF83" i="25" s="1"/>
  <c r="DA80" i="25"/>
  <c r="DD80" i="25" s="1"/>
  <c r="DE80" i="25" s="1"/>
  <c r="DF80" i="25" s="1"/>
  <c r="DH80" i="25"/>
  <c r="DH42" i="25"/>
  <c r="DA42" i="25"/>
  <c r="DD42" i="25" s="1"/>
  <c r="DE42" i="25" s="1"/>
  <c r="DF42" i="25" s="1"/>
  <c r="DH302" i="25"/>
  <c r="DA302" i="25"/>
  <c r="DD302" i="25" s="1"/>
  <c r="DE302" i="25" s="1"/>
  <c r="DF302" i="25" s="1"/>
  <c r="DS303" i="25"/>
  <c r="DL303" i="25"/>
  <c r="CY264" i="25"/>
  <c r="CZ264" i="25"/>
  <c r="FD201" i="25"/>
  <c r="DL201" i="25"/>
  <c r="FD54" i="25"/>
  <c r="DS54" i="25"/>
  <c r="DL54" i="25"/>
  <c r="DL265" i="25"/>
  <c r="DS265" i="25"/>
  <c r="FD144" i="25"/>
  <c r="DS144" i="25"/>
  <c r="DL144" i="25"/>
  <c r="CY97" i="25"/>
  <c r="CZ97" i="25"/>
  <c r="CZ26" i="25"/>
  <c r="CY26" i="25"/>
  <c r="DH277" i="25"/>
  <c r="DA277" i="25"/>
  <c r="DD277" i="25" s="1"/>
  <c r="DE277" i="25" s="1"/>
  <c r="DF277" i="25" s="1"/>
  <c r="DH304" i="25"/>
  <c r="DA304" i="25"/>
  <c r="DD304" i="25" s="1"/>
  <c r="DE304" i="25" s="1"/>
  <c r="DF304" i="25" s="1"/>
  <c r="DA97" i="25"/>
  <c r="DD97" i="25" s="1"/>
  <c r="DE97" i="25" s="1"/>
  <c r="DF97" i="25" s="1"/>
  <c r="DH97" i="25"/>
  <c r="DH98" i="25"/>
  <c r="DA98" i="25"/>
  <c r="DD98" i="25" s="1"/>
  <c r="DE98" i="25" s="1"/>
  <c r="DF98" i="25" s="1"/>
  <c r="DH35" i="25"/>
  <c r="DA35" i="25"/>
  <c r="DD35" i="25" s="1"/>
  <c r="DE35" i="25" s="1"/>
  <c r="DF35" i="25" s="1"/>
  <c r="DH158" i="25"/>
  <c r="DA158" i="25"/>
  <c r="DD158" i="25" s="1"/>
  <c r="DE158" i="25" s="1"/>
  <c r="DF158" i="25" s="1"/>
  <c r="CZ299" i="25"/>
  <c r="CY299" i="25"/>
  <c r="CY311" i="25"/>
  <c r="CZ311" i="25"/>
  <c r="CY291" i="25"/>
  <c r="CZ291" i="25"/>
  <c r="DL56" i="25"/>
  <c r="DS56" i="25"/>
  <c r="FD56" i="25"/>
  <c r="CY286" i="25"/>
  <c r="CZ286" i="25"/>
  <c r="CZ131" i="25"/>
  <c r="CY131" i="25"/>
  <c r="CZ132" i="25"/>
  <c r="CY132" i="25"/>
  <c r="CY163" i="25"/>
  <c r="CZ163" i="25"/>
  <c r="CZ259" i="25"/>
  <c r="DB259" i="25" s="1"/>
  <c r="DH259" i="25"/>
  <c r="DA259" i="25"/>
  <c r="DD259" i="25" s="1"/>
  <c r="DE259" i="25" s="1"/>
  <c r="DF259" i="25" s="1"/>
  <c r="DL234" i="25"/>
  <c r="DS234" i="25"/>
  <c r="DL18" i="25"/>
  <c r="DS18" i="25"/>
  <c r="FD18" i="25"/>
  <c r="DH173" i="25"/>
  <c r="DA173" i="25"/>
  <c r="DD173" i="25" s="1"/>
  <c r="DE173" i="25" s="1"/>
  <c r="DF173" i="25" s="1"/>
  <c r="DH231" i="25"/>
  <c r="DA231" i="25"/>
  <c r="DD231" i="25" s="1"/>
  <c r="DE231" i="25" s="1"/>
  <c r="DF231" i="25" s="1"/>
  <c r="DA120" i="25"/>
  <c r="DD120" i="25" s="1"/>
  <c r="DE120" i="25" s="1"/>
  <c r="DF120" i="25" s="1"/>
  <c r="DH120" i="25"/>
  <c r="DH267" i="25"/>
  <c r="DA267" i="25"/>
  <c r="DD267" i="25" s="1"/>
  <c r="DE267" i="25" s="1"/>
  <c r="DF267" i="25" s="1"/>
  <c r="DH47" i="25"/>
  <c r="DA47" i="25"/>
  <c r="DD47" i="25" s="1"/>
  <c r="DE47" i="25" s="1"/>
  <c r="DF47" i="25" s="1"/>
  <c r="DH314" i="25"/>
  <c r="DA314" i="25"/>
  <c r="DD314" i="25" s="1"/>
  <c r="DE314" i="25" s="1"/>
  <c r="DF314" i="25" s="1"/>
  <c r="CZ158" i="25"/>
  <c r="CY158" i="25"/>
  <c r="DS268" i="25"/>
  <c r="DL268" i="25"/>
  <c r="CY273" i="25"/>
  <c r="CZ273" i="25"/>
  <c r="FD206" i="25"/>
  <c r="DL206" i="25"/>
  <c r="DL249" i="25"/>
  <c r="DS249" i="25"/>
  <c r="FD120" i="25"/>
  <c r="DS120" i="25"/>
  <c r="DL120" i="25"/>
  <c r="DS35" i="25"/>
  <c r="DL35" i="25"/>
  <c r="FD35" i="25"/>
  <c r="CZ83" i="25"/>
  <c r="CY83" i="25"/>
  <c r="DH91" i="25"/>
  <c r="DA91" i="25"/>
  <c r="DD91" i="25" s="1"/>
  <c r="DE91" i="25" s="1"/>
  <c r="DF91" i="25" s="1"/>
  <c r="DH41" i="25"/>
  <c r="DA41" i="25"/>
  <c r="DD41" i="25" s="1"/>
  <c r="DE41" i="25" s="1"/>
  <c r="DF41" i="25" s="1"/>
  <c r="CY152" i="25"/>
  <c r="CZ152" i="25"/>
  <c r="DA257" i="25"/>
  <c r="DD257" i="25" s="1"/>
  <c r="DE257" i="25" s="1"/>
  <c r="DF257" i="25" s="1"/>
  <c r="DH257" i="25"/>
  <c r="DH244" i="25"/>
  <c r="DA244" i="25"/>
  <c r="DD244" i="25" s="1"/>
  <c r="DE244" i="25" s="1"/>
  <c r="DF244" i="25" s="1"/>
  <c r="DH292" i="25"/>
  <c r="DA292" i="25"/>
  <c r="DD292" i="25" s="1"/>
  <c r="DE292" i="25" s="1"/>
  <c r="DF292" i="25" s="1"/>
  <c r="DH251" i="25"/>
  <c r="DA251" i="25"/>
  <c r="DD251" i="25" s="1"/>
  <c r="DE251" i="25" s="1"/>
  <c r="DF251" i="25" s="1"/>
  <c r="DH202" i="25"/>
  <c r="DA202" i="25"/>
  <c r="DD202" i="25" s="1"/>
  <c r="DE202" i="25" s="1"/>
  <c r="DF202" i="25" s="1"/>
  <c r="DA65" i="25"/>
  <c r="DD65" i="25" s="1"/>
  <c r="DE65" i="25" s="1"/>
  <c r="DF65" i="25" s="1"/>
  <c r="DH65" i="25"/>
  <c r="DH144" i="25"/>
  <c r="DA144" i="25"/>
  <c r="DD144" i="25" s="1"/>
  <c r="DE144" i="25" s="1"/>
  <c r="DF144" i="25" s="1"/>
  <c r="DA280" i="25"/>
  <c r="DD280" i="25" s="1"/>
  <c r="DE280" i="25" s="1"/>
  <c r="DF280" i="25" s="1"/>
  <c r="DH280" i="25"/>
  <c r="DH103" i="25"/>
  <c r="DA103" i="25"/>
  <c r="DD103" i="25" s="1"/>
  <c r="DE103" i="25" s="1"/>
  <c r="DF103" i="25" s="1"/>
  <c r="DA187" i="25"/>
  <c r="DD187" i="25" s="1"/>
  <c r="DE187" i="25" s="1"/>
  <c r="DF187" i="25" s="1"/>
  <c r="DH187" i="25"/>
  <c r="DH99" i="25"/>
  <c r="DA99" i="25"/>
  <c r="DD99" i="25" s="1"/>
  <c r="DE99" i="25" s="1"/>
  <c r="DF99" i="25" s="1"/>
  <c r="DL223" i="25"/>
  <c r="DS223" i="25"/>
  <c r="FD101" i="25"/>
  <c r="DL101" i="25"/>
  <c r="CY56" i="25"/>
  <c r="CZ56" i="25"/>
  <c r="DL63" i="25"/>
  <c r="DS63" i="25"/>
  <c r="FD63" i="25"/>
  <c r="CZ84" i="25"/>
  <c r="CY84" i="25"/>
  <c r="CY11" i="25"/>
  <c r="CZ11" i="25"/>
  <c r="CZ135" i="25"/>
  <c r="CY135" i="25"/>
  <c r="DL103" i="25"/>
  <c r="FD103" i="25"/>
  <c r="DS132" i="25"/>
  <c r="DL132" i="25"/>
  <c r="FD132" i="25"/>
  <c r="DS76" i="25"/>
  <c r="DL76" i="25"/>
  <c r="FD76" i="25"/>
  <c r="DH9" i="25"/>
  <c r="DA9" i="25"/>
  <c r="DD9" i="25" s="1"/>
  <c r="DE9" i="25" s="1"/>
  <c r="DF9" i="25" s="1"/>
  <c r="CY44" i="25"/>
  <c r="CZ44" i="25"/>
  <c r="DA179" i="25"/>
  <c r="DD179" i="25" s="1"/>
  <c r="DE179" i="25" s="1"/>
  <c r="DF179" i="25" s="1"/>
  <c r="DH179" i="25"/>
  <c r="DA84" i="25"/>
  <c r="DD84" i="25" s="1"/>
  <c r="DE84" i="25" s="1"/>
  <c r="DF84" i="25" s="1"/>
  <c r="DH84" i="25"/>
  <c r="DA79" i="25"/>
  <c r="DD79" i="25" s="1"/>
  <c r="DE79" i="25" s="1"/>
  <c r="DF79" i="25" s="1"/>
  <c r="DH79" i="25"/>
  <c r="DL218" i="25"/>
  <c r="DS218" i="25"/>
  <c r="CY268" i="25"/>
  <c r="CZ268" i="25"/>
  <c r="DL203" i="25"/>
  <c r="FD203" i="25"/>
  <c r="CY303" i="25"/>
  <c r="CZ303" i="25"/>
  <c r="CY248" i="25"/>
  <c r="CZ248" i="25"/>
  <c r="CY249" i="25"/>
  <c r="CZ249" i="25"/>
  <c r="CZ120" i="25"/>
  <c r="CY120" i="25"/>
  <c r="DL99" i="25"/>
  <c r="FD99" i="25"/>
  <c r="CY54" i="25"/>
  <c r="CZ54" i="25"/>
  <c r="CY53" i="25"/>
  <c r="CZ53" i="25"/>
  <c r="CY80" i="25"/>
  <c r="CZ80" i="25"/>
  <c r="DL31" i="25"/>
  <c r="DS31" i="25"/>
  <c r="DH166" i="25"/>
  <c r="DA166" i="25"/>
  <c r="DD166" i="25" s="1"/>
  <c r="DE166" i="25" s="1"/>
  <c r="DF166" i="25" s="1"/>
  <c r="DH132" i="25"/>
  <c r="DA132" i="25"/>
  <c r="DD132" i="25" s="1"/>
  <c r="DE132" i="25" s="1"/>
  <c r="DF132" i="25" s="1"/>
  <c r="DA58" i="25"/>
  <c r="DD58" i="25" s="1"/>
  <c r="DE58" i="25" s="1"/>
  <c r="DF58" i="25" s="1"/>
  <c r="DH58" i="25"/>
  <c r="DS192" i="25"/>
  <c r="FD192" i="25"/>
  <c r="DL192" i="25"/>
  <c r="DL91" i="25"/>
  <c r="DH299" i="25"/>
  <c r="DA299" i="25"/>
  <c r="DD299" i="25" s="1"/>
  <c r="DE299" i="25" s="1"/>
  <c r="DF299" i="25" s="1"/>
  <c r="DA289" i="25"/>
  <c r="DD289" i="25" s="1"/>
  <c r="DE289" i="25" s="1"/>
  <c r="DF289" i="25" s="1"/>
  <c r="DH289" i="25"/>
  <c r="DH286" i="25"/>
  <c r="DA286" i="25"/>
  <c r="DD286" i="25" s="1"/>
  <c r="DE286" i="25" s="1"/>
  <c r="DF286" i="25" s="1"/>
  <c r="DH234" i="25"/>
  <c r="DA234" i="25"/>
  <c r="DD234" i="25" s="1"/>
  <c r="DE234" i="25" s="1"/>
  <c r="DF234" i="25" s="1"/>
  <c r="DA232" i="25"/>
  <c r="DD232" i="25" s="1"/>
  <c r="DE232" i="25" s="1"/>
  <c r="DF232" i="25" s="1"/>
  <c r="DH232" i="25"/>
  <c r="DL270" i="25"/>
  <c r="DS270" i="25"/>
  <c r="DL293" i="25"/>
  <c r="DS138" i="25"/>
  <c r="DL138" i="25"/>
  <c r="FD138" i="25"/>
  <c r="DH175" i="25"/>
  <c r="DA175" i="25"/>
  <c r="DD175" i="25" s="1"/>
  <c r="DE175" i="25" s="1"/>
  <c r="DF175" i="25" s="1"/>
  <c r="DA64" i="25"/>
  <c r="DD64" i="25" s="1"/>
  <c r="DE64" i="25" s="1"/>
  <c r="DF64" i="25" s="1"/>
  <c r="DH64" i="25"/>
  <c r="DH283" i="25"/>
  <c r="DA283" i="25"/>
  <c r="DD283" i="25" s="1"/>
  <c r="DE283" i="25" s="1"/>
  <c r="DF283" i="25" s="1"/>
  <c r="DA76" i="25"/>
  <c r="DD76" i="25" s="1"/>
  <c r="DE76" i="25" s="1"/>
  <c r="DF76" i="25" s="1"/>
  <c r="DH76" i="25"/>
  <c r="DA31" i="25"/>
  <c r="DD31" i="25" s="1"/>
  <c r="DE31" i="25" s="1"/>
  <c r="DF31" i="25" s="1"/>
  <c r="DH31" i="25"/>
  <c r="CY310" i="25"/>
  <c r="CZ310" i="25"/>
  <c r="CZ223" i="25"/>
  <c r="CY223" i="25"/>
  <c r="CY217" i="25"/>
  <c r="CZ217" i="25"/>
  <c r="DL67" i="25"/>
  <c r="DS67" i="25"/>
  <c r="FD67" i="25"/>
  <c r="DS84" i="25"/>
  <c r="FD84" i="25"/>
  <c r="DL84" i="25"/>
  <c r="DS281" i="25"/>
  <c r="DL281" i="25"/>
  <c r="DL44" i="25"/>
  <c r="DS44" i="25"/>
  <c r="DS316" i="25"/>
  <c r="DL316" i="25"/>
  <c r="CZ18" i="25"/>
  <c r="CY18" i="25"/>
  <c r="DH306" i="25"/>
  <c r="DA306" i="25"/>
  <c r="DD306" i="25" s="1"/>
  <c r="DE306" i="25" s="1"/>
  <c r="DF306" i="25" s="1"/>
  <c r="DH34" i="25"/>
  <c r="DA34" i="25"/>
  <c r="DD34" i="25" s="1"/>
  <c r="DE34" i="25" s="1"/>
  <c r="DF34" i="25" s="1"/>
  <c r="DA199" i="25"/>
  <c r="DD199" i="25" s="1"/>
  <c r="DE199" i="25" s="1"/>
  <c r="DF199" i="25" s="1"/>
  <c r="DH199" i="25"/>
  <c r="DH27" i="25"/>
  <c r="DA27" i="25"/>
  <c r="DD27" i="25" s="1"/>
  <c r="DE27" i="25" s="1"/>
  <c r="DF27" i="25" s="1"/>
  <c r="CY210" i="25"/>
  <c r="CZ210" i="25"/>
  <c r="CY178" i="25"/>
  <c r="CZ178" i="25"/>
  <c r="DL273" i="25"/>
  <c r="DS273" i="25"/>
  <c r="CZ127" i="25"/>
  <c r="CY127" i="25"/>
  <c r="DH102" i="25"/>
  <c r="DA102" i="25"/>
  <c r="DD102" i="25" s="1"/>
  <c r="DE102" i="25" s="1"/>
  <c r="DF102" i="25" s="1"/>
  <c r="CZ192" i="25"/>
  <c r="CY192" i="25"/>
  <c r="DH249" i="25"/>
  <c r="DA249" i="25"/>
  <c r="DD249" i="25" s="1"/>
  <c r="DE249" i="25" s="1"/>
  <c r="DF249" i="25" s="1"/>
  <c r="DH217" i="25"/>
  <c r="DA217" i="25"/>
  <c r="DD217" i="25" s="1"/>
  <c r="DE217" i="25" s="1"/>
  <c r="DF217" i="25" s="1"/>
  <c r="CY205" i="25"/>
  <c r="CZ205" i="25"/>
  <c r="DH143" i="25"/>
  <c r="DA143" i="25"/>
  <c r="DD143" i="25" s="1"/>
  <c r="DE143" i="25" s="1"/>
  <c r="DF143" i="25" s="1"/>
  <c r="DA168" i="25"/>
  <c r="DD168" i="25" s="1"/>
  <c r="DE168" i="25" s="1"/>
  <c r="DF168" i="25" s="1"/>
  <c r="DH168" i="25"/>
  <c r="DH284" i="25"/>
  <c r="DA284" i="25"/>
  <c r="DD284" i="25" s="1"/>
  <c r="DE284" i="25" s="1"/>
  <c r="DF284" i="25" s="1"/>
  <c r="DH156" i="25"/>
  <c r="DA156" i="25"/>
  <c r="DD156" i="25" s="1"/>
  <c r="DE156" i="25" s="1"/>
  <c r="DF156" i="25" s="1"/>
  <c r="CY279" i="25"/>
  <c r="CZ279" i="25"/>
  <c r="CY274" i="25"/>
  <c r="CZ274" i="25"/>
  <c r="DL217" i="25"/>
  <c r="DS217" i="25"/>
  <c r="DL11" i="25"/>
  <c r="DS11" i="25"/>
  <c r="FD11" i="25"/>
  <c r="DL163" i="25"/>
  <c r="FD163" i="25"/>
  <c r="DS163" i="25"/>
  <c r="CY76" i="25"/>
  <c r="CZ76" i="25"/>
  <c r="DH311" i="25"/>
  <c r="DA311" i="25"/>
  <c r="DD311" i="25" s="1"/>
  <c r="DE311" i="25" s="1"/>
  <c r="DF311" i="25" s="1"/>
  <c r="CZ281" i="25"/>
  <c r="CY281" i="25"/>
  <c r="CY316" i="25"/>
  <c r="CZ316" i="25"/>
  <c r="DA87" i="25"/>
  <c r="DD87" i="25" s="1"/>
  <c r="DE87" i="25" s="1"/>
  <c r="DF87" i="25" s="1"/>
  <c r="DH87" i="25"/>
  <c r="DH138" i="25"/>
  <c r="DA138" i="25"/>
  <c r="DD138" i="25" s="1"/>
  <c r="DE138" i="25" s="1"/>
  <c r="DF138" i="25" s="1"/>
  <c r="DH200" i="25"/>
  <c r="DA200" i="25"/>
  <c r="DD200" i="25" s="1"/>
  <c r="DE200" i="25" s="1"/>
  <c r="DF200" i="25" s="1"/>
  <c r="CZ220" i="25"/>
  <c r="DB220" i="25" s="1"/>
  <c r="DH220" i="25"/>
  <c r="DA220" i="25"/>
  <c r="DD220" i="25" s="1"/>
  <c r="DE220" i="25" s="1"/>
  <c r="DF220" i="25" s="1"/>
  <c r="DH40" i="25"/>
  <c r="DA40" i="25"/>
  <c r="DD40" i="25" s="1"/>
  <c r="DE40" i="25" s="1"/>
  <c r="DF40" i="25" s="1"/>
  <c r="DH228" i="25"/>
  <c r="DA228" i="25"/>
  <c r="DD228" i="25" s="1"/>
  <c r="DE228" i="25" s="1"/>
  <c r="DF228" i="25" s="1"/>
  <c r="DL278" i="25"/>
  <c r="DS278" i="25"/>
  <c r="DL210" i="25"/>
  <c r="FD210" i="25"/>
  <c r="CY267" i="25"/>
  <c r="CZ267" i="25"/>
  <c r="CY218" i="25"/>
  <c r="CZ218" i="25"/>
  <c r="DL158" i="25"/>
  <c r="DS158" i="25"/>
  <c r="FD158" i="25"/>
  <c r="CZ203" i="25"/>
  <c r="CY203" i="25"/>
  <c r="DS297" i="25"/>
  <c r="DL248" i="25"/>
  <c r="DS248" i="25"/>
  <c r="DL162" i="25"/>
  <c r="DS162" i="25"/>
  <c r="FD162" i="25"/>
  <c r="DS53" i="25"/>
  <c r="FD53" i="25"/>
  <c r="DL53" i="25"/>
  <c r="DS80" i="25"/>
  <c r="FD80" i="25"/>
  <c r="DL80" i="25"/>
  <c r="CY10" i="25"/>
  <c r="CZ10" i="25"/>
  <c r="CY116" i="25"/>
  <c r="CZ116" i="25"/>
  <c r="DL97" i="25"/>
  <c r="FD97" i="25"/>
  <c r="DL83" i="25"/>
  <c r="FD83" i="25"/>
  <c r="CY113" i="25"/>
  <c r="CZ113" i="25"/>
  <c r="CY288" i="25"/>
  <c r="CZ288" i="25"/>
  <c r="DS191" i="25"/>
  <c r="FD191" i="25"/>
  <c r="DL191" i="25"/>
  <c r="CY118" i="25"/>
  <c r="CZ118" i="25"/>
  <c r="CZ174" i="25"/>
  <c r="CY174" i="25"/>
  <c r="CY133" i="25"/>
  <c r="CZ133" i="25"/>
  <c r="DA111" i="25"/>
  <c r="DD111" i="25" s="1"/>
  <c r="DE111" i="25" s="1"/>
  <c r="DF111" i="25" s="1"/>
  <c r="DH111" i="25"/>
  <c r="DH70" i="25"/>
  <c r="DA70" i="25"/>
  <c r="DD70" i="25" s="1"/>
  <c r="DE70" i="25" s="1"/>
  <c r="DF70" i="25" s="1"/>
  <c r="DA295" i="25"/>
  <c r="DD295" i="25" s="1"/>
  <c r="DE295" i="25" s="1"/>
  <c r="DF295" i="25" s="1"/>
  <c r="DH295" i="25"/>
  <c r="DH44" i="25"/>
  <c r="DA44" i="25"/>
  <c r="DD44" i="25" s="1"/>
  <c r="DE44" i="25" s="1"/>
  <c r="DF44" i="25" s="1"/>
  <c r="DH37" i="25"/>
  <c r="DA37" i="25"/>
  <c r="DD37" i="25" s="1"/>
  <c r="DE37" i="25" s="1"/>
  <c r="DF37" i="25" s="1"/>
  <c r="DH100" i="25"/>
  <c r="DA100" i="25"/>
  <c r="DD100" i="25" s="1"/>
  <c r="DE100" i="25" s="1"/>
  <c r="DF100" i="25" s="1"/>
  <c r="DL186" i="25"/>
  <c r="FD186" i="25"/>
  <c r="DS186" i="25"/>
  <c r="CZ231" i="25"/>
  <c r="CY231" i="25"/>
  <c r="CZ166" i="25"/>
  <c r="CY166" i="25"/>
  <c r="DL204" i="25"/>
  <c r="FD204" i="25"/>
  <c r="DL310" i="25"/>
  <c r="DS310" i="25"/>
  <c r="CY261" i="25"/>
  <c r="CZ261" i="25"/>
  <c r="DL165" i="25"/>
  <c r="DS165" i="25"/>
  <c r="FD165" i="25"/>
  <c r="CY282" i="25"/>
  <c r="CZ282" i="25"/>
  <c r="CZ124" i="25"/>
  <c r="CY124" i="25"/>
  <c r="DL135" i="25"/>
  <c r="FD135" i="25"/>
  <c r="DS135" i="25"/>
  <c r="CY36" i="25"/>
  <c r="CZ36" i="25"/>
  <c r="DS61" i="25"/>
  <c r="DL61" i="25"/>
  <c r="FD61" i="25"/>
  <c r="DL315" i="25"/>
  <c r="DS315" i="25"/>
  <c r="DH262" i="25"/>
  <c r="DA262" i="25"/>
  <c r="DD262" i="25" s="1"/>
  <c r="DE262" i="25" s="1"/>
  <c r="DF262" i="25" s="1"/>
  <c r="DA294" i="25"/>
  <c r="DD294" i="25" s="1"/>
  <c r="DE294" i="25" s="1"/>
  <c r="DF294" i="25" s="1"/>
  <c r="DH294" i="25"/>
  <c r="DA254" i="25"/>
  <c r="DD254" i="25" s="1"/>
  <c r="DE254" i="25" s="1"/>
  <c r="DF254" i="25" s="1"/>
  <c r="DH254" i="25"/>
  <c r="DH308" i="25"/>
  <c r="DA308" i="25"/>
  <c r="DD308" i="25" s="1"/>
  <c r="DE308" i="25" s="1"/>
  <c r="DF308" i="25" s="1"/>
  <c r="DS178" i="25"/>
  <c r="FD178" i="25"/>
  <c r="DL178" i="25"/>
  <c r="DL267" i="25"/>
  <c r="DS267" i="25"/>
  <c r="CY297" i="25"/>
  <c r="CZ297" i="25"/>
  <c r="FD10" i="25"/>
  <c r="DS10" i="25"/>
  <c r="DL10" i="25"/>
  <c r="DA95" i="25"/>
  <c r="DD95" i="25" s="1"/>
  <c r="DE95" i="25" s="1"/>
  <c r="DF95" i="25" s="1"/>
  <c r="DH95" i="25"/>
  <c r="DH23" i="25"/>
  <c r="DA23" i="25"/>
  <c r="DD23" i="25" s="1"/>
  <c r="DE23" i="25" s="1"/>
  <c r="DF23" i="25" s="1"/>
  <c r="DL152" i="25"/>
  <c r="FD152" i="25"/>
  <c r="DS152" i="25"/>
  <c r="DL288" i="25"/>
  <c r="DS288" i="25"/>
  <c r="FD102" i="25"/>
  <c r="DL102" i="25"/>
  <c r="DA266" i="25"/>
  <c r="DD266" i="25" s="1"/>
  <c r="DE266" i="25" s="1"/>
  <c r="DF266" i="25" s="1"/>
  <c r="DH266" i="25"/>
  <c r="CZ157" i="25"/>
  <c r="DB157" i="25" s="1"/>
  <c r="DH157" i="25"/>
  <c r="DA157" i="25"/>
  <c r="DD157" i="25" s="1"/>
  <c r="DE157" i="25" s="1"/>
  <c r="DF157" i="25" s="1"/>
  <c r="CZ91" i="25"/>
  <c r="CY91" i="25"/>
  <c r="DL16" i="25"/>
  <c r="DS16" i="25"/>
  <c r="FD16" i="25"/>
  <c r="CY240" i="25"/>
  <c r="CZ240" i="25"/>
  <c r="DH38" i="25"/>
  <c r="DA38" i="25"/>
  <c r="DD38" i="25" s="1"/>
  <c r="DE38" i="25" s="1"/>
  <c r="DF38" i="25" s="1"/>
  <c r="DA53" i="25"/>
  <c r="DD53" i="25" s="1"/>
  <c r="DE53" i="25" s="1"/>
  <c r="DF53" i="25" s="1"/>
  <c r="DH53" i="25"/>
  <c r="DH29" i="25"/>
  <c r="DA29" i="25"/>
  <c r="DD29" i="25" s="1"/>
  <c r="DE29" i="25" s="1"/>
  <c r="DF29" i="25" s="1"/>
  <c r="DA248" i="25"/>
  <c r="DD248" i="25" s="1"/>
  <c r="DE248" i="25" s="1"/>
  <c r="DF248" i="25" s="1"/>
  <c r="DH248" i="25"/>
  <c r="CY202" i="25"/>
  <c r="CZ202" i="25"/>
  <c r="DL222" i="25"/>
  <c r="DS222" i="25"/>
  <c r="DL94" i="25"/>
  <c r="FD94" i="25"/>
  <c r="CY50" i="25"/>
  <c r="CZ50" i="25"/>
  <c r="CZ111" i="25"/>
  <c r="CY111" i="25"/>
  <c r="DS133" i="25"/>
  <c r="DL133" i="25"/>
  <c r="FD133" i="25"/>
  <c r="DH141" i="25"/>
  <c r="DA141" i="25"/>
  <c r="DD141" i="25" s="1"/>
  <c r="DE141" i="25" s="1"/>
  <c r="DF141" i="25" s="1"/>
  <c r="DL147" i="25"/>
  <c r="DS147" i="25"/>
  <c r="FD198" i="25"/>
  <c r="DL198" i="25"/>
  <c r="FD149" i="25"/>
  <c r="DL149" i="25"/>
  <c r="DS149" i="25"/>
  <c r="DS247" i="25"/>
  <c r="CY193" i="25"/>
  <c r="CZ193" i="25"/>
  <c r="DL209" i="25"/>
  <c r="FD209" i="25"/>
  <c r="CY122" i="25"/>
  <c r="CZ122" i="25"/>
  <c r="CZ142" i="25"/>
  <c r="CY142" i="25"/>
  <c r="CY46" i="25"/>
  <c r="CZ46" i="25"/>
  <c r="DS115" i="25"/>
  <c r="DL115" i="25"/>
  <c r="FD115" i="25"/>
  <c r="CY105" i="25"/>
  <c r="CZ105" i="25"/>
  <c r="FD30" i="25"/>
  <c r="DL30" i="25"/>
  <c r="DS30" i="25"/>
  <c r="CY114" i="25"/>
  <c r="CZ114" i="25"/>
  <c r="CZ23" i="25"/>
  <c r="CY23" i="25"/>
  <c r="DH268" i="25"/>
  <c r="DA268" i="25"/>
  <c r="DD268" i="25" s="1"/>
  <c r="DE268" i="25" s="1"/>
  <c r="DF268" i="25" s="1"/>
  <c r="DH43" i="25"/>
  <c r="DA43" i="25"/>
  <c r="DD43" i="25" s="1"/>
  <c r="DE43" i="25" s="1"/>
  <c r="DF43" i="25" s="1"/>
  <c r="DH134" i="25"/>
  <c r="DA134" i="25"/>
  <c r="DD134" i="25" s="1"/>
  <c r="DE134" i="25" s="1"/>
  <c r="DF134" i="25" s="1"/>
  <c r="DA316" i="25"/>
  <c r="DD316" i="25" s="1"/>
  <c r="DE316" i="25" s="1"/>
  <c r="DF316" i="25" s="1"/>
  <c r="DH316" i="25"/>
  <c r="CZ251" i="25"/>
  <c r="CY251" i="25"/>
  <c r="CZ95" i="25"/>
  <c r="CY95" i="25"/>
  <c r="FD92" i="25"/>
  <c r="DL92" i="25"/>
  <c r="DL28" i="25"/>
  <c r="DS28" i="25"/>
  <c r="CZ9" i="25"/>
  <c r="CY9" i="25"/>
  <c r="DS29" i="25"/>
  <c r="FD29" i="25"/>
  <c r="DL29" i="25"/>
  <c r="CY24" i="25"/>
  <c r="CZ24" i="25"/>
  <c r="CZ269" i="25"/>
  <c r="CY269" i="25"/>
  <c r="DA208" i="25"/>
  <c r="DD208" i="25" s="1"/>
  <c r="DE208" i="25" s="1"/>
  <c r="DF208" i="25" s="1"/>
  <c r="DH208" i="25"/>
  <c r="DH170" i="25"/>
  <c r="DA170" i="25"/>
  <c r="DD170" i="25" s="1"/>
  <c r="DE170" i="25" s="1"/>
  <c r="DF170" i="25" s="1"/>
  <c r="DA224" i="25"/>
  <c r="DD224" i="25" s="1"/>
  <c r="DE224" i="25" s="1"/>
  <c r="DF224" i="25" s="1"/>
  <c r="DH224" i="25"/>
  <c r="DH90" i="25"/>
  <c r="DA90" i="25"/>
  <c r="DD90" i="25" s="1"/>
  <c r="DE90" i="25" s="1"/>
  <c r="DF90" i="25" s="1"/>
  <c r="CY307" i="25"/>
  <c r="CZ307" i="25"/>
  <c r="CZ188" i="25"/>
  <c r="CY188" i="25"/>
  <c r="CY14" i="25"/>
  <c r="CZ14" i="25"/>
  <c r="CY37" i="25"/>
  <c r="CZ37" i="25"/>
  <c r="DS128" i="25"/>
  <c r="DL128" i="25"/>
  <c r="FD128" i="25"/>
  <c r="DS64" i="25"/>
  <c r="DL64" i="25"/>
  <c r="FD64" i="25"/>
  <c r="CY68" i="25"/>
  <c r="CZ68" i="25"/>
  <c r="DS305" i="25"/>
  <c r="DL305" i="25"/>
  <c r="DA178" i="25"/>
  <c r="DD178" i="25" s="1"/>
  <c r="DE178" i="25" s="1"/>
  <c r="DF178" i="25" s="1"/>
  <c r="DH178" i="25"/>
  <c r="DH123" i="25"/>
  <c r="DA123" i="25"/>
  <c r="DD123" i="25" s="1"/>
  <c r="DE123" i="25" s="1"/>
  <c r="DF123" i="25" s="1"/>
  <c r="DH54" i="25"/>
  <c r="DA54" i="25"/>
  <c r="DD54" i="25" s="1"/>
  <c r="DE54" i="25" s="1"/>
  <c r="DF54" i="25" s="1"/>
  <c r="DA296" i="25"/>
  <c r="DD296" i="25" s="1"/>
  <c r="DE296" i="25" s="1"/>
  <c r="DF296" i="25" s="1"/>
  <c r="DH296" i="25"/>
  <c r="DA189" i="25"/>
  <c r="DD189" i="25" s="1"/>
  <c r="DE189" i="25" s="1"/>
  <c r="DF189" i="25" s="1"/>
  <c r="DH189" i="25"/>
  <c r="DH225" i="25"/>
  <c r="DA225" i="25"/>
  <c r="DD225" i="25" s="1"/>
  <c r="DE225" i="25" s="1"/>
  <c r="DF225" i="25" s="1"/>
  <c r="DS306" i="25"/>
  <c r="DL306" i="25"/>
  <c r="CY235" i="25"/>
  <c r="CZ235" i="25"/>
  <c r="CY194" i="25"/>
  <c r="CZ194" i="25"/>
  <c r="DS180" i="25"/>
  <c r="FD180" i="25"/>
  <c r="DL180" i="25"/>
  <c r="CY237" i="25"/>
  <c r="CZ237" i="25"/>
  <c r="DL238" i="25"/>
  <c r="DS238" i="25"/>
  <c r="CY148" i="25"/>
  <c r="CZ148" i="25"/>
  <c r="DL85" i="25"/>
  <c r="FD85" i="25"/>
  <c r="DS85" i="25"/>
  <c r="DS125" i="25"/>
  <c r="FD125" i="25"/>
  <c r="DL125" i="25"/>
  <c r="CY33" i="25"/>
  <c r="CZ33" i="25"/>
  <c r="DS119" i="25"/>
  <c r="FD119" i="25"/>
  <c r="DL119" i="25"/>
  <c r="CY117" i="25"/>
  <c r="CZ117" i="25"/>
  <c r="CY258" i="25"/>
  <c r="CZ258" i="25"/>
  <c r="CY41" i="25"/>
  <c r="CZ41" i="25"/>
  <c r="CY141" i="25"/>
  <c r="CZ141" i="25"/>
  <c r="CZ98" i="25"/>
  <c r="CY98" i="25"/>
  <c r="DA11" i="25"/>
  <c r="DD11" i="25" s="1"/>
  <c r="DE11" i="25" s="1"/>
  <c r="DF11" i="25" s="1"/>
  <c r="DH11" i="25"/>
  <c r="DA256" i="25"/>
  <c r="DD256" i="25" s="1"/>
  <c r="DE256" i="25" s="1"/>
  <c r="DF256" i="25" s="1"/>
  <c r="DH256" i="25"/>
  <c r="DH279" i="25"/>
  <c r="DA279" i="25"/>
  <c r="DD279" i="25" s="1"/>
  <c r="DE279" i="25" s="1"/>
  <c r="DF279" i="25" s="1"/>
  <c r="DA6" i="25"/>
  <c r="DD6" i="25" s="1"/>
  <c r="DE6" i="25" s="1"/>
  <c r="DF6" i="25" s="1"/>
  <c r="DM6" i="25" s="1"/>
  <c r="DH6" i="25"/>
  <c r="CZ6" i="25"/>
  <c r="DB6" i="25" s="1"/>
  <c r="DH121" i="25"/>
  <c r="DA121" i="25"/>
  <c r="DD121" i="25" s="1"/>
  <c r="DE121" i="25" s="1"/>
  <c r="DF121" i="25" s="1"/>
  <c r="DH305" i="25"/>
  <c r="DA305" i="25"/>
  <c r="DD305" i="25" s="1"/>
  <c r="DE305" i="25" s="1"/>
  <c r="DF305" i="25" s="1"/>
  <c r="DA307" i="25"/>
  <c r="DD307" i="25" s="1"/>
  <c r="DE307" i="25" s="1"/>
  <c r="DF307" i="25" s="1"/>
  <c r="DH307" i="25"/>
  <c r="DL247" i="25"/>
  <c r="DL172" i="25"/>
  <c r="DS172" i="25"/>
  <c r="FD172" i="25"/>
  <c r="CZ209" i="25"/>
  <c r="CY209" i="25"/>
  <c r="CY78" i="25"/>
  <c r="CZ78" i="25"/>
  <c r="CZ257" i="25"/>
  <c r="CY257" i="25"/>
  <c r="DS46" i="25"/>
  <c r="DL46" i="25"/>
  <c r="FD46" i="25"/>
  <c r="DL104" i="25"/>
  <c r="FD104" i="25"/>
  <c r="CY39" i="25"/>
  <c r="CZ39" i="25"/>
  <c r="DA201" i="25"/>
  <c r="DD201" i="25" s="1"/>
  <c r="DE201" i="25" s="1"/>
  <c r="DF201" i="25" s="1"/>
  <c r="DH201" i="25"/>
  <c r="DA131" i="25"/>
  <c r="DD131" i="25" s="1"/>
  <c r="DE131" i="25" s="1"/>
  <c r="DF131" i="25" s="1"/>
  <c r="DH131" i="25"/>
  <c r="DH119" i="25"/>
  <c r="DA119" i="25"/>
  <c r="DD119" i="25" s="1"/>
  <c r="DE119" i="25" s="1"/>
  <c r="DF119" i="25" s="1"/>
  <c r="DH89" i="25"/>
  <c r="DA89" i="25"/>
  <c r="DD89" i="25" s="1"/>
  <c r="DE89" i="25" s="1"/>
  <c r="DF89" i="25" s="1"/>
  <c r="DH153" i="25"/>
  <c r="DA153" i="25"/>
  <c r="DD153" i="25" s="1"/>
  <c r="DE153" i="25" s="1"/>
  <c r="DF153" i="25" s="1"/>
  <c r="CY197" i="25"/>
  <c r="CZ197" i="25"/>
  <c r="CZ309" i="25"/>
  <c r="CY309" i="25"/>
  <c r="DS251" i="25"/>
  <c r="DL251" i="25"/>
  <c r="DL314" i="25"/>
  <c r="DS314" i="25"/>
  <c r="CY140" i="25"/>
  <c r="CZ140" i="25"/>
  <c r="CY28" i="25"/>
  <c r="CZ28" i="25"/>
  <c r="DS42" i="25"/>
  <c r="FD42" i="25"/>
  <c r="DL42" i="25"/>
  <c r="DL225" i="25"/>
  <c r="DA128" i="25"/>
  <c r="DD128" i="25" s="1"/>
  <c r="DE128" i="25" s="1"/>
  <c r="DF128" i="25" s="1"/>
  <c r="DH128" i="25"/>
  <c r="DH46" i="25"/>
  <c r="DA46" i="25"/>
  <c r="DD46" i="25" s="1"/>
  <c r="DE46" i="25" s="1"/>
  <c r="DF46" i="25" s="1"/>
  <c r="DH135" i="25"/>
  <c r="DA135" i="25"/>
  <c r="DD135" i="25" s="1"/>
  <c r="DE135" i="25" s="1"/>
  <c r="DF135" i="25" s="1"/>
  <c r="DH263" i="25"/>
  <c r="DA263" i="25"/>
  <c r="DD263" i="25" s="1"/>
  <c r="DE263" i="25" s="1"/>
  <c r="DF263" i="25" s="1"/>
  <c r="DA310" i="25"/>
  <c r="DD310" i="25" s="1"/>
  <c r="DE310" i="25" s="1"/>
  <c r="DF310" i="25" s="1"/>
  <c r="DH310" i="25"/>
  <c r="DH36" i="25"/>
  <c r="DA36" i="25"/>
  <c r="DD36" i="25" s="1"/>
  <c r="DE36" i="25" s="1"/>
  <c r="DF36" i="25" s="1"/>
  <c r="DH152" i="25"/>
  <c r="DA152" i="25"/>
  <c r="DD152" i="25" s="1"/>
  <c r="DE152" i="25" s="1"/>
  <c r="DF152" i="25" s="1"/>
  <c r="CZ250" i="25"/>
  <c r="CY250" i="25"/>
  <c r="CY156" i="25"/>
  <c r="CZ156" i="25"/>
  <c r="CY280" i="25"/>
  <c r="CZ280" i="25"/>
  <c r="FD188" i="25"/>
  <c r="DS188" i="25"/>
  <c r="DL188" i="25"/>
  <c r="CY285" i="25"/>
  <c r="CZ285" i="25"/>
  <c r="CZ233" i="25"/>
  <c r="CY233" i="25"/>
  <c r="DL153" i="25"/>
  <c r="FD153" i="25"/>
  <c r="DS153" i="25"/>
  <c r="CY151" i="25"/>
  <c r="CZ151" i="25"/>
  <c r="DL86" i="25"/>
  <c r="DS86" i="25"/>
  <c r="FD86" i="25"/>
  <c r="CZ34" i="25"/>
  <c r="CY34" i="25"/>
  <c r="CY87" i="25"/>
  <c r="CZ87" i="25"/>
  <c r="DS277" i="25"/>
  <c r="DL277" i="25"/>
  <c r="CY90" i="25"/>
  <c r="CZ90" i="25"/>
  <c r="CY266" i="25"/>
  <c r="CZ266" i="25"/>
  <c r="CZ27" i="25"/>
  <c r="CY27" i="25"/>
  <c r="DL37" i="25"/>
  <c r="DS37" i="25"/>
  <c r="FD37" i="25"/>
  <c r="DH250" i="25"/>
  <c r="DA250" i="25"/>
  <c r="DD250" i="25" s="1"/>
  <c r="DE250" i="25" s="1"/>
  <c r="DF250" i="25" s="1"/>
  <c r="CZ179" i="25"/>
  <c r="CY179" i="25"/>
  <c r="DL232" i="25"/>
  <c r="DS232" i="25"/>
  <c r="CZ305" i="25"/>
  <c r="CY305" i="25"/>
  <c r="DA49" i="25"/>
  <c r="DD49" i="25" s="1"/>
  <c r="DE49" i="25" s="1"/>
  <c r="DF49" i="25" s="1"/>
  <c r="DH49" i="25"/>
  <c r="DH253" i="25"/>
  <c r="DA253" i="25"/>
  <c r="DD253" i="25" s="1"/>
  <c r="DE253" i="25" s="1"/>
  <c r="DF253" i="25" s="1"/>
  <c r="DA285" i="25"/>
  <c r="DD285" i="25" s="1"/>
  <c r="DE285" i="25" s="1"/>
  <c r="DF285" i="25" s="1"/>
  <c r="DH285" i="25"/>
  <c r="DH33" i="25"/>
  <c r="DA33" i="25"/>
  <c r="DD33" i="25" s="1"/>
  <c r="DE33" i="25" s="1"/>
  <c r="DF33" i="25" s="1"/>
  <c r="DH12" i="25"/>
  <c r="DA12" i="25"/>
  <c r="DD12" i="25" s="1"/>
  <c r="DE12" i="25" s="1"/>
  <c r="DF12" i="25" s="1"/>
  <c r="DL294" i="25"/>
  <c r="DS294" i="25"/>
  <c r="DL237" i="25"/>
  <c r="DS237" i="25"/>
  <c r="CY143" i="25"/>
  <c r="CZ143" i="25"/>
  <c r="CY79" i="25"/>
  <c r="CZ79" i="25"/>
  <c r="CY74" i="25"/>
  <c r="CZ74" i="25"/>
  <c r="DL262" i="25"/>
  <c r="DS262" i="25"/>
  <c r="DS22" i="25"/>
  <c r="DL22" i="25"/>
  <c r="FD22" i="25"/>
  <c r="DL15" i="25"/>
  <c r="FD15" i="25"/>
  <c r="DS15" i="25"/>
  <c r="DL8" i="25"/>
  <c r="FD8" i="25"/>
  <c r="DS8" i="25"/>
  <c r="CY187" i="25"/>
  <c r="CZ187" i="25"/>
  <c r="CZ301" i="25"/>
  <c r="CY301" i="25"/>
  <c r="DL296" i="25"/>
  <c r="DS296" i="25"/>
  <c r="DL229" i="25"/>
  <c r="DS229" i="25"/>
  <c r="DL159" i="25"/>
  <c r="DS159" i="25"/>
  <c r="FD159" i="25"/>
  <c r="DS293" i="25"/>
  <c r="DL52" i="25"/>
  <c r="DS52" i="25"/>
  <c r="FD52" i="25"/>
  <c r="FD75" i="25"/>
  <c r="DS75" i="25"/>
  <c r="DL75" i="25"/>
  <c r="DS258" i="25"/>
  <c r="DL258" i="25"/>
  <c r="DL111" i="25"/>
  <c r="DS111" i="25"/>
  <c r="FD111" i="25"/>
  <c r="DH30" i="25"/>
  <c r="DA30" i="25"/>
  <c r="DD30" i="25" s="1"/>
  <c r="DE30" i="25" s="1"/>
  <c r="DF30" i="25" s="1"/>
  <c r="CZ137" i="25"/>
  <c r="CY137" i="25"/>
  <c r="DA130" i="25"/>
  <c r="DD130" i="25" s="1"/>
  <c r="DE130" i="25" s="1"/>
  <c r="DF130" i="25" s="1"/>
  <c r="DH130" i="25"/>
  <c r="DH149" i="25"/>
  <c r="DA149" i="25"/>
  <c r="DD149" i="25" s="1"/>
  <c r="DE149" i="25" s="1"/>
  <c r="DF149" i="25" s="1"/>
  <c r="CZ66" i="25"/>
  <c r="DB66" i="25" s="1"/>
  <c r="DA66" i="25"/>
  <c r="DD66" i="25" s="1"/>
  <c r="DE66" i="25" s="1"/>
  <c r="DF66" i="25" s="1"/>
  <c r="DH66" i="25"/>
  <c r="DH312" i="25"/>
  <c r="DA312" i="25"/>
  <c r="DD312" i="25" s="1"/>
  <c r="DE312" i="25" s="1"/>
  <c r="DF312" i="25" s="1"/>
  <c r="DH86" i="25"/>
  <c r="DA86" i="25"/>
  <c r="DD86" i="25" s="1"/>
  <c r="DE86" i="25" s="1"/>
  <c r="DF86" i="25" s="1"/>
  <c r="DH301" i="25"/>
  <c r="DA301" i="25"/>
  <c r="DD301" i="25" s="1"/>
  <c r="DE301" i="25" s="1"/>
  <c r="DF301" i="25" s="1"/>
  <c r="CY190" i="25"/>
  <c r="CZ190" i="25"/>
  <c r="CY308" i="25"/>
  <c r="CZ308" i="25"/>
  <c r="FD193" i="25"/>
  <c r="DL193" i="25"/>
  <c r="DL257" i="25"/>
  <c r="DS257" i="25"/>
  <c r="DS122" i="25"/>
  <c r="FD122" i="25"/>
  <c r="DL122" i="25"/>
  <c r="CZ93" i="25"/>
  <c r="CY93" i="25"/>
  <c r="CY115" i="25"/>
  <c r="CZ115" i="25"/>
  <c r="CY13" i="25"/>
  <c r="CZ13" i="25"/>
  <c r="FD114" i="25"/>
  <c r="DS114" i="25"/>
  <c r="DL114" i="25"/>
  <c r="DS184" i="25"/>
  <c r="DL184" i="25"/>
  <c r="FD184" i="25"/>
  <c r="CY302" i="25"/>
  <c r="CZ302" i="25"/>
  <c r="CY73" i="25"/>
  <c r="CZ73" i="25"/>
  <c r="CY49" i="25"/>
  <c r="CZ49" i="25"/>
  <c r="DH271" i="25"/>
  <c r="DA271" i="25"/>
  <c r="DD271" i="25" s="1"/>
  <c r="DE271" i="25" s="1"/>
  <c r="DF271" i="25" s="1"/>
  <c r="DH22" i="25"/>
  <c r="DA22" i="25"/>
  <c r="DD22" i="25" s="1"/>
  <c r="DE22" i="25" s="1"/>
  <c r="DF22" i="25" s="1"/>
  <c r="DH72" i="25"/>
  <c r="DA72" i="25"/>
  <c r="DD72" i="25" s="1"/>
  <c r="DE72" i="25" s="1"/>
  <c r="DF72" i="25" s="1"/>
  <c r="DA193" i="25"/>
  <c r="DD193" i="25" s="1"/>
  <c r="DE193" i="25" s="1"/>
  <c r="DF193" i="25" s="1"/>
  <c r="DH193" i="25"/>
  <c r="DA240" i="25"/>
  <c r="DD240" i="25" s="1"/>
  <c r="DE240" i="25" s="1"/>
  <c r="DF240" i="25" s="1"/>
  <c r="DH240" i="25"/>
  <c r="DH150" i="25"/>
  <c r="DA150" i="25"/>
  <c r="DD150" i="25" s="1"/>
  <c r="DE150" i="25" s="1"/>
  <c r="DF150" i="25" s="1"/>
  <c r="CZ256" i="25"/>
  <c r="CY256" i="25"/>
  <c r="FD197" i="25"/>
  <c r="DL197" i="25"/>
  <c r="DL309" i="25"/>
  <c r="DS309" i="25"/>
  <c r="FD182" i="25"/>
  <c r="DL182" i="25"/>
  <c r="DS182" i="25"/>
  <c r="CZ239" i="25"/>
  <c r="CY239" i="25"/>
  <c r="CY171" i="25"/>
  <c r="CZ171" i="25"/>
  <c r="DS173" i="25"/>
  <c r="FD173" i="25"/>
  <c r="DL173" i="25"/>
  <c r="DS69" i="25"/>
  <c r="FD69" i="25"/>
  <c r="DL69" i="25"/>
  <c r="CZ139" i="25"/>
  <c r="CY139" i="25"/>
  <c r="DL95" i="25"/>
  <c r="CY92" i="25"/>
  <c r="CZ92" i="25"/>
  <c r="CY81" i="25"/>
  <c r="CZ81" i="25"/>
  <c r="DA96" i="25"/>
  <c r="DD96" i="25" s="1"/>
  <c r="DE96" i="25" s="1"/>
  <c r="DF96" i="25" s="1"/>
  <c r="DH96" i="25"/>
  <c r="DA127" i="25"/>
  <c r="DD127" i="25" s="1"/>
  <c r="DE127" i="25" s="1"/>
  <c r="DF127" i="25" s="1"/>
  <c r="DH127" i="25"/>
  <c r="CZ154" i="25"/>
  <c r="DB154" i="25" s="1"/>
  <c r="DH154" i="25"/>
  <c r="DA154" i="25"/>
  <c r="DD154" i="25" s="1"/>
  <c r="DE154" i="25" s="1"/>
  <c r="DF154" i="25" s="1"/>
  <c r="DL250" i="25"/>
  <c r="DS250" i="25"/>
  <c r="FD195" i="25"/>
  <c r="DL195" i="25"/>
  <c r="DL307" i="25"/>
  <c r="DS307" i="25"/>
  <c r="CZ243" i="25"/>
  <c r="CY243" i="25"/>
  <c r="DS285" i="25"/>
  <c r="DL285" i="25"/>
  <c r="DL151" i="25"/>
  <c r="DS151" i="25"/>
  <c r="FD151" i="25"/>
  <c r="CZ130" i="25"/>
  <c r="CY130" i="25"/>
  <c r="CY65" i="25"/>
  <c r="CZ65" i="25"/>
  <c r="CY277" i="25"/>
  <c r="CZ277" i="25"/>
  <c r="DL90" i="25"/>
  <c r="FD90" i="25"/>
  <c r="DS90" i="25"/>
  <c r="CZ38" i="25"/>
  <c r="CY38" i="25"/>
  <c r="DH145" i="25"/>
  <c r="DA145" i="25"/>
  <c r="DD145" i="25" s="1"/>
  <c r="DE145" i="25" s="1"/>
  <c r="DF145" i="25" s="1"/>
  <c r="DL154" i="25"/>
  <c r="DS154" i="25"/>
  <c r="DH258" i="25"/>
  <c r="DA258" i="25"/>
  <c r="DD258" i="25" s="1"/>
  <c r="DE258" i="25" s="1"/>
  <c r="DF258" i="25" s="1"/>
  <c r="DH125" i="25"/>
  <c r="DA125" i="25"/>
  <c r="DD125" i="25" s="1"/>
  <c r="DE125" i="25" s="1"/>
  <c r="DF125" i="25" s="1"/>
  <c r="DA197" i="25"/>
  <c r="DD197" i="25" s="1"/>
  <c r="DE197" i="25" s="1"/>
  <c r="DF197" i="25" s="1"/>
  <c r="DH197" i="25"/>
  <c r="CY180" i="25"/>
  <c r="CZ180" i="25"/>
  <c r="CZ294" i="25"/>
  <c r="CY294" i="25"/>
  <c r="DL161" i="25"/>
  <c r="DS161" i="25"/>
  <c r="FD161" i="25"/>
  <c r="DS148" i="25"/>
  <c r="DL148" i="25"/>
  <c r="FD148" i="25"/>
  <c r="CZ129" i="25"/>
  <c r="CY129" i="25"/>
  <c r="CZ125" i="25"/>
  <c r="CY125" i="25"/>
  <c r="CY119" i="25"/>
  <c r="CZ119" i="25"/>
  <c r="CZ43" i="25"/>
  <c r="CY43" i="25"/>
  <c r="DL157" i="25"/>
  <c r="DS157" i="25"/>
  <c r="FD157" i="25"/>
  <c r="CZ208" i="25"/>
  <c r="CY208" i="25"/>
  <c r="CY8" i="25"/>
  <c r="CZ8" i="25"/>
  <c r="CY20" i="25"/>
  <c r="CZ20" i="25"/>
  <c r="CZ219" i="25"/>
  <c r="CY219" i="25"/>
  <c r="DH26" i="25"/>
  <c r="DA26" i="25"/>
  <c r="DD26" i="25" s="1"/>
  <c r="DE26" i="25" s="1"/>
  <c r="DF26" i="25" s="1"/>
  <c r="DH282" i="25"/>
  <c r="DA282" i="25"/>
  <c r="DD282" i="25" s="1"/>
  <c r="DE282" i="25" s="1"/>
  <c r="DF282" i="25" s="1"/>
  <c r="DH290" i="25"/>
  <c r="DA290" i="25"/>
  <c r="DD290" i="25" s="1"/>
  <c r="DE290" i="25" s="1"/>
  <c r="DF290" i="25" s="1"/>
  <c r="CZ51" i="25"/>
  <c r="DB51" i="25" s="1"/>
  <c r="DA51" i="25"/>
  <c r="DD51" i="25" s="1"/>
  <c r="DE51" i="25" s="1"/>
  <c r="DF51" i="25" s="1"/>
  <c r="DH51" i="25"/>
  <c r="DH85" i="25"/>
  <c r="DA85" i="25"/>
  <c r="DD85" i="25" s="1"/>
  <c r="DE85" i="25" s="1"/>
  <c r="DF85" i="25" s="1"/>
  <c r="DH93" i="25"/>
  <c r="DA93" i="25"/>
  <c r="DD93" i="25" s="1"/>
  <c r="DE93" i="25" s="1"/>
  <c r="DF93" i="25" s="1"/>
  <c r="DL263" i="25"/>
  <c r="DS263" i="25"/>
  <c r="DL255" i="25"/>
  <c r="DL205" i="25"/>
  <c r="FD205" i="25"/>
  <c r="DS260" i="25"/>
  <c r="DL260" i="25"/>
  <c r="DL187" i="25"/>
  <c r="FD187" i="25"/>
  <c r="DS187" i="25"/>
  <c r="CY191" i="25"/>
  <c r="CZ191" i="25"/>
  <c r="CY296" i="25"/>
  <c r="CZ296" i="25"/>
  <c r="CZ293" i="25"/>
  <c r="CY293" i="25"/>
  <c r="CY123" i="25"/>
  <c r="CZ123" i="25"/>
  <c r="DL174" i="25"/>
  <c r="DS174" i="25"/>
  <c r="FD174" i="25"/>
  <c r="DL51" i="25"/>
  <c r="DS51" i="25"/>
  <c r="CZ75" i="25"/>
  <c r="CY75" i="25"/>
  <c r="DS141" i="25"/>
  <c r="FD141" i="25"/>
  <c r="DL141" i="25"/>
  <c r="CY77" i="25"/>
  <c r="CZ77" i="25"/>
  <c r="DL19" i="25"/>
  <c r="DS19" i="25"/>
  <c r="CY230" i="25"/>
  <c r="CZ230" i="25"/>
  <c r="DH247" i="25"/>
  <c r="DA247" i="25"/>
  <c r="DD247" i="25" s="1"/>
  <c r="DE247" i="25" s="1"/>
  <c r="DF247" i="25" s="1"/>
  <c r="DH18" i="25"/>
  <c r="DA18" i="25"/>
  <c r="DD18" i="25" s="1"/>
  <c r="DE18" i="25" s="1"/>
  <c r="DF18" i="25" s="1"/>
  <c r="DA68" i="25"/>
  <c r="DD68" i="25" s="1"/>
  <c r="DE68" i="25" s="1"/>
  <c r="DF68" i="25" s="1"/>
  <c r="DH68" i="25"/>
  <c r="DA298" i="25"/>
  <c r="DD298" i="25" s="1"/>
  <c r="DE298" i="25" s="1"/>
  <c r="DF298" i="25" s="1"/>
  <c r="DH298" i="25"/>
  <c r="CZ270" i="25"/>
  <c r="DB270" i="25" s="1"/>
  <c r="DA270" i="25"/>
  <c r="DD270" i="25" s="1"/>
  <c r="DE270" i="25" s="1"/>
  <c r="DF270" i="25" s="1"/>
  <c r="DH270" i="25"/>
  <c r="CY198" i="25"/>
  <c r="CZ198" i="25"/>
  <c r="CY246" i="25"/>
  <c r="CZ246" i="25"/>
  <c r="CZ292" i="25"/>
  <c r="CY292" i="25"/>
  <c r="DL308" i="25"/>
  <c r="DS308" i="25"/>
  <c r="DL78" i="25"/>
  <c r="FD78" i="25"/>
  <c r="DS78" i="25"/>
  <c r="DL142" i="25"/>
  <c r="DS142" i="25"/>
  <c r="FD142" i="25"/>
  <c r="CY45" i="25"/>
  <c r="CZ45" i="25"/>
  <c r="FD105" i="25"/>
  <c r="DL105" i="25"/>
  <c r="CZ30" i="25"/>
  <c r="CY30" i="25"/>
  <c r="DS13" i="25"/>
  <c r="CZ21" i="25"/>
  <c r="CY21" i="25"/>
  <c r="DH160" i="25"/>
  <c r="DA160" i="25"/>
  <c r="DD160" i="25" s="1"/>
  <c r="DE160" i="25" s="1"/>
  <c r="DF160" i="25" s="1"/>
  <c r="DL289" i="25"/>
  <c r="DS289" i="25"/>
  <c r="DL302" i="25"/>
  <c r="DS302" i="25"/>
  <c r="DA235" i="25"/>
  <c r="DD235" i="25" s="1"/>
  <c r="DE235" i="25" s="1"/>
  <c r="DF235" i="25" s="1"/>
  <c r="DH235" i="25"/>
  <c r="CZ300" i="25"/>
  <c r="DB300" i="25" s="1"/>
  <c r="DH300" i="25"/>
  <c r="DA300" i="25"/>
  <c r="DD300" i="25" s="1"/>
  <c r="DE300" i="25" s="1"/>
  <c r="DF300" i="25" s="1"/>
  <c r="DH39" i="25"/>
  <c r="DA39" i="25"/>
  <c r="DD39" i="25" s="1"/>
  <c r="DE39" i="25" s="1"/>
  <c r="DF39" i="25" s="1"/>
  <c r="DS256" i="25"/>
  <c r="DL256" i="25"/>
  <c r="DL239" i="25"/>
  <c r="DS239" i="25"/>
  <c r="DS171" i="25"/>
  <c r="DL171" i="25"/>
  <c r="FD171" i="25"/>
  <c r="CZ173" i="25"/>
  <c r="CY173" i="25"/>
  <c r="DL227" i="25"/>
  <c r="DS227" i="25"/>
  <c r="CY121" i="25"/>
  <c r="CZ121" i="25"/>
  <c r="CY42" i="25"/>
  <c r="CZ42" i="25"/>
  <c r="FD28" i="25"/>
  <c r="FD44" i="25"/>
  <c r="DA185" i="25"/>
  <c r="DD185" i="25" s="1"/>
  <c r="DE185" i="25" s="1"/>
  <c r="DF185" i="25" s="1"/>
  <c r="DH185" i="25"/>
  <c r="DH293" i="25"/>
  <c r="DA293" i="25"/>
  <c r="DD293" i="25" s="1"/>
  <c r="DE293" i="25" s="1"/>
  <c r="DF293" i="25" s="1"/>
  <c r="DH163" i="25"/>
  <c r="DA163" i="25"/>
  <c r="DD163" i="25" s="1"/>
  <c r="DE163" i="25" s="1"/>
  <c r="DF163" i="25" s="1"/>
  <c r="CY195" i="25"/>
  <c r="CZ195" i="25"/>
  <c r="CZ244" i="25"/>
  <c r="CY244" i="25"/>
  <c r="DS243" i="25"/>
  <c r="DL280" i="25"/>
  <c r="DS280" i="25"/>
  <c r="FD65" i="25"/>
  <c r="DL65" i="25"/>
  <c r="DS65" i="25"/>
  <c r="FD87" i="25"/>
  <c r="DL87" i="25"/>
  <c r="DL55" i="25"/>
  <c r="DS55" i="25"/>
  <c r="DL82" i="25"/>
  <c r="FD82" i="25"/>
  <c r="DS82" i="25"/>
  <c r="DL27" i="25"/>
  <c r="DS27" i="25"/>
  <c r="DS175" i="25"/>
  <c r="DL175" i="25"/>
  <c r="FD175" i="25"/>
  <c r="DS17" i="25"/>
  <c r="DA177" i="25"/>
  <c r="DD177" i="25" s="1"/>
  <c r="DE177" i="25" s="1"/>
  <c r="DF177" i="25" s="1"/>
  <c r="DH177" i="25"/>
  <c r="DH55" i="25"/>
  <c r="DA55" i="25"/>
  <c r="DD55" i="25" s="1"/>
  <c r="DE55" i="25" s="1"/>
  <c r="DF55" i="25" s="1"/>
  <c r="DL68" i="25"/>
  <c r="FD68" i="25"/>
  <c r="DS68" i="25"/>
  <c r="DH182" i="25"/>
  <c r="DA182" i="25"/>
  <c r="DD182" i="25" s="1"/>
  <c r="DE182" i="25" s="1"/>
  <c r="DF182" i="25" s="1"/>
  <c r="DH133" i="25"/>
  <c r="DA133" i="25"/>
  <c r="DD133" i="25" s="1"/>
  <c r="DE133" i="25" s="1"/>
  <c r="DF133" i="25" s="1"/>
  <c r="DH273" i="25"/>
  <c r="DA273" i="25"/>
  <c r="DD273" i="25" s="1"/>
  <c r="DE273" i="25" s="1"/>
  <c r="DF273" i="25" s="1"/>
  <c r="DS225" i="25"/>
  <c r="CZ63" i="25"/>
  <c r="DB63" i="25" s="1"/>
  <c r="DH63" i="25"/>
  <c r="DA63" i="25"/>
  <c r="DD63" i="25" s="1"/>
  <c r="DE63" i="25" s="1"/>
  <c r="DF63" i="25" s="1"/>
  <c r="DL226" i="25"/>
  <c r="DS226" i="25"/>
  <c r="FD143" i="25"/>
  <c r="DS143" i="25"/>
  <c r="DL143" i="25"/>
  <c r="DL89" i="25"/>
  <c r="DS89" i="25"/>
  <c r="FD89" i="25"/>
  <c r="CY59" i="25"/>
  <c r="CZ59" i="25"/>
  <c r="DL208" i="25"/>
  <c r="FD208" i="25"/>
  <c r="FD20" i="25"/>
  <c r="DL20" i="25"/>
  <c r="DS20" i="25"/>
  <c r="DA237" i="25"/>
  <c r="DD237" i="25" s="1"/>
  <c r="DE237" i="25" s="1"/>
  <c r="DF237" i="25" s="1"/>
  <c r="DH237" i="25"/>
  <c r="DH188" i="25"/>
  <c r="DA188" i="25"/>
  <c r="DD188" i="25" s="1"/>
  <c r="DE188" i="25" s="1"/>
  <c r="DF188" i="25" s="1"/>
  <c r="DH252" i="25"/>
  <c r="DA252" i="25"/>
  <c r="DD252" i="25" s="1"/>
  <c r="DE252" i="25" s="1"/>
  <c r="DF252" i="25" s="1"/>
  <c r="DH24" i="25"/>
  <c r="DA24" i="25"/>
  <c r="DD24" i="25" s="1"/>
  <c r="DE24" i="25" s="1"/>
  <c r="DF24" i="25" s="1"/>
  <c r="CY263" i="25"/>
  <c r="CZ263" i="25"/>
  <c r="DL207" i="25"/>
  <c r="FD207" i="25"/>
  <c r="CY255" i="25"/>
  <c r="CZ255" i="25"/>
  <c r="CZ260" i="25"/>
  <c r="CY260" i="25"/>
  <c r="DL301" i="25"/>
  <c r="DS301" i="25"/>
  <c r="CZ224" i="25"/>
  <c r="CY224" i="25"/>
  <c r="FD118" i="25"/>
  <c r="DS118" i="25"/>
  <c r="DL118" i="25"/>
  <c r="CZ94" i="25"/>
  <c r="CY94" i="25"/>
  <c r="CY72" i="25"/>
  <c r="CZ72" i="25"/>
  <c r="DH227" i="25"/>
  <c r="DA227" i="25"/>
  <c r="DD227" i="25" s="1"/>
  <c r="DE227" i="25" s="1"/>
  <c r="DF227" i="25" s="1"/>
  <c r="CY228" i="25"/>
  <c r="CZ228" i="25"/>
  <c r="DL230" i="25"/>
  <c r="DS230" i="25"/>
  <c r="DH209" i="25"/>
  <c r="DA209" i="25"/>
  <c r="DD209" i="25" s="1"/>
  <c r="DE209" i="25" s="1"/>
  <c r="DF209" i="25" s="1"/>
  <c r="DH184" i="25"/>
  <c r="DA184" i="25"/>
  <c r="DD184" i="25" s="1"/>
  <c r="DE184" i="25" s="1"/>
  <c r="DF184" i="25" s="1"/>
  <c r="DH148" i="25"/>
  <c r="DA148" i="25"/>
  <c r="DD148" i="25" s="1"/>
  <c r="DE148" i="25" s="1"/>
  <c r="DF148" i="25" s="1"/>
  <c r="DH161" i="25"/>
  <c r="DA161" i="25"/>
  <c r="DD161" i="25" s="1"/>
  <c r="DE161" i="25" s="1"/>
  <c r="DF161" i="25" s="1"/>
  <c r="DH218" i="25"/>
  <c r="DA218" i="25"/>
  <c r="DD218" i="25" s="1"/>
  <c r="DE218" i="25" s="1"/>
  <c r="DF218" i="25" s="1"/>
  <c r="DL183" i="25"/>
  <c r="FD183" i="25"/>
  <c r="DS183" i="25"/>
  <c r="CY170" i="25"/>
  <c r="CZ170" i="25"/>
  <c r="DS292" i="25"/>
  <c r="DL292" i="25"/>
  <c r="DL190" i="25"/>
  <c r="DS190" i="25"/>
  <c r="FD190" i="25"/>
  <c r="CY136" i="25"/>
  <c r="CZ136" i="25"/>
  <c r="DL13" i="25"/>
  <c r="FD13" i="25"/>
  <c r="DL23" i="25"/>
  <c r="FD23" i="25"/>
  <c r="DS23" i="25"/>
  <c r="DH181" i="25"/>
  <c r="DA181" i="25"/>
  <c r="DD181" i="25" s="1"/>
  <c r="DE181" i="25" s="1"/>
  <c r="DF181" i="25" s="1"/>
  <c r="CY272" i="25"/>
  <c r="CZ272" i="25"/>
  <c r="CZ289" i="25"/>
  <c r="CY289" i="25"/>
  <c r="DL39" i="25"/>
  <c r="FD39" i="25"/>
  <c r="DS39" i="25"/>
  <c r="DL73" i="25"/>
  <c r="DS73" i="25"/>
  <c r="FD73" i="25"/>
  <c r="DA129" i="25"/>
  <c r="DD129" i="25" s="1"/>
  <c r="DE129" i="25" s="1"/>
  <c r="DF129" i="25" s="1"/>
  <c r="DH129" i="25"/>
  <c r="DH137" i="25"/>
  <c r="DA137" i="25"/>
  <c r="DD137" i="25" s="1"/>
  <c r="DE137" i="25" s="1"/>
  <c r="DF137" i="25" s="1"/>
  <c r="DH48" i="25"/>
  <c r="DA48" i="25"/>
  <c r="DD48" i="25" s="1"/>
  <c r="DE48" i="25" s="1"/>
  <c r="DF48" i="25" s="1"/>
  <c r="DH52" i="25"/>
  <c r="DA52" i="25"/>
  <c r="DD52" i="25" s="1"/>
  <c r="DE52" i="25" s="1"/>
  <c r="DF52" i="25" s="1"/>
  <c r="CY290" i="25"/>
  <c r="CZ290" i="25"/>
  <c r="CY287" i="25"/>
  <c r="CZ287" i="25"/>
  <c r="FD140" i="25"/>
  <c r="DS140" i="25"/>
  <c r="DL140" i="25"/>
  <c r="CY227" i="25"/>
  <c r="CZ227" i="25"/>
  <c r="CY284" i="25"/>
  <c r="CZ284" i="25"/>
  <c r="FD9" i="25"/>
  <c r="DL9" i="25"/>
  <c r="DH171" i="25"/>
  <c r="DA171" i="25"/>
  <c r="DD171" i="25" s="1"/>
  <c r="DE171" i="25" s="1"/>
  <c r="DF171" i="25" s="1"/>
  <c r="DH126" i="25"/>
  <c r="DA126" i="25"/>
  <c r="DD126" i="25" s="1"/>
  <c r="DE126" i="25" s="1"/>
  <c r="DF126" i="25" s="1"/>
  <c r="DH13" i="25"/>
  <c r="DA13" i="25"/>
  <c r="DD13" i="25" s="1"/>
  <c r="DE13" i="25" s="1"/>
  <c r="DF13" i="25" s="1"/>
  <c r="DH17" i="25"/>
  <c r="DA17" i="25"/>
  <c r="DD17" i="25" s="1"/>
  <c r="DE17" i="25" s="1"/>
  <c r="DF17" i="25" s="1"/>
  <c r="DH278" i="25"/>
  <c r="DA278" i="25"/>
  <c r="DD278" i="25" s="1"/>
  <c r="DE278" i="25" s="1"/>
  <c r="DF278" i="25" s="1"/>
  <c r="DA281" i="25"/>
  <c r="DD281" i="25" s="1"/>
  <c r="DE281" i="25" s="1"/>
  <c r="DF281" i="25" s="1"/>
  <c r="DH281" i="25"/>
  <c r="CZ236" i="25"/>
  <c r="DB236" i="25" s="1"/>
  <c r="DH236" i="25"/>
  <c r="DA236" i="25"/>
  <c r="DD236" i="25" s="1"/>
  <c r="DE236" i="25" s="1"/>
  <c r="DF236" i="25" s="1"/>
  <c r="DH159" i="25"/>
  <c r="DA159" i="25"/>
  <c r="DD159" i="25" s="1"/>
  <c r="DE159" i="25" s="1"/>
  <c r="DF159" i="25" s="1"/>
  <c r="DL243" i="25"/>
  <c r="CY177" i="25"/>
  <c r="CZ177" i="25"/>
  <c r="CY100" i="25"/>
  <c r="CZ100" i="25"/>
  <c r="CY126" i="25"/>
  <c r="CZ126" i="25"/>
  <c r="CY17" i="25"/>
  <c r="CZ17" i="25"/>
  <c r="DS176" i="25"/>
  <c r="FD176" i="25"/>
  <c r="DL176" i="25"/>
  <c r="DH139" i="25"/>
  <c r="DA139" i="25"/>
  <c r="DD139" i="25" s="1"/>
  <c r="DE139" i="25" s="1"/>
  <c r="DF139" i="25" s="1"/>
  <c r="DH124" i="25"/>
  <c r="DA124" i="25"/>
  <c r="DD124" i="25" s="1"/>
  <c r="DE124" i="25" s="1"/>
  <c r="DF124" i="25" s="1"/>
  <c r="FD55" i="25"/>
  <c r="DA192" i="25"/>
  <c r="DD192" i="25" s="1"/>
  <c r="DE192" i="25" s="1"/>
  <c r="DF192" i="25" s="1"/>
  <c r="DH192" i="25"/>
  <c r="DA204" i="25"/>
  <c r="DD204" i="25" s="1"/>
  <c r="DE204" i="25" s="1"/>
  <c r="DF204" i="25" s="1"/>
  <c r="DH204" i="25"/>
  <c r="DH115" i="25"/>
  <c r="DA115" i="25"/>
  <c r="DD115" i="25" s="1"/>
  <c r="DE115" i="25" s="1"/>
  <c r="DF115" i="25" s="1"/>
  <c r="DH245" i="25"/>
  <c r="DA245" i="25"/>
  <c r="DD245" i="25" s="1"/>
  <c r="DE245" i="25" s="1"/>
  <c r="DF245" i="25" s="1"/>
  <c r="DH140" i="25"/>
  <c r="DA140" i="25"/>
  <c r="DD140" i="25" s="1"/>
  <c r="DE140" i="25" s="1"/>
  <c r="DF140" i="25" s="1"/>
  <c r="DH297" i="25"/>
  <c r="DA297" i="25"/>
  <c r="DD297" i="25" s="1"/>
  <c r="DE297" i="25" s="1"/>
  <c r="DF297" i="25" s="1"/>
  <c r="DH223" i="25"/>
  <c r="DA223" i="25"/>
  <c r="DD223" i="25" s="1"/>
  <c r="DE223" i="25" s="1"/>
  <c r="DF223" i="25" s="1"/>
  <c r="DH222" i="25"/>
  <c r="DA222" i="25"/>
  <c r="DD222" i="25" s="1"/>
  <c r="DE222" i="25" s="1"/>
  <c r="DF222" i="25" s="1"/>
  <c r="CZ241" i="25"/>
  <c r="CY241" i="25"/>
  <c r="CY146" i="25"/>
  <c r="CZ146" i="25"/>
  <c r="CY185" i="25"/>
  <c r="CZ185" i="25"/>
  <c r="CZ283" i="25"/>
  <c r="CY283" i="25"/>
  <c r="DS129" i="25"/>
  <c r="DL129" i="25"/>
  <c r="FD129" i="25"/>
  <c r="DL57" i="25"/>
  <c r="DS57" i="25"/>
  <c r="FD57" i="25"/>
  <c r="CZ145" i="25"/>
  <c r="CY145" i="25"/>
  <c r="DL33" i="25"/>
  <c r="FD33" i="25"/>
  <c r="DS33" i="25"/>
  <c r="CY22" i="25"/>
  <c r="CZ22" i="25"/>
  <c r="DS25" i="25"/>
  <c r="DA196" i="25"/>
  <c r="DD196" i="25" s="1"/>
  <c r="DE196" i="25" s="1"/>
  <c r="DF196" i="25" s="1"/>
  <c r="DH196" i="25"/>
  <c r="DA229" i="25"/>
  <c r="DD229" i="25" s="1"/>
  <c r="DE229" i="25" s="1"/>
  <c r="DF229" i="25" s="1"/>
  <c r="DH229" i="25"/>
  <c r="DH136" i="25"/>
  <c r="DA136" i="25"/>
  <c r="DD136" i="25" s="1"/>
  <c r="DE136" i="25" s="1"/>
  <c r="DF136" i="25" s="1"/>
  <c r="DA287" i="25"/>
  <c r="DD287" i="25" s="1"/>
  <c r="DE287" i="25" s="1"/>
  <c r="DF287" i="25" s="1"/>
  <c r="DH287" i="25"/>
  <c r="DA255" i="25"/>
  <c r="DD255" i="25" s="1"/>
  <c r="DE255" i="25" s="1"/>
  <c r="DF255" i="25" s="1"/>
  <c r="DH255" i="25"/>
  <c r="DH151" i="25"/>
  <c r="DA151" i="25"/>
  <c r="DD151" i="25" s="1"/>
  <c r="DE151" i="25" s="1"/>
  <c r="DF151" i="25" s="1"/>
  <c r="DA186" i="25"/>
  <c r="DD186" i="25" s="1"/>
  <c r="DE186" i="25" s="1"/>
  <c r="DF186" i="25" s="1"/>
  <c r="DH186" i="25"/>
  <c r="DH272" i="25"/>
  <c r="DA272" i="25"/>
  <c r="DD272" i="25" s="1"/>
  <c r="DE272" i="25" s="1"/>
  <c r="DF272" i="25" s="1"/>
  <c r="CY200" i="25"/>
  <c r="CZ200" i="25"/>
  <c r="CY147" i="25"/>
  <c r="CZ147" i="25"/>
  <c r="CY254" i="25"/>
  <c r="CZ254" i="25"/>
  <c r="CY253" i="25"/>
  <c r="CZ253" i="25"/>
  <c r="CZ183" i="25"/>
  <c r="CY183" i="25"/>
  <c r="DL246" i="25"/>
  <c r="DS246" i="25"/>
  <c r="FD70" i="25"/>
  <c r="DS70" i="25"/>
  <c r="DL70" i="25"/>
  <c r="DL21" i="25"/>
  <c r="FD21" i="25"/>
  <c r="DS21" i="25"/>
  <c r="DS66" i="25"/>
  <c r="DL66" i="25"/>
  <c r="FD66" i="25"/>
  <c r="CZ184" i="25"/>
  <c r="CY184" i="25"/>
  <c r="FD199" i="25"/>
  <c r="DL199" i="25"/>
  <c r="DH169" i="25"/>
  <c r="DA169" i="25"/>
  <c r="DD169" i="25" s="1"/>
  <c r="DE169" i="25" s="1"/>
  <c r="DF169" i="25" s="1"/>
  <c r="DA61" i="25"/>
  <c r="DD61" i="25" s="1"/>
  <c r="DE61" i="25" s="1"/>
  <c r="DF61" i="25" s="1"/>
  <c r="DH61" i="25"/>
  <c r="DH116" i="25"/>
  <c r="DA116" i="25"/>
  <c r="DD116" i="25" s="1"/>
  <c r="DE116" i="25" s="1"/>
  <c r="DF116" i="25" s="1"/>
  <c r="CZ265" i="25"/>
  <c r="DB265" i="25" s="1"/>
  <c r="DA265" i="25"/>
  <c r="DD265" i="25" s="1"/>
  <c r="DE265" i="25" s="1"/>
  <c r="DF265" i="25" s="1"/>
  <c r="DH265" i="25"/>
  <c r="DH242" i="25"/>
  <c r="DA242" i="25"/>
  <c r="DD242" i="25" s="1"/>
  <c r="DE242" i="25" s="1"/>
  <c r="DF242" i="25" s="1"/>
  <c r="DA71" i="25"/>
  <c r="DD71" i="25" s="1"/>
  <c r="DE71" i="25" s="1"/>
  <c r="DF71" i="25" s="1"/>
  <c r="DH71" i="25"/>
  <c r="DH77" i="25"/>
  <c r="DA77" i="25"/>
  <c r="DD77" i="25" s="1"/>
  <c r="DE77" i="25" s="1"/>
  <c r="DF77" i="25" s="1"/>
  <c r="FD168" i="25"/>
  <c r="DS168" i="25"/>
  <c r="DL168" i="25"/>
  <c r="CY169" i="25"/>
  <c r="CZ169" i="25"/>
  <c r="DS290" i="25"/>
  <c r="DL290" i="25"/>
  <c r="CZ189" i="25"/>
  <c r="CY189" i="25"/>
  <c r="DS287" i="25"/>
  <c r="DL287" i="25"/>
  <c r="FD121" i="25"/>
  <c r="DS121" i="25"/>
  <c r="DL121" i="25"/>
  <c r="CY88" i="25"/>
  <c r="CZ88" i="25"/>
  <c r="FD96" i="25"/>
  <c r="DL96" i="25"/>
  <c r="CY71" i="25"/>
  <c r="CZ71" i="25"/>
  <c r="CY58" i="25"/>
  <c r="CZ58" i="25"/>
  <c r="FD91" i="25"/>
  <c r="FD147" i="25"/>
  <c r="CY12" i="25"/>
  <c r="CZ12" i="25"/>
  <c r="DA195" i="25"/>
  <c r="DD195" i="25" s="1"/>
  <c r="DE195" i="25" s="1"/>
  <c r="DF195" i="25" s="1"/>
  <c r="DH195" i="25"/>
  <c r="DA198" i="25"/>
  <c r="DD198" i="25" s="1"/>
  <c r="DE198" i="25" s="1"/>
  <c r="DF198" i="25" s="1"/>
  <c r="DH198" i="25"/>
  <c r="DH142" i="25"/>
  <c r="DA142" i="25"/>
  <c r="DD142" i="25" s="1"/>
  <c r="DE142" i="25" s="1"/>
  <c r="DF142" i="25" s="1"/>
  <c r="DH221" i="25"/>
  <c r="DA221" i="25"/>
  <c r="DD221" i="25" s="1"/>
  <c r="DE221" i="25" s="1"/>
  <c r="DF221" i="25" s="1"/>
  <c r="CY181" i="25"/>
  <c r="CZ181" i="25"/>
  <c r="DS295" i="25"/>
  <c r="DL244" i="25"/>
  <c r="DS244" i="25"/>
  <c r="DL164" i="25"/>
  <c r="FD164" i="25"/>
  <c r="DS164" i="25"/>
  <c r="DL156" i="25"/>
  <c r="DS156" i="25"/>
  <c r="FD156" i="25"/>
  <c r="DL177" i="25"/>
  <c r="DS177" i="25"/>
  <c r="FD177" i="25"/>
  <c r="DL100" i="25"/>
  <c r="FD100" i="25"/>
  <c r="CZ175" i="25"/>
  <c r="CY175" i="25"/>
  <c r="CZ176" i="25"/>
  <c r="CY176" i="25"/>
  <c r="CZ128" i="25"/>
  <c r="CY128" i="25"/>
  <c r="DA73" i="25"/>
  <c r="DD73" i="25" s="1"/>
  <c r="DE73" i="25" s="1"/>
  <c r="DF73" i="25" s="1"/>
  <c r="DH73" i="25"/>
  <c r="CZ238" i="25"/>
  <c r="DB238" i="25" s="1"/>
  <c r="DH238" i="25"/>
  <c r="DA238" i="25"/>
  <c r="DD238" i="25" s="1"/>
  <c r="DE238" i="25" s="1"/>
  <c r="DF238" i="25" s="1"/>
  <c r="DA230" i="25"/>
  <c r="DD230" i="25" s="1"/>
  <c r="DE230" i="25" s="1"/>
  <c r="DF230" i="25" s="1"/>
  <c r="DH230" i="25"/>
  <c r="CY275" i="25"/>
  <c r="CZ275" i="25"/>
  <c r="DL241" i="25"/>
  <c r="DS241" i="25"/>
  <c r="DS283" i="25"/>
  <c r="DL283" i="25"/>
  <c r="CY57" i="25"/>
  <c r="CZ57" i="25"/>
  <c r="CY85" i="25"/>
  <c r="CZ85" i="25"/>
  <c r="DL74" i="25"/>
  <c r="FD74" i="25"/>
  <c r="DS74" i="25"/>
  <c r="DL43" i="25"/>
  <c r="FD43" i="25"/>
  <c r="DS43" i="25"/>
  <c r="DL59" i="25"/>
  <c r="DS59" i="25"/>
  <c r="FD59" i="25"/>
  <c r="CY102" i="25"/>
  <c r="CZ102" i="25"/>
  <c r="DH81" i="25"/>
  <c r="DA81" i="25"/>
  <c r="DD81" i="25" s="1"/>
  <c r="DE81" i="25" s="1"/>
  <c r="DF81" i="25" s="1"/>
  <c r="CZ207" i="25"/>
  <c r="DB207" i="25" s="1"/>
  <c r="DH207" i="25"/>
  <c r="DA207" i="25"/>
  <c r="DD207" i="25" s="1"/>
  <c r="DE207" i="25" s="1"/>
  <c r="DF207" i="25" s="1"/>
  <c r="DH50" i="25"/>
  <c r="DA50" i="25"/>
  <c r="DD50" i="25" s="1"/>
  <c r="DE50" i="25" s="1"/>
  <c r="DF50" i="25" s="1"/>
  <c r="DH104" i="25"/>
  <c r="DA104" i="25"/>
  <c r="DD104" i="25" s="1"/>
  <c r="DE104" i="25" s="1"/>
  <c r="DF104" i="25" s="1"/>
  <c r="DS167" i="25"/>
  <c r="DL167" i="25"/>
  <c r="FD167" i="25"/>
  <c r="DL155" i="25"/>
  <c r="DS155" i="25"/>
  <c r="FD155" i="25"/>
  <c r="CY222" i="25"/>
  <c r="CZ222" i="25"/>
  <c r="CZ150" i="25"/>
  <c r="CY150" i="25"/>
  <c r="CZ138" i="25"/>
  <c r="CY138" i="25"/>
  <c r="DL77" i="25"/>
  <c r="DS77" i="25"/>
  <c r="FD77" i="25"/>
  <c r="DL228" i="25"/>
  <c r="DS228" i="25"/>
  <c r="DS137" i="25"/>
  <c r="FD137" i="25"/>
  <c r="DL137" i="25"/>
  <c r="DH264" i="25"/>
  <c r="DA264" i="25"/>
  <c r="DD264" i="25" s="1"/>
  <c r="DE264" i="25" s="1"/>
  <c r="DF264" i="25" s="1"/>
  <c r="DH165" i="25"/>
  <c r="DA165" i="25"/>
  <c r="DD165" i="25" s="1"/>
  <c r="DE165" i="25" s="1"/>
  <c r="DF165" i="25" s="1"/>
  <c r="DA75" i="25"/>
  <c r="DD75" i="25" s="1"/>
  <c r="DE75" i="25" s="1"/>
  <c r="DF75" i="25" s="1"/>
  <c r="DH75" i="25"/>
  <c r="DH16" i="25"/>
  <c r="DA16" i="25"/>
  <c r="DD16" i="25" s="1"/>
  <c r="DE16" i="25" s="1"/>
  <c r="DF16" i="25" s="1"/>
  <c r="DS255" i="25"/>
  <c r="DH28" i="25"/>
  <c r="DA28" i="25"/>
  <c r="DD28" i="25" s="1"/>
  <c r="DE28" i="25" s="1"/>
  <c r="DF28" i="25" s="1"/>
  <c r="DL254" i="25"/>
  <c r="DS254" i="25"/>
  <c r="CZ149" i="25"/>
  <c r="CY149" i="25"/>
  <c r="DS170" i="25"/>
  <c r="FD170" i="25"/>
  <c r="DL170" i="25"/>
  <c r="DL93" i="25"/>
  <c r="FD93" i="25"/>
  <c r="CY104" i="25"/>
  <c r="CZ104" i="25"/>
  <c r="CY313" i="25"/>
  <c r="CZ313" i="25"/>
  <c r="CY70" i="25"/>
  <c r="CZ70" i="25"/>
  <c r="FD60" i="25"/>
  <c r="DL60" i="25"/>
  <c r="DS60" i="25"/>
  <c r="DL272" i="25"/>
  <c r="DS272" i="25"/>
  <c r="DL49" i="25"/>
  <c r="FD49" i="25"/>
  <c r="CZ199" i="25"/>
  <c r="CY199" i="25"/>
  <c r="DH205" i="25"/>
  <c r="DA205" i="25"/>
  <c r="DD205" i="25" s="1"/>
  <c r="DE205" i="25" s="1"/>
  <c r="DF205" i="25" s="1"/>
  <c r="DH10" i="25"/>
  <c r="DA10" i="25"/>
  <c r="DD10" i="25" s="1"/>
  <c r="DE10" i="25" s="1"/>
  <c r="DF10" i="25" s="1"/>
  <c r="DS252" i="25"/>
  <c r="DL252" i="25"/>
  <c r="CZ168" i="25"/>
  <c r="CY168" i="25"/>
  <c r="CY245" i="25"/>
  <c r="CZ245" i="25"/>
  <c r="DL189" i="25"/>
  <c r="FD189" i="25"/>
  <c r="DS189" i="25"/>
  <c r="CY69" i="25"/>
  <c r="CZ69" i="25"/>
  <c r="DS139" i="25"/>
  <c r="DL139" i="25"/>
  <c r="FD139" i="25"/>
  <c r="DL40" i="25"/>
  <c r="FD40" i="25"/>
  <c r="DS40" i="25"/>
  <c r="CY298" i="25"/>
  <c r="CZ298" i="25"/>
  <c r="DS284" i="25"/>
  <c r="DL284" i="25"/>
  <c r="DL48" i="25"/>
  <c r="DS48" i="25"/>
  <c r="FD71" i="25"/>
  <c r="DL71" i="25"/>
  <c r="DS71" i="25"/>
  <c r="DL81" i="25"/>
  <c r="DS81" i="25"/>
  <c r="FD81" i="25"/>
  <c r="CZ29" i="25"/>
  <c r="CY29" i="25"/>
  <c r="DS58" i="25"/>
  <c r="DL58" i="25"/>
  <c r="FD58" i="25"/>
  <c r="DL12" i="25"/>
  <c r="DS12" i="25"/>
  <c r="FD12" i="25"/>
  <c r="DH243" i="25"/>
  <c r="DA243" i="25"/>
  <c r="DD243" i="25" s="1"/>
  <c r="DE243" i="25" s="1"/>
  <c r="DF243" i="25" s="1"/>
  <c r="DA117" i="25"/>
  <c r="DD117" i="25" s="1"/>
  <c r="DE117" i="25" s="1"/>
  <c r="DF117" i="25" s="1"/>
  <c r="DH117" i="25"/>
  <c r="DH101" i="25"/>
  <c r="DA101" i="25"/>
  <c r="DD101" i="25" s="1"/>
  <c r="DE101" i="25" s="1"/>
  <c r="DF101" i="25" s="1"/>
  <c r="DH313" i="25"/>
  <c r="DA313" i="25"/>
  <c r="DD313" i="25" s="1"/>
  <c r="DE313" i="25" s="1"/>
  <c r="DF313" i="25" s="1"/>
  <c r="CY242" i="25"/>
  <c r="CZ242" i="25"/>
  <c r="DS181" i="25"/>
  <c r="FD181" i="25"/>
  <c r="DL181" i="25"/>
  <c r="CY295" i="25"/>
  <c r="CZ295" i="25"/>
  <c r="CY153" i="25"/>
  <c r="CZ153" i="25"/>
  <c r="CY47" i="25"/>
  <c r="CZ47" i="25"/>
  <c r="FD17" i="25"/>
  <c r="DL17" i="25"/>
  <c r="DA69" i="25"/>
  <c r="DD69" i="25" s="1"/>
  <c r="DE69" i="25" s="1"/>
  <c r="DF69" i="25" s="1"/>
  <c r="DH69" i="25"/>
  <c r="DH260" i="25"/>
  <c r="DA260" i="25"/>
  <c r="DD260" i="25" s="1"/>
  <c r="DE260" i="25" s="1"/>
  <c r="DF260" i="25" s="1"/>
  <c r="DH94" i="25"/>
  <c r="DA94" i="25"/>
  <c r="DD94" i="25" s="1"/>
  <c r="DE94" i="25" s="1"/>
  <c r="DF94" i="25" s="1"/>
  <c r="DH118" i="25"/>
  <c r="DA118" i="25"/>
  <c r="DD118" i="25" s="1"/>
  <c r="DE118" i="25" s="1"/>
  <c r="DF118" i="25" s="1"/>
  <c r="DH309" i="25"/>
  <c r="DA309" i="25"/>
  <c r="DD309" i="25" s="1"/>
  <c r="DE309" i="25" s="1"/>
  <c r="DF309" i="25" s="1"/>
  <c r="DA291" i="25"/>
  <c r="DD291" i="25" s="1"/>
  <c r="DE291" i="25" s="1"/>
  <c r="DF291" i="25" s="1"/>
  <c r="DH291" i="25"/>
  <c r="DH74" i="25"/>
  <c r="DA74" i="25"/>
  <c r="DD74" i="25" s="1"/>
  <c r="DE74" i="25" s="1"/>
  <c r="DF74" i="25" s="1"/>
  <c r="DH8" i="25"/>
  <c r="DA8" i="25"/>
  <c r="DD8" i="25" s="1"/>
  <c r="DE8" i="25" s="1"/>
  <c r="DF8" i="25" s="1"/>
  <c r="FD194" i="25"/>
  <c r="DL194" i="25"/>
  <c r="CZ161" i="25"/>
  <c r="CY161" i="25"/>
  <c r="CY276" i="25"/>
  <c r="CZ276" i="25"/>
  <c r="DL185" i="25"/>
  <c r="DS185" i="25"/>
  <c r="FD185" i="25"/>
  <c r="DS145" i="25"/>
  <c r="DL145" i="25"/>
  <c r="FD145" i="25"/>
  <c r="CY25" i="25"/>
  <c r="CZ25" i="25"/>
  <c r="DS117" i="25"/>
  <c r="DL117" i="25"/>
  <c r="FD117" i="25"/>
  <c r="CY15" i="25"/>
  <c r="CZ15" i="25"/>
  <c r="CY159" i="25"/>
  <c r="CZ159" i="25"/>
  <c r="CY52" i="25"/>
  <c r="CZ52" i="25"/>
  <c r="DL72" i="25"/>
  <c r="DS72" i="25"/>
  <c r="FD72" i="25"/>
  <c r="FD98" i="25"/>
  <c r="DL98" i="25"/>
  <c r="DS300" i="25"/>
  <c r="DL300" i="25"/>
  <c r="DH274" i="25"/>
  <c r="DA274" i="25"/>
  <c r="DD274" i="25" s="1"/>
  <c r="DE274" i="25" s="1"/>
  <c r="DF274" i="25" s="1"/>
  <c r="CZ19" i="25"/>
  <c r="DB19" i="25" s="1"/>
  <c r="DH19" i="25"/>
  <c r="DA19" i="25"/>
  <c r="DD19" i="25" s="1"/>
  <c r="DE19" i="25" s="1"/>
  <c r="DF19" i="25" s="1"/>
  <c r="DL259" i="25"/>
  <c r="DS259" i="25"/>
  <c r="DL200" i="25"/>
  <c r="FD200" i="25"/>
  <c r="DL253" i="25"/>
  <c r="DS253" i="25"/>
  <c r="CY247" i="25"/>
  <c r="CZ247" i="25"/>
  <c r="CZ172" i="25"/>
  <c r="CY172" i="25"/>
  <c r="DL45" i="25"/>
  <c r="DS45" i="25"/>
  <c r="FD45" i="25"/>
  <c r="FD136" i="25"/>
  <c r="DS136" i="25"/>
  <c r="DL136" i="25"/>
  <c r="DL313" i="25"/>
  <c r="DS313" i="25"/>
  <c r="CY60" i="25"/>
  <c r="CZ60" i="25"/>
  <c r="DH88" i="25"/>
  <c r="DA88" i="25"/>
  <c r="DD88" i="25" s="1"/>
  <c r="DE88" i="25" s="1"/>
  <c r="DF88" i="25" s="1"/>
  <c r="DA172" i="25"/>
  <c r="DD172" i="25" s="1"/>
  <c r="DE172" i="25" s="1"/>
  <c r="DF172" i="25" s="1"/>
  <c r="DH172" i="25"/>
  <c r="DH183" i="25"/>
  <c r="DA183" i="25"/>
  <c r="DD183" i="25" s="1"/>
  <c r="DE183" i="25" s="1"/>
  <c r="DF183" i="25" s="1"/>
  <c r="DH25" i="25"/>
  <c r="DA25" i="25"/>
  <c r="DD25" i="25" s="1"/>
  <c r="DE25" i="25" s="1"/>
  <c r="DF25" i="25" s="1"/>
  <c r="DH146" i="25"/>
  <c r="DA146" i="25"/>
  <c r="DD146" i="25" s="1"/>
  <c r="DE146" i="25" s="1"/>
  <c r="DF146" i="25" s="1"/>
  <c r="DA114" i="25"/>
  <c r="DD114" i="25" s="1"/>
  <c r="DE114" i="25" s="1"/>
  <c r="DF114" i="25" s="1"/>
  <c r="DH114" i="25"/>
  <c r="DH303" i="25"/>
  <c r="DA303" i="25"/>
  <c r="DD303" i="25" s="1"/>
  <c r="DE303" i="25" s="1"/>
  <c r="DF303" i="25" s="1"/>
  <c r="DH20" i="25"/>
  <c r="DA20" i="25"/>
  <c r="DD20" i="25" s="1"/>
  <c r="DE20" i="25" s="1"/>
  <c r="DF20" i="25" s="1"/>
  <c r="CZ162" i="25"/>
  <c r="DB162" i="25" s="1"/>
  <c r="DH162" i="25"/>
  <c r="DA162" i="25"/>
  <c r="DD162" i="25" s="1"/>
  <c r="DE162" i="25" s="1"/>
  <c r="DF162" i="25" s="1"/>
  <c r="DH246" i="25"/>
  <c r="DA246" i="25"/>
  <c r="DD246" i="25" s="1"/>
  <c r="DE246" i="25" s="1"/>
  <c r="DF246" i="25" s="1"/>
  <c r="CY182" i="25"/>
  <c r="CZ182" i="25"/>
  <c r="CY314" i="25"/>
  <c r="CZ314" i="25"/>
  <c r="CZ252" i="25"/>
  <c r="CY252" i="25"/>
  <c r="DL245" i="25"/>
  <c r="FD169" i="25"/>
  <c r="DS169" i="25"/>
  <c r="DL169" i="25"/>
  <c r="DL88" i="25"/>
  <c r="DS88" i="25"/>
  <c r="FD88" i="25"/>
  <c r="CY40" i="25"/>
  <c r="CZ40" i="25"/>
  <c r="DL298" i="25"/>
  <c r="DS298" i="25"/>
  <c r="CZ96" i="25"/>
  <c r="CY96" i="25"/>
  <c r="CY48" i="25"/>
  <c r="CZ48" i="25"/>
  <c r="DL24" i="25"/>
  <c r="FD24" i="25"/>
  <c r="FD48" i="25"/>
  <c r="FD95" i="25"/>
  <c r="DH176" i="25"/>
  <c r="DA176" i="25"/>
  <c r="DD176" i="25" s="1"/>
  <c r="DE176" i="25" s="1"/>
  <c r="DF176" i="25" s="1"/>
  <c r="CY225" i="25"/>
  <c r="CZ225" i="25"/>
  <c r="DL269" i="25"/>
  <c r="DS269" i="25"/>
  <c r="DH21" i="25"/>
  <c r="DA21" i="25"/>
  <c r="DD21" i="25" s="1"/>
  <c r="DE21" i="25" s="1"/>
  <c r="DF21" i="25" s="1"/>
  <c r="DH167" i="25"/>
  <c r="DA167" i="25"/>
  <c r="DD167" i="25" s="1"/>
  <c r="DE167" i="25" s="1"/>
  <c r="DF167" i="25" s="1"/>
  <c r="DA194" i="25"/>
  <c r="DD194" i="25" s="1"/>
  <c r="DE194" i="25" s="1"/>
  <c r="DF194" i="25" s="1"/>
  <c r="DH194" i="25"/>
  <c r="CZ155" i="25"/>
  <c r="DB155" i="25" s="1"/>
  <c r="DH155" i="25"/>
  <c r="DA155" i="25"/>
  <c r="DD155" i="25" s="1"/>
  <c r="DE155" i="25" s="1"/>
  <c r="DF155" i="25" s="1"/>
  <c r="DH288" i="25"/>
  <c r="DA288" i="25"/>
  <c r="DD288" i="25" s="1"/>
  <c r="DE288" i="25" s="1"/>
  <c r="DF288" i="25" s="1"/>
  <c r="CZ82" i="25"/>
  <c r="DB82" i="25" s="1"/>
  <c r="DH82" i="25"/>
  <c r="DA82" i="25"/>
  <c r="DD82" i="25" s="1"/>
  <c r="DE82" i="25" s="1"/>
  <c r="DF82" i="25" s="1"/>
  <c r="DL242" i="25"/>
  <c r="DS242" i="25"/>
  <c r="DL295" i="25"/>
  <c r="DS233" i="25"/>
  <c r="DL233" i="25"/>
  <c r="FD130" i="25"/>
  <c r="DL130" i="25"/>
  <c r="DS130" i="25"/>
  <c r="DS126" i="25"/>
  <c r="FD126" i="25"/>
  <c r="DL126" i="25"/>
  <c r="CY86" i="25"/>
  <c r="CZ86" i="25"/>
  <c r="FD34" i="25"/>
  <c r="DL34" i="25"/>
  <c r="DS34" i="25"/>
  <c r="DS266" i="25"/>
  <c r="DL266" i="25"/>
  <c r="DL47" i="25"/>
  <c r="DS47" i="25"/>
  <c r="FD47" i="25"/>
  <c r="CY55" i="25"/>
  <c r="CZ55" i="25"/>
  <c r="DL14" i="25"/>
  <c r="DS14" i="25"/>
  <c r="FD14" i="25"/>
  <c r="DS38" i="25"/>
  <c r="FD38" i="25"/>
  <c r="DL38" i="25"/>
  <c r="DH315" i="25"/>
  <c r="DA315" i="25"/>
  <c r="DD315" i="25" s="1"/>
  <c r="DE315" i="25" s="1"/>
  <c r="DF315" i="25" s="1"/>
  <c r="DA62" i="25"/>
  <c r="DD62" i="25" s="1"/>
  <c r="DE62" i="25" s="1"/>
  <c r="DF62" i="25" s="1"/>
  <c r="DH62" i="25"/>
  <c r="DL179" i="25"/>
  <c r="FD179" i="25"/>
  <c r="DS179" i="25"/>
  <c r="CY232" i="25"/>
  <c r="CZ232" i="25"/>
  <c r="CY64" i="25"/>
  <c r="CZ64" i="25"/>
  <c r="DH219" i="25"/>
  <c r="DA219" i="25"/>
  <c r="DD219" i="25" s="1"/>
  <c r="DE219" i="25" s="1"/>
  <c r="DF219" i="25" s="1"/>
  <c r="DA261" i="25"/>
  <c r="DD261" i="25" s="1"/>
  <c r="DE261" i="25" s="1"/>
  <c r="DF261" i="25" s="1"/>
  <c r="DH261" i="25"/>
  <c r="CZ306" i="25"/>
  <c r="CY306" i="25"/>
  <c r="DL235" i="25"/>
  <c r="DS235" i="25"/>
  <c r="DL275" i="25"/>
  <c r="DS275" i="25"/>
  <c r="DS146" i="25"/>
  <c r="FD146" i="25"/>
  <c r="DL146" i="25"/>
  <c r="DL276" i="25"/>
  <c r="DS276" i="25"/>
  <c r="DS79" i="25"/>
  <c r="DL79" i="25"/>
  <c r="FD79" i="25"/>
  <c r="CY262" i="25"/>
  <c r="CZ262" i="25"/>
  <c r="CY89" i="25"/>
  <c r="CZ89" i="25"/>
  <c r="DL25" i="25"/>
  <c r="FD25" i="25"/>
  <c r="DH113" i="25"/>
  <c r="DA113" i="25"/>
  <c r="DD113" i="25" s="1"/>
  <c r="DE113" i="25" s="1"/>
  <c r="DF113" i="25" s="1"/>
  <c r="DT43" i="24"/>
  <c r="DT282" i="24"/>
  <c r="DT29" i="24"/>
  <c r="DT11" i="24"/>
  <c r="CN302" i="24"/>
  <c r="DA302" i="24" s="1"/>
  <c r="CS302" i="24"/>
  <c r="FD302" i="24" s="1"/>
  <c r="DT287" i="24"/>
  <c r="DT219" i="24"/>
  <c r="CS267" i="24"/>
  <c r="FD267" i="24" s="1"/>
  <c r="CN267" i="24"/>
  <c r="DA267" i="24" s="1"/>
  <c r="CZ47" i="24"/>
  <c r="DT66" i="24"/>
  <c r="DT36" i="24"/>
  <c r="CS9" i="24"/>
  <c r="FD9" i="24" s="1"/>
  <c r="CN9" i="24"/>
  <c r="DA9" i="24" s="1"/>
  <c r="CZ86" i="24"/>
  <c r="DT15" i="24"/>
  <c r="CS236" i="24"/>
  <c r="FD236" i="24" s="1"/>
  <c r="CN236" i="24"/>
  <c r="DA236" i="24" s="1"/>
  <c r="CN206" i="24"/>
  <c r="DA206" i="24" s="1"/>
  <c r="CS206" i="24"/>
  <c r="FD206" i="24" s="1"/>
  <c r="CZ226" i="24"/>
  <c r="DT263" i="24"/>
  <c r="DT83" i="24"/>
  <c r="CZ153" i="24"/>
  <c r="CN73" i="24"/>
  <c r="DA73" i="24" s="1"/>
  <c r="CS73" i="24"/>
  <c r="FD73" i="24" s="1"/>
  <c r="CS52" i="24"/>
  <c r="FD52" i="24" s="1"/>
  <c r="CN52" i="24"/>
  <c r="CZ72" i="24"/>
  <c r="CS30" i="24"/>
  <c r="FD30" i="24" s="1"/>
  <c r="CN30" i="24"/>
  <c r="DA30" i="24" s="1"/>
  <c r="DT281" i="24"/>
  <c r="DT277" i="24"/>
  <c r="CN192" i="24"/>
  <c r="DA192" i="24" s="1"/>
  <c r="CS192" i="24"/>
  <c r="FD192" i="24" s="1"/>
  <c r="CZ240" i="24"/>
  <c r="CN116" i="24"/>
  <c r="DA116" i="24" s="1"/>
  <c r="CS116" i="24"/>
  <c r="FD116" i="24" s="1"/>
  <c r="CN133" i="24"/>
  <c r="DA133" i="24" s="1"/>
  <c r="CS133" i="24"/>
  <c r="FD133" i="24" s="1"/>
  <c r="CZ172" i="24"/>
  <c r="DT38" i="24"/>
  <c r="DT103" i="24"/>
  <c r="CN20" i="24"/>
  <c r="DA20" i="24" s="1"/>
  <c r="CS20" i="24"/>
  <c r="FD20" i="24" s="1"/>
  <c r="CN311" i="24"/>
  <c r="DA311" i="24" s="1"/>
  <c r="CS311" i="24"/>
  <c r="FD311" i="24" s="1"/>
  <c r="DT238" i="24"/>
  <c r="CS259" i="24"/>
  <c r="FD259" i="24" s="1"/>
  <c r="CN259" i="24"/>
  <c r="DA259" i="24" s="1"/>
  <c r="CS232" i="24"/>
  <c r="FD232" i="24" s="1"/>
  <c r="CN232" i="24"/>
  <c r="CN233" i="24"/>
  <c r="DA233" i="24" s="1"/>
  <c r="CS233" i="24"/>
  <c r="FD233" i="24" s="1"/>
  <c r="DT306" i="24"/>
  <c r="DT98" i="24"/>
  <c r="CS161" i="24"/>
  <c r="FD161" i="24" s="1"/>
  <c r="CN161" i="24"/>
  <c r="DA161" i="24" s="1"/>
  <c r="CS132" i="24"/>
  <c r="FD132" i="24" s="1"/>
  <c r="CN132" i="24"/>
  <c r="DA132" i="24" s="1"/>
  <c r="CZ148" i="24"/>
  <c r="DT47" i="24"/>
  <c r="CS120" i="24"/>
  <c r="FD120" i="24" s="1"/>
  <c r="CN120" i="24"/>
  <c r="DA120" i="24" s="1"/>
  <c r="CZ119" i="24"/>
  <c r="CZ41" i="24"/>
  <c r="CZ66" i="24"/>
  <c r="CS36" i="24"/>
  <c r="FD36" i="24" s="1"/>
  <c r="CN36" i="24"/>
  <c r="DA36" i="24" s="1"/>
  <c r="DT21" i="24"/>
  <c r="DT45" i="24"/>
  <c r="DT236" i="24"/>
  <c r="CS189" i="24"/>
  <c r="FD189" i="24" s="1"/>
  <c r="CN189" i="24"/>
  <c r="CS255" i="24"/>
  <c r="FD255" i="24" s="1"/>
  <c r="CN255" i="24"/>
  <c r="DA255" i="24" s="1"/>
  <c r="DT285" i="24"/>
  <c r="DT298" i="24"/>
  <c r="CS146" i="24"/>
  <c r="FD146" i="24" s="1"/>
  <c r="CN146" i="24"/>
  <c r="DA146" i="24" s="1"/>
  <c r="DT217" i="24"/>
  <c r="CZ40" i="24"/>
  <c r="DT70" i="24"/>
  <c r="CZ30" i="24"/>
  <c r="CZ314" i="24"/>
  <c r="CN200" i="24"/>
  <c r="DA200" i="24" s="1"/>
  <c r="CS200" i="24"/>
  <c r="FD200" i="24" s="1"/>
  <c r="CZ277" i="24"/>
  <c r="CN224" i="24"/>
  <c r="DA224" i="24" s="1"/>
  <c r="CS224" i="24"/>
  <c r="FD224" i="24" s="1"/>
  <c r="DT242" i="24"/>
  <c r="CS29" i="24"/>
  <c r="FD29" i="24" s="1"/>
  <c r="CN29" i="24"/>
  <c r="DA29" i="24" s="1"/>
  <c r="CZ259" i="24"/>
  <c r="CZ208" i="24"/>
  <c r="DT297" i="24"/>
  <c r="CZ267" i="24"/>
  <c r="CN179" i="24"/>
  <c r="DA179" i="24" s="1"/>
  <c r="CS179" i="24"/>
  <c r="FD179" i="24" s="1"/>
  <c r="CN41" i="24"/>
  <c r="CS41" i="24"/>
  <c r="FD41" i="24" s="1"/>
  <c r="DT9" i="24"/>
  <c r="CN296" i="24"/>
  <c r="DA296" i="24" s="1"/>
  <c r="CS296" i="24"/>
  <c r="FD296" i="24" s="1"/>
  <c r="CS298" i="24"/>
  <c r="FD298" i="24" s="1"/>
  <c r="CN298" i="24"/>
  <c r="DA298" i="24" s="1"/>
  <c r="CS153" i="24"/>
  <c r="FD153" i="24" s="1"/>
  <c r="CN153" i="24"/>
  <c r="DA153" i="24" s="1"/>
  <c r="CS234" i="24"/>
  <c r="FD234" i="24" s="1"/>
  <c r="CN234" i="24"/>
  <c r="DA234" i="24" s="1"/>
  <c r="CN118" i="24"/>
  <c r="DA118" i="24" s="1"/>
  <c r="CS118" i="24"/>
  <c r="FD118" i="24" s="1"/>
  <c r="CS64" i="24"/>
  <c r="FD64" i="24" s="1"/>
  <c r="CN64" i="24"/>
  <c r="CS6" i="24"/>
  <c r="FD6" i="24" s="1"/>
  <c r="CN6" i="24"/>
  <c r="DA6" i="24" s="1"/>
  <c r="DT18" i="24"/>
  <c r="CN289" i="24"/>
  <c r="DA289" i="24" s="1"/>
  <c r="CS289" i="24"/>
  <c r="FD289" i="24" s="1"/>
  <c r="CZ205" i="24"/>
  <c r="DT314" i="24"/>
  <c r="DT253" i="24"/>
  <c r="CN240" i="24"/>
  <c r="DA240" i="24" s="1"/>
  <c r="CS240" i="24"/>
  <c r="FD240" i="24" s="1"/>
  <c r="CZ111" i="24"/>
  <c r="DT58" i="24"/>
  <c r="CN238" i="24"/>
  <c r="DA238" i="24" s="1"/>
  <c r="CS238" i="24"/>
  <c r="FD238" i="24" s="1"/>
  <c r="DT267" i="24"/>
  <c r="CN306" i="24"/>
  <c r="DA306" i="24" s="1"/>
  <c r="CS306" i="24"/>
  <c r="FD306" i="24" s="1"/>
  <c r="CS171" i="24"/>
  <c r="FD171" i="24" s="1"/>
  <c r="CN171" i="24"/>
  <c r="CS148" i="24"/>
  <c r="FD148" i="24" s="1"/>
  <c r="CN148" i="24"/>
  <c r="DA148" i="24" s="1"/>
  <c r="CZ258" i="24"/>
  <c r="DT41" i="24"/>
  <c r="CS45" i="24"/>
  <c r="FD45" i="24" s="1"/>
  <c r="CN45" i="24"/>
  <c r="DA45" i="24" s="1"/>
  <c r="DT86" i="24"/>
  <c r="CZ296" i="24"/>
  <c r="CZ255" i="24"/>
  <c r="CZ285" i="24"/>
  <c r="CS226" i="24"/>
  <c r="FD226" i="24" s="1"/>
  <c r="CN226" i="24"/>
  <c r="DT294" i="24"/>
  <c r="CZ123" i="24"/>
  <c r="CZ136" i="24"/>
  <c r="CZ234" i="24"/>
  <c r="CZ113" i="24"/>
  <c r="CZ118" i="24"/>
  <c r="CZ64" i="24"/>
  <c r="DT6" i="24"/>
  <c r="CS18" i="24"/>
  <c r="FD18" i="24" s="1"/>
  <c r="CN18" i="24"/>
  <c r="CS205" i="24"/>
  <c r="FD205" i="24" s="1"/>
  <c r="CN205" i="24"/>
  <c r="CN253" i="24"/>
  <c r="DA253" i="24" s="1"/>
  <c r="CS253" i="24"/>
  <c r="FD253" i="24" s="1"/>
  <c r="DT224" i="24"/>
  <c r="CS286" i="24"/>
  <c r="FD286" i="24" s="1"/>
  <c r="CN286" i="24"/>
  <c r="DA286" i="24" s="1"/>
  <c r="DT240" i="24"/>
  <c r="CZ150" i="24"/>
  <c r="CN242" i="24"/>
  <c r="DA242" i="24" s="1"/>
  <c r="CS242" i="24"/>
  <c r="FD242" i="24" s="1"/>
  <c r="CN89" i="24"/>
  <c r="CS89" i="24"/>
  <c r="FD89" i="24" s="1"/>
  <c r="CZ20" i="24"/>
  <c r="DT280" i="24"/>
  <c r="DT311" i="24"/>
  <c r="CZ300" i="24"/>
  <c r="DT259" i="24"/>
  <c r="DT232" i="24"/>
  <c r="CS309" i="24"/>
  <c r="FD309" i="24" s="1"/>
  <c r="CN309" i="24"/>
  <c r="DA309" i="24" s="1"/>
  <c r="CZ161" i="24"/>
  <c r="CZ307" i="24"/>
  <c r="CZ179" i="24"/>
  <c r="CS81" i="24"/>
  <c r="FD81" i="24" s="1"/>
  <c r="CN81" i="24"/>
  <c r="CZ264" i="24"/>
  <c r="CN47" i="24"/>
  <c r="DA47" i="24" s="1"/>
  <c r="CS47" i="24"/>
  <c r="FD47" i="24" s="1"/>
  <c r="CS167" i="24"/>
  <c r="FD167" i="24" s="1"/>
  <c r="CN167" i="24"/>
  <c r="DA167" i="24" s="1"/>
  <c r="CZ75" i="24"/>
  <c r="CN21" i="24"/>
  <c r="DA21" i="24" s="1"/>
  <c r="CS21" i="24"/>
  <c r="FD21" i="24" s="1"/>
  <c r="DT296" i="24"/>
  <c r="CZ283" i="24"/>
  <c r="DT255" i="24"/>
  <c r="CZ203" i="24"/>
  <c r="DT226" i="24"/>
  <c r="CZ294" i="24"/>
  <c r="CS221" i="24"/>
  <c r="FD221" i="24" s="1"/>
  <c r="CN221" i="24"/>
  <c r="DA221" i="24" s="1"/>
  <c r="CS157" i="24"/>
  <c r="FD157" i="24" s="1"/>
  <c r="CN157" i="24"/>
  <c r="DA157" i="24" s="1"/>
  <c r="CZ209" i="24"/>
  <c r="CZ177" i="24"/>
  <c r="DT244" i="24"/>
  <c r="CS217" i="24"/>
  <c r="FD217" i="24" s="1"/>
  <c r="CN217" i="24"/>
  <c r="DA217" i="24" s="1"/>
  <c r="CS136" i="24"/>
  <c r="FD136" i="24" s="1"/>
  <c r="CN136" i="24"/>
  <c r="DT234" i="24"/>
  <c r="DT14" i="24"/>
  <c r="DT72" i="24"/>
  <c r="CZ289" i="24"/>
  <c r="CZ281" i="24"/>
  <c r="CS282" i="24"/>
  <c r="FD282" i="24" s="1"/>
  <c r="CN282" i="24"/>
  <c r="DA282" i="24" s="1"/>
  <c r="CN187" i="24"/>
  <c r="DA187" i="24" s="1"/>
  <c r="CS187" i="24"/>
  <c r="FD187" i="24" s="1"/>
  <c r="DT286" i="24"/>
  <c r="CN291" i="24"/>
  <c r="DA291" i="24" s="1"/>
  <c r="CS291" i="24"/>
  <c r="FD291" i="24" s="1"/>
  <c r="CN150" i="24"/>
  <c r="CS150" i="24"/>
  <c r="FD150" i="24" s="1"/>
  <c r="CN115" i="24"/>
  <c r="CS115" i="24"/>
  <c r="FD115" i="24" s="1"/>
  <c r="CS172" i="24"/>
  <c r="FD172" i="24" s="1"/>
  <c r="CN172" i="24"/>
  <c r="DA172" i="24" s="1"/>
  <c r="CZ17" i="24"/>
  <c r="CS300" i="24"/>
  <c r="FD300" i="24" s="1"/>
  <c r="CN300" i="24"/>
  <c r="DA300" i="24" s="1"/>
  <c r="CZ238" i="24"/>
  <c r="CS190" i="24"/>
  <c r="FD190" i="24" s="1"/>
  <c r="CN190" i="24"/>
  <c r="DA190" i="24" s="1"/>
  <c r="CZ287" i="24"/>
  <c r="DT309" i="24"/>
  <c r="CZ233" i="24"/>
  <c r="DT307" i="24"/>
  <c r="DT81" i="24"/>
  <c r="CN264" i="24"/>
  <c r="DA264" i="24" s="1"/>
  <c r="CS264" i="24"/>
  <c r="FD264" i="24" s="1"/>
  <c r="DT258" i="24"/>
  <c r="CZ167" i="24"/>
  <c r="CN119" i="24"/>
  <c r="DA119" i="24" s="1"/>
  <c r="CS119" i="24"/>
  <c r="FD119" i="24" s="1"/>
  <c r="CN66" i="24"/>
  <c r="CS66" i="24"/>
  <c r="FD66" i="24" s="1"/>
  <c r="CN75" i="24"/>
  <c r="DA75" i="24" s="1"/>
  <c r="CS75" i="24"/>
  <c r="FD75" i="24" s="1"/>
  <c r="CZ21" i="24"/>
  <c r="CS283" i="24"/>
  <c r="FD283" i="24" s="1"/>
  <c r="CN283" i="24"/>
  <c r="DA283" i="24" s="1"/>
  <c r="DT284" i="24"/>
  <c r="CS203" i="24"/>
  <c r="FD203" i="24" s="1"/>
  <c r="CN203" i="24"/>
  <c r="DA203" i="24" s="1"/>
  <c r="CZ263" i="24"/>
  <c r="CZ157" i="24"/>
  <c r="CN209" i="24"/>
  <c r="DA209" i="24" s="1"/>
  <c r="CS209" i="24"/>
  <c r="FD209" i="24" s="1"/>
  <c r="CS177" i="24"/>
  <c r="FD177" i="24" s="1"/>
  <c r="CN177" i="24"/>
  <c r="CZ217" i="24"/>
  <c r="DT64" i="24"/>
  <c r="CS14" i="24"/>
  <c r="FD14" i="24" s="1"/>
  <c r="CN14" i="24"/>
  <c r="CZ6" i="24"/>
  <c r="CN72" i="24"/>
  <c r="CS72" i="24"/>
  <c r="FD72" i="24" s="1"/>
  <c r="CS314" i="24"/>
  <c r="FD314" i="24" s="1"/>
  <c r="CN314" i="24"/>
  <c r="CZ253" i="24"/>
  <c r="CZ286" i="24"/>
  <c r="CZ192" i="24"/>
  <c r="DT291" i="24"/>
  <c r="CZ116" i="24"/>
  <c r="CS193" i="24"/>
  <c r="FD193" i="24" s="1"/>
  <c r="CN193" i="24"/>
  <c r="DA193" i="24" s="1"/>
  <c r="CZ156" i="24"/>
  <c r="DT300" i="24"/>
  <c r="CZ302" i="24"/>
  <c r="CZ190" i="24"/>
  <c r="CZ219" i="24"/>
  <c r="CN208" i="24"/>
  <c r="CS208" i="24"/>
  <c r="FD208" i="24" s="1"/>
  <c r="CN297" i="24"/>
  <c r="DA297" i="24" s="1"/>
  <c r="CS297" i="24"/>
  <c r="FD297" i="24" s="1"/>
  <c r="CZ309" i="24"/>
  <c r="CZ98" i="24"/>
  <c r="CN307" i="24"/>
  <c r="DA307" i="24" s="1"/>
  <c r="CS307" i="24"/>
  <c r="FD307" i="24" s="1"/>
  <c r="DT264" i="24"/>
  <c r="CN139" i="24"/>
  <c r="DA139" i="24" s="1"/>
  <c r="CS139" i="24"/>
  <c r="FD139" i="24" s="1"/>
  <c r="CS258" i="24"/>
  <c r="FD258" i="24" s="1"/>
  <c r="CN258" i="24"/>
  <c r="CZ9" i="24"/>
  <c r="CS86" i="24"/>
  <c r="FD86" i="24" s="1"/>
  <c r="CN86" i="24"/>
  <c r="DA86" i="24" s="1"/>
  <c r="CZ15" i="24"/>
  <c r="CZ284" i="24"/>
  <c r="CN294" i="24"/>
  <c r="DA294" i="24" s="1"/>
  <c r="CS294" i="24"/>
  <c r="FD294" i="24" s="1"/>
  <c r="CZ221" i="24"/>
  <c r="CS83" i="24"/>
  <c r="FD83" i="24" s="1"/>
  <c r="CN83" i="24"/>
  <c r="CS123" i="24"/>
  <c r="FD123" i="24" s="1"/>
  <c r="CN123" i="24"/>
  <c r="CS244" i="24"/>
  <c r="FD244" i="24" s="1"/>
  <c r="CN244" i="24"/>
  <c r="DA244" i="24" s="1"/>
  <c r="CZ146" i="24"/>
  <c r="CN40" i="24"/>
  <c r="CS40" i="24"/>
  <c r="FD40" i="24" s="1"/>
  <c r="CN113" i="24"/>
  <c r="DA113" i="24" s="1"/>
  <c r="CS113" i="24"/>
  <c r="FD113" i="24" s="1"/>
  <c r="CZ162" i="24"/>
  <c r="CS70" i="24"/>
  <c r="FD70" i="24" s="1"/>
  <c r="CN70" i="24"/>
  <c r="DT73" i="24"/>
  <c r="DT52" i="24"/>
  <c r="CS281" i="24"/>
  <c r="FD281" i="24" s="1"/>
  <c r="CN281" i="24"/>
  <c r="DA281" i="24" s="1"/>
  <c r="CZ282" i="24"/>
  <c r="CZ200" i="24"/>
  <c r="CZ224" i="24"/>
  <c r="DT250" i="24"/>
  <c r="CZ103" i="24"/>
  <c r="CZ57" i="24"/>
  <c r="CN262" i="24"/>
  <c r="DA262" i="24" s="1"/>
  <c r="CS262" i="24"/>
  <c r="FD262" i="24" s="1"/>
  <c r="DT302" i="24"/>
  <c r="CN287" i="24"/>
  <c r="DA287" i="24" s="1"/>
  <c r="CS287" i="24"/>
  <c r="FD287" i="24" s="1"/>
  <c r="CN219" i="24"/>
  <c r="CS219" i="24"/>
  <c r="FD219" i="24" s="1"/>
  <c r="CZ297" i="24"/>
  <c r="DT233" i="24"/>
  <c r="CZ306" i="24"/>
  <c r="CS98" i="24"/>
  <c r="FD98" i="24" s="1"/>
  <c r="CN98" i="24"/>
  <c r="CZ132" i="24"/>
  <c r="CZ139" i="24"/>
  <c r="CZ120" i="24"/>
  <c r="CZ36" i="24"/>
  <c r="DT75" i="24"/>
  <c r="CZ45" i="24"/>
  <c r="CN15" i="24"/>
  <c r="CS15" i="24"/>
  <c r="FD15" i="24" s="1"/>
  <c r="DT283" i="24"/>
  <c r="CZ236" i="24"/>
  <c r="CS284" i="24"/>
  <c r="FD284" i="24" s="1"/>
  <c r="CN284" i="24"/>
  <c r="CZ206" i="24"/>
  <c r="CS285" i="24"/>
  <c r="FD285" i="24" s="1"/>
  <c r="CN285" i="24"/>
  <c r="DA285" i="24" s="1"/>
  <c r="CS263" i="24"/>
  <c r="FD263" i="24" s="1"/>
  <c r="CN263" i="24"/>
  <c r="CZ298" i="24"/>
  <c r="CZ244" i="24"/>
  <c r="DT40" i="24"/>
  <c r="CN162" i="24"/>
  <c r="DA162" i="24" s="1"/>
  <c r="CS162" i="24"/>
  <c r="FD162" i="24" s="1"/>
  <c r="CZ73" i="24"/>
  <c r="DT30" i="24"/>
  <c r="CZ187" i="24"/>
  <c r="CN277" i="24"/>
  <c r="DA277" i="24" s="1"/>
  <c r="CS277" i="24"/>
  <c r="FD277" i="24" s="1"/>
  <c r="CS250" i="24"/>
  <c r="FD250" i="24" s="1"/>
  <c r="CN250" i="24"/>
  <c r="CN194" i="24"/>
  <c r="CS194" i="24"/>
  <c r="FD194" i="24" s="1"/>
  <c r="CZ164" i="24"/>
  <c r="CZ242" i="24"/>
  <c r="CZ133" i="24"/>
  <c r="CS103" i="24"/>
  <c r="FD103" i="24" s="1"/>
  <c r="CN103" i="24"/>
  <c r="DA103" i="24" s="1"/>
  <c r="DT60" i="24"/>
  <c r="CS58" i="24"/>
  <c r="FD58" i="24" s="1"/>
  <c r="CN58" i="24"/>
  <c r="DA58" i="24" s="1"/>
  <c r="CZ84" i="24"/>
  <c r="CZ185" i="24"/>
  <c r="CZ222" i="24"/>
  <c r="CZ235" i="24"/>
  <c r="DT228" i="24"/>
  <c r="CZ112" i="24"/>
  <c r="CS104" i="24"/>
  <c r="FD104" i="24" s="1"/>
  <c r="CN104" i="24"/>
  <c r="DA104" i="24" s="1"/>
  <c r="DT82" i="24"/>
  <c r="CS67" i="24"/>
  <c r="FD67" i="24" s="1"/>
  <c r="CN67" i="24"/>
  <c r="DA67" i="24" s="1"/>
  <c r="CN50" i="24"/>
  <c r="CS50" i="24"/>
  <c r="FD50" i="24" s="1"/>
  <c r="DT22" i="24"/>
  <c r="DT274" i="24"/>
  <c r="CN248" i="24"/>
  <c r="CS248" i="24"/>
  <c r="FD248" i="24" s="1"/>
  <c r="CZ183" i="24"/>
  <c r="CN186" i="24"/>
  <c r="DA186" i="24" s="1"/>
  <c r="CS186" i="24"/>
  <c r="FD186" i="24" s="1"/>
  <c r="CZ105" i="24"/>
  <c r="CN102" i="24"/>
  <c r="DA102" i="24" s="1"/>
  <c r="CS102" i="24"/>
  <c r="FD102" i="24" s="1"/>
  <c r="DT80" i="24"/>
  <c r="CS163" i="24"/>
  <c r="FD163" i="24" s="1"/>
  <c r="CN163" i="24"/>
  <c r="DT54" i="24"/>
  <c r="CZ8" i="24"/>
  <c r="CN25" i="24"/>
  <c r="DA25" i="24" s="1"/>
  <c r="CS25" i="24"/>
  <c r="FD25" i="24" s="1"/>
  <c r="CS269" i="24"/>
  <c r="FD269" i="24" s="1"/>
  <c r="CN269" i="24"/>
  <c r="DA269" i="24" s="1"/>
  <c r="CZ252" i="24"/>
  <c r="CS247" i="24"/>
  <c r="FD247" i="24" s="1"/>
  <c r="CN247" i="24"/>
  <c r="DA247" i="24" s="1"/>
  <c r="CN303" i="24"/>
  <c r="DA303" i="24" s="1"/>
  <c r="CS303" i="24"/>
  <c r="FD303" i="24" s="1"/>
  <c r="CZ288" i="24"/>
  <c r="CN160" i="24"/>
  <c r="DA160" i="24" s="1"/>
  <c r="CS160" i="24"/>
  <c r="FD160" i="24" s="1"/>
  <c r="CZ135" i="24"/>
  <c r="CZ144" i="24"/>
  <c r="CN78" i="24"/>
  <c r="DA78" i="24" s="1"/>
  <c r="CS78" i="24"/>
  <c r="FD78" i="24" s="1"/>
  <c r="CZ32" i="24"/>
  <c r="CS68" i="24"/>
  <c r="FD68" i="24" s="1"/>
  <c r="CN68" i="24"/>
  <c r="DA68" i="24" s="1"/>
  <c r="CZ94" i="24"/>
  <c r="CS268" i="24"/>
  <c r="FD268" i="24" s="1"/>
  <c r="CN268" i="24"/>
  <c r="DA268" i="24" s="1"/>
  <c r="CN257" i="24"/>
  <c r="DA257" i="24" s="1"/>
  <c r="CS257" i="24"/>
  <c r="FD257" i="24" s="1"/>
  <c r="DT272" i="24"/>
  <c r="CS125" i="24"/>
  <c r="FD125" i="24" s="1"/>
  <c r="CN125" i="24"/>
  <c r="DA125" i="24" s="1"/>
  <c r="CZ141" i="24"/>
  <c r="CZ158" i="24"/>
  <c r="CN142" i="24"/>
  <c r="DA142" i="24" s="1"/>
  <c r="CS142" i="24"/>
  <c r="FD142" i="24" s="1"/>
  <c r="CS74" i="24"/>
  <c r="FD74" i="24" s="1"/>
  <c r="CN74" i="24"/>
  <c r="DA74" i="24" s="1"/>
  <c r="DT218" i="24"/>
  <c r="DT44" i="24"/>
  <c r="CS59" i="24"/>
  <c r="FD59" i="24" s="1"/>
  <c r="CN59" i="24"/>
  <c r="DA59" i="24" s="1"/>
  <c r="DT26" i="24"/>
  <c r="CS313" i="24"/>
  <c r="FD313" i="24" s="1"/>
  <c r="CN313" i="24"/>
  <c r="DA313" i="24" s="1"/>
  <c r="CN290" i="24"/>
  <c r="DA290" i="24" s="1"/>
  <c r="CS290" i="24"/>
  <c r="FD290" i="24" s="1"/>
  <c r="CS225" i="24"/>
  <c r="FD225" i="24" s="1"/>
  <c r="CN225" i="24"/>
  <c r="DA225" i="24" s="1"/>
  <c r="CN237" i="24"/>
  <c r="DA237" i="24" s="1"/>
  <c r="CS237" i="24"/>
  <c r="FD237" i="24" s="1"/>
  <c r="CZ271" i="24"/>
  <c r="CZ114" i="24"/>
  <c r="CZ310" i="24"/>
  <c r="CZ188" i="24"/>
  <c r="DT69" i="24"/>
  <c r="CZ266" i="24"/>
  <c r="CS122" i="24"/>
  <c r="FD122" i="24" s="1"/>
  <c r="CN122" i="24"/>
  <c r="CS43" i="24"/>
  <c r="FD43" i="24" s="1"/>
  <c r="CN43" i="24"/>
  <c r="DA43" i="24" s="1"/>
  <c r="DT71" i="24"/>
  <c r="DT91" i="24"/>
  <c r="DT53" i="24"/>
  <c r="CS60" i="24"/>
  <c r="FD60" i="24" s="1"/>
  <c r="CN60" i="24"/>
  <c r="DA60" i="24" s="1"/>
  <c r="CS17" i="24"/>
  <c r="FD17" i="24" s="1"/>
  <c r="CN17" i="24"/>
  <c r="CZ311" i="24"/>
  <c r="CZ262" i="24"/>
  <c r="DT222" i="24"/>
  <c r="CZ279" i="24"/>
  <c r="DT235" i="24"/>
  <c r="DT243" i="24"/>
  <c r="CN37" i="24"/>
  <c r="DA37" i="24" s="1"/>
  <c r="CS37" i="24"/>
  <c r="FD37" i="24" s="1"/>
  <c r="CS152" i="24"/>
  <c r="FD152" i="24" s="1"/>
  <c r="CN152" i="24"/>
  <c r="DA152" i="24" s="1"/>
  <c r="DT7" i="24"/>
  <c r="CZ55" i="24"/>
  <c r="DT67" i="24"/>
  <c r="CZ254" i="24"/>
  <c r="DT308" i="24"/>
  <c r="CS305" i="24"/>
  <c r="FD305" i="24" s="1"/>
  <c r="CN305" i="24"/>
  <c r="CZ265" i="24"/>
  <c r="CS275" i="24"/>
  <c r="FD275" i="24" s="1"/>
  <c r="CN275" i="24"/>
  <c r="DA275" i="24" s="1"/>
  <c r="CN173" i="24"/>
  <c r="DA173" i="24" s="1"/>
  <c r="CS173" i="24"/>
  <c r="FD173" i="24" s="1"/>
  <c r="CZ149" i="24"/>
  <c r="CS93" i="24"/>
  <c r="FD93" i="24" s="1"/>
  <c r="CN93" i="24"/>
  <c r="DA93" i="24" s="1"/>
  <c r="CZ90" i="24"/>
  <c r="CZ54" i="24"/>
  <c r="CS16" i="24"/>
  <c r="FD16" i="24" s="1"/>
  <c r="CN16" i="24"/>
  <c r="DA16" i="24" s="1"/>
  <c r="DT304" i="24"/>
  <c r="CZ273" i="24"/>
  <c r="CZ197" i="24"/>
  <c r="CS220" i="24"/>
  <c r="FD220" i="24" s="1"/>
  <c r="CN220" i="24"/>
  <c r="DA220" i="24" s="1"/>
  <c r="CZ131" i="24"/>
  <c r="CZ101" i="24"/>
  <c r="CS32" i="24"/>
  <c r="FD32" i="24" s="1"/>
  <c r="CN32" i="24"/>
  <c r="DA32" i="24" s="1"/>
  <c r="DT68" i="24"/>
  <c r="DT94" i="24"/>
  <c r="CS28" i="24"/>
  <c r="FD28" i="24" s="1"/>
  <c r="CN28" i="24"/>
  <c r="CZ198" i="24"/>
  <c r="DT268" i="24"/>
  <c r="DT257" i="24"/>
  <c r="CN272" i="24"/>
  <c r="DA272" i="24" s="1"/>
  <c r="CS272" i="24"/>
  <c r="FD272" i="24" s="1"/>
  <c r="CN207" i="24"/>
  <c r="DA207" i="24" s="1"/>
  <c r="CS207" i="24"/>
  <c r="FD207" i="24" s="1"/>
  <c r="CN141" i="24"/>
  <c r="CS141" i="24"/>
  <c r="FD141" i="24" s="1"/>
  <c r="CZ128" i="24"/>
  <c r="CZ117" i="24"/>
  <c r="DT74" i="24"/>
  <c r="DT31" i="24"/>
  <c r="CZ145" i="24"/>
  <c r="CS218" i="24"/>
  <c r="FD218" i="24" s="1"/>
  <c r="CN218" i="24"/>
  <c r="DA218" i="24" s="1"/>
  <c r="CZ130" i="24"/>
  <c r="CN44" i="24"/>
  <c r="DA44" i="24" s="1"/>
  <c r="CS44" i="24"/>
  <c r="FD44" i="24" s="1"/>
  <c r="DT96" i="24"/>
  <c r="DT12" i="24"/>
  <c r="CN77" i="24"/>
  <c r="DA77" i="24" s="1"/>
  <c r="CS77" i="24"/>
  <c r="FD77" i="24" s="1"/>
  <c r="DT59" i="24"/>
  <c r="CZ313" i="24"/>
  <c r="CZ246" i="24"/>
  <c r="DT290" i="24"/>
  <c r="DT223" i="24"/>
  <c r="CZ260" i="24"/>
  <c r="CZ225" i="24"/>
  <c r="CN299" i="24"/>
  <c r="CS299" i="24"/>
  <c r="FD299" i="24" s="1"/>
  <c r="DT237" i="24"/>
  <c r="CN124" i="24"/>
  <c r="DA124" i="24" s="1"/>
  <c r="CS124" i="24"/>
  <c r="FD124" i="24" s="1"/>
  <c r="CZ99" i="24"/>
  <c r="CN69" i="24"/>
  <c r="DA69" i="24" s="1"/>
  <c r="CS69" i="24"/>
  <c r="FD69" i="24" s="1"/>
  <c r="CZ127" i="24"/>
  <c r="CN39" i="24"/>
  <c r="DA39" i="24" s="1"/>
  <c r="CS39" i="24"/>
  <c r="FD39" i="24" s="1"/>
  <c r="CS87" i="24"/>
  <c r="FD87" i="24" s="1"/>
  <c r="CN87" i="24"/>
  <c r="DA87" i="24" s="1"/>
  <c r="CZ291" i="24"/>
  <c r="CS111" i="24"/>
  <c r="FD111" i="24" s="1"/>
  <c r="CN111" i="24"/>
  <c r="DA111" i="24" s="1"/>
  <c r="CZ38" i="24"/>
  <c r="DT89" i="24"/>
  <c r="CZ60" i="24"/>
  <c r="CZ29" i="24"/>
  <c r="CZ58" i="24"/>
  <c r="CN10" i="24"/>
  <c r="DA10" i="24" s="1"/>
  <c r="CS10" i="24"/>
  <c r="FD10" i="24" s="1"/>
  <c r="CN280" i="24"/>
  <c r="DA280" i="24" s="1"/>
  <c r="CS280" i="24"/>
  <c r="FD280" i="24" s="1"/>
  <c r="CZ293" i="24"/>
  <c r="DT245" i="24"/>
  <c r="CS222" i="24"/>
  <c r="FD222" i="24" s="1"/>
  <c r="CN222" i="24"/>
  <c r="CS243" i="24"/>
  <c r="FD243" i="24" s="1"/>
  <c r="CN243" i="24"/>
  <c r="DA243" i="24" s="1"/>
  <c r="CZ143" i="24"/>
  <c r="CZ37" i="24"/>
  <c r="CZ170" i="24"/>
  <c r="CZ152" i="24"/>
  <c r="CZ27" i="24"/>
  <c r="DT254" i="24"/>
  <c r="CS292" i="24"/>
  <c r="FD292" i="24" s="1"/>
  <c r="CN292" i="24"/>
  <c r="DA292" i="24" s="1"/>
  <c r="CN265" i="24"/>
  <c r="CS265" i="24"/>
  <c r="FD265" i="24" s="1"/>
  <c r="CN312" i="24"/>
  <c r="DA312" i="24" s="1"/>
  <c r="CS312" i="24"/>
  <c r="FD312" i="24" s="1"/>
  <c r="CZ134" i="24"/>
  <c r="CS105" i="24"/>
  <c r="FD105" i="24" s="1"/>
  <c r="CN105" i="24"/>
  <c r="CZ169" i="24"/>
  <c r="DT102" i="24"/>
  <c r="DT93" i="24"/>
  <c r="CZ24" i="24"/>
  <c r="CZ46" i="24"/>
  <c r="DT269" i="24"/>
  <c r="CZ199" i="24"/>
  <c r="DT247" i="24"/>
  <c r="DT273" i="24"/>
  <c r="CS231" i="24"/>
  <c r="FD231" i="24" s="1"/>
  <c r="CN231" i="24"/>
  <c r="DA231" i="24" s="1"/>
  <c r="CN261" i="24"/>
  <c r="CS261" i="24"/>
  <c r="FD261" i="24" s="1"/>
  <c r="CZ220" i="24"/>
  <c r="CS184" i="24"/>
  <c r="FD184" i="24" s="1"/>
  <c r="CN184" i="24"/>
  <c r="CS100" i="24"/>
  <c r="FD100" i="24" s="1"/>
  <c r="CN100" i="24"/>
  <c r="DA100" i="24" s="1"/>
  <c r="CN165" i="24"/>
  <c r="DA165" i="24" s="1"/>
  <c r="CS165" i="24"/>
  <c r="FD165" i="24" s="1"/>
  <c r="CZ78" i="24"/>
  <c r="CN137" i="24"/>
  <c r="DA137" i="24" s="1"/>
  <c r="CS137" i="24"/>
  <c r="FD137" i="24" s="1"/>
  <c r="CN85" i="24"/>
  <c r="DA85" i="24" s="1"/>
  <c r="CS85" i="24"/>
  <c r="FD85" i="24" s="1"/>
  <c r="DT23" i="24"/>
  <c r="CN229" i="24"/>
  <c r="CS229" i="24"/>
  <c r="FD229" i="24" s="1"/>
  <c r="CZ195" i="24"/>
  <c r="CZ207" i="24"/>
  <c r="DT256" i="24"/>
  <c r="CN130" i="24"/>
  <c r="DA130" i="24" s="1"/>
  <c r="CS130" i="24"/>
  <c r="FD130" i="24" s="1"/>
  <c r="CZ79" i="24"/>
  <c r="CZ92" i="24"/>
  <c r="CN246" i="24"/>
  <c r="DA246" i="24" s="1"/>
  <c r="CS246" i="24"/>
  <c r="FD246" i="24" s="1"/>
  <c r="CS310" i="24"/>
  <c r="FD310" i="24" s="1"/>
  <c r="CN310" i="24"/>
  <c r="CS138" i="24"/>
  <c r="FD138" i="24" s="1"/>
  <c r="CN138" i="24"/>
  <c r="CN99" i="24"/>
  <c r="CS99" i="24"/>
  <c r="FD99" i="24" s="1"/>
  <c r="DT266" i="24"/>
  <c r="CZ39" i="24"/>
  <c r="DT293" i="24"/>
  <c r="CS185" i="24"/>
  <c r="FD185" i="24" s="1"/>
  <c r="CN185" i="24"/>
  <c r="DA185" i="24" s="1"/>
  <c r="CS279" i="24"/>
  <c r="FD279" i="24" s="1"/>
  <c r="CN279" i="24"/>
  <c r="CN112" i="24"/>
  <c r="CS112" i="24"/>
  <c r="FD112" i="24" s="1"/>
  <c r="CZ154" i="24"/>
  <c r="CS129" i="24"/>
  <c r="FD129" i="24" s="1"/>
  <c r="CN129" i="24"/>
  <c r="DA129" i="24" s="1"/>
  <c r="CZ166" i="24"/>
  <c r="CZ88" i="24"/>
  <c r="CZ97" i="24"/>
  <c r="CS56" i="24"/>
  <c r="FD56" i="24" s="1"/>
  <c r="CN56" i="24"/>
  <c r="DA56" i="24" s="1"/>
  <c r="CN55" i="24"/>
  <c r="CS55" i="24"/>
  <c r="FD55" i="24" s="1"/>
  <c r="CZ48" i="24"/>
  <c r="CZ22" i="24"/>
  <c r="CS254" i="24"/>
  <c r="FD254" i="24" s="1"/>
  <c r="CN254" i="24"/>
  <c r="CZ292" i="24"/>
  <c r="CZ241" i="24"/>
  <c r="DT275" i="24"/>
  <c r="CZ312" i="24"/>
  <c r="CS134" i="24"/>
  <c r="FD134" i="24" s="1"/>
  <c r="CN134" i="24"/>
  <c r="CN147" i="24"/>
  <c r="DA147" i="24" s="1"/>
  <c r="CS147" i="24"/>
  <c r="FD147" i="24" s="1"/>
  <c r="CS126" i="24"/>
  <c r="FD126" i="24" s="1"/>
  <c r="CN126" i="24"/>
  <c r="DA126" i="24" s="1"/>
  <c r="CN80" i="24"/>
  <c r="DA80" i="24" s="1"/>
  <c r="CS80" i="24"/>
  <c r="FD80" i="24" s="1"/>
  <c r="CS76" i="24"/>
  <c r="FD76" i="24" s="1"/>
  <c r="CN76" i="24"/>
  <c r="CZ93" i="24"/>
  <c r="CN8" i="24"/>
  <c r="DA8" i="24" s="1"/>
  <c r="CS8" i="24"/>
  <c r="FD8" i="24" s="1"/>
  <c r="CS24" i="24"/>
  <c r="FD24" i="24" s="1"/>
  <c r="CN24" i="24"/>
  <c r="DA24" i="24" s="1"/>
  <c r="DT46" i="24"/>
  <c r="DT252" i="24"/>
  <c r="CN273" i="24"/>
  <c r="DA273" i="24" s="1"/>
  <c r="CS273" i="24"/>
  <c r="FD273" i="24" s="1"/>
  <c r="DT231" i="24"/>
  <c r="CS270" i="24"/>
  <c r="FD270" i="24" s="1"/>
  <c r="CN270" i="24"/>
  <c r="DA270" i="24" s="1"/>
  <c r="CZ100" i="24"/>
  <c r="DT32" i="24"/>
  <c r="CZ63" i="24"/>
  <c r="DT85" i="24"/>
  <c r="DT51" i="24"/>
  <c r="DT13" i="24"/>
  <c r="CN23" i="24"/>
  <c r="DA23" i="24" s="1"/>
  <c r="CS23" i="24"/>
  <c r="FD23" i="24" s="1"/>
  <c r="DT61" i="24"/>
  <c r="CN316" i="24"/>
  <c r="DA316" i="24" s="1"/>
  <c r="CS316" i="24"/>
  <c r="FD316" i="24" s="1"/>
  <c r="DT295" i="24"/>
  <c r="DT229" i="24"/>
  <c r="CS180" i="24"/>
  <c r="FD180" i="24" s="1"/>
  <c r="CN180" i="24"/>
  <c r="DA180" i="24" s="1"/>
  <c r="CZ178" i="24"/>
  <c r="CS117" i="24"/>
  <c r="FD117" i="24" s="1"/>
  <c r="CN117" i="24"/>
  <c r="CZ142" i="24"/>
  <c r="CN31" i="24"/>
  <c r="DA31" i="24" s="1"/>
  <c r="CS31" i="24"/>
  <c r="FD31" i="24" s="1"/>
  <c r="CN79" i="24"/>
  <c r="CS79" i="24"/>
  <c r="FD79" i="24" s="1"/>
  <c r="CS92" i="24"/>
  <c r="FD92" i="24" s="1"/>
  <c r="CN92" i="24"/>
  <c r="DA92" i="24" s="1"/>
  <c r="DT313" i="24"/>
  <c r="DT246" i="24"/>
  <c r="CZ223" i="24"/>
  <c r="DT260" i="24"/>
  <c r="DT299" i="24"/>
  <c r="CZ239" i="24"/>
  <c r="DT271" i="24"/>
  <c r="DT310" i="24"/>
  <c r="CZ138" i="24"/>
  <c r="CZ140" i="24"/>
  <c r="CZ43" i="24"/>
  <c r="CN71" i="24"/>
  <c r="DA71" i="24" s="1"/>
  <c r="CS71" i="24"/>
  <c r="FD71" i="24" s="1"/>
  <c r="CZ42" i="24"/>
  <c r="DT87" i="24"/>
  <c r="CZ34" i="24"/>
  <c r="CS38" i="24"/>
  <c r="FD38" i="24" s="1"/>
  <c r="CN38" i="24"/>
  <c r="DA38" i="24" s="1"/>
  <c r="DT20" i="24"/>
  <c r="DT62" i="24"/>
  <c r="DT84" i="24"/>
  <c r="DT10" i="24"/>
  <c r="DT57" i="24"/>
  <c r="CZ280" i="24"/>
  <c r="CZ278" i="24"/>
  <c r="DT279" i="24"/>
  <c r="CN191" i="24"/>
  <c r="DA191" i="24" s="1"/>
  <c r="CS191" i="24"/>
  <c r="FD191" i="24" s="1"/>
  <c r="DT104" i="24"/>
  <c r="CS154" i="24"/>
  <c r="FD154" i="24" s="1"/>
  <c r="CN154" i="24"/>
  <c r="DA154" i="24" s="1"/>
  <c r="CZ182" i="24"/>
  <c r="CS166" i="24"/>
  <c r="FD166" i="24" s="1"/>
  <c r="CN166" i="24"/>
  <c r="DA166" i="24" s="1"/>
  <c r="CN97" i="24"/>
  <c r="CS97" i="24"/>
  <c r="FD97" i="24" s="1"/>
  <c r="CZ7" i="24"/>
  <c r="CZ56" i="24"/>
  <c r="CN19" i="24"/>
  <c r="DA19" i="24" s="1"/>
  <c r="CS19" i="24"/>
  <c r="FD19" i="24" s="1"/>
  <c r="DT55" i="24"/>
  <c r="DT48" i="24"/>
  <c r="CS22" i="24"/>
  <c r="FD22" i="24" s="1"/>
  <c r="CN22" i="24"/>
  <c r="DA22" i="24" s="1"/>
  <c r="DT265" i="24"/>
  <c r="DT312" i="24"/>
  <c r="CZ230" i="24"/>
  <c r="CZ155" i="24"/>
  <c r="CS33" i="24"/>
  <c r="FD33" i="24" s="1"/>
  <c r="CN33" i="24"/>
  <c r="DA33" i="24" s="1"/>
  <c r="DT16" i="24"/>
  <c r="CS46" i="24"/>
  <c r="FD46" i="24" s="1"/>
  <c r="CN46" i="24"/>
  <c r="CS252" i="24"/>
  <c r="FD252" i="24" s="1"/>
  <c r="CN252" i="24"/>
  <c r="DA252" i="24" s="1"/>
  <c r="CZ247" i="24"/>
  <c r="CZ231" i="24"/>
  <c r="CS197" i="24"/>
  <c r="FD197" i="24" s="1"/>
  <c r="CN197" i="24"/>
  <c r="DT220" i="24"/>
  <c r="CN101" i="24"/>
  <c r="CS101" i="24"/>
  <c r="FD101" i="24" s="1"/>
  <c r="CZ165" i="24"/>
  <c r="CN51" i="24"/>
  <c r="DA51" i="24" s="1"/>
  <c r="CS51" i="24"/>
  <c r="FD51" i="24" s="1"/>
  <c r="CZ23" i="24"/>
  <c r="CN61" i="24"/>
  <c r="DA61" i="24" s="1"/>
  <c r="CS61" i="24"/>
  <c r="FD61" i="24" s="1"/>
  <c r="DT28" i="24"/>
  <c r="DT316" i="24"/>
  <c r="CN295" i="24"/>
  <c r="DA295" i="24" s="1"/>
  <c r="CS295" i="24"/>
  <c r="FD295" i="24" s="1"/>
  <c r="CS195" i="24"/>
  <c r="FD195" i="24" s="1"/>
  <c r="CN195" i="24"/>
  <c r="DA195" i="24" s="1"/>
  <c r="CZ249" i="24"/>
  <c r="CZ180" i="24"/>
  <c r="CS178" i="24"/>
  <c r="FD178" i="24" s="1"/>
  <c r="CN178" i="24"/>
  <c r="DA178" i="24" s="1"/>
  <c r="CZ95" i="24"/>
  <c r="CZ256" i="24"/>
  <c r="CZ74" i="24"/>
  <c r="CZ31" i="24"/>
  <c r="CZ44" i="24"/>
  <c r="CZ96" i="24"/>
  <c r="CN12" i="24"/>
  <c r="DA12" i="24" s="1"/>
  <c r="CS12" i="24"/>
  <c r="FD12" i="24" s="1"/>
  <c r="DT92" i="24"/>
  <c r="CS196" i="24"/>
  <c r="FD196" i="24" s="1"/>
  <c r="CN196" i="24"/>
  <c r="DA196" i="24" s="1"/>
  <c r="CS223" i="24"/>
  <c r="FD223" i="24" s="1"/>
  <c r="CN223" i="24"/>
  <c r="DT225" i="24"/>
  <c r="DT239" i="24"/>
  <c r="CN271" i="24"/>
  <c r="CS271" i="24"/>
  <c r="FD271" i="24" s="1"/>
  <c r="CZ174" i="24"/>
  <c r="CS188" i="24"/>
  <c r="FD188" i="24" s="1"/>
  <c r="CN188" i="24"/>
  <c r="CZ151" i="24"/>
  <c r="CS140" i="24"/>
  <c r="FD140" i="24" s="1"/>
  <c r="CN140" i="24"/>
  <c r="DA140" i="24" s="1"/>
  <c r="CS266" i="24"/>
  <c r="FD266" i="24" s="1"/>
  <c r="CN266" i="24"/>
  <c r="CN127" i="24"/>
  <c r="DA127" i="24" s="1"/>
  <c r="CS127" i="24"/>
  <c r="FD127" i="24" s="1"/>
  <c r="CS42" i="24"/>
  <c r="FD42" i="24" s="1"/>
  <c r="CN42" i="24"/>
  <c r="DA42" i="24" s="1"/>
  <c r="CZ87" i="24"/>
  <c r="CN164" i="24"/>
  <c r="DA164" i="24" s="1"/>
  <c r="CS164" i="24"/>
  <c r="FD164" i="24" s="1"/>
  <c r="CZ193" i="24"/>
  <c r="CS156" i="24"/>
  <c r="FD156" i="24" s="1"/>
  <c r="CN156" i="24"/>
  <c r="CZ62" i="24"/>
  <c r="CS84" i="24"/>
  <c r="FD84" i="24" s="1"/>
  <c r="CN84" i="24"/>
  <c r="CS57" i="24"/>
  <c r="FD57" i="24" s="1"/>
  <c r="CN57" i="24"/>
  <c r="DA57" i="24" s="1"/>
  <c r="CS278" i="24"/>
  <c r="FD278" i="24" s="1"/>
  <c r="CN278" i="24"/>
  <c r="DA278" i="24" s="1"/>
  <c r="DT262" i="24"/>
  <c r="DT276" i="24"/>
  <c r="CS143" i="24"/>
  <c r="FD143" i="24" s="1"/>
  <c r="CN143" i="24"/>
  <c r="CS175" i="24"/>
  <c r="FD175" i="24" s="1"/>
  <c r="CN175" i="24"/>
  <c r="DA175" i="24" s="1"/>
  <c r="CN170" i="24"/>
  <c r="CS170" i="24"/>
  <c r="FD170" i="24" s="1"/>
  <c r="DT19" i="24"/>
  <c r="CS27" i="24"/>
  <c r="FD27" i="24" s="1"/>
  <c r="CN27" i="24"/>
  <c r="CZ274" i="24"/>
  <c r="CS202" i="24"/>
  <c r="FD202" i="24" s="1"/>
  <c r="CN202" i="24"/>
  <c r="CS308" i="24"/>
  <c r="FD308" i="24" s="1"/>
  <c r="CN308" i="24"/>
  <c r="DA308" i="24" s="1"/>
  <c r="DT292" i="24"/>
  <c r="DT241" i="24"/>
  <c r="DT230" i="24"/>
  <c r="CZ186" i="24"/>
  <c r="DT105" i="24"/>
  <c r="CZ173" i="24"/>
  <c r="CN155" i="24"/>
  <c r="DA155" i="24" s="1"/>
  <c r="CS155" i="24"/>
  <c r="FD155" i="24" s="1"/>
  <c r="DT33" i="24"/>
  <c r="CS54" i="24"/>
  <c r="FD54" i="24" s="1"/>
  <c r="CN54" i="24"/>
  <c r="CS65" i="24"/>
  <c r="FD65" i="24" s="1"/>
  <c r="CN65" i="24"/>
  <c r="CZ304" i="24"/>
  <c r="CZ303" i="24"/>
  <c r="DT270" i="24"/>
  <c r="CN288" i="24"/>
  <c r="DA288" i="24" s="1"/>
  <c r="CS288" i="24"/>
  <c r="FD288" i="24" s="1"/>
  <c r="CZ181" i="24"/>
  <c r="DT101" i="24"/>
  <c r="CS144" i="24"/>
  <c r="FD144" i="24" s="1"/>
  <c r="CN144" i="24"/>
  <c r="CZ159" i="24"/>
  <c r="CZ68" i="24"/>
  <c r="CZ137" i="24"/>
  <c r="DT63" i="24"/>
  <c r="CZ51" i="24"/>
  <c r="CZ13" i="24"/>
  <c r="CS35" i="24"/>
  <c r="FD35" i="24" s="1"/>
  <c r="CN35" i="24"/>
  <c r="DA35" i="24" s="1"/>
  <c r="CZ61" i="24"/>
  <c r="CZ316" i="24"/>
  <c r="CS251" i="24"/>
  <c r="FD251" i="24" s="1"/>
  <c r="CN251" i="24"/>
  <c r="DA251" i="24" s="1"/>
  <c r="CZ295" i="24"/>
  <c r="CN227" i="24"/>
  <c r="CS227" i="24"/>
  <c r="FD227" i="24" s="1"/>
  <c r="CZ301" i="24"/>
  <c r="CS95" i="24"/>
  <c r="FD95" i="24" s="1"/>
  <c r="CN95" i="24"/>
  <c r="CZ49" i="24"/>
  <c r="CN239" i="24"/>
  <c r="CS239" i="24"/>
  <c r="FD239" i="24" s="1"/>
  <c r="CZ315" i="24"/>
  <c r="CS201" i="24"/>
  <c r="FD201" i="24" s="1"/>
  <c r="CN201" i="24"/>
  <c r="CZ176" i="24"/>
  <c r="CN114" i="24"/>
  <c r="CS114" i="24"/>
  <c r="FD114" i="24" s="1"/>
  <c r="CS174" i="24"/>
  <c r="FD174" i="24" s="1"/>
  <c r="CN174" i="24"/>
  <c r="CZ124" i="24"/>
  <c r="CZ69" i="24"/>
  <c r="DT39" i="24"/>
  <c r="CN91" i="24"/>
  <c r="CS91" i="24"/>
  <c r="FD91" i="24" s="1"/>
  <c r="DT42" i="24"/>
  <c r="CZ53" i="24"/>
  <c r="DT34" i="24"/>
  <c r="CZ204" i="24"/>
  <c r="CS293" i="24"/>
  <c r="FD293" i="24" s="1"/>
  <c r="CN293" i="24"/>
  <c r="DA293" i="24" s="1"/>
  <c r="CS276" i="24"/>
  <c r="FD276" i="24" s="1"/>
  <c r="CN276" i="24"/>
  <c r="CZ191" i="24"/>
  <c r="CZ228" i="24"/>
  <c r="CS182" i="24"/>
  <c r="FD182" i="24" s="1"/>
  <c r="CN182" i="24"/>
  <c r="CZ129" i="24"/>
  <c r="CN82" i="24"/>
  <c r="DA82" i="24" s="1"/>
  <c r="CS82" i="24"/>
  <c r="FD82" i="24" s="1"/>
  <c r="CN88" i="24"/>
  <c r="CS88" i="24"/>
  <c r="FD88" i="24" s="1"/>
  <c r="DT97" i="24"/>
  <c r="DT56" i="24"/>
  <c r="CZ308" i="24"/>
  <c r="CS241" i="24"/>
  <c r="FD241" i="24" s="1"/>
  <c r="CN241" i="24"/>
  <c r="CZ210" i="24"/>
  <c r="CN230" i="24"/>
  <c r="DA230" i="24" s="1"/>
  <c r="CS230" i="24"/>
  <c r="FD230" i="24" s="1"/>
  <c r="CN183" i="24"/>
  <c r="DA183" i="24" s="1"/>
  <c r="CS183" i="24"/>
  <c r="FD183" i="24" s="1"/>
  <c r="CZ147" i="24"/>
  <c r="CZ33" i="24"/>
  <c r="DT76" i="24"/>
  <c r="CN90" i="24"/>
  <c r="CS90" i="24"/>
  <c r="FD90" i="24" s="1"/>
  <c r="DT8" i="24"/>
  <c r="CZ25" i="24"/>
  <c r="DT24" i="24"/>
  <c r="DT65" i="24"/>
  <c r="CZ269" i="24"/>
  <c r="CN199" i="24"/>
  <c r="DA199" i="24" s="1"/>
  <c r="CS199" i="24"/>
  <c r="FD199" i="24" s="1"/>
  <c r="DT303" i="24"/>
  <c r="CN181" i="24"/>
  <c r="CS181" i="24"/>
  <c r="FD181" i="24" s="1"/>
  <c r="CN131" i="24"/>
  <c r="DA131" i="24" s="1"/>
  <c r="CS131" i="24"/>
  <c r="FD131" i="24" s="1"/>
  <c r="DT100" i="24"/>
  <c r="CN121" i="24"/>
  <c r="DA121" i="24" s="1"/>
  <c r="CS121" i="24"/>
  <c r="FD121" i="24" s="1"/>
  <c r="DT78" i="24"/>
  <c r="CS159" i="24"/>
  <c r="FD159" i="24" s="1"/>
  <c r="CN159" i="24"/>
  <c r="CS63" i="24"/>
  <c r="FD63" i="24" s="1"/>
  <c r="CN63" i="24"/>
  <c r="CZ35" i="24"/>
  <c r="DT251" i="24"/>
  <c r="CS301" i="24"/>
  <c r="FD301" i="24" s="1"/>
  <c r="CN301" i="24"/>
  <c r="DA301" i="24" s="1"/>
  <c r="CN249" i="24"/>
  <c r="CS249" i="24"/>
  <c r="FD249" i="24" s="1"/>
  <c r="CN256" i="24"/>
  <c r="CS256" i="24"/>
  <c r="FD256" i="24" s="1"/>
  <c r="CS49" i="24"/>
  <c r="FD49" i="24" s="1"/>
  <c r="CN49" i="24"/>
  <c r="DA49" i="24" s="1"/>
  <c r="CZ12" i="24"/>
  <c r="CZ77" i="24"/>
  <c r="CZ26" i="24"/>
  <c r="CZ196" i="24"/>
  <c r="CN260" i="24"/>
  <c r="DA260" i="24" s="1"/>
  <c r="CS260" i="24"/>
  <c r="FD260" i="24" s="1"/>
  <c r="CN315" i="24"/>
  <c r="CS315" i="24"/>
  <c r="FD315" i="24" s="1"/>
  <c r="CZ237" i="24"/>
  <c r="CS151" i="24"/>
  <c r="FD151" i="24" s="1"/>
  <c r="CN151" i="24"/>
  <c r="DA151" i="24" s="1"/>
  <c r="CN168" i="24"/>
  <c r="CS168" i="24"/>
  <c r="FD168" i="24" s="1"/>
  <c r="CN53" i="24"/>
  <c r="DA53" i="24" s="1"/>
  <c r="CS53" i="24"/>
  <c r="FD53" i="24" s="1"/>
  <c r="CS34" i="24"/>
  <c r="FD34" i="24" s="1"/>
  <c r="CN34" i="24"/>
  <c r="DA34" i="24" s="1"/>
  <c r="CN62" i="24"/>
  <c r="DA62" i="24" s="1"/>
  <c r="CS62" i="24"/>
  <c r="FD62" i="24" s="1"/>
  <c r="CZ10" i="24"/>
  <c r="DT17" i="24"/>
  <c r="DT278" i="24"/>
  <c r="CS204" i="24"/>
  <c r="FD204" i="24" s="1"/>
  <c r="CN204" i="24"/>
  <c r="DA204" i="24" s="1"/>
  <c r="CN245" i="24"/>
  <c r="CS245" i="24"/>
  <c r="FD245" i="24" s="1"/>
  <c r="CN235" i="24"/>
  <c r="CS235" i="24"/>
  <c r="FD235" i="24" s="1"/>
  <c r="CZ243" i="24"/>
  <c r="CS228" i="24"/>
  <c r="FD228" i="24" s="1"/>
  <c r="CN228" i="24"/>
  <c r="CZ175" i="24"/>
  <c r="CZ104" i="24"/>
  <c r="CZ82" i="24"/>
  <c r="DT88" i="24"/>
  <c r="CS7" i="24"/>
  <c r="FD7" i="24" s="1"/>
  <c r="CN7" i="24"/>
  <c r="DA7" i="24" s="1"/>
  <c r="CZ19" i="24"/>
  <c r="DT27" i="24"/>
  <c r="CZ67" i="24"/>
  <c r="CS48" i="24"/>
  <c r="FD48" i="24" s="1"/>
  <c r="CN48" i="24"/>
  <c r="DA48" i="24" s="1"/>
  <c r="CS274" i="24"/>
  <c r="FD274" i="24" s="1"/>
  <c r="CN274" i="24"/>
  <c r="DT248" i="24"/>
  <c r="DT305" i="24"/>
  <c r="CN210" i="24"/>
  <c r="CS210" i="24"/>
  <c r="FD210" i="24" s="1"/>
  <c r="CZ275" i="24"/>
  <c r="CN169" i="24"/>
  <c r="DA169" i="24" s="1"/>
  <c r="CS169" i="24"/>
  <c r="FD169" i="24" s="1"/>
  <c r="CZ102" i="24"/>
  <c r="CZ126" i="24"/>
  <c r="CZ80" i="24"/>
  <c r="CS149" i="24"/>
  <c r="FD149" i="24" s="1"/>
  <c r="CN149" i="24"/>
  <c r="DA149" i="24" s="1"/>
  <c r="DT90" i="24"/>
  <c r="DT25" i="24"/>
  <c r="CZ16" i="24"/>
  <c r="CS304" i="24"/>
  <c r="FD304" i="24" s="1"/>
  <c r="CN304" i="24"/>
  <c r="DT261" i="24"/>
  <c r="CZ270" i="24"/>
  <c r="DT288" i="24"/>
  <c r="CZ160" i="24"/>
  <c r="CS135" i="24"/>
  <c r="FD135" i="24" s="1"/>
  <c r="CN135" i="24"/>
  <c r="DA135" i="24" s="1"/>
  <c r="CZ121" i="24"/>
  <c r="CZ85" i="24"/>
  <c r="CN13" i="24"/>
  <c r="DA13" i="24" s="1"/>
  <c r="CS13" i="24"/>
  <c r="FD13" i="24" s="1"/>
  <c r="CS94" i="24"/>
  <c r="FD94" i="24" s="1"/>
  <c r="CN94" i="24"/>
  <c r="CZ251" i="24"/>
  <c r="CS198" i="24"/>
  <c r="FD198" i="24" s="1"/>
  <c r="CN198" i="24"/>
  <c r="DA198" i="24" s="1"/>
  <c r="DT227" i="24"/>
  <c r="CZ268" i="24"/>
  <c r="DT301" i="24"/>
  <c r="CZ257" i="24"/>
  <c r="DT249" i="24"/>
  <c r="CZ272" i="24"/>
  <c r="CZ125" i="24"/>
  <c r="DT95" i="24"/>
  <c r="CN128" i="24"/>
  <c r="DA128" i="24" s="1"/>
  <c r="CS128" i="24"/>
  <c r="FD128" i="24" s="1"/>
  <c r="CN158" i="24"/>
  <c r="CS158" i="24"/>
  <c r="FD158" i="24" s="1"/>
  <c r="CS145" i="24"/>
  <c r="FD145" i="24" s="1"/>
  <c r="CN145" i="24"/>
  <c r="CZ218" i="24"/>
  <c r="DT79" i="24"/>
  <c r="DT49" i="24"/>
  <c r="CN96" i="24"/>
  <c r="CS96" i="24"/>
  <c r="FD96" i="24" s="1"/>
  <c r="DT77" i="24"/>
  <c r="CZ59" i="24"/>
  <c r="CN26" i="24"/>
  <c r="DA26" i="24" s="1"/>
  <c r="CS26" i="24"/>
  <c r="FD26" i="24" s="1"/>
  <c r="CZ290" i="24"/>
  <c r="DT315" i="24"/>
  <c r="CN176" i="24"/>
  <c r="DA176" i="24" s="1"/>
  <c r="CS176" i="24"/>
  <c r="FD176" i="24" s="1"/>
  <c r="DT99" i="24"/>
  <c r="CZ71" i="24"/>
  <c r="CS11" i="24"/>
  <c r="FD11" i="24" s="1"/>
  <c r="CN11" i="24"/>
  <c r="Q5" i="29"/>
  <c r="BC7" i="19"/>
  <c r="K77" i="23"/>
  <c r="M77" i="23" s="1"/>
  <c r="B233" i="2"/>
  <c r="BK6" i="19"/>
  <c r="BB6" i="19"/>
  <c r="BH7" i="19"/>
  <c r="BF6" i="19"/>
  <c r="BK7" i="19"/>
  <c r="BS7" i="19"/>
  <c r="BF9" i="19"/>
  <c r="BH9" i="19"/>
  <c r="BD9" i="19"/>
  <c r="BA6" i="19"/>
  <c r="BI6" i="19"/>
  <c r="BD6" i="19"/>
  <c r="AZ7" i="19"/>
  <c r="BL7" i="19" s="1"/>
  <c r="BM7" i="19" s="1"/>
  <c r="BZ7" i="19" s="1"/>
  <c r="BG7" i="19"/>
  <c r="BJ7" i="19"/>
  <c r="BS6" i="19"/>
  <c r="AZ6" i="19"/>
  <c r="BL6" i="19" s="1"/>
  <c r="BM6" i="19" s="1"/>
  <c r="BZ6" i="19" s="1"/>
  <c r="BG6" i="19"/>
  <c r="BB7" i="19"/>
  <c r="BF7" i="19"/>
  <c r="BA7" i="19"/>
  <c r="BC6" i="19"/>
  <c r="BH6" i="19"/>
  <c r="BE6" i="19"/>
  <c r="BE7" i="19"/>
  <c r="BI7" i="19"/>
  <c r="BB9" i="19"/>
  <c r="BI9" i="19"/>
  <c r="BB8" i="19"/>
  <c r="BS8" i="19"/>
  <c r="BJ9" i="19"/>
  <c r="BS9" i="19"/>
  <c r="BK8" i="19"/>
  <c r="AZ9" i="19"/>
  <c r="BL9" i="19" s="1"/>
  <c r="BM9" i="19" s="1"/>
  <c r="BZ9" i="19" s="1"/>
  <c r="BD8" i="19"/>
  <c r="BE8" i="19"/>
  <c r="BG8" i="19"/>
  <c r="BE9" i="19"/>
  <c r="BA9" i="19"/>
  <c r="BG9" i="19"/>
  <c r="BH8" i="19"/>
  <c r="BI8" i="19"/>
  <c r="BF8" i="19"/>
  <c r="AZ8" i="19"/>
  <c r="BL8" i="19" s="1"/>
  <c r="BM8" i="19" s="1"/>
  <c r="BZ8" i="19" s="1"/>
  <c r="BK9" i="19"/>
  <c r="BC9" i="19"/>
  <c r="BA8" i="19"/>
  <c r="BJ8" i="19"/>
  <c r="K67" i="23"/>
  <c r="M67" i="23" s="1"/>
  <c r="L103" i="23"/>
  <c r="M103" i="23" s="1"/>
  <c r="L88" i="23"/>
  <c r="M88" i="23" s="1"/>
  <c r="K20" i="23"/>
  <c r="M20" i="23" s="1"/>
  <c r="K63" i="23"/>
  <c r="M63" i="23" s="1"/>
  <c r="L49" i="23"/>
  <c r="M49" i="23" s="1"/>
  <c r="K84" i="23"/>
  <c r="M84" i="23" s="1"/>
  <c r="L60" i="23"/>
  <c r="M60" i="23" s="1"/>
  <c r="L100" i="23"/>
  <c r="M100" i="23" s="1"/>
  <c r="L24" i="23"/>
  <c r="M24" i="23" s="1"/>
  <c r="K42" i="23"/>
  <c r="M42" i="23" s="1"/>
  <c r="K66" i="23"/>
  <c r="M66" i="23" s="1"/>
  <c r="K74" i="23"/>
  <c r="M74" i="23" s="1"/>
  <c r="K58" i="23"/>
  <c r="M58" i="23" s="1"/>
  <c r="K93" i="23"/>
  <c r="M93" i="23" s="1"/>
  <c r="L57" i="23"/>
  <c r="M57" i="23" s="1"/>
  <c r="L72" i="23"/>
  <c r="M72" i="23" s="1"/>
  <c r="K65" i="23"/>
  <c r="M65" i="23" s="1"/>
  <c r="L95" i="23"/>
  <c r="M95" i="23" s="1"/>
  <c r="M11" i="23"/>
  <c r="M99" i="23"/>
  <c r="M27" i="23"/>
  <c r="M19" i="23"/>
  <c r="M56" i="23"/>
  <c r="M8" i="23"/>
  <c r="M87" i="23"/>
  <c r="M55" i="23"/>
  <c r="M75" i="23"/>
  <c r="M12" i="23"/>
  <c r="M47" i="23"/>
  <c r="M43" i="23"/>
  <c r="M6" i="23"/>
  <c r="L97" i="23"/>
  <c r="M97" i="23" s="1"/>
  <c r="K83" i="23"/>
  <c r="M83" i="23" s="1"/>
  <c r="M98" i="23"/>
  <c r="M62" i="23"/>
  <c r="M46" i="23"/>
  <c r="M76" i="23"/>
  <c r="M78" i="23"/>
  <c r="M54" i="23"/>
  <c r="M81" i="23"/>
  <c r="M85" i="23"/>
  <c r="M50" i="23"/>
  <c r="M53" i="23"/>
  <c r="M101" i="23"/>
  <c r="M45" i="23"/>
  <c r="M34" i="23"/>
  <c r="M36" i="23"/>
  <c r="M28" i="23"/>
  <c r="M9" i="23"/>
  <c r="M33" i="23"/>
  <c r="M30" i="23"/>
  <c r="M90" i="23"/>
  <c r="M10" i="23"/>
  <c r="M94" i="23"/>
  <c r="M68" i="23"/>
  <c r="M70" i="23"/>
  <c r="M106" i="23"/>
  <c r="M41" i="23"/>
  <c r="M37" i="23"/>
  <c r="M44" i="23"/>
  <c r="M32" i="23"/>
  <c r="M23" i="23"/>
  <c r="M48" i="23"/>
  <c r="M64" i="23"/>
  <c r="M15" i="23"/>
  <c r="M40" i="23"/>
  <c r="M80" i="23"/>
  <c r="M31" i="23"/>
  <c r="M91" i="23"/>
  <c r="M7" i="23"/>
  <c r="M96" i="23"/>
  <c r="M51" i="23"/>
  <c r="M71" i="23"/>
  <c r="M39" i="23"/>
  <c r="M79" i="23"/>
  <c r="M104" i="23"/>
  <c r="M59" i="23"/>
  <c r="M16" i="23"/>
  <c r="M35" i="23"/>
  <c r="M18" i="23"/>
  <c r="M105" i="23"/>
  <c r="M86" i="23"/>
  <c r="M52" i="23"/>
  <c r="M89" i="23"/>
  <c r="M38" i="23"/>
  <c r="M25" i="23"/>
  <c r="M61" i="23"/>
  <c r="M82" i="23"/>
  <c r="M14" i="23"/>
  <c r="M29" i="23"/>
  <c r="M69" i="23"/>
  <c r="M17" i="23"/>
  <c r="M21" i="23"/>
  <c r="M22" i="23"/>
  <c r="M92" i="23"/>
  <c r="M73" i="23"/>
  <c r="M13" i="23"/>
  <c r="M102" i="23"/>
  <c r="M26" i="23"/>
  <c r="B228" i="2"/>
  <c r="A269" i="2"/>
  <c r="D48" i="16"/>
  <c r="B229" i="2"/>
  <c r="D49" i="16"/>
  <c r="DC85" i="24" l="1"/>
  <c r="DC58" i="24"/>
  <c r="DC29" i="24"/>
  <c r="E76" i="1"/>
  <c r="E77" i="1" s="1"/>
  <c r="F76" i="1"/>
  <c r="DC25" i="24"/>
  <c r="DC87" i="24"/>
  <c r="DC74" i="24"/>
  <c r="DC19" i="24"/>
  <c r="DC45" i="24"/>
  <c r="DC82" i="24"/>
  <c r="DC73" i="24"/>
  <c r="DC77" i="24"/>
  <c r="DC67" i="24"/>
  <c r="DB210" i="25"/>
  <c r="DC43" i="24"/>
  <c r="DC23" i="24"/>
  <c r="DC35" i="24"/>
  <c r="DC80" i="24"/>
  <c r="DC93" i="24"/>
  <c r="DC16" i="24"/>
  <c r="DC9" i="24"/>
  <c r="DC104" i="24"/>
  <c r="DC12" i="24"/>
  <c r="DC33" i="24"/>
  <c r="DC102" i="24"/>
  <c r="DC10" i="24"/>
  <c r="DC31" i="24"/>
  <c r="DC61" i="24"/>
  <c r="DC32" i="24"/>
  <c r="DC59" i="24"/>
  <c r="DC60" i="24"/>
  <c r="DC30" i="24"/>
  <c r="DC20" i="24"/>
  <c r="DC51" i="24"/>
  <c r="DC44" i="24"/>
  <c r="DC6" i="24"/>
  <c r="DC21" i="24"/>
  <c r="DC68" i="24"/>
  <c r="DC24" i="24"/>
  <c r="DC36" i="24"/>
  <c r="DC75" i="24"/>
  <c r="DC22" i="24"/>
  <c r="DC86" i="24"/>
  <c r="DC53" i="24"/>
  <c r="DC62" i="24"/>
  <c r="DC48" i="24"/>
  <c r="DC13" i="24"/>
  <c r="DC26" i="24"/>
  <c r="DC49" i="24"/>
  <c r="DC34" i="24"/>
  <c r="DC100" i="24"/>
  <c r="DC39" i="24"/>
  <c r="DC78" i="24"/>
  <c r="DC57" i="24"/>
  <c r="CZ110" i="25"/>
  <c r="DB110" i="25" s="1"/>
  <c r="DC56" i="24"/>
  <c r="DC42" i="24"/>
  <c r="DC92" i="24"/>
  <c r="DC37" i="24"/>
  <c r="DC38" i="24"/>
  <c r="DC8" i="24"/>
  <c r="DC103" i="24"/>
  <c r="DC47" i="24"/>
  <c r="DA110" i="25"/>
  <c r="DD110" i="25" s="1"/>
  <c r="DE110" i="25" s="1"/>
  <c r="DF110" i="25" s="1"/>
  <c r="DM110" i="25" s="1"/>
  <c r="DW110" i="25" s="1"/>
  <c r="DC71" i="24"/>
  <c r="DC69" i="24"/>
  <c r="DC7" i="24"/>
  <c r="DM101" i="25"/>
  <c r="DW101" i="25" s="1"/>
  <c r="K345" i="29"/>
  <c r="K107" i="29"/>
  <c r="K578" i="29"/>
  <c r="L563" i="29"/>
  <c r="L532" i="29"/>
  <c r="K493" i="29"/>
  <c r="K433" i="29"/>
  <c r="K405" i="29"/>
  <c r="L438" i="29"/>
  <c r="L23" i="29"/>
  <c r="L603" i="29"/>
  <c r="L566" i="29"/>
  <c r="K503" i="29"/>
  <c r="L482" i="29"/>
  <c r="K492" i="29"/>
  <c r="K411" i="29"/>
  <c r="L429" i="29"/>
  <c r="L344" i="29"/>
  <c r="L601" i="29"/>
  <c r="K575" i="29"/>
  <c r="K565" i="29"/>
  <c r="L536" i="29"/>
  <c r="L485" i="29"/>
  <c r="L31" i="29"/>
  <c r="L607" i="29"/>
  <c r="L571" i="29"/>
  <c r="K543" i="29"/>
  <c r="K526" i="29"/>
  <c r="K474" i="29"/>
  <c r="L443" i="29"/>
  <c r="K396" i="29"/>
  <c r="K386" i="29"/>
  <c r="K79" i="29"/>
  <c r="K582" i="29"/>
  <c r="K555" i="29"/>
  <c r="K522" i="29"/>
  <c r="L476" i="29"/>
  <c r="K449" i="29"/>
  <c r="L424" i="29"/>
  <c r="K383" i="29"/>
  <c r="K336" i="29"/>
  <c r="L600" i="29"/>
  <c r="K574" i="29"/>
  <c r="L539" i="29"/>
  <c r="L500" i="29"/>
  <c r="K467" i="29"/>
  <c r="K428" i="29"/>
  <c r="L442" i="29"/>
  <c r="L410" i="29"/>
  <c r="K126" i="29"/>
  <c r="K604" i="29"/>
  <c r="K547" i="29"/>
  <c r="K514" i="29"/>
  <c r="L468" i="29"/>
  <c r="K441" i="29"/>
  <c r="K414" i="29"/>
  <c r="K375" i="29"/>
  <c r="K328" i="29"/>
  <c r="K442" i="29"/>
  <c r="L314" i="29"/>
  <c r="K317" i="29"/>
  <c r="L249" i="29"/>
  <c r="K271" i="29"/>
  <c r="K217" i="29"/>
  <c r="K183" i="29"/>
  <c r="L188" i="29"/>
  <c r="K154" i="29"/>
  <c r="K26" i="29"/>
  <c r="K451" i="29"/>
  <c r="K319" i="29"/>
  <c r="L332" i="29"/>
  <c r="K234" i="29"/>
  <c r="L278" i="29"/>
  <c r="L217" i="29"/>
  <c r="L183" i="29"/>
  <c r="L194" i="29"/>
  <c r="L97" i="29"/>
  <c r="L99" i="29"/>
  <c r="K516" i="29"/>
  <c r="L343" i="29"/>
  <c r="K296" i="29"/>
  <c r="L277" i="29"/>
  <c r="K243" i="29"/>
  <c r="L609" i="29"/>
  <c r="K596" i="29"/>
  <c r="K525" i="29"/>
  <c r="K513" i="29"/>
  <c r="K500" i="29"/>
  <c r="L456" i="29"/>
  <c r="K373" i="29"/>
  <c r="L398" i="29"/>
  <c r="L52" i="29"/>
  <c r="L593" i="29"/>
  <c r="L547" i="29"/>
  <c r="L510" i="29"/>
  <c r="K497" i="29"/>
  <c r="K461" i="29"/>
  <c r="L433" i="29"/>
  <c r="K395" i="29"/>
  <c r="K348" i="29"/>
  <c r="L612" i="29"/>
  <c r="L574" i="29"/>
  <c r="K524" i="29"/>
  <c r="L515" i="29"/>
  <c r="K485" i="29"/>
  <c r="K54" i="29"/>
  <c r="K599" i="29"/>
  <c r="L567" i="29"/>
  <c r="K530" i="29"/>
  <c r="K506" i="29"/>
  <c r="K478" i="29"/>
  <c r="L411" i="29"/>
  <c r="L412" i="29"/>
  <c r="L397" i="29"/>
  <c r="K602" i="29"/>
  <c r="L568" i="29"/>
  <c r="K541" i="29"/>
  <c r="L509" i="29"/>
  <c r="K472" i="29"/>
  <c r="K417" i="29"/>
  <c r="K389" i="29"/>
  <c r="K416" i="29"/>
  <c r="L39" i="29"/>
  <c r="L599" i="29"/>
  <c r="K568" i="29"/>
  <c r="K535" i="29"/>
  <c r="K508" i="29"/>
  <c r="K466" i="29"/>
  <c r="L435" i="29"/>
  <c r="K388" i="29"/>
  <c r="K378" i="29"/>
  <c r="K594" i="29"/>
  <c r="L560" i="29"/>
  <c r="K533" i="29"/>
  <c r="K521" i="29"/>
  <c r="K464" i="29"/>
  <c r="K409" i="29"/>
  <c r="K381" i="29"/>
  <c r="K404" i="29"/>
  <c r="L581" i="29"/>
  <c r="L422" i="29"/>
  <c r="L341" i="29"/>
  <c r="K314" i="29"/>
  <c r="K275" i="29"/>
  <c r="K239" i="29"/>
  <c r="K185" i="29"/>
  <c r="K162" i="29"/>
  <c r="L142" i="29"/>
  <c r="L116" i="29"/>
  <c r="L24" i="29"/>
  <c r="K377" i="29"/>
  <c r="L342" i="29"/>
  <c r="K303" i="29"/>
  <c r="L275" i="29"/>
  <c r="L243" i="29"/>
  <c r="L185" i="29"/>
  <c r="K211" i="29"/>
  <c r="K147" i="29"/>
  <c r="L65" i="29"/>
  <c r="L67" i="29"/>
  <c r="L448" i="29"/>
  <c r="K85" i="29"/>
  <c r="K189" i="29"/>
  <c r="K142" i="29"/>
  <c r="K597" i="29"/>
  <c r="K585" i="29"/>
  <c r="K532" i="29"/>
  <c r="L504" i="29"/>
  <c r="K502" i="29"/>
  <c r="K448" i="29"/>
  <c r="L392" i="29"/>
  <c r="K454" i="29"/>
  <c r="K44" i="29"/>
  <c r="K577" i="29"/>
  <c r="K561" i="29"/>
  <c r="L521" i="29"/>
  <c r="L489" i="29"/>
  <c r="K429" i="29"/>
  <c r="K401" i="29"/>
  <c r="L430" i="29"/>
  <c r="L43" i="29"/>
  <c r="K627" i="29"/>
  <c r="K572" i="29"/>
  <c r="L545" i="29"/>
  <c r="L480" i="29"/>
  <c r="L478" i="29"/>
  <c r="K101" i="29"/>
  <c r="L591" i="29"/>
  <c r="L558" i="29"/>
  <c r="L534" i="29"/>
  <c r="K512" i="29"/>
  <c r="K480" i="29"/>
  <c r="K435" i="29"/>
  <c r="L379" i="29"/>
  <c r="L368" i="29"/>
  <c r="K613" i="29"/>
  <c r="K567" i="29"/>
  <c r="L549" i="29"/>
  <c r="L520" i="29"/>
  <c r="L471" i="29"/>
  <c r="L474" i="29"/>
  <c r="K418" i="29"/>
  <c r="L382" i="29"/>
  <c r="K86" i="29"/>
  <c r="K588" i="29"/>
  <c r="K553" i="29"/>
  <c r="L541" i="29"/>
  <c r="K499" i="29"/>
  <c r="L473" i="29"/>
  <c r="K459" i="29"/>
  <c r="L403" i="29"/>
  <c r="L389" i="29"/>
  <c r="K605" i="29"/>
  <c r="K559" i="29"/>
  <c r="K540" i="29"/>
  <c r="L512" i="29"/>
  <c r="L463" i="29"/>
  <c r="K456" i="29"/>
  <c r="L400" i="29"/>
  <c r="L374" i="29"/>
  <c r="L589" i="29"/>
  <c r="L401" i="29"/>
  <c r="K329" i="29"/>
  <c r="K286" i="29"/>
  <c r="K241" i="29"/>
  <c r="L242" i="29"/>
  <c r="L220" i="29"/>
  <c r="K157" i="29"/>
  <c r="L110" i="29"/>
  <c r="L84" i="29"/>
  <c r="L613" i="29"/>
  <c r="L395" i="29"/>
  <c r="L369" i="29"/>
  <c r="K311" i="29"/>
  <c r="L245" i="29"/>
  <c r="K267" i="29"/>
  <c r="K213" i="29"/>
  <c r="K179" i="29"/>
  <c r="L170" i="29"/>
  <c r="K146" i="29"/>
  <c r="K38" i="29"/>
  <c r="K439" i="29"/>
  <c r="K315" i="29"/>
  <c r="L331" i="29"/>
  <c r="K230" i="29"/>
  <c r="K45" i="29"/>
  <c r="K81" i="29"/>
  <c r="K446" i="29"/>
  <c r="L35" i="29"/>
  <c r="I633" i="29"/>
  <c r="K562" i="29"/>
  <c r="L527" i="29"/>
  <c r="L488" i="29"/>
  <c r="L505" i="29"/>
  <c r="L455" i="29"/>
  <c r="L417" i="29"/>
  <c r="K398" i="29"/>
  <c r="L605" i="29"/>
  <c r="L585" i="29"/>
  <c r="L578" i="29"/>
  <c r="K509" i="29"/>
  <c r="K489" i="29"/>
  <c r="L452" i="29"/>
  <c r="K450" i="29"/>
  <c r="L394" i="29"/>
  <c r="K70" i="29"/>
  <c r="K607" i="29"/>
  <c r="L573" i="29"/>
  <c r="K534" i="29"/>
  <c r="L487" i="29"/>
  <c r="L479" i="29"/>
  <c r="K20" i="29"/>
  <c r="L595" i="29"/>
  <c r="K556" i="29"/>
  <c r="L544" i="29"/>
  <c r="L502" i="29"/>
  <c r="L457" i="29"/>
  <c r="L470" i="29"/>
  <c r="L421" i="29"/>
  <c r="L372" i="29"/>
  <c r="L604" i="29"/>
  <c r="K583" i="29"/>
  <c r="L543" i="29"/>
  <c r="L503" i="29"/>
  <c r="K471" i="29"/>
  <c r="K432" i="29"/>
  <c r="L376" i="29"/>
  <c r="K420" i="29"/>
  <c r="K103" i="29"/>
  <c r="K591" i="29"/>
  <c r="L548" i="29"/>
  <c r="K519" i="29"/>
  <c r="L498" i="29"/>
  <c r="K477" i="29"/>
  <c r="K427" i="29"/>
  <c r="L371" i="29"/>
  <c r="L360" i="29"/>
  <c r="L596" i="29"/>
  <c r="K570" i="29"/>
  <c r="L535" i="29"/>
  <c r="L496" i="29"/>
  <c r="K463" i="29"/>
  <c r="K424" i="29"/>
  <c r="K434" i="29"/>
  <c r="K406" i="29"/>
  <c r="K510" i="29"/>
  <c r="K324" i="29"/>
  <c r="L284" i="29"/>
  <c r="K318" i="29"/>
  <c r="L252" i="29"/>
  <c r="L214" i="29"/>
  <c r="K220" i="29"/>
  <c r="K125" i="29"/>
  <c r="L78" i="29"/>
  <c r="K116" i="29"/>
  <c r="L556" i="29"/>
  <c r="L402" i="29"/>
  <c r="L337" i="29"/>
  <c r="L312" i="29"/>
  <c r="K269" i="29"/>
  <c r="L270" i="29"/>
  <c r="K181" i="29"/>
  <c r="K158" i="29"/>
  <c r="L138" i="29"/>
  <c r="L112" i="29"/>
  <c r="K36" i="29"/>
  <c r="L434" i="29"/>
  <c r="L338" i="29"/>
  <c r="K362" i="29"/>
  <c r="L274" i="29"/>
  <c r="E55" i="1"/>
  <c r="L21" i="29"/>
  <c r="K60" i="29"/>
  <c r="K59" i="29"/>
  <c r="L584" i="29"/>
  <c r="K550" i="29"/>
  <c r="K542" i="29"/>
  <c r="L495" i="29"/>
  <c r="K484" i="29"/>
  <c r="L423" i="29"/>
  <c r="K376" i="29"/>
  <c r="K410" i="29"/>
  <c r="K593" i="29"/>
  <c r="L583" i="29"/>
  <c r="K528" i="29"/>
  <c r="K520" i="29"/>
  <c r="K496" i="29"/>
  <c r="K444" i="29"/>
  <c r="L388" i="29"/>
  <c r="K438" i="29"/>
  <c r="K32" i="29"/>
  <c r="K600" i="29"/>
  <c r="L562" i="29"/>
  <c r="L569" i="29"/>
  <c r="L530" i="29"/>
  <c r="L497" i="29"/>
  <c r="L54" i="29"/>
  <c r="K586" i="29"/>
  <c r="L561" i="29"/>
  <c r="L538" i="29"/>
  <c r="L481" i="29"/>
  <c r="K453" i="29"/>
  <c r="L425" i="29"/>
  <c r="K387" i="29"/>
  <c r="K340" i="29"/>
  <c r="L606" i="29"/>
  <c r="K569" i="29"/>
  <c r="K539" i="29"/>
  <c r="L519" i="29"/>
  <c r="K470" i="29"/>
  <c r="L439" i="29"/>
  <c r="K392" i="29"/>
  <c r="K382" i="29"/>
  <c r="K28" i="29"/>
  <c r="L590" i="29"/>
  <c r="K548" i="29"/>
  <c r="K523" i="29"/>
  <c r="K494" i="29"/>
  <c r="L449" i="29"/>
  <c r="L458" i="29"/>
  <c r="K412" i="29"/>
  <c r="K364" i="29"/>
  <c r="L598" i="29"/>
  <c r="L557" i="29"/>
  <c r="K531" i="29"/>
  <c r="L506" i="29"/>
  <c r="K462" i="29"/>
  <c r="L431" i="29"/>
  <c r="K384" i="29"/>
  <c r="K374" i="29"/>
  <c r="L464" i="29"/>
  <c r="L351" i="29"/>
  <c r="K304" i="29"/>
  <c r="L285" i="29"/>
  <c r="K285" i="29"/>
  <c r="K222" i="29"/>
  <c r="K188" i="29"/>
  <c r="L160" i="29"/>
  <c r="K168" i="29"/>
  <c r="K84" i="29"/>
  <c r="K529" i="29"/>
  <c r="L381" i="29"/>
  <c r="K321" i="29"/>
  <c r="K282" i="29"/>
  <c r="L327" i="29"/>
  <c r="L238" i="29"/>
  <c r="L216" i="29"/>
  <c r="K153" i="29"/>
  <c r="L106" i="29"/>
  <c r="L80" i="29"/>
  <c r="K601" i="29"/>
  <c r="L383" i="29"/>
  <c r="L365" i="29"/>
  <c r="L310" i="29"/>
  <c r="K62" i="29"/>
  <c r="K113" i="29"/>
  <c r="K166" i="29"/>
  <c r="L345" i="29"/>
  <c r="L68" i="29"/>
  <c r="G623" i="29"/>
  <c r="K581" i="29"/>
  <c r="L529" i="29"/>
  <c r="K487" i="29"/>
  <c r="L577" i="29"/>
  <c r="K447" i="29"/>
  <c r="L391" i="29"/>
  <c r="L377" i="29"/>
  <c r="L627" i="29"/>
  <c r="K589" i="29"/>
  <c r="L553" i="29"/>
  <c r="L484" i="29"/>
  <c r="K488" i="29"/>
  <c r="L451" i="29"/>
  <c r="L408" i="29"/>
  <c r="K394" i="29"/>
  <c r="K61" i="29"/>
  <c r="L602" i="29"/>
  <c r="K558" i="29"/>
  <c r="L546" i="29"/>
  <c r="L524" i="29"/>
  <c r="L461" i="29"/>
  <c r="K606" i="29"/>
  <c r="L572" i="29"/>
  <c r="L550" i="29"/>
  <c r="L513" i="29"/>
  <c r="K476" i="29"/>
  <c r="K421" i="29"/>
  <c r="K393" i="29"/>
  <c r="L420" i="29"/>
  <c r="L19" i="29"/>
  <c r="K592" i="29"/>
  <c r="K560" i="29"/>
  <c r="K557" i="29"/>
  <c r="K504" i="29"/>
  <c r="L477" i="29"/>
  <c r="L407" i="29"/>
  <c r="K408" i="29"/>
  <c r="L393" i="29"/>
  <c r="K56" i="29"/>
  <c r="K612" i="29"/>
  <c r="K551" i="29"/>
  <c r="K518" i="29"/>
  <c r="L472" i="29"/>
  <c r="K445" i="29"/>
  <c r="L418" i="29"/>
  <c r="K379" i="29"/>
  <c r="L27" i="29"/>
  <c r="K584" i="29"/>
  <c r="K549" i="29"/>
  <c r="L537" i="29"/>
  <c r="K495" i="29"/>
  <c r="L469" i="29"/>
  <c r="K455" i="29"/>
  <c r="L399" i="29"/>
  <c r="L385" i="29"/>
  <c r="K437" i="29"/>
  <c r="K355" i="29"/>
  <c r="K358" i="29"/>
  <c r="K270" i="29"/>
  <c r="K248" i="29"/>
  <c r="K190" i="29"/>
  <c r="L219" i="29"/>
  <c r="L151" i="29"/>
  <c r="K128" i="29"/>
  <c r="K140" i="29"/>
  <c r="K517" i="29"/>
  <c r="K320" i="29"/>
  <c r="L280" i="29"/>
  <c r="K312" i="29"/>
  <c r="L248" i="29"/>
  <c r="L210" i="29"/>
  <c r="K216" i="29"/>
  <c r="K121" i="29"/>
  <c r="L169" i="29"/>
  <c r="K112" i="29"/>
  <c r="L586" i="29"/>
  <c r="L390" i="29"/>
  <c r="L333" i="29"/>
  <c r="K310" i="29"/>
  <c r="K603" i="29"/>
  <c r="K13" i="29"/>
  <c r="K24" i="29"/>
  <c r="L610" i="29"/>
  <c r="L575" i="29"/>
  <c r="K507" i="29"/>
  <c r="L486" i="29"/>
  <c r="K465" i="29"/>
  <c r="K415" i="29"/>
  <c r="L436" i="29"/>
  <c r="L348" i="29"/>
  <c r="L580" i="29"/>
  <c r="K546" i="29"/>
  <c r="K538" i="29"/>
  <c r="L491" i="29"/>
  <c r="L483" i="29"/>
  <c r="L419" i="29"/>
  <c r="K458" i="29"/>
  <c r="L405" i="29"/>
  <c r="L70" i="29"/>
  <c r="K590" i="29"/>
  <c r="L565" i="29"/>
  <c r="K564" i="29"/>
  <c r="L493" i="29"/>
  <c r="K457" i="29"/>
  <c r="L597" i="29"/>
  <c r="K571" i="29"/>
  <c r="L554" i="29"/>
  <c r="L526" i="29"/>
  <c r="L475" i="29"/>
  <c r="L444" i="29"/>
  <c r="L426" i="29"/>
  <c r="L386" i="29"/>
  <c r="K40" i="29"/>
  <c r="L587" i="29"/>
  <c r="L552" i="29"/>
  <c r="L523" i="29"/>
  <c r="L507" i="29"/>
  <c r="K479" i="29"/>
  <c r="K431" i="29"/>
  <c r="L375" i="29"/>
  <c r="L364" i="29"/>
  <c r="K598" i="29"/>
  <c r="L564" i="29"/>
  <c r="K537" i="29"/>
  <c r="L542" i="29"/>
  <c r="K468" i="29"/>
  <c r="K413" i="29"/>
  <c r="K385" i="29"/>
  <c r="L406" i="29"/>
  <c r="K16" i="29"/>
  <c r="K587" i="29"/>
  <c r="L579" i="29"/>
  <c r="K515" i="29"/>
  <c r="L494" i="29"/>
  <c r="K473" i="29"/>
  <c r="K423" i="29"/>
  <c r="L446" i="29"/>
  <c r="L356" i="29"/>
  <c r="L415" i="29"/>
  <c r="K323" i="29"/>
  <c r="K341" i="29"/>
  <c r="K238" i="29"/>
  <c r="L279" i="29"/>
  <c r="L221" i="29"/>
  <c r="L187" i="29"/>
  <c r="L119" i="29"/>
  <c r="L101" i="29"/>
  <c r="L103" i="29"/>
  <c r="L511" i="29"/>
  <c r="L347" i="29"/>
  <c r="K300" i="29"/>
  <c r="L281" i="29"/>
  <c r="K277" i="29"/>
  <c r="K218" i="29"/>
  <c r="K184" i="29"/>
  <c r="L156" i="29"/>
  <c r="L153" i="29"/>
  <c r="K80" i="29"/>
  <c r="K536" i="29"/>
  <c r="K371" i="29"/>
  <c r="L308" i="29"/>
  <c r="K278" i="29"/>
  <c r="L146" i="29"/>
  <c r="K283" i="29"/>
  <c r="K90" i="29"/>
  <c r="K595" i="29"/>
  <c r="L551" i="29"/>
  <c r="L514" i="29"/>
  <c r="K482" i="29"/>
  <c r="L466" i="29"/>
  <c r="L440" i="29"/>
  <c r="K399" i="29"/>
  <c r="K352" i="29"/>
  <c r="K608" i="29"/>
  <c r="K573" i="29"/>
  <c r="L525" i="29"/>
  <c r="K483" i="29"/>
  <c r="K501" i="29"/>
  <c r="K443" i="29"/>
  <c r="L387" i="29"/>
  <c r="L373" i="29"/>
  <c r="K610" i="29"/>
  <c r="L576" i="29"/>
  <c r="L559" i="29"/>
  <c r="L517" i="29"/>
  <c r="K481" i="29"/>
  <c r="K425" i="29"/>
  <c r="L608" i="29"/>
  <c r="L570" i="29"/>
  <c r="L582" i="29"/>
  <c r="K505" i="29"/>
  <c r="K475" i="29"/>
  <c r="K436" i="29"/>
  <c r="L380" i="29"/>
  <c r="K422" i="29"/>
  <c r="K72" i="29"/>
  <c r="L594" i="29"/>
  <c r="K552" i="29"/>
  <c r="L528" i="29"/>
  <c r="K498" i="29"/>
  <c r="L453" i="29"/>
  <c r="L462" i="29"/>
  <c r="L416" i="29"/>
  <c r="K368" i="29"/>
  <c r="K609" i="29"/>
  <c r="K563" i="29"/>
  <c r="K544" i="29"/>
  <c r="L516" i="29"/>
  <c r="L467" i="29"/>
  <c r="K460" i="29"/>
  <c r="L413" i="29"/>
  <c r="L378" i="29"/>
  <c r="K105" i="29"/>
  <c r="K611" i="29"/>
  <c r="K579" i="29"/>
  <c r="L522" i="29"/>
  <c r="K490" i="29"/>
  <c r="L445" i="29"/>
  <c r="L454" i="29"/>
  <c r="L404" i="29"/>
  <c r="K360" i="29"/>
  <c r="K397" i="29"/>
  <c r="L346" i="29"/>
  <c r="K307" i="29"/>
  <c r="L282" i="29"/>
  <c r="L247" i="29"/>
  <c r="L189" i="29"/>
  <c r="K215" i="29"/>
  <c r="K151" i="29"/>
  <c r="L69" i="29"/>
  <c r="L71" i="29"/>
  <c r="L460" i="29"/>
  <c r="K351" i="29"/>
  <c r="K342" i="29"/>
  <c r="K266" i="29"/>
  <c r="K365" i="29"/>
  <c r="K186" i="29"/>
  <c r="L215" i="29"/>
  <c r="L147" i="29"/>
  <c r="L121" i="29"/>
  <c r="L133" i="29"/>
  <c r="L508" i="29"/>
  <c r="K316" i="29"/>
  <c r="L276" i="29"/>
  <c r="L309" i="29"/>
  <c r="K347" i="29"/>
  <c r="L328" i="29"/>
  <c r="K182" i="29"/>
  <c r="L211" i="29"/>
  <c r="L143" i="29"/>
  <c r="L120" i="29"/>
  <c r="K132" i="29"/>
  <c r="K566" i="29"/>
  <c r="L370" i="29"/>
  <c r="L329" i="29"/>
  <c r="K306" i="29"/>
  <c r="K261" i="29"/>
  <c r="L262" i="29"/>
  <c r="K173" i="29"/>
  <c r="L186" i="29"/>
  <c r="L130" i="29"/>
  <c r="L104" i="29"/>
  <c r="L588" i="29"/>
  <c r="L428" i="29"/>
  <c r="L357" i="29"/>
  <c r="L302" i="29"/>
  <c r="K299" i="29"/>
  <c r="K255" i="29"/>
  <c r="K201" i="29"/>
  <c r="L182" i="29"/>
  <c r="L158" i="29"/>
  <c r="K122" i="29"/>
  <c r="K48" i="29"/>
  <c r="K426" i="29"/>
  <c r="L326" i="29"/>
  <c r="L336" i="29"/>
  <c r="L261" i="29"/>
  <c r="K295" i="29"/>
  <c r="K229" i="29"/>
  <c r="K195" i="29"/>
  <c r="K131" i="29"/>
  <c r="L49" i="29"/>
  <c r="L51" i="29"/>
  <c r="L447" i="29"/>
  <c r="K331" i="29"/>
  <c r="L303" i="29"/>
  <c r="K246" i="29"/>
  <c r="L287" i="29"/>
  <c r="L229" i="29"/>
  <c r="L195" i="29"/>
  <c r="L127" i="29"/>
  <c r="L109" i="29"/>
  <c r="L111" i="29"/>
  <c r="K94" i="29"/>
  <c r="K325" i="29"/>
  <c r="K49" i="29"/>
  <c r="L193" i="29"/>
  <c r="K65" i="29"/>
  <c r="L286" i="29"/>
  <c r="L72" i="29"/>
  <c r="K252" i="29"/>
  <c r="K69" i="29"/>
  <c r="K308" i="29"/>
  <c r="K119" i="29"/>
  <c r="K332" i="29"/>
  <c r="K33" i="29"/>
  <c r="K290" i="29"/>
  <c r="L48" i="29"/>
  <c r="K134" i="29"/>
  <c r="K31" i="29"/>
  <c r="L34" i="29"/>
  <c r="L38" i="29"/>
  <c r="K68" i="29"/>
  <c r="L492" i="29"/>
  <c r="L144" i="29"/>
  <c r="K366" i="29"/>
  <c r="L94" i="29"/>
  <c r="L321" i="29"/>
  <c r="L254" i="29"/>
  <c r="L96" i="29"/>
  <c r="L322" i="29"/>
  <c r="K225" i="29"/>
  <c r="K127" i="29"/>
  <c r="L157" i="29"/>
  <c r="L283" i="29"/>
  <c r="K276" i="29"/>
  <c r="K129" i="29"/>
  <c r="K330" i="29"/>
  <c r="L271" i="29"/>
  <c r="L213" i="29"/>
  <c r="L179" i="29"/>
  <c r="L178" i="29"/>
  <c r="L93" i="29"/>
  <c r="L95" i="29"/>
  <c r="L531" i="29"/>
  <c r="L352" i="29"/>
  <c r="L304" i="29"/>
  <c r="K274" i="29"/>
  <c r="L272" i="29"/>
  <c r="L230" i="29"/>
  <c r="L208" i="29"/>
  <c r="K145" i="29"/>
  <c r="L98" i="29"/>
  <c r="L148" i="29"/>
  <c r="K554" i="29"/>
  <c r="K430" i="29"/>
  <c r="L325" i="29"/>
  <c r="K302" i="29"/>
  <c r="K257" i="29"/>
  <c r="L258" i="29"/>
  <c r="K244" i="29"/>
  <c r="L174" i="29"/>
  <c r="L126" i="29"/>
  <c r="L100" i="29"/>
  <c r="K580" i="29"/>
  <c r="K403" i="29"/>
  <c r="L353" i="29"/>
  <c r="L298" i="29"/>
  <c r="K297" i="29"/>
  <c r="K251" i="29"/>
  <c r="K197" i="29"/>
  <c r="L171" i="29"/>
  <c r="L154" i="29"/>
  <c r="K120" i="29"/>
  <c r="K64" i="29"/>
  <c r="L432" i="29"/>
  <c r="L354" i="29"/>
  <c r="L315" i="29"/>
  <c r="L290" i="29"/>
  <c r="L255" i="29"/>
  <c r="L197" i="29"/>
  <c r="K223" i="29"/>
  <c r="K159" i="29"/>
  <c r="L77" i="29"/>
  <c r="L79" i="29"/>
  <c r="K58" i="29"/>
  <c r="L318" i="29"/>
  <c r="K37" i="29"/>
  <c r="L251" i="29"/>
  <c r="K17" i="29"/>
  <c r="K242" i="29"/>
  <c r="K63" i="29"/>
  <c r="K281" i="29"/>
  <c r="K88" i="29"/>
  <c r="L355" i="29"/>
  <c r="L82" i="29"/>
  <c r="L518" i="29"/>
  <c r="L44" i="29"/>
  <c r="K354" i="29"/>
  <c r="L46" i="29"/>
  <c r="K73" i="29"/>
  <c r="K115" i="29"/>
  <c r="K97" i="29"/>
  <c r="K34" i="29"/>
  <c r="K43" i="29"/>
  <c r="K372" i="29"/>
  <c r="K104" i="29"/>
  <c r="L300" i="29"/>
  <c r="L204" i="29"/>
  <c r="L140" i="29"/>
  <c r="K298" i="29"/>
  <c r="K169" i="29"/>
  <c r="L15" i="29"/>
  <c r="L257" i="29"/>
  <c r="K191" i="29"/>
  <c r="K380" i="29"/>
  <c r="K109" i="29"/>
  <c r="K114" i="29"/>
  <c r="K67" i="29"/>
  <c r="K262" i="29"/>
  <c r="L239" i="29"/>
  <c r="L181" i="29"/>
  <c r="K207" i="29"/>
  <c r="K143" i="29"/>
  <c r="L61" i="29"/>
  <c r="K370" i="29"/>
  <c r="L305" i="29"/>
  <c r="L240" i="29"/>
  <c r="L202" i="29"/>
  <c r="L196" i="29"/>
  <c r="L340" i="29"/>
  <c r="K237" i="29"/>
  <c r="K545" i="29"/>
  <c r="K233" i="29"/>
  <c r="K333" i="29"/>
  <c r="L47" i="29"/>
  <c r="L40" i="29"/>
  <c r="K349" i="29"/>
  <c r="K263" i="29"/>
  <c r="K209" i="29"/>
  <c r="K175" i="29"/>
  <c r="L166" i="29"/>
  <c r="K138" i="29"/>
  <c r="K42" i="29"/>
  <c r="L540" i="29"/>
  <c r="L339" i="29"/>
  <c r="K292" i="29"/>
  <c r="L273" i="29"/>
  <c r="K268" i="29"/>
  <c r="K210" i="29"/>
  <c r="K176" i="29"/>
  <c r="L184" i="29"/>
  <c r="L145" i="29"/>
  <c r="L173" i="29"/>
  <c r="L499" i="29"/>
  <c r="L367" i="29"/>
  <c r="K369" i="29"/>
  <c r="L301" i="29"/>
  <c r="L236" i="29"/>
  <c r="L198" i="29"/>
  <c r="K204" i="29"/>
  <c r="L180" i="29"/>
  <c r="L136" i="29"/>
  <c r="K100" i="29"/>
  <c r="L533" i="29"/>
  <c r="K356" i="29"/>
  <c r="L296" i="29"/>
  <c r="K350" i="29"/>
  <c r="L264" i="29"/>
  <c r="L226" i="29"/>
  <c r="K235" i="29"/>
  <c r="K137" i="29"/>
  <c r="L90" i="29"/>
  <c r="L132" i="29"/>
  <c r="L611" i="29"/>
  <c r="K391" i="29"/>
  <c r="L349" i="29"/>
  <c r="K361" i="29"/>
  <c r="K291" i="29"/>
  <c r="K247" i="29"/>
  <c r="K193" i="29"/>
  <c r="K170" i="29"/>
  <c r="L150" i="29"/>
  <c r="K117" i="29"/>
  <c r="L56" i="29"/>
  <c r="K123" i="29"/>
  <c r="K77" i="29"/>
  <c r="K74" i="29"/>
  <c r="L311" i="29"/>
  <c r="L107" i="29"/>
  <c r="K327" i="29"/>
  <c r="L141" i="29"/>
  <c r="K359" i="29"/>
  <c r="L164" i="29"/>
  <c r="L29" i="29"/>
  <c r="K224" i="29"/>
  <c r="L17" i="29"/>
  <c r="L114" i="29"/>
  <c r="L555" i="29"/>
  <c r="L66" i="29"/>
  <c r="K75" i="29"/>
  <c r="L14" i="29"/>
  <c r="K30" i="29"/>
  <c r="K82" i="29"/>
  <c r="K71" i="29"/>
  <c r="L626" i="29"/>
  <c r="L152" i="29"/>
  <c r="L235" i="29"/>
  <c r="K139" i="29"/>
  <c r="L362" i="29"/>
  <c r="L205" i="29"/>
  <c r="L85" i="29"/>
  <c r="K335" i="29"/>
  <c r="L294" i="29"/>
  <c r="L113" i="29"/>
  <c r="L359" i="29"/>
  <c r="K231" i="29"/>
  <c r="L118" i="29"/>
  <c r="L45" i="29"/>
  <c r="L191" i="29"/>
  <c r="K293" i="29"/>
  <c r="L41" i="29"/>
  <c r="K265" i="29"/>
  <c r="L266" i="29"/>
  <c r="K177" i="29"/>
  <c r="L192" i="29"/>
  <c r="L134" i="29"/>
  <c r="L108" i="29"/>
  <c r="L28" i="29"/>
  <c r="K452" i="29"/>
  <c r="K343" i="29"/>
  <c r="K322" i="29"/>
  <c r="K258" i="29"/>
  <c r="K309" i="29"/>
  <c r="K178" i="29"/>
  <c r="L207" i="29"/>
  <c r="L139" i="29"/>
  <c r="K118" i="29"/>
  <c r="L125" i="29"/>
  <c r="L501" i="29"/>
  <c r="L335" i="29"/>
  <c r="K288" i="29"/>
  <c r="L319" i="29"/>
  <c r="K264" i="29"/>
  <c r="K206" i="29"/>
  <c r="K172" i="29"/>
  <c r="L167" i="29"/>
  <c r="K144" i="29"/>
  <c r="K160" i="29"/>
  <c r="K491" i="29"/>
  <c r="L363" i="29"/>
  <c r="K353" i="29"/>
  <c r="L297" i="29"/>
  <c r="L232" i="29"/>
  <c r="L241" i="29"/>
  <c r="K200" i="29"/>
  <c r="K174" i="29"/>
  <c r="L128" i="29"/>
  <c r="K96" i="29"/>
  <c r="K576" i="29"/>
  <c r="K390" i="29"/>
  <c r="L317" i="29"/>
  <c r="K294" i="29"/>
  <c r="K249" i="29"/>
  <c r="L250" i="29"/>
  <c r="L228" i="29"/>
  <c r="K165" i="29"/>
  <c r="K164" i="29"/>
  <c r="L92" i="29"/>
  <c r="L33" i="29"/>
  <c r="K187" i="29"/>
  <c r="L60" i="29"/>
  <c r="L75" i="29"/>
  <c r="L350" i="29"/>
  <c r="L105" i="29"/>
  <c r="L427" i="29"/>
  <c r="L129" i="29"/>
  <c r="L441" i="29"/>
  <c r="K192" i="29"/>
  <c r="L13" i="29"/>
  <c r="L218" i="29"/>
  <c r="K87" i="29"/>
  <c r="K161" i="29"/>
  <c r="K19" i="29"/>
  <c r="K57" i="29"/>
  <c r="K52" i="29"/>
  <c r="K23" i="29"/>
  <c r="K27" i="29"/>
  <c r="K39" i="29"/>
  <c r="L22" i="29"/>
  <c r="K626" i="29"/>
  <c r="K108" i="29"/>
  <c r="L177" i="29"/>
  <c r="L59" i="29"/>
  <c r="L323" i="29"/>
  <c r="L237" i="29"/>
  <c r="L87" i="29"/>
  <c r="K250" i="29"/>
  <c r="L131" i="29"/>
  <c r="L490" i="29"/>
  <c r="K337" i="29"/>
  <c r="L168" i="29"/>
  <c r="K279" i="29"/>
  <c r="L76" i="29"/>
  <c r="K18" i="29"/>
  <c r="K326" i="29"/>
  <c r="K273" i="29"/>
  <c r="L234" i="29"/>
  <c r="L212" i="29"/>
  <c r="K149" i="29"/>
  <c r="L102" i="29"/>
  <c r="L161" i="29"/>
  <c r="K78" i="29"/>
  <c r="K419" i="29"/>
  <c r="L366" i="29"/>
  <c r="L324" i="29"/>
  <c r="K301" i="29"/>
  <c r="L267" i="29"/>
  <c r="L209" i="29"/>
  <c r="L175" i="29"/>
  <c r="L172" i="29"/>
  <c r="L89" i="29"/>
  <c r="L91" i="29"/>
  <c r="K440" i="29"/>
  <c r="K339" i="29"/>
  <c r="K313" i="29"/>
  <c r="K254" i="29"/>
  <c r="L295" i="29"/>
  <c r="K240" i="29"/>
  <c r="L203" i="29"/>
  <c r="L135" i="29"/>
  <c r="L117" i="29"/>
  <c r="K124" i="29"/>
  <c r="L465" i="29"/>
  <c r="K367" i="29"/>
  <c r="K284" i="29"/>
  <c r="K305" i="29"/>
  <c r="K260" i="29"/>
  <c r="K202" i="29"/>
  <c r="K236" i="29"/>
  <c r="L163" i="29"/>
  <c r="L137" i="29"/>
  <c r="L149" i="29"/>
  <c r="K511" i="29"/>
  <c r="K344" i="29"/>
  <c r="L292" i="29"/>
  <c r="K334" i="29"/>
  <c r="L260" i="29"/>
  <c r="L222" i="29"/>
  <c r="K228" i="29"/>
  <c r="K133" i="29"/>
  <c r="L86" i="29"/>
  <c r="L124" i="29"/>
  <c r="K25" i="29"/>
  <c r="K221" i="29"/>
  <c r="K51" i="29"/>
  <c r="L73" i="29"/>
  <c r="L409" i="29"/>
  <c r="L123" i="29"/>
  <c r="L37" i="29"/>
  <c r="L155" i="29"/>
  <c r="L25" i="29"/>
  <c r="K226" i="29"/>
  <c r="K83" i="29"/>
  <c r="L256" i="29"/>
  <c r="K102" i="29"/>
  <c r="L224" i="29"/>
  <c r="K106" i="29"/>
  <c r="K47" i="29"/>
  <c r="K35" i="29"/>
  <c r="L62" i="29"/>
  <c r="K46" i="29"/>
  <c r="K110" i="29"/>
  <c r="K150" i="29"/>
  <c r="L396" i="29"/>
  <c r="L57" i="29"/>
  <c r="L299" i="29"/>
  <c r="K167" i="29"/>
  <c r="L307" i="29"/>
  <c r="K232" i="29"/>
  <c r="L115" i="29"/>
  <c r="L293" i="29"/>
  <c r="K196" i="29"/>
  <c r="L20" i="29"/>
  <c r="K155" i="29"/>
  <c r="L223" i="29"/>
  <c r="K21" i="29"/>
  <c r="L244" i="29"/>
  <c r="L206" i="29"/>
  <c r="K212" i="29"/>
  <c r="L200" i="29"/>
  <c r="L36" i="29"/>
  <c r="L334" i="29"/>
  <c r="K346" i="29"/>
  <c r="L269" i="29"/>
  <c r="K203" i="29"/>
  <c r="K407" i="29"/>
  <c r="L263" i="29"/>
  <c r="L459" i="29"/>
  <c r="L199" i="29"/>
  <c r="L313" i="29"/>
  <c r="K92" i="29"/>
  <c r="K22" i="29"/>
  <c r="K272" i="29"/>
  <c r="K214" i="29"/>
  <c r="K180" i="29"/>
  <c r="L190" i="29"/>
  <c r="K152" i="29"/>
  <c r="K76" i="29"/>
  <c r="L592" i="29"/>
  <c r="L437" i="29"/>
  <c r="L361" i="29"/>
  <c r="L306" i="29"/>
  <c r="L320" i="29"/>
  <c r="K259" i="29"/>
  <c r="K205" i="29"/>
  <c r="K171" i="29"/>
  <c r="L162" i="29"/>
  <c r="K130" i="29"/>
  <c r="L16" i="29"/>
  <c r="L384" i="29"/>
  <c r="L330" i="29"/>
  <c r="K338" i="29"/>
  <c r="L265" i="29"/>
  <c r="L231" i="29"/>
  <c r="L233" i="29"/>
  <c r="K199" i="29"/>
  <c r="K135" i="29"/>
  <c r="L53" i="29"/>
  <c r="L55" i="29"/>
  <c r="L450" i="29"/>
  <c r="L358" i="29"/>
  <c r="L316" i="29"/>
  <c r="L291" i="29"/>
  <c r="L259" i="29"/>
  <c r="L201" i="29"/>
  <c r="K227" i="29"/>
  <c r="K163" i="29"/>
  <c r="L81" i="29"/>
  <c r="L83" i="29"/>
  <c r="K469" i="29"/>
  <c r="K363" i="29"/>
  <c r="K280" i="29"/>
  <c r="K289" i="29"/>
  <c r="K256" i="29"/>
  <c r="K198" i="29"/>
  <c r="L227" i="29"/>
  <c r="L159" i="29"/>
  <c r="K136" i="29"/>
  <c r="K148" i="29"/>
  <c r="K111" i="29"/>
  <c r="L253" i="29"/>
  <c r="L58" i="29"/>
  <c r="K219" i="29"/>
  <c r="L74" i="29"/>
  <c r="L225" i="29"/>
  <c r="K29" i="29"/>
  <c r="K194" i="29"/>
  <c r="K41" i="29"/>
  <c r="L289" i="29"/>
  <c r="K53" i="29"/>
  <c r="L288" i="29"/>
  <c r="K98" i="29"/>
  <c r="K245" i="29"/>
  <c r="K15" i="29"/>
  <c r="L30" i="29"/>
  <c r="L165" i="29"/>
  <c r="K55" i="29"/>
  <c r="K50" i="29"/>
  <c r="L18" i="29"/>
  <c r="L63" i="29"/>
  <c r="K208" i="29"/>
  <c r="K527" i="29"/>
  <c r="L268" i="29"/>
  <c r="K141" i="29"/>
  <c r="K402" i="29"/>
  <c r="K253" i="29"/>
  <c r="L122" i="29"/>
  <c r="K400" i="29"/>
  <c r="K287" i="29"/>
  <c r="L176" i="29"/>
  <c r="L32" i="29"/>
  <c r="K357" i="29"/>
  <c r="K486" i="29"/>
  <c r="L88" i="29"/>
  <c r="L246" i="29"/>
  <c r="L64" i="29"/>
  <c r="L414" i="29"/>
  <c r="L50" i="29"/>
  <c r="K91" i="29"/>
  <c r="K95" i="29"/>
  <c r="K89" i="29"/>
  <c r="K99" i="29"/>
  <c r="K93" i="29"/>
  <c r="K66" i="29"/>
  <c r="K14" i="29"/>
  <c r="K156" i="29"/>
  <c r="L26" i="29"/>
  <c r="L42" i="29"/>
  <c r="K624" i="29"/>
  <c r="K625" i="29"/>
  <c r="L624" i="29"/>
  <c r="L625" i="29"/>
  <c r="Q4" i="29"/>
  <c r="EB212" i="25"/>
  <c r="EA212" i="25"/>
  <c r="DJ212" i="25"/>
  <c r="DI212" i="25"/>
  <c r="DM112" i="25"/>
  <c r="DW112" i="25" s="1"/>
  <c r="EB112" i="25" s="1"/>
  <c r="DB112" i="25"/>
  <c r="DI112" i="25"/>
  <c r="DJ112" i="25"/>
  <c r="CO216" i="25"/>
  <c r="DA216" i="25" s="1"/>
  <c r="DD216" i="25" s="1"/>
  <c r="DE216" i="25" s="1"/>
  <c r="DF216" i="25" s="1"/>
  <c r="DM216" i="25" s="1"/>
  <c r="DW216" i="25" s="1"/>
  <c r="DM219" i="25"/>
  <c r="DW219" i="25" s="1"/>
  <c r="DM229" i="25"/>
  <c r="DW229" i="25" s="1"/>
  <c r="DM163" i="25"/>
  <c r="DW163" i="25" s="1"/>
  <c r="DM184" i="25"/>
  <c r="DW184" i="25" s="1"/>
  <c r="DM297" i="25"/>
  <c r="DW297" i="25" s="1"/>
  <c r="DM224" i="25"/>
  <c r="DW224" i="25" s="1"/>
  <c r="DM152" i="25"/>
  <c r="DW152" i="25" s="1"/>
  <c r="DM135" i="25"/>
  <c r="DW135" i="25" s="1"/>
  <c r="DM166" i="25"/>
  <c r="DW166" i="25" s="1"/>
  <c r="DM69" i="25"/>
  <c r="DW69" i="25" s="1"/>
  <c r="DX5" i="24"/>
  <c r="EE5" i="24" s="1"/>
  <c r="DM207" i="25"/>
  <c r="DW207" i="25" s="1"/>
  <c r="DM192" i="25"/>
  <c r="DW192" i="25" s="1"/>
  <c r="DM204" i="25"/>
  <c r="DW204" i="25" s="1"/>
  <c r="DM201" i="25"/>
  <c r="DW201" i="25" s="1"/>
  <c r="DM142" i="25"/>
  <c r="DW142" i="25" s="1"/>
  <c r="DM151" i="25"/>
  <c r="DW151" i="25" s="1"/>
  <c r="DM209" i="25"/>
  <c r="DW209" i="25" s="1"/>
  <c r="DM237" i="25"/>
  <c r="DW237" i="25" s="1"/>
  <c r="DM196" i="25"/>
  <c r="DW196" i="25" s="1"/>
  <c r="DM76" i="25"/>
  <c r="DW76" i="25" s="1"/>
  <c r="DM61" i="25"/>
  <c r="DW61" i="25" s="1"/>
  <c r="DM240" i="25"/>
  <c r="DW240" i="25" s="1"/>
  <c r="DM221" i="25"/>
  <c r="DW221" i="25" s="1"/>
  <c r="DM222" i="25"/>
  <c r="DW222" i="25" s="1"/>
  <c r="DM53" i="25"/>
  <c r="DW53" i="25" s="1"/>
  <c r="DM238" i="25"/>
  <c r="DW238" i="25" s="1"/>
  <c r="DM273" i="25"/>
  <c r="DW273" i="25" s="1"/>
  <c r="DM270" i="25"/>
  <c r="DW270" i="25" s="1"/>
  <c r="DM288" i="25"/>
  <c r="DW288" i="25" s="1"/>
  <c r="DM104" i="25"/>
  <c r="DW104" i="25" s="1"/>
  <c r="DM183" i="25"/>
  <c r="DW183" i="25" s="1"/>
  <c r="DM75" i="25"/>
  <c r="DW75" i="25" s="1"/>
  <c r="DM149" i="25"/>
  <c r="DW149" i="25" s="1"/>
  <c r="DM125" i="25"/>
  <c r="DW125" i="25" s="1"/>
  <c r="DM223" i="25"/>
  <c r="DW223" i="25" s="1"/>
  <c r="DM165" i="25"/>
  <c r="DW165" i="25" s="1"/>
  <c r="DM162" i="25"/>
  <c r="DW162" i="25" s="1"/>
  <c r="DM188" i="25"/>
  <c r="DW188" i="25" s="1"/>
  <c r="DM182" i="25"/>
  <c r="DW182" i="25" s="1"/>
  <c r="DM274" i="25"/>
  <c r="DW274" i="25" s="1"/>
  <c r="DM255" i="25"/>
  <c r="DW255" i="25" s="1"/>
  <c r="DM62" i="25"/>
  <c r="DW62" i="25" s="1"/>
  <c r="DM268" i="25"/>
  <c r="DW268" i="25" s="1"/>
  <c r="DM303" i="25"/>
  <c r="DW303" i="25" s="1"/>
  <c r="DM113" i="25"/>
  <c r="DW113" i="25" s="1"/>
  <c r="DM159" i="25"/>
  <c r="DW159" i="25" s="1"/>
  <c r="DM63" i="25"/>
  <c r="DW63" i="25" s="1"/>
  <c r="DM10" i="25"/>
  <c r="DW10" i="25" s="1"/>
  <c r="DM312" i="25"/>
  <c r="DW312" i="25" s="1"/>
  <c r="DM282" i="25"/>
  <c r="DW282" i="25" s="1"/>
  <c r="DM57" i="25"/>
  <c r="DW57" i="25" s="1"/>
  <c r="DM54" i="25"/>
  <c r="DW54" i="25" s="1"/>
  <c r="DM246" i="25"/>
  <c r="DW246" i="25" s="1"/>
  <c r="DM260" i="25"/>
  <c r="DW260" i="25" s="1"/>
  <c r="DB10" i="25"/>
  <c r="DB186" i="25"/>
  <c r="DN216" i="24"/>
  <c r="DM315" i="25"/>
  <c r="DW315" i="25" s="1"/>
  <c r="DM197" i="25"/>
  <c r="DW197" i="25" s="1"/>
  <c r="DC198" i="24"/>
  <c r="DM16" i="25"/>
  <c r="DW16" i="25" s="1"/>
  <c r="DM20" i="25"/>
  <c r="DW20" i="25" s="1"/>
  <c r="EE110" i="24"/>
  <c r="DO110" i="24"/>
  <c r="DR110" i="24"/>
  <c r="DO5" i="24"/>
  <c r="DR5" i="24"/>
  <c r="DC216" i="24"/>
  <c r="DB278" i="25"/>
  <c r="DB304" i="25"/>
  <c r="DJ216" i="24"/>
  <c r="DK216" i="24"/>
  <c r="DM205" i="25"/>
  <c r="DW205" i="25" s="1"/>
  <c r="DM85" i="25"/>
  <c r="DW85" i="25" s="1"/>
  <c r="DM150" i="25"/>
  <c r="DW150" i="25" s="1"/>
  <c r="DM309" i="25"/>
  <c r="DW309" i="25" s="1"/>
  <c r="DM195" i="25"/>
  <c r="DW195" i="25" s="1"/>
  <c r="DM186" i="25"/>
  <c r="DW186" i="25" s="1"/>
  <c r="DM281" i="25"/>
  <c r="DW281" i="25" s="1"/>
  <c r="DM28" i="25"/>
  <c r="DW28" i="25" s="1"/>
  <c r="DM134" i="25"/>
  <c r="DW134" i="25" s="1"/>
  <c r="DM202" i="25"/>
  <c r="DW202" i="25" s="1"/>
  <c r="DM41" i="25"/>
  <c r="DW41" i="25" s="1"/>
  <c r="DM234" i="25"/>
  <c r="DW234" i="25" s="1"/>
  <c r="DM160" i="25"/>
  <c r="DW160" i="25" s="1"/>
  <c r="DM316" i="25"/>
  <c r="DW316" i="25" s="1"/>
  <c r="DM286" i="25"/>
  <c r="DW286" i="25" s="1"/>
  <c r="DM304" i="25"/>
  <c r="DW304" i="25" s="1"/>
  <c r="DM130" i="25"/>
  <c r="DW130" i="25" s="1"/>
  <c r="DM231" i="25"/>
  <c r="DW231" i="25" s="1"/>
  <c r="DC183" i="24"/>
  <c r="DC149" i="24"/>
  <c r="DM248" i="25"/>
  <c r="DW248" i="25" s="1"/>
  <c r="DM19" i="25"/>
  <c r="DW19" i="25" s="1"/>
  <c r="DM161" i="25"/>
  <c r="DW161" i="25" s="1"/>
  <c r="DM82" i="25"/>
  <c r="DW82" i="25" s="1"/>
  <c r="DC292" i="24"/>
  <c r="DM155" i="25"/>
  <c r="DW155" i="25" s="1"/>
  <c r="DM30" i="25"/>
  <c r="DW30" i="25" s="1"/>
  <c r="DB310" i="25"/>
  <c r="DB101" i="25"/>
  <c r="DC217" i="24"/>
  <c r="DM46" i="25"/>
  <c r="DW46" i="25" s="1"/>
  <c r="DC165" i="24"/>
  <c r="DB143" i="25"/>
  <c r="DB156" i="25"/>
  <c r="DB140" i="25"/>
  <c r="DB41" i="25"/>
  <c r="DB24" i="25"/>
  <c r="DC288" i="24"/>
  <c r="DB148" i="25"/>
  <c r="DC186" i="24"/>
  <c r="DB279" i="25"/>
  <c r="DM249" i="25"/>
  <c r="DW249" i="25" s="1"/>
  <c r="DM198" i="25"/>
  <c r="DW198" i="25" s="1"/>
  <c r="DM293" i="25"/>
  <c r="DW293" i="25" s="1"/>
  <c r="DM18" i="25"/>
  <c r="DW18" i="25" s="1"/>
  <c r="DM36" i="25"/>
  <c r="DW36" i="25" s="1"/>
  <c r="DM206" i="25"/>
  <c r="DW206" i="25" s="1"/>
  <c r="DM261" i="25"/>
  <c r="DW261" i="25" s="1"/>
  <c r="DB295" i="25"/>
  <c r="DB181" i="25"/>
  <c r="DB71" i="25"/>
  <c r="DB169" i="25"/>
  <c r="DB284" i="25"/>
  <c r="DM218" i="25"/>
  <c r="DW218" i="25" s="1"/>
  <c r="DM31" i="25"/>
  <c r="DW31" i="25" s="1"/>
  <c r="DM118" i="25"/>
  <c r="DW118" i="25" s="1"/>
  <c r="DM73" i="25"/>
  <c r="DW73" i="25" s="1"/>
  <c r="DM220" i="25"/>
  <c r="DW220" i="25" s="1"/>
  <c r="DM114" i="25"/>
  <c r="DW114" i="25" s="1"/>
  <c r="DM172" i="25"/>
  <c r="DW172" i="25" s="1"/>
  <c r="DM52" i="25"/>
  <c r="DW52" i="25" s="1"/>
  <c r="DM133" i="25"/>
  <c r="DW133" i="25" s="1"/>
  <c r="DM94" i="25"/>
  <c r="DW94" i="25" s="1"/>
  <c r="DM264" i="25"/>
  <c r="DW264" i="25" s="1"/>
  <c r="DM278" i="25"/>
  <c r="DW278" i="25" s="1"/>
  <c r="DB27" i="25"/>
  <c r="DB166" i="25"/>
  <c r="DB223" i="25"/>
  <c r="DB44" i="25"/>
  <c r="DB83" i="25"/>
  <c r="DB103" i="25"/>
  <c r="DM258" i="25"/>
  <c r="DW258" i="25" s="1"/>
  <c r="DB73" i="25"/>
  <c r="DB117" i="25"/>
  <c r="DB235" i="25"/>
  <c r="DM21" i="25"/>
  <c r="DW21" i="25" s="1"/>
  <c r="DB150" i="25"/>
  <c r="DB72" i="25"/>
  <c r="DB244" i="25"/>
  <c r="DM247" i="25"/>
  <c r="DW247" i="25" s="1"/>
  <c r="DB268" i="25"/>
  <c r="DB219" i="25"/>
  <c r="DB179" i="25"/>
  <c r="DM243" i="25"/>
  <c r="DW243" i="25" s="1"/>
  <c r="DB200" i="25"/>
  <c r="DB65" i="25"/>
  <c r="DB243" i="25"/>
  <c r="DB218" i="25"/>
  <c r="DB281" i="25"/>
  <c r="DB86" i="25"/>
  <c r="DM116" i="25"/>
  <c r="DW116" i="25" s="1"/>
  <c r="DM115" i="25"/>
  <c r="DW115" i="25" s="1"/>
  <c r="DB255" i="25"/>
  <c r="DM154" i="25"/>
  <c r="DW154" i="25" s="1"/>
  <c r="DM120" i="25"/>
  <c r="DW120" i="25" s="1"/>
  <c r="DM291" i="25"/>
  <c r="DW291" i="25" s="1"/>
  <c r="DM44" i="25"/>
  <c r="DW44" i="25" s="1"/>
  <c r="DM22" i="25"/>
  <c r="DW22" i="25" s="1"/>
  <c r="DB302" i="25"/>
  <c r="DB187" i="25"/>
  <c r="DB90" i="25"/>
  <c r="DB280" i="25"/>
  <c r="DB237" i="25"/>
  <c r="DB269" i="25"/>
  <c r="DB251" i="25"/>
  <c r="DB203" i="25"/>
  <c r="DB192" i="25"/>
  <c r="DM132" i="25"/>
  <c r="DW132" i="25" s="1"/>
  <c r="DM144" i="25"/>
  <c r="DW144" i="25" s="1"/>
  <c r="DM32" i="25"/>
  <c r="DW32" i="25" s="1"/>
  <c r="DB221" i="25"/>
  <c r="DB315" i="25"/>
  <c r="DB32" i="25"/>
  <c r="DM8" i="25"/>
  <c r="DW8" i="25" s="1"/>
  <c r="DM140" i="25"/>
  <c r="DW140" i="25" s="1"/>
  <c r="DM123" i="25"/>
  <c r="DW123" i="25" s="1"/>
  <c r="DB105" i="25"/>
  <c r="DB48" i="25"/>
  <c r="DB276" i="25"/>
  <c r="DB69" i="25"/>
  <c r="DB70" i="25"/>
  <c r="DB222" i="25"/>
  <c r="DB147" i="25"/>
  <c r="DB177" i="25"/>
  <c r="DB263" i="25"/>
  <c r="DB173" i="25"/>
  <c r="DM26" i="25"/>
  <c r="DW26" i="25" s="1"/>
  <c r="DB119" i="25"/>
  <c r="DB277" i="25"/>
  <c r="DB247" i="25"/>
  <c r="DB12" i="25"/>
  <c r="DB241" i="25"/>
  <c r="DM55" i="25"/>
  <c r="DW55" i="25" s="1"/>
  <c r="DB292" i="25"/>
  <c r="DB282" i="25"/>
  <c r="DB76" i="25"/>
  <c r="DB178" i="25"/>
  <c r="DB53" i="25"/>
  <c r="DM84" i="25"/>
  <c r="DW84" i="25" s="1"/>
  <c r="DB135" i="25"/>
  <c r="DB273" i="25"/>
  <c r="DM67" i="25"/>
  <c r="DW67" i="25" s="1"/>
  <c r="DB271" i="25"/>
  <c r="DM146" i="25"/>
  <c r="DW146" i="25" s="1"/>
  <c r="DM271" i="25"/>
  <c r="DW271" i="25" s="1"/>
  <c r="DM310" i="25"/>
  <c r="DW310" i="25" s="1"/>
  <c r="DM102" i="25"/>
  <c r="DW102" i="25" s="1"/>
  <c r="DB306" i="25"/>
  <c r="DB64" i="25"/>
  <c r="DM117" i="25"/>
  <c r="DW117" i="25" s="1"/>
  <c r="DB313" i="25"/>
  <c r="DB189" i="25"/>
  <c r="DM265" i="25"/>
  <c r="DW265" i="25" s="1"/>
  <c r="DB145" i="25"/>
  <c r="DB283" i="25"/>
  <c r="DB260" i="25"/>
  <c r="DB195" i="25"/>
  <c r="DM39" i="25"/>
  <c r="DW39" i="25" s="1"/>
  <c r="DB246" i="25"/>
  <c r="DB230" i="25"/>
  <c r="DB75" i="25"/>
  <c r="DB125" i="25"/>
  <c r="DM153" i="25"/>
  <c r="DW153" i="25" s="1"/>
  <c r="DB33" i="25"/>
  <c r="DB14" i="25"/>
  <c r="DB122" i="25"/>
  <c r="DB316" i="25"/>
  <c r="DB248" i="25"/>
  <c r="DB56" i="25"/>
  <c r="DB97" i="25"/>
  <c r="DM167" i="25"/>
  <c r="DW167" i="25" s="1"/>
  <c r="DM176" i="25"/>
  <c r="DW176" i="25" s="1"/>
  <c r="DM50" i="25"/>
  <c r="DW50" i="25" s="1"/>
  <c r="DM124" i="25"/>
  <c r="DW124" i="25" s="1"/>
  <c r="DM148" i="25"/>
  <c r="DW148" i="25" s="1"/>
  <c r="DB239" i="25"/>
  <c r="DB88" i="25"/>
  <c r="DB228" i="25"/>
  <c r="DM68" i="25"/>
  <c r="DW68" i="25" s="1"/>
  <c r="DB87" i="25"/>
  <c r="DM11" i="25"/>
  <c r="DW11" i="25" s="1"/>
  <c r="DB194" i="25"/>
  <c r="DB114" i="25"/>
  <c r="DB132" i="25"/>
  <c r="DM299" i="25"/>
  <c r="DW299" i="25" s="1"/>
  <c r="DB165" i="25"/>
  <c r="DM307" i="25"/>
  <c r="DW307" i="25" s="1"/>
  <c r="DB182" i="25"/>
  <c r="DB245" i="25"/>
  <c r="DB275" i="25"/>
  <c r="DB175" i="25"/>
  <c r="DB184" i="25"/>
  <c r="DB185" i="25"/>
  <c r="DB126" i="25"/>
  <c r="DM236" i="25"/>
  <c r="DW236" i="25" s="1"/>
  <c r="DB294" i="25"/>
  <c r="DB301" i="25"/>
  <c r="DB39" i="25"/>
  <c r="DB307" i="25"/>
  <c r="DB297" i="25"/>
  <c r="DB261" i="25"/>
  <c r="DB231" i="25"/>
  <c r="DB80" i="25"/>
  <c r="DM71" i="25"/>
  <c r="DW71" i="25" s="1"/>
  <c r="DB224" i="25"/>
  <c r="DB92" i="25"/>
  <c r="DB137" i="25"/>
  <c r="DB78" i="25"/>
  <c r="DM296" i="25"/>
  <c r="DW296" i="25" s="1"/>
  <c r="DB9" i="25"/>
  <c r="DB204" i="25"/>
  <c r="DC308" i="24"/>
  <c r="DC121" i="24"/>
  <c r="DC119" i="24"/>
  <c r="DC173" i="24"/>
  <c r="DC230" i="24"/>
  <c r="DC309" i="24"/>
  <c r="DC298" i="24"/>
  <c r="DC116" i="24"/>
  <c r="DC157" i="24"/>
  <c r="DC272" i="24"/>
  <c r="DJ219" i="25"/>
  <c r="DI219" i="25"/>
  <c r="DJ167" i="25"/>
  <c r="DI167" i="25"/>
  <c r="DJ303" i="25"/>
  <c r="DI303" i="25"/>
  <c r="DJ183" i="25"/>
  <c r="DI183" i="25"/>
  <c r="DJ8" i="25"/>
  <c r="DI8" i="25"/>
  <c r="DJ118" i="25"/>
  <c r="DI118" i="25"/>
  <c r="DJ104" i="25"/>
  <c r="DI104" i="25"/>
  <c r="DJ238" i="25"/>
  <c r="DI238" i="25"/>
  <c r="DM77" i="25"/>
  <c r="DJ186" i="25"/>
  <c r="DI186" i="25"/>
  <c r="DM136" i="25"/>
  <c r="DB22" i="25"/>
  <c r="DJ222" i="25"/>
  <c r="DI222" i="25"/>
  <c r="DJ245" i="25"/>
  <c r="DI245" i="25"/>
  <c r="DJ126" i="25"/>
  <c r="DI126" i="25"/>
  <c r="DJ129" i="25"/>
  <c r="DI129" i="25"/>
  <c r="DJ218" i="25"/>
  <c r="DI218" i="25"/>
  <c r="DJ209" i="25"/>
  <c r="DI209" i="25"/>
  <c r="DJ24" i="25"/>
  <c r="DI24" i="25"/>
  <c r="DB59" i="25"/>
  <c r="DJ185" i="25"/>
  <c r="DI185" i="25"/>
  <c r="DJ39" i="25"/>
  <c r="DI39" i="25"/>
  <c r="DB198" i="25"/>
  <c r="DM290" i="25"/>
  <c r="DW290" i="25" s="1"/>
  <c r="DB180" i="25"/>
  <c r="DM193" i="25"/>
  <c r="DB49" i="25"/>
  <c r="DB115" i="25"/>
  <c r="DJ66" i="25"/>
  <c r="DI66" i="25"/>
  <c r="DJ285" i="25"/>
  <c r="DI285" i="25"/>
  <c r="DJ131" i="25"/>
  <c r="DI131" i="25"/>
  <c r="DB258" i="25"/>
  <c r="DM141" i="25"/>
  <c r="DJ53" i="25"/>
  <c r="DI53" i="25"/>
  <c r="DM266" i="25"/>
  <c r="DW266" i="25" s="1"/>
  <c r="DM254" i="25"/>
  <c r="DW254" i="25" s="1"/>
  <c r="DJ44" i="25"/>
  <c r="DI44" i="25"/>
  <c r="DB133" i="25"/>
  <c r="DB267" i="25"/>
  <c r="DM228" i="25"/>
  <c r="DW228" i="25" s="1"/>
  <c r="DJ200" i="25"/>
  <c r="DI200" i="25"/>
  <c r="DJ168" i="25"/>
  <c r="DI168" i="25"/>
  <c r="DB205" i="25"/>
  <c r="DJ102" i="25"/>
  <c r="DI102" i="25"/>
  <c r="DM306" i="25"/>
  <c r="DW306" i="25" s="1"/>
  <c r="DJ283" i="25"/>
  <c r="DI283" i="25"/>
  <c r="DB303" i="25"/>
  <c r="DJ280" i="25"/>
  <c r="DI280" i="25"/>
  <c r="DM251" i="25"/>
  <c r="DW251" i="25" s="1"/>
  <c r="DM257" i="25"/>
  <c r="DW257" i="25" s="1"/>
  <c r="DM314" i="25"/>
  <c r="DW314" i="25" s="1"/>
  <c r="DM158" i="25"/>
  <c r="DB264" i="25"/>
  <c r="DJ80" i="25"/>
  <c r="DI80" i="25"/>
  <c r="DM226" i="25"/>
  <c r="DW226" i="25" s="1"/>
  <c r="DM15" i="25"/>
  <c r="DM78" i="25"/>
  <c r="DM190" i="25"/>
  <c r="DM164" i="25"/>
  <c r="DJ174" i="25"/>
  <c r="DI174" i="25"/>
  <c r="DJ269" i="25"/>
  <c r="DI269" i="25"/>
  <c r="DJ7" i="25"/>
  <c r="DI7" i="25"/>
  <c r="DJ233" i="25"/>
  <c r="DI233" i="25"/>
  <c r="DJ113" i="25"/>
  <c r="DI113" i="25"/>
  <c r="DB262" i="25"/>
  <c r="DJ288" i="25"/>
  <c r="DI288" i="25"/>
  <c r="DJ176" i="25"/>
  <c r="DI176" i="25"/>
  <c r="DB96" i="25"/>
  <c r="DJ246" i="25"/>
  <c r="DI246" i="25"/>
  <c r="DJ114" i="25"/>
  <c r="DI114" i="25"/>
  <c r="DJ172" i="25"/>
  <c r="DI172" i="25"/>
  <c r="DJ19" i="25"/>
  <c r="DI19" i="25"/>
  <c r="DB52" i="25"/>
  <c r="DB161" i="25"/>
  <c r="DM74" i="25"/>
  <c r="DJ101" i="25"/>
  <c r="DI101" i="25"/>
  <c r="DB168" i="25"/>
  <c r="DJ205" i="25"/>
  <c r="DI205" i="25"/>
  <c r="DB138" i="25"/>
  <c r="DB102" i="25"/>
  <c r="DB57" i="25"/>
  <c r="DJ221" i="25"/>
  <c r="DI221" i="25"/>
  <c r="DJ77" i="25"/>
  <c r="DI77" i="25"/>
  <c r="DB254" i="25"/>
  <c r="DJ136" i="25"/>
  <c r="DI136" i="25"/>
  <c r="DJ124" i="25"/>
  <c r="DI124" i="25"/>
  <c r="DB17" i="25"/>
  <c r="DM171" i="25"/>
  <c r="DB227" i="25"/>
  <c r="DB290" i="25"/>
  <c r="DM129" i="25"/>
  <c r="DB136" i="25"/>
  <c r="DB170" i="25"/>
  <c r="DM252" i="25"/>
  <c r="DW252" i="25" s="1"/>
  <c r="DJ273" i="25"/>
  <c r="DI273" i="25"/>
  <c r="DM185" i="25"/>
  <c r="DM300" i="25"/>
  <c r="DW300" i="25" s="1"/>
  <c r="DB30" i="25"/>
  <c r="DJ270" i="25"/>
  <c r="DI270" i="25"/>
  <c r="DJ18" i="25"/>
  <c r="DI18" i="25"/>
  <c r="DB77" i="25"/>
  <c r="DB123" i="25"/>
  <c r="DM93" i="25"/>
  <c r="DJ290" i="25"/>
  <c r="DI290" i="25"/>
  <c r="DJ197" i="25"/>
  <c r="DI197" i="25"/>
  <c r="DJ96" i="25"/>
  <c r="DI96" i="25"/>
  <c r="DB139" i="25"/>
  <c r="DB256" i="25"/>
  <c r="DM72" i="25"/>
  <c r="DB93" i="25"/>
  <c r="DB190" i="25"/>
  <c r="DM66" i="25"/>
  <c r="DB74" i="25"/>
  <c r="DM285" i="25"/>
  <c r="DW285" i="25" s="1"/>
  <c r="DJ152" i="25"/>
  <c r="DI152" i="25"/>
  <c r="DJ135" i="25"/>
  <c r="DI135" i="25"/>
  <c r="DB197" i="25"/>
  <c r="DJ6" i="25"/>
  <c r="DI6" i="25"/>
  <c r="DB98" i="25"/>
  <c r="DB188" i="25"/>
  <c r="DM170" i="25"/>
  <c r="DJ268" i="25"/>
  <c r="DI268" i="25"/>
  <c r="DB46" i="25"/>
  <c r="DJ141" i="25"/>
  <c r="DI141" i="25"/>
  <c r="DB50" i="25"/>
  <c r="DJ294" i="25"/>
  <c r="DI294" i="25"/>
  <c r="DJ295" i="25"/>
  <c r="DI295" i="25"/>
  <c r="DB174" i="25"/>
  <c r="DB288" i="25"/>
  <c r="DJ228" i="25"/>
  <c r="DI228" i="25"/>
  <c r="DM138" i="25"/>
  <c r="DM311" i="25"/>
  <c r="DW311" i="25" s="1"/>
  <c r="DB274" i="25"/>
  <c r="DM168" i="25"/>
  <c r="DM217" i="25"/>
  <c r="DW217" i="25" s="1"/>
  <c r="DB127" i="25"/>
  <c r="DJ306" i="25"/>
  <c r="DI306" i="25"/>
  <c r="DJ64" i="25"/>
  <c r="DI64" i="25"/>
  <c r="DJ234" i="25"/>
  <c r="DI234" i="25"/>
  <c r="DI132" i="25"/>
  <c r="DJ132" i="25"/>
  <c r="DB120" i="25"/>
  <c r="DM280" i="25"/>
  <c r="DW280" i="25" s="1"/>
  <c r="DJ251" i="25"/>
  <c r="DI251" i="25"/>
  <c r="DB152" i="25"/>
  <c r="DJ314" i="25"/>
  <c r="DI314" i="25"/>
  <c r="DJ231" i="25"/>
  <c r="DI231" i="25"/>
  <c r="DJ158" i="25"/>
  <c r="DI158" i="25"/>
  <c r="DJ304" i="25"/>
  <c r="DI304" i="25"/>
  <c r="DM80" i="25"/>
  <c r="DM45" i="25"/>
  <c r="DJ226" i="25"/>
  <c r="DI226" i="25"/>
  <c r="DJ15" i="25"/>
  <c r="DI15" i="25"/>
  <c r="DB31" i="25"/>
  <c r="DJ210" i="25"/>
  <c r="DI210" i="25"/>
  <c r="DM56" i="25"/>
  <c r="DB61" i="25"/>
  <c r="DJ164" i="25"/>
  <c r="DI164" i="25"/>
  <c r="DJ60" i="25"/>
  <c r="DI60" i="25"/>
  <c r="DM233" i="25"/>
  <c r="DW233" i="25" s="1"/>
  <c r="DJ62" i="25"/>
  <c r="DI62" i="25"/>
  <c r="DJ21" i="25"/>
  <c r="DI21" i="25"/>
  <c r="DB252" i="25"/>
  <c r="DB172" i="25"/>
  <c r="DJ74" i="25"/>
  <c r="DI74" i="25"/>
  <c r="DJ94" i="25"/>
  <c r="DI94" i="25"/>
  <c r="DB47" i="25"/>
  <c r="DJ117" i="25"/>
  <c r="DI117" i="25"/>
  <c r="DB199" i="25"/>
  <c r="DB104" i="25"/>
  <c r="DJ165" i="25"/>
  <c r="DI165" i="25"/>
  <c r="DJ50" i="25"/>
  <c r="DI50" i="25"/>
  <c r="DJ73" i="25"/>
  <c r="DI73" i="25"/>
  <c r="DJ71" i="25"/>
  <c r="DI71" i="25"/>
  <c r="DJ116" i="25"/>
  <c r="DI116" i="25"/>
  <c r="DJ229" i="25"/>
  <c r="DI229" i="25"/>
  <c r="DJ223" i="25"/>
  <c r="DI223" i="25"/>
  <c r="DJ115" i="25"/>
  <c r="DI115" i="25"/>
  <c r="DM139" i="25"/>
  <c r="DJ278" i="25"/>
  <c r="DI278" i="25"/>
  <c r="DJ171" i="25"/>
  <c r="DI171" i="25"/>
  <c r="DB289" i="25"/>
  <c r="DJ161" i="25"/>
  <c r="DI161" i="25"/>
  <c r="DB94" i="25"/>
  <c r="DJ252" i="25"/>
  <c r="DI252" i="25"/>
  <c r="DJ300" i="25"/>
  <c r="DI300" i="25"/>
  <c r="DB293" i="25"/>
  <c r="DJ93" i="25"/>
  <c r="DI93" i="25"/>
  <c r="DB20" i="25"/>
  <c r="DB129" i="25"/>
  <c r="DM145" i="25"/>
  <c r="DM96" i="25"/>
  <c r="DJ72" i="25"/>
  <c r="DI72" i="25"/>
  <c r="DM301" i="25"/>
  <c r="DW301" i="25" s="1"/>
  <c r="DJ30" i="25"/>
  <c r="DI30" i="25"/>
  <c r="DB79" i="25"/>
  <c r="DM253" i="25"/>
  <c r="DW253" i="25" s="1"/>
  <c r="DB233" i="25"/>
  <c r="DJ201" i="25"/>
  <c r="DI201" i="25"/>
  <c r="DB209" i="25"/>
  <c r="DJ307" i="25"/>
  <c r="DI307" i="25"/>
  <c r="DW6" i="25"/>
  <c r="DJ54" i="25"/>
  <c r="DI54" i="25"/>
  <c r="DB68" i="25"/>
  <c r="DM128" i="25"/>
  <c r="DJ170" i="25"/>
  <c r="DI170" i="25"/>
  <c r="DJ316" i="25"/>
  <c r="DI316" i="25"/>
  <c r="DB23" i="25"/>
  <c r="DB142" i="25"/>
  <c r="DB193" i="25"/>
  <c r="DB202" i="25"/>
  <c r="DM38" i="25"/>
  <c r="DB91" i="25"/>
  <c r="DM294" i="25"/>
  <c r="DW294" i="25" s="1"/>
  <c r="DB124" i="25"/>
  <c r="DM295" i="25"/>
  <c r="DW295" i="25" s="1"/>
  <c r="DM40" i="25"/>
  <c r="DJ138" i="25"/>
  <c r="DI138" i="25"/>
  <c r="DJ311" i="25"/>
  <c r="DI311" i="25"/>
  <c r="DM143" i="25"/>
  <c r="DJ217" i="25"/>
  <c r="DI217" i="25"/>
  <c r="DM27" i="25"/>
  <c r="DB18" i="25"/>
  <c r="DM64" i="25"/>
  <c r="DJ79" i="25"/>
  <c r="DI79" i="25"/>
  <c r="DM9" i="25"/>
  <c r="DB11" i="25"/>
  <c r="DM99" i="25"/>
  <c r="DM292" i="25"/>
  <c r="DW292" i="25" s="1"/>
  <c r="DM47" i="25"/>
  <c r="DM173" i="25"/>
  <c r="DB131" i="25"/>
  <c r="DB291" i="25"/>
  <c r="DM35" i="25"/>
  <c r="DM277" i="25"/>
  <c r="DW277" i="25" s="1"/>
  <c r="DM83" i="25"/>
  <c r="DB67" i="25"/>
  <c r="DJ45" i="25"/>
  <c r="DI45" i="25"/>
  <c r="DB229" i="25"/>
  <c r="DM105" i="25"/>
  <c r="DB35" i="25"/>
  <c r="DB206" i="25"/>
  <c r="DM210" i="25"/>
  <c r="DJ56" i="25"/>
  <c r="DI56" i="25"/>
  <c r="DB196" i="25"/>
  <c r="DM60" i="25"/>
  <c r="DM276" i="25"/>
  <c r="DW276" i="25" s="1"/>
  <c r="DJ155" i="25"/>
  <c r="DI155" i="25"/>
  <c r="DJ162" i="25"/>
  <c r="DI162" i="25"/>
  <c r="DM88" i="25"/>
  <c r="DJ291" i="25"/>
  <c r="DI291" i="25"/>
  <c r="DJ28" i="25"/>
  <c r="DI28" i="25"/>
  <c r="DJ142" i="25"/>
  <c r="DI142" i="25"/>
  <c r="DJ61" i="25"/>
  <c r="DI61" i="25"/>
  <c r="DJ151" i="25"/>
  <c r="DI151" i="25"/>
  <c r="DJ204" i="25"/>
  <c r="DI204" i="25"/>
  <c r="DJ139" i="25"/>
  <c r="DI139" i="25"/>
  <c r="DJ159" i="25"/>
  <c r="DI159" i="25"/>
  <c r="DM17" i="25"/>
  <c r="DJ52" i="25"/>
  <c r="DI52" i="25"/>
  <c r="DJ133" i="25"/>
  <c r="DI133" i="25"/>
  <c r="DJ55" i="25"/>
  <c r="DI55" i="25"/>
  <c r="DJ247" i="25"/>
  <c r="DI247" i="25"/>
  <c r="DJ282" i="25"/>
  <c r="DI282" i="25"/>
  <c r="DI145" i="25"/>
  <c r="DJ145" i="25"/>
  <c r="DJ301" i="25"/>
  <c r="DI301" i="25"/>
  <c r="DJ253" i="25"/>
  <c r="DI253" i="25"/>
  <c r="DJ36" i="25"/>
  <c r="DI36" i="25"/>
  <c r="DJ46" i="25"/>
  <c r="DI46" i="25"/>
  <c r="DJ153" i="25"/>
  <c r="DI153" i="25"/>
  <c r="DM225" i="25"/>
  <c r="DW225" i="25" s="1"/>
  <c r="DJ208" i="25"/>
  <c r="DI208" i="25"/>
  <c r="DJ38" i="25"/>
  <c r="DI38" i="25"/>
  <c r="DM262" i="25"/>
  <c r="DW262" i="25" s="1"/>
  <c r="DM100" i="25"/>
  <c r="DM70" i="25"/>
  <c r="DJ40" i="25"/>
  <c r="DI40" i="25"/>
  <c r="DJ87" i="25"/>
  <c r="DI87" i="25"/>
  <c r="DJ143" i="25"/>
  <c r="DI143" i="25"/>
  <c r="DJ27" i="25"/>
  <c r="DI27" i="25"/>
  <c r="DJ31" i="25"/>
  <c r="DI31" i="25"/>
  <c r="DM175" i="25"/>
  <c r="DI286" i="25"/>
  <c r="DJ286" i="25"/>
  <c r="DJ166" i="25"/>
  <c r="DI166" i="25"/>
  <c r="DM79" i="25"/>
  <c r="DJ9" i="25"/>
  <c r="DI9" i="25"/>
  <c r="DJ99" i="25"/>
  <c r="DI99" i="25"/>
  <c r="DJ144" i="25"/>
  <c r="DI144" i="25"/>
  <c r="DJ292" i="25"/>
  <c r="DI292" i="25"/>
  <c r="DJ47" i="25"/>
  <c r="DI47" i="25"/>
  <c r="DJ173" i="25"/>
  <c r="DI173" i="25"/>
  <c r="DM259" i="25"/>
  <c r="DW259" i="25" s="1"/>
  <c r="DJ35" i="25"/>
  <c r="DI35" i="25"/>
  <c r="DJ277" i="25"/>
  <c r="DI277" i="25"/>
  <c r="DJ83" i="25"/>
  <c r="DI83" i="25"/>
  <c r="DJ275" i="25"/>
  <c r="DI275" i="25"/>
  <c r="DJ105" i="25"/>
  <c r="DI105" i="25"/>
  <c r="DJ32" i="25"/>
  <c r="DI32" i="25"/>
  <c r="DJ239" i="25"/>
  <c r="DI239" i="25"/>
  <c r="DM127" i="25"/>
  <c r="DJ276" i="25"/>
  <c r="DI276" i="25"/>
  <c r="DB232" i="25"/>
  <c r="DB314" i="25"/>
  <c r="DJ146" i="25"/>
  <c r="DI146" i="25"/>
  <c r="DJ88" i="25"/>
  <c r="DI88" i="25"/>
  <c r="DJ274" i="25"/>
  <c r="DI274" i="25"/>
  <c r="DB159" i="25"/>
  <c r="DB25" i="25"/>
  <c r="DJ260" i="25"/>
  <c r="DI260" i="25"/>
  <c r="DB153" i="25"/>
  <c r="DB242" i="25"/>
  <c r="DB149" i="25"/>
  <c r="DJ264" i="25"/>
  <c r="DI264" i="25"/>
  <c r="DJ207" i="25"/>
  <c r="DI207" i="25"/>
  <c r="DB128" i="25"/>
  <c r="DJ198" i="25"/>
  <c r="DI198" i="25"/>
  <c r="DB58" i="25"/>
  <c r="DM242" i="25"/>
  <c r="DW242" i="25" s="1"/>
  <c r="DB183" i="25"/>
  <c r="DJ255" i="25"/>
  <c r="DI255" i="25"/>
  <c r="DJ196" i="25"/>
  <c r="DI196" i="25"/>
  <c r="DB146" i="25"/>
  <c r="DJ297" i="25"/>
  <c r="DI297" i="25"/>
  <c r="DB100" i="25"/>
  <c r="DJ17" i="25"/>
  <c r="DI17" i="25"/>
  <c r="DM48" i="25"/>
  <c r="DB272" i="25"/>
  <c r="DJ148" i="25"/>
  <c r="DI148" i="25"/>
  <c r="DJ188" i="25"/>
  <c r="DI188" i="25"/>
  <c r="DJ177" i="25"/>
  <c r="DI177" i="25"/>
  <c r="DB42" i="25"/>
  <c r="DJ235" i="25"/>
  <c r="DI235" i="25"/>
  <c r="DJ298" i="25"/>
  <c r="DI298" i="25"/>
  <c r="DB296" i="25"/>
  <c r="DJ85" i="25"/>
  <c r="DI85" i="25"/>
  <c r="DB8" i="25"/>
  <c r="DB43" i="25"/>
  <c r="DJ125" i="25"/>
  <c r="DI125" i="25"/>
  <c r="DB38" i="25"/>
  <c r="DB81" i="25"/>
  <c r="DB171" i="25"/>
  <c r="DJ150" i="25"/>
  <c r="DI150" i="25"/>
  <c r="DJ22" i="25"/>
  <c r="DI22" i="25"/>
  <c r="DM86" i="25"/>
  <c r="DJ149" i="25"/>
  <c r="DI149" i="25"/>
  <c r="DM12" i="25"/>
  <c r="DJ49" i="25"/>
  <c r="DI49" i="25"/>
  <c r="DB151" i="25"/>
  <c r="DB285" i="25"/>
  <c r="DJ310" i="25"/>
  <c r="DI310" i="25"/>
  <c r="DJ128" i="25"/>
  <c r="DI128" i="25"/>
  <c r="DB28" i="25"/>
  <c r="DM89" i="25"/>
  <c r="DM305" i="25"/>
  <c r="DW305" i="25" s="1"/>
  <c r="DJ279" i="25"/>
  <c r="DI279" i="25"/>
  <c r="DB141" i="25"/>
  <c r="DJ225" i="25"/>
  <c r="DI225" i="25"/>
  <c r="DJ123" i="25"/>
  <c r="DI123" i="25"/>
  <c r="DB37" i="25"/>
  <c r="DM208" i="25"/>
  <c r="DJ248" i="25"/>
  <c r="DI248" i="25"/>
  <c r="DB240" i="25"/>
  <c r="DM157" i="25"/>
  <c r="DM23" i="25"/>
  <c r="DJ262" i="25"/>
  <c r="DI262" i="25"/>
  <c r="DB36" i="25"/>
  <c r="DJ100" i="25"/>
  <c r="DI100" i="25"/>
  <c r="DJ70" i="25"/>
  <c r="DI70" i="25"/>
  <c r="DB118" i="25"/>
  <c r="DB113" i="25"/>
  <c r="DB116" i="25"/>
  <c r="DM87" i="25"/>
  <c r="DM156" i="25"/>
  <c r="DJ249" i="25"/>
  <c r="DI249" i="25"/>
  <c r="DJ199" i="25"/>
  <c r="DI199" i="25"/>
  <c r="DJ175" i="25"/>
  <c r="DI175" i="25"/>
  <c r="DJ289" i="25"/>
  <c r="DI289" i="25"/>
  <c r="DB54" i="25"/>
  <c r="DB249" i="25"/>
  <c r="DJ84" i="25"/>
  <c r="DI84" i="25"/>
  <c r="DB84" i="25"/>
  <c r="DJ187" i="25"/>
  <c r="DI187" i="25"/>
  <c r="DJ65" i="25"/>
  <c r="DI65" i="25"/>
  <c r="DJ41" i="25"/>
  <c r="DI41" i="25"/>
  <c r="DM267" i="25"/>
  <c r="DW267" i="25" s="1"/>
  <c r="DJ259" i="25"/>
  <c r="DI259" i="25"/>
  <c r="DM98" i="25"/>
  <c r="DB26" i="25"/>
  <c r="DM302" i="25"/>
  <c r="DW302" i="25" s="1"/>
  <c r="DJ67" i="25"/>
  <c r="DI67" i="25"/>
  <c r="DM275" i="25"/>
  <c r="DW275" i="25" s="1"/>
  <c r="DB167" i="25"/>
  <c r="DB16" i="25"/>
  <c r="DB62" i="25"/>
  <c r="DB312" i="25"/>
  <c r="DM239" i="25"/>
  <c r="DW239" i="25" s="1"/>
  <c r="DJ206" i="25"/>
  <c r="DI206" i="25"/>
  <c r="DB160" i="25"/>
  <c r="DB99" i="25"/>
  <c r="DJ57" i="25"/>
  <c r="DI57" i="25"/>
  <c r="DJ203" i="25"/>
  <c r="DI203" i="25"/>
  <c r="DJ122" i="25"/>
  <c r="DI122" i="25"/>
  <c r="DJ261" i="25"/>
  <c r="DI261" i="25"/>
  <c r="DJ315" i="25"/>
  <c r="DI315" i="25"/>
  <c r="DJ194" i="25"/>
  <c r="DI194" i="25"/>
  <c r="DM25" i="25"/>
  <c r="DJ69" i="25"/>
  <c r="DI69" i="25"/>
  <c r="DJ243" i="25"/>
  <c r="DI243" i="25"/>
  <c r="DJ230" i="25"/>
  <c r="DI230" i="25"/>
  <c r="DJ242" i="25"/>
  <c r="DI242" i="25"/>
  <c r="DM169" i="25"/>
  <c r="DJ192" i="25"/>
  <c r="DI192" i="25"/>
  <c r="DJ236" i="25"/>
  <c r="DI236" i="25"/>
  <c r="DM13" i="25"/>
  <c r="DJ48" i="25"/>
  <c r="DI48" i="25"/>
  <c r="DJ237" i="25"/>
  <c r="DI237" i="25"/>
  <c r="DJ63" i="25"/>
  <c r="DI63" i="25"/>
  <c r="DJ182" i="25"/>
  <c r="DI182" i="25"/>
  <c r="DM177" i="25"/>
  <c r="DJ163" i="25"/>
  <c r="DI163" i="25"/>
  <c r="DM235" i="25"/>
  <c r="DW235" i="25" s="1"/>
  <c r="DJ160" i="25"/>
  <c r="DI160" i="25"/>
  <c r="DM298" i="25"/>
  <c r="DW298" i="25" s="1"/>
  <c r="DJ51" i="25"/>
  <c r="DI51" i="25"/>
  <c r="DJ154" i="25"/>
  <c r="DI154" i="25"/>
  <c r="DJ240" i="25"/>
  <c r="DI240" i="25"/>
  <c r="DJ86" i="25"/>
  <c r="DI86" i="25"/>
  <c r="DJ130" i="25"/>
  <c r="DI130" i="25"/>
  <c r="DJ12" i="25"/>
  <c r="DI12" i="25"/>
  <c r="DM49" i="25"/>
  <c r="DM250" i="25"/>
  <c r="DW250" i="25" s="1"/>
  <c r="DJ89" i="25"/>
  <c r="DI89" i="25"/>
  <c r="DJ305" i="25"/>
  <c r="DI305" i="25"/>
  <c r="DJ256" i="25"/>
  <c r="DI256" i="25"/>
  <c r="DJ189" i="25"/>
  <c r="DI189" i="25"/>
  <c r="DJ178" i="25"/>
  <c r="DI178" i="25"/>
  <c r="DM90" i="25"/>
  <c r="DJ134" i="25"/>
  <c r="DI134" i="25"/>
  <c r="DJ157" i="25"/>
  <c r="DI157" i="25"/>
  <c r="DJ23" i="25"/>
  <c r="DI23" i="25"/>
  <c r="DM308" i="25"/>
  <c r="DW308" i="25" s="1"/>
  <c r="DM37" i="25"/>
  <c r="DJ111" i="25"/>
  <c r="DI111" i="25"/>
  <c r="DJ220" i="25"/>
  <c r="DI220" i="25"/>
  <c r="DJ156" i="25"/>
  <c r="DI156" i="25"/>
  <c r="DM199" i="25"/>
  <c r="DJ76" i="25"/>
  <c r="DI76" i="25"/>
  <c r="DM289" i="25"/>
  <c r="DW289" i="25" s="1"/>
  <c r="DM187" i="25"/>
  <c r="DM65" i="25"/>
  <c r="DM244" i="25"/>
  <c r="DW244" i="25" s="1"/>
  <c r="DM91" i="25"/>
  <c r="DJ267" i="25"/>
  <c r="DI267" i="25"/>
  <c r="DB286" i="25"/>
  <c r="DB311" i="25"/>
  <c r="DJ98" i="25"/>
  <c r="DI98" i="25"/>
  <c r="DJ302" i="25"/>
  <c r="DI302" i="25"/>
  <c r="DM191" i="25"/>
  <c r="DM147" i="25"/>
  <c r="DM92" i="25"/>
  <c r="DM14" i="25"/>
  <c r="DM203" i="25"/>
  <c r="DM122" i="25"/>
  <c r="DB89" i="25"/>
  <c r="DB55" i="25"/>
  <c r="DJ82" i="25"/>
  <c r="DI82" i="25"/>
  <c r="DM194" i="25"/>
  <c r="DB225" i="25"/>
  <c r="DB40" i="25"/>
  <c r="DJ20" i="25"/>
  <c r="DI20" i="25"/>
  <c r="DJ25" i="25"/>
  <c r="DI25" i="25"/>
  <c r="DB60" i="25"/>
  <c r="DB15" i="25"/>
  <c r="DJ309" i="25"/>
  <c r="DI309" i="25"/>
  <c r="DM313" i="25"/>
  <c r="DW313" i="25" s="1"/>
  <c r="DB29" i="25"/>
  <c r="DB298" i="25"/>
  <c r="DJ16" i="25"/>
  <c r="DI16" i="25"/>
  <c r="DM81" i="25"/>
  <c r="DB85" i="25"/>
  <c r="DM230" i="25"/>
  <c r="DW230" i="25" s="1"/>
  <c r="DB176" i="25"/>
  <c r="DJ195" i="25"/>
  <c r="DI195" i="25"/>
  <c r="DJ265" i="25"/>
  <c r="DI265" i="25"/>
  <c r="DJ169" i="25"/>
  <c r="DI169" i="25"/>
  <c r="DB253" i="25"/>
  <c r="DM272" i="25"/>
  <c r="DW272" i="25" s="1"/>
  <c r="DJ287" i="25"/>
  <c r="DI287" i="25"/>
  <c r="DJ140" i="25"/>
  <c r="DI140" i="25"/>
  <c r="DJ13" i="25"/>
  <c r="DI13" i="25"/>
  <c r="DB287" i="25"/>
  <c r="DM137" i="25"/>
  <c r="DM181" i="25"/>
  <c r="DJ184" i="25"/>
  <c r="DI184" i="25"/>
  <c r="DM227" i="25"/>
  <c r="DW227" i="25" s="1"/>
  <c r="DB121" i="25"/>
  <c r="DB21" i="25"/>
  <c r="DB45" i="25"/>
  <c r="DJ68" i="25"/>
  <c r="DI68" i="25"/>
  <c r="DB191" i="25"/>
  <c r="DM51" i="25"/>
  <c r="DB208" i="25"/>
  <c r="DJ258" i="25"/>
  <c r="DI258" i="25"/>
  <c r="DB130" i="25"/>
  <c r="DJ271" i="25"/>
  <c r="DI271" i="25"/>
  <c r="DB13" i="25"/>
  <c r="DB308" i="25"/>
  <c r="DM33" i="25"/>
  <c r="DB305" i="25"/>
  <c r="DJ250" i="25"/>
  <c r="DI250" i="25"/>
  <c r="DB266" i="25"/>
  <c r="DB34" i="25"/>
  <c r="DB250" i="25"/>
  <c r="DM263" i="25"/>
  <c r="DW263" i="25" s="1"/>
  <c r="DB309" i="25"/>
  <c r="DM119" i="25"/>
  <c r="DB257" i="25"/>
  <c r="DM121" i="25"/>
  <c r="DM256" i="25"/>
  <c r="DW256" i="25" s="1"/>
  <c r="DM189" i="25"/>
  <c r="DM178" i="25"/>
  <c r="DJ90" i="25"/>
  <c r="DI90" i="25"/>
  <c r="DB95" i="25"/>
  <c r="DM43" i="25"/>
  <c r="DB111" i="25"/>
  <c r="DM29" i="25"/>
  <c r="DJ95" i="25"/>
  <c r="DI95" i="25"/>
  <c r="DJ308" i="25"/>
  <c r="DI308" i="25"/>
  <c r="DJ37" i="25"/>
  <c r="DI37" i="25"/>
  <c r="DM111" i="25"/>
  <c r="DM284" i="25"/>
  <c r="DW284" i="25" s="1"/>
  <c r="DI110" i="25"/>
  <c r="DM34" i="25"/>
  <c r="DB217" i="25"/>
  <c r="DJ232" i="25"/>
  <c r="DI232" i="25"/>
  <c r="DJ58" i="25"/>
  <c r="DI58" i="25"/>
  <c r="DJ179" i="25"/>
  <c r="DI179" i="25"/>
  <c r="DM103" i="25"/>
  <c r="DJ244" i="25"/>
  <c r="DI244" i="25"/>
  <c r="DJ91" i="25"/>
  <c r="DI91" i="25"/>
  <c r="DB158" i="25"/>
  <c r="DJ120" i="25"/>
  <c r="DI120" i="25"/>
  <c r="DB163" i="25"/>
  <c r="DB299" i="25"/>
  <c r="DJ97" i="25"/>
  <c r="DI97" i="25"/>
  <c r="DM42" i="25"/>
  <c r="DB234" i="25"/>
  <c r="DJ191" i="25"/>
  <c r="DI191" i="25"/>
  <c r="DM59" i="25"/>
  <c r="DI147" i="25"/>
  <c r="DJ147" i="25"/>
  <c r="DB134" i="25"/>
  <c r="DJ92" i="25"/>
  <c r="DI92" i="25"/>
  <c r="DJ14" i="25"/>
  <c r="DI14" i="25"/>
  <c r="DB144" i="25"/>
  <c r="DB201" i="25"/>
  <c r="DJ241" i="25"/>
  <c r="DI241" i="25"/>
  <c r="DJ180" i="25"/>
  <c r="DI180" i="25"/>
  <c r="DJ313" i="25"/>
  <c r="DI313" i="25"/>
  <c r="DJ10" i="25"/>
  <c r="DI10" i="25"/>
  <c r="DJ75" i="25"/>
  <c r="DI75" i="25"/>
  <c r="DJ81" i="25"/>
  <c r="DI81" i="25"/>
  <c r="DJ272" i="25"/>
  <c r="DI272" i="25"/>
  <c r="DM287" i="25"/>
  <c r="DW287" i="25" s="1"/>
  <c r="DM245" i="25"/>
  <c r="DW245" i="25" s="1"/>
  <c r="DJ281" i="25"/>
  <c r="DI281" i="25"/>
  <c r="DM126" i="25"/>
  <c r="DJ137" i="25"/>
  <c r="DI137" i="25"/>
  <c r="DJ181" i="25"/>
  <c r="DI181" i="25"/>
  <c r="DJ227" i="25"/>
  <c r="DI227" i="25"/>
  <c r="DM24" i="25"/>
  <c r="DJ293" i="25"/>
  <c r="DI293" i="25"/>
  <c r="DJ26" i="25"/>
  <c r="DI26" i="25"/>
  <c r="DJ127" i="25"/>
  <c r="DI127" i="25"/>
  <c r="DJ193" i="25"/>
  <c r="DI193" i="25"/>
  <c r="DJ312" i="25"/>
  <c r="DI312" i="25"/>
  <c r="DJ33" i="25"/>
  <c r="DI33" i="25"/>
  <c r="DJ263" i="25"/>
  <c r="DI263" i="25"/>
  <c r="DJ119" i="25"/>
  <c r="DI119" i="25"/>
  <c r="DJ121" i="25"/>
  <c r="DI121" i="25"/>
  <c r="DJ11" i="25"/>
  <c r="DI11" i="25"/>
  <c r="DJ296" i="25"/>
  <c r="DI296" i="25"/>
  <c r="DJ224" i="25"/>
  <c r="DI224" i="25"/>
  <c r="DJ43" i="25"/>
  <c r="DI43" i="25"/>
  <c r="DJ29" i="25"/>
  <c r="DI29" i="25"/>
  <c r="DJ266" i="25"/>
  <c r="DI266" i="25"/>
  <c r="DM95" i="25"/>
  <c r="DJ254" i="25"/>
  <c r="DI254" i="25"/>
  <c r="DM200" i="25"/>
  <c r="DJ284" i="25"/>
  <c r="DI284" i="25"/>
  <c r="DJ34" i="25"/>
  <c r="DI34" i="25"/>
  <c r="DM283" i="25"/>
  <c r="DW283" i="25" s="1"/>
  <c r="DM232" i="25"/>
  <c r="DW232" i="25" s="1"/>
  <c r="DJ299" i="25"/>
  <c r="DI299" i="25"/>
  <c r="DM58" i="25"/>
  <c r="DM179" i="25"/>
  <c r="DJ103" i="25"/>
  <c r="DI103" i="25"/>
  <c r="DJ202" i="25"/>
  <c r="DI202" i="25"/>
  <c r="DJ257" i="25"/>
  <c r="DI257" i="25"/>
  <c r="DM97" i="25"/>
  <c r="DJ42" i="25"/>
  <c r="DI42" i="25"/>
  <c r="DM131" i="25"/>
  <c r="DJ59" i="25"/>
  <c r="DI59" i="25"/>
  <c r="DJ78" i="25"/>
  <c r="DI78" i="25"/>
  <c r="DJ190" i="25"/>
  <c r="DI190" i="25"/>
  <c r="DM174" i="25"/>
  <c r="DM269" i="25"/>
  <c r="DW269" i="25" s="1"/>
  <c r="DW7" i="25"/>
  <c r="DM241" i="25"/>
  <c r="DW241" i="25" s="1"/>
  <c r="DM279" i="25"/>
  <c r="DW279" i="25" s="1"/>
  <c r="DM180" i="25"/>
  <c r="DC251" i="24"/>
  <c r="DC196" i="24"/>
  <c r="DC191" i="24"/>
  <c r="DC297" i="24"/>
  <c r="DC237" i="24"/>
  <c r="DC220" i="24"/>
  <c r="DC313" i="24"/>
  <c r="DC282" i="24"/>
  <c r="DC286" i="24"/>
  <c r="DC290" i="24"/>
  <c r="DC244" i="24"/>
  <c r="DC306" i="24"/>
  <c r="DC224" i="24"/>
  <c r="DC233" i="24"/>
  <c r="DC126" i="24"/>
  <c r="DC147" i="24"/>
  <c r="DC137" i="24"/>
  <c r="DC193" i="24"/>
  <c r="DC247" i="24"/>
  <c r="DC118" i="24"/>
  <c r="DC312" i="24"/>
  <c r="DC225" i="24"/>
  <c r="DC218" i="24"/>
  <c r="DC270" i="24"/>
  <c r="DC175" i="24"/>
  <c r="DC295" i="24"/>
  <c r="DC207" i="24"/>
  <c r="DC311" i="24"/>
  <c r="DC167" i="24"/>
  <c r="DC179" i="24"/>
  <c r="DC180" i="24"/>
  <c r="DC125" i="24"/>
  <c r="DC303" i="24"/>
  <c r="DC231" i="24"/>
  <c r="DB210" i="24"/>
  <c r="DE210" i="24" s="1"/>
  <c r="DF210" i="24" s="1"/>
  <c r="DG210" i="24" s="1"/>
  <c r="DI210" i="24"/>
  <c r="DM210" i="24"/>
  <c r="DB181" i="24"/>
  <c r="DE181" i="24" s="1"/>
  <c r="DF181" i="24" s="1"/>
  <c r="DG181" i="24" s="1"/>
  <c r="DI181" i="24"/>
  <c r="DM181" i="24"/>
  <c r="DC204" i="24"/>
  <c r="DA91" i="24"/>
  <c r="DC91" i="24" s="1"/>
  <c r="DI91" i="24"/>
  <c r="DB91" i="24"/>
  <c r="DE91" i="24" s="1"/>
  <c r="DF91" i="24" s="1"/>
  <c r="DG91" i="24" s="1"/>
  <c r="DM91" i="24"/>
  <c r="DI27" i="24"/>
  <c r="DB27" i="24"/>
  <c r="DE27" i="24" s="1"/>
  <c r="DF27" i="24" s="1"/>
  <c r="DG27" i="24" s="1"/>
  <c r="DM27" i="24"/>
  <c r="DB271" i="24"/>
  <c r="DE271" i="24" s="1"/>
  <c r="DF271" i="24" s="1"/>
  <c r="DG271" i="24" s="1"/>
  <c r="DI271" i="24"/>
  <c r="DM271" i="24"/>
  <c r="DI197" i="24"/>
  <c r="DB197" i="24"/>
  <c r="DE197" i="24" s="1"/>
  <c r="DF197" i="24" s="1"/>
  <c r="DG197" i="24" s="1"/>
  <c r="DM197" i="24"/>
  <c r="DI79" i="24"/>
  <c r="DB79" i="24"/>
  <c r="DE79" i="24" s="1"/>
  <c r="DF79" i="24" s="1"/>
  <c r="DG79" i="24" s="1"/>
  <c r="DM79" i="24"/>
  <c r="DB80" i="24"/>
  <c r="DE80" i="24" s="1"/>
  <c r="DF80" i="24" s="1"/>
  <c r="DG80" i="24" s="1"/>
  <c r="DI80" i="24"/>
  <c r="DM80" i="24"/>
  <c r="DI254" i="24"/>
  <c r="DB254" i="24"/>
  <c r="DE254" i="24" s="1"/>
  <c r="DF254" i="24" s="1"/>
  <c r="DG254" i="24" s="1"/>
  <c r="DM254" i="24"/>
  <c r="DB56" i="24"/>
  <c r="DE56" i="24" s="1"/>
  <c r="DF56" i="24" s="1"/>
  <c r="DG56" i="24" s="1"/>
  <c r="DI56" i="24"/>
  <c r="DM56" i="24"/>
  <c r="DI112" i="24"/>
  <c r="DB112" i="24"/>
  <c r="DE112" i="24" s="1"/>
  <c r="DF112" i="24" s="1"/>
  <c r="DG112" i="24" s="1"/>
  <c r="DM112" i="24"/>
  <c r="DI137" i="24"/>
  <c r="DB137" i="24"/>
  <c r="DE137" i="24" s="1"/>
  <c r="DF137" i="24" s="1"/>
  <c r="DG137" i="24" s="1"/>
  <c r="DM137" i="24"/>
  <c r="DI100" i="24"/>
  <c r="DB100" i="24"/>
  <c r="DE100" i="24" s="1"/>
  <c r="DF100" i="24" s="1"/>
  <c r="DG100" i="24" s="1"/>
  <c r="DM100" i="24"/>
  <c r="DI312" i="24"/>
  <c r="DB312" i="24"/>
  <c r="DE312" i="24" s="1"/>
  <c r="DF312" i="24" s="1"/>
  <c r="DG312" i="24" s="1"/>
  <c r="DM312" i="24"/>
  <c r="DI222" i="24"/>
  <c r="DB222" i="24"/>
  <c r="DE222" i="24" s="1"/>
  <c r="DF222" i="24" s="1"/>
  <c r="DG222" i="24" s="1"/>
  <c r="DM222" i="24"/>
  <c r="DI207" i="24"/>
  <c r="DB207" i="24"/>
  <c r="DE207" i="24" s="1"/>
  <c r="DF207" i="24" s="1"/>
  <c r="DG207" i="24" s="1"/>
  <c r="DM207" i="24"/>
  <c r="DC131" i="24"/>
  <c r="DI173" i="24"/>
  <c r="DB173" i="24"/>
  <c r="DE173" i="24" s="1"/>
  <c r="DF173" i="24" s="1"/>
  <c r="DG173" i="24" s="1"/>
  <c r="DM173" i="24"/>
  <c r="DI60" i="24"/>
  <c r="DB60" i="24"/>
  <c r="DE60" i="24" s="1"/>
  <c r="DF60" i="24" s="1"/>
  <c r="DG60" i="24" s="1"/>
  <c r="DM60" i="24"/>
  <c r="DB290" i="24"/>
  <c r="DE290" i="24" s="1"/>
  <c r="DF290" i="24" s="1"/>
  <c r="DG290" i="24" s="1"/>
  <c r="DI290" i="24"/>
  <c r="DM290" i="24"/>
  <c r="DA222" i="24"/>
  <c r="DC222" i="24" s="1"/>
  <c r="DC242" i="24"/>
  <c r="DC132" i="24"/>
  <c r="DI123" i="24"/>
  <c r="DB123" i="24"/>
  <c r="DE123" i="24" s="1"/>
  <c r="DF123" i="24" s="1"/>
  <c r="DG123" i="24" s="1"/>
  <c r="DM123" i="24"/>
  <c r="DI72" i="24"/>
  <c r="DB72" i="24"/>
  <c r="DE72" i="24" s="1"/>
  <c r="DF72" i="24" s="1"/>
  <c r="DG72" i="24" s="1"/>
  <c r="DM72" i="24"/>
  <c r="DC283" i="24"/>
  <c r="DI309" i="24"/>
  <c r="DB309" i="24"/>
  <c r="DE309" i="24" s="1"/>
  <c r="DF309" i="24" s="1"/>
  <c r="DG309" i="24" s="1"/>
  <c r="DM309" i="24"/>
  <c r="DA89" i="24"/>
  <c r="DC89" i="24" s="1"/>
  <c r="DB89" i="24"/>
  <c r="DE89" i="24" s="1"/>
  <c r="DF89" i="24" s="1"/>
  <c r="DG89" i="24" s="1"/>
  <c r="DI89" i="24"/>
  <c r="DM89" i="24"/>
  <c r="DB205" i="24"/>
  <c r="DE205" i="24" s="1"/>
  <c r="DF205" i="24" s="1"/>
  <c r="DG205" i="24" s="1"/>
  <c r="DI205" i="24"/>
  <c r="DM205" i="24"/>
  <c r="DB289" i="24"/>
  <c r="DE289" i="24" s="1"/>
  <c r="DF289" i="24" s="1"/>
  <c r="DG289" i="24" s="1"/>
  <c r="DI289" i="24"/>
  <c r="DM289" i="24"/>
  <c r="DI234" i="24"/>
  <c r="DB234" i="24"/>
  <c r="DE234" i="24" s="1"/>
  <c r="DF234" i="24" s="1"/>
  <c r="DG234" i="24" s="1"/>
  <c r="DM234" i="24"/>
  <c r="DC267" i="24"/>
  <c r="DI29" i="24"/>
  <c r="DB29" i="24"/>
  <c r="DE29" i="24" s="1"/>
  <c r="DF29" i="24" s="1"/>
  <c r="DG29" i="24" s="1"/>
  <c r="DM29" i="24"/>
  <c r="DI224" i="24"/>
  <c r="DB224" i="24"/>
  <c r="DE224" i="24" s="1"/>
  <c r="DF224" i="24" s="1"/>
  <c r="DG224" i="24" s="1"/>
  <c r="DM224" i="24"/>
  <c r="DB20" i="24"/>
  <c r="DE20" i="24" s="1"/>
  <c r="DF20" i="24" s="1"/>
  <c r="DG20" i="24" s="1"/>
  <c r="DI20" i="24"/>
  <c r="DM20" i="24"/>
  <c r="DI73" i="24"/>
  <c r="DB73" i="24"/>
  <c r="DE73" i="24" s="1"/>
  <c r="DF73" i="24" s="1"/>
  <c r="DG73" i="24" s="1"/>
  <c r="DM73" i="24"/>
  <c r="DB267" i="24"/>
  <c r="DE267" i="24" s="1"/>
  <c r="DF267" i="24" s="1"/>
  <c r="DG267" i="24" s="1"/>
  <c r="DI267" i="24"/>
  <c r="DM267" i="24"/>
  <c r="DI158" i="24"/>
  <c r="DB158" i="24"/>
  <c r="DE158" i="24" s="1"/>
  <c r="DF158" i="24" s="1"/>
  <c r="DG158" i="24" s="1"/>
  <c r="DM158" i="24"/>
  <c r="DI94" i="24"/>
  <c r="DB94" i="24"/>
  <c r="DE94" i="24" s="1"/>
  <c r="DF94" i="24" s="1"/>
  <c r="DG94" i="24" s="1"/>
  <c r="DM94" i="24"/>
  <c r="DI135" i="24"/>
  <c r="DB135" i="24"/>
  <c r="DE135" i="24" s="1"/>
  <c r="DF135" i="24" s="1"/>
  <c r="DG135" i="24" s="1"/>
  <c r="DM135" i="24"/>
  <c r="DB235" i="24"/>
  <c r="DE235" i="24" s="1"/>
  <c r="DF235" i="24" s="1"/>
  <c r="DG235" i="24" s="1"/>
  <c r="DI235" i="24"/>
  <c r="DM235" i="24"/>
  <c r="DI256" i="24"/>
  <c r="DB256" i="24"/>
  <c r="DE256" i="24" s="1"/>
  <c r="DF256" i="24" s="1"/>
  <c r="DG256" i="24" s="1"/>
  <c r="DM256" i="24"/>
  <c r="DI241" i="24"/>
  <c r="DB241" i="24"/>
  <c r="DE241" i="24" s="1"/>
  <c r="DF241" i="24" s="1"/>
  <c r="DG241" i="24" s="1"/>
  <c r="DM241" i="24"/>
  <c r="DI82" i="24"/>
  <c r="DB82" i="24"/>
  <c r="DE82" i="24" s="1"/>
  <c r="DF82" i="24" s="1"/>
  <c r="DG82" i="24" s="1"/>
  <c r="DM82" i="24"/>
  <c r="DA201" i="24"/>
  <c r="DC201" i="24" s="1"/>
  <c r="DB201" i="24"/>
  <c r="DE201" i="24" s="1"/>
  <c r="DF201" i="24" s="1"/>
  <c r="DG201" i="24" s="1"/>
  <c r="DI201" i="24"/>
  <c r="DM201" i="24"/>
  <c r="DB251" i="24"/>
  <c r="DE251" i="24" s="1"/>
  <c r="DF251" i="24" s="1"/>
  <c r="DG251" i="24" s="1"/>
  <c r="DI251" i="24"/>
  <c r="DM251" i="24"/>
  <c r="DB84" i="24"/>
  <c r="DE84" i="24" s="1"/>
  <c r="DF84" i="24" s="1"/>
  <c r="DG84" i="24" s="1"/>
  <c r="DI84" i="24"/>
  <c r="DM84" i="24"/>
  <c r="DC151" i="24"/>
  <c r="DB61" i="24"/>
  <c r="DE61" i="24" s="1"/>
  <c r="DF61" i="24" s="1"/>
  <c r="DG61" i="24" s="1"/>
  <c r="DI61" i="24"/>
  <c r="DM61" i="24"/>
  <c r="DB46" i="24"/>
  <c r="DE46" i="24" s="1"/>
  <c r="DF46" i="24" s="1"/>
  <c r="DG46" i="24" s="1"/>
  <c r="DI46" i="24"/>
  <c r="DM46" i="24"/>
  <c r="DC155" i="24"/>
  <c r="DI273" i="24"/>
  <c r="DB273" i="24"/>
  <c r="DE273" i="24" s="1"/>
  <c r="DF273" i="24" s="1"/>
  <c r="DG273" i="24" s="1"/>
  <c r="DM273" i="24"/>
  <c r="DB126" i="24"/>
  <c r="DE126" i="24" s="1"/>
  <c r="DF126" i="24" s="1"/>
  <c r="DG126" i="24" s="1"/>
  <c r="DI126" i="24"/>
  <c r="DM126" i="24"/>
  <c r="DB129" i="24"/>
  <c r="DE129" i="24" s="1"/>
  <c r="DF129" i="24" s="1"/>
  <c r="DG129" i="24" s="1"/>
  <c r="DI129" i="24"/>
  <c r="DM129" i="24"/>
  <c r="DI99" i="24"/>
  <c r="DB99" i="24"/>
  <c r="DE99" i="24" s="1"/>
  <c r="DF99" i="24" s="1"/>
  <c r="DG99" i="24" s="1"/>
  <c r="DM99" i="24"/>
  <c r="DC199" i="24"/>
  <c r="DC169" i="24"/>
  <c r="DB10" i="24"/>
  <c r="DE10" i="24" s="1"/>
  <c r="DF10" i="24" s="1"/>
  <c r="DG10" i="24" s="1"/>
  <c r="DI10" i="24"/>
  <c r="DM10" i="24"/>
  <c r="DC291" i="24"/>
  <c r="DC128" i="24"/>
  <c r="DB93" i="24"/>
  <c r="DE93" i="24" s="1"/>
  <c r="DF93" i="24" s="1"/>
  <c r="DG93" i="24" s="1"/>
  <c r="DI93" i="24"/>
  <c r="DM93" i="24"/>
  <c r="DB43" i="24"/>
  <c r="DE43" i="24" s="1"/>
  <c r="DF43" i="24" s="1"/>
  <c r="DG43" i="24" s="1"/>
  <c r="DI43" i="24"/>
  <c r="DM43" i="24"/>
  <c r="DB313" i="24"/>
  <c r="DE313" i="24" s="1"/>
  <c r="DF313" i="24" s="1"/>
  <c r="DG313" i="24" s="1"/>
  <c r="DI313" i="24"/>
  <c r="DM313" i="24"/>
  <c r="DA158" i="24"/>
  <c r="DC158" i="24" s="1"/>
  <c r="DA94" i="24"/>
  <c r="DC94" i="24" s="1"/>
  <c r="DC252" i="24"/>
  <c r="DB186" i="24"/>
  <c r="DE186" i="24" s="1"/>
  <c r="DF186" i="24" s="1"/>
  <c r="DG186" i="24" s="1"/>
  <c r="DI186" i="24"/>
  <c r="DM186" i="24"/>
  <c r="DA112" i="24"/>
  <c r="DC112" i="24" s="1"/>
  <c r="DC164" i="24"/>
  <c r="DI162" i="24"/>
  <c r="DB162" i="24"/>
  <c r="DE162" i="24" s="1"/>
  <c r="DF162" i="24" s="1"/>
  <c r="DG162" i="24" s="1"/>
  <c r="DM162" i="24"/>
  <c r="DC206" i="24"/>
  <c r="DI15" i="24"/>
  <c r="DB15" i="24"/>
  <c r="DE15" i="24" s="1"/>
  <c r="DF15" i="24" s="1"/>
  <c r="DG15" i="24" s="1"/>
  <c r="DM15" i="24"/>
  <c r="DI98" i="24"/>
  <c r="DB98" i="24"/>
  <c r="DE98" i="24" s="1"/>
  <c r="DF98" i="24" s="1"/>
  <c r="DG98" i="24" s="1"/>
  <c r="DM98" i="24"/>
  <c r="DI40" i="24"/>
  <c r="DB40" i="24"/>
  <c r="DE40" i="24" s="1"/>
  <c r="DF40" i="24" s="1"/>
  <c r="DG40" i="24" s="1"/>
  <c r="DM40" i="24"/>
  <c r="DI66" i="24"/>
  <c r="DB66" i="24"/>
  <c r="DE66" i="24" s="1"/>
  <c r="DF66" i="24" s="1"/>
  <c r="DG66" i="24" s="1"/>
  <c r="DM66" i="24"/>
  <c r="DI264" i="24"/>
  <c r="DB264" i="24"/>
  <c r="DE264" i="24" s="1"/>
  <c r="DF264" i="24" s="1"/>
  <c r="DG264" i="24" s="1"/>
  <c r="DM264" i="24"/>
  <c r="DI291" i="24"/>
  <c r="DB291" i="24"/>
  <c r="DE291" i="24" s="1"/>
  <c r="DF291" i="24" s="1"/>
  <c r="DG291" i="24" s="1"/>
  <c r="DM291" i="24"/>
  <c r="DC281" i="24"/>
  <c r="DB136" i="24"/>
  <c r="DE136" i="24" s="1"/>
  <c r="DF136" i="24" s="1"/>
  <c r="DG136" i="24" s="1"/>
  <c r="DI136" i="24"/>
  <c r="DM136" i="24"/>
  <c r="DC209" i="24"/>
  <c r="DB226" i="24"/>
  <c r="DE226" i="24" s="1"/>
  <c r="DF226" i="24" s="1"/>
  <c r="DG226" i="24" s="1"/>
  <c r="DI226" i="24"/>
  <c r="DM226" i="24"/>
  <c r="DA171" i="24"/>
  <c r="DC171" i="24" s="1"/>
  <c r="DI171" i="24"/>
  <c r="DB171" i="24"/>
  <c r="DE171" i="24" s="1"/>
  <c r="DF171" i="24" s="1"/>
  <c r="DG171" i="24" s="1"/>
  <c r="DM171" i="24"/>
  <c r="DI41" i="24"/>
  <c r="DB41" i="24"/>
  <c r="DE41" i="24" s="1"/>
  <c r="DF41" i="24" s="1"/>
  <c r="DG41" i="24" s="1"/>
  <c r="DM41" i="24"/>
  <c r="DI146" i="24"/>
  <c r="DB146" i="24"/>
  <c r="DE146" i="24" s="1"/>
  <c r="DF146" i="24" s="1"/>
  <c r="DG146" i="24" s="1"/>
  <c r="DM146" i="24"/>
  <c r="DM255" i="24"/>
  <c r="DB255" i="24"/>
  <c r="DE255" i="24" s="1"/>
  <c r="DF255" i="24" s="1"/>
  <c r="DG255" i="24" s="1"/>
  <c r="DI255" i="24"/>
  <c r="DB259" i="24"/>
  <c r="DE259" i="24" s="1"/>
  <c r="DF259" i="24" s="1"/>
  <c r="DG259" i="24" s="1"/>
  <c r="DI259" i="24"/>
  <c r="DM259" i="24"/>
  <c r="DB133" i="24"/>
  <c r="DE133" i="24" s="1"/>
  <c r="DF133" i="24" s="1"/>
  <c r="DG133" i="24" s="1"/>
  <c r="DI133" i="24"/>
  <c r="DM133" i="24"/>
  <c r="DB30" i="24"/>
  <c r="DE30" i="24" s="1"/>
  <c r="DF30" i="24" s="1"/>
  <c r="DG30" i="24" s="1"/>
  <c r="DI30" i="24"/>
  <c r="DM30" i="24"/>
  <c r="DC268" i="24"/>
  <c r="DI53" i="24"/>
  <c r="DB53" i="24"/>
  <c r="DE53" i="24" s="1"/>
  <c r="DF53" i="24" s="1"/>
  <c r="DG53" i="24" s="1"/>
  <c r="DM53" i="24"/>
  <c r="DI121" i="24"/>
  <c r="DB121" i="24"/>
  <c r="DE121" i="24" s="1"/>
  <c r="DF121" i="24" s="1"/>
  <c r="DG121" i="24" s="1"/>
  <c r="DM121" i="24"/>
  <c r="DI90" i="24"/>
  <c r="DB90" i="24"/>
  <c r="DE90" i="24" s="1"/>
  <c r="DF90" i="24" s="1"/>
  <c r="DG90" i="24" s="1"/>
  <c r="DM90" i="24"/>
  <c r="DC129" i="24"/>
  <c r="DI308" i="24"/>
  <c r="DB308" i="24"/>
  <c r="DE308" i="24" s="1"/>
  <c r="DF308" i="24" s="1"/>
  <c r="DG308" i="24" s="1"/>
  <c r="DM308" i="24"/>
  <c r="DA256" i="24"/>
  <c r="DC256" i="24" s="1"/>
  <c r="DI295" i="24"/>
  <c r="DB295" i="24"/>
  <c r="DE295" i="24" s="1"/>
  <c r="DF295" i="24" s="1"/>
  <c r="DG295" i="24" s="1"/>
  <c r="DM295" i="24"/>
  <c r="DI97" i="24"/>
  <c r="DB97" i="24"/>
  <c r="DE97" i="24" s="1"/>
  <c r="DF97" i="24" s="1"/>
  <c r="DG97" i="24" s="1"/>
  <c r="DM97" i="24"/>
  <c r="DI31" i="24"/>
  <c r="DB31" i="24"/>
  <c r="DE31" i="24" s="1"/>
  <c r="DF31" i="24" s="1"/>
  <c r="DG31" i="24" s="1"/>
  <c r="DM31" i="24"/>
  <c r="DC178" i="24"/>
  <c r="DI8" i="24"/>
  <c r="DB8" i="24"/>
  <c r="DE8" i="24" s="1"/>
  <c r="DF8" i="24" s="1"/>
  <c r="DG8" i="24" s="1"/>
  <c r="DM8" i="24"/>
  <c r="DB279" i="24"/>
  <c r="DE279" i="24" s="1"/>
  <c r="DF279" i="24" s="1"/>
  <c r="DG279" i="24" s="1"/>
  <c r="DI279" i="24"/>
  <c r="DM279" i="24"/>
  <c r="DA79" i="24"/>
  <c r="DC79" i="24" s="1"/>
  <c r="DA184" i="24"/>
  <c r="DC184" i="24" s="1"/>
  <c r="DI184" i="24"/>
  <c r="DB184" i="24"/>
  <c r="DE184" i="24" s="1"/>
  <c r="DF184" i="24" s="1"/>
  <c r="DG184" i="24" s="1"/>
  <c r="DM184" i="24"/>
  <c r="DA261" i="24"/>
  <c r="DC261" i="24" s="1"/>
  <c r="DI261" i="24"/>
  <c r="DB261" i="24"/>
  <c r="DE261" i="24" s="1"/>
  <c r="DF261" i="24" s="1"/>
  <c r="DG261" i="24" s="1"/>
  <c r="DM261" i="24"/>
  <c r="DI265" i="24"/>
  <c r="DB265" i="24"/>
  <c r="DE265" i="24" s="1"/>
  <c r="DF265" i="24" s="1"/>
  <c r="DG265" i="24" s="1"/>
  <c r="DM265" i="24"/>
  <c r="DA27" i="24"/>
  <c r="DC27" i="24" s="1"/>
  <c r="DI69" i="24"/>
  <c r="DB69" i="24"/>
  <c r="DE69" i="24" s="1"/>
  <c r="DF69" i="24" s="1"/>
  <c r="DG69" i="24" s="1"/>
  <c r="DM69" i="24"/>
  <c r="DI44" i="24"/>
  <c r="DB44" i="24"/>
  <c r="DE44" i="24" s="1"/>
  <c r="DF44" i="24" s="1"/>
  <c r="DG44" i="24" s="1"/>
  <c r="DM44" i="24"/>
  <c r="DB272" i="24"/>
  <c r="DE272" i="24" s="1"/>
  <c r="DF272" i="24" s="1"/>
  <c r="DG272" i="24" s="1"/>
  <c r="DI272" i="24"/>
  <c r="DM272" i="24"/>
  <c r="DI220" i="24"/>
  <c r="DB220" i="24"/>
  <c r="DE220" i="24" s="1"/>
  <c r="DF220" i="24" s="1"/>
  <c r="DG220" i="24" s="1"/>
  <c r="DM220" i="24"/>
  <c r="DC262" i="24"/>
  <c r="DA271" i="24"/>
  <c r="DC271" i="24" s="1"/>
  <c r="DB160" i="24"/>
  <c r="DE160" i="24" s="1"/>
  <c r="DF160" i="24" s="1"/>
  <c r="DG160" i="24" s="1"/>
  <c r="DI160" i="24"/>
  <c r="DM160" i="24"/>
  <c r="DB284" i="24"/>
  <c r="DE284" i="24" s="1"/>
  <c r="DF284" i="24" s="1"/>
  <c r="DG284" i="24" s="1"/>
  <c r="DI284" i="24"/>
  <c r="DM284" i="24"/>
  <c r="DC120" i="24"/>
  <c r="DI281" i="24"/>
  <c r="DB281" i="24"/>
  <c r="DE281" i="24" s="1"/>
  <c r="DF281" i="24" s="1"/>
  <c r="DG281" i="24" s="1"/>
  <c r="DM281" i="24"/>
  <c r="DA70" i="24"/>
  <c r="DC70" i="24" s="1"/>
  <c r="DI70" i="24"/>
  <c r="DB70" i="24"/>
  <c r="DE70" i="24" s="1"/>
  <c r="DF70" i="24" s="1"/>
  <c r="DG70" i="24" s="1"/>
  <c r="DM70" i="24"/>
  <c r="DA83" i="24"/>
  <c r="DC83" i="24" s="1"/>
  <c r="DI83" i="24"/>
  <c r="DB83" i="24"/>
  <c r="DE83" i="24" s="1"/>
  <c r="DF83" i="24" s="1"/>
  <c r="DG83" i="24" s="1"/>
  <c r="DM83" i="24"/>
  <c r="DA284" i="24"/>
  <c r="DC284" i="24" s="1"/>
  <c r="DI307" i="24"/>
  <c r="DB307" i="24"/>
  <c r="DE307" i="24" s="1"/>
  <c r="DF307" i="24" s="1"/>
  <c r="DG307" i="24" s="1"/>
  <c r="DM307" i="24"/>
  <c r="DI297" i="24"/>
  <c r="DB297" i="24"/>
  <c r="DE297" i="24" s="1"/>
  <c r="DF297" i="24" s="1"/>
  <c r="DG297" i="24" s="1"/>
  <c r="DM297" i="24"/>
  <c r="DC302" i="24"/>
  <c r="DC253" i="24"/>
  <c r="DB283" i="24"/>
  <c r="DE283" i="24" s="1"/>
  <c r="DF283" i="24" s="1"/>
  <c r="DG283" i="24" s="1"/>
  <c r="DI283" i="24"/>
  <c r="DM283" i="24"/>
  <c r="DC238" i="24"/>
  <c r="DB172" i="24"/>
  <c r="DE172" i="24" s="1"/>
  <c r="DF172" i="24" s="1"/>
  <c r="DG172" i="24" s="1"/>
  <c r="DI172" i="24"/>
  <c r="DM172" i="24"/>
  <c r="DC289" i="24"/>
  <c r="DI47" i="24"/>
  <c r="DB47" i="24"/>
  <c r="DE47" i="24" s="1"/>
  <c r="DF47" i="24" s="1"/>
  <c r="DG47" i="24" s="1"/>
  <c r="DM47" i="24"/>
  <c r="DM242" i="24"/>
  <c r="DI242" i="24"/>
  <c r="DB242" i="24"/>
  <c r="DE242" i="24" s="1"/>
  <c r="DF242" i="24" s="1"/>
  <c r="DG242" i="24" s="1"/>
  <c r="DI286" i="24"/>
  <c r="DB286" i="24"/>
  <c r="DE286" i="24" s="1"/>
  <c r="DF286" i="24" s="1"/>
  <c r="DG286" i="24" s="1"/>
  <c r="DM286" i="24"/>
  <c r="DA18" i="24"/>
  <c r="DC18" i="24" s="1"/>
  <c r="DI18" i="24"/>
  <c r="DB18" i="24"/>
  <c r="DE18" i="24" s="1"/>
  <c r="DF18" i="24" s="1"/>
  <c r="DG18" i="24" s="1"/>
  <c r="DM18" i="24"/>
  <c r="DC113" i="24"/>
  <c r="DC296" i="24"/>
  <c r="DI6" i="24"/>
  <c r="DB6" i="24"/>
  <c r="DE6" i="24" s="1"/>
  <c r="DF6" i="24" s="1"/>
  <c r="DG6" i="24" s="1"/>
  <c r="DM6" i="24"/>
  <c r="DI153" i="24"/>
  <c r="DB153" i="24"/>
  <c r="DE153" i="24" s="1"/>
  <c r="DF153" i="24" s="1"/>
  <c r="DG153" i="24" s="1"/>
  <c r="DM153" i="24"/>
  <c r="DC277" i="24"/>
  <c r="DI36" i="24"/>
  <c r="DB36" i="24"/>
  <c r="DE36" i="24" s="1"/>
  <c r="DF36" i="24" s="1"/>
  <c r="DG36" i="24" s="1"/>
  <c r="DM36" i="24"/>
  <c r="DB192" i="24"/>
  <c r="DE192" i="24" s="1"/>
  <c r="DF192" i="24" s="1"/>
  <c r="DG192" i="24" s="1"/>
  <c r="DI192" i="24"/>
  <c r="DM192" i="24"/>
  <c r="DA226" i="24"/>
  <c r="DC226" i="24" s="1"/>
  <c r="DI96" i="24"/>
  <c r="DB96" i="24"/>
  <c r="DE96" i="24" s="1"/>
  <c r="DF96" i="24" s="1"/>
  <c r="DG96" i="24" s="1"/>
  <c r="DM96" i="24"/>
  <c r="DI145" i="24"/>
  <c r="DB145" i="24"/>
  <c r="DE145" i="24" s="1"/>
  <c r="DF145" i="24" s="1"/>
  <c r="DG145" i="24" s="1"/>
  <c r="DM145" i="24"/>
  <c r="DM128" i="24"/>
  <c r="DI128" i="24"/>
  <c r="DB128" i="24"/>
  <c r="DE128" i="24" s="1"/>
  <c r="DF128" i="24" s="1"/>
  <c r="DG128" i="24" s="1"/>
  <c r="DC160" i="24"/>
  <c r="DI304" i="24"/>
  <c r="DB304" i="24"/>
  <c r="DE304" i="24" s="1"/>
  <c r="DF304" i="24" s="1"/>
  <c r="DG304" i="24" s="1"/>
  <c r="DM304" i="24"/>
  <c r="DA245" i="24"/>
  <c r="DC245" i="24" s="1"/>
  <c r="DI245" i="24"/>
  <c r="DB245" i="24"/>
  <c r="DE245" i="24" s="1"/>
  <c r="DF245" i="24" s="1"/>
  <c r="DG245" i="24" s="1"/>
  <c r="DM245" i="24"/>
  <c r="DI315" i="24"/>
  <c r="DB315" i="24"/>
  <c r="DE315" i="24" s="1"/>
  <c r="DF315" i="24" s="1"/>
  <c r="DG315" i="24" s="1"/>
  <c r="DM315" i="24"/>
  <c r="DI249" i="24"/>
  <c r="DB249" i="24"/>
  <c r="DE249" i="24" s="1"/>
  <c r="DF249" i="24" s="1"/>
  <c r="DG249" i="24" s="1"/>
  <c r="DM249" i="24"/>
  <c r="DI63" i="24"/>
  <c r="DB63" i="24"/>
  <c r="DE63" i="24" s="1"/>
  <c r="DF63" i="24" s="1"/>
  <c r="DG63" i="24" s="1"/>
  <c r="DM63" i="24"/>
  <c r="DI174" i="24"/>
  <c r="DB174" i="24"/>
  <c r="DE174" i="24" s="1"/>
  <c r="DF174" i="24" s="1"/>
  <c r="DG174" i="24" s="1"/>
  <c r="DM174" i="24"/>
  <c r="DA315" i="24"/>
  <c r="DC315" i="24" s="1"/>
  <c r="DC316" i="24"/>
  <c r="DA65" i="24"/>
  <c r="DC65" i="24" s="1"/>
  <c r="DI65" i="24"/>
  <c r="DB65" i="24"/>
  <c r="DE65" i="24" s="1"/>
  <c r="DF65" i="24" s="1"/>
  <c r="DG65" i="24" s="1"/>
  <c r="DM65" i="24"/>
  <c r="DB175" i="24"/>
  <c r="DE175" i="24" s="1"/>
  <c r="DF175" i="24" s="1"/>
  <c r="DG175" i="24" s="1"/>
  <c r="DI175" i="24"/>
  <c r="DM175" i="24"/>
  <c r="DI188" i="24"/>
  <c r="DB188" i="24"/>
  <c r="DE188" i="24" s="1"/>
  <c r="DF188" i="24" s="1"/>
  <c r="DG188" i="24" s="1"/>
  <c r="DM188" i="24"/>
  <c r="DI101" i="24"/>
  <c r="DB101" i="24"/>
  <c r="DE101" i="24" s="1"/>
  <c r="DF101" i="24" s="1"/>
  <c r="DG101" i="24" s="1"/>
  <c r="DM101" i="24"/>
  <c r="DB166" i="24"/>
  <c r="DE166" i="24" s="1"/>
  <c r="DF166" i="24" s="1"/>
  <c r="DG166" i="24" s="1"/>
  <c r="DI166" i="24"/>
  <c r="DM166" i="24"/>
  <c r="DC140" i="24"/>
  <c r="DC142" i="24"/>
  <c r="DI316" i="24"/>
  <c r="DB316" i="24"/>
  <c r="DE316" i="24" s="1"/>
  <c r="DF316" i="24" s="1"/>
  <c r="DG316" i="24" s="1"/>
  <c r="DM316" i="24"/>
  <c r="DA97" i="24"/>
  <c r="DC97" i="24" s="1"/>
  <c r="DC154" i="24"/>
  <c r="DI231" i="24"/>
  <c r="DB231" i="24"/>
  <c r="DE231" i="24" s="1"/>
  <c r="DF231" i="24" s="1"/>
  <c r="DG231" i="24" s="1"/>
  <c r="DM231" i="24"/>
  <c r="DI105" i="24"/>
  <c r="DB105" i="24"/>
  <c r="DE105" i="24" s="1"/>
  <c r="DF105" i="24" s="1"/>
  <c r="DG105" i="24" s="1"/>
  <c r="DM105" i="24"/>
  <c r="DI292" i="24"/>
  <c r="DB292" i="24"/>
  <c r="DE292" i="24" s="1"/>
  <c r="DF292" i="24" s="1"/>
  <c r="DG292" i="24" s="1"/>
  <c r="DM292" i="24"/>
  <c r="DC152" i="24"/>
  <c r="DI87" i="24"/>
  <c r="DB87" i="24"/>
  <c r="DE87" i="24" s="1"/>
  <c r="DF87" i="24" s="1"/>
  <c r="DG87" i="24" s="1"/>
  <c r="DM87" i="24"/>
  <c r="DA99" i="24"/>
  <c r="DC99" i="24" s="1"/>
  <c r="DA28" i="24"/>
  <c r="DC28" i="24" s="1"/>
  <c r="DI28" i="24"/>
  <c r="DB28" i="24"/>
  <c r="DE28" i="24" s="1"/>
  <c r="DF28" i="24" s="1"/>
  <c r="DG28" i="24" s="1"/>
  <c r="DM28" i="24"/>
  <c r="DI32" i="24"/>
  <c r="DB32" i="24"/>
  <c r="DE32" i="24" s="1"/>
  <c r="DF32" i="24" s="1"/>
  <c r="DG32" i="24" s="1"/>
  <c r="DM32" i="24"/>
  <c r="DI16" i="24"/>
  <c r="DB16" i="24"/>
  <c r="DE16" i="24" s="1"/>
  <c r="DF16" i="24" s="1"/>
  <c r="DG16" i="24" s="1"/>
  <c r="DM16" i="24"/>
  <c r="DB275" i="24"/>
  <c r="DE275" i="24" s="1"/>
  <c r="DF275" i="24" s="1"/>
  <c r="DG275" i="24" s="1"/>
  <c r="DI275" i="24"/>
  <c r="DM275" i="24"/>
  <c r="DI152" i="24"/>
  <c r="DB152" i="24"/>
  <c r="DE152" i="24" s="1"/>
  <c r="DF152" i="24" s="1"/>
  <c r="DG152" i="24" s="1"/>
  <c r="DM152" i="24"/>
  <c r="DA122" i="24"/>
  <c r="DC122" i="24" s="1"/>
  <c r="DI122" i="24"/>
  <c r="DB122" i="24"/>
  <c r="DE122" i="24" s="1"/>
  <c r="DF122" i="24" s="1"/>
  <c r="DG122" i="24" s="1"/>
  <c r="DM122" i="24"/>
  <c r="DA188" i="24"/>
  <c r="DC188" i="24" s="1"/>
  <c r="DI269" i="24"/>
  <c r="DB269" i="24"/>
  <c r="DE269" i="24" s="1"/>
  <c r="DF269" i="24" s="1"/>
  <c r="DG269" i="24" s="1"/>
  <c r="DM269" i="24"/>
  <c r="DC185" i="24"/>
  <c r="DI103" i="24"/>
  <c r="DB103" i="24"/>
  <c r="DE103" i="24" s="1"/>
  <c r="DF103" i="24" s="1"/>
  <c r="DG103" i="24" s="1"/>
  <c r="DM103" i="24"/>
  <c r="DB263" i="24"/>
  <c r="DE263" i="24" s="1"/>
  <c r="DF263" i="24" s="1"/>
  <c r="DG263" i="24" s="1"/>
  <c r="DI263" i="24"/>
  <c r="DM263" i="24"/>
  <c r="DI262" i="24"/>
  <c r="DB262" i="24"/>
  <c r="DE262" i="24" s="1"/>
  <c r="DF262" i="24" s="1"/>
  <c r="DG262" i="24" s="1"/>
  <c r="DM262" i="24"/>
  <c r="DB258" i="24"/>
  <c r="DE258" i="24" s="1"/>
  <c r="DF258" i="24" s="1"/>
  <c r="DG258" i="24" s="1"/>
  <c r="DI258" i="24"/>
  <c r="DM258" i="24"/>
  <c r="DA98" i="24"/>
  <c r="DC98" i="24" s="1"/>
  <c r="DI119" i="24"/>
  <c r="DB119" i="24"/>
  <c r="DE119" i="24" s="1"/>
  <c r="DF119" i="24" s="1"/>
  <c r="DG119" i="24" s="1"/>
  <c r="DM119" i="24"/>
  <c r="DB300" i="24"/>
  <c r="DE300" i="24" s="1"/>
  <c r="DF300" i="24" s="1"/>
  <c r="DG300" i="24" s="1"/>
  <c r="DI300" i="24"/>
  <c r="DM300" i="24"/>
  <c r="DI217" i="24"/>
  <c r="DB217" i="24"/>
  <c r="DE217" i="24" s="1"/>
  <c r="DF217" i="24" s="1"/>
  <c r="DG217" i="24" s="1"/>
  <c r="DM217" i="24"/>
  <c r="DI157" i="24"/>
  <c r="DB157" i="24"/>
  <c r="DE157" i="24" s="1"/>
  <c r="DF157" i="24" s="1"/>
  <c r="DG157" i="24" s="1"/>
  <c r="DM157" i="24"/>
  <c r="DC203" i="24"/>
  <c r="DC264" i="24"/>
  <c r="DC307" i="24"/>
  <c r="DC285" i="24"/>
  <c r="DA258" i="24"/>
  <c r="DC258" i="24" s="1"/>
  <c r="DI238" i="24"/>
  <c r="DB238" i="24"/>
  <c r="DE238" i="24" s="1"/>
  <c r="DF238" i="24" s="1"/>
  <c r="DG238" i="24" s="1"/>
  <c r="DM238" i="24"/>
  <c r="DI179" i="24"/>
  <c r="DB179" i="24"/>
  <c r="DE179" i="24" s="1"/>
  <c r="DF179" i="24" s="1"/>
  <c r="DG179" i="24" s="1"/>
  <c r="DM179" i="24"/>
  <c r="DA189" i="24"/>
  <c r="DC189" i="24" s="1"/>
  <c r="DI189" i="24"/>
  <c r="DB189" i="24"/>
  <c r="DE189" i="24" s="1"/>
  <c r="DF189" i="24" s="1"/>
  <c r="DG189" i="24" s="1"/>
  <c r="DM189" i="24"/>
  <c r="DC148" i="24"/>
  <c r="DB116" i="24"/>
  <c r="DE116" i="24" s="1"/>
  <c r="DF116" i="24" s="1"/>
  <c r="DG116" i="24" s="1"/>
  <c r="DI116" i="24"/>
  <c r="DM116" i="24"/>
  <c r="DC153" i="24"/>
  <c r="DI13" i="24"/>
  <c r="DB13" i="24"/>
  <c r="DE13" i="24" s="1"/>
  <c r="DF13" i="24" s="1"/>
  <c r="DG13" i="24" s="1"/>
  <c r="DM13" i="24"/>
  <c r="DI228" i="24"/>
  <c r="DB228" i="24"/>
  <c r="DE228" i="24" s="1"/>
  <c r="DF228" i="24" s="1"/>
  <c r="DG228" i="24" s="1"/>
  <c r="DM228" i="24"/>
  <c r="DI204" i="24"/>
  <c r="DB204" i="24"/>
  <c r="DE204" i="24" s="1"/>
  <c r="DF204" i="24" s="1"/>
  <c r="DG204" i="24" s="1"/>
  <c r="DM204" i="24"/>
  <c r="DI301" i="24"/>
  <c r="DB301" i="24"/>
  <c r="DE301" i="24" s="1"/>
  <c r="DF301" i="24" s="1"/>
  <c r="DG301" i="24" s="1"/>
  <c r="DM301" i="24"/>
  <c r="DB183" i="24"/>
  <c r="DE183" i="24" s="1"/>
  <c r="DF183" i="24" s="1"/>
  <c r="DG183" i="24" s="1"/>
  <c r="DI183" i="24"/>
  <c r="DM183" i="24"/>
  <c r="DB88" i="24"/>
  <c r="DE88" i="24" s="1"/>
  <c r="DF88" i="24" s="1"/>
  <c r="DG88" i="24" s="1"/>
  <c r="DI88" i="24"/>
  <c r="DM88" i="24"/>
  <c r="DI182" i="24"/>
  <c r="DB182" i="24"/>
  <c r="DE182" i="24" s="1"/>
  <c r="DF182" i="24" s="1"/>
  <c r="DG182" i="24" s="1"/>
  <c r="DM182" i="24"/>
  <c r="DA276" i="24"/>
  <c r="DC276" i="24" s="1"/>
  <c r="DI276" i="24"/>
  <c r="DB276" i="24"/>
  <c r="DE276" i="24" s="1"/>
  <c r="DF276" i="24" s="1"/>
  <c r="DG276" i="24" s="1"/>
  <c r="DM276" i="24"/>
  <c r="DI95" i="24"/>
  <c r="DB95" i="24"/>
  <c r="DE95" i="24" s="1"/>
  <c r="DF95" i="24" s="1"/>
  <c r="DG95" i="24" s="1"/>
  <c r="DM95" i="24"/>
  <c r="DC301" i="24"/>
  <c r="DA202" i="24"/>
  <c r="DC202" i="24" s="1"/>
  <c r="DI202" i="24"/>
  <c r="DB202" i="24"/>
  <c r="DE202" i="24" s="1"/>
  <c r="DF202" i="24" s="1"/>
  <c r="DG202" i="24" s="1"/>
  <c r="DM202" i="24"/>
  <c r="DB170" i="24"/>
  <c r="DE170" i="24" s="1"/>
  <c r="DF170" i="24" s="1"/>
  <c r="DG170" i="24" s="1"/>
  <c r="DI170" i="24"/>
  <c r="DM170" i="24"/>
  <c r="DB164" i="24"/>
  <c r="DE164" i="24" s="1"/>
  <c r="DF164" i="24" s="1"/>
  <c r="DG164" i="24" s="1"/>
  <c r="DI164" i="24"/>
  <c r="DM164" i="24"/>
  <c r="DI127" i="24"/>
  <c r="DB127" i="24"/>
  <c r="DE127" i="24" s="1"/>
  <c r="DF127" i="24" s="1"/>
  <c r="DG127" i="24" s="1"/>
  <c r="DM127" i="24"/>
  <c r="DA95" i="24"/>
  <c r="DC95" i="24" s="1"/>
  <c r="DA249" i="24"/>
  <c r="DC249" i="24" s="1"/>
  <c r="DB22" i="24"/>
  <c r="DE22" i="24" s="1"/>
  <c r="DF22" i="24" s="1"/>
  <c r="DG22" i="24" s="1"/>
  <c r="DI22" i="24"/>
  <c r="DM22" i="24"/>
  <c r="DI19" i="24"/>
  <c r="DB19" i="24"/>
  <c r="DE19" i="24" s="1"/>
  <c r="DF19" i="24" s="1"/>
  <c r="DG19" i="24" s="1"/>
  <c r="DM19" i="24"/>
  <c r="DC278" i="24"/>
  <c r="DB180" i="24"/>
  <c r="DE180" i="24" s="1"/>
  <c r="DF180" i="24" s="1"/>
  <c r="DG180" i="24" s="1"/>
  <c r="DI180" i="24"/>
  <c r="DM180" i="24"/>
  <c r="DI147" i="24"/>
  <c r="DB147" i="24"/>
  <c r="DE147" i="24" s="1"/>
  <c r="DF147" i="24" s="1"/>
  <c r="DG147" i="24" s="1"/>
  <c r="DM147" i="24"/>
  <c r="DA241" i="24"/>
  <c r="DC241" i="24" s="1"/>
  <c r="DI185" i="24"/>
  <c r="DB185" i="24"/>
  <c r="DE185" i="24" s="1"/>
  <c r="DF185" i="24" s="1"/>
  <c r="DG185" i="24" s="1"/>
  <c r="DM185" i="24"/>
  <c r="DB138" i="24"/>
  <c r="DE138" i="24" s="1"/>
  <c r="DF138" i="24" s="1"/>
  <c r="DG138" i="24" s="1"/>
  <c r="DI138" i="24"/>
  <c r="DM138" i="24"/>
  <c r="DA46" i="24"/>
  <c r="DC46" i="24" s="1"/>
  <c r="DI111" i="24"/>
  <c r="DB111" i="24"/>
  <c r="DE111" i="24" s="1"/>
  <c r="DF111" i="24" s="1"/>
  <c r="DG111" i="24" s="1"/>
  <c r="DM111" i="24"/>
  <c r="DA299" i="24"/>
  <c r="DC299" i="24" s="1"/>
  <c r="DB299" i="24"/>
  <c r="DE299" i="24" s="1"/>
  <c r="DF299" i="24" s="1"/>
  <c r="DG299" i="24" s="1"/>
  <c r="DI299" i="24"/>
  <c r="DM299" i="24"/>
  <c r="DI77" i="24"/>
  <c r="DB77" i="24"/>
  <c r="DE77" i="24" s="1"/>
  <c r="DF77" i="24" s="1"/>
  <c r="DG77" i="24" s="1"/>
  <c r="DM77" i="24"/>
  <c r="DC130" i="24"/>
  <c r="DB141" i="24"/>
  <c r="DE141" i="24" s="1"/>
  <c r="DF141" i="24" s="1"/>
  <c r="DG141" i="24" s="1"/>
  <c r="DI141" i="24"/>
  <c r="DM141" i="24"/>
  <c r="DA254" i="24"/>
  <c r="DC254" i="24" s="1"/>
  <c r="DI237" i="24"/>
  <c r="DB237" i="24"/>
  <c r="DE237" i="24" s="1"/>
  <c r="DF237" i="24" s="1"/>
  <c r="DG237" i="24" s="1"/>
  <c r="DM237" i="24"/>
  <c r="DI74" i="24"/>
  <c r="DB74" i="24"/>
  <c r="DE74" i="24" s="1"/>
  <c r="DF74" i="24" s="1"/>
  <c r="DG74" i="24" s="1"/>
  <c r="DM74" i="24"/>
  <c r="DI257" i="24"/>
  <c r="DB257" i="24"/>
  <c r="DE257" i="24" s="1"/>
  <c r="DF257" i="24" s="1"/>
  <c r="DG257" i="24" s="1"/>
  <c r="DM257" i="24"/>
  <c r="DB78" i="24"/>
  <c r="DE78" i="24" s="1"/>
  <c r="DF78" i="24" s="1"/>
  <c r="DG78" i="24" s="1"/>
  <c r="DI78" i="24"/>
  <c r="DM78" i="24"/>
  <c r="DA163" i="24"/>
  <c r="DC163" i="24" s="1"/>
  <c r="DB163" i="24"/>
  <c r="DE163" i="24" s="1"/>
  <c r="DF163" i="24" s="1"/>
  <c r="DG163" i="24" s="1"/>
  <c r="DI163" i="24"/>
  <c r="DM163" i="24"/>
  <c r="DA194" i="24"/>
  <c r="DC194" i="24" s="1"/>
  <c r="DI194" i="24"/>
  <c r="DB194" i="24"/>
  <c r="DE194" i="24" s="1"/>
  <c r="DF194" i="24" s="1"/>
  <c r="DG194" i="24" s="1"/>
  <c r="DM194" i="24"/>
  <c r="DB277" i="24"/>
  <c r="DE277" i="24" s="1"/>
  <c r="DF277" i="24" s="1"/>
  <c r="DG277" i="24" s="1"/>
  <c r="DI277" i="24"/>
  <c r="DM277" i="24"/>
  <c r="DB208" i="24"/>
  <c r="DE208" i="24" s="1"/>
  <c r="DF208" i="24" s="1"/>
  <c r="DG208" i="24" s="1"/>
  <c r="DI208" i="24"/>
  <c r="DM208" i="24"/>
  <c r="DB314" i="24"/>
  <c r="DE314" i="24" s="1"/>
  <c r="DF314" i="24" s="1"/>
  <c r="DG314" i="24" s="1"/>
  <c r="DI314" i="24"/>
  <c r="DM314" i="24"/>
  <c r="DB177" i="24"/>
  <c r="DE177" i="24" s="1"/>
  <c r="DF177" i="24" s="1"/>
  <c r="DG177" i="24" s="1"/>
  <c r="DI177" i="24"/>
  <c r="DM177" i="24"/>
  <c r="DI21" i="24"/>
  <c r="DB21" i="24"/>
  <c r="DE21" i="24" s="1"/>
  <c r="DF21" i="24" s="1"/>
  <c r="DG21" i="24" s="1"/>
  <c r="DM21" i="24"/>
  <c r="DB306" i="24"/>
  <c r="DE306" i="24" s="1"/>
  <c r="DF306" i="24" s="1"/>
  <c r="DG306" i="24" s="1"/>
  <c r="DI306" i="24"/>
  <c r="DM306" i="24"/>
  <c r="DI64" i="24"/>
  <c r="DB64" i="24"/>
  <c r="DE64" i="24" s="1"/>
  <c r="DF64" i="24" s="1"/>
  <c r="DG64" i="24" s="1"/>
  <c r="DM64" i="24"/>
  <c r="DI296" i="24"/>
  <c r="DB296" i="24"/>
  <c r="DE296" i="24" s="1"/>
  <c r="DF296" i="24" s="1"/>
  <c r="DG296" i="24" s="1"/>
  <c r="DM296" i="24"/>
  <c r="DI200" i="24"/>
  <c r="DB200" i="24"/>
  <c r="DE200" i="24" s="1"/>
  <c r="DF200" i="24" s="1"/>
  <c r="DG200" i="24" s="1"/>
  <c r="DM200" i="24"/>
  <c r="DA66" i="24"/>
  <c r="DC66" i="24" s="1"/>
  <c r="DA72" i="24"/>
  <c r="DC72" i="24" s="1"/>
  <c r="DB206" i="24"/>
  <c r="DE206" i="24" s="1"/>
  <c r="DF206" i="24" s="1"/>
  <c r="DG206" i="24" s="1"/>
  <c r="DI206" i="24"/>
  <c r="DM206" i="24"/>
  <c r="DB9" i="24"/>
  <c r="DE9" i="24" s="1"/>
  <c r="DF9" i="24" s="1"/>
  <c r="DG9" i="24" s="1"/>
  <c r="DI9" i="24"/>
  <c r="DM9" i="24"/>
  <c r="DI26" i="24"/>
  <c r="DB26" i="24"/>
  <c r="DE26" i="24" s="1"/>
  <c r="DF26" i="24" s="1"/>
  <c r="DG26" i="24" s="1"/>
  <c r="DM26" i="24"/>
  <c r="DI198" i="24"/>
  <c r="DB198" i="24"/>
  <c r="DE198" i="24" s="1"/>
  <c r="DF198" i="24" s="1"/>
  <c r="DG198" i="24" s="1"/>
  <c r="DM198" i="24"/>
  <c r="DI149" i="24"/>
  <c r="DB149" i="24"/>
  <c r="DE149" i="24" s="1"/>
  <c r="DF149" i="24" s="1"/>
  <c r="DG149" i="24" s="1"/>
  <c r="DM149" i="24"/>
  <c r="DC275" i="24"/>
  <c r="DI274" i="24"/>
  <c r="DB274" i="24"/>
  <c r="DE274" i="24" s="1"/>
  <c r="DF274" i="24" s="1"/>
  <c r="DG274" i="24" s="1"/>
  <c r="DM274" i="24"/>
  <c r="DA168" i="24"/>
  <c r="DC168" i="24" s="1"/>
  <c r="DB168" i="24"/>
  <c r="DE168" i="24" s="1"/>
  <c r="DF168" i="24" s="1"/>
  <c r="DG168" i="24" s="1"/>
  <c r="DI168" i="24"/>
  <c r="DM168" i="24"/>
  <c r="DI260" i="24"/>
  <c r="DB260" i="24"/>
  <c r="DE260" i="24" s="1"/>
  <c r="DF260" i="24" s="1"/>
  <c r="DG260" i="24" s="1"/>
  <c r="DM260" i="24"/>
  <c r="DI159" i="24"/>
  <c r="DB159" i="24"/>
  <c r="DE159" i="24" s="1"/>
  <c r="DF159" i="24" s="1"/>
  <c r="DG159" i="24" s="1"/>
  <c r="DM159" i="24"/>
  <c r="DM199" i="24"/>
  <c r="DB199" i="24"/>
  <c r="DE199" i="24" s="1"/>
  <c r="DF199" i="24" s="1"/>
  <c r="DG199" i="24" s="1"/>
  <c r="DI199" i="24"/>
  <c r="DA159" i="24"/>
  <c r="DC159" i="24" s="1"/>
  <c r="DA181" i="24"/>
  <c r="DC181" i="24" s="1"/>
  <c r="DB54" i="24"/>
  <c r="DE54" i="24" s="1"/>
  <c r="DF54" i="24" s="1"/>
  <c r="DG54" i="24" s="1"/>
  <c r="DI54" i="24"/>
  <c r="DM54" i="24"/>
  <c r="DB155" i="24"/>
  <c r="DE155" i="24" s="1"/>
  <c r="DF155" i="24" s="1"/>
  <c r="DG155" i="24" s="1"/>
  <c r="DI155" i="24"/>
  <c r="DM155" i="24"/>
  <c r="DI143" i="24"/>
  <c r="DB143" i="24"/>
  <c r="DE143" i="24" s="1"/>
  <c r="DF143" i="24" s="1"/>
  <c r="DG143" i="24" s="1"/>
  <c r="DM143" i="24"/>
  <c r="DI278" i="24"/>
  <c r="DB278" i="24"/>
  <c r="DE278" i="24" s="1"/>
  <c r="DF278" i="24" s="1"/>
  <c r="DG278" i="24" s="1"/>
  <c r="DM278" i="24"/>
  <c r="DB156" i="24"/>
  <c r="DE156" i="24" s="1"/>
  <c r="DF156" i="24" s="1"/>
  <c r="DG156" i="24" s="1"/>
  <c r="DI156" i="24"/>
  <c r="DM156" i="24"/>
  <c r="DB266" i="24"/>
  <c r="DE266" i="24" s="1"/>
  <c r="DF266" i="24" s="1"/>
  <c r="DG266" i="24" s="1"/>
  <c r="DI266" i="24"/>
  <c r="DM266" i="24"/>
  <c r="DA174" i="24"/>
  <c r="DC174" i="24" s="1"/>
  <c r="DB223" i="24"/>
  <c r="DE223" i="24" s="1"/>
  <c r="DF223" i="24" s="1"/>
  <c r="DG223" i="24" s="1"/>
  <c r="DI223" i="24"/>
  <c r="DM223" i="24"/>
  <c r="DB12" i="24"/>
  <c r="DE12" i="24" s="1"/>
  <c r="DF12" i="24" s="1"/>
  <c r="DG12" i="24" s="1"/>
  <c r="DI12" i="24"/>
  <c r="DM12" i="24"/>
  <c r="DB51" i="24"/>
  <c r="DE51" i="24" s="1"/>
  <c r="DF51" i="24" s="1"/>
  <c r="DG51" i="24" s="1"/>
  <c r="DI51" i="24"/>
  <c r="DM51" i="24"/>
  <c r="DA182" i="24"/>
  <c r="DC182" i="24" s="1"/>
  <c r="DI191" i="24"/>
  <c r="DB191" i="24"/>
  <c r="DE191" i="24" s="1"/>
  <c r="DF191" i="24" s="1"/>
  <c r="DG191" i="24" s="1"/>
  <c r="DM191" i="24"/>
  <c r="DA138" i="24"/>
  <c r="DC138" i="24" s="1"/>
  <c r="DA223" i="24"/>
  <c r="DC223" i="24" s="1"/>
  <c r="DB92" i="24"/>
  <c r="DE92" i="24" s="1"/>
  <c r="DF92" i="24" s="1"/>
  <c r="DG92" i="24" s="1"/>
  <c r="DI92" i="24"/>
  <c r="DM92" i="24"/>
  <c r="DI117" i="24"/>
  <c r="DB117" i="24"/>
  <c r="DE117" i="24" s="1"/>
  <c r="DF117" i="24" s="1"/>
  <c r="DG117" i="24" s="1"/>
  <c r="DM117" i="24"/>
  <c r="DA63" i="24"/>
  <c r="DC63" i="24" s="1"/>
  <c r="DI270" i="24"/>
  <c r="DB270" i="24"/>
  <c r="DE270" i="24" s="1"/>
  <c r="DF270" i="24" s="1"/>
  <c r="DG270" i="24" s="1"/>
  <c r="DM270" i="24"/>
  <c r="DA76" i="24"/>
  <c r="DC76" i="24" s="1"/>
  <c r="DI76" i="24"/>
  <c r="DB76" i="24"/>
  <c r="DE76" i="24" s="1"/>
  <c r="DF76" i="24" s="1"/>
  <c r="DG76" i="24" s="1"/>
  <c r="DM76" i="24"/>
  <c r="DI134" i="24"/>
  <c r="DB134" i="24"/>
  <c r="DE134" i="24" s="1"/>
  <c r="DF134" i="24" s="1"/>
  <c r="DG134" i="24" s="1"/>
  <c r="DM134" i="24"/>
  <c r="DA88" i="24"/>
  <c r="DC88" i="24" s="1"/>
  <c r="DI130" i="24"/>
  <c r="DB130" i="24"/>
  <c r="DE130" i="24" s="1"/>
  <c r="DF130" i="24" s="1"/>
  <c r="DG130" i="24" s="1"/>
  <c r="DM130" i="24"/>
  <c r="DC195" i="24"/>
  <c r="DA170" i="24"/>
  <c r="DC170" i="24" s="1"/>
  <c r="DA143" i="24"/>
  <c r="DC143" i="24" s="1"/>
  <c r="DC293" i="24"/>
  <c r="DC246" i="24"/>
  <c r="DB218" i="24"/>
  <c r="DE218" i="24" s="1"/>
  <c r="DF218" i="24" s="1"/>
  <c r="DG218" i="24" s="1"/>
  <c r="DI218" i="24"/>
  <c r="DM218" i="24"/>
  <c r="DA101" i="24"/>
  <c r="DC101" i="24" s="1"/>
  <c r="DA197" i="24"/>
  <c r="DC197" i="24" s="1"/>
  <c r="DA54" i="24"/>
  <c r="DC54" i="24" s="1"/>
  <c r="DA265" i="24"/>
  <c r="DC265" i="24" s="1"/>
  <c r="DA279" i="24"/>
  <c r="DC279" i="24" s="1"/>
  <c r="DB225" i="24"/>
  <c r="DE225" i="24" s="1"/>
  <c r="DF225" i="24" s="1"/>
  <c r="DG225" i="24" s="1"/>
  <c r="DI225" i="24"/>
  <c r="DM225" i="24"/>
  <c r="DM59" i="24"/>
  <c r="DI59" i="24"/>
  <c r="DB59" i="24"/>
  <c r="DE59" i="24" s="1"/>
  <c r="DF59" i="24" s="1"/>
  <c r="DG59" i="24" s="1"/>
  <c r="DA141" i="24"/>
  <c r="DC141" i="24" s="1"/>
  <c r="DI268" i="24"/>
  <c r="DB268" i="24"/>
  <c r="DE268" i="24" s="1"/>
  <c r="DF268" i="24" s="1"/>
  <c r="DG268" i="24" s="1"/>
  <c r="DM268" i="24"/>
  <c r="DI102" i="24"/>
  <c r="DB102" i="24"/>
  <c r="DE102" i="24" s="1"/>
  <c r="DF102" i="24" s="1"/>
  <c r="DG102" i="24" s="1"/>
  <c r="DM102" i="24"/>
  <c r="DA50" i="24"/>
  <c r="DC50" i="24" s="1"/>
  <c r="DI50" i="24"/>
  <c r="DB50" i="24"/>
  <c r="DE50" i="24" s="1"/>
  <c r="DF50" i="24" s="1"/>
  <c r="DG50" i="24" s="1"/>
  <c r="DM50" i="24"/>
  <c r="DA235" i="24"/>
  <c r="DC235" i="24" s="1"/>
  <c r="DA84" i="24"/>
  <c r="DC84" i="24" s="1"/>
  <c r="DC133" i="24"/>
  <c r="DA250" i="24"/>
  <c r="DC250" i="24" s="1"/>
  <c r="DB250" i="24"/>
  <c r="DE250" i="24" s="1"/>
  <c r="DF250" i="24" s="1"/>
  <c r="DG250" i="24" s="1"/>
  <c r="DI250" i="24"/>
  <c r="DM250" i="24"/>
  <c r="DC187" i="24"/>
  <c r="DC236" i="24"/>
  <c r="DC139" i="24"/>
  <c r="DI219" i="24"/>
  <c r="DB219" i="24"/>
  <c r="DE219" i="24" s="1"/>
  <c r="DF219" i="24" s="1"/>
  <c r="DG219" i="24" s="1"/>
  <c r="DM219" i="24"/>
  <c r="DC162" i="24"/>
  <c r="DC146" i="24"/>
  <c r="DC221" i="24"/>
  <c r="DA15" i="24"/>
  <c r="DC15" i="24" s="1"/>
  <c r="DA219" i="24"/>
  <c r="DC219" i="24" s="1"/>
  <c r="DA14" i="24"/>
  <c r="DC14" i="24" s="1"/>
  <c r="DB14" i="24"/>
  <c r="DE14" i="24" s="1"/>
  <c r="DF14" i="24" s="1"/>
  <c r="DG14" i="24" s="1"/>
  <c r="DI14" i="24"/>
  <c r="DM14" i="24"/>
  <c r="DC287" i="24"/>
  <c r="DA115" i="24"/>
  <c r="DC115" i="24" s="1"/>
  <c r="DI115" i="24"/>
  <c r="DB115" i="24"/>
  <c r="DE115" i="24" s="1"/>
  <c r="DF115" i="24" s="1"/>
  <c r="DG115" i="24" s="1"/>
  <c r="DM115" i="24"/>
  <c r="DI187" i="24"/>
  <c r="DB187" i="24"/>
  <c r="DE187" i="24" s="1"/>
  <c r="DF187" i="24" s="1"/>
  <c r="DG187" i="24" s="1"/>
  <c r="DM187" i="24"/>
  <c r="DI221" i="24"/>
  <c r="DB221" i="24"/>
  <c r="DE221" i="24" s="1"/>
  <c r="DF221" i="24" s="1"/>
  <c r="DG221" i="24" s="1"/>
  <c r="DM221" i="24"/>
  <c r="DC161" i="24"/>
  <c r="DC234" i="24"/>
  <c r="DA123" i="24"/>
  <c r="DC123" i="24" s="1"/>
  <c r="DC255" i="24"/>
  <c r="DI148" i="24"/>
  <c r="DB148" i="24"/>
  <c r="DE148" i="24" s="1"/>
  <c r="DF148" i="24" s="1"/>
  <c r="DG148" i="24" s="1"/>
  <c r="DM148" i="24"/>
  <c r="DA205" i="24"/>
  <c r="DC205" i="24" s="1"/>
  <c r="DA208" i="24"/>
  <c r="DC208" i="24" s="1"/>
  <c r="DA314" i="24"/>
  <c r="DC314" i="24" s="1"/>
  <c r="DA40" i="24"/>
  <c r="DC40" i="24" s="1"/>
  <c r="DI120" i="24"/>
  <c r="DB120" i="24"/>
  <c r="DE120" i="24" s="1"/>
  <c r="DF120" i="24" s="1"/>
  <c r="DG120" i="24" s="1"/>
  <c r="DM120" i="24"/>
  <c r="DI132" i="24"/>
  <c r="DB132" i="24"/>
  <c r="DE132" i="24" s="1"/>
  <c r="DF132" i="24" s="1"/>
  <c r="DG132" i="24" s="1"/>
  <c r="DM132" i="24"/>
  <c r="DA52" i="24"/>
  <c r="DC52" i="24" s="1"/>
  <c r="DB52" i="24"/>
  <c r="DE52" i="24" s="1"/>
  <c r="DF52" i="24" s="1"/>
  <c r="DG52" i="24" s="1"/>
  <c r="DI52" i="24"/>
  <c r="DM52" i="24"/>
  <c r="DC257" i="24"/>
  <c r="DC243" i="24"/>
  <c r="DB62" i="24"/>
  <c r="DE62" i="24" s="1"/>
  <c r="DF62" i="24" s="1"/>
  <c r="DG62" i="24" s="1"/>
  <c r="DI62" i="24"/>
  <c r="DM62" i="24"/>
  <c r="DI151" i="24"/>
  <c r="DB151" i="24"/>
  <c r="DE151" i="24" s="1"/>
  <c r="DF151" i="24" s="1"/>
  <c r="DG151" i="24" s="1"/>
  <c r="DM151" i="24"/>
  <c r="DI49" i="24"/>
  <c r="DB49" i="24"/>
  <c r="DE49" i="24" s="1"/>
  <c r="DF49" i="24" s="1"/>
  <c r="DG49" i="24" s="1"/>
  <c r="DM49" i="24"/>
  <c r="DI131" i="24"/>
  <c r="DB131" i="24"/>
  <c r="DE131" i="24" s="1"/>
  <c r="DF131" i="24" s="1"/>
  <c r="DG131" i="24" s="1"/>
  <c r="DM131" i="24"/>
  <c r="DC269" i="24"/>
  <c r="DI230" i="24"/>
  <c r="DB230" i="24"/>
  <c r="DE230" i="24" s="1"/>
  <c r="DF230" i="24" s="1"/>
  <c r="DG230" i="24" s="1"/>
  <c r="DM230" i="24"/>
  <c r="DI293" i="24"/>
  <c r="DB293" i="24"/>
  <c r="DE293" i="24" s="1"/>
  <c r="DF293" i="24" s="1"/>
  <c r="DG293" i="24" s="1"/>
  <c r="DM293" i="24"/>
  <c r="DC124" i="24"/>
  <c r="DI114" i="24"/>
  <c r="DB114" i="24"/>
  <c r="DE114" i="24" s="1"/>
  <c r="DF114" i="24" s="1"/>
  <c r="DG114" i="24" s="1"/>
  <c r="DM114" i="24"/>
  <c r="DI239" i="24"/>
  <c r="DB239" i="24"/>
  <c r="DE239" i="24" s="1"/>
  <c r="DF239" i="24" s="1"/>
  <c r="DG239" i="24" s="1"/>
  <c r="DM239" i="24"/>
  <c r="DA227" i="24"/>
  <c r="DC227" i="24" s="1"/>
  <c r="DI227" i="24"/>
  <c r="DB227" i="24"/>
  <c r="DE227" i="24" s="1"/>
  <c r="DF227" i="24" s="1"/>
  <c r="DG227" i="24" s="1"/>
  <c r="DM227" i="24"/>
  <c r="DB144" i="24"/>
  <c r="DE144" i="24" s="1"/>
  <c r="DF144" i="24" s="1"/>
  <c r="DG144" i="24" s="1"/>
  <c r="DI144" i="24"/>
  <c r="DM144" i="24"/>
  <c r="DA304" i="24"/>
  <c r="DC304" i="24" s="1"/>
  <c r="DA96" i="24"/>
  <c r="DC96" i="24" s="1"/>
  <c r="DB178" i="24"/>
  <c r="DE178" i="24" s="1"/>
  <c r="DF178" i="24" s="1"/>
  <c r="DG178" i="24" s="1"/>
  <c r="DI178" i="24"/>
  <c r="DM178" i="24"/>
  <c r="DB195" i="24"/>
  <c r="DE195" i="24" s="1"/>
  <c r="DF195" i="24" s="1"/>
  <c r="DG195" i="24" s="1"/>
  <c r="DI195" i="24"/>
  <c r="DM195" i="24"/>
  <c r="DC280" i="24"/>
  <c r="DI38" i="24"/>
  <c r="DB38" i="24"/>
  <c r="DE38" i="24" s="1"/>
  <c r="DF38" i="24" s="1"/>
  <c r="DG38" i="24" s="1"/>
  <c r="DM38" i="24"/>
  <c r="DI23" i="24"/>
  <c r="DB23" i="24"/>
  <c r="DE23" i="24" s="1"/>
  <c r="DF23" i="24" s="1"/>
  <c r="DG23" i="24" s="1"/>
  <c r="DM23" i="24"/>
  <c r="DB310" i="24"/>
  <c r="DE310" i="24" s="1"/>
  <c r="DF310" i="24" s="1"/>
  <c r="DG310" i="24" s="1"/>
  <c r="DI310" i="24"/>
  <c r="DM310" i="24"/>
  <c r="DI85" i="24"/>
  <c r="DB85" i="24"/>
  <c r="DE85" i="24" s="1"/>
  <c r="DF85" i="24" s="1"/>
  <c r="DG85" i="24" s="1"/>
  <c r="DM85" i="24"/>
  <c r="DA134" i="24"/>
  <c r="DC134" i="24" s="1"/>
  <c r="DI243" i="24"/>
  <c r="DB243" i="24"/>
  <c r="DE243" i="24" s="1"/>
  <c r="DF243" i="24" s="1"/>
  <c r="DG243" i="24" s="1"/>
  <c r="DM243" i="24"/>
  <c r="DM39" i="24"/>
  <c r="DB39" i="24"/>
  <c r="DE39" i="24" s="1"/>
  <c r="DF39" i="24" s="1"/>
  <c r="DG39" i="24" s="1"/>
  <c r="DI39" i="24"/>
  <c r="DB124" i="24"/>
  <c r="DE124" i="24" s="1"/>
  <c r="DF124" i="24" s="1"/>
  <c r="DG124" i="24" s="1"/>
  <c r="DI124" i="24"/>
  <c r="DM124" i="24"/>
  <c r="DI37" i="24"/>
  <c r="DB37" i="24"/>
  <c r="DE37" i="24" s="1"/>
  <c r="DF37" i="24" s="1"/>
  <c r="DG37" i="24" s="1"/>
  <c r="DM37" i="24"/>
  <c r="DI17" i="24"/>
  <c r="DB17" i="24"/>
  <c r="DE17" i="24" s="1"/>
  <c r="DF17" i="24" s="1"/>
  <c r="DG17" i="24" s="1"/>
  <c r="DM17" i="24"/>
  <c r="DA310" i="24"/>
  <c r="DC310" i="24" s="1"/>
  <c r="DA144" i="24"/>
  <c r="DC144" i="24" s="1"/>
  <c r="DI303" i="24"/>
  <c r="DB303" i="24"/>
  <c r="DE303" i="24" s="1"/>
  <c r="DF303" i="24" s="1"/>
  <c r="DG303" i="24" s="1"/>
  <c r="DM303" i="24"/>
  <c r="DI25" i="24"/>
  <c r="DB25" i="24"/>
  <c r="DE25" i="24" s="1"/>
  <c r="DF25" i="24" s="1"/>
  <c r="DG25" i="24" s="1"/>
  <c r="DM25" i="24"/>
  <c r="DA248" i="24"/>
  <c r="DC248" i="24" s="1"/>
  <c r="DI248" i="24"/>
  <c r="DB248" i="24"/>
  <c r="DE248" i="24" s="1"/>
  <c r="DF248" i="24" s="1"/>
  <c r="DG248" i="24" s="1"/>
  <c r="DM248" i="24"/>
  <c r="DB67" i="24"/>
  <c r="DE67" i="24" s="1"/>
  <c r="DF67" i="24" s="1"/>
  <c r="DG67" i="24" s="1"/>
  <c r="DI67" i="24"/>
  <c r="DM67" i="24"/>
  <c r="DI104" i="24"/>
  <c r="DB104" i="24"/>
  <c r="DE104" i="24" s="1"/>
  <c r="DF104" i="24" s="1"/>
  <c r="DG104" i="24" s="1"/>
  <c r="DM104" i="24"/>
  <c r="DI58" i="24"/>
  <c r="DB58" i="24"/>
  <c r="DE58" i="24" s="1"/>
  <c r="DF58" i="24" s="1"/>
  <c r="DG58" i="24" s="1"/>
  <c r="DM58" i="24"/>
  <c r="DI285" i="24"/>
  <c r="DB285" i="24"/>
  <c r="DE285" i="24" s="1"/>
  <c r="DF285" i="24" s="1"/>
  <c r="DG285" i="24" s="1"/>
  <c r="DM285" i="24"/>
  <c r="DC200" i="24"/>
  <c r="DI244" i="24"/>
  <c r="DB244" i="24"/>
  <c r="DE244" i="24" s="1"/>
  <c r="DF244" i="24" s="1"/>
  <c r="DG244" i="24" s="1"/>
  <c r="DM244" i="24"/>
  <c r="DB86" i="24"/>
  <c r="DE86" i="24" s="1"/>
  <c r="DF86" i="24" s="1"/>
  <c r="DG86" i="24" s="1"/>
  <c r="DI86" i="24"/>
  <c r="DM86" i="24"/>
  <c r="DI139" i="24"/>
  <c r="DB139" i="24"/>
  <c r="DE139" i="24" s="1"/>
  <c r="DF139" i="24" s="1"/>
  <c r="DG139" i="24" s="1"/>
  <c r="DM139" i="24"/>
  <c r="DA156" i="24"/>
  <c r="DC156" i="24" s="1"/>
  <c r="DC192" i="24"/>
  <c r="DA263" i="24"/>
  <c r="DC263" i="24" s="1"/>
  <c r="DA17" i="24"/>
  <c r="DC17" i="24" s="1"/>
  <c r="DB282" i="24"/>
  <c r="DE282" i="24" s="1"/>
  <c r="DF282" i="24" s="1"/>
  <c r="DG282" i="24" s="1"/>
  <c r="DI282" i="24"/>
  <c r="DM282" i="24"/>
  <c r="DC300" i="24"/>
  <c r="DA64" i="24"/>
  <c r="DC64" i="24" s="1"/>
  <c r="DA136" i="24"/>
  <c r="DC136" i="24" s="1"/>
  <c r="DI45" i="24"/>
  <c r="DB45" i="24"/>
  <c r="DE45" i="24" s="1"/>
  <c r="DF45" i="24" s="1"/>
  <c r="DG45" i="24" s="1"/>
  <c r="DM45" i="24"/>
  <c r="DI240" i="24"/>
  <c r="DB240" i="24"/>
  <c r="DE240" i="24" s="1"/>
  <c r="DF240" i="24" s="1"/>
  <c r="DG240" i="24" s="1"/>
  <c r="DM240" i="24"/>
  <c r="DB298" i="24"/>
  <c r="DE298" i="24" s="1"/>
  <c r="DF298" i="24" s="1"/>
  <c r="DG298" i="24" s="1"/>
  <c r="DI298" i="24"/>
  <c r="DM298" i="24"/>
  <c r="DC259" i="24"/>
  <c r="DA41" i="24"/>
  <c r="DC41" i="24" s="1"/>
  <c r="DB233" i="24"/>
  <c r="DE233" i="24" s="1"/>
  <c r="DF233" i="24" s="1"/>
  <c r="DG233" i="24" s="1"/>
  <c r="DI233" i="24"/>
  <c r="DM233" i="24"/>
  <c r="DI311" i="24"/>
  <c r="DB311" i="24"/>
  <c r="DE311" i="24" s="1"/>
  <c r="DF311" i="24" s="1"/>
  <c r="DG311" i="24" s="1"/>
  <c r="DM311" i="24"/>
  <c r="DC172" i="24"/>
  <c r="DB236" i="24"/>
  <c r="DE236" i="24" s="1"/>
  <c r="DF236" i="24" s="1"/>
  <c r="DG236" i="24" s="1"/>
  <c r="DI236" i="24"/>
  <c r="DM236" i="24"/>
  <c r="DA11" i="24"/>
  <c r="DC11" i="24" s="1"/>
  <c r="DB11" i="24"/>
  <c r="DE11" i="24" s="1"/>
  <c r="DF11" i="24" s="1"/>
  <c r="DG11" i="24" s="1"/>
  <c r="DI11" i="24"/>
  <c r="DM11" i="24"/>
  <c r="DI176" i="24"/>
  <c r="DB176" i="24"/>
  <c r="DE176" i="24" s="1"/>
  <c r="DF176" i="24" s="1"/>
  <c r="DG176" i="24" s="1"/>
  <c r="DM176" i="24"/>
  <c r="DI169" i="24"/>
  <c r="DB169" i="24"/>
  <c r="DE169" i="24" s="1"/>
  <c r="DF169" i="24" s="1"/>
  <c r="DG169" i="24" s="1"/>
  <c r="DM169" i="24"/>
  <c r="DB48" i="24"/>
  <c r="DE48" i="24" s="1"/>
  <c r="DF48" i="24" s="1"/>
  <c r="DG48" i="24" s="1"/>
  <c r="DI48" i="24"/>
  <c r="DM48" i="24"/>
  <c r="DI7" i="24"/>
  <c r="DB7" i="24"/>
  <c r="DE7" i="24" s="1"/>
  <c r="DF7" i="24" s="1"/>
  <c r="DG7" i="24" s="1"/>
  <c r="DM7" i="24"/>
  <c r="DI34" i="24"/>
  <c r="DB34" i="24"/>
  <c r="DE34" i="24" s="1"/>
  <c r="DF34" i="24" s="1"/>
  <c r="DG34" i="24" s="1"/>
  <c r="DM34" i="24"/>
  <c r="DA210" i="24"/>
  <c r="DC210" i="24" s="1"/>
  <c r="DA228" i="24"/>
  <c r="DC228" i="24" s="1"/>
  <c r="DC176" i="24"/>
  <c r="DB35" i="24"/>
  <c r="DE35" i="24" s="1"/>
  <c r="DF35" i="24" s="1"/>
  <c r="DG35" i="24" s="1"/>
  <c r="DI35" i="24"/>
  <c r="DM35" i="24"/>
  <c r="DI288" i="24"/>
  <c r="DB288" i="24"/>
  <c r="DE288" i="24" s="1"/>
  <c r="DF288" i="24" s="1"/>
  <c r="DG288" i="24" s="1"/>
  <c r="DM288" i="24"/>
  <c r="DA274" i="24"/>
  <c r="DC274" i="24" s="1"/>
  <c r="DI57" i="24"/>
  <c r="DB57" i="24"/>
  <c r="DE57" i="24" s="1"/>
  <c r="DF57" i="24" s="1"/>
  <c r="DG57" i="24" s="1"/>
  <c r="DM57" i="24"/>
  <c r="DI42" i="24"/>
  <c r="DB42" i="24"/>
  <c r="DE42" i="24" s="1"/>
  <c r="DF42" i="24" s="1"/>
  <c r="DG42" i="24" s="1"/>
  <c r="DM42" i="24"/>
  <c r="DI140" i="24"/>
  <c r="DB140" i="24"/>
  <c r="DE140" i="24" s="1"/>
  <c r="DF140" i="24" s="1"/>
  <c r="DG140" i="24" s="1"/>
  <c r="DM140" i="24"/>
  <c r="DI196" i="24"/>
  <c r="DB196" i="24"/>
  <c r="DE196" i="24" s="1"/>
  <c r="DF196" i="24" s="1"/>
  <c r="DG196" i="24" s="1"/>
  <c r="DM196" i="24"/>
  <c r="DI252" i="24"/>
  <c r="DB252" i="24"/>
  <c r="DE252" i="24" s="1"/>
  <c r="DF252" i="24" s="1"/>
  <c r="DG252" i="24" s="1"/>
  <c r="DM252" i="24"/>
  <c r="DB33" i="24"/>
  <c r="DE33" i="24" s="1"/>
  <c r="DF33" i="24" s="1"/>
  <c r="DG33" i="24" s="1"/>
  <c r="DI33" i="24"/>
  <c r="DM33" i="24"/>
  <c r="DI154" i="24"/>
  <c r="DB154" i="24"/>
  <c r="DE154" i="24" s="1"/>
  <c r="DF154" i="24" s="1"/>
  <c r="DG154" i="24" s="1"/>
  <c r="DM154" i="24"/>
  <c r="DI71" i="24"/>
  <c r="DB71" i="24"/>
  <c r="DE71" i="24" s="1"/>
  <c r="DF71" i="24" s="1"/>
  <c r="DG71" i="24" s="1"/>
  <c r="DM71" i="24"/>
  <c r="DA239" i="24"/>
  <c r="DC239" i="24" s="1"/>
  <c r="DI24" i="24"/>
  <c r="DB24" i="24"/>
  <c r="DE24" i="24" s="1"/>
  <c r="DF24" i="24" s="1"/>
  <c r="DG24" i="24" s="1"/>
  <c r="DM24" i="24"/>
  <c r="DI55" i="24"/>
  <c r="DB55" i="24"/>
  <c r="DE55" i="24" s="1"/>
  <c r="DF55" i="24" s="1"/>
  <c r="DG55" i="24" s="1"/>
  <c r="DM55" i="24"/>
  <c r="DC166" i="24"/>
  <c r="DI246" i="24"/>
  <c r="DB246" i="24"/>
  <c r="DE246" i="24" s="1"/>
  <c r="DF246" i="24" s="1"/>
  <c r="DG246" i="24" s="1"/>
  <c r="DM246" i="24"/>
  <c r="DA229" i="24"/>
  <c r="DC229" i="24" s="1"/>
  <c r="DB229" i="24"/>
  <c r="DE229" i="24" s="1"/>
  <c r="DF229" i="24" s="1"/>
  <c r="DG229" i="24" s="1"/>
  <c r="DI229" i="24"/>
  <c r="DM229" i="24"/>
  <c r="DI165" i="24"/>
  <c r="DB165" i="24"/>
  <c r="DE165" i="24" s="1"/>
  <c r="DF165" i="24" s="1"/>
  <c r="DG165" i="24" s="1"/>
  <c r="DM165" i="24"/>
  <c r="DI280" i="24"/>
  <c r="DB280" i="24"/>
  <c r="DE280" i="24" s="1"/>
  <c r="DF280" i="24" s="1"/>
  <c r="DG280" i="24" s="1"/>
  <c r="DM280" i="24"/>
  <c r="DC127" i="24"/>
  <c r="DC260" i="24"/>
  <c r="DA145" i="24"/>
  <c r="DC145" i="24" s="1"/>
  <c r="DA117" i="24"/>
  <c r="DC117" i="24" s="1"/>
  <c r="DC273" i="24"/>
  <c r="DA90" i="24"/>
  <c r="DC90" i="24" s="1"/>
  <c r="DA305" i="24"/>
  <c r="DC305" i="24" s="1"/>
  <c r="DB305" i="24"/>
  <c r="DE305" i="24" s="1"/>
  <c r="DF305" i="24" s="1"/>
  <c r="DG305" i="24" s="1"/>
  <c r="DI305" i="24"/>
  <c r="DM305" i="24"/>
  <c r="DA55" i="24"/>
  <c r="DC55" i="24" s="1"/>
  <c r="DA266" i="24"/>
  <c r="DC266" i="24" s="1"/>
  <c r="DA114" i="24"/>
  <c r="DC114" i="24" s="1"/>
  <c r="DB142" i="24"/>
  <c r="DE142" i="24" s="1"/>
  <c r="DF142" i="24" s="1"/>
  <c r="DG142" i="24" s="1"/>
  <c r="DI142" i="24"/>
  <c r="DM142" i="24"/>
  <c r="DI125" i="24"/>
  <c r="DB125" i="24"/>
  <c r="DE125" i="24" s="1"/>
  <c r="DF125" i="24" s="1"/>
  <c r="DG125" i="24" s="1"/>
  <c r="DM125" i="24"/>
  <c r="DI68" i="24"/>
  <c r="DB68" i="24"/>
  <c r="DE68" i="24" s="1"/>
  <c r="DF68" i="24" s="1"/>
  <c r="DG68" i="24" s="1"/>
  <c r="DM68" i="24"/>
  <c r="DC135" i="24"/>
  <c r="DB247" i="24"/>
  <c r="DE247" i="24" s="1"/>
  <c r="DF247" i="24" s="1"/>
  <c r="DG247" i="24" s="1"/>
  <c r="DI247" i="24"/>
  <c r="DM247" i="24"/>
  <c r="DA105" i="24"/>
  <c r="DC105" i="24" s="1"/>
  <c r="DI287" i="24"/>
  <c r="DB287" i="24"/>
  <c r="DE287" i="24" s="1"/>
  <c r="DF287" i="24" s="1"/>
  <c r="DG287" i="24" s="1"/>
  <c r="DM287" i="24"/>
  <c r="DI113" i="24"/>
  <c r="DB113" i="24"/>
  <c r="DE113" i="24" s="1"/>
  <c r="DF113" i="24" s="1"/>
  <c r="DG113" i="24" s="1"/>
  <c r="DM113" i="24"/>
  <c r="DB294" i="24"/>
  <c r="DE294" i="24" s="1"/>
  <c r="DF294" i="24" s="1"/>
  <c r="DG294" i="24" s="1"/>
  <c r="DI294" i="24"/>
  <c r="DM294" i="24"/>
  <c r="DC190" i="24"/>
  <c r="DB193" i="24"/>
  <c r="DE193" i="24" s="1"/>
  <c r="DF193" i="24" s="1"/>
  <c r="DG193" i="24" s="1"/>
  <c r="DI193" i="24"/>
  <c r="DM193" i="24"/>
  <c r="DI209" i="24"/>
  <c r="DB209" i="24"/>
  <c r="DE209" i="24" s="1"/>
  <c r="DF209" i="24" s="1"/>
  <c r="DG209" i="24" s="1"/>
  <c r="DM209" i="24"/>
  <c r="DI203" i="24"/>
  <c r="DB203" i="24"/>
  <c r="DE203" i="24" s="1"/>
  <c r="DF203" i="24" s="1"/>
  <c r="DG203" i="24" s="1"/>
  <c r="DM203" i="24"/>
  <c r="DI75" i="24"/>
  <c r="DB75" i="24"/>
  <c r="DE75" i="24" s="1"/>
  <c r="DF75" i="24" s="1"/>
  <c r="DG75" i="24" s="1"/>
  <c r="DM75" i="24"/>
  <c r="DI190" i="24"/>
  <c r="DB190" i="24"/>
  <c r="DE190" i="24" s="1"/>
  <c r="DF190" i="24" s="1"/>
  <c r="DG190" i="24" s="1"/>
  <c r="DM190" i="24"/>
  <c r="DI150" i="24"/>
  <c r="DB150" i="24"/>
  <c r="DE150" i="24" s="1"/>
  <c r="DF150" i="24" s="1"/>
  <c r="DG150" i="24" s="1"/>
  <c r="DM150" i="24"/>
  <c r="DA177" i="24"/>
  <c r="DC177" i="24" s="1"/>
  <c r="DC294" i="24"/>
  <c r="DB167" i="24"/>
  <c r="DE167" i="24" s="1"/>
  <c r="DF167" i="24" s="1"/>
  <c r="DG167" i="24" s="1"/>
  <c r="DI167" i="24"/>
  <c r="DM167" i="24"/>
  <c r="DA81" i="24"/>
  <c r="DC81" i="24" s="1"/>
  <c r="DB81" i="24"/>
  <c r="DE81" i="24" s="1"/>
  <c r="DF81" i="24" s="1"/>
  <c r="DG81" i="24" s="1"/>
  <c r="DI81" i="24"/>
  <c r="DM81" i="24"/>
  <c r="DA150" i="24"/>
  <c r="DC150" i="24" s="1"/>
  <c r="DI253" i="24"/>
  <c r="DB253" i="24"/>
  <c r="DE253" i="24" s="1"/>
  <c r="DF253" i="24" s="1"/>
  <c r="DG253" i="24" s="1"/>
  <c r="DM253" i="24"/>
  <c r="DC111" i="24"/>
  <c r="DI118" i="24"/>
  <c r="DB118" i="24"/>
  <c r="DE118" i="24" s="1"/>
  <c r="DF118" i="24" s="1"/>
  <c r="DG118" i="24" s="1"/>
  <c r="DM118" i="24"/>
  <c r="DB161" i="24"/>
  <c r="DE161" i="24" s="1"/>
  <c r="DF161" i="24" s="1"/>
  <c r="DG161" i="24" s="1"/>
  <c r="DI161" i="24"/>
  <c r="DM161" i="24"/>
  <c r="DA232" i="24"/>
  <c r="DC232" i="24" s="1"/>
  <c r="DB232" i="24"/>
  <c r="DE232" i="24" s="1"/>
  <c r="DF232" i="24" s="1"/>
  <c r="DG232" i="24" s="1"/>
  <c r="DI232" i="24"/>
  <c r="DM232" i="24"/>
  <c r="DC240" i="24"/>
  <c r="DI302" i="24"/>
  <c r="DB302" i="24"/>
  <c r="DE302" i="24" s="1"/>
  <c r="DF302" i="24" s="1"/>
  <c r="DG302" i="24" s="1"/>
  <c r="DM302" i="24"/>
  <c r="E56" i="1"/>
  <c r="N53" i="29"/>
  <c r="N309" i="29"/>
  <c r="M226" i="29"/>
  <c r="N150" i="29"/>
  <c r="M67" i="29"/>
  <c r="M323" i="29"/>
  <c r="N239" i="29"/>
  <c r="M160" i="29"/>
  <c r="N185" i="29"/>
  <c r="M102" i="29"/>
  <c r="N26" i="29"/>
  <c r="N282" i="29"/>
  <c r="M199" i="29"/>
  <c r="N115" i="29"/>
  <c r="M36" i="29"/>
  <c r="M292" i="29"/>
  <c r="N212" i="29"/>
  <c r="N101" i="29"/>
  <c r="M18" i="29"/>
  <c r="M274" i="29"/>
  <c r="N198" i="29"/>
  <c r="M115" i="29"/>
  <c r="N31" i="29"/>
  <c r="N287" i="29"/>
  <c r="M208" i="29"/>
  <c r="N128" i="29"/>
  <c r="M285" i="29"/>
  <c r="M54" i="29"/>
  <c r="N130" i="29"/>
  <c r="M203" i="29"/>
  <c r="N267" i="29"/>
  <c r="M328" i="29"/>
  <c r="N332" i="29"/>
  <c r="M562" i="29"/>
  <c r="N486" i="29"/>
  <c r="M407" i="29"/>
  <c r="M233" i="29"/>
  <c r="N209" i="29"/>
  <c r="M342" i="29"/>
  <c r="M139" i="29"/>
  <c r="N263" i="29"/>
  <c r="N40" i="29"/>
  <c r="M378" i="29"/>
  <c r="M257" i="29"/>
  <c r="N384" i="29"/>
  <c r="M587" i="29"/>
  <c r="N543" i="29"/>
  <c r="M468" i="29"/>
  <c r="M74" i="29"/>
  <c r="N206" i="29"/>
  <c r="M335" i="29"/>
  <c r="M124" i="29"/>
  <c r="N200" i="29"/>
  <c r="M502" i="29"/>
  <c r="N462" i="29"/>
  <c r="M419" i="29"/>
  <c r="N383" i="29"/>
  <c r="M109" i="29"/>
  <c r="N169" i="29"/>
  <c r="N114" i="29"/>
  <c r="N71" i="29"/>
  <c r="M340" i="29"/>
  <c r="M446" i="29"/>
  <c r="N506" i="29"/>
  <c r="M559" i="29"/>
  <c r="N603" i="29"/>
  <c r="M592" i="29"/>
  <c r="M513" i="29"/>
  <c r="N105" i="29"/>
  <c r="N50" i="29"/>
  <c r="M343" i="29"/>
  <c r="M280" i="29"/>
  <c r="N109" i="29"/>
  <c r="N62" i="29"/>
  <c r="M347" i="29"/>
  <c r="M288" i="29"/>
  <c r="M410" i="29"/>
  <c r="N470" i="29"/>
  <c r="M523" i="29"/>
  <c r="N571" i="29"/>
  <c r="M568" i="29"/>
  <c r="M489" i="29"/>
  <c r="N437" i="29"/>
  <c r="M22" i="29"/>
  <c r="N306" i="29"/>
  <c r="N85" i="29"/>
  <c r="N341" i="29"/>
  <c r="M258" i="29"/>
  <c r="N182" i="29"/>
  <c r="M99" i="29"/>
  <c r="N15" i="29"/>
  <c r="N271" i="29"/>
  <c r="M192" i="29"/>
  <c r="N217" i="29"/>
  <c r="M134" i="29"/>
  <c r="N58" i="29"/>
  <c r="N314" i="29"/>
  <c r="M231" i="29"/>
  <c r="N147" i="29"/>
  <c r="M68" i="29"/>
  <c r="M324" i="29"/>
  <c r="N244" i="29"/>
  <c r="N133" i="29"/>
  <c r="M50" i="29"/>
  <c r="M306" i="29"/>
  <c r="N230" i="29"/>
  <c r="M147" i="29"/>
  <c r="N63" i="29"/>
  <c r="N319" i="29"/>
  <c r="M240" i="29"/>
  <c r="N160" i="29"/>
  <c r="N33" i="29"/>
  <c r="M106" i="29"/>
  <c r="N178" i="29"/>
  <c r="M251" i="29"/>
  <c r="N323" i="29"/>
  <c r="N36" i="29"/>
  <c r="M221" i="29"/>
  <c r="M594" i="29"/>
  <c r="N518" i="29"/>
  <c r="M439" i="29"/>
  <c r="N367" i="29"/>
  <c r="N269" i="29"/>
  <c r="N66" i="29"/>
  <c r="M191" i="29"/>
  <c r="N327" i="29"/>
  <c r="N88" i="29"/>
  <c r="M414" i="29"/>
  <c r="N374" i="29"/>
  <c r="M197" i="29"/>
  <c r="N392" i="29"/>
  <c r="N575" i="29"/>
  <c r="M500" i="29"/>
  <c r="M126" i="29"/>
  <c r="N266" i="29"/>
  <c r="N55" i="29"/>
  <c r="M184" i="29"/>
  <c r="N252" i="29"/>
  <c r="M538" i="29"/>
  <c r="N498" i="29"/>
  <c r="M455" i="29"/>
  <c r="N419" i="29"/>
  <c r="M352" i="29"/>
  <c r="N253" i="29"/>
  <c r="N202" i="29"/>
  <c r="N139" i="29"/>
  <c r="N68" i="29"/>
  <c r="M494" i="29"/>
  <c r="N554" i="29"/>
  <c r="M611" i="29"/>
  <c r="M77" i="29"/>
  <c r="M273" i="29"/>
  <c r="M545" i="29"/>
  <c r="N177" i="29"/>
  <c r="N138" i="29"/>
  <c r="N75" i="29"/>
  <c r="M348" i="29"/>
  <c r="N193" i="29"/>
  <c r="N142" i="29"/>
  <c r="N87" i="29"/>
  <c r="N16" i="29"/>
  <c r="M458" i="29"/>
  <c r="N514" i="29"/>
  <c r="M575" i="29"/>
  <c r="M49" i="29"/>
  <c r="M600" i="29"/>
  <c r="M521" i="29"/>
  <c r="N469" i="29"/>
  <c r="M90" i="29"/>
  <c r="N117" i="29"/>
  <c r="M34" i="29"/>
  <c r="M290" i="29"/>
  <c r="N214" i="29"/>
  <c r="M131" i="29"/>
  <c r="N47" i="29"/>
  <c r="N303" i="29"/>
  <c r="M224" i="29"/>
  <c r="N249" i="29"/>
  <c r="M166" i="29"/>
  <c r="N90" i="29"/>
  <c r="N346" i="29"/>
  <c r="M263" i="29"/>
  <c r="N179" i="29"/>
  <c r="M100" i="29"/>
  <c r="N20" i="29"/>
  <c r="N276" i="29"/>
  <c r="N165" i="29"/>
  <c r="M82" i="29"/>
  <c r="M338" i="29"/>
  <c r="N262" i="29"/>
  <c r="M179" i="29"/>
  <c r="N95" i="29"/>
  <c r="M16" i="29"/>
  <c r="M272" i="29"/>
  <c r="N192" i="29"/>
  <c r="N81" i="29"/>
  <c r="M154" i="29"/>
  <c r="N234" i="29"/>
  <c r="M303" i="29"/>
  <c r="M40" i="29"/>
  <c r="N76" i="29"/>
  <c r="M370" i="29"/>
  <c r="N388" i="29"/>
  <c r="N550" i="29"/>
  <c r="M471" i="29"/>
  <c r="N399" i="29"/>
  <c r="N329" i="29"/>
  <c r="N126" i="29"/>
  <c r="M255" i="29"/>
  <c r="M52" i="29"/>
  <c r="N136" i="29"/>
  <c r="M450" i="29"/>
  <c r="N410" i="29"/>
  <c r="M367" i="29"/>
  <c r="M201" i="29"/>
  <c r="N607" i="29"/>
  <c r="N61" i="29"/>
  <c r="M186" i="29"/>
  <c r="N322" i="29"/>
  <c r="N107" i="29"/>
  <c r="M248" i="29"/>
  <c r="N300" i="29"/>
  <c r="M574" i="29"/>
  <c r="N534" i="29"/>
  <c r="M491" i="29"/>
  <c r="N455" i="29"/>
  <c r="M384" i="29"/>
  <c r="N321" i="29"/>
  <c r="N274" i="29"/>
  <c r="N227" i="29"/>
  <c r="N132" i="29"/>
  <c r="M546" i="29"/>
  <c r="N602" i="29"/>
  <c r="M169" i="29"/>
  <c r="M360" i="29"/>
  <c r="M117" i="29"/>
  <c r="M577" i="29"/>
  <c r="N257" i="29"/>
  <c r="N210" i="29"/>
  <c r="N155" i="29"/>
  <c r="N72" i="29"/>
  <c r="N265" i="29"/>
  <c r="N222" i="29"/>
  <c r="N163" i="29"/>
  <c r="N80" i="29"/>
  <c r="M510" i="29"/>
  <c r="N566" i="29"/>
  <c r="M337" i="29"/>
  <c r="M173" i="29"/>
  <c r="N376" i="29"/>
  <c r="M553" i="29"/>
  <c r="N501" i="29"/>
  <c r="M174" i="29"/>
  <c r="N149" i="29"/>
  <c r="M66" i="29"/>
  <c r="M322" i="29"/>
  <c r="N246" i="29"/>
  <c r="M163" i="29"/>
  <c r="N79" i="29"/>
  <c r="N335" i="29"/>
  <c r="N25" i="29"/>
  <c r="N281" i="29"/>
  <c r="M198" i="29"/>
  <c r="N122" i="29"/>
  <c r="M39" i="29"/>
  <c r="M295" i="29"/>
  <c r="N211" i="29"/>
  <c r="M132" i="29"/>
  <c r="N52" i="29"/>
  <c r="N308" i="29"/>
  <c r="N197" i="29"/>
  <c r="M114" i="29"/>
  <c r="N38" i="29"/>
  <c r="N294" i="29"/>
  <c r="M211" i="29"/>
  <c r="N127" i="29"/>
  <c r="M48" i="29"/>
  <c r="M304" i="29"/>
  <c r="N224" i="29"/>
  <c r="N137" i="29"/>
  <c r="M206" i="29"/>
  <c r="N286" i="29"/>
  <c r="M351" i="29"/>
  <c r="M88" i="29"/>
  <c r="N120" i="29"/>
  <c r="M402" i="29"/>
  <c r="M161" i="29"/>
  <c r="N582" i="29"/>
  <c r="M503" i="29"/>
  <c r="N431" i="29"/>
  <c r="M46" i="29"/>
  <c r="N190" i="29"/>
  <c r="M315" i="29"/>
  <c r="M108" i="29"/>
  <c r="N184" i="29"/>
  <c r="M486" i="29"/>
  <c r="N446" i="29"/>
  <c r="M403" i="29"/>
  <c r="N371" i="29"/>
  <c r="N468" i="29"/>
  <c r="N113" i="29"/>
  <c r="M246" i="29"/>
  <c r="M43" i="29"/>
  <c r="N171" i="29"/>
  <c r="M296" i="29"/>
  <c r="N348" i="29"/>
  <c r="M610" i="29"/>
  <c r="N570" i="29"/>
  <c r="M527" i="29"/>
  <c r="N491" i="29"/>
  <c r="M416" i="29"/>
  <c r="M62" i="29"/>
  <c r="M15" i="29"/>
  <c r="N299" i="29"/>
  <c r="N196" i="29"/>
  <c r="M590" i="29"/>
  <c r="M101" i="29"/>
  <c r="N379" i="29"/>
  <c r="M400" i="29"/>
  <c r="M353" i="29"/>
  <c r="M609" i="29"/>
  <c r="N333" i="29"/>
  <c r="N290" i="29"/>
  <c r="N235" i="29"/>
  <c r="N140" i="29"/>
  <c r="N349" i="29"/>
  <c r="N298" i="29"/>
  <c r="N247" i="29"/>
  <c r="N144" i="29"/>
  <c r="M554" i="29"/>
  <c r="M145" i="29"/>
  <c r="M297" i="29"/>
  <c r="M368" i="29"/>
  <c r="M181" i="29"/>
  <c r="M585" i="29"/>
  <c r="N533" i="29"/>
  <c r="M250" i="29"/>
  <c r="N181" i="29"/>
  <c r="M98" i="29"/>
  <c r="N22" i="29"/>
  <c r="N278" i="29"/>
  <c r="M195" i="29"/>
  <c r="N111" i="29"/>
  <c r="M32" i="29"/>
  <c r="N57" i="29"/>
  <c r="N313" i="29"/>
  <c r="M230" i="29"/>
  <c r="N154" i="29"/>
  <c r="M71" i="29"/>
  <c r="M327" i="29"/>
  <c r="N243" i="29"/>
  <c r="M164" i="29"/>
  <c r="N84" i="29"/>
  <c r="N340" i="29"/>
  <c r="N229" i="29"/>
  <c r="M146" i="29"/>
  <c r="N70" i="29"/>
  <c r="N326" i="29"/>
  <c r="M243" i="29"/>
  <c r="N159" i="29"/>
  <c r="M80" i="29"/>
  <c r="M336" i="29"/>
  <c r="N256" i="29"/>
  <c r="N189" i="29"/>
  <c r="M254" i="29"/>
  <c r="N334" i="29"/>
  <c r="N67" i="29"/>
  <c r="M140" i="29"/>
  <c r="N164" i="29"/>
  <c r="M434" i="29"/>
  <c r="N358" i="29"/>
  <c r="M13" i="29"/>
  <c r="M535" i="29"/>
  <c r="N463" i="29"/>
  <c r="M110" i="29"/>
  <c r="N242" i="29"/>
  <c r="N35" i="29"/>
  <c r="M168" i="29"/>
  <c r="N232" i="29"/>
  <c r="M522" i="29"/>
  <c r="N482" i="29"/>
  <c r="M443" i="29"/>
  <c r="N407" i="29"/>
  <c r="M269" i="29"/>
  <c r="N173" i="29"/>
  <c r="M302" i="29"/>
  <c r="M107" i="29"/>
  <c r="N231" i="29"/>
  <c r="M344" i="29"/>
  <c r="M354" i="29"/>
  <c r="M65" i="29"/>
  <c r="N606" i="29"/>
  <c r="M563" i="29"/>
  <c r="N523" i="29"/>
  <c r="M448" i="29"/>
  <c r="M142" i="29"/>
  <c r="M91" i="29"/>
  <c r="M44" i="29"/>
  <c r="N264" i="29"/>
  <c r="M33" i="29"/>
  <c r="M363" i="29"/>
  <c r="N427" i="29"/>
  <c r="M444" i="29"/>
  <c r="M385" i="29"/>
  <c r="M217" i="29"/>
  <c r="M78" i="29"/>
  <c r="M27" i="29"/>
  <c r="N311" i="29"/>
  <c r="N208" i="29"/>
  <c r="M86" i="29"/>
  <c r="M31" i="29"/>
  <c r="N315" i="29"/>
  <c r="N216" i="29"/>
  <c r="M606" i="29"/>
  <c r="M165" i="29"/>
  <c r="N391" i="29"/>
  <c r="M412" i="29"/>
  <c r="M361" i="29"/>
  <c r="M25" i="29"/>
  <c r="N45" i="29"/>
  <c r="M330" i="29"/>
  <c r="N213" i="29"/>
  <c r="M130" i="29"/>
  <c r="N54" i="29"/>
  <c r="N310" i="29"/>
  <c r="M227" i="29"/>
  <c r="N143" i="29"/>
  <c r="M64" i="29"/>
  <c r="N89" i="29"/>
  <c r="N345" i="29"/>
  <c r="M262" i="29"/>
  <c r="N186" i="29"/>
  <c r="M103" i="29"/>
  <c r="N19" i="29"/>
  <c r="N275" i="29"/>
  <c r="M196" i="29"/>
  <c r="N116" i="29"/>
  <c r="M189" i="29"/>
  <c r="N261" i="29"/>
  <c r="M178" i="29"/>
  <c r="N102" i="29"/>
  <c r="M19" i="29"/>
  <c r="M275" i="29"/>
  <c r="N191" i="29"/>
  <c r="M112" i="29"/>
  <c r="N32" i="29"/>
  <c r="N288" i="29"/>
  <c r="N237" i="29"/>
  <c r="M310" i="29"/>
  <c r="M47" i="29"/>
  <c r="N119" i="29"/>
  <c r="M188" i="29"/>
  <c r="N204" i="29"/>
  <c r="M466" i="29"/>
  <c r="N390" i="29"/>
  <c r="M37" i="29"/>
  <c r="M567" i="29"/>
  <c r="N41" i="29"/>
  <c r="M170" i="29"/>
  <c r="N302" i="29"/>
  <c r="N91" i="29"/>
  <c r="M220" i="29"/>
  <c r="N280" i="29"/>
  <c r="M558" i="29"/>
  <c r="N522" i="29"/>
  <c r="M479" i="29"/>
  <c r="N443" i="29"/>
  <c r="M372" i="29"/>
  <c r="N233" i="29"/>
  <c r="N34" i="29"/>
  <c r="M159" i="29"/>
  <c r="N291" i="29"/>
  <c r="N56" i="29"/>
  <c r="M390" i="29"/>
  <c r="M349" i="29"/>
  <c r="N448" i="29"/>
  <c r="M603" i="29"/>
  <c r="N555" i="29"/>
  <c r="M480" i="29"/>
  <c r="M218" i="29"/>
  <c r="M175" i="29"/>
  <c r="M120" i="29"/>
  <c r="N324" i="29"/>
  <c r="N362" i="29"/>
  <c r="M415" i="29"/>
  <c r="N475" i="29"/>
  <c r="M488" i="29"/>
  <c r="M417" i="29"/>
  <c r="N365" i="29"/>
  <c r="M150" i="29"/>
  <c r="M111" i="29"/>
  <c r="M56" i="29"/>
  <c r="N268" i="29"/>
  <c r="M158" i="29"/>
  <c r="M119" i="29"/>
  <c r="M60" i="29"/>
  <c r="N272" i="29"/>
  <c r="M129" i="29"/>
  <c r="M379" i="29"/>
  <c r="N439" i="29"/>
  <c r="M456" i="29"/>
  <c r="M393" i="29"/>
  <c r="M281" i="29"/>
  <c r="N125" i="29"/>
  <c r="N74" i="29"/>
  <c r="N245" i="29"/>
  <c r="M162" i="29"/>
  <c r="N86" i="29"/>
  <c r="N342" i="29"/>
  <c r="M259" i="29"/>
  <c r="N175" i="29"/>
  <c r="M96" i="29"/>
  <c r="N121" i="29"/>
  <c r="M38" i="29"/>
  <c r="M294" i="29"/>
  <c r="N218" i="29"/>
  <c r="M135" i="29"/>
  <c r="N51" i="29"/>
  <c r="N307" i="29"/>
  <c r="M228" i="29"/>
  <c r="N148" i="29"/>
  <c r="N37" i="29"/>
  <c r="N293" i="29"/>
  <c r="M210" i="29"/>
  <c r="N134" i="29"/>
  <c r="M51" i="29"/>
  <c r="M307" i="29"/>
  <c r="N223" i="29"/>
  <c r="M144" i="29"/>
  <c r="N64" i="29"/>
  <c r="N320" i="29"/>
  <c r="N289" i="29"/>
  <c r="N30" i="29"/>
  <c r="M95" i="29"/>
  <c r="N167" i="29"/>
  <c r="M244" i="29"/>
  <c r="N248" i="29"/>
  <c r="M498" i="29"/>
  <c r="N422" i="29"/>
  <c r="M293" i="29"/>
  <c r="M599" i="29"/>
  <c r="N97" i="29"/>
  <c r="M222" i="29"/>
  <c r="M23" i="29"/>
  <c r="N151" i="29"/>
  <c r="M276" i="29"/>
  <c r="N328" i="29"/>
  <c r="M598" i="29"/>
  <c r="N558" i="29"/>
  <c r="M515" i="29"/>
  <c r="N479" i="29"/>
  <c r="M404" i="29"/>
  <c r="N297" i="29"/>
  <c r="N94" i="29"/>
  <c r="M219" i="29"/>
  <c r="N347" i="29"/>
  <c r="N104" i="29"/>
  <c r="M426" i="29"/>
  <c r="N386" i="29"/>
  <c r="M325" i="29"/>
  <c r="M41" i="29"/>
  <c r="N587" i="29"/>
  <c r="M512" i="29"/>
  <c r="M298" i="29"/>
  <c r="M247" i="29"/>
  <c r="M204" i="29"/>
  <c r="M346" i="29"/>
  <c r="N406" i="29"/>
  <c r="M463" i="29"/>
  <c r="N519" i="29"/>
  <c r="M528" i="29"/>
  <c r="M449" i="29"/>
  <c r="N397" i="29"/>
  <c r="M234" i="29"/>
  <c r="M183" i="29"/>
  <c r="M136" i="29"/>
  <c r="N336" i="29"/>
  <c r="M238" i="29"/>
  <c r="M187" i="29"/>
  <c r="M148" i="29"/>
  <c r="N344" i="29"/>
  <c r="N370" i="29"/>
  <c r="M427" i="29"/>
  <c r="N487" i="29"/>
  <c r="M496" i="29"/>
  <c r="M425" i="29"/>
  <c r="N373" i="29"/>
  <c r="N201" i="29"/>
  <c r="N158" i="29"/>
  <c r="N21" i="29"/>
  <c r="N277" i="29"/>
  <c r="M194" i="29"/>
  <c r="N118" i="29"/>
  <c r="M35" i="29"/>
  <c r="M291" i="29"/>
  <c r="N207" i="29"/>
  <c r="M128" i="29"/>
  <c r="N153" i="29"/>
  <c r="M70" i="29"/>
  <c r="M326" i="29"/>
  <c r="N250" i="29"/>
  <c r="M167" i="29"/>
  <c r="N83" i="29"/>
  <c r="N339" i="29"/>
  <c r="M260" i="29"/>
  <c r="N180" i="29"/>
  <c r="N69" i="29"/>
  <c r="N325" i="29"/>
  <c r="M242" i="29"/>
  <c r="N166" i="29"/>
  <c r="M83" i="29"/>
  <c r="M339" i="29"/>
  <c r="N255" i="29"/>
  <c r="M176" i="29"/>
  <c r="N96" i="29"/>
  <c r="M29" i="29"/>
  <c r="N337" i="29"/>
  <c r="N78" i="29"/>
  <c r="M151" i="29"/>
  <c r="N219" i="29"/>
  <c r="M284" i="29"/>
  <c r="N292" i="29"/>
  <c r="M530" i="29"/>
  <c r="N454" i="29"/>
  <c r="M375" i="29"/>
  <c r="N440" i="29"/>
  <c r="N157" i="29"/>
  <c r="M282" i="29"/>
  <c r="M79" i="29"/>
  <c r="N203" i="29"/>
  <c r="M320" i="29"/>
  <c r="M253" i="29"/>
  <c r="N436" i="29"/>
  <c r="N594" i="29"/>
  <c r="M551" i="29"/>
  <c r="N511" i="29"/>
  <c r="M436" i="29"/>
  <c r="M14" i="29"/>
  <c r="N146" i="29"/>
  <c r="M279" i="29"/>
  <c r="M72" i="29"/>
  <c r="N152" i="29"/>
  <c r="M462" i="29"/>
  <c r="N426" i="29"/>
  <c r="M383" i="29"/>
  <c r="M329" i="29"/>
  <c r="N360" i="29"/>
  <c r="N93" i="29"/>
  <c r="N46" i="29"/>
  <c r="M331" i="29"/>
  <c r="M268" i="29"/>
  <c r="M398" i="29"/>
  <c r="N458" i="29"/>
  <c r="M511" i="29"/>
  <c r="N563" i="29"/>
  <c r="M560" i="29"/>
  <c r="M481" i="29"/>
  <c r="N17" i="29"/>
  <c r="M314" i="29"/>
  <c r="M267" i="29"/>
  <c r="M212" i="29"/>
  <c r="N29" i="29"/>
  <c r="M318" i="29"/>
  <c r="M271" i="29"/>
  <c r="M216" i="29"/>
  <c r="M362" i="29"/>
  <c r="N418" i="29"/>
  <c r="M475" i="29"/>
  <c r="N531" i="29"/>
  <c r="M536" i="29"/>
  <c r="M457" i="29"/>
  <c r="N405" i="29"/>
  <c r="N273" i="29"/>
  <c r="N226" i="29"/>
  <c r="N251" i="29"/>
  <c r="N156" i="29"/>
  <c r="M566" i="29"/>
  <c r="M305" i="29"/>
  <c r="N351" i="29"/>
  <c r="M376" i="29"/>
  <c r="M213" i="29"/>
  <c r="M589" i="29"/>
  <c r="M42" i="29"/>
  <c r="N338" i="29"/>
  <c r="N283" i="29"/>
  <c r="N176" i="29"/>
  <c r="M582" i="29"/>
  <c r="N428" i="29"/>
  <c r="N363" i="29"/>
  <c r="M392" i="29"/>
  <c r="M309" i="29"/>
  <c r="M601" i="29"/>
  <c r="N350" i="29"/>
  <c r="M430" i="29"/>
  <c r="M543" i="29"/>
  <c r="M580" i="29"/>
  <c r="N429" i="29"/>
  <c r="N552" i="29"/>
  <c r="N361" i="29"/>
  <c r="N364" i="29"/>
  <c r="M59" i="29"/>
  <c r="M442" i="29"/>
  <c r="M555" i="29"/>
  <c r="M588" i="29"/>
  <c r="N433" i="29"/>
  <c r="N584" i="29"/>
  <c r="N241" i="29"/>
  <c r="M236" i="29"/>
  <c r="N510" i="29"/>
  <c r="N611" i="29"/>
  <c r="M517" i="29"/>
  <c r="N581" i="29"/>
  <c r="N354" i="29"/>
  <c r="M116" i="29"/>
  <c r="N285" i="29"/>
  <c r="M252" i="29"/>
  <c r="N530" i="29"/>
  <c r="N404" i="29"/>
  <c r="M529" i="29"/>
  <c r="N585" i="29"/>
  <c r="N27" i="29"/>
  <c r="N318" i="29"/>
  <c r="N77" i="29"/>
  <c r="M84" i="29"/>
  <c r="N438" i="29"/>
  <c r="N547" i="29"/>
  <c r="M469" i="29"/>
  <c r="N557" i="29"/>
  <c r="N270" i="29"/>
  <c r="N168" i="29"/>
  <c r="N546" i="29"/>
  <c r="N493" i="29"/>
  <c r="N59" i="29"/>
  <c r="M81" i="29"/>
  <c r="N403" i="29"/>
  <c r="M369" i="29"/>
  <c r="N497" i="29"/>
  <c r="N504" i="29"/>
  <c r="N417" i="29"/>
  <c r="N597" i="29"/>
  <c r="M55" i="29"/>
  <c r="N331" i="29"/>
  <c r="N220" i="29"/>
  <c r="N13" i="29"/>
  <c r="M229" i="29"/>
  <c r="N395" i="29"/>
  <c r="M420" i="29"/>
  <c r="M365" i="29"/>
  <c r="M57" i="29"/>
  <c r="M122" i="29"/>
  <c r="M75" i="29"/>
  <c r="M24" i="29"/>
  <c r="N240" i="29"/>
  <c r="N408" i="29"/>
  <c r="M355" i="29"/>
  <c r="N415" i="29"/>
  <c r="M432" i="29"/>
  <c r="M377" i="29"/>
  <c r="M153" i="29"/>
  <c r="M223" i="29"/>
  <c r="M526" i="29"/>
  <c r="M73" i="29"/>
  <c r="M21" i="29"/>
  <c r="N465" i="29"/>
  <c r="N496" i="29"/>
  <c r="N561" i="29"/>
  <c r="N369" i="29"/>
  <c r="M239" i="29"/>
  <c r="M542" i="29"/>
  <c r="M137" i="29"/>
  <c r="M85" i="29"/>
  <c r="N473" i="29"/>
  <c r="N528" i="29"/>
  <c r="M118" i="29"/>
  <c r="N60" i="29"/>
  <c r="N610" i="29"/>
  <c r="M364" i="29"/>
  <c r="M581" i="29"/>
  <c r="N613" i="29"/>
  <c r="M607" i="29"/>
  <c r="M602" i="29"/>
  <c r="M138" i="29"/>
  <c r="N100" i="29"/>
  <c r="N368" i="29"/>
  <c r="M380" i="29"/>
  <c r="M593" i="29"/>
  <c r="M177" i="29"/>
  <c r="M394" i="29"/>
  <c r="M312" i="29"/>
  <c r="N301" i="29"/>
  <c r="M264" i="29"/>
  <c r="N538" i="29"/>
  <c r="N424" i="29"/>
  <c r="M533" i="29"/>
  <c r="N589" i="29"/>
  <c r="M308" i="29"/>
  <c r="N562" i="29"/>
  <c r="N559" i="29"/>
  <c r="N488" i="29"/>
  <c r="N279" i="29"/>
  <c r="N382" i="29"/>
  <c r="N499" i="29"/>
  <c r="M433" i="29"/>
  <c r="N537" i="29"/>
  <c r="N604" i="29"/>
  <c r="N544" i="29"/>
  <c r="N572" i="29"/>
  <c r="M123" i="29"/>
  <c r="M76" i="29"/>
  <c r="N284" i="29"/>
  <c r="M193" i="29"/>
  <c r="M387" i="29"/>
  <c r="N447" i="29"/>
  <c r="M460" i="29"/>
  <c r="M397" i="29"/>
  <c r="M313" i="29"/>
  <c r="M202" i="29"/>
  <c r="M155" i="29"/>
  <c r="M104" i="29"/>
  <c r="N312" i="29"/>
  <c r="M321" i="29"/>
  <c r="M399" i="29"/>
  <c r="N467" i="29"/>
  <c r="M476" i="29"/>
  <c r="M409" i="29"/>
  <c r="N357" i="29"/>
  <c r="N103" i="29"/>
  <c r="N352" i="29"/>
  <c r="N411" i="29"/>
  <c r="M373" i="29"/>
  <c r="N505" i="29"/>
  <c r="N536" i="29"/>
  <c r="N556" i="29"/>
  <c r="N565" i="29"/>
  <c r="N123" i="29"/>
  <c r="N464" i="29"/>
  <c r="N423" i="29"/>
  <c r="M381" i="29"/>
  <c r="N509" i="29"/>
  <c r="N568" i="29"/>
  <c r="M334" i="29"/>
  <c r="N236" i="29"/>
  <c r="M371" i="29"/>
  <c r="M452" i="29"/>
  <c r="M249" i="29"/>
  <c r="N456" i="29"/>
  <c r="M484" i="29"/>
  <c r="M423" i="29"/>
  <c r="N14" i="29"/>
  <c r="N260" i="29"/>
  <c r="M391" i="29"/>
  <c r="M464" i="29"/>
  <c r="M345" i="29"/>
  <c r="N480" i="29"/>
  <c r="M411" i="29"/>
  <c r="N366" i="29"/>
  <c r="M182" i="29"/>
  <c r="N108" i="29"/>
  <c r="N400" i="29"/>
  <c r="M388" i="29"/>
  <c r="M597" i="29"/>
  <c r="M241" i="29"/>
  <c r="N450" i="29"/>
  <c r="N567" i="29"/>
  <c r="M413" i="29"/>
  <c r="N161" i="29"/>
  <c r="M156" i="29"/>
  <c r="N478" i="29"/>
  <c r="N583" i="29"/>
  <c r="M497" i="29"/>
  <c r="N569" i="29"/>
  <c r="M190" i="29"/>
  <c r="N39" i="29"/>
  <c r="M207" i="29"/>
  <c r="M152" i="29"/>
  <c r="M61" i="29"/>
  <c r="N378" i="29"/>
  <c r="M431" i="29"/>
  <c r="N495" i="29"/>
  <c r="M504" i="29"/>
  <c r="M429" i="29"/>
  <c r="N377" i="29"/>
  <c r="M278" i="29"/>
  <c r="M235" i="29"/>
  <c r="M180" i="29"/>
  <c r="M157" i="29"/>
  <c r="N398" i="29"/>
  <c r="M451" i="29"/>
  <c r="N507" i="29"/>
  <c r="M520" i="29"/>
  <c r="M441" i="29"/>
  <c r="N389" i="29"/>
  <c r="N295" i="29"/>
  <c r="N394" i="29"/>
  <c r="N503" i="29"/>
  <c r="M437" i="29"/>
  <c r="N541" i="29"/>
  <c r="M143" i="29"/>
  <c r="M214" i="29"/>
  <c r="N588" i="29"/>
  <c r="N343" i="29"/>
  <c r="N402" i="29"/>
  <c r="N515" i="29"/>
  <c r="M445" i="29"/>
  <c r="N545" i="29"/>
  <c r="N317" i="29"/>
  <c r="N194" i="29"/>
  <c r="M358" i="29"/>
  <c r="M467" i="29"/>
  <c r="M532" i="29"/>
  <c r="N401" i="29"/>
  <c r="N548" i="29"/>
  <c r="M605" i="29"/>
  <c r="M141" i="29"/>
  <c r="N238" i="29"/>
  <c r="M374" i="29"/>
  <c r="M487" i="29"/>
  <c r="M544" i="29"/>
  <c r="N409" i="29"/>
  <c r="N580" i="29"/>
  <c r="M45" i="29"/>
  <c r="M519" i="29"/>
  <c r="N42" i="29"/>
  <c r="N296" i="29"/>
  <c r="M395" i="29"/>
  <c r="M472" i="29"/>
  <c r="N353" i="29"/>
  <c r="N512" i="29"/>
  <c r="N375" i="29"/>
  <c r="M421" i="29"/>
  <c r="N593" i="29"/>
  <c r="M30" i="29"/>
  <c r="M332" i="29"/>
  <c r="N578" i="29"/>
  <c r="M237" i="29"/>
  <c r="M561" i="29"/>
  <c r="N601" i="29"/>
  <c r="M92" i="29"/>
  <c r="N316" i="29"/>
  <c r="M283" i="29"/>
  <c r="M232" i="29"/>
  <c r="M366" i="29"/>
  <c r="N430" i="29"/>
  <c r="M483" i="29"/>
  <c r="N535" i="29"/>
  <c r="M540" i="29"/>
  <c r="M461" i="29"/>
  <c r="N73" i="29"/>
  <c r="N18" i="29"/>
  <c r="M311" i="29"/>
  <c r="M256" i="29"/>
  <c r="M386" i="29"/>
  <c r="N442" i="29"/>
  <c r="M499" i="29"/>
  <c r="N551" i="29"/>
  <c r="M552" i="29"/>
  <c r="M473" i="29"/>
  <c r="N205" i="29"/>
  <c r="M172" i="29"/>
  <c r="N490" i="29"/>
  <c r="N591" i="29"/>
  <c r="M501" i="29"/>
  <c r="N573" i="29"/>
  <c r="N304" i="29"/>
  <c r="N259" i="29"/>
  <c r="N221" i="29"/>
  <c r="M200" i="29"/>
  <c r="N502" i="29"/>
  <c r="N599" i="29"/>
  <c r="M509" i="29"/>
  <c r="N577" i="29"/>
  <c r="M490" i="29"/>
  <c r="M63" i="29"/>
  <c r="M454" i="29"/>
  <c r="M571" i="29"/>
  <c r="M596" i="29"/>
  <c r="N441" i="29"/>
  <c r="N532" i="29"/>
  <c r="N453" i="29"/>
  <c r="M357" i="29"/>
  <c r="M87" i="29"/>
  <c r="M474" i="29"/>
  <c r="M583" i="29"/>
  <c r="M608" i="29"/>
  <c r="N445" i="29"/>
  <c r="N492" i="29"/>
  <c r="M477" i="29"/>
  <c r="M408" i="29"/>
  <c r="N254" i="29"/>
  <c r="M382" i="29"/>
  <c r="M495" i="29"/>
  <c r="M548" i="29"/>
  <c r="N413" i="29"/>
  <c r="N612" i="29"/>
  <c r="M341" i="29"/>
  <c r="N457" i="29"/>
  <c r="M506" i="29"/>
  <c r="M266" i="29"/>
  <c r="N172" i="29"/>
  <c r="M261" i="29"/>
  <c r="M424" i="29"/>
  <c r="M89" i="29"/>
  <c r="N396" i="29"/>
  <c r="M586" i="29"/>
  <c r="N466" i="29"/>
  <c r="N23" i="29"/>
  <c r="M300" i="29"/>
  <c r="M418" i="29"/>
  <c r="N474" i="29"/>
  <c r="M531" i="29"/>
  <c r="N579" i="29"/>
  <c r="M572" i="29"/>
  <c r="M493" i="29"/>
  <c r="N145" i="29"/>
  <c r="N106" i="29"/>
  <c r="N43" i="29"/>
  <c r="M316" i="29"/>
  <c r="M438" i="29"/>
  <c r="N494" i="29"/>
  <c r="M547" i="29"/>
  <c r="N595" i="29"/>
  <c r="M584" i="29"/>
  <c r="M505" i="29"/>
  <c r="M58" i="29"/>
  <c r="N28" i="29"/>
  <c r="N586" i="29"/>
  <c r="M301" i="29"/>
  <c r="M565" i="29"/>
  <c r="N605" i="29"/>
  <c r="M69" i="29"/>
  <c r="M406" i="29"/>
  <c r="M94" i="29"/>
  <c r="N44" i="29"/>
  <c r="N598" i="29"/>
  <c r="M356" i="29"/>
  <c r="M573" i="29"/>
  <c r="N609" i="29"/>
  <c r="M556" i="29"/>
  <c r="M287" i="29"/>
  <c r="M550" i="29"/>
  <c r="M265" i="29"/>
  <c r="M149" i="29"/>
  <c r="N477" i="29"/>
  <c r="N560" i="29"/>
  <c r="N356" i="29"/>
  <c r="N421" i="29"/>
  <c r="M299" i="29"/>
  <c r="M570" i="29"/>
  <c r="N355" i="29"/>
  <c r="M245" i="29"/>
  <c r="N481" i="29"/>
  <c r="N592" i="29"/>
  <c r="N489" i="29"/>
  <c r="M485" i="29"/>
  <c r="M127" i="29"/>
  <c r="M478" i="29"/>
  <c r="M591" i="29"/>
  <c r="M612" i="29"/>
  <c r="N449" i="29"/>
  <c r="N524" i="29"/>
  <c r="N525" i="29"/>
  <c r="N576" i="29"/>
  <c r="M17" i="29"/>
  <c r="N110" i="29"/>
  <c r="M93" i="29"/>
  <c r="M435" i="29"/>
  <c r="M508" i="29"/>
  <c r="N381" i="29"/>
  <c r="N608" i="29"/>
  <c r="M507" i="29"/>
  <c r="N387" i="29"/>
  <c r="N99" i="29"/>
  <c r="N24" i="29"/>
  <c r="M470" i="29"/>
  <c r="N526" i="29"/>
  <c r="M579" i="29"/>
  <c r="N380" i="29"/>
  <c r="M604" i="29"/>
  <c r="M525" i="29"/>
  <c r="N225" i="29"/>
  <c r="N174" i="29"/>
  <c r="N131" i="29"/>
  <c r="N48" i="29"/>
  <c r="M482" i="29"/>
  <c r="N542" i="29"/>
  <c r="M595" i="29"/>
  <c r="N444" i="29"/>
  <c r="G628" i="29"/>
  <c r="M537" i="29"/>
  <c r="M270" i="29"/>
  <c r="N188" i="29"/>
  <c r="M350" i="29"/>
  <c r="M428" i="29"/>
  <c r="M121" i="29"/>
  <c r="N412" i="29"/>
  <c r="N471" i="29"/>
  <c r="M133" i="29"/>
  <c r="M286" i="29"/>
  <c r="N228" i="29"/>
  <c r="M359" i="29"/>
  <c r="M440" i="29"/>
  <c r="M185" i="29"/>
  <c r="N432" i="29"/>
  <c r="M209" i="29"/>
  <c r="N135" i="29"/>
  <c r="M97" i="29"/>
  <c r="N435" i="29"/>
  <c r="M389" i="29"/>
  <c r="N513" i="29"/>
  <c r="N600" i="29"/>
  <c r="N540" i="29"/>
  <c r="N372" i="29"/>
  <c r="N187" i="29"/>
  <c r="M225" i="29"/>
  <c r="N451" i="29"/>
  <c r="M401" i="29"/>
  <c r="N517" i="29"/>
  <c r="N476" i="29"/>
  <c r="N596" i="29"/>
  <c r="N529" i="29"/>
  <c r="M319" i="29"/>
  <c r="M578" i="29"/>
  <c r="N359" i="29"/>
  <c r="M277" i="29"/>
  <c r="N485" i="29"/>
  <c r="N500" i="29"/>
  <c r="M26" i="29"/>
  <c r="N82" i="29"/>
  <c r="M492" i="29"/>
  <c r="N330" i="29"/>
  <c r="M422" i="29"/>
  <c r="M539" i="29"/>
  <c r="M576" i="29"/>
  <c r="N425" i="29"/>
  <c r="N520" i="29"/>
  <c r="M396" i="29"/>
  <c r="M564" i="29"/>
  <c r="N183" i="29"/>
  <c r="N92" i="29"/>
  <c r="M514" i="29"/>
  <c r="N574" i="29"/>
  <c r="N416" i="29"/>
  <c r="M205" i="29"/>
  <c r="N420" i="29"/>
  <c r="M557" i="29"/>
  <c r="N305" i="29"/>
  <c r="N258" i="29"/>
  <c r="N199" i="29"/>
  <c r="N112" i="29"/>
  <c r="M534" i="29"/>
  <c r="N590" i="29"/>
  <c r="M105" i="29"/>
  <c r="M333" i="29"/>
  <c r="M53" i="29"/>
  <c r="M569" i="29"/>
  <c r="N162" i="29"/>
  <c r="M125" i="29"/>
  <c r="M447" i="29"/>
  <c r="M516" i="29"/>
  <c r="N385" i="29"/>
  <c r="N484" i="29"/>
  <c r="M113" i="29"/>
  <c r="N483" i="29"/>
  <c r="N170" i="29"/>
  <c r="M317" i="29"/>
  <c r="M459" i="29"/>
  <c r="M524" i="29"/>
  <c r="N393" i="29"/>
  <c r="N516" i="29"/>
  <c r="N49" i="29"/>
  <c r="M20" i="29"/>
  <c r="N414" i="29"/>
  <c r="N527" i="29"/>
  <c r="M453" i="29"/>
  <c r="N549" i="29"/>
  <c r="N215" i="29"/>
  <c r="N98" i="29"/>
  <c r="N65" i="29"/>
  <c r="M28" i="29"/>
  <c r="N434" i="29"/>
  <c r="N539" i="29"/>
  <c r="M465" i="29"/>
  <c r="N553" i="29"/>
  <c r="N129" i="29"/>
  <c r="N141" i="29"/>
  <c r="N472" i="29"/>
  <c r="N195" i="29"/>
  <c r="M289" i="29"/>
  <c r="N459" i="29"/>
  <c r="M405" i="29"/>
  <c r="N521" i="29"/>
  <c r="N508" i="29"/>
  <c r="M171" i="29"/>
  <c r="N124" i="29"/>
  <c r="M549" i="29"/>
  <c r="M215" i="29"/>
  <c r="M518" i="29"/>
  <c r="N460" i="29"/>
  <c r="N452" i="29"/>
  <c r="N461" i="29"/>
  <c r="N564" i="29"/>
  <c r="M541" i="29"/>
  <c r="M613" i="29"/>
  <c r="DJ110" i="25" l="1"/>
  <c r="DQ110" i="25" s="1"/>
  <c r="CZ216" i="25"/>
  <c r="DB216" i="25" s="1"/>
  <c r="T623" i="29"/>
  <c r="O623" i="29"/>
  <c r="K623" i="29"/>
  <c r="L623" i="29"/>
  <c r="P623" i="29"/>
  <c r="U623" i="29"/>
  <c r="S623" i="29"/>
  <c r="V623" i="29"/>
  <c r="Q623" i="29"/>
  <c r="R623" i="29"/>
  <c r="DQ212" i="25"/>
  <c r="DN212" i="25"/>
  <c r="DX216" i="24"/>
  <c r="EE216" i="24" s="1"/>
  <c r="DH216" i="25"/>
  <c r="DJ216" i="25" s="1"/>
  <c r="EB269" i="25"/>
  <c r="EA269" i="25"/>
  <c r="EB245" i="25"/>
  <c r="EA245" i="25"/>
  <c r="EB289" i="25"/>
  <c r="EA289" i="25"/>
  <c r="EB280" i="25"/>
  <c r="EA280" i="25"/>
  <c r="EB285" i="25"/>
  <c r="EA285" i="25"/>
  <c r="EB257" i="25"/>
  <c r="EA257" i="25"/>
  <c r="EB243" i="25"/>
  <c r="EA243" i="25"/>
  <c r="EB293" i="25"/>
  <c r="EA293" i="25"/>
  <c r="EB286" i="25"/>
  <c r="EA286" i="25"/>
  <c r="EB281" i="25"/>
  <c r="EA281" i="25"/>
  <c r="EB274" i="25"/>
  <c r="EA274" i="25"/>
  <c r="EB222" i="25"/>
  <c r="EA222" i="25"/>
  <c r="EB237" i="25"/>
  <c r="EA237" i="25"/>
  <c r="EB287" i="25"/>
  <c r="EA287" i="25"/>
  <c r="EB227" i="25"/>
  <c r="EA227" i="25"/>
  <c r="EB225" i="25"/>
  <c r="EA225" i="25"/>
  <c r="EB251" i="25"/>
  <c r="EA251" i="25"/>
  <c r="EB236" i="25"/>
  <c r="EA236" i="25"/>
  <c r="EB307" i="25"/>
  <c r="EA307" i="25"/>
  <c r="EB316" i="25"/>
  <c r="EA316" i="25"/>
  <c r="EB221" i="25"/>
  <c r="EA221" i="25"/>
  <c r="EB229" i="25"/>
  <c r="EA229" i="25"/>
  <c r="EB263" i="25"/>
  <c r="EA263" i="25"/>
  <c r="EB239" i="25"/>
  <c r="EA239" i="25"/>
  <c r="EB302" i="25"/>
  <c r="EA302" i="25"/>
  <c r="EB292" i="25"/>
  <c r="EA292" i="25"/>
  <c r="EB252" i="25"/>
  <c r="EA252" i="25"/>
  <c r="EB226" i="25"/>
  <c r="EA226" i="25"/>
  <c r="EB310" i="25"/>
  <c r="EA310" i="25"/>
  <c r="EB220" i="25"/>
  <c r="EA220" i="25"/>
  <c r="EB249" i="25"/>
  <c r="EA249" i="25"/>
  <c r="EB248" i="25"/>
  <c r="EA248" i="25"/>
  <c r="EB260" i="25"/>
  <c r="EA260" i="25"/>
  <c r="EB219" i="25"/>
  <c r="EA219" i="25"/>
  <c r="EB295" i="25"/>
  <c r="EA295" i="25"/>
  <c r="EB253" i="25"/>
  <c r="EA253" i="25"/>
  <c r="EB217" i="25"/>
  <c r="EA217" i="25"/>
  <c r="EB296" i="25"/>
  <c r="EA296" i="25"/>
  <c r="EB299" i="25"/>
  <c r="EA299" i="25"/>
  <c r="EB265" i="25"/>
  <c r="EA265" i="25"/>
  <c r="EB271" i="25"/>
  <c r="EA271" i="25"/>
  <c r="EB278" i="25"/>
  <c r="EA278" i="25"/>
  <c r="EB234" i="25"/>
  <c r="EA234" i="25"/>
  <c r="EB309" i="25"/>
  <c r="EA309" i="25"/>
  <c r="EB246" i="25"/>
  <c r="EA246" i="25"/>
  <c r="EB288" i="25"/>
  <c r="EA288" i="25"/>
  <c r="EA216" i="25"/>
  <c r="EB216" i="25"/>
  <c r="EB308" i="25"/>
  <c r="EA308" i="25"/>
  <c r="EB298" i="25"/>
  <c r="EA298" i="25"/>
  <c r="EB242" i="25"/>
  <c r="EA242" i="25"/>
  <c r="EB262" i="25"/>
  <c r="EA262" i="25"/>
  <c r="EB277" i="25"/>
  <c r="EA277" i="25"/>
  <c r="EB254" i="25"/>
  <c r="EA254" i="25"/>
  <c r="EB290" i="25"/>
  <c r="EA290" i="25"/>
  <c r="EB291" i="25"/>
  <c r="EA291" i="25"/>
  <c r="EB247" i="25"/>
  <c r="EA247" i="25"/>
  <c r="EB258" i="25"/>
  <c r="EA258" i="25"/>
  <c r="EB264" i="25"/>
  <c r="EA264" i="25"/>
  <c r="EB261" i="25"/>
  <c r="EA261" i="25"/>
  <c r="EB303" i="25"/>
  <c r="EA303" i="25"/>
  <c r="EB270" i="25"/>
  <c r="EA270" i="25"/>
  <c r="EB240" i="25"/>
  <c r="EA240" i="25"/>
  <c r="EB279" i="25"/>
  <c r="EA279" i="25"/>
  <c r="EB284" i="25"/>
  <c r="EA284" i="25"/>
  <c r="EB256" i="25"/>
  <c r="EA256" i="25"/>
  <c r="EB244" i="25"/>
  <c r="EA244" i="25"/>
  <c r="EB305" i="25"/>
  <c r="EA305" i="25"/>
  <c r="EB259" i="25"/>
  <c r="EA259" i="25"/>
  <c r="EB294" i="25"/>
  <c r="EA294" i="25"/>
  <c r="EB233" i="25"/>
  <c r="EA233" i="25"/>
  <c r="EB266" i="25"/>
  <c r="EA266" i="25"/>
  <c r="EB231" i="25"/>
  <c r="EA231" i="25"/>
  <c r="EB268" i="25"/>
  <c r="EA268" i="25"/>
  <c r="EB223" i="25"/>
  <c r="EA223" i="25"/>
  <c r="EB273" i="25"/>
  <c r="EA273" i="25"/>
  <c r="EB224" i="25"/>
  <c r="EA224" i="25"/>
  <c r="EB241" i="25"/>
  <c r="EA241" i="25"/>
  <c r="EB232" i="25"/>
  <c r="EA232" i="25"/>
  <c r="EB272" i="25"/>
  <c r="EA272" i="25"/>
  <c r="EB313" i="25"/>
  <c r="EA313" i="25"/>
  <c r="EB250" i="25"/>
  <c r="EA250" i="25"/>
  <c r="EB276" i="25"/>
  <c r="EA276" i="25"/>
  <c r="EB311" i="25"/>
  <c r="EA311" i="25"/>
  <c r="EB300" i="25"/>
  <c r="EA300" i="25"/>
  <c r="EB218" i="25"/>
  <c r="EA218" i="25"/>
  <c r="EB315" i="25"/>
  <c r="EA315" i="25"/>
  <c r="EB282" i="25"/>
  <c r="EA282" i="25"/>
  <c r="EB238" i="25"/>
  <c r="EA238" i="25"/>
  <c r="EB297" i="25"/>
  <c r="EA297" i="25"/>
  <c r="EB283" i="25"/>
  <c r="EA283" i="25"/>
  <c r="EB230" i="25"/>
  <c r="EA230" i="25"/>
  <c r="EB235" i="25"/>
  <c r="EA235" i="25"/>
  <c r="EB275" i="25"/>
  <c r="EA275" i="25"/>
  <c r="EB267" i="25"/>
  <c r="EA267" i="25"/>
  <c r="EB301" i="25"/>
  <c r="EA301" i="25"/>
  <c r="EB314" i="25"/>
  <c r="EA314" i="25"/>
  <c r="EB306" i="25"/>
  <c r="EA306" i="25"/>
  <c r="EB228" i="25"/>
  <c r="EA228" i="25"/>
  <c r="EB304" i="25"/>
  <c r="EA304" i="25"/>
  <c r="EB312" i="25"/>
  <c r="EA312" i="25"/>
  <c r="EB255" i="25"/>
  <c r="EA255" i="25"/>
  <c r="EA112" i="25"/>
  <c r="DQ112" i="25"/>
  <c r="DN112" i="25"/>
  <c r="DN183" i="25"/>
  <c r="DN206" i="25"/>
  <c r="DN203" i="24"/>
  <c r="DX203" i="24" s="1"/>
  <c r="DN146" i="24"/>
  <c r="DX146" i="24" s="1"/>
  <c r="DN86" i="24"/>
  <c r="DX86" i="24" s="1"/>
  <c r="DN66" i="24"/>
  <c r="DX66" i="24" s="1"/>
  <c r="DN137" i="24"/>
  <c r="DX137" i="24" s="1"/>
  <c r="DN127" i="25"/>
  <c r="DN187" i="24"/>
  <c r="DX187" i="24" s="1"/>
  <c r="DN207" i="24"/>
  <c r="DX207" i="24" s="1"/>
  <c r="DW110" i="24"/>
  <c r="EN110" i="24"/>
  <c r="EM110" i="24"/>
  <c r="EP110" i="24" s="1"/>
  <c r="DU110" i="24"/>
  <c r="FA110" i="24"/>
  <c r="EL110" i="24"/>
  <c r="EY110" i="24"/>
  <c r="EB110" i="24"/>
  <c r="DN79" i="24"/>
  <c r="DZ79" i="24" s="1"/>
  <c r="DW5" i="24"/>
  <c r="EN5" i="24"/>
  <c r="EM5" i="24"/>
  <c r="EP5" i="24" s="1"/>
  <c r="DU5" i="24"/>
  <c r="FA5" i="24"/>
  <c r="EB5" i="24"/>
  <c r="EL5" i="24"/>
  <c r="EY5" i="24"/>
  <c r="DN234" i="24"/>
  <c r="DO216" i="24"/>
  <c r="DR216" i="24"/>
  <c r="EY216" i="24" s="1"/>
  <c r="DN182" i="25"/>
  <c r="DN69" i="25"/>
  <c r="DN93" i="24"/>
  <c r="DZ93" i="24" s="1"/>
  <c r="DN73" i="25"/>
  <c r="DN139" i="24"/>
  <c r="DX139" i="24" s="1"/>
  <c r="DN248" i="24"/>
  <c r="DN78" i="24"/>
  <c r="DZ78" i="24" s="1"/>
  <c r="DN57" i="25"/>
  <c r="DN196" i="25"/>
  <c r="DN198" i="25"/>
  <c r="DN262" i="25"/>
  <c r="DN94" i="24"/>
  <c r="DZ94" i="24" s="1"/>
  <c r="DN181" i="24"/>
  <c r="DX181" i="24" s="1"/>
  <c r="DN75" i="24"/>
  <c r="DZ75" i="24" s="1"/>
  <c r="DN168" i="24"/>
  <c r="DX168" i="24" s="1"/>
  <c r="DN165" i="24"/>
  <c r="DX165" i="24" s="1"/>
  <c r="DN131" i="24"/>
  <c r="DX131" i="24" s="1"/>
  <c r="DN113" i="24"/>
  <c r="DX113" i="24" s="1"/>
  <c r="DN237" i="24"/>
  <c r="DN116" i="24"/>
  <c r="DX116" i="24" s="1"/>
  <c r="DN291" i="24"/>
  <c r="DN273" i="24"/>
  <c r="DN312" i="24"/>
  <c r="DN254" i="24"/>
  <c r="DN27" i="24"/>
  <c r="DZ27" i="24" s="1"/>
  <c r="DN275" i="24"/>
  <c r="DN284" i="24"/>
  <c r="DN143" i="25"/>
  <c r="DN221" i="24"/>
  <c r="DN16" i="24"/>
  <c r="DZ16" i="24" s="1"/>
  <c r="DN255" i="24"/>
  <c r="DN264" i="24"/>
  <c r="DN162" i="24"/>
  <c r="DX162" i="24" s="1"/>
  <c r="DN310" i="24"/>
  <c r="DN163" i="24"/>
  <c r="DX163" i="24" s="1"/>
  <c r="DN299" i="24"/>
  <c r="DN139" i="25"/>
  <c r="DQ183" i="25"/>
  <c r="DT183" i="25" s="1"/>
  <c r="DN138" i="25"/>
  <c r="DN181" i="25"/>
  <c r="DN179" i="25"/>
  <c r="DN299" i="25"/>
  <c r="DQ73" i="25"/>
  <c r="DQ143" i="25"/>
  <c r="DT143" i="25" s="1"/>
  <c r="DQ138" i="25"/>
  <c r="DV138" i="25" s="1"/>
  <c r="DQ181" i="25"/>
  <c r="EJ181" i="25" s="1"/>
  <c r="DQ182" i="25"/>
  <c r="DV182" i="25" s="1"/>
  <c r="DN178" i="25"/>
  <c r="DN85" i="24"/>
  <c r="DX85" i="24" s="1"/>
  <c r="DN219" i="24"/>
  <c r="DN206" i="24"/>
  <c r="DX206" i="24" s="1"/>
  <c r="DN179" i="24"/>
  <c r="DX179" i="24" s="1"/>
  <c r="DN254" i="25"/>
  <c r="DQ254" i="25"/>
  <c r="DQ137" i="25"/>
  <c r="FA137" i="25" s="1"/>
  <c r="DN137" i="25"/>
  <c r="DW97" i="25"/>
  <c r="EB68" i="25"/>
  <c r="EA68" i="25"/>
  <c r="DN227" i="25"/>
  <c r="DQ227" i="25"/>
  <c r="EB195" i="25"/>
  <c r="EA195" i="25"/>
  <c r="DN115" i="24"/>
  <c r="DX115" i="24" s="1"/>
  <c r="DN95" i="24"/>
  <c r="DZ95" i="24" s="1"/>
  <c r="DN301" i="24"/>
  <c r="DN69" i="24"/>
  <c r="DX69" i="24" s="1"/>
  <c r="DN78" i="25"/>
  <c r="DQ78" i="25"/>
  <c r="DW200" i="25"/>
  <c r="DN196" i="24"/>
  <c r="DX196" i="24" s="1"/>
  <c r="DN169" i="24"/>
  <c r="DX169" i="24" s="1"/>
  <c r="DN243" i="24"/>
  <c r="DN151" i="24"/>
  <c r="DX151" i="24" s="1"/>
  <c r="DN278" i="24"/>
  <c r="DN149" i="24"/>
  <c r="DX149" i="24" s="1"/>
  <c r="DN208" i="24"/>
  <c r="DX208" i="24" s="1"/>
  <c r="DN103" i="25"/>
  <c r="DQ103" i="25"/>
  <c r="DT103" i="25" s="1"/>
  <c r="DN34" i="25"/>
  <c r="DQ34" i="25"/>
  <c r="DN266" i="25"/>
  <c r="DQ266" i="25"/>
  <c r="DN296" i="25"/>
  <c r="DQ296" i="25"/>
  <c r="DQ263" i="25"/>
  <c r="DN263" i="25"/>
  <c r="DQ81" i="25"/>
  <c r="DN81" i="25"/>
  <c r="DN184" i="24"/>
  <c r="DX184" i="24" s="1"/>
  <c r="DN97" i="24"/>
  <c r="DZ97" i="24" s="1"/>
  <c r="DQ241" i="25"/>
  <c r="DN241" i="25"/>
  <c r="DN176" i="24"/>
  <c r="DX176" i="24" s="1"/>
  <c r="DN130" i="24"/>
  <c r="DX130" i="24" s="1"/>
  <c r="DN76" i="24"/>
  <c r="DZ76" i="24" s="1"/>
  <c r="DN117" i="24"/>
  <c r="DX117" i="24" s="1"/>
  <c r="DN191" i="24"/>
  <c r="DX191" i="24" s="1"/>
  <c r="DN198" i="24"/>
  <c r="DX198" i="24" s="1"/>
  <c r="DN306" i="24"/>
  <c r="DN74" i="24"/>
  <c r="DX74" i="24" s="1"/>
  <c r="DN217" i="24"/>
  <c r="DN84" i="24"/>
  <c r="DX84" i="24" s="1"/>
  <c r="DN256" i="24"/>
  <c r="DN135" i="24"/>
  <c r="DX135" i="24" s="1"/>
  <c r="DN205" i="24"/>
  <c r="DX205" i="24" s="1"/>
  <c r="DW174" i="25"/>
  <c r="DW131" i="25"/>
  <c r="EB118" i="25"/>
  <c r="EA118" i="25"/>
  <c r="DN156" i="24"/>
  <c r="DX156" i="24" s="1"/>
  <c r="DN257" i="25"/>
  <c r="DQ257" i="25"/>
  <c r="EB102" i="25"/>
  <c r="EA102" i="25"/>
  <c r="DQ43" i="25"/>
  <c r="DN43" i="25"/>
  <c r="DQ121" i="25"/>
  <c r="FA121" i="25" s="1"/>
  <c r="DN121" i="25"/>
  <c r="DN312" i="25"/>
  <c r="DQ312" i="25"/>
  <c r="DN272" i="25"/>
  <c r="DQ272" i="25"/>
  <c r="DN91" i="24"/>
  <c r="DZ91" i="24" s="1"/>
  <c r="DW180" i="25"/>
  <c r="DW95" i="25"/>
  <c r="DQ224" i="25"/>
  <c r="DN224" i="25"/>
  <c r="DQ119" i="25"/>
  <c r="EJ119" i="25" s="1"/>
  <c r="DN119" i="25"/>
  <c r="DQ193" i="25"/>
  <c r="EJ193" i="25" s="1"/>
  <c r="DN193" i="25"/>
  <c r="DN75" i="25"/>
  <c r="DQ75" i="25"/>
  <c r="DQ299" i="25"/>
  <c r="DQ244" i="25"/>
  <c r="DN244" i="25"/>
  <c r="DW103" i="25"/>
  <c r="DW178" i="25"/>
  <c r="DW51" i="25"/>
  <c r="DN13" i="25"/>
  <c r="DQ13" i="25"/>
  <c r="EB10" i="25"/>
  <c r="EA10" i="25"/>
  <c r="DW91" i="25"/>
  <c r="DN237" i="25"/>
  <c r="DQ237" i="25"/>
  <c r="DN242" i="25"/>
  <c r="DQ242" i="25"/>
  <c r="EB16" i="25"/>
  <c r="EA16" i="25"/>
  <c r="DQ315" i="25"/>
  <c r="DN315" i="25"/>
  <c r="DQ187" i="25"/>
  <c r="EY187" i="25" s="1"/>
  <c r="DN187" i="25"/>
  <c r="EB31" i="25"/>
  <c r="EA31" i="25"/>
  <c r="DW89" i="25"/>
  <c r="DN85" i="25"/>
  <c r="DQ85" i="25"/>
  <c r="DQ148" i="25"/>
  <c r="DN148" i="25"/>
  <c r="DQ35" i="25"/>
  <c r="DN35" i="25"/>
  <c r="DQ144" i="25"/>
  <c r="DN144" i="25"/>
  <c r="DN286" i="25"/>
  <c r="DQ286" i="25"/>
  <c r="DN282" i="25"/>
  <c r="DQ282" i="25"/>
  <c r="DN159" i="25"/>
  <c r="DQ159" i="25"/>
  <c r="DQ151" i="25"/>
  <c r="DN151" i="25"/>
  <c r="EB146" i="25"/>
  <c r="EA146" i="25"/>
  <c r="DQ206" i="25"/>
  <c r="DT206" i="25" s="1"/>
  <c r="DW9" i="25"/>
  <c r="DW143" i="25"/>
  <c r="DQ316" i="25"/>
  <c r="DN316" i="25"/>
  <c r="EB46" i="25"/>
  <c r="EA46" i="25"/>
  <c r="DN72" i="25"/>
  <c r="DQ72" i="25"/>
  <c r="DN171" i="25"/>
  <c r="DQ171" i="25"/>
  <c r="EY171" i="25" s="1"/>
  <c r="DQ116" i="25"/>
  <c r="DN116" i="25"/>
  <c r="EB142" i="25"/>
  <c r="EA142" i="25"/>
  <c r="DQ69" i="25"/>
  <c r="DQ21" i="25"/>
  <c r="DN21" i="25"/>
  <c r="DW56" i="25"/>
  <c r="DW45" i="25"/>
  <c r="DN268" i="25"/>
  <c r="DQ268" i="25"/>
  <c r="DQ139" i="25"/>
  <c r="EJ139" i="25" s="1"/>
  <c r="DW185" i="25"/>
  <c r="DW171" i="25"/>
  <c r="DN113" i="25"/>
  <c r="DQ113" i="25"/>
  <c r="DQ174" i="25"/>
  <c r="FA174" i="25" s="1"/>
  <c r="DN174" i="25"/>
  <c r="DN280" i="25"/>
  <c r="DQ280" i="25"/>
  <c r="DQ168" i="25"/>
  <c r="FA168" i="25" s="1"/>
  <c r="DN168" i="25"/>
  <c r="EB135" i="25"/>
  <c r="EA135" i="25"/>
  <c r="DQ198" i="25"/>
  <c r="DT198" i="25" s="1"/>
  <c r="DQ24" i="25"/>
  <c r="DN24" i="25"/>
  <c r="DN126" i="25"/>
  <c r="DQ126" i="25"/>
  <c r="EJ126" i="25" s="1"/>
  <c r="EB124" i="25"/>
  <c r="EA124" i="25"/>
  <c r="DQ186" i="25"/>
  <c r="DN186" i="25"/>
  <c r="DN210" i="24"/>
  <c r="DX210" i="24" s="1"/>
  <c r="EB7" i="25"/>
  <c r="EA7" i="25"/>
  <c r="DN59" i="25"/>
  <c r="DQ59" i="25"/>
  <c r="DN202" i="25"/>
  <c r="DQ202" i="25"/>
  <c r="DT202" i="25" s="1"/>
  <c r="EB183" i="25"/>
  <c r="EA183" i="25"/>
  <c r="DW59" i="25"/>
  <c r="DN95" i="25"/>
  <c r="DQ95" i="25"/>
  <c r="DT95" i="25" s="1"/>
  <c r="DW189" i="25"/>
  <c r="DQ140" i="25"/>
  <c r="DN140" i="25"/>
  <c r="DN265" i="25"/>
  <c r="DQ265" i="25"/>
  <c r="DQ16" i="25"/>
  <c r="DN16" i="25"/>
  <c r="EB69" i="25"/>
  <c r="EA69" i="25"/>
  <c r="DN20" i="25"/>
  <c r="DQ20" i="25"/>
  <c r="DN302" i="25"/>
  <c r="DQ302" i="25"/>
  <c r="DQ220" i="25"/>
  <c r="DN220" i="25"/>
  <c r="DN157" i="25"/>
  <c r="DQ157" i="25"/>
  <c r="EJ157" i="25" s="1"/>
  <c r="DN189" i="25"/>
  <c r="DQ189" i="25"/>
  <c r="FA189" i="25" s="1"/>
  <c r="DQ86" i="25"/>
  <c r="DN86" i="25"/>
  <c r="DN163" i="25"/>
  <c r="DQ163" i="25"/>
  <c r="DN48" i="25"/>
  <c r="DQ48" i="25"/>
  <c r="DQ230" i="25"/>
  <c r="DN230" i="25"/>
  <c r="DN259" i="25"/>
  <c r="DQ259" i="25"/>
  <c r="DN175" i="25"/>
  <c r="DQ175" i="25"/>
  <c r="EJ175" i="25" s="1"/>
  <c r="DN123" i="25"/>
  <c r="DQ123" i="25"/>
  <c r="DQ49" i="25"/>
  <c r="DN49" i="25"/>
  <c r="DN150" i="25"/>
  <c r="DQ150" i="25"/>
  <c r="DQ105" i="25"/>
  <c r="DT105" i="25" s="1"/>
  <c r="DN105" i="25"/>
  <c r="DQ46" i="25"/>
  <c r="DN46" i="25"/>
  <c r="DN247" i="25"/>
  <c r="DQ247" i="25"/>
  <c r="EB71" i="25"/>
  <c r="EA71" i="25"/>
  <c r="DW88" i="25"/>
  <c r="EB62" i="25"/>
  <c r="EA62" i="25"/>
  <c r="DW35" i="25"/>
  <c r="EB166" i="25"/>
  <c r="EA166" i="25"/>
  <c r="EB153" i="25"/>
  <c r="EA153" i="25"/>
  <c r="DW96" i="25"/>
  <c r="EB197" i="25"/>
  <c r="EA197" i="25"/>
  <c r="EB133" i="25"/>
  <c r="EA133" i="25"/>
  <c r="EB159" i="25"/>
  <c r="EA159" i="25"/>
  <c r="DN62" i="25"/>
  <c r="DQ62" i="25"/>
  <c r="DW80" i="25"/>
  <c r="DQ314" i="25"/>
  <c r="DN314" i="25"/>
  <c r="DW168" i="25"/>
  <c r="DW170" i="25"/>
  <c r="EB54" i="25"/>
  <c r="EA54" i="25"/>
  <c r="DN152" i="25"/>
  <c r="DQ152" i="25"/>
  <c r="DN221" i="25"/>
  <c r="DQ221" i="25"/>
  <c r="DQ246" i="25"/>
  <c r="DN246" i="25"/>
  <c r="DW164" i="25"/>
  <c r="DN131" i="25"/>
  <c r="DQ131" i="25"/>
  <c r="DN285" i="25"/>
  <c r="DQ285" i="25"/>
  <c r="DW77" i="25"/>
  <c r="EB39" i="25"/>
  <c r="EA39" i="25"/>
  <c r="DQ10" i="25"/>
  <c r="DN10" i="25"/>
  <c r="EB8" i="25"/>
  <c r="EA8" i="25"/>
  <c r="EB167" i="25"/>
  <c r="EA167" i="25"/>
  <c r="DW29" i="25"/>
  <c r="DW122" i="25"/>
  <c r="DW65" i="25"/>
  <c r="EB84" i="25"/>
  <c r="EA84" i="25"/>
  <c r="DW49" i="25"/>
  <c r="DW177" i="25"/>
  <c r="DW13" i="25"/>
  <c r="DQ243" i="25"/>
  <c r="DN243" i="25"/>
  <c r="DN261" i="25"/>
  <c r="DQ261" i="25"/>
  <c r="DN199" i="25"/>
  <c r="DQ199" i="25"/>
  <c r="DT199" i="25" s="1"/>
  <c r="DW23" i="25"/>
  <c r="DW12" i="25"/>
  <c r="EB154" i="25"/>
  <c r="EA154" i="25"/>
  <c r="EB160" i="25"/>
  <c r="EA160" i="25"/>
  <c r="DW48" i="25"/>
  <c r="DN274" i="25"/>
  <c r="DQ274" i="25"/>
  <c r="EB206" i="25"/>
  <c r="EA206" i="25"/>
  <c r="EB67" i="25"/>
  <c r="EA67" i="25"/>
  <c r="DQ99" i="25"/>
  <c r="DT99" i="25" s="1"/>
  <c r="DN99" i="25"/>
  <c r="DW175" i="25"/>
  <c r="DN38" i="25"/>
  <c r="DQ38" i="25"/>
  <c r="DN61" i="25"/>
  <c r="DQ61" i="25"/>
  <c r="EB73" i="25"/>
  <c r="EA73" i="25"/>
  <c r="EB207" i="25"/>
  <c r="EA207" i="25"/>
  <c r="DN162" i="25"/>
  <c r="DQ162" i="25"/>
  <c r="EB130" i="25"/>
  <c r="EA130" i="25"/>
  <c r="DW105" i="25"/>
  <c r="DN79" i="25"/>
  <c r="DQ79" i="25"/>
  <c r="DQ311" i="25"/>
  <c r="DN311" i="25"/>
  <c r="DW38" i="25"/>
  <c r="DN170" i="25"/>
  <c r="DQ170" i="25"/>
  <c r="FA170" i="25" s="1"/>
  <c r="DN201" i="25"/>
  <c r="DQ201" i="25"/>
  <c r="DT201" i="25" s="1"/>
  <c r="DW145" i="25"/>
  <c r="EB55" i="25"/>
  <c r="EA55" i="25"/>
  <c r="DN278" i="25"/>
  <c r="DQ278" i="25"/>
  <c r="DW139" i="25"/>
  <c r="DQ71" i="25"/>
  <c r="DN71" i="25"/>
  <c r="DQ117" i="25"/>
  <c r="DN117" i="25"/>
  <c r="DN210" i="25"/>
  <c r="DQ210" i="25"/>
  <c r="DT210" i="25" s="1"/>
  <c r="DN234" i="25"/>
  <c r="DQ234" i="25"/>
  <c r="DN295" i="25"/>
  <c r="DQ295" i="25"/>
  <c r="EB53" i="25"/>
  <c r="EA53" i="25"/>
  <c r="EB30" i="25"/>
  <c r="EA30" i="25"/>
  <c r="DQ96" i="25"/>
  <c r="DT96" i="25" s="1"/>
  <c r="DN96" i="25"/>
  <c r="DN273" i="25"/>
  <c r="DQ273" i="25"/>
  <c r="EB161" i="25"/>
  <c r="EA161" i="25"/>
  <c r="DQ57" i="25"/>
  <c r="EB50" i="25"/>
  <c r="EA50" i="25"/>
  <c r="EB165" i="25"/>
  <c r="EA165" i="25"/>
  <c r="DN233" i="25"/>
  <c r="DQ233" i="25"/>
  <c r="DW190" i="25"/>
  <c r="DW158" i="25"/>
  <c r="DQ283" i="25"/>
  <c r="DN283" i="25"/>
  <c r="DN200" i="25"/>
  <c r="DQ200" i="25"/>
  <c r="DT200" i="25" s="1"/>
  <c r="DN39" i="25"/>
  <c r="DQ39" i="25"/>
  <c r="DQ209" i="25"/>
  <c r="DT209" i="25" s="1"/>
  <c r="DN209" i="25"/>
  <c r="DN245" i="25"/>
  <c r="DQ245" i="25"/>
  <c r="DQ303" i="25"/>
  <c r="DN303" i="25"/>
  <c r="EB176" i="25"/>
  <c r="EA176" i="25"/>
  <c r="DQ14" i="25"/>
  <c r="DN14" i="25"/>
  <c r="DQ191" i="25"/>
  <c r="EJ191" i="25" s="1"/>
  <c r="DN191" i="25"/>
  <c r="DN120" i="25"/>
  <c r="DQ120" i="25"/>
  <c r="DW111" i="25"/>
  <c r="DW121" i="25"/>
  <c r="DN271" i="25"/>
  <c r="DQ271" i="25"/>
  <c r="DN68" i="25"/>
  <c r="DQ68" i="25"/>
  <c r="DN184" i="25"/>
  <c r="DQ184" i="25"/>
  <c r="DQ287" i="25"/>
  <c r="DN287" i="25"/>
  <c r="DQ195" i="25"/>
  <c r="DT195" i="25" s="1"/>
  <c r="DN195" i="25"/>
  <c r="DN309" i="25"/>
  <c r="DQ309" i="25"/>
  <c r="DW203" i="25"/>
  <c r="DN98" i="25"/>
  <c r="DQ98" i="25"/>
  <c r="DT98" i="25" s="1"/>
  <c r="DW187" i="25"/>
  <c r="DQ111" i="25"/>
  <c r="DN111" i="25"/>
  <c r="DN256" i="25"/>
  <c r="DQ256" i="25"/>
  <c r="DQ51" i="25"/>
  <c r="DN51" i="25"/>
  <c r="EB196" i="25"/>
  <c r="EA196" i="25"/>
  <c r="DN67" i="25"/>
  <c r="DQ67" i="25"/>
  <c r="DQ84" i="25"/>
  <c r="DN84" i="25"/>
  <c r="DW157" i="25"/>
  <c r="DN225" i="25"/>
  <c r="DQ225" i="25"/>
  <c r="DQ128" i="25"/>
  <c r="EJ128" i="25" s="1"/>
  <c r="DN128" i="25"/>
  <c r="DN298" i="25"/>
  <c r="DQ298" i="25"/>
  <c r="DN276" i="25"/>
  <c r="DQ276" i="25"/>
  <c r="DQ275" i="25"/>
  <c r="DN275" i="25"/>
  <c r="DN173" i="25"/>
  <c r="DQ173" i="25"/>
  <c r="EJ173" i="25" s="1"/>
  <c r="DN87" i="25"/>
  <c r="DQ87" i="25"/>
  <c r="DQ36" i="25"/>
  <c r="DN36" i="25"/>
  <c r="DQ55" i="25"/>
  <c r="DN55" i="25"/>
  <c r="EB148" i="25"/>
  <c r="EA148" i="25"/>
  <c r="DN142" i="25"/>
  <c r="DQ142" i="25"/>
  <c r="DW60" i="25"/>
  <c r="DW64" i="25"/>
  <c r="DW128" i="25"/>
  <c r="DQ300" i="25"/>
  <c r="DN300" i="25"/>
  <c r="DQ252" i="25"/>
  <c r="DN252" i="25"/>
  <c r="DN304" i="25"/>
  <c r="DQ304" i="25"/>
  <c r="DW66" i="25"/>
  <c r="DQ18" i="25"/>
  <c r="DN18" i="25"/>
  <c r="EB115" i="25"/>
  <c r="EA115" i="25"/>
  <c r="DN19" i="25"/>
  <c r="DQ19" i="25"/>
  <c r="EB21" i="25"/>
  <c r="EA21" i="25"/>
  <c r="DW78" i="25"/>
  <c r="DN53" i="25"/>
  <c r="DQ53" i="25"/>
  <c r="DN66" i="25"/>
  <c r="DQ66" i="25"/>
  <c r="EB101" i="25"/>
  <c r="EA101" i="25"/>
  <c r="EB120" i="25"/>
  <c r="EA120" i="25"/>
  <c r="DW179" i="25"/>
  <c r="DQ178" i="25"/>
  <c r="DQ29" i="25"/>
  <c r="DN29" i="25"/>
  <c r="DN11" i="25"/>
  <c r="DQ11" i="25"/>
  <c r="DN33" i="25"/>
  <c r="DQ33" i="25"/>
  <c r="DQ26" i="25"/>
  <c r="DN26" i="25"/>
  <c r="DN293" i="25"/>
  <c r="DQ293" i="25"/>
  <c r="DW126" i="25"/>
  <c r="DQ313" i="25"/>
  <c r="DN313" i="25"/>
  <c r="DQ58" i="25"/>
  <c r="DN58" i="25"/>
  <c r="DW43" i="25"/>
  <c r="DQ250" i="25"/>
  <c r="DN250" i="25"/>
  <c r="DW181" i="25"/>
  <c r="DW194" i="25"/>
  <c r="DW14" i="25"/>
  <c r="DW37" i="25"/>
  <c r="DN134" i="25"/>
  <c r="DQ134" i="25"/>
  <c r="DN12" i="25"/>
  <c r="DQ12" i="25"/>
  <c r="DN240" i="25"/>
  <c r="DQ240" i="25"/>
  <c r="DN236" i="25"/>
  <c r="DQ236" i="25"/>
  <c r="DQ122" i="25"/>
  <c r="EY122" i="25" s="1"/>
  <c r="DN122" i="25"/>
  <c r="DN41" i="25"/>
  <c r="DQ41" i="25"/>
  <c r="DN249" i="25"/>
  <c r="DQ249" i="25"/>
  <c r="DN70" i="25"/>
  <c r="DQ70" i="25"/>
  <c r="EB134" i="25"/>
  <c r="EA134" i="25"/>
  <c r="DQ149" i="25"/>
  <c r="DN149" i="25"/>
  <c r="DN235" i="25"/>
  <c r="DQ235" i="25"/>
  <c r="EB163" i="25"/>
  <c r="EA163" i="25"/>
  <c r="EB63" i="25"/>
  <c r="EA63" i="25"/>
  <c r="DN17" i="25"/>
  <c r="DQ17" i="25"/>
  <c r="DQ255" i="25"/>
  <c r="DN255" i="25"/>
  <c r="EB61" i="25"/>
  <c r="EA61" i="25"/>
  <c r="DQ88" i="25"/>
  <c r="DN88" i="25"/>
  <c r="DW127" i="25"/>
  <c r="DN83" i="25"/>
  <c r="DQ83" i="25"/>
  <c r="EB41" i="25"/>
  <c r="EA41" i="25"/>
  <c r="DN9" i="25"/>
  <c r="DQ9" i="25"/>
  <c r="DN31" i="25"/>
  <c r="DQ31" i="25"/>
  <c r="EB123" i="25"/>
  <c r="EA123" i="25"/>
  <c r="DQ179" i="25"/>
  <c r="EY179" i="25" s="1"/>
  <c r="EB188" i="25"/>
  <c r="EA188" i="25"/>
  <c r="DQ204" i="25"/>
  <c r="DT204" i="25" s="1"/>
  <c r="DN204" i="25"/>
  <c r="EB117" i="25"/>
  <c r="EA117" i="25"/>
  <c r="DQ155" i="25"/>
  <c r="DN155" i="25"/>
  <c r="DQ196" i="25"/>
  <c r="DT196" i="25" s="1"/>
  <c r="DW173" i="25"/>
  <c r="DN30" i="25"/>
  <c r="DQ30" i="25"/>
  <c r="DQ115" i="25"/>
  <c r="DN115" i="25"/>
  <c r="DQ50" i="25"/>
  <c r="DN50" i="25"/>
  <c r="DN60" i="25"/>
  <c r="DQ60" i="25"/>
  <c r="DN251" i="25"/>
  <c r="DQ251" i="25"/>
  <c r="DN64" i="25"/>
  <c r="DQ64" i="25"/>
  <c r="DW138" i="25"/>
  <c r="DN294" i="25"/>
  <c r="DQ294" i="25"/>
  <c r="DQ6" i="25"/>
  <c r="DN6" i="25"/>
  <c r="DN197" i="25"/>
  <c r="DQ197" i="25"/>
  <c r="DT197" i="25" s="1"/>
  <c r="DQ124" i="25"/>
  <c r="DN124" i="25"/>
  <c r="DN205" i="25"/>
  <c r="DQ205" i="25"/>
  <c r="DT205" i="25" s="1"/>
  <c r="DN176" i="25"/>
  <c r="DQ176" i="25"/>
  <c r="DN7" i="25"/>
  <c r="DQ7" i="25"/>
  <c r="DW15" i="25"/>
  <c r="DW141" i="25"/>
  <c r="DN185" i="25"/>
  <c r="DQ185" i="25"/>
  <c r="DQ218" i="25"/>
  <c r="DN218" i="25"/>
  <c r="DN222" i="25"/>
  <c r="DQ222" i="25"/>
  <c r="DQ238" i="25"/>
  <c r="DN238" i="25"/>
  <c r="EB205" i="25"/>
  <c r="EA205" i="25"/>
  <c r="DN167" i="25"/>
  <c r="DQ167" i="25"/>
  <c r="DN190" i="25"/>
  <c r="DQ190" i="25"/>
  <c r="FA190" i="25" s="1"/>
  <c r="DQ42" i="25"/>
  <c r="DN42" i="25"/>
  <c r="DW58" i="25"/>
  <c r="DQ284" i="25"/>
  <c r="DN284" i="25"/>
  <c r="EB44" i="25"/>
  <c r="EA44" i="25"/>
  <c r="DW24" i="25"/>
  <c r="DN180" i="25"/>
  <c r="DQ92" i="25"/>
  <c r="DT92" i="25" s="1"/>
  <c r="DN92" i="25"/>
  <c r="DW42" i="25"/>
  <c r="EB76" i="25"/>
  <c r="EA76" i="25"/>
  <c r="DN37" i="25"/>
  <c r="DQ37" i="25"/>
  <c r="DW119" i="25"/>
  <c r="DW137" i="25"/>
  <c r="DW92" i="25"/>
  <c r="DQ76" i="25"/>
  <c r="DN76" i="25"/>
  <c r="EA110" i="25"/>
  <c r="EB110" i="25"/>
  <c r="DW90" i="25"/>
  <c r="DQ305" i="25"/>
  <c r="DN305" i="25"/>
  <c r="EB140" i="25"/>
  <c r="EA140" i="25"/>
  <c r="EB20" i="25"/>
  <c r="EA20" i="25"/>
  <c r="EB32" i="25"/>
  <c r="EA32" i="25"/>
  <c r="DW156" i="25"/>
  <c r="DQ310" i="25"/>
  <c r="DN310" i="25"/>
  <c r="DW86" i="25"/>
  <c r="DQ125" i="25"/>
  <c r="DN125" i="25"/>
  <c r="EB182" i="25"/>
  <c r="EA182" i="25"/>
  <c r="EB204" i="25"/>
  <c r="EA204" i="25"/>
  <c r="DQ207" i="25"/>
  <c r="DT207" i="25" s="1"/>
  <c r="DN207" i="25"/>
  <c r="DN260" i="25"/>
  <c r="DQ260" i="25"/>
  <c r="DN239" i="25"/>
  <c r="DQ239" i="25"/>
  <c r="DQ47" i="25"/>
  <c r="DN47" i="25"/>
  <c r="DW79" i="25"/>
  <c r="DN40" i="25"/>
  <c r="DQ40" i="25"/>
  <c r="DQ208" i="25"/>
  <c r="DT208" i="25" s="1"/>
  <c r="DN208" i="25"/>
  <c r="EB201" i="25"/>
  <c r="EA201" i="25"/>
  <c r="EB149" i="25"/>
  <c r="EA149" i="25"/>
  <c r="EB150" i="25"/>
  <c r="EA150" i="25"/>
  <c r="DQ133" i="25"/>
  <c r="DN133" i="25"/>
  <c r="DN52" i="25"/>
  <c r="DQ52" i="25"/>
  <c r="DQ28" i="25"/>
  <c r="DN28" i="25"/>
  <c r="DN45" i="25"/>
  <c r="DQ45" i="25"/>
  <c r="DW47" i="25"/>
  <c r="EB144" i="25"/>
  <c r="EA144" i="25"/>
  <c r="DW27" i="25"/>
  <c r="DW40" i="25"/>
  <c r="EB6" i="25"/>
  <c r="EA6" i="25"/>
  <c r="EB57" i="25"/>
  <c r="EA57" i="25"/>
  <c r="EB28" i="25"/>
  <c r="EA28" i="25"/>
  <c r="DQ94" i="25"/>
  <c r="DT94" i="25" s="1"/>
  <c r="DN94" i="25"/>
  <c r="EB162" i="25"/>
  <c r="EA162" i="25"/>
  <c r="DN15" i="25"/>
  <c r="DQ15" i="25"/>
  <c r="DN158" i="25"/>
  <c r="DQ158" i="25"/>
  <c r="EJ158" i="25" s="1"/>
  <c r="DQ141" i="25"/>
  <c r="DN141" i="25"/>
  <c r="DN270" i="25"/>
  <c r="DQ270" i="25"/>
  <c r="DW129" i="25"/>
  <c r="EB186" i="25"/>
  <c r="EA186" i="25"/>
  <c r="EB116" i="25"/>
  <c r="EA116" i="25"/>
  <c r="DN172" i="25"/>
  <c r="DQ172" i="25"/>
  <c r="DN288" i="25"/>
  <c r="DQ288" i="25"/>
  <c r="DQ102" i="25"/>
  <c r="DT102" i="25" s="1"/>
  <c r="DN102" i="25"/>
  <c r="EB75" i="25"/>
  <c r="EA75" i="25"/>
  <c r="DN118" i="25"/>
  <c r="DQ118" i="25"/>
  <c r="EB113" i="25"/>
  <c r="EA113" i="25"/>
  <c r="EB209" i="25"/>
  <c r="EA209" i="25"/>
  <c r="DQ281" i="25"/>
  <c r="DN281" i="25"/>
  <c r="EB104" i="25"/>
  <c r="EA104" i="25"/>
  <c r="DN91" i="25"/>
  <c r="DQ91" i="25"/>
  <c r="DT91" i="25" s="1"/>
  <c r="DQ232" i="25"/>
  <c r="DN232" i="25"/>
  <c r="DW33" i="25"/>
  <c r="DQ82" i="25"/>
  <c r="DN82" i="25"/>
  <c r="DW147" i="25"/>
  <c r="DW199" i="25"/>
  <c r="DQ154" i="25"/>
  <c r="DN154" i="25"/>
  <c r="DN160" i="25"/>
  <c r="DQ160" i="25"/>
  <c r="DQ63" i="25"/>
  <c r="DN63" i="25"/>
  <c r="EB184" i="25"/>
  <c r="EA184" i="25"/>
  <c r="DQ192" i="25"/>
  <c r="DN192" i="25"/>
  <c r="DW169" i="25"/>
  <c r="DW25" i="25"/>
  <c r="EB82" i="25"/>
  <c r="EA82" i="25"/>
  <c r="DQ203" i="25"/>
  <c r="DT203" i="25" s="1"/>
  <c r="DN203" i="25"/>
  <c r="DQ65" i="25"/>
  <c r="DN65" i="25"/>
  <c r="DW87" i="25"/>
  <c r="DN100" i="25"/>
  <c r="DQ100" i="25"/>
  <c r="DT100" i="25" s="1"/>
  <c r="DQ248" i="25"/>
  <c r="DN248" i="25"/>
  <c r="DW208" i="25"/>
  <c r="DQ279" i="25"/>
  <c r="DN279" i="25"/>
  <c r="DN177" i="25"/>
  <c r="DQ177" i="25"/>
  <c r="EJ177" i="25" s="1"/>
  <c r="DQ188" i="25"/>
  <c r="DN188" i="25"/>
  <c r="DQ146" i="25"/>
  <c r="DN146" i="25"/>
  <c r="DN277" i="25"/>
  <c r="DQ277" i="25"/>
  <c r="DN292" i="25"/>
  <c r="DQ292" i="25"/>
  <c r="DN27" i="25"/>
  <c r="DQ27" i="25"/>
  <c r="DW70" i="25"/>
  <c r="DN253" i="25"/>
  <c r="DQ253" i="25"/>
  <c r="EB22" i="25"/>
  <c r="EA22" i="25"/>
  <c r="DQ145" i="25"/>
  <c r="EJ145" i="25" s="1"/>
  <c r="DN145" i="25"/>
  <c r="EB125" i="25"/>
  <c r="EA125" i="25"/>
  <c r="DW17" i="25"/>
  <c r="DQ56" i="25"/>
  <c r="DN56" i="25"/>
  <c r="DW99" i="25"/>
  <c r="DN54" i="25"/>
  <c r="DQ54" i="25"/>
  <c r="DQ93" i="25"/>
  <c r="DT93" i="25" s="1"/>
  <c r="DN93" i="25"/>
  <c r="DQ161" i="25"/>
  <c r="DN161" i="25"/>
  <c r="EB52" i="25"/>
  <c r="EA52" i="25"/>
  <c r="DN223" i="25"/>
  <c r="DQ223" i="25"/>
  <c r="EB151" i="25"/>
  <c r="EA151" i="25"/>
  <c r="DN165" i="25"/>
  <c r="DQ165" i="25"/>
  <c r="EB114" i="25"/>
  <c r="EA114" i="25"/>
  <c r="DQ164" i="25"/>
  <c r="DN164" i="25"/>
  <c r="DQ306" i="25"/>
  <c r="DN306" i="25"/>
  <c r="DQ228" i="25"/>
  <c r="DN228" i="25"/>
  <c r="DW72" i="25"/>
  <c r="DQ290" i="25"/>
  <c r="DN290" i="25"/>
  <c r="DQ136" i="25"/>
  <c r="DN136" i="25"/>
  <c r="EB94" i="25"/>
  <c r="EA94" i="25"/>
  <c r="DQ262" i="25"/>
  <c r="DN269" i="25"/>
  <c r="DQ269" i="25"/>
  <c r="DW193" i="25"/>
  <c r="DQ129" i="25"/>
  <c r="DN129" i="25"/>
  <c r="DW136" i="25"/>
  <c r="DQ104" i="25"/>
  <c r="DT104" i="25" s="1"/>
  <c r="DN104" i="25"/>
  <c r="EB19" i="25"/>
  <c r="EA19" i="25"/>
  <c r="DQ147" i="25"/>
  <c r="EJ147" i="25" s="1"/>
  <c r="DN147" i="25"/>
  <c r="DN97" i="25"/>
  <c r="DQ97" i="25"/>
  <c r="DT97" i="25" s="1"/>
  <c r="EB202" i="25"/>
  <c r="EA202" i="25"/>
  <c r="DW34" i="25"/>
  <c r="DQ308" i="25"/>
  <c r="DN308" i="25"/>
  <c r="DN90" i="25"/>
  <c r="DQ90" i="25"/>
  <c r="DQ258" i="25"/>
  <c r="DN258" i="25"/>
  <c r="EB26" i="25"/>
  <c r="EA26" i="25"/>
  <c r="EB192" i="25"/>
  <c r="EA192" i="25"/>
  <c r="DQ169" i="25"/>
  <c r="DN169" i="25"/>
  <c r="DW81" i="25"/>
  <c r="DQ25" i="25"/>
  <c r="DN25" i="25"/>
  <c r="DW191" i="25"/>
  <c r="DN267" i="25"/>
  <c r="DQ267" i="25"/>
  <c r="DN156" i="25"/>
  <c r="DQ156" i="25"/>
  <c r="DN23" i="25"/>
  <c r="DQ23" i="25"/>
  <c r="DN89" i="25"/>
  <c r="DQ89" i="25"/>
  <c r="DN130" i="25"/>
  <c r="DQ130" i="25"/>
  <c r="EB198" i="25"/>
  <c r="EA198" i="25"/>
  <c r="DQ194" i="25"/>
  <c r="DT194" i="25" s="1"/>
  <c r="DN194" i="25"/>
  <c r="DW98" i="25"/>
  <c r="DN289" i="25"/>
  <c r="DQ289" i="25"/>
  <c r="DN22" i="25"/>
  <c r="DQ22" i="25"/>
  <c r="DQ297" i="25"/>
  <c r="DN297" i="25"/>
  <c r="DN264" i="25"/>
  <c r="DQ264" i="25"/>
  <c r="DQ32" i="25"/>
  <c r="DN32" i="25"/>
  <c r="DN166" i="25"/>
  <c r="DQ166" i="25"/>
  <c r="DW100" i="25"/>
  <c r="DQ153" i="25"/>
  <c r="DN153" i="25"/>
  <c r="DN301" i="25"/>
  <c r="DQ301" i="25"/>
  <c r="EB85" i="25"/>
  <c r="EA85" i="25"/>
  <c r="DN291" i="25"/>
  <c r="DQ291" i="25"/>
  <c r="DW210" i="25"/>
  <c r="DW83" i="25"/>
  <c r="DN217" i="25"/>
  <c r="DQ217" i="25"/>
  <c r="DQ307" i="25"/>
  <c r="DN307" i="25"/>
  <c r="EB36" i="25"/>
  <c r="EA36" i="25"/>
  <c r="DN229" i="25"/>
  <c r="DQ229" i="25"/>
  <c r="DQ74" i="25"/>
  <c r="DN74" i="25"/>
  <c r="EB172" i="25"/>
  <c r="EA172" i="25"/>
  <c r="EB155" i="25"/>
  <c r="EA155" i="25"/>
  <c r="DQ226" i="25"/>
  <c r="DN226" i="25"/>
  <c r="DN231" i="25"/>
  <c r="DQ231" i="25"/>
  <c r="DQ132" i="25"/>
  <c r="DN132" i="25"/>
  <c r="DQ127" i="25"/>
  <c r="FA127" i="25" s="1"/>
  <c r="DQ135" i="25"/>
  <c r="DN135" i="25"/>
  <c r="DW93" i="25"/>
  <c r="DQ77" i="25"/>
  <c r="DN77" i="25"/>
  <c r="DQ101" i="25"/>
  <c r="DT101" i="25" s="1"/>
  <c r="DN101" i="25"/>
  <c r="DW74" i="25"/>
  <c r="DQ114" i="25"/>
  <c r="DN114" i="25"/>
  <c r="DN80" i="25"/>
  <c r="DQ80" i="25"/>
  <c r="EB132" i="25"/>
  <c r="EA132" i="25"/>
  <c r="DQ44" i="25"/>
  <c r="DN44" i="25"/>
  <c r="EB11" i="25"/>
  <c r="EA11" i="25"/>
  <c r="EB152" i="25"/>
  <c r="EA152" i="25"/>
  <c r="DQ180" i="25"/>
  <c r="EB18" i="25"/>
  <c r="EA18" i="25"/>
  <c r="DN8" i="25"/>
  <c r="DQ8" i="25"/>
  <c r="DQ219" i="25"/>
  <c r="DN219" i="25"/>
  <c r="DN72" i="24"/>
  <c r="DX72" i="24" s="1"/>
  <c r="DN64" i="24"/>
  <c r="DZ64" i="24" s="1"/>
  <c r="DN57" i="24"/>
  <c r="DZ57" i="24" s="1"/>
  <c r="DN46" i="24"/>
  <c r="DX46" i="24" s="1"/>
  <c r="DN9" i="24"/>
  <c r="DZ9" i="24" s="1"/>
  <c r="DN45" i="24"/>
  <c r="DZ45" i="24" s="1"/>
  <c r="DN7" i="24"/>
  <c r="DZ7" i="24" s="1"/>
  <c r="DN59" i="24"/>
  <c r="DX59" i="24" s="1"/>
  <c r="DN20" i="24"/>
  <c r="DX20" i="24" s="1"/>
  <c r="DN140" i="24"/>
  <c r="DX140" i="24" s="1"/>
  <c r="DN233" i="24"/>
  <c r="DN19" i="24"/>
  <c r="DX19" i="24" s="1"/>
  <c r="DN58" i="24"/>
  <c r="DX58" i="24" s="1"/>
  <c r="DN303" i="24"/>
  <c r="DN49" i="24"/>
  <c r="DX49" i="24" s="1"/>
  <c r="DN143" i="24"/>
  <c r="DX143" i="24" s="1"/>
  <c r="DN245" i="24"/>
  <c r="DN297" i="24"/>
  <c r="DN12" i="24"/>
  <c r="DX12" i="24" s="1"/>
  <c r="DN295" i="24"/>
  <c r="DN125" i="24"/>
  <c r="DX125" i="24" s="1"/>
  <c r="DN313" i="24"/>
  <c r="DN28" i="24"/>
  <c r="DX28" i="24" s="1"/>
  <c r="DN166" i="24"/>
  <c r="DX166" i="24" s="1"/>
  <c r="DN315" i="24"/>
  <c r="DN36" i="24"/>
  <c r="DZ36" i="24" s="1"/>
  <c r="DN286" i="24"/>
  <c r="DN31" i="24"/>
  <c r="DZ31" i="24" s="1"/>
  <c r="DN246" i="24"/>
  <c r="DN34" i="24"/>
  <c r="DX34" i="24" s="1"/>
  <c r="DN11" i="24"/>
  <c r="DZ11" i="24" s="1"/>
  <c r="DN311" i="24"/>
  <c r="DN282" i="24"/>
  <c r="DN38" i="24"/>
  <c r="DX38" i="24" s="1"/>
  <c r="DN178" i="24"/>
  <c r="DX178" i="24" s="1"/>
  <c r="DN144" i="24"/>
  <c r="DX144" i="24" s="1"/>
  <c r="DN266" i="24"/>
  <c r="DN200" i="24"/>
  <c r="DX200" i="24" s="1"/>
  <c r="DN105" i="24"/>
  <c r="DZ105" i="24" s="1"/>
  <c r="DN316" i="24"/>
  <c r="DN101" i="24"/>
  <c r="DZ101" i="24" s="1"/>
  <c r="DN153" i="24"/>
  <c r="DX153" i="24" s="1"/>
  <c r="DN18" i="24"/>
  <c r="DZ18" i="24" s="1"/>
  <c r="DN265" i="24"/>
  <c r="DN182" i="24"/>
  <c r="DX182" i="24" s="1"/>
  <c r="DN263" i="24"/>
  <c r="DN32" i="24"/>
  <c r="DX32" i="24" s="1"/>
  <c r="DN87" i="24"/>
  <c r="DZ87" i="24" s="1"/>
  <c r="DN232" i="24"/>
  <c r="DN118" i="24"/>
  <c r="DX118" i="24" s="1"/>
  <c r="DN247" i="24"/>
  <c r="DN141" i="24"/>
  <c r="DX141" i="24" s="1"/>
  <c r="DN251" i="24"/>
  <c r="DN82" i="24"/>
  <c r="DX82" i="24" s="1"/>
  <c r="DN285" i="24"/>
  <c r="DN17" i="24"/>
  <c r="DZ17" i="24" s="1"/>
  <c r="DN120" i="24"/>
  <c r="DX120" i="24" s="1"/>
  <c r="DN148" i="24"/>
  <c r="DX148" i="24" s="1"/>
  <c r="DN102" i="24"/>
  <c r="DX102" i="24" s="1"/>
  <c r="DN274" i="24"/>
  <c r="DN238" i="24"/>
  <c r="DN188" i="24"/>
  <c r="DX188" i="24" s="1"/>
  <c r="DN304" i="24"/>
  <c r="DN6" i="24"/>
  <c r="DX6" i="24" s="1"/>
  <c r="DN220" i="24"/>
  <c r="DN261" i="24"/>
  <c r="DN90" i="24"/>
  <c r="DX90" i="24" s="1"/>
  <c r="DN259" i="24"/>
  <c r="DN15" i="24"/>
  <c r="DX15" i="24" s="1"/>
  <c r="DN222" i="24"/>
  <c r="DN56" i="24"/>
  <c r="DZ56" i="24" s="1"/>
  <c r="DN294" i="24"/>
  <c r="DN287" i="24"/>
  <c r="DN280" i="24"/>
  <c r="DN229" i="24"/>
  <c r="DN252" i="24"/>
  <c r="DN236" i="24"/>
  <c r="DN195" i="24"/>
  <c r="DX195" i="24" s="1"/>
  <c r="DN293" i="24"/>
  <c r="DN92" i="24"/>
  <c r="DZ92" i="24" s="1"/>
  <c r="DN21" i="24"/>
  <c r="DZ21" i="24" s="1"/>
  <c r="DN194" i="24"/>
  <c r="DX194" i="24" s="1"/>
  <c r="DN276" i="24"/>
  <c r="DN88" i="24"/>
  <c r="DZ88" i="24" s="1"/>
  <c r="DN204" i="24"/>
  <c r="DX204" i="24" s="1"/>
  <c r="DN189" i="24"/>
  <c r="DX189" i="24" s="1"/>
  <c r="DN119" i="24"/>
  <c r="DX119" i="24" s="1"/>
  <c r="DN262" i="24"/>
  <c r="DN292" i="24"/>
  <c r="DN96" i="24"/>
  <c r="DX96" i="24" s="1"/>
  <c r="DN241" i="24"/>
  <c r="DN73" i="24"/>
  <c r="DX73" i="24" s="1"/>
  <c r="DN225" i="24"/>
  <c r="DN51" i="24"/>
  <c r="DX51" i="24" s="1"/>
  <c r="DN180" i="24"/>
  <c r="DX180" i="24" s="1"/>
  <c r="DN22" i="24"/>
  <c r="DX22" i="24" s="1"/>
  <c r="DN308" i="24"/>
  <c r="DN121" i="24"/>
  <c r="DX121" i="24" s="1"/>
  <c r="DN235" i="24"/>
  <c r="DN289" i="24"/>
  <c r="DK165" i="24"/>
  <c r="DJ165" i="24"/>
  <c r="DK33" i="24"/>
  <c r="DJ33" i="24"/>
  <c r="DK34" i="24"/>
  <c r="DJ34" i="24"/>
  <c r="DK303" i="24"/>
  <c r="DJ303" i="24"/>
  <c r="DK226" i="24"/>
  <c r="DJ226" i="24"/>
  <c r="DK186" i="24"/>
  <c r="DJ186" i="24"/>
  <c r="DK135" i="24"/>
  <c r="DJ135" i="24"/>
  <c r="DN81" i="24"/>
  <c r="DN150" i="24"/>
  <c r="DN193" i="24"/>
  <c r="DK247" i="24"/>
  <c r="DJ247" i="24"/>
  <c r="DK125" i="24"/>
  <c r="DJ125" i="24"/>
  <c r="DK305" i="24"/>
  <c r="DJ305" i="24"/>
  <c r="DN71" i="24"/>
  <c r="DN33" i="24"/>
  <c r="DK57" i="24"/>
  <c r="DJ57" i="24"/>
  <c r="DN35" i="24"/>
  <c r="DK169" i="24"/>
  <c r="DJ169" i="24"/>
  <c r="DK298" i="24"/>
  <c r="DJ298" i="24"/>
  <c r="DK45" i="24"/>
  <c r="DJ45" i="24"/>
  <c r="DN104" i="24"/>
  <c r="DN37" i="24"/>
  <c r="DN239" i="24"/>
  <c r="DK293" i="24"/>
  <c r="DJ293" i="24"/>
  <c r="DK131" i="24"/>
  <c r="DJ131" i="24"/>
  <c r="DK62" i="24"/>
  <c r="DJ62" i="24"/>
  <c r="DN52" i="24"/>
  <c r="DK221" i="24"/>
  <c r="DJ221" i="24"/>
  <c r="DK102" i="24"/>
  <c r="DJ102" i="24"/>
  <c r="DK130" i="24"/>
  <c r="DJ130" i="24"/>
  <c r="DK76" i="24"/>
  <c r="DJ76" i="24"/>
  <c r="DK117" i="24"/>
  <c r="DJ117" i="24"/>
  <c r="DK191" i="24"/>
  <c r="DJ191" i="24"/>
  <c r="DK266" i="24"/>
  <c r="DJ266" i="24"/>
  <c r="DN54" i="24"/>
  <c r="DN159" i="24"/>
  <c r="DK200" i="24"/>
  <c r="DJ200" i="24"/>
  <c r="DK177" i="24"/>
  <c r="DJ177" i="24"/>
  <c r="DK194" i="24"/>
  <c r="DJ194" i="24"/>
  <c r="DK74" i="24"/>
  <c r="DJ74" i="24"/>
  <c r="DK138" i="24"/>
  <c r="DJ138" i="24"/>
  <c r="DN147" i="24"/>
  <c r="DN127" i="24"/>
  <c r="DK170" i="24"/>
  <c r="DJ170" i="24"/>
  <c r="DN183" i="24"/>
  <c r="DN228" i="24"/>
  <c r="DK217" i="24"/>
  <c r="DJ217" i="24"/>
  <c r="DN269" i="24"/>
  <c r="DN152" i="24"/>
  <c r="DK16" i="24"/>
  <c r="DJ16" i="24"/>
  <c r="DK175" i="24"/>
  <c r="DJ175" i="24"/>
  <c r="DN63" i="24"/>
  <c r="DN128" i="24"/>
  <c r="DK96" i="24"/>
  <c r="DJ96" i="24"/>
  <c r="DN242" i="24"/>
  <c r="DK172" i="24"/>
  <c r="DJ172" i="24"/>
  <c r="DN83" i="24"/>
  <c r="DN281" i="24"/>
  <c r="DK160" i="24"/>
  <c r="DJ160" i="24"/>
  <c r="DK272" i="24"/>
  <c r="DJ272" i="24"/>
  <c r="DN279" i="24"/>
  <c r="DK31" i="24"/>
  <c r="DJ31" i="24"/>
  <c r="DN30" i="24"/>
  <c r="DN41" i="24"/>
  <c r="DN226" i="24"/>
  <c r="DK291" i="24"/>
  <c r="DJ291" i="24"/>
  <c r="DN40" i="24"/>
  <c r="DN186" i="24"/>
  <c r="DN99" i="24"/>
  <c r="DK61" i="24"/>
  <c r="DJ61" i="24"/>
  <c r="DK251" i="24"/>
  <c r="DJ251" i="24"/>
  <c r="DK82" i="24"/>
  <c r="DJ82" i="24"/>
  <c r="DN267" i="24"/>
  <c r="DN224" i="24"/>
  <c r="DK234" i="24"/>
  <c r="DJ234" i="24"/>
  <c r="DK89" i="24"/>
  <c r="DJ89" i="24"/>
  <c r="DN60" i="24"/>
  <c r="DK137" i="24"/>
  <c r="DJ137" i="24"/>
  <c r="DK79" i="24"/>
  <c r="DJ79" i="24"/>
  <c r="DK81" i="24"/>
  <c r="DJ81" i="24"/>
  <c r="DK248" i="24"/>
  <c r="DJ248" i="24"/>
  <c r="DK85" i="24"/>
  <c r="DJ85" i="24"/>
  <c r="DK148" i="24"/>
  <c r="DJ148" i="24"/>
  <c r="DK219" i="24"/>
  <c r="DJ219" i="24"/>
  <c r="DK183" i="24"/>
  <c r="DJ183" i="24"/>
  <c r="DK166" i="24"/>
  <c r="DJ166" i="24"/>
  <c r="DK150" i="24"/>
  <c r="DJ150" i="24"/>
  <c r="DN142" i="24"/>
  <c r="DN305" i="24"/>
  <c r="DK229" i="24"/>
  <c r="DJ229" i="24"/>
  <c r="DN55" i="24"/>
  <c r="DK71" i="24"/>
  <c r="DJ71" i="24"/>
  <c r="DK233" i="24"/>
  <c r="DJ233" i="24"/>
  <c r="DN298" i="24"/>
  <c r="DK86" i="24"/>
  <c r="DJ86" i="24"/>
  <c r="DK104" i="24"/>
  <c r="DJ104" i="24"/>
  <c r="DJ37" i="24"/>
  <c r="DK37" i="24"/>
  <c r="DK310" i="24"/>
  <c r="DJ310" i="24"/>
  <c r="DK178" i="24"/>
  <c r="DJ178" i="24"/>
  <c r="DK144" i="24"/>
  <c r="DJ144" i="24"/>
  <c r="DK239" i="24"/>
  <c r="DJ239" i="24"/>
  <c r="DN62" i="24"/>
  <c r="DK12" i="24"/>
  <c r="DJ12" i="24"/>
  <c r="DK159" i="24"/>
  <c r="DJ159" i="24"/>
  <c r="DK306" i="24"/>
  <c r="DJ306" i="24"/>
  <c r="DN177" i="24"/>
  <c r="DK78" i="24"/>
  <c r="DJ78" i="24"/>
  <c r="DN138" i="24"/>
  <c r="DK147" i="24"/>
  <c r="DJ147" i="24"/>
  <c r="DN170" i="24"/>
  <c r="DK228" i="24"/>
  <c r="DJ228" i="24"/>
  <c r="DK116" i="24"/>
  <c r="DJ116" i="24"/>
  <c r="DK263" i="24"/>
  <c r="DJ263" i="24"/>
  <c r="DK269" i="24"/>
  <c r="DJ269" i="24"/>
  <c r="DK152" i="24"/>
  <c r="DJ152" i="24"/>
  <c r="DN175" i="24"/>
  <c r="DK63" i="24"/>
  <c r="DJ63" i="24"/>
  <c r="DK128" i="24"/>
  <c r="DJ128" i="24"/>
  <c r="DK242" i="24"/>
  <c r="DJ242" i="24"/>
  <c r="DN172" i="24"/>
  <c r="DK83" i="24"/>
  <c r="DJ83" i="24"/>
  <c r="DK281" i="24"/>
  <c r="DJ281" i="24"/>
  <c r="DN160" i="24"/>
  <c r="DN272" i="24"/>
  <c r="DK30" i="24"/>
  <c r="DJ30" i="24"/>
  <c r="DK255" i="24"/>
  <c r="DJ255" i="24"/>
  <c r="DK41" i="24"/>
  <c r="DJ41" i="24"/>
  <c r="DK40" i="24"/>
  <c r="DJ40" i="24"/>
  <c r="DK99" i="24"/>
  <c r="DJ99" i="24"/>
  <c r="DN61" i="24"/>
  <c r="DJ224" i="24"/>
  <c r="DK224" i="24"/>
  <c r="DN89" i="24"/>
  <c r="DK60" i="24"/>
  <c r="DJ60" i="24"/>
  <c r="DK232" i="24"/>
  <c r="DJ232" i="24"/>
  <c r="DK59" i="24"/>
  <c r="DJ59" i="24"/>
  <c r="DK262" i="24"/>
  <c r="DJ262" i="24"/>
  <c r="DK286" i="24"/>
  <c r="DJ286" i="24"/>
  <c r="DK90" i="24"/>
  <c r="DJ90" i="24"/>
  <c r="DK203" i="24"/>
  <c r="DJ203" i="24"/>
  <c r="DK142" i="24"/>
  <c r="DJ142" i="24"/>
  <c r="DK55" i="24"/>
  <c r="DJ55" i="24"/>
  <c r="DK140" i="24"/>
  <c r="DJ140" i="24"/>
  <c r="DK7" i="24"/>
  <c r="DJ7" i="24"/>
  <c r="DK236" i="24"/>
  <c r="DJ236" i="24"/>
  <c r="DK243" i="24"/>
  <c r="DJ243" i="24"/>
  <c r="DK38" i="24"/>
  <c r="DJ38" i="24"/>
  <c r="DK225" i="24"/>
  <c r="DJ225" i="24"/>
  <c r="DK92" i="24"/>
  <c r="DJ92" i="24"/>
  <c r="DK143" i="24"/>
  <c r="DJ143" i="24"/>
  <c r="DK198" i="24"/>
  <c r="DJ198" i="24"/>
  <c r="DK206" i="24"/>
  <c r="DJ206" i="24"/>
  <c r="DK19" i="24"/>
  <c r="DJ19" i="24"/>
  <c r="DK127" i="24"/>
  <c r="DJ127" i="24"/>
  <c r="DK182" i="24"/>
  <c r="DJ182" i="24"/>
  <c r="DK179" i="24"/>
  <c r="DJ179" i="24"/>
  <c r="DK300" i="24"/>
  <c r="DJ300" i="24"/>
  <c r="DK258" i="24"/>
  <c r="DJ258" i="24"/>
  <c r="DK105" i="24"/>
  <c r="DJ105" i="24"/>
  <c r="DK245" i="24"/>
  <c r="DJ245" i="24"/>
  <c r="DK297" i="24"/>
  <c r="DJ297" i="24"/>
  <c r="DK184" i="24"/>
  <c r="DJ184" i="24"/>
  <c r="DK308" i="24"/>
  <c r="DJ308" i="24"/>
  <c r="DK121" i="24"/>
  <c r="DJ121" i="24"/>
  <c r="DK43" i="24"/>
  <c r="DJ43" i="24"/>
  <c r="DK10" i="24"/>
  <c r="DJ10" i="24"/>
  <c r="DK273" i="24"/>
  <c r="DJ273" i="24"/>
  <c r="DK235" i="24"/>
  <c r="DJ235" i="24"/>
  <c r="DK94" i="24"/>
  <c r="DJ94" i="24"/>
  <c r="DK289" i="24"/>
  <c r="DJ289" i="24"/>
  <c r="DK72" i="24"/>
  <c r="DJ72" i="24"/>
  <c r="DK207" i="24"/>
  <c r="DJ207" i="24"/>
  <c r="DK312" i="24"/>
  <c r="DJ312" i="24"/>
  <c r="DK254" i="24"/>
  <c r="DJ254" i="24"/>
  <c r="DK27" i="24"/>
  <c r="DJ27" i="24"/>
  <c r="DK181" i="24"/>
  <c r="DJ181" i="24"/>
  <c r="DK118" i="24"/>
  <c r="DJ118" i="24"/>
  <c r="DK193" i="24"/>
  <c r="DJ193" i="24"/>
  <c r="DK139" i="24"/>
  <c r="DJ139" i="24"/>
  <c r="DK120" i="24"/>
  <c r="DJ120" i="24"/>
  <c r="DK54" i="24"/>
  <c r="DJ54" i="24"/>
  <c r="DK149" i="24"/>
  <c r="DJ149" i="24"/>
  <c r="DK9" i="24"/>
  <c r="DJ9" i="24"/>
  <c r="DK64" i="24"/>
  <c r="DJ64" i="24"/>
  <c r="DK292" i="24"/>
  <c r="DJ292" i="24"/>
  <c r="DK315" i="24"/>
  <c r="DJ315" i="24"/>
  <c r="DN302" i="24"/>
  <c r="DK161" i="24"/>
  <c r="DJ161" i="24"/>
  <c r="DN253" i="24"/>
  <c r="DK167" i="24"/>
  <c r="DJ167" i="24"/>
  <c r="DN190" i="24"/>
  <c r="DK294" i="24"/>
  <c r="DJ294" i="24"/>
  <c r="DK287" i="24"/>
  <c r="DJ287" i="24"/>
  <c r="DK280" i="24"/>
  <c r="DJ280" i="24"/>
  <c r="DN154" i="24"/>
  <c r="DK252" i="24"/>
  <c r="DJ252" i="24"/>
  <c r="DK176" i="24"/>
  <c r="DJ176" i="24"/>
  <c r="DK285" i="24"/>
  <c r="DJ285" i="24"/>
  <c r="DK67" i="24"/>
  <c r="DJ67" i="24"/>
  <c r="DN25" i="24"/>
  <c r="DK124" i="24"/>
  <c r="DJ124" i="24"/>
  <c r="DN114" i="24"/>
  <c r="DN230" i="24"/>
  <c r="DK49" i="24"/>
  <c r="DJ49" i="24"/>
  <c r="DN132" i="24"/>
  <c r="DK187" i="24"/>
  <c r="DJ187" i="24"/>
  <c r="DN50" i="24"/>
  <c r="DN268" i="24"/>
  <c r="DK218" i="24"/>
  <c r="DJ218" i="24"/>
  <c r="DN270" i="24"/>
  <c r="DK156" i="24"/>
  <c r="DJ156" i="24"/>
  <c r="DN260" i="24"/>
  <c r="DK274" i="24"/>
  <c r="DJ274" i="24"/>
  <c r="DN296" i="24"/>
  <c r="DK314" i="24"/>
  <c r="DJ314" i="24"/>
  <c r="DK237" i="24"/>
  <c r="DJ237" i="24"/>
  <c r="DN77" i="24"/>
  <c r="DN111" i="24"/>
  <c r="DN185" i="24"/>
  <c r="DN164" i="24"/>
  <c r="DN202" i="24"/>
  <c r="DK95" i="24"/>
  <c r="DJ95" i="24"/>
  <c r="DK301" i="24"/>
  <c r="DJ301" i="24"/>
  <c r="DN13" i="24"/>
  <c r="DN300" i="24"/>
  <c r="DN258" i="24"/>
  <c r="DK32" i="24"/>
  <c r="DJ32" i="24"/>
  <c r="DK87" i="24"/>
  <c r="DJ87" i="24"/>
  <c r="DK316" i="24"/>
  <c r="DJ316" i="24"/>
  <c r="DK101" i="24"/>
  <c r="DJ101" i="24"/>
  <c r="DN65" i="24"/>
  <c r="DN174" i="24"/>
  <c r="DN249" i="24"/>
  <c r="DK192" i="24"/>
  <c r="DJ192" i="24"/>
  <c r="DK153" i="24"/>
  <c r="DJ153" i="24"/>
  <c r="DK18" i="24"/>
  <c r="DJ18" i="24"/>
  <c r="DN44" i="24"/>
  <c r="DK265" i="24"/>
  <c r="DJ265" i="24"/>
  <c r="DN8" i="24"/>
  <c r="DK97" i="24"/>
  <c r="DJ97" i="24"/>
  <c r="DN171" i="24"/>
  <c r="DK136" i="24"/>
  <c r="DJ136" i="24"/>
  <c r="DK264" i="24"/>
  <c r="DJ264" i="24"/>
  <c r="DN98" i="24"/>
  <c r="DJ162" i="24"/>
  <c r="DK162" i="24"/>
  <c r="DN43" i="24"/>
  <c r="DN10" i="24"/>
  <c r="DK129" i="24"/>
  <c r="DJ129" i="24"/>
  <c r="DK201" i="24"/>
  <c r="DJ201" i="24"/>
  <c r="DK241" i="24"/>
  <c r="DJ241" i="24"/>
  <c r="DK73" i="24"/>
  <c r="DJ73" i="24"/>
  <c r="DN29" i="24"/>
  <c r="DN112" i="24"/>
  <c r="DN197" i="24"/>
  <c r="DK75" i="24"/>
  <c r="DJ75" i="24"/>
  <c r="DK52" i="24"/>
  <c r="DJ52" i="24"/>
  <c r="DK69" i="24"/>
  <c r="DJ69" i="24"/>
  <c r="DK302" i="24"/>
  <c r="DJ302" i="24"/>
  <c r="DN161" i="24"/>
  <c r="DK253" i="24"/>
  <c r="DJ253" i="24"/>
  <c r="DN167" i="24"/>
  <c r="DK190" i="24"/>
  <c r="DJ190" i="24"/>
  <c r="DN209" i="24"/>
  <c r="DN68" i="24"/>
  <c r="DN24" i="24"/>
  <c r="DK154" i="24"/>
  <c r="DJ154" i="24"/>
  <c r="DN42" i="24"/>
  <c r="DN288" i="24"/>
  <c r="DK48" i="24"/>
  <c r="DJ48" i="24"/>
  <c r="DN240" i="24"/>
  <c r="DN244" i="24"/>
  <c r="DN67" i="24"/>
  <c r="DK25" i="24"/>
  <c r="DJ25" i="24"/>
  <c r="DN124" i="24"/>
  <c r="DN23" i="24"/>
  <c r="DN227" i="24"/>
  <c r="DK114" i="24"/>
  <c r="DJ114" i="24"/>
  <c r="DK230" i="24"/>
  <c r="DJ230" i="24"/>
  <c r="DK132" i="24"/>
  <c r="DJ132" i="24"/>
  <c r="DK14" i="24"/>
  <c r="DJ14" i="24"/>
  <c r="DK250" i="24"/>
  <c r="DJ250" i="24"/>
  <c r="DK50" i="24"/>
  <c r="DJ50" i="24"/>
  <c r="DK268" i="24"/>
  <c r="DJ268" i="24"/>
  <c r="DN218" i="24"/>
  <c r="DN134" i="24"/>
  <c r="DK270" i="24"/>
  <c r="DJ270" i="24"/>
  <c r="DK51" i="24"/>
  <c r="DJ51" i="24"/>
  <c r="DK223" i="24"/>
  <c r="DJ223" i="24"/>
  <c r="DK155" i="24"/>
  <c r="DJ155" i="24"/>
  <c r="DK199" i="24"/>
  <c r="DJ199" i="24"/>
  <c r="DK260" i="24"/>
  <c r="DJ260" i="24"/>
  <c r="DN26" i="24"/>
  <c r="DK296" i="24"/>
  <c r="DJ296" i="24"/>
  <c r="DN314" i="24"/>
  <c r="DK277" i="24"/>
  <c r="DJ277" i="24"/>
  <c r="DN257" i="24"/>
  <c r="DK77" i="24"/>
  <c r="DJ77" i="24"/>
  <c r="DK111" i="24"/>
  <c r="DJ111" i="24"/>
  <c r="DK185" i="24"/>
  <c r="DJ185" i="24"/>
  <c r="DK180" i="24"/>
  <c r="DJ180" i="24"/>
  <c r="DK22" i="24"/>
  <c r="DJ22" i="24"/>
  <c r="DK164" i="24"/>
  <c r="DJ164" i="24"/>
  <c r="DK202" i="24"/>
  <c r="DJ202" i="24"/>
  <c r="DJ88" i="24"/>
  <c r="DK88" i="24"/>
  <c r="DK13" i="24"/>
  <c r="DJ13" i="24"/>
  <c r="DN157" i="24"/>
  <c r="DN103" i="24"/>
  <c r="DN122" i="24"/>
  <c r="DK275" i="24"/>
  <c r="DJ275" i="24"/>
  <c r="DN231" i="24"/>
  <c r="DK65" i="24"/>
  <c r="DJ65" i="24"/>
  <c r="DK174" i="24"/>
  <c r="DJ174" i="24"/>
  <c r="DK249" i="24"/>
  <c r="DJ249" i="24"/>
  <c r="DN145" i="24"/>
  <c r="DN192" i="24"/>
  <c r="DN47" i="24"/>
  <c r="DK283" i="24"/>
  <c r="DJ283" i="24"/>
  <c r="DN307" i="24"/>
  <c r="DN70" i="24"/>
  <c r="DK44" i="24"/>
  <c r="DJ44" i="24"/>
  <c r="DK8" i="24"/>
  <c r="DJ8" i="24"/>
  <c r="DN53" i="24"/>
  <c r="DK133" i="24"/>
  <c r="DJ133" i="24"/>
  <c r="DK171" i="24"/>
  <c r="DJ171" i="24"/>
  <c r="DN136" i="24"/>
  <c r="DK98" i="24"/>
  <c r="DJ98" i="24"/>
  <c r="DN129" i="24"/>
  <c r="DN201" i="24"/>
  <c r="DN158" i="24"/>
  <c r="DK29" i="24"/>
  <c r="DJ29" i="24"/>
  <c r="DN309" i="24"/>
  <c r="DN123" i="24"/>
  <c r="DK290" i="24"/>
  <c r="DJ290" i="24"/>
  <c r="DN173" i="24"/>
  <c r="DN100" i="24"/>
  <c r="DK112" i="24"/>
  <c r="DJ112" i="24"/>
  <c r="DK80" i="24"/>
  <c r="DJ80" i="24"/>
  <c r="DK197" i="24"/>
  <c r="DJ197" i="24"/>
  <c r="DK113" i="24"/>
  <c r="DJ113" i="24"/>
  <c r="DK35" i="24"/>
  <c r="DJ35" i="24"/>
  <c r="DK311" i="24"/>
  <c r="DJ311" i="24"/>
  <c r="DK278" i="24"/>
  <c r="DJ278" i="24"/>
  <c r="DK36" i="24"/>
  <c r="DJ36" i="24"/>
  <c r="DK256" i="24"/>
  <c r="DJ256" i="24"/>
  <c r="DK267" i="24"/>
  <c r="DJ267" i="24"/>
  <c r="DK209" i="24"/>
  <c r="DJ209" i="24"/>
  <c r="DK68" i="24"/>
  <c r="DJ68" i="24"/>
  <c r="DK24" i="24"/>
  <c r="DJ24" i="24"/>
  <c r="DK42" i="24"/>
  <c r="DJ42" i="24"/>
  <c r="DK288" i="24"/>
  <c r="DJ288" i="24"/>
  <c r="DN48" i="24"/>
  <c r="DK11" i="24"/>
  <c r="DJ11" i="24"/>
  <c r="DK240" i="24"/>
  <c r="DJ240" i="24"/>
  <c r="DK244" i="24"/>
  <c r="DJ244" i="24"/>
  <c r="DK17" i="24"/>
  <c r="DJ17" i="24"/>
  <c r="DK39" i="24"/>
  <c r="DJ39" i="24"/>
  <c r="DK23" i="24"/>
  <c r="DJ23" i="24"/>
  <c r="DK227" i="24"/>
  <c r="DJ227" i="24"/>
  <c r="DN14" i="24"/>
  <c r="DN250" i="24"/>
  <c r="DK134" i="24"/>
  <c r="DJ134" i="24"/>
  <c r="DN223" i="24"/>
  <c r="DN155" i="24"/>
  <c r="DN199" i="24"/>
  <c r="DK26" i="24"/>
  <c r="DJ26" i="24"/>
  <c r="DN277" i="24"/>
  <c r="DK163" i="24"/>
  <c r="DJ163" i="24"/>
  <c r="DK257" i="24"/>
  <c r="DJ257" i="24"/>
  <c r="DK238" i="24"/>
  <c r="DJ238" i="24"/>
  <c r="DK157" i="24"/>
  <c r="DJ157" i="24"/>
  <c r="DK103" i="24"/>
  <c r="DJ103" i="24"/>
  <c r="DK122" i="24"/>
  <c r="DJ122" i="24"/>
  <c r="DK231" i="24"/>
  <c r="DJ231" i="24"/>
  <c r="DK145" i="24"/>
  <c r="DJ145" i="24"/>
  <c r="DK47" i="24"/>
  <c r="DJ47" i="24"/>
  <c r="DN283" i="24"/>
  <c r="DJ307" i="24"/>
  <c r="DK307" i="24"/>
  <c r="DK70" i="24"/>
  <c r="DJ70" i="24"/>
  <c r="DK284" i="24"/>
  <c r="DJ284" i="24"/>
  <c r="DK53" i="24"/>
  <c r="DJ53" i="24"/>
  <c r="DN133" i="24"/>
  <c r="DK93" i="24"/>
  <c r="DJ93" i="24"/>
  <c r="DN126" i="24"/>
  <c r="DK46" i="24"/>
  <c r="DJ46" i="24"/>
  <c r="DK84" i="24"/>
  <c r="DJ84" i="24"/>
  <c r="DK158" i="24"/>
  <c r="DJ158" i="24"/>
  <c r="DK20" i="24"/>
  <c r="DJ20" i="24"/>
  <c r="DK205" i="24"/>
  <c r="DJ205" i="24"/>
  <c r="DK309" i="24"/>
  <c r="DJ309" i="24"/>
  <c r="DK123" i="24"/>
  <c r="DJ123" i="24"/>
  <c r="DN290" i="24"/>
  <c r="DK173" i="24"/>
  <c r="DJ173" i="24"/>
  <c r="DK100" i="24"/>
  <c r="DJ100" i="24"/>
  <c r="DN80" i="24"/>
  <c r="DN271" i="24"/>
  <c r="DK210" i="24"/>
  <c r="DJ210" i="24"/>
  <c r="DK196" i="24"/>
  <c r="DJ196" i="24"/>
  <c r="DK141" i="24"/>
  <c r="DJ141" i="24"/>
  <c r="DK279" i="24"/>
  <c r="DJ279" i="24"/>
  <c r="DK259" i="24"/>
  <c r="DJ259" i="24"/>
  <c r="DK15" i="24"/>
  <c r="DJ15" i="24"/>
  <c r="DK222" i="24"/>
  <c r="DJ222" i="24"/>
  <c r="DK246" i="24"/>
  <c r="DJ246" i="24"/>
  <c r="DK282" i="24"/>
  <c r="DJ282" i="24"/>
  <c r="DK58" i="24"/>
  <c r="DJ58" i="24"/>
  <c r="DN39" i="24"/>
  <c r="DK195" i="24"/>
  <c r="DJ195" i="24"/>
  <c r="DK151" i="24"/>
  <c r="DJ151" i="24"/>
  <c r="DK115" i="24"/>
  <c r="DJ115" i="24"/>
  <c r="DK168" i="24"/>
  <c r="DJ168" i="24"/>
  <c r="DK21" i="24"/>
  <c r="DJ21" i="24"/>
  <c r="DK208" i="24"/>
  <c r="DJ208" i="24"/>
  <c r="DK299" i="24"/>
  <c r="DJ299" i="24"/>
  <c r="DK276" i="24"/>
  <c r="DJ276" i="24"/>
  <c r="DJ204" i="24"/>
  <c r="DK204" i="24"/>
  <c r="DK189" i="24"/>
  <c r="DJ189" i="24"/>
  <c r="DK119" i="24"/>
  <c r="DJ119" i="24"/>
  <c r="DK28" i="24"/>
  <c r="DJ28" i="24"/>
  <c r="DK188" i="24"/>
  <c r="DJ188" i="24"/>
  <c r="DK304" i="24"/>
  <c r="DJ304" i="24"/>
  <c r="DK6" i="24"/>
  <c r="DJ6" i="24"/>
  <c r="DK220" i="24"/>
  <c r="DJ220" i="24"/>
  <c r="DK261" i="24"/>
  <c r="DJ261" i="24"/>
  <c r="DK295" i="24"/>
  <c r="DJ295" i="24"/>
  <c r="DK146" i="24"/>
  <c r="DJ146" i="24"/>
  <c r="DK66" i="24"/>
  <c r="DJ66" i="24"/>
  <c r="DK313" i="24"/>
  <c r="DJ313" i="24"/>
  <c r="DK126" i="24"/>
  <c r="DJ126" i="24"/>
  <c r="DK56" i="24"/>
  <c r="DJ56" i="24"/>
  <c r="DK271" i="24"/>
  <c r="DJ271" i="24"/>
  <c r="DK91" i="24"/>
  <c r="DJ91" i="24"/>
  <c r="O628" i="29"/>
  <c r="R628" i="29"/>
  <c r="L628" i="29"/>
  <c r="Q628" i="29"/>
  <c r="S628" i="29"/>
  <c r="K628" i="29"/>
  <c r="T628" i="29"/>
  <c r="P628" i="29"/>
  <c r="BQ106" i="19"/>
  <c r="DN110" i="25" l="1"/>
  <c r="DX79" i="24"/>
  <c r="EE79" i="24" s="1"/>
  <c r="AE623" i="29"/>
  <c r="AD623" i="29"/>
  <c r="EJ212" i="25"/>
  <c r="EY212" i="25"/>
  <c r="EL212" i="25"/>
  <c r="DV212" i="25"/>
  <c r="EK212" i="25"/>
  <c r="EN212" i="25" s="1"/>
  <c r="DT212" i="25"/>
  <c r="FA212" i="25"/>
  <c r="EY199" i="25"/>
  <c r="FA200" i="25"/>
  <c r="EY208" i="25"/>
  <c r="EJ210" i="25"/>
  <c r="DZ6" i="24"/>
  <c r="DI216" i="25"/>
  <c r="DN216" i="25" s="1"/>
  <c r="EB216" i="24"/>
  <c r="EL216" i="24"/>
  <c r="EM216" i="24"/>
  <c r="EP216" i="24" s="1"/>
  <c r="EN216" i="24"/>
  <c r="FA216" i="24"/>
  <c r="DX94" i="24"/>
  <c r="EE94" i="24" s="1"/>
  <c r="DX91" i="24"/>
  <c r="EE91" i="24" s="1"/>
  <c r="DX290" i="24"/>
  <c r="EE290" i="24" s="1"/>
  <c r="DX258" i="24"/>
  <c r="EE258" i="24" s="1"/>
  <c r="DX296" i="24"/>
  <c r="EE296" i="24" s="1"/>
  <c r="DX230" i="24"/>
  <c r="DX298" i="24"/>
  <c r="EE298" i="24" s="1"/>
  <c r="DX305" i="24"/>
  <c r="EE305" i="24" s="1"/>
  <c r="DX279" i="24"/>
  <c r="EE279" i="24" s="1"/>
  <c r="DX222" i="24"/>
  <c r="EE222" i="24" s="1"/>
  <c r="DX263" i="24"/>
  <c r="EE263" i="24" s="1"/>
  <c r="DX313" i="24"/>
  <c r="EE313" i="24" s="1"/>
  <c r="DX303" i="24"/>
  <c r="EE303" i="24" s="1"/>
  <c r="DX278" i="24"/>
  <c r="EE278" i="24" s="1"/>
  <c r="DX284" i="24"/>
  <c r="EE284" i="24" s="1"/>
  <c r="DX237" i="24"/>
  <c r="EE237" i="24" s="1"/>
  <c r="DX300" i="24"/>
  <c r="EE300" i="24" s="1"/>
  <c r="DX268" i="24"/>
  <c r="EE268" i="24" s="1"/>
  <c r="DX242" i="24"/>
  <c r="EE242" i="24" s="1"/>
  <c r="DX225" i="24"/>
  <c r="EE225" i="24" s="1"/>
  <c r="DX236" i="24"/>
  <c r="EE236" i="24" s="1"/>
  <c r="DX238" i="24"/>
  <c r="EE238" i="24" s="1"/>
  <c r="DX251" i="24"/>
  <c r="EE251" i="24" s="1"/>
  <c r="DX266" i="24"/>
  <c r="EE266" i="24" s="1"/>
  <c r="DX246" i="24"/>
  <c r="EE246" i="24" s="1"/>
  <c r="DX301" i="24"/>
  <c r="EE301" i="24" s="1"/>
  <c r="DX219" i="24"/>
  <c r="EE219" i="24" s="1"/>
  <c r="DX310" i="24"/>
  <c r="EE310" i="24" s="1"/>
  <c r="DX275" i="24"/>
  <c r="EE275" i="24" s="1"/>
  <c r="DX271" i="24"/>
  <c r="EE271" i="24" s="1"/>
  <c r="DX231" i="24"/>
  <c r="EE231" i="24" s="1"/>
  <c r="DX257" i="24"/>
  <c r="EE257" i="24" s="1"/>
  <c r="DX302" i="24"/>
  <c r="EE302" i="24" s="1"/>
  <c r="DX289" i="24"/>
  <c r="EE289" i="24" s="1"/>
  <c r="DX252" i="24"/>
  <c r="EE252" i="24" s="1"/>
  <c r="DX259" i="24"/>
  <c r="EE259" i="24" s="1"/>
  <c r="DX274" i="24"/>
  <c r="EE274" i="24" s="1"/>
  <c r="DX265" i="24"/>
  <c r="EE265" i="24" s="1"/>
  <c r="DX295" i="24"/>
  <c r="EE295" i="24" s="1"/>
  <c r="DX243" i="24"/>
  <c r="EE243" i="24" s="1"/>
  <c r="DX283" i="24"/>
  <c r="EE283" i="24" s="1"/>
  <c r="DX309" i="24"/>
  <c r="EE309" i="24" s="1"/>
  <c r="DX244" i="24"/>
  <c r="EE244" i="24" s="1"/>
  <c r="DX260" i="24"/>
  <c r="EE260" i="24" s="1"/>
  <c r="DX226" i="24"/>
  <c r="EE226" i="24" s="1"/>
  <c r="DX269" i="24"/>
  <c r="EE269" i="24" s="1"/>
  <c r="DX235" i="24"/>
  <c r="EE235" i="24" s="1"/>
  <c r="DX241" i="24"/>
  <c r="EE241" i="24" s="1"/>
  <c r="DX276" i="24"/>
  <c r="EE276" i="24" s="1"/>
  <c r="DX229" i="24"/>
  <c r="EE229" i="24" s="1"/>
  <c r="DX247" i="24"/>
  <c r="EE247" i="24" s="1"/>
  <c r="DX286" i="24"/>
  <c r="EE286" i="24" s="1"/>
  <c r="DX233" i="24"/>
  <c r="EE233" i="24" s="1"/>
  <c r="DX256" i="24"/>
  <c r="EE256" i="24" s="1"/>
  <c r="DX264" i="24"/>
  <c r="EE264" i="24" s="1"/>
  <c r="DX254" i="24"/>
  <c r="EE254" i="24" s="1"/>
  <c r="DX223" i="24"/>
  <c r="EE223" i="24" s="1"/>
  <c r="DX240" i="24"/>
  <c r="EE240" i="24" s="1"/>
  <c r="DX272" i="24"/>
  <c r="EE272" i="24" s="1"/>
  <c r="DX280" i="24"/>
  <c r="EE280" i="24" s="1"/>
  <c r="DX261" i="24"/>
  <c r="EE261" i="24" s="1"/>
  <c r="DX297" i="24"/>
  <c r="EE297" i="24" s="1"/>
  <c r="DX255" i="24"/>
  <c r="EE255" i="24" s="1"/>
  <c r="DX312" i="24"/>
  <c r="EE312" i="24" s="1"/>
  <c r="DX314" i="24"/>
  <c r="EE314" i="24" s="1"/>
  <c r="DX227" i="24"/>
  <c r="EE227" i="24" s="1"/>
  <c r="DX249" i="24"/>
  <c r="EE249" i="24" s="1"/>
  <c r="DX281" i="24"/>
  <c r="EE281" i="24" s="1"/>
  <c r="DX239" i="24"/>
  <c r="EE239" i="24" s="1"/>
  <c r="DX308" i="24"/>
  <c r="EE308" i="24" s="1"/>
  <c r="DX292" i="24"/>
  <c r="EE292" i="24" s="1"/>
  <c r="DX287" i="24"/>
  <c r="EE287" i="24" s="1"/>
  <c r="DX220" i="24"/>
  <c r="EE220" i="24" s="1"/>
  <c r="DX232" i="24"/>
  <c r="EE232" i="24" s="1"/>
  <c r="DX282" i="24"/>
  <c r="EE282" i="24" s="1"/>
  <c r="DX315" i="24"/>
  <c r="EE315" i="24" s="1"/>
  <c r="DX245" i="24"/>
  <c r="EE245" i="24" s="1"/>
  <c r="DX217" i="24"/>
  <c r="EE217" i="24" s="1"/>
  <c r="DX273" i="24"/>
  <c r="EE273" i="24" s="1"/>
  <c r="DX248" i="24"/>
  <c r="EE248" i="24" s="1"/>
  <c r="DX234" i="24"/>
  <c r="EE234" i="24" s="1"/>
  <c r="DX307" i="24"/>
  <c r="EE307" i="24" s="1"/>
  <c r="DX218" i="24"/>
  <c r="EE218" i="24" s="1"/>
  <c r="DX270" i="24"/>
  <c r="EE270" i="24" s="1"/>
  <c r="DX224" i="24"/>
  <c r="EE224" i="24" s="1"/>
  <c r="DX228" i="24"/>
  <c r="EE228" i="24" s="1"/>
  <c r="DX262" i="24"/>
  <c r="EE262" i="24" s="1"/>
  <c r="DX294" i="24"/>
  <c r="EE294" i="24" s="1"/>
  <c r="DX316" i="24"/>
  <c r="EE316" i="24" s="1"/>
  <c r="DX311" i="24"/>
  <c r="EE311" i="24" s="1"/>
  <c r="DX221" i="24"/>
  <c r="EE221" i="24" s="1"/>
  <c r="DX291" i="24"/>
  <c r="EE291" i="24" s="1"/>
  <c r="DX277" i="24"/>
  <c r="EE277" i="24" s="1"/>
  <c r="DX250" i="24"/>
  <c r="EE250" i="24" s="1"/>
  <c r="DX288" i="24"/>
  <c r="EE288" i="24" s="1"/>
  <c r="DX253" i="24"/>
  <c r="EE253" i="24" s="1"/>
  <c r="DX267" i="24"/>
  <c r="EE267" i="24" s="1"/>
  <c r="DX293" i="24"/>
  <c r="EE293" i="24" s="1"/>
  <c r="DX304" i="24"/>
  <c r="EE304" i="24" s="1"/>
  <c r="DX285" i="24"/>
  <c r="EE285" i="24" s="1"/>
  <c r="DX306" i="24"/>
  <c r="EE306" i="24" s="1"/>
  <c r="DX299" i="24"/>
  <c r="EE299" i="24" s="1"/>
  <c r="EJ229" i="25"/>
  <c r="EK229" i="25"/>
  <c r="EN229" i="25" s="1"/>
  <c r="EY229" i="25"/>
  <c r="FA229" i="25"/>
  <c r="EL229" i="25"/>
  <c r="EJ228" i="25"/>
  <c r="EY228" i="25"/>
  <c r="EK228" i="25"/>
  <c r="EN228" i="25" s="1"/>
  <c r="FA228" i="25"/>
  <c r="EL228" i="25"/>
  <c r="EJ270" i="25"/>
  <c r="FA270" i="25"/>
  <c r="EK270" i="25"/>
  <c r="EN270" i="25" s="1"/>
  <c r="EY270" i="25"/>
  <c r="EL270" i="25"/>
  <c r="EJ284" i="25"/>
  <c r="EY284" i="25"/>
  <c r="EK284" i="25"/>
  <c r="EN284" i="25" s="1"/>
  <c r="FA284" i="25"/>
  <c r="EL284" i="25"/>
  <c r="EJ294" i="25"/>
  <c r="FA294" i="25"/>
  <c r="EY294" i="25"/>
  <c r="EK294" i="25"/>
  <c r="EN294" i="25" s="1"/>
  <c r="EL294" i="25"/>
  <c r="EJ276" i="25"/>
  <c r="EY276" i="25"/>
  <c r="EK276" i="25"/>
  <c r="EN276" i="25" s="1"/>
  <c r="FA276" i="25"/>
  <c r="EL276" i="25"/>
  <c r="EY303" i="25"/>
  <c r="EJ303" i="25"/>
  <c r="FA303" i="25"/>
  <c r="EK303" i="25"/>
  <c r="EN303" i="25" s="1"/>
  <c r="EL303" i="25"/>
  <c r="EJ234" i="25"/>
  <c r="EY234" i="25"/>
  <c r="EK234" i="25"/>
  <c r="EN234" i="25" s="1"/>
  <c r="FA234" i="25"/>
  <c r="EL234" i="25"/>
  <c r="EY247" i="25"/>
  <c r="EJ247" i="25"/>
  <c r="FA247" i="25"/>
  <c r="EK247" i="25"/>
  <c r="EN247" i="25" s="1"/>
  <c r="EL247" i="25"/>
  <c r="EK242" i="25"/>
  <c r="EN242" i="25" s="1"/>
  <c r="EY242" i="25"/>
  <c r="FA242" i="25"/>
  <c r="EJ242" i="25"/>
  <c r="EL242" i="25"/>
  <c r="EJ296" i="25"/>
  <c r="EK296" i="25"/>
  <c r="EN296" i="25" s="1"/>
  <c r="EY296" i="25"/>
  <c r="FA296" i="25"/>
  <c r="EL296" i="25"/>
  <c r="EJ227" i="25"/>
  <c r="EK227" i="25"/>
  <c r="EN227" i="25" s="1"/>
  <c r="EY227" i="25"/>
  <c r="FA227" i="25"/>
  <c r="EL227" i="25"/>
  <c r="EJ219" i="25"/>
  <c r="EK219" i="25"/>
  <c r="EN219" i="25" s="1"/>
  <c r="EY219" i="25"/>
  <c r="FA219" i="25"/>
  <c r="EL219" i="25"/>
  <c r="EJ226" i="25"/>
  <c r="EK226" i="25"/>
  <c r="EN226" i="25" s="1"/>
  <c r="EY226" i="25"/>
  <c r="FA226" i="25"/>
  <c r="EL226" i="25"/>
  <c r="EJ258" i="25"/>
  <c r="EY258" i="25"/>
  <c r="FA258" i="25"/>
  <c r="EK258" i="25"/>
  <c r="EN258" i="25" s="1"/>
  <c r="EL258" i="25"/>
  <c r="EJ235" i="25"/>
  <c r="EK235" i="25"/>
  <c r="EN235" i="25" s="1"/>
  <c r="EY235" i="25"/>
  <c r="FA235" i="25"/>
  <c r="EL235" i="25"/>
  <c r="EY249" i="25"/>
  <c r="EJ249" i="25"/>
  <c r="FA249" i="25"/>
  <c r="EK249" i="25"/>
  <c r="EN249" i="25" s="1"/>
  <c r="EL249" i="25"/>
  <c r="EJ240" i="25"/>
  <c r="EK240" i="25"/>
  <c r="EN240" i="25" s="1"/>
  <c r="EY240" i="25"/>
  <c r="FA240" i="25"/>
  <c r="EL240" i="25"/>
  <c r="EJ313" i="25"/>
  <c r="EY313" i="25"/>
  <c r="EK313" i="25"/>
  <c r="EN313" i="25" s="1"/>
  <c r="FA313" i="25"/>
  <c r="EL313" i="25"/>
  <c r="EJ304" i="25"/>
  <c r="EK304" i="25"/>
  <c r="EN304" i="25" s="1"/>
  <c r="EY304" i="25"/>
  <c r="FA304" i="25"/>
  <c r="EL304" i="25"/>
  <c r="EY256" i="25"/>
  <c r="FA256" i="25"/>
  <c r="EJ256" i="25"/>
  <c r="EK256" i="25"/>
  <c r="EN256" i="25" s="1"/>
  <c r="EL256" i="25"/>
  <c r="EY309" i="25"/>
  <c r="EJ309" i="25"/>
  <c r="FA309" i="25"/>
  <c r="EK309" i="25"/>
  <c r="EN309" i="25" s="1"/>
  <c r="EL309" i="25"/>
  <c r="EJ245" i="25"/>
  <c r="EY245" i="25"/>
  <c r="EK245" i="25"/>
  <c r="EN245" i="25" s="1"/>
  <c r="FA245" i="25"/>
  <c r="EL245" i="25"/>
  <c r="EK278" i="25"/>
  <c r="EN278" i="25" s="1"/>
  <c r="FA278" i="25"/>
  <c r="EY278" i="25"/>
  <c r="EJ278" i="25"/>
  <c r="EL278" i="25"/>
  <c r="EJ243" i="25"/>
  <c r="EK243" i="25"/>
  <c r="EN243" i="25" s="1"/>
  <c r="EY243" i="25"/>
  <c r="FA243" i="25"/>
  <c r="EL243" i="25"/>
  <c r="EY246" i="25"/>
  <c r="EJ246" i="25"/>
  <c r="FA246" i="25"/>
  <c r="EK246" i="25"/>
  <c r="EN246" i="25" s="1"/>
  <c r="EL246" i="25"/>
  <c r="EK230" i="25"/>
  <c r="EN230" i="25" s="1"/>
  <c r="FA230" i="25"/>
  <c r="EJ230" i="25"/>
  <c r="EY230" i="25"/>
  <c r="EL230" i="25"/>
  <c r="EY316" i="25"/>
  <c r="EJ316" i="25"/>
  <c r="FA316" i="25"/>
  <c r="EK316" i="25"/>
  <c r="EN316" i="25" s="1"/>
  <c r="EL316" i="25"/>
  <c r="EJ241" i="25"/>
  <c r="EY241" i="25"/>
  <c r="EK241" i="25"/>
  <c r="EN241" i="25" s="1"/>
  <c r="FA241" i="25"/>
  <c r="EL241" i="25"/>
  <c r="EJ291" i="25"/>
  <c r="EY291" i="25"/>
  <c r="EK291" i="25"/>
  <c r="EN291" i="25" s="1"/>
  <c r="FA291" i="25"/>
  <c r="EL291" i="25"/>
  <c r="FA297" i="25"/>
  <c r="EJ297" i="25"/>
  <c r="EK297" i="25"/>
  <c r="EN297" i="25" s="1"/>
  <c r="EY297" i="25"/>
  <c r="EL297" i="25"/>
  <c r="EJ306" i="25"/>
  <c r="EY306" i="25"/>
  <c r="EK306" i="25"/>
  <c r="EN306" i="25" s="1"/>
  <c r="FA306" i="25"/>
  <c r="EL306" i="25"/>
  <c r="EK248" i="25"/>
  <c r="EN248" i="25" s="1"/>
  <c r="EY248" i="25"/>
  <c r="FA248" i="25"/>
  <c r="EJ248" i="25"/>
  <c r="EL248" i="25"/>
  <c r="EJ310" i="25"/>
  <c r="EK310" i="25"/>
  <c r="EN310" i="25" s="1"/>
  <c r="EY310" i="25"/>
  <c r="FA310" i="25"/>
  <c r="EL310" i="25"/>
  <c r="EY255" i="25"/>
  <c r="EJ255" i="25"/>
  <c r="FA255" i="25"/>
  <c r="EK255" i="25"/>
  <c r="EN255" i="25" s="1"/>
  <c r="EL255" i="25"/>
  <c r="EJ298" i="25"/>
  <c r="EY298" i="25"/>
  <c r="EK298" i="25"/>
  <c r="EN298" i="25" s="1"/>
  <c r="FA298" i="25"/>
  <c r="EL298" i="25"/>
  <c r="EK283" i="25"/>
  <c r="EN283" i="25" s="1"/>
  <c r="FA283" i="25"/>
  <c r="EY283" i="25"/>
  <c r="EJ283" i="25"/>
  <c r="EL283" i="25"/>
  <c r="EJ221" i="25"/>
  <c r="EK221" i="25"/>
  <c r="EN221" i="25" s="1"/>
  <c r="EY221" i="25"/>
  <c r="FA221" i="25"/>
  <c r="EL221" i="25"/>
  <c r="EJ237" i="25"/>
  <c r="EY237" i="25"/>
  <c r="EK237" i="25"/>
  <c r="EN237" i="25" s="1"/>
  <c r="FA237" i="25"/>
  <c r="EL237" i="25"/>
  <c r="EJ272" i="25"/>
  <c r="EK272" i="25"/>
  <c r="EN272" i="25" s="1"/>
  <c r="EY272" i="25"/>
  <c r="FA272" i="25"/>
  <c r="EL272" i="25"/>
  <c r="EJ266" i="25"/>
  <c r="EY266" i="25"/>
  <c r="EK266" i="25"/>
  <c r="EN266" i="25" s="1"/>
  <c r="FA266" i="25"/>
  <c r="EL266" i="25"/>
  <c r="EJ223" i="25"/>
  <c r="FA223" i="25"/>
  <c r="EK223" i="25"/>
  <c r="EN223" i="25" s="1"/>
  <c r="EY223" i="25"/>
  <c r="EL223" i="25"/>
  <c r="EJ305" i="25"/>
  <c r="EY305" i="25"/>
  <c r="EK305" i="25"/>
  <c r="EN305" i="25" s="1"/>
  <c r="FA305" i="25"/>
  <c r="EL305" i="25"/>
  <c r="EY238" i="25"/>
  <c r="EJ238" i="25"/>
  <c r="FA238" i="25"/>
  <c r="EK238" i="25"/>
  <c r="EN238" i="25" s="1"/>
  <c r="EL238" i="25"/>
  <c r="EJ293" i="25"/>
  <c r="EY293" i="25"/>
  <c r="EK293" i="25"/>
  <c r="EN293" i="25" s="1"/>
  <c r="FA293" i="25"/>
  <c r="EL293" i="25"/>
  <c r="EK271" i="25"/>
  <c r="EN271" i="25" s="1"/>
  <c r="EY271" i="25"/>
  <c r="EJ271" i="25"/>
  <c r="FA271" i="25"/>
  <c r="EL271" i="25"/>
  <c r="EK274" i="25"/>
  <c r="EN274" i="25" s="1"/>
  <c r="FA274" i="25"/>
  <c r="EJ274" i="25"/>
  <c r="EY274" i="25"/>
  <c r="EL274" i="25"/>
  <c r="EJ285" i="25"/>
  <c r="EY285" i="25"/>
  <c r="EK285" i="25"/>
  <c r="EN285" i="25" s="1"/>
  <c r="FA285" i="25"/>
  <c r="EL285" i="25"/>
  <c r="EJ314" i="25"/>
  <c r="EY314" i="25"/>
  <c r="EK314" i="25"/>
  <c r="EN314" i="25" s="1"/>
  <c r="FA314" i="25"/>
  <c r="EL314" i="25"/>
  <c r="EY282" i="25"/>
  <c r="EJ282" i="25"/>
  <c r="FA282" i="25"/>
  <c r="EK282" i="25"/>
  <c r="EN282" i="25" s="1"/>
  <c r="EL282" i="25"/>
  <c r="FA267" i="25"/>
  <c r="EJ267" i="25"/>
  <c r="EK267" i="25"/>
  <c r="EN267" i="25" s="1"/>
  <c r="EY267" i="25"/>
  <c r="EL267" i="25"/>
  <c r="EK292" i="25"/>
  <c r="EN292" i="25" s="1"/>
  <c r="FA292" i="25"/>
  <c r="EJ292" i="25"/>
  <c r="EY292" i="25"/>
  <c r="EL292" i="25"/>
  <c r="EK281" i="25"/>
  <c r="EN281" i="25" s="1"/>
  <c r="EY281" i="25"/>
  <c r="FA281" i="25"/>
  <c r="EJ281" i="25"/>
  <c r="EL281" i="25"/>
  <c r="EY239" i="25"/>
  <c r="EJ239" i="25"/>
  <c r="FA239" i="25"/>
  <c r="EK239" i="25"/>
  <c r="EN239" i="25" s="1"/>
  <c r="EL239" i="25"/>
  <c r="EJ222" i="25"/>
  <c r="EK222" i="25"/>
  <c r="EN222" i="25" s="1"/>
  <c r="EY222" i="25"/>
  <c r="FA222" i="25"/>
  <c r="EL222" i="25"/>
  <c r="EJ250" i="25"/>
  <c r="EY250" i="25"/>
  <c r="EK250" i="25"/>
  <c r="EN250" i="25" s="1"/>
  <c r="FA250" i="25"/>
  <c r="EL250" i="25"/>
  <c r="EJ252" i="25"/>
  <c r="EY252" i="25"/>
  <c r="EK252" i="25"/>
  <c r="EN252" i="25" s="1"/>
  <c r="FA252" i="25"/>
  <c r="EL252" i="25"/>
  <c r="EK311" i="25"/>
  <c r="EN311" i="25" s="1"/>
  <c r="FA311" i="25"/>
  <c r="EJ311" i="25"/>
  <c r="EY311" i="25"/>
  <c r="EL311" i="25"/>
  <c r="EJ312" i="25"/>
  <c r="EK312" i="25"/>
  <c r="EN312" i="25" s="1"/>
  <c r="EY312" i="25"/>
  <c r="FA312" i="25"/>
  <c r="EL312" i="25"/>
  <c r="EY257" i="25"/>
  <c r="EJ257" i="25"/>
  <c r="FA257" i="25"/>
  <c r="EK257" i="25"/>
  <c r="EN257" i="25" s="1"/>
  <c r="EL257" i="25"/>
  <c r="EJ307" i="25"/>
  <c r="EY307" i="25"/>
  <c r="EK307" i="25"/>
  <c r="EN307" i="25" s="1"/>
  <c r="FA307" i="25"/>
  <c r="EL307" i="25"/>
  <c r="FA289" i="25"/>
  <c r="EJ289" i="25"/>
  <c r="EK289" i="25"/>
  <c r="EN289" i="25" s="1"/>
  <c r="EY289" i="25"/>
  <c r="EL289" i="25"/>
  <c r="EY308" i="25"/>
  <c r="EJ308" i="25"/>
  <c r="FA308" i="25"/>
  <c r="EK308" i="25"/>
  <c r="EN308" i="25" s="1"/>
  <c r="EL308" i="25"/>
  <c r="EJ269" i="25"/>
  <c r="EY269" i="25"/>
  <c r="EK269" i="25"/>
  <c r="EN269" i="25" s="1"/>
  <c r="FA269" i="25"/>
  <c r="EL269" i="25"/>
  <c r="EJ290" i="25"/>
  <c r="EY290" i="25"/>
  <c r="EK290" i="25"/>
  <c r="EN290" i="25" s="1"/>
  <c r="FA290" i="25"/>
  <c r="EL290" i="25"/>
  <c r="EJ251" i="25"/>
  <c r="EK251" i="25"/>
  <c r="EN251" i="25" s="1"/>
  <c r="EY251" i="25"/>
  <c r="FA251" i="25"/>
  <c r="EL251" i="25"/>
  <c r="EK233" i="25"/>
  <c r="EN233" i="25" s="1"/>
  <c r="EY233" i="25"/>
  <c r="EJ233" i="25"/>
  <c r="FA233" i="25"/>
  <c r="EL233" i="25"/>
  <c r="EY220" i="25"/>
  <c r="EJ220" i="25"/>
  <c r="FA220" i="25"/>
  <c r="EK220" i="25"/>
  <c r="EN220" i="25" s="1"/>
  <c r="EL220" i="25"/>
  <c r="EK286" i="25"/>
  <c r="EN286" i="25" s="1"/>
  <c r="EY286" i="25"/>
  <c r="FA286" i="25"/>
  <c r="EJ286" i="25"/>
  <c r="EL286" i="25"/>
  <c r="EJ315" i="25"/>
  <c r="EY315" i="25"/>
  <c r="EK315" i="25"/>
  <c r="EN315" i="25" s="1"/>
  <c r="FA315" i="25"/>
  <c r="EL315" i="25"/>
  <c r="EK244" i="25"/>
  <c r="EN244" i="25" s="1"/>
  <c r="FA244" i="25"/>
  <c r="EJ244" i="25"/>
  <c r="EY244" i="25"/>
  <c r="EL244" i="25"/>
  <c r="EY231" i="25"/>
  <c r="EJ231" i="25"/>
  <c r="FA231" i="25"/>
  <c r="EK231" i="25"/>
  <c r="EN231" i="25" s="1"/>
  <c r="EL231" i="25"/>
  <c r="EJ217" i="25"/>
  <c r="EY217" i="25"/>
  <c r="EK217" i="25"/>
  <c r="EN217" i="25" s="1"/>
  <c r="FA217" i="25"/>
  <c r="EL217" i="25"/>
  <c r="EJ301" i="25"/>
  <c r="EY301" i="25"/>
  <c r="EK301" i="25"/>
  <c r="EN301" i="25" s="1"/>
  <c r="FA301" i="25"/>
  <c r="EL301" i="25"/>
  <c r="EJ277" i="25"/>
  <c r="EK277" i="25"/>
  <c r="EN277" i="25" s="1"/>
  <c r="EY277" i="25"/>
  <c r="FA277" i="25"/>
  <c r="EL277" i="25"/>
  <c r="EJ232" i="25"/>
  <c r="EK232" i="25"/>
  <c r="EN232" i="25" s="1"/>
  <c r="EY232" i="25"/>
  <c r="FA232" i="25"/>
  <c r="EL232" i="25"/>
  <c r="EY260" i="25"/>
  <c r="EJ260" i="25"/>
  <c r="FA260" i="25"/>
  <c r="EK260" i="25"/>
  <c r="EN260" i="25" s="1"/>
  <c r="EL260" i="25"/>
  <c r="EJ300" i="25"/>
  <c r="EY300" i="25"/>
  <c r="EK300" i="25"/>
  <c r="EN300" i="25" s="1"/>
  <c r="FA300" i="25"/>
  <c r="EL300" i="25"/>
  <c r="EJ225" i="25"/>
  <c r="EK225" i="25"/>
  <c r="EN225" i="25" s="1"/>
  <c r="EY225" i="25"/>
  <c r="FA225" i="25"/>
  <c r="EL225" i="25"/>
  <c r="EJ287" i="25"/>
  <c r="EY287" i="25"/>
  <c r="EK287" i="25"/>
  <c r="EN287" i="25" s="1"/>
  <c r="FA287" i="25"/>
  <c r="EL287" i="25"/>
  <c r="EK273" i="25"/>
  <c r="EN273" i="25" s="1"/>
  <c r="FA273" i="25"/>
  <c r="EY273" i="25"/>
  <c r="EJ273" i="25"/>
  <c r="EL273" i="25"/>
  <c r="EK295" i="25"/>
  <c r="EN295" i="25" s="1"/>
  <c r="EY295" i="25"/>
  <c r="FA295" i="25"/>
  <c r="EJ295" i="25"/>
  <c r="EL295" i="25"/>
  <c r="EK261" i="25"/>
  <c r="EN261" i="25" s="1"/>
  <c r="EY261" i="25"/>
  <c r="FA261" i="25"/>
  <c r="EJ261" i="25"/>
  <c r="EL261" i="25"/>
  <c r="EK259" i="25"/>
  <c r="EN259" i="25" s="1"/>
  <c r="EY259" i="25"/>
  <c r="FA259" i="25"/>
  <c r="EJ259" i="25"/>
  <c r="EL259" i="25"/>
  <c r="EK302" i="25"/>
  <c r="EN302" i="25" s="1"/>
  <c r="EY302" i="25"/>
  <c r="FA302" i="25"/>
  <c r="EJ302" i="25"/>
  <c r="EL302" i="25"/>
  <c r="EY265" i="25"/>
  <c r="EJ265" i="25"/>
  <c r="FA265" i="25"/>
  <c r="EK265" i="25"/>
  <c r="EN265" i="25" s="1"/>
  <c r="EL265" i="25"/>
  <c r="EJ280" i="25"/>
  <c r="FA280" i="25"/>
  <c r="EY280" i="25"/>
  <c r="EK280" i="25"/>
  <c r="EN280" i="25" s="1"/>
  <c r="EL280" i="25"/>
  <c r="EK299" i="25"/>
  <c r="EN299" i="25" s="1"/>
  <c r="EY299" i="25"/>
  <c r="FA299" i="25"/>
  <c r="EJ299" i="25"/>
  <c r="EL299" i="25"/>
  <c r="EJ224" i="25"/>
  <c r="EK224" i="25"/>
  <c r="EN224" i="25" s="1"/>
  <c r="EY224" i="25"/>
  <c r="FA224" i="25"/>
  <c r="EL224" i="25"/>
  <c r="EK264" i="25"/>
  <c r="EN264" i="25" s="1"/>
  <c r="EY264" i="25"/>
  <c r="FA264" i="25"/>
  <c r="EJ264" i="25"/>
  <c r="EL264" i="25"/>
  <c r="EJ262" i="25"/>
  <c r="EY262" i="25"/>
  <c r="EK262" i="25"/>
  <c r="EN262" i="25" s="1"/>
  <c r="FA262" i="25"/>
  <c r="EL262" i="25"/>
  <c r="FA253" i="25"/>
  <c r="EJ253" i="25"/>
  <c r="EK253" i="25"/>
  <c r="EN253" i="25" s="1"/>
  <c r="EY253" i="25"/>
  <c r="EL253" i="25"/>
  <c r="EJ279" i="25"/>
  <c r="EK279" i="25"/>
  <c r="EN279" i="25" s="1"/>
  <c r="EY279" i="25"/>
  <c r="FA279" i="25"/>
  <c r="EL279" i="25"/>
  <c r="EJ288" i="25"/>
  <c r="EK288" i="25"/>
  <c r="EN288" i="25" s="1"/>
  <c r="EY288" i="25"/>
  <c r="FA288" i="25"/>
  <c r="EL288" i="25"/>
  <c r="EJ218" i="25"/>
  <c r="EY218" i="25"/>
  <c r="EK218" i="25"/>
  <c r="EN218" i="25" s="1"/>
  <c r="FA218" i="25"/>
  <c r="EL218" i="25"/>
  <c r="EJ236" i="25"/>
  <c r="EY236" i="25"/>
  <c r="EK236" i="25"/>
  <c r="EN236" i="25" s="1"/>
  <c r="FA236" i="25"/>
  <c r="EL236" i="25"/>
  <c r="EJ275" i="25"/>
  <c r="EK275" i="25"/>
  <c r="EN275" i="25" s="1"/>
  <c r="EY275" i="25"/>
  <c r="FA275" i="25"/>
  <c r="EL275" i="25"/>
  <c r="EY268" i="25"/>
  <c r="EJ268" i="25"/>
  <c r="FA268" i="25"/>
  <c r="EK268" i="25"/>
  <c r="EN268" i="25" s="1"/>
  <c r="EL268" i="25"/>
  <c r="EY263" i="25"/>
  <c r="EJ263" i="25"/>
  <c r="FA263" i="25"/>
  <c r="EK263" i="25"/>
  <c r="EN263" i="25" s="1"/>
  <c r="EL263" i="25"/>
  <c r="EY254" i="25"/>
  <c r="EJ254" i="25"/>
  <c r="FA254" i="25"/>
  <c r="EK254" i="25"/>
  <c r="EN254" i="25" s="1"/>
  <c r="EL254" i="25"/>
  <c r="EL112" i="25"/>
  <c r="DT112" i="25"/>
  <c r="EY112" i="25"/>
  <c r="EJ112" i="25"/>
  <c r="DV112" i="25"/>
  <c r="FA112" i="25"/>
  <c r="EK112" i="25"/>
  <c r="EN112" i="25" s="1"/>
  <c r="FA15" i="25"/>
  <c r="EY65" i="25"/>
  <c r="FA91" i="25"/>
  <c r="EY40" i="25"/>
  <c r="EY60" i="25"/>
  <c r="EY70" i="25"/>
  <c r="EY58" i="25"/>
  <c r="EY33" i="25"/>
  <c r="EJ81" i="25"/>
  <c r="EJ25" i="25"/>
  <c r="EY93" i="25"/>
  <c r="FA27" i="25"/>
  <c r="EY51" i="25"/>
  <c r="FA49" i="25"/>
  <c r="EJ86" i="25"/>
  <c r="EJ13" i="25"/>
  <c r="FA98" i="25"/>
  <c r="EJ99" i="25"/>
  <c r="FA59" i="25"/>
  <c r="FA72" i="25"/>
  <c r="EJ34" i="25"/>
  <c r="EJ92" i="25"/>
  <c r="EJ83" i="25"/>
  <c r="EJ87" i="25"/>
  <c r="EY38" i="25"/>
  <c r="EJ48" i="25"/>
  <c r="EY24" i="25"/>
  <c r="EJ78" i="25"/>
  <c r="EJ47" i="25"/>
  <c r="EY42" i="25"/>
  <c r="EJ17" i="25"/>
  <c r="EJ12" i="25"/>
  <c r="EY66" i="25"/>
  <c r="FA43" i="25"/>
  <c r="EY89" i="25"/>
  <c r="FA37" i="25"/>
  <c r="FA29" i="25"/>
  <c r="FA14" i="25"/>
  <c r="FA35" i="25"/>
  <c r="EJ73" i="25"/>
  <c r="EJ88" i="25"/>
  <c r="EJ80" i="25"/>
  <c r="EJ74" i="25"/>
  <c r="EY79" i="25"/>
  <c r="DX76" i="24"/>
  <c r="EE76" i="24" s="1"/>
  <c r="DX16" i="24"/>
  <c r="EE16" i="24" s="1"/>
  <c r="DZ66" i="24"/>
  <c r="DX78" i="24"/>
  <c r="EE78" i="24" s="1"/>
  <c r="DX75" i="24"/>
  <c r="EE75" i="24" s="1"/>
  <c r="DZ84" i="24"/>
  <c r="DZ86" i="24"/>
  <c r="DZ59" i="24"/>
  <c r="DZ22" i="24"/>
  <c r="EL183" i="25"/>
  <c r="DX18" i="24"/>
  <c r="EE18" i="24" s="1"/>
  <c r="DZ85" i="24"/>
  <c r="DX92" i="24"/>
  <c r="EE92" i="24" s="1"/>
  <c r="DX87" i="24"/>
  <c r="EE87" i="24" s="1"/>
  <c r="DX17" i="24"/>
  <c r="EE17" i="24" s="1"/>
  <c r="DZ82" i="24"/>
  <c r="DZ34" i="24"/>
  <c r="DZ51" i="24"/>
  <c r="DX45" i="24"/>
  <c r="EE45" i="24" s="1"/>
  <c r="FA81" i="25"/>
  <c r="EY81" i="25"/>
  <c r="DZ46" i="24"/>
  <c r="EK143" i="25"/>
  <c r="EN143" i="25" s="1"/>
  <c r="EJ72" i="25"/>
  <c r="EJ100" i="25"/>
  <c r="EY103" i="25"/>
  <c r="EY105" i="25"/>
  <c r="DZ38" i="24"/>
  <c r="EK183" i="25"/>
  <c r="EN183" i="25" s="1"/>
  <c r="DZ20" i="24"/>
  <c r="DR74" i="24"/>
  <c r="DR169" i="24"/>
  <c r="DU169" i="24" s="1"/>
  <c r="DZ32" i="24"/>
  <c r="DV183" i="25"/>
  <c r="DX183" i="25" s="1"/>
  <c r="EC183" i="25" s="1"/>
  <c r="EJ14" i="25"/>
  <c r="DX88" i="24"/>
  <c r="EE88" i="24" s="1"/>
  <c r="EY181" i="25"/>
  <c r="EJ168" i="25"/>
  <c r="DZ73" i="24"/>
  <c r="DX21" i="24"/>
  <c r="EE21" i="24" s="1"/>
  <c r="DX101" i="24"/>
  <c r="EE101" i="24" s="1"/>
  <c r="DZ72" i="24"/>
  <c r="FA193" i="25"/>
  <c r="EJ79" i="25"/>
  <c r="DX97" i="24"/>
  <c r="EE97" i="24" s="1"/>
  <c r="DX93" i="24"/>
  <c r="EE93" i="24" s="1"/>
  <c r="DZ90" i="24"/>
  <c r="DX57" i="24"/>
  <c r="EE57" i="24" s="1"/>
  <c r="EJ98" i="25"/>
  <c r="DZ19" i="24"/>
  <c r="DX95" i="24"/>
  <c r="EE95" i="24" s="1"/>
  <c r="DZ12" i="24"/>
  <c r="DX27" i="24"/>
  <c r="EE27" i="24" s="1"/>
  <c r="FA208" i="25"/>
  <c r="EY72" i="25"/>
  <c r="FA119" i="25"/>
  <c r="FA24" i="25"/>
  <c r="EJ24" i="25"/>
  <c r="EJ70" i="25"/>
  <c r="DY5" i="24"/>
  <c r="EF5" i="24" s="1"/>
  <c r="EA5" i="24"/>
  <c r="DR96" i="24"/>
  <c r="DY110" i="24"/>
  <c r="EF110" i="24" s="1"/>
  <c r="EA110" i="24"/>
  <c r="DR190" i="24"/>
  <c r="EY190" i="24" s="1"/>
  <c r="DR39" i="24"/>
  <c r="DR242" i="24"/>
  <c r="DR243" i="24"/>
  <c r="DW216" i="24"/>
  <c r="DU216" i="24"/>
  <c r="DR92" i="24"/>
  <c r="DT182" i="25"/>
  <c r="EY128" i="25"/>
  <c r="EY49" i="25"/>
  <c r="EJ137" i="25"/>
  <c r="DZ28" i="24"/>
  <c r="DZ74" i="24"/>
  <c r="DX105" i="24"/>
  <c r="EE105" i="24" s="1"/>
  <c r="DX7" i="24"/>
  <c r="EE7" i="24" s="1"/>
  <c r="EY98" i="25"/>
  <c r="EY35" i="25"/>
  <c r="EJ43" i="25"/>
  <c r="DZ49" i="24"/>
  <c r="FA70" i="25"/>
  <c r="DT138" i="25"/>
  <c r="DX56" i="24"/>
  <c r="EE56" i="24" s="1"/>
  <c r="EY138" i="25"/>
  <c r="DX11" i="24"/>
  <c r="EE11" i="24" s="1"/>
  <c r="EY78" i="25"/>
  <c r="DZ69" i="24"/>
  <c r="EJ33" i="25"/>
  <c r="EY119" i="25"/>
  <c r="FA173" i="25"/>
  <c r="DX9" i="24"/>
  <c r="EE9" i="24" s="1"/>
  <c r="EY173" i="25"/>
  <c r="EJ187" i="25"/>
  <c r="DO128" i="24"/>
  <c r="DR78" i="24"/>
  <c r="EY210" i="25"/>
  <c r="EJ105" i="25"/>
  <c r="EJ93" i="25"/>
  <c r="EJ121" i="25"/>
  <c r="FA79" i="25"/>
  <c r="EY121" i="25"/>
  <c r="EY48" i="25"/>
  <c r="EK182" i="25"/>
  <c r="EN182" i="25" s="1"/>
  <c r="EY14" i="25"/>
  <c r="FA38" i="25"/>
  <c r="DZ102" i="24"/>
  <c r="EY175" i="25"/>
  <c r="FA175" i="25"/>
  <c r="DX36" i="24"/>
  <c r="EE36" i="24" s="1"/>
  <c r="DZ96" i="24"/>
  <c r="DX64" i="24"/>
  <c r="EE64" i="24" s="1"/>
  <c r="DR90" i="24"/>
  <c r="EY92" i="25"/>
  <c r="FA210" i="25"/>
  <c r="EY86" i="25"/>
  <c r="DV143" i="25"/>
  <c r="DY143" i="25" s="1"/>
  <c r="CH143" i="25" s="1"/>
  <c r="DT73" i="25"/>
  <c r="FA86" i="25"/>
  <c r="EY191" i="25"/>
  <c r="EL73" i="25"/>
  <c r="EJ143" i="25"/>
  <c r="EY83" i="25"/>
  <c r="FA191" i="25"/>
  <c r="EK73" i="25"/>
  <c r="EN73" i="25" s="1"/>
  <c r="EY143" i="25"/>
  <c r="EL143" i="25"/>
  <c r="FA83" i="25"/>
  <c r="DV73" i="25"/>
  <c r="DX73" i="25" s="1"/>
  <c r="EC73" i="25" s="1"/>
  <c r="FA187" i="25"/>
  <c r="FA143" i="25"/>
  <c r="FA42" i="25"/>
  <c r="FA138" i="25"/>
  <c r="FA78" i="25"/>
  <c r="EL138" i="25"/>
  <c r="FA128" i="25"/>
  <c r="EJ199" i="25"/>
  <c r="EJ138" i="25"/>
  <c r="EK138" i="25"/>
  <c r="EN138" i="25" s="1"/>
  <c r="FA199" i="25"/>
  <c r="EY139" i="25"/>
  <c r="FA139" i="25"/>
  <c r="EY193" i="25"/>
  <c r="EJ40" i="25"/>
  <c r="EJ38" i="25"/>
  <c r="EY183" i="25"/>
  <c r="EJ183" i="25"/>
  <c r="FA183" i="25"/>
  <c r="DX182" i="25"/>
  <c r="EC182" i="25" s="1"/>
  <c r="DY182" i="25"/>
  <c r="FA58" i="25"/>
  <c r="FA181" i="25"/>
  <c r="EY182" i="25"/>
  <c r="EY99" i="25"/>
  <c r="EY47" i="25"/>
  <c r="EJ58" i="25"/>
  <c r="FA103" i="25"/>
  <c r="EJ182" i="25"/>
  <c r="FA99" i="25"/>
  <c r="FA47" i="25"/>
  <c r="DT181" i="25"/>
  <c r="FA105" i="25"/>
  <c r="EJ103" i="25"/>
  <c r="FA182" i="25"/>
  <c r="EK181" i="25"/>
  <c r="EN181" i="25" s="1"/>
  <c r="EL182" i="25"/>
  <c r="EY127" i="25"/>
  <c r="EL181" i="25"/>
  <c r="EJ208" i="25"/>
  <c r="DV181" i="25"/>
  <c r="DY181" i="25" s="1"/>
  <c r="EY168" i="25"/>
  <c r="FA171" i="25"/>
  <c r="FA100" i="25"/>
  <c r="FA34" i="25"/>
  <c r="EY25" i="25"/>
  <c r="FA33" i="25"/>
  <c r="FA40" i="25"/>
  <c r="EJ190" i="25"/>
  <c r="FA48" i="25"/>
  <c r="EY12" i="25"/>
  <c r="EJ59" i="25"/>
  <c r="EY100" i="25"/>
  <c r="EY34" i="25"/>
  <c r="FA25" i="25"/>
  <c r="EY59" i="25"/>
  <c r="FA17" i="25"/>
  <c r="EY147" i="25"/>
  <c r="EY17" i="25"/>
  <c r="FA147" i="25"/>
  <c r="EJ27" i="25"/>
  <c r="EY27" i="25"/>
  <c r="EJ15" i="25"/>
  <c r="EY158" i="25"/>
  <c r="EY73" i="25"/>
  <c r="FA73" i="25"/>
  <c r="EY15" i="25"/>
  <c r="EJ127" i="25"/>
  <c r="FA158" i="25"/>
  <c r="DV180" i="25"/>
  <c r="DX180" i="25" s="1"/>
  <c r="EC180" i="25" s="1"/>
  <c r="EK180" i="25"/>
  <c r="EN180" i="25" s="1"/>
  <c r="EL180" i="25"/>
  <c r="DT180" i="25"/>
  <c r="EJ180" i="25"/>
  <c r="FA180" i="25"/>
  <c r="EY180" i="25"/>
  <c r="DV223" i="25"/>
  <c r="DT223" i="25"/>
  <c r="DV141" i="25"/>
  <c r="DX141" i="25" s="1"/>
  <c r="EC141" i="25" s="1"/>
  <c r="EK141" i="25"/>
  <c r="EN141" i="25" s="1"/>
  <c r="EL141" i="25"/>
  <c r="DT141" i="25"/>
  <c r="FA141" i="25"/>
  <c r="EY141" i="25"/>
  <c r="EJ141" i="25"/>
  <c r="DV258" i="25"/>
  <c r="DT258" i="25"/>
  <c r="DV129" i="25"/>
  <c r="DX129" i="25" s="1"/>
  <c r="EC129" i="25" s="1"/>
  <c r="EL129" i="25"/>
  <c r="EK129" i="25"/>
  <c r="EN129" i="25" s="1"/>
  <c r="DT129" i="25"/>
  <c r="FA129" i="25"/>
  <c r="EY129" i="25"/>
  <c r="EJ129" i="25"/>
  <c r="DV164" i="25"/>
  <c r="DX164" i="25" s="1"/>
  <c r="EC164" i="25" s="1"/>
  <c r="EL164" i="25"/>
  <c r="EK164" i="25"/>
  <c r="EN164" i="25" s="1"/>
  <c r="DT164" i="25"/>
  <c r="FA164" i="25"/>
  <c r="EY164" i="25"/>
  <c r="EJ164" i="25"/>
  <c r="DV101" i="25"/>
  <c r="EL101" i="25"/>
  <c r="EK101" i="25"/>
  <c r="EN101" i="25" s="1"/>
  <c r="EJ101" i="25"/>
  <c r="FA101" i="25"/>
  <c r="EY101" i="25"/>
  <c r="EB17" i="25"/>
  <c r="EA17" i="25"/>
  <c r="DV169" i="25"/>
  <c r="DX169" i="25" s="1"/>
  <c r="EC169" i="25" s="1"/>
  <c r="EK169" i="25"/>
  <c r="EN169" i="25" s="1"/>
  <c r="EL169" i="25"/>
  <c r="DT169" i="25"/>
  <c r="EJ169" i="25"/>
  <c r="DV301" i="25"/>
  <c r="DT301" i="25"/>
  <c r="EY169" i="25"/>
  <c r="DV63" i="25"/>
  <c r="EK63" i="25"/>
  <c r="EN63" i="25" s="1"/>
  <c r="EL63" i="25"/>
  <c r="DT63" i="25"/>
  <c r="EY63" i="25"/>
  <c r="EJ63" i="25"/>
  <c r="FA63" i="25"/>
  <c r="DV231" i="25"/>
  <c r="DT231" i="25"/>
  <c r="DV104" i="25"/>
  <c r="EK104" i="25"/>
  <c r="EN104" i="25" s="1"/>
  <c r="EL104" i="25"/>
  <c r="FA104" i="25"/>
  <c r="EJ104" i="25"/>
  <c r="EY104" i="25"/>
  <c r="EB193" i="25"/>
  <c r="EA193" i="25"/>
  <c r="DV136" i="25"/>
  <c r="DX136" i="25" s="1"/>
  <c r="EC136" i="25" s="1"/>
  <c r="EL136" i="25"/>
  <c r="EK136" i="25"/>
  <c r="EN136" i="25" s="1"/>
  <c r="DT136" i="25"/>
  <c r="EY136" i="25"/>
  <c r="EJ136" i="25"/>
  <c r="FA136" i="25"/>
  <c r="FA169" i="25"/>
  <c r="DV44" i="25"/>
  <c r="EL44" i="25"/>
  <c r="EK44" i="25"/>
  <c r="EN44" i="25" s="1"/>
  <c r="DT44" i="25"/>
  <c r="EY44" i="25"/>
  <c r="EJ44" i="25"/>
  <c r="FA44" i="25"/>
  <c r="DV23" i="25"/>
  <c r="DX23" i="25" s="1"/>
  <c r="EC23" i="25" s="1"/>
  <c r="EK23" i="25"/>
  <c r="EN23" i="25" s="1"/>
  <c r="EL23" i="25"/>
  <c r="DT23" i="25"/>
  <c r="EY23" i="25"/>
  <c r="EJ23" i="25"/>
  <c r="FA23" i="25"/>
  <c r="DV97" i="25"/>
  <c r="DX97" i="25" s="1"/>
  <c r="EC97" i="25" s="1"/>
  <c r="EL97" i="25"/>
  <c r="EK97" i="25"/>
  <c r="EN97" i="25" s="1"/>
  <c r="EJ97" i="25"/>
  <c r="FA97" i="25"/>
  <c r="EY97" i="25"/>
  <c r="DV203" i="25"/>
  <c r="DX203" i="25" s="1"/>
  <c r="EC203" i="25" s="1"/>
  <c r="EK203" i="25"/>
  <c r="EN203" i="25" s="1"/>
  <c r="EL203" i="25"/>
  <c r="EJ203" i="25"/>
  <c r="FA203" i="25"/>
  <c r="EY203" i="25"/>
  <c r="DV194" i="25"/>
  <c r="DX194" i="25" s="1"/>
  <c r="EC194" i="25" s="1"/>
  <c r="EK194" i="25"/>
  <c r="EN194" i="25" s="1"/>
  <c r="EL194" i="25"/>
  <c r="FA194" i="25"/>
  <c r="EY194" i="25"/>
  <c r="EJ194" i="25"/>
  <c r="DV93" i="25"/>
  <c r="DX93" i="25" s="1"/>
  <c r="EC93" i="25" s="1"/>
  <c r="EL93" i="25"/>
  <c r="EK93" i="25"/>
  <c r="EN93" i="25" s="1"/>
  <c r="FA93" i="25"/>
  <c r="DV219" i="25"/>
  <c r="DT219" i="25"/>
  <c r="DV77" i="25"/>
  <c r="DX77" i="25" s="1"/>
  <c r="EC77" i="25" s="1"/>
  <c r="EL77" i="25"/>
  <c r="EK77" i="25"/>
  <c r="EN77" i="25" s="1"/>
  <c r="DT77" i="25"/>
  <c r="EB93" i="25"/>
  <c r="EA93" i="25"/>
  <c r="DV307" i="25"/>
  <c r="DT307" i="25"/>
  <c r="EB210" i="25"/>
  <c r="EA210" i="25"/>
  <c r="EB100" i="25"/>
  <c r="EA100" i="25"/>
  <c r="DV297" i="25"/>
  <c r="DT297" i="25"/>
  <c r="DV90" i="25"/>
  <c r="DX90" i="25" s="1"/>
  <c r="EC90" i="25" s="1"/>
  <c r="EK90" i="25"/>
  <c r="EN90" i="25" s="1"/>
  <c r="EL90" i="25"/>
  <c r="DT90" i="25"/>
  <c r="DV269" i="25"/>
  <c r="DT269" i="25"/>
  <c r="EB72" i="25"/>
  <c r="EA72" i="25"/>
  <c r="DV56" i="25"/>
  <c r="DX56" i="25" s="1"/>
  <c r="EC56" i="25" s="1"/>
  <c r="EK56" i="25"/>
  <c r="EN56" i="25" s="1"/>
  <c r="EL56" i="25"/>
  <c r="DT56" i="25"/>
  <c r="DV253" i="25"/>
  <c r="DT253" i="25"/>
  <c r="EB70" i="25"/>
  <c r="EA70" i="25"/>
  <c r="DV146" i="25"/>
  <c r="EK146" i="25"/>
  <c r="EN146" i="25" s="1"/>
  <c r="EL146" i="25"/>
  <c r="DT146" i="25"/>
  <c r="EY146" i="25"/>
  <c r="EJ146" i="25"/>
  <c r="FA146" i="25"/>
  <c r="EB208" i="25"/>
  <c r="EA208" i="25"/>
  <c r="FA87" i="25"/>
  <c r="EB169" i="25"/>
  <c r="EA169" i="25"/>
  <c r="DV160" i="25"/>
  <c r="EK160" i="25"/>
  <c r="EN160" i="25" s="1"/>
  <c r="EL160" i="25"/>
  <c r="DT160" i="25"/>
  <c r="EJ160" i="25"/>
  <c r="FA160" i="25"/>
  <c r="EY160" i="25"/>
  <c r="DV102" i="25"/>
  <c r="EK102" i="25"/>
  <c r="EN102" i="25" s="1"/>
  <c r="EL102" i="25"/>
  <c r="EJ102" i="25"/>
  <c r="FA102" i="25"/>
  <c r="EY102" i="25"/>
  <c r="DV52" i="25"/>
  <c r="EK52" i="25"/>
  <c r="EN52" i="25" s="1"/>
  <c r="EL52" i="25"/>
  <c r="DT52" i="25"/>
  <c r="EY52" i="25"/>
  <c r="EJ52" i="25"/>
  <c r="FA52" i="25"/>
  <c r="DV40" i="25"/>
  <c r="DX40" i="25" s="1"/>
  <c r="EC40" i="25" s="1"/>
  <c r="EK40" i="25"/>
  <c r="EN40" i="25" s="1"/>
  <c r="EL40" i="25"/>
  <c r="DT40" i="25"/>
  <c r="EB79" i="25"/>
  <c r="EA79" i="25"/>
  <c r="DV207" i="25"/>
  <c r="EL207" i="25"/>
  <c r="EK207" i="25"/>
  <c r="EN207" i="25" s="1"/>
  <c r="EY207" i="25"/>
  <c r="EJ207" i="25"/>
  <c r="FA207" i="25"/>
  <c r="FA92" i="25"/>
  <c r="EB119" i="25"/>
  <c r="EA119" i="25"/>
  <c r="EB141" i="25"/>
  <c r="EA141" i="25"/>
  <c r="DV64" i="25"/>
  <c r="DX64" i="25" s="1"/>
  <c r="EC64" i="25" s="1"/>
  <c r="EK64" i="25"/>
  <c r="EN64" i="25" s="1"/>
  <c r="EL64" i="25"/>
  <c r="DT64" i="25"/>
  <c r="DV255" i="25"/>
  <c r="DT255" i="25"/>
  <c r="DV70" i="25"/>
  <c r="DX70" i="25" s="1"/>
  <c r="EC70" i="25" s="1"/>
  <c r="EL70" i="25"/>
  <c r="EK70" i="25"/>
  <c r="EN70" i="25" s="1"/>
  <c r="DT70" i="25"/>
  <c r="DV236" i="25"/>
  <c r="DT236" i="25"/>
  <c r="DV58" i="25"/>
  <c r="DX58" i="25" s="1"/>
  <c r="EC58" i="25" s="1"/>
  <c r="EK58" i="25"/>
  <c r="EN58" i="25" s="1"/>
  <c r="EL58" i="25"/>
  <c r="DT58" i="25"/>
  <c r="EJ178" i="25"/>
  <c r="DV178" i="25"/>
  <c r="DX178" i="25" s="1"/>
  <c r="EC178" i="25" s="1"/>
  <c r="EK178" i="25"/>
  <c r="EN178" i="25" s="1"/>
  <c r="EL178" i="25"/>
  <c r="DT178" i="25"/>
  <c r="FA53" i="25"/>
  <c r="DV53" i="25"/>
  <c r="EK53" i="25"/>
  <c r="EN53" i="25" s="1"/>
  <c r="EL53" i="25"/>
  <c r="DT53" i="25"/>
  <c r="EY53" i="25"/>
  <c r="EJ53" i="25"/>
  <c r="EB66" i="25"/>
  <c r="EA66" i="25"/>
  <c r="DV173" i="25"/>
  <c r="DX173" i="25" s="1"/>
  <c r="EC173" i="25" s="1"/>
  <c r="EK173" i="25"/>
  <c r="EN173" i="25" s="1"/>
  <c r="EL173" i="25"/>
  <c r="DT173" i="25"/>
  <c r="DV298" i="25"/>
  <c r="DT298" i="25"/>
  <c r="DV303" i="25"/>
  <c r="DT303" i="25"/>
  <c r="EB190" i="25"/>
  <c r="EA190" i="25"/>
  <c r="DV96" i="25"/>
  <c r="DX96" i="25" s="1"/>
  <c r="EC96" i="25" s="1"/>
  <c r="EL96" i="25"/>
  <c r="EK96" i="25"/>
  <c r="EN96" i="25" s="1"/>
  <c r="DV295" i="25"/>
  <c r="DT295" i="25"/>
  <c r="DV117" i="25"/>
  <c r="EK117" i="25"/>
  <c r="EN117" i="25" s="1"/>
  <c r="EL117" i="25"/>
  <c r="DT117" i="25"/>
  <c r="EY117" i="25"/>
  <c r="FA117" i="25"/>
  <c r="EJ117" i="25"/>
  <c r="EB139" i="25"/>
  <c r="EA139" i="25"/>
  <c r="DV170" i="25"/>
  <c r="DX170" i="25" s="1"/>
  <c r="EC170" i="25" s="1"/>
  <c r="EL170" i="25"/>
  <c r="EK170" i="25"/>
  <c r="EN170" i="25" s="1"/>
  <c r="DT170" i="25"/>
  <c r="EB38" i="25"/>
  <c r="EA38" i="25"/>
  <c r="DV162" i="25"/>
  <c r="EL162" i="25"/>
  <c r="EK162" i="25"/>
  <c r="EN162" i="25" s="1"/>
  <c r="DT162" i="25"/>
  <c r="EY162" i="25"/>
  <c r="EJ162" i="25"/>
  <c r="FA162" i="25"/>
  <c r="DV61" i="25"/>
  <c r="EL61" i="25"/>
  <c r="EK61" i="25"/>
  <c r="EN61" i="25" s="1"/>
  <c r="DT61" i="25"/>
  <c r="EJ61" i="25"/>
  <c r="FA61" i="25"/>
  <c r="EY61" i="25"/>
  <c r="EB12" i="25"/>
  <c r="EA12" i="25"/>
  <c r="DV199" i="25"/>
  <c r="DX199" i="25" s="1"/>
  <c r="EC199" i="25" s="1"/>
  <c r="EL199" i="25"/>
  <c r="EK199" i="25"/>
  <c r="EN199" i="25" s="1"/>
  <c r="EY170" i="25"/>
  <c r="EY80" i="25"/>
  <c r="FA88" i="25"/>
  <c r="DV95" i="25"/>
  <c r="DX95" i="25" s="1"/>
  <c r="EC95" i="25" s="1"/>
  <c r="EK95" i="25"/>
  <c r="EN95" i="25" s="1"/>
  <c r="EL95" i="25"/>
  <c r="DV202" i="25"/>
  <c r="EL202" i="25"/>
  <c r="EK202" i="25"/>
  <c r="EN202" i="25" s="1"/>
  <c r="EY202" i="25"/>
  <c r="EJ202" i="25"/>
  <c r="FA202" i="25"/>
  <c r="EB45" i="25"/>
  <c r="EA45" i="25"/>
  <c r="DV171" i="25"/>
  <c r="DX171" i="25" s="1"/>
  <c r="EC171" i="25" s="1"/>
  <c r="EL171" i="25"/>
  <c r="EK171" i="25"/>
  <c r="EN171" i="25" s="1"/>
  <c r="DT171" i="25"/>
  <c r="DV316" i="25"/>
  <c r="DT316" i="25"/>
  <c r="EB143" i="25"/>
  <c r="EA143" i="25"/>
  <c r="DV159" i="25"/>
  <c r="EK159" i="25"/>
  <c r="EN159" i="25" s="1"/>
  <c r="EL159" i="25"/>
  <c r="DT159" i="25"/>
  <c r="EJ159" i="25"/>
  <c r="FA159" i="25"/>
  <c r="EY159" i="25"/>
  <c r="DV144" i="25"/>
  <c r="EL144" i="25"/>
  <c r="EK144" i="25"/>
  <c r="EN144" i="25" s="1"/>
  <c r="DT144" i="25"/>
  <c r="EY144" i="25"/>
  <c r="EJ144" i="25"/>
  <c r="FA144" i="25"/>
  <c r="DV242" i="25"/>
  <c r="DT242" i="25"/>
  <c r="EY91" i="25"/>
  <c r="DV81" i="25"/>
  <c r="DX81" i="25" s="1"/>
  <c r="EC81" i="25" s="1"/>
  <c r="EL81" i="25"/>
  <c r="EK81" i="25"/>
  <c r="EN81" i="25" s="1"/>
  <c r="DT81" i="25"/>
  <c r="DV34" i="25"/>
  <c r="DX34" i="25" s="1"/>
  <c r="EC34" i="25" s="1"/>
  <c r="EK34" i="25"/>
  <c r="EN34" i="25" s="1"/>
  <c r="EL34" i="25"/>
  <c r="DT34" i="25"/>
  <c r="EJ200" i="25"/>
  <c r="EY137" i="25"/>
  <c r="DV137" i="25"/>
  <c r="DX137" i="25" s="1"/>
  <c r="EC137" i="25" s="1"/>
  <c r="EK137" i="25"/>
  <c r="EN137" i="25" s="1"/>
  <c r="EL137" i="25"/>
  <c r="DT137" i="25"/>
  <c r="DV8" i="25"/>
  <c r="EK8" i="25"/>
  <c r="EN8" i="25" s="1"/>
  <c r="EL8" i="25"/>
  <c r="DT8" i="25"/>
  <c r="FA8" i="25"/>
  <c r="EY8" i="25"/>
  <c r="EJ8" i="25"/>
  <c r="DV226" i="25"/>
  <c r="DT226" i="25"/>
  <c r="DV74" i="25"/>
  <c r="DX74" i="25" s="1"/>
  <c r="EC74" i="25" s="1"/>
  <c r="EL74" i="25"/>
  <c r="EK74" i="25"/>
  <c r="EN74" i="25" s="1"/>
  <c r="DT74" i="25"/>
  <c r="DV217" i="25"/>
  <c r="DT217" i="25"/>
  <c r="EB83" i="25"/>
  <c r="EA83" i="25"/>
  <c r="DV291" i="25"/>
  <c r="DT291" i="25"/>
  <c r="DV153" i="25"/>
  <c r="EL153" i="25"/>
  <c r="EK153" i="25"/>
  <c r="EN153" i="25" s="1"/>
  <c r="DT153" i="25"/>
  <c r="EJ153" i="25"/>
  <c r="FA153" i="25"/>
  <c r="EY153" i="25"/>
  <c r="DV166" i="25"/>
  <c r="EL166" i="25"/>
  <c r="EK166" i="25"/>
  <c r="EN166" i="25" s="1"/>
  <c r="DT166" i="25"/>
  <c r="EJ166" i="25"/>
  <c r="EY166" i="25"/>
  <c r="FA166" i="25"/>
  <c r="DV22" i="25"/>
  <c r="EL22" i="25"/>
  <c r="EK22" i="25"/>
  <c r="EN22" i="25" s="1"/>
  <c r="DT22" i="25"/>
  <c r="EJ22" i="25"/>
  <c r="FA22" i="25"/>
  <c r="EY22" i="25"/>
  <c r="DV156" i="25"/>
  <c r="DX156" i="25" s="1"/>
  <c r="EC156" i="25" s="1"/>
  <c r="EK156" i="25"/>
  <c r="EN156" i="25" s="1"/>
  <c r="EL156" i="25"/>
  <c r="DT156" i="25"/>
  <c r="DV147" i="25"/>
  <c r="DX147" i="25" s="1"/>
  <c r="EC147" i="25" s="1"/>
  <c r="EL147" i="25"/>
  <c r="EK147" i="25"/>
  <c r="EN147" i="25" s="1"/>
  <c r="DT147" i="25"/>
  <c r="DV290" i="25"/>
  <c r="DT290" i="25"/>
  <c r="DV27" i="25"/>
  <c r="DX27" i="25" s="1"/>
  <c r="EC27" i="25" s="1"/>
  <c r="EL27" i="25"/>
  <c r="EK27" i="25"/>
  <c r="EN27" i="25" s="1"/>
  <c r="DT27" i="25"/>
  <c r="DV279" i="25"/>
  <c r="DT279" i="25"/>
  <c r="EY87" i="25"/>
  <c r="EB25" i="25"/>
  <c r="EA25" i="25"/>
  <c r="EB147" i="25"/>
  <c r="EA147" i="25"/>
  <c r="DV158" i="25"/>
  <c r="DX158" i="25" s="1"/>
  <c r="EC158" i="25" s="1"/>
  <c r="EL158" i="25"/>
  <c r="EK158" i="25"/>
  <c r="EN158" i="25" s="1"/>
  <c r="DT158" i="25"/>
  <c r="DV94" i="25"/>
  <c r="EK94" i="25"/>
  <c r="EN94" i="25" s="1"/>
  <c r="EL94" i="25"/>
  <c r="EJ94" i="25"/>
  <c r="EY94" i="25"/>
  <c r="FA94" i="25"/>
  <c r="EB27" i="25"/>
  <c r="EA27" i="25"/>
  <c r="EB137" i="25"/>
  <c r="EA137" i="25"/>
  <c r="DV37" i="25"/>
  <c r="DX37" i="25" s="1"/>
  <c r="EC37" i="25" s="1"/>
  <c r="EL37" i="25"/>
  <c r="EK37" i="25"/>
  <c r="EN37" i="25" s="1"/>
  <c r="DT37" i="25"/>
  <c r="DV218" i="25"/>
  <c r="DT218" i="25"/>
  <c r="DV115" i="25"/>
  <c r="EL115" i="25"/>
  <c r="EK115" i="25"/>
  <c r="EN115" i="25" s="1"/>
  <c r="DT115" i="25"/>
  <c r="EY115" i="25"/>
  <c r="FA115" i="25"/>
  <c r="EJ115" i="25"/>
  <c r="DV83" i="25"/>
  <c r="DX83" i="25" s="1"/>
  <c r="EC83" i="25" s="1"/>
  <c r="EK83" i="25"/>
  <c r="EN83" i="25" s="1"/>
  <c r="EL83" i="25"/>
  <c r="DT83" i="25"/>
  <c r="EB127" i="25"/>
  <c r="EA127" i="25"/>
  <c r="DV17" i="25"/>
  <c r="DX17" i="25" s="1"/>
  <c r="EC17" i="25" s="1"/>
  <c r="EL17" i="25"/>
  <c r="EK17" i="25"/>
  <c r="EN17" i="25" s="1"/>
  <c r="DT17" i="25"/>
  <c r="DV235" i="25"/>
  <c r="DT235" i="25"/>
  <c r="DV26" i="25"/>
  <c r="EL26" i="25"/>
  <c r="EK26" i="25"/>
  <c r="EN26" i="25" s="1"/>
  <c r="DT26" i="25"/>
  <c r="EJ26" i="25"/>
  <c r="EY26" i="25"/>
  <c r="FA26" i="25"/>
  <c r="DV18" i="25"/>
  <c r="EK18" i="25"/>
  <c r="EN18" i="25" s="1"/>
  <c r="EL18" i="25"/>
  <c r="DT18" i="25"/>
  <c r="EY18" i="25"/>
  <c r="EJ18" i="25"/>
  <c r="FA18" i="25"/>
  <c r="EJ60" i="25"/>
  <c r="FA157" i="25"/>
  <c r="DV111" i="25"/>
  <c r="DX111" i="25" s="1"/>
  <c r="EC111" i="25" s="1"/>
  <c r="EK111" i="25"/>
  <c r="EN111" i="25" s="1"/>
  <c r="EL111" i="25"/>
  <c r="DT111" i="25"/>
  <c r="EB187" i="25"/>
  <c r="EA187" i="25"/>
  <c r="DV287" i="25"/>
  <c r="DT287" i="25"/>
  <c r="DV191" i="25"/>
  <c r="DX191" i="25" s="1"/>
  <c r="EC191" i="25" s="1"/>
  <c r="EL191" i="25"/>
  <c r="EK191" i="25"/>
  <c r="EN191" i="25" s="1"/>
  <c r="DT191" i="25"/>
  <c r="DV245" i="25"/>
  <c r="DT245" i="25"/>
  <c r="EB158" i="25"/>
  <c r="EA158" i="25"/>
  <c r="DV233" i="25"/>
  <c r="DT233" i="25"/>
  <c r="DV57" i="25"/>
  <c r="EL57" i="25"/>
  <c r="EK57" i="25"/>
  <c r="EN57" i="25" s="1"/>
  <c r="DT57" i="25"/>
  <c r="EJ57" i="25"/>
  <c r="EY57" i="25"/>
  <c r="FA57" i="25"/>
  <c r="FA177" i="25"/>
  <c r="FA122" i="25"/>
  <c r="EJ29" i="25"/>
  <c r="DT131" i="25"/>
  <c r="DV131" i="25"/>
  <c r="DX131" i="25" s="1"/>
  <c r="EC131" i="25" s="1"/>
  <c r="EL131" i="25"/>
  <c r="EK131" i="25"/>
  <c r="EN131" i="25" s="1"/>
  <c r="EJ170" i="25"/>
  <c r="EB168" i="25"/>
  <c r="EA168" i="25"/>
  <c r="EY96" i="25"/>
  <c r="EB35" i="25"/>
  <c r="EA35" i="25"/>
  <c r="EY88" i="25"/>
  <c r="DV49" i="25"/>
  <c r="DX49" i="25" s="1"/>
  <c r="EC49" i="25" s="1"/>
  <c r="EK49" i="25"/>
  <c r="EN49" i="25" s="1"/>
  <c r="EL49" i="25"/>
  <c r="DT49" i="25"/>
  <c r="DV220" i="25"/>
  <c r="DT220" i="25"/>
  <c r="DV24" i="25"/>
  <c r="DX24" i="25" s="1"/>
  <c r="EC24" i="25" s="1"/>
  <c r="EK24" i="25"/>
  <c r="EN24" i="25" s="1"/>
  <c r="EL24" i="25"/>
  <c r="DT24" i="25"/>
  <c r="DV168" i="25"/>
  <c r="DX168" i="25" s="1"/>
  <c r="EC168" i="25" s="1"/>
  <c r="EK168" i="25"/>
  <c r="EN168" i="25" s="1"/>
  <c r="EL168" i="25"/>
  <c r="DT168" i="25"/>
  <c r="DV21" i="25"/>
  <c r="EK21" i="25"/>
  <c r="EN21" i="25" s="1"/>
  <c r="EL21" i="25"/>
  <c r="DT21" i="25"/>
  <c r="FA21" i="25"/>
  <c r="EY21" i="25"/>
  <c r="EJ21" i="25"/>
  <c r="FA206" i="25"/>
  <c r="DV206" i="25"/>
  <c r="EK206" i="25"/>
  <c r="EN206" i="25" s="1"/>
  <c r="EL206" i="25"/>
  <c r="EY206" i="25"/>
  <c r="EJ206" i="25"/>
  <c r="DV312" i="25"/>
  <c r="DT312" i="25"/>
  <c r="EJ174" i="25"/>
  <c r="EB200" i="25"/>
  <c r="EA200" i="25"/>
  <c r="DV254" i="25"/>
  <c r="DT254" i="25"/>
  <c r="DV80" i="25"/>
  <c r="DX80" i="25" s="1"/>
  <c r="EC80" i="25" s="1"/>
  <c r="EK80" i="25"/>
  <c r="EN80" i="25" s="1"/>
  <c r="EL80" i="25"/>
  <c r="DT80" i="25"/>
  <c r="EY74" i="25"/>
  <c r="DV135" i="25"/>
  <c r="EL135" i="25"/>
  <c r="EK135" i="25"/>
  <c r="EN135" i="25" s="1"/>
  <c r="DT135" i="25"/>
  <c r="FA135" i="25"/>
  <c r="EJ135" i="25"/>
  <c r="EY135" i="25"/>
  <c r="DV229" i="25"/>
  <c r="DT229" i="25"/>
  <c r="EB34" i="25"/>
  <c r="EA34" i="25"/>
  <c r="DV262" i="25"/>
  <c r="DT262" i="25"/>
  <c r="DV228" i="25"/>
  <c r="DT228" i="25"/>
  <c r="DV165" i="25"/>
  <c r="EK165" i="25"/>
  <c r="EN165" i="25" s="1"/>
  <c r="EL165" i="25"/>
  <c r="DT165" i="25"/>
  <c r="EJ165" i="25"/>
  <c r="EY165" i="25"/>
  <c r="FA165" i="25"/>
  <c r="DV188" i="25"/>
  <c r="EK188" i="25"/>
  <c r="EN188" i="25" s="1"/>
  <c r="EL188" i="25"/>
  <c r="DT188" i="25"/>
  <c r="EY188" i="25"/>
  <c r="EJ188" i="25"/>
  <c r="FA188" i="25"/>
  <c r="DV248" i="25"/>
  <c r="DT248" i="25"/>
  <c r="DV192" i="25"/>
  <c r="EL192" i="25"/>
  <c r="EK192" i="25"/>
  <c r="EN192" i="25" s="1"/>
  <c r="DT192" i="25"/>
  <c r="EJ192" i="25"/>
  <c r="FA192" i="25"/>
  <c r="EY192" i="25"/>
  <c r="EB199" i="25"/>
  <c r="EA199" i="25"/>
  <c r="EB33" i="25"/>
  <c r="EA33" i="25"/>
  <c r="DV118" i="25"/>
  <c r="EL118" i="25"/>
  <c r="EK118" i="25"/>
  <c r="EN118" i="25" s="1"/>
  <c r="DT118" i="25"/>
  <c r="EJ118" i="25"/>
  <c r="EY118" i="25"/>
  <c r="FA118" i="25"/>
  <c r="EB40" i="25"/>
  <c r="EA40" i="25"/>
  <c r="DV47" i="25"/>
  <c r="DX47" i="25" s="1"/>
  <c r="EC47" i="25" s="1"/>
  <c r="EK47" i="25"/>
  <c r="EN47" i="25" s="1"/>
  <c r="EL47" i="25"/>
  <c r="DT47" i="25"/>
  <c r="FA156" i="25"/>
  <c r="FA90" i="25"/>
  <c r="EB92" i="25"/>
  <c r="EA92" i="25"/>
  <c r="EJ42" i="25"/>
  <c r="EB58" i="25"/>
  <c r="EA58" i="25"/>
  <c r="DV185" i="25"/>
  <c r="DX185" i="25" s="1"/>
  <c r="EC185" i="25" s="1"/>
  <c r="EL185" i="25"/>
  <c r="EK185" i="25"/>
  <c r="EN185" i="25" s="1"/>
  <c r="DT185" i="25"/>
  <c r="EB15" i="25"/>
  <c r="EA15" i="25"/>
  <c r="DV124" i="25"/>
  <c r="EL124" i="25"/>
  <c r="EK124" i="25"/>
  <c r="EN124" i="25" s="1"/>
  <c r="DT124" i="25"/>
  <c r="FA124" i="25"/>
  <c r="EY124" i="25"/>
  <c r="EJ124" i="25"/>
  <c r="DV251" i="25"/>
  <c r="DT251" i="25"/>
  <c r="DV30" i="25"/>
  <c r="EK30" i="25"/>
  <c r="EN30" i="25" s="1"/>
  <c r="EL30" i="25"/>
  <c r="DT30" i="25"/>
  <c r="FA30" i="25"/>
  <c r="EY30" i="25"/>
  <c r="EJ30" i="25"/>
  <c r="EB173" i="25"/>
  <c r="EA173" i="25"/>
  <c r="DV204" i="25"/>
  <c r="EL204" i="25"/>
  <c r="EK204" i="25"/>
  <c r="EN204" i="25" s="1"/>
  <c r="EY204" i="25"/>
  <c r="FA204" i="25"/>
  <c r="EJ204" i="25"/>
  <c r="DV31" i="25"/>
  <c r="EL31" i="25"/>
  <c r="EK31" i="25"/>
  <c r="EN31" i="25" s="1"/>
  <c r="DT31" i="25"/>
  <c r="EY31" i="25"/>
  <c r="FA31" i="25"/>
  <c r="EJ31" i="25"/>
  <c r="DV249" i="25"/>
  <c r="DT249" i="25"/>
  <c r="DV313" i="25"/>
  <c r="DT313" i="25"/>
  <c r="EY126" i="25"/>
  <c r="DV33" i="25"/>
  <c r="DX33" i="25" s="1"/>
  <c r="EC33" i="25" s="1"/>
  <c r="EL33" i="25"/>
  <c r="EK33" i="25"/>
  <c r="EN33" i="25" s="1"/>
  <c r="DT33" i="25"/>
  <c r="EB78" i="25"/>
  <c r="EA78" i="25"/>
  <c r="DV304" i="25"/>
  <c r="DT304" i="25"/>
  <c r="EJ64" i="25"/>
  <c r="EY157" i="25"/>
  <c r="DV98" i="25"/>
  <c r="DX98" i="25" s="1"/>
  <c r="EC98" i="25" s="1"/>
  <c r="EK98" i="25"/>
  <c r="EN98" i="25" s="1"/>
  <c r="EL98" i="25"/>
  <c r="EB203" i="25"/>
  <c r="EA203" i="25"/>
  <c r="DV184" i="25"/>
  <c r="EL184" i="25"/>
  <c r="EK184" i="25"/>
  <c r="EN184" i="25" s="1"/>
  <c r="DT184" i="25"/>
  <c r="FA184" i="25"/>
  <c r="EJ184" i="25"/>
  <c r="EY184" i="25"/>
  <c r="EJ111" i="25"/>
  <c r="DV283" i="25"/>
  <c r="DT283" i="25"/>
  <c r="DV234" i="25"/>
  <c r="DT234" i="25"/>
  <c r="DV71" i="25"/>
  <c r="EL71" i="25"/>
  <c r="EK71" i="25"/>
  <c r="EN71" i="25" s="1"/>
  <c r="DT71" i="25"/>
  <c r="EJ71" i="25"/>
  <c r="EY71" i="25"/>
  <c r="FA71" i="25"/>
  <c r="DV278" i="25"/>
  <c r="DT278" i="25"/>
  <c r="EY145" i="25"/>
  <c r="DV311" i="25"/>
  <c r="DT311" i="25"/>
  <c r="DV38" i="25"/>
  <c r="DX38" i="25" s="1"/>
  <c r="EC38" i="25" s="1"/>
  <c r="EL38" i="25"/>
  <c r="EK38" i="25"/>
  <c r="EN38" i="25" s="1"/>
  <c r="DT38" i="25"/>
  <c r="EB175" i="25"/>
  <c r="EA175" i="25"/>
  <c r="EY13" i="25"/>
  <c r="EJ49" i="25"/>
  <c r="EJ65" i="25"/>
  <c r="EJ122" i="25"/>
  <c r="EB164" i="25"/>
  <c r="EA164" i="25"/>
  <c r="EB170" i="25"/>
  <c r="EA170" i="25"/>
  <c r="EB80" i="25"/>
  <c r="EA80" i="25"/>
  <c r="EJ96" i="25"/>
  <c r="DV46" i="25"/>
  <c r="EL46" i="25"/>
  <c r="EK46" i="25"/>
  <c r="EN46" i="25" s="1"/>
  <c r="DT46" i="25"/>
  <c r="FA46" i="25"/>
  <c r="EY46" i="25"/>
  <c r="EJ46" i="25"/>
  <c r="DV123" i="25"/>
  <c r="EK123" i="25"/>
  <c r="EN123" i="25" s="1"/>
  <c r="EL123" i="25"/>
  <c r="DT123" i="25"/>
  <c r="EY123" i="25"/>
  <c r="EJ123" i="25"/>
  <c r="FA123" i="25"/>
  <c r="DV230" i="25"/>
  <c r="DT230" i="25"/>
  <c r="DV86" i="25"/>
  <c r="DX86" i="25" s="1"/>
  <c r="EC86" i="25" s="1"/>
  <c r="EK86" i="25"/>
  <c r="EN86" i="25" s="1"/>
  <c r="EL86" i="25"/>
  <c r="DT86" i="25"/>
  <c r="EB59" i="25"/>
  <c r="EA59" i="25"/>
  <c r="DV59" i="25"/>
  <c r="DX59" i="25" s="1"/>
  <c r="EC59" i="25" s="1"/>
  <c r="EL59" i="25"/>
  <c r="EK59" i="25"/>
  <c r="EN59" i="25" s="1"/>
  <c r="DT59" i="25"/>
  <c r="DV186" i="25"/>
  <c r="EK186" i="25"/>
  <c r="EN186" i="25" s="1"/>
  <c r="EL186" i="25"/>
  <c r="DT186" i="25"/>
  <c r="EY186" i="25"/>
  <c r="EJ186" i="25"/>
  <c r="FA186" i="25"/>
  <c r="DV198" i="25"/>
  <c r="EK198" i="25"/>
  <c r="EN198" i="25" s="1"/>
  <c r="EL198" i="25"/>
  <c r="FA198" i="25"/>
  <c r="EJ198" i="25"/>
  <c r="EY198" i="25"/>
  <c r="DV280" i="25"/>
  <c r="DT280" i="25"/>
  <c r="FA185" i="25"/>
  <c r="EJ69" i="25"/>
  <c r="DV69" i="25"/>
  <c r="EL69" i="25"/>
  <c r="EK69" i="25"/>
  <c r="EN69" i="25" s="1"/>
  <c r="DT69" i="25"/>
  <c r="FA69" i="25"/>
  <c r="EY69" i="25"/>
  <c r="DV72" i="25"/>
  <c r="DX72" i="25" s="1"/>
  <c r="EC72" i="25" s="1"/>
  <c r="EK72" i="25"/>
  <c r="EN72" i="25" s="1"/>
  <c r="EL72" i="25"/>
  <c r="DT72" i="25"/>
  <c r="DV282" i="25"/>
  <c r="DT282" i="25"/>
  <c r="EJ35" i="25"/>
  <c r="DV35" i="25"/>
  <c r="DX35" i="25" s="1"/>
  <c r="EC35" i="25" s="1"/>
  <c r="EK35" i="25"/>
  <c r="EN35" i="25" s="1"/>
  <c r="EL35" i="25"/>
  <c r="DT35" i="25"/>
  <c r="FA89" i="25"/>
  <c r="DV187" i="25"/>
  <c r="DX187" i="25" s="1"/>
  <c r="EC187" i="25" s="1"/>
  <c r="EK187" i="25"/>
  <c r="EN187" i="25" s="1"/>
  <c r="EL187" i="25"/>
  <c r="DT187" i="25"/>
  <c r="DV237" i="25"/>
  <c r="DT237" i="25"/>
  <c r="EB91" i="25"/>
  <c r="EA91" i="25"/>
  <c r="EY178" i="25"/>
  <c r="DV193" i="25"/>
  <c r="DX193" i="25" s="1"/>
  <c r="EC193" i="25" s="1"/>
  <c r="EL193" i="25"/>
  <c r="EK193" i="25"/>
  <c r="EN193" i="25" s="1"/>
  <c r="DT193" i="25"/>
  <c r="EY95" i="25"/>
  <c r="DV257" i="25"/>
  <c r="DT257" i="25"/>
  <c r="EJ131" i="25"/>
  <c r="EY174" i="25"/>
  <c r="DV103" i="25"/>
  <c r="DX103" i="25" s="1"/>
  <c r="EC103" i="25" s="1"/>
  <c r="EL103" i="25"/>
  <c r="EK103" i="25"/>
  <c r="EN103" i="25" s="1"/>
  <c r="DV78" i="25"/>
  <c r="DX78" i="25" s="1"/>
  <c r="EC78" i="25" s="1"/>
  <c r="EL78" i="25"/>
  <c r="EK78" i="25"/>
  <c r="EN78" i="25" s="1"/>
  <c r="DT78" i="25"/>
  <c r="FA74" i="25"/>
  <c r="DV127" i="25"/>
  <c r="DX127" i="25" s="1"/>
  <c r="EC127" i="25" s="1"/>
  <c r="EL127" i="25"/>
  <c r="EK127" i="25"/>
  <c r="EN127" i="25" s="1"/>
  <c r="DT127" i="25"/>
  <c r="FA130" i="25"/>
  <c r="DV130" i="25"/>
  <c r="EL130" i="25"/>
  <c r="EK130" i="25"/>
  <c r="EN130" i="25" s="1"/>
  <c r="DT130" i="25"/>
  <c r="EY130" i="25"/>
  <c r="EJ130" i="25"/>
  <c r="DV267" i="25"/>
  <c r="DT267" i="25"/>
  <c r="EB191" i="25"/>
  <c r="EA191" i="25"/>
  <c r="DV308" i="25"/>
  <c r="DT308" i="25"/>
  <c r="DV292" i="25"/>
  <c r="DT292" i="25"/>
  <c r="DV177" i="25"/>
  <c r="DX177" i="25" s="1"/>
  <c r="EC177" i="25" s="1"/>
  <c r="EK177" i="25"/>
  <c r="EN177" i="25" s="1"/>
  <c r="EL177" i="25"/>
  <c r="DT177" i="25"/>
  <c r="DV100" i="25"/>
  <c r="DX100" i="25" s="1"/>
  <c r="EC100" i="25" s="1"/>
  <c r="EK100" i="25"/>
  <c r="EN100" i="25" s="1"/>
  <c r="EL100" i="25"/>
  <c r="EB87" i="25"/>
  <c r="EA87" i="25"/>
  <c r="DV154" i="25"/>
  <c r="EL154" i="25"/>
  <c r="EK154" i="25"/>
  <c r="EN154" i="25" s="1"/>
  <c r="DT154" i="25"/>
  <c r="EY154" i="25"/>
  <c r="EJ154" i="25"/>
  <c r="FA154" i="25"/>
  <c r="DV82" i="25"/>
  <c r="EL82" i="25"/>
  <c r="EK82" i="25"/>
  <c r="EN82" i="25" s="1"/>
  <c r="DT82" i="25"/>
  <c r="FA82" i="25"/>
  <c r="EY82" i="25"/>
  <c r="EJ82" i="25"/>
  <c r="DV281" i="25"/>
  <c r="DT281" i="25"/>
  <c r="DV288" i="25"/>
  <c r="DT288" i="25"/>
  <c r="EB129" i="25"/>
  <c r="EA129" i="25"/>
  <c r="DV15" i="25"/>
  <c r="DX15" i="25" s="1"/>
  <c r="EC15" i="25" s="1"/>
  <c r="EK15" i="25"/>
  <c r="EN15" i="25" s="1"/>
  <c r="EL15" i="25"/>
  <c r="DT15" i="25"/>
  <c r="EB47" i="25"/>
  <c r="EA47" i="25"/>
  <c r="DV133" i="25"/>
  <c r="EK133" i="25"/>
  <c r="EN133" i="25" s="1"/>
  <c r="EL133" i="25"/>
  <c r="DT133" i="25"/>
  <c r="EJ133" i="25"/>
  <c r="EY133" i="25"/>
  <c r="FA133" i="25"/>
  <c r="DV239" i="25"/>
  <c r="DT239" i="25"/>
  <c r="EJ156" i="25"/>
  <c r="EJ90" i="25"/>
  <c r="DV76" i="25"/>
  <c r="EK76" i="25"/>
  <c r="EN76" i="25" s="1"/>
  <c r="EL76" i="25"/>
  <c r="DT76" i="25"/>
  <c r="FA76" i="25"/>
  <c r="EJ76" i="25"/>
  <c r="EY76" i="25"/>
  <c r="DV284" i="25"/>
  <c r="DT284" i="25"/>
  <c r="DV7" i="25"/>
  <c r="EK7" i="25"/>
  <c r="EN7" i="25" s="1"/>
  <c r="EL7" i="25"/>
  <c r="DT7" i="25"/>
  <c r="EJ7" i="25"/>
  <c r="EY7" i="25"/>
  <c r="FA7" i="25"/>
  <c r="DV197" i="25"/>
  <c r="EL197" i="25"/>
  <c r="EK197" i="25"/>
  <c r="EN197" i="25" s="1"/>
  <c r="FA197" i="25"/>
  <c r="EY197" i="25"/>
  <c r="EJ197" i="25"/>
  <c r="DV196" i="25"/>
  <c r="EL196" i="25"/>
  <c r="EK196" i="25"/>
  <c r="EN196" i="25" s="1"/>
  <c r="EY196" i="25"/>
  <c r="FA196" i="25"/>
  <c r="EJ196" i="25"/>
  <c r="DV88" i="25"/>
  <c r="DX88" i="25" s="1"/>
  <c r="EC88" i="25" s="1"/>
  <c r="EK88" i="25"/>
  <c r="EN88" i="25" s="1"/>
  <c r="EL88" i="25"/>
  <c r="DT88" i="25"/>
  <c r="DV240" i="25"/>
  <c r="DT240" i="25"/>
  <c r="EY43" i="25"/>
  <c r="FA126" i="25"/>
  <c r="DX138" i="25"/>
  <c r="EC138" i="25" s="1"/>
  <c r="FA64" i="25"/>
  <c r="EB60" i="25"/>
  <c r="EA60" i="25"/>
  <c r="DV55" i="25"/>
  <c r="EL55" i="25"/>
  <c r="EK55" i="25"/>
  <c r="EN55" i="25" s="1"/>
  <c r="DT55" i="25"/>
  <c r="EY55" i="25"/>
  <c r="EJ55" i="25"/>
  <c r="FA55" i="25"/>
  <c r="DV275" i="25"/>
  <c r="DT275" i="25"/>
  <c r="DV128" i="25"/>
  <c r="DX128" i="25" s="1"/>
  <c r="EC128" i="25" s="1"/>
  <c r="EL128" i="25"/>
  <c r="EK128" i="25"/>
  <c r="EN128" i="25" s="1"/>
  <c r="DT128" i="25"/>
  <c r="DV309" i="25"/>
  <c r="DT309" i="25"/>
  <c r="FA111" i="25"/>
  <c r="DV14" i="25"/>
  <c r="DX14" i="25" s="1"/>
  <c r="EC14" i="25" s="1"/>
  <c r="EK14" i="25"/>
  <c r="EN14" i="25" s="1"/>
  <c r="EL14" i="25"/>
  <c r="DT14" i="25"/>
  <c r="DV79" i="25"/>
  <c r="DX79" i="25" s="1"/>
  <c r="EC79" i="25" s="1"/>
  <c r="EK79" i="25"/>
  <c r="EN79" i="25" s="1"/>
  <c r="EL79" i="25"/>
  <c r="DT79" i="25"/>
  <c r="EB105" i="25"/>
  <c r="EA105" i="25"/>
  <c r="DV274" i="25"/>
  <c r="DT274" i="25"/>
  <c r="EB48" i="25"/>
  <c r="EA48" i="25"/>
  <c r="DV261" i="25"/>
  <c r="DT261" i="25"/>
  <c r="FA13" i="25"/>
  <c r="EY177" i="25"/>
  <c r="EB49" i="25"/>
  <c r="EA49" i="25"/>
  <c r="FA65" i="25"/>
  <c r="EB29" i="25"/>
  <c r="EA29" i="25"/>
  <c r="FA77" i="25"/>
  <c r="DV314" i="25"/>
  <c r="DT314" i="25"/>
  <c r="DV62" i="25"/>
  <c r="EK62" i="25"/>
  <c r="EN62" i="25" s="1"/>
  <c r="EL62" i="25"/>
  <c r="DT62" i="25"/>
  <c r="FA62" i="25"/>
  <c r="EY62" i="25"/>
  <c r="EJ62" i="25"/>
  <c r="FA96" i="25"/>
  <c r="EB88" i="25"/>
  <c r="EA88" i="25"/>
  <c r="DV48" i="25"/>
  <c r="DX48" i="25" s="1"/>
  <c r="EC48" i="25" s="1"/>
  <c r="EK48" i="25"/>
  <c r="EN48" i="25" s="1"/>
  <c r="EL48" i="25"/>
  <c r="DT48" i="25"/>
  <c r="DV302" i="25"/>
  <c r="DT302" i="25"/>
  <c r="DV16" i="25"/>
  <c r="EL16" i="25"/>
  <c r="EK16" i="25"/>
  <c r="EN16" i="25" s="1"/>
  <c r="DT16" i="25"/>
  <c r="FA16" i="25"/>
  <c r="EY16" i="25"/>
  <c r="EJ16" i="25"/>
  <c r="DV110" i="25"/>
  <c r="EL110" i="25"/>
  <c r="EK110" i="25"/>
  <c r="EN110" i="25" s="1"/>
  <c r="DT110" i="25"/>
  <c r="FA110" i="25"/>
  <c r="EY110" i="25"/>
  <c r="EJ110" i="25"/>
  <c r="EJ171" i="25"/>
  <c r="EJ185" i="25"/>
  <c r="EJ89" i="25"/>
  <c r="EJ51" i="25"/>
  <c r="FA178" i="25"/>
  <c r="EB103" i="25"/>
  <c r="EA103" i="25"/>
  <c r="FA95" i="25"/>
  <c r="EY131" i="25"/>
  <c r="DV241" i="25"/>
  <c r="DT241" i="25"/>
  <c r="DV263" i="25"/>
  <c r="DT263" i="25"/>
  <c r="DV227" i="25"/>
  <c r="DT227" i="25"/>
  <c r="EB74" i="25"/>
  <c r="EA74" i="25"/>
  <c r="DV32" i="25"/>
  <c r="EL32" i="25"/>
  <c r="EK32" i="25"/>
  <c r="EN32" i="25" s="1"/>
  <c r="DT32" i="25"/>
  <c r="EY32" i="25"/>
  <c r="FA32" i="25"/>
  <c r="EJ32" i="25"/>
  <c r="DV289" i="25"/>
  <c r="DT289" i="25"/>
  <c r="EB98" i="25"/>
  <c r="EA98" i="25"/>
  <c r="EB81" i="25"/>
  <c r="EA81" i="25"/>
  <c r="DV306" i="25"/>
  <c r="DT306" i="25"/>
  <c r="DV54" i="25"/>
  <c r="EK54" i="25"/>
  <c r="EN54" i="25" s="1"/>
  <c r="EL54" i="25"/>
  <c r="DT54" i="25"/>
  <c r="EY54" i="25"/>
  <c r="EJ54" i="25"/>
  <c r="FA54" i="25"/>
  <c r="DV145" i="25"/>
  <c r="DX145" i="25" s="1"/>
  <c r="EC145" i="25" s="1"/>
  <c r="EL145" i="25"/>
  <c r="EK145" i="25"/>
  <c r="EN145" i="25" s="1"/>
  <c r="DT145" i="25"/>
  <c r="DV232" i="25"/>
  <c r="DT232" i="25"/>
  <c r="DV270" i="25"/>
  <c r="DT270" i="25"/>
  <c r="DV45" i="25"/>
  <c r="DX45" i="25" s="1"/>
  <c r="EC45" i="25" s="1"/>
  <c r="EL45" i="25"/>
  <c r="EK45" i="25"/>
  <c r="EN45" i="25" s="1"/>
  <c r="DT45" i="25"/>
  <c r="EB86" i="25"/>
  <c r="EA86" i="25"/>
  <c r="EY156" i="25"/>
  <c r="EY90" i="25"/>
  <c r="EB42" i="25"/>
  <c r="EA42" i="25"/>
  <c r="DV42" i="25"/>
  <c r="DX42" i="25" s="1"/>
  <c r="EC42" i="25" s="1"/>
  <c r="EL42" i="25"/>
  <c r="EK42" i="25"/>
  <c r="EN42" i="25" s="1"/>
  <c r="DT42" i="25"/>
  <c r="DV60" i="25"/>
  <c r="DX60" i="25" s="1"/>
  <c r="EC60" i="25" s="1"/>
  <c r="EK60" i="25"/>
  <c r="EN60" i="25" s="1"/>
  <c r="EL60" i="25"/>
  <c r="DT60" i="25"/>
  <c r="DV9" i="25"/>
  <c r="DX9" i="25" s="1"/>
  <c r="EC9" i="25" s="1"/>
  <c r="EK9" i="25"/>
  <c r="EN9" i="25" s="1"/>
  <c r="EL9" i="25"/>
  <c r="DT9" i="25"/>
  <c r="DV149" i="25"/>
  <c r="EL149" i="25"/>
  <c r="EK149" i="25"/>
  <c r="EN149" i="25" s="1"/>
  <c r="DT149" i="25"/>
  <c r="FA149" i="25"/>
  <c r="EY149" i="25"/>
  <c r="EJ149" i="25"/>
  <c r="DV41" i="25"/>
  <c r="EL41" i="25"/>
  <c r="EK41" i="25"/>
  <c r="EN41" i="25" s="1"/>
  <c r="DT41" i="25"/>
  <c r="FA41" i="25"/>
  <c r="EJ41" i="25"/>
  <c r="EY41" i="25"/>
  <c r="EJ37" i="25"/>
  <c r="DV11" i="25"/>
  <c r="EK11" i="25"/>
  <c r="EN11" i="25" s="1"/>
  <c r="EL11" i="25"/>
  <c r="DT11" i="25"/>
  <c r="EY11" i="25"/>
  <c r="FA11" i="25"/>
  <c r="EJ11" i="25"/>
  <c r="EJ179" i="25"/>
  <c r="EY64" i="25"/>
  <c r="FA60" i="25"/>
  <c r="DV276" i="25"/>
  <c r="DT276" i="25"/>
  <c r="DV225" i="25"/>
  <c r="DT225" i="25"/>
  <c r="EB157" i="25"/>
  <c r="EA157" i="25"/>
  <c r="DV68" i="25"/>
  <c r="EK68" i="25"/>
  <c r="EN68" i="25" s="1"/>
  <c r="EL68" i="25"/>
  <c r="DT68" i="25"/>
  <c r="EJ68" i="25"/>
  <c r="FA68" i="25"/>
  <c r="EY68" i="25"/>
  <c r="EY111" i="25"/>
  <c r="DV209" i="25"/>
  <c r="EK209" i="25"/>
  <c r="EN209" i="25" s="1"/>
  <c r="EL209" i="25"/>
  <c r="EJ209" i="25"/>
  <c r="EY209" i="25"/>
  <c r="FA209" i="25"/>
  <c r="DV210" i="25"/>
  <c r="DX210" i="25" s="1"/>
  <c r="EC210" i="25" s="1"/>
  <c r="EK210" i="25"/>
  <c r="EN210" i="25" s="1"/>
  <c r="EL210" i="25"/>
  <c r="FA145" i="25"/>
  <c r="DV99" i="25"/>
  <c r="DX99" i="25" s="1"/>
  <c r="EC99" i="25" s="1"/>
  <c r="EL99" i="25"/>
  <c r="EK99" i="25"/>
  <c r="EN99" i="25" s="1"/>
  <c r="EB13" i="25"/>
  <c r="EA13" i="25"/>
  <c r="EB177" i="25"/>
  <c r="EA177" i="25"/>
  <c r="EB122" i="25"/>
  <c r="EA122" i="25"/>
  <c r="DV10" i="25"/>
  <c r="EK10" i="25"/>
  <c r="EN10" i="25" s="1"/>
  <c r="EL10" i="25"/>
  <c r="DT10" i="25"/>
  <c r="FA10" i="25"/>
  <c r="EY10" i="25"/>
  <c r="EJ10" i="25"/>
  <c r="EJ77" i="25"/>
  <c r="DV246" i="25"/>
  <c r="DT246" i="25"/>
  <c r="EB96" i="25"/>
  <c r="EA96" i="25"/>
  <c r="DV175" i="25"/>
  <c r="DX175" i="25" s="1"/>
  <c r="EC175" i="25" s="1"/>
  <c r="EK175" i="25"/>
  <c r="EN175" i="25" s="1"/>
  <c r="EL175" i="25"/>
  <c r="DT175" i="25"/>
  <c r="DV189" i="25"/>
  <c r="DX189" i="25" s="1"/>
  <c r="EC189" i="25" s="1"/>
  <c r="EK189" i="25"/>
  <c r="EN189" i="25" s="1"/>
  <c r="EL189" i="25"/>
  <c r="DT189" i="25"/>
  <c r="DV265" i="25"/>
  <c r="DT265" i="25"/>
  <c r="EY189" i="25"/>
  <c r="EY185" i="25"/>
  <c r="FA56" i="25"/>
  <c r="FA9" i="25"/>
  <c r="DV148" i="25"/>
  <c r="EL148" i="25"/>
  <c r="EK148" i="25"/>
  <c r="EN148" i="25" s="1"/>
  <c r="DT148" i="25"/>
  <c r="FA148" i="25"/>
  <c r="EY148" i="25"/>
  <c r="EJ148" i="25"/>
  <c r="DV315" i="25"/>
  <c r="DT315" i="25"/>
  <c r="EB178" i="25"/>
  <c r="EA178" i="25"/>
  <c r="DV119" i="25"/>
  <c r="DX119" i="25" s="1"/>
  <c r="EC119" i="25" s="1"/>
  <c r="EL119" i="25"/>
  <c r="EK119" i="25"/>
  <c r="EN119" i="25" s="1"/>
  <c r="DT119" i="25"/>
  <c r="EJ95" i="25"/>
  <c r="DV121" i="25"/>
  <c r="DX121" i="25" s="1"/>
  <c r="EC121" i="25" s="1"/>
  <c r="EL121" i="25"/>
  <c r="EK121" i="25"/>
  <c r="EN121" i="25" s="1"/>
  <c r="DT121" i="25"/>
  <c r="FA131" i="25"/>
  <c r="EB174" i="25"/>
  <c r="EA174" i="25"/>
  <c r="DV296" i="25"/>
  <c r="DT296" i="25"/>
  <c r="DV114" i="25"/>
  <c r="EK114" i="25"/>
  <c r="EN114" i="25" s="1"/>
  <c r="EL114" i="25"/>
  <c r="DT114" i="25"/>
  <c r="FA114" i="25"/>
  <c r="EY114" i="25"/>
  <c r="EJ114" i="25"/>
  <c r="EY132" i="25"/>
  <c r="DV132" i="25"/>
  <c r="EL132" i="25"/>
  <c r="EK132" i="25"/>
  <c r="EN132" i="25" s="1"/>
  <c r="DT132" i="25"/>
  <c r="EJ132" i="25"/>
  <c r="FA132" i="25"/>
  <c r="DV264" i="25"/>
  <c r="DT264" i="25"/>
  <c r="DV89" i="25"/>
  <c r="DX89" i="25" s="1"/>
  <c r="EC89" i="25" s="1"/>
  <c r="EL89" i="25"/>
  <c r="EK89" i="25"/>
  <c r="EN89" i="25" s="1"/>
  <c r="DT89" i="25"/>
  <c r="DV25" i="25"/>
  <c r="DX25" i="25" s="1"/>
  <c r="EC25" i="25" s="1"/>
  <c r="EK25" i="25"/>
  <c r="EN25" i="25" s="1"/>
  <c r="EL25" i="25"/>
  <c r="DT25" i="25"/>
  <c r="EB136" i="25"/>
  <c r="EA136" i="25"/>
  <c r="DV161" i="25"/>
  <c r="EK161" i="25"/>
  <c r="EN161" i="25" s="1"/>
  <c r="EL161" i="25"/>
  <c r="DT161" i="25"/>
  <c r="EJ161" i="25"/>
  <c r="FA161" i="25"/>
  <c r="EY161" i="25"/>
  <c r="EB99" i="25"/>
  <c r="EA99" i="25"/>
  <c r="DV277" i="25"/>
  <c r="DT277" i="25"/>
  <c r="DV65" i="25"/>
  <c r="DX65" i="25" s="1"/>
  <c r="EC65" i="25" s="1"/>
  <c r="EK65" i="25"/>
  <c r="EN65" i="25" s="1"/>
  <c r="EL65" i="25"/>
  <c r="DT65" i="25"/>
  <c r="DV91" i="25"/>
  <c r="DX91" i="25" s="1"/>
  <c r="EC91" i="25" s="1"/>
  <c r="EK91" i="25"/>
  <c r="EN91" i="25" s="1"/>
  <c r="EL91" i="25"/>
  <c r="DV172" i="25"/>
  <c r="EL172" i="25"/>
  <c r="EK172" i="25"/>
  <c r="EN172" i="25" s="1"/>
  <c r="DT172" i="25"/>
  <c r="EJ172" i="25"/>
  <c r="FA172" i="25"/>
  <c r="EY172" i="25"/>
  <c r="DV260" i="25"/>
  <c r="DT260" i="25"/>
  <c r="DV125" i="25"/>
  <c r="EL125" i="25"/>
  <c r="EK125" i="25"/>
  <c r="EN125" i="25" s="1"/>
  <c r="DT125" i="25"/>
  <c r="FA125" i="25"/>
  <c r="EY125" i="25"/>
  <c r="EJ125" i="25"/>
  <c r="EB156" i="25"/>
  <c r="EA156" i="25"/>
  <c r="EB90" i="25"/>
  <c r="EA90" i="25"/>
  <c r="DV190" i="25"/>
  <c r="DX190" i="25" s="1"/>
  <c r="EC190" i="25" s="1"/>
  <c r="EL190" i="25"/>
  <c r="EK190" i="25"/>
  <c r="EN190" i="25" s="1"/>
  <c r="DT190" i="25"/>
  <c r="DV238" i="25"/>
  <c r="DT238" i="25"/>
  <c r="DV176" i="25"/>
  <c r="EK176" i="25"/>
  <c r="EN176" i="25" s="1"/>
  <c r="EL176" i="25"/>
  <c r="DT176" i="25"/>
  <c r="EY176" i="25"/>
  <c r="EJ176" i="25"/>
  <c r="FA176" i="25"/>
  <c r="DV155" i="25"/>
  <c r="EK155" i="25"/>
  <c r="EN155" i="25" s="1"/>
  <c r="EL155" i="25"/>
  <c r="DT155" i="25"/>
  <c r="FA155" i="25"/>
  <c r="EY155" i="25"/>
  <c r="EJ155" i="25"/>
  <c r="DV12" i="25"/>
  <c r="DX12" i="25" s="1"/>
  <c r="EC12" i="25" s="1"/>
  <c r="EL12" i="25"/>
  <c r="EK12" i="25"/>
  <c r="EN12" i="25" s="1"/>
  <c r="DT12" i="25"/>
  <c r="EY37" i="25"/>
  <c r="EB194" i="25"/>
  <c r="EA194" i="25"/>
  <c r="EB181" i="25"/>
  <c r="EA181" i="25"/>
  <c r="EB126" i="25"/>
  <c r="EA126" i="25"/>
  <c r="DV252" i="25"/>
  <c r="DT252" i="25"/>
  <c r="EB64" i="25"/>
  <c r="EA64" i="25"/>
  <c r="FA142" i="25"/>
  <c r="DV142" i="25"/>
  <c r="EK142" i="25"/>
  <c r="EN142" i="25" s="1"/>
  <c r="EL142" i="25"/>
  <c r="DT142" i="25"/>
  <c r="EJ142" i="25"/>
  <c r="EY142" i="25"/>
  <c r="DV36" i="25"/>
  <c r="EK36" i="25"/>
  <c r="EN36" i="25" s="1"/>
  <c r="EL36" i="25"/>
  <c r="DT36" i="25"/>
  <c r="EY36" i="25"/>
  <c r="EJ36" i="25"/>
  <c r="FA36" i="25"/>
  <c r="DV51" i="25"/>
  <c r="DX51" i="25" s="1"/>
  <c r="EC51" i="25" s="1"/>
  <c r="EL51" i="25"/>
  <c r="EK51" i="25"/>
  <c r="EN51" i="25" s="1"/>
  <c r="DT51" i="25"/>
  <c r="EB111" i="25"/>
  <c r="EA111" i="25"/>
  <c r="DV39" i="25"/>
  <c r="EK39" i="25"/>
  <c r="EN39" i="25" s="1"/>
  <c r="EL39" i="25"/>
  <c r="DT39" i="25"/>
  <c r="FA39" i="25"/>
  <c r="EY39" i="25"/>
  <c r="EJ39" i="25"/>
  <c r="EY190" i="25"/>
  <c r="DV273" i="25"/>
  <c r="DT273" i="25"/>
  <c r="EB145" i="25"/>
  <c r="EA145" i="25"/>
  <c r="FA12" i="25"/>
  <c r="EB65" i="25"/>
  <c r="EA65" i="25"/>
  <c r="EY77" i="25"/>
  <c r="DV221" i="25"/>
  <c r="DT221" i="25"/>
  <c r="DV105" i="25"/>
  <c r="DX105" i="25" s="1"/>
  <c r="EC105" i="25" s="1"/>
  <c r="EK105" i="25"/>
  <c r="EN105" i="25" s="1"/>
  <c r="EL105" i="25"/>
  <c r="DV163" i="25"/>
  <c r="EL163" i="25"/>
  <c r="EK163" i="25"/>
  <c r="EN163" i="25" s="1"/>
  <c r="DT163" i="25"/>
  <c r="FA163" i="25"/>
  <c r="EY163" i="25"/>
  <c r="EJ163" i="25"/>
  <c r="DV20" i="25"/>
  <c r="EL20" i="25"/>
  <c r="EK20" i="25"/>
  <c r="EN20" i="25" s="1"/>
  <c r="DT20" i="25"/>
  <c r="EY20" i="25"/>
  <c r="EJ20" i="25"/>
  <c r="FA20" i="25"/>
  <c r="EJ189" i="25"/>
  <c r="DV174" i="25"/>
  <c r="DX174" i="25" s="1"/>
  <c r="EC174" i="25" s="1"/>
  <c r="EL174" i="25"/>
  <c r="EK174" i="25"/>
  <c r="EN174" i="25" s="1"/>
  <c r="DT174" i="25"/>
  <c r="EB185" i="25"/>
  <c r="EA185" i="25"/>
  <c r="EJ45" i="25"/>
  <c r="EJ56" i="25"/>
  <c r="EJ9" i="25"/>
  <c r="DV286" i="25"/>
  <c r="DT286" i="25"/>
  <c r="DV85" i="25"/>
  <c r="EK85" i="25"/>
  <c r="EN85" i="25" s="1"/>
  <c r="EL85" i="25"/>
  <c r="DT85" i="25"/>
  <c r="EJ85" i="25"/>
  <c r="FA85" i="25"/>
  <c r="EY85" i="25"/>
  <c r="EB89" i="25"/>
  <c r="EA89" i="25"/>
  <c r="FA51" i="25"/>
  <c r="DV244" i="25"/>
  <c r="DT244" i="25"/>
  <c r="EB95" i="25"/>
  <c r="EA95" i="25"/>
  <c r="EB180" i="25"/>
  <c r="EA180" i="25"/>
  <c r="EB131" i="25"/>
  <c r="EA131" i="25"/>
  <c r="DV310" i="25"/>
  <c r="DT310" i="25"/>
  <c r="DV305" i="25"/>
  <c r="DT305" i="25"/>
  <c r="DV92" i="25"/>
  <c r="DX92" i="25" s="1"/>
  <c r="EC92" i="25" s="1"/>
  <c r="EK92" i="25"/>
  <c r="EN92" i="25" s="1"/>
  <c r="EL92" i="25"/>
  <c r="EB24" i="25"/>
  <c r="EA24" i="25"/>
  <c r="DV222" i="25"/>
  <c r="DT222" i="25"/>
  <c r="DV6" i="25"/>
  <c r="EK6" i="25"/>
  <c r="EN6" i="25" s="1"/>
  <c r="EL6" i="25"/>
  <c r="DT6" i="25"/>
  <c r="EY6" i="25"/>
  <c r="EJ6" i="25"/>
  <c r="FA6" i="25"/>
  <c r="DV179" i="25"/>
  <c r="DX179" i="25" s="1"/>
  <c r="EC179" i="25" s="1"/>
  <c r="EK179" i="25"/>
  <c r="EN179" i="25" s="1"/>
  <c r="EL179" i="25"/>
  <c r="DT179" i="25"/>
  <c r="EB14" i="25"/>
  <c r="EA14" i="25"/>
  <c r="EB43" i="25"/>
  <c r="EA43" i="25"/>
  <c r="DV293" i="25"/>
  <c r="DT293" i="25"/>
  <c r="FA179" i="25"/>
  <c r="DV66" i="25"/>
  <c r="DX66" i="25" s="1"/>
  <c r="EC66" i="25" s="1"/>
  <c r="EL66" i="25"/>
  <c r="EK66" i="25"/>
  <c r="EN66" i="25" s="1"/>
  <c r="DT66" i="25"/>
  <c r="DV19" i="25"/>
  <c r="EK19" i="25"/>
  <c r="EN19" i="25" s="1"/>
  <c r="EL19" i="25"/>
  <c r="DT19" i="25"/>
  <c r="EJ19" i="25"/>
  <c r="FA19" i="25"/>
  <c r="EY19" i="25"/>
  <c r="FA66" i="25"/>
  <c r="EB128" i="25"/>
  <c r="EA128" i="25"/>
  <c r="DV87" i="25"/>
  <c r="DX87" i="25" s="1"/>
  <c r="EC87" i="25" s="1"/>
  <c r="EL87" i="25"/>
  <c r="EK87" i="25"/>
  <c r="EN87" i="25" s="1"/>
  <c r="DT87" i="25"/>
  <c r="DV84" i="25"/>
  <c r="EK84" i="25"/>
  <c r="EN84" i="25" s="1"/>
  <c r="EL84" i="25"/>
  <c r="DT84" i="25"/>
  <c r="FA84" i="25"/>
  <c r="EJ84" i="25"/>
  <c r="EY84" i="25"/>
  <c r="DV256" i="25"/>
  <c r="DT256" i="25"/>
  <c r="DV271" i="25"/>
  <c r="DT271" i="25"/>
  <c r="EB121" i="25"/>
  <c r="EA121" i="25"/>
  <c r="DV120" i="25"/>
  <c r="EL120" i="25"/>
  <c r="EK120" i="25"/>
  <c r="EN120" i="25" s="1"/>
  <c r="DT120" i="25"/>
  <c r="EY120" i="25"/>
  <c r="FA120" i="25"/>
  <c r="EJ120" i="25"/>
  <c r="DV201" i="25"/>
  <c r="EL201" i="25"/>
  <c r="EK201" i="25"/>
  <c r="EN201" i="25" s="1"/>
  <c r="EY201" i="25"/>
  <c r="EJ201" i="25"/>
  <c r="FA201" i="25"/>
  <c r="DV243" i="25"/>
  <c r="DT243" i="25"/>
  <c r="EB77" i="25"/>
  <c r="EA77" i="25"/>
  <c r="DV150" i="25"/>
  <c r="EK150" i="25"/>
  <c r="EN150" i="25" s="1"/>
  <c r="EL150" i="25"/>
  <c r="DT150" i="25"/>
  <c r="FA150" i="25"/>
  <c r="EY150" i="25"/>
  <c r="EJ150" i="25"/>
  <c r="DV259" i="25"/>
  <c r="DT259" i="25"/>
  <c r="DV157" i="25"/>
  <c r="DX157" i="25" s="1"/>
  <c r="EC157" i="25" s="1"/>
  <c r="EK157" i="25"/>
  <c r="EN157" i="25" s="1"/>
  <c r="EL157" i="25"/>
  <c r="DT157" i="25"/>
  <c r="DV126" i="25"/>
  <c r="DX126" i="25" s="1"/>
  <c r="EC126" i="25" s="1"/>
  <c r="EK126" i="25"/>
  <c r="EN126" i="25" s="1"/>
  <c r="EL126" i="25"/>
  <c r="DT126" i="25"/>
  <c r="EJ113" i="25"/>
  <c r="DV113" i="25"/>
  <c r="EK113" i="25"/>
  <c r="EN113" i="25" s="1"/>
  <c r="EL113" i="25"/>
  <c r="DT113" i="25"/>
  <c r="FA113" i="25"/>
  <c r="EY113" i="25"/>
  <c r="EB171" i="25"/>
  <c r="EA171" i="25"/>
  <c r="DV139" i="25"/>
  <c r="DX139" i="25" s="1"/>
  <c r="EC139" i="25" s="1"/>
  <c r="EL139" i="25"/>
  <c r="EK139" i="25"/>
  <c r="EN139" i="25" s="1"/>
  <c r="DT139" i="25"/>
  <c r="FA45" i="25"/>
  <c r="EY56" i="25"/>
  <c r="EY9" i="25"/>
  <c r="DV13" i="25"/>
  <c r="DX13" i="25" s="1"/>
  <c r="EC13" i="25" s="1"/>
  <c r="EK13" i="25"/>
  <c r="EN13" i="25" s="1"/>
  <c r="EL13" i="25"/>
  <c r="DT13" i="25"/>
  <c r="EB51" i="25"/>
  <c r="EA51" i="25"/>
  <c r="DV299" i="25"/>
  <c r="DT299" i="25"/>
  <c r="DV224" i="25"/>
  <c r="DT224" i="25"/>
  <c r="DV43" i="25"/>
  <c r="DX43" i="25" s="1"/>
  <c r="EC43" i="25" s="1"/>
  <c r="EK43" i="25"/>
  <c r="EN43" i="25" s="1"/>
  <c r="EL43" i="25"/>
  <c r="DT43" i="25"/>
  <c r="DV266" i="25"/>
  <c r="DT266" i="25"/>
  <c r="EB97" i="25"/>
  <c r="EA97" i="25"/>
  <c r="DV28" i="25"/>
  <c r="EL28" i="25"/>
  <c r="EK28" i="25"/>
  <c r="EN28" i="25" s="1"/>
  <c r="DT28" i="25"/>
  <c r="EY28" i="25"/>
  <c r="EJ28" i="25"/>
  <c r="FA28" i="25"/>
  <c r="DV208" i="25"/>
  <c r="DX208" i="25" s="1"/>
  <c r="EC208" i="25" s="1"/>
  <c r="EL208" i="25"/>
  <c r="EK208" i="25"/>
  <c r="EN208" i="25" s="1"/>
  <c r="DV167" i="25"/>
  <c r="EK167" i="25"/>
  <c r="EN167" i="25" s="1"/>
  <c r="EL167" i="25"/>
  <c r="DT167" i="25"/>
  <c r="FA167" i="25"/>
  <c r="EY167" i="25"/>
  <c r="EJ167" i="25"/>
  <c r="DV205" i="25"/>
  <c r="EL205" i="25"/>
  <c r="EK205" i="25"/>
  <c r="EN205" i="25" s="1"/>
  <c r="EJ205" i="25"/>
  <c r="FA205" i="25"/>
  <c r="EY205" i="25"/>
  <c r="DV294" i="25"/>
  <c r="DT294" i="25"/>
  <c r="DY138" i="25"/>
  <c r="EB138" i="25"/>
  <c r="EA138" i="25"/>
  <c r="DV50" i="25"/>
  <c r="EL50" i="25"/>
  <c r="EK50" i="25"/>
  <c r="EN50" i="25" s="1"/>
  <c r="DT50" i="25"/>
  <c r="EJ50" i="25"/>
  <c r="FA50" i="25"/>
  <c r="EY50" i="25"/>
  <c r="DV122" i="25"/>
  <c r="DX122" i="25" s="1"/>
  <c r="EC122" i="25" s="1"/>
  <c r="EL122" i="25"/>
  <c r="EK122" i="25"/>
  <c r="EN122" i="25" s="1"/>
  <c r="DT122" i="25"/>
  <c r="DV134" i="25"/>
  <c r="EL134" i="25"/>
  <c r="EK134" i="25"/>
  <c r="EN134" i="25" s="1"/>
  <c r="DT134" i="25"/>
  <c r="FA134" i="25"/>
  <c r="EY134" i="25"/>
  <c r="EJ134" i="25"/>
  <c r="EB37" i="25"/>
  <c r="EA37" i="25"/>
  <c r="DV250" i="25"/>
  <c r="DT250" i="25"/>
  <c r="EY29" i="25"/>
  <c r="DV29" i="25"/>
  <c r="DX29" i="25" s="1"/>
  <c r="EC29" i="25" s="1"/>
  <c r="EK29" i="25"/>
  <c r="EN29" i="25" s="1"/>
  <c r="EL29" i="25"/>
  <c r="DT29" i="25"/>
  <c r="EB179" i="25"/>
  <c r="EA179" i="25"/>
  <c r="EJ66" i="25"/>
  <c r="DV300" i="25"/>
  <c r="DT300" i="25"/>
  <c r="DV67" i="25"/>
  <c r="EK67" i="25"/>
  <c r="EN67" i="25" s="1"/>
  <c r="EL67" i="25"/>
  <c r="DT67" i="25"/>
  <c r="FA67" i="25"/>
  <c r="EY67" i="25"/>
  <c r="EJ67" i="25"/>
  <c r="DV195" i="25"/>
  <c r="EK195" i="25"/>
  <c r="EN195" i="25" s="1"/>
  <c r="EL195" i="25"/>
  <c r="EY195" i="25"/>
  <c r="FA195" i="25"/>
  <c r="EJ195" i="25"/>
  <c r="DV200" i="25"/>
  <c r="DX200" i="25" s="1"/>
  <c r="EC200" i="25" s="1"/>
  <c r="EK200" i="25"/>
  <c r="EN200" i="25" s="1"/>
  <c r="EL200" i="25"/>
  <c r="EB23" i="25"/>
  <c r="EA23" i="25"/>
  <c r="DV285" i="25"/>
  <c r="DT285" i="25"/>
  <c r="DV152" i="25"/>
  <c r="EL152" i="25"/>
  <c r="EK152" i="25"/>
  <c r="EN152" i="25" s="1"/>
  <c r="DT152" i="25"/>
  <c r="EJ152" i="25"/>
  <c r="FA152" i="25"/>
  <c r="EY152" i="25"/>
  <c r="FA80" i="25"/>
  <c r="DV247" i="25"/>
  <c r="DT247" i="25"/>
  <c r="DV140" i="25"/>
  <c r="EK140" i="25"/>
  <c r="EN140" i="25" s="1"/>
  <c r="EL140" i="25"/>
  <c r="DT140" i="25"/>
  <c r="EJ140" i="25"/>
  <c r="EY140" i="25"/>
  <c r="FA140" i="25"/>
  <c r="EB189" i="25"/>
  <c r="EA189" i="25"/>
  <c r="DV268" i="25"/>
  <c r="DT268" i="25"/>
  <c r="EY45" i="25"/>
  <c r="EB56" i="25"/>
  <c r="EA56" i="25"/>
  <c r="DV116" i="25"/>
  <c r="EL116" i="25"/>
  <c r="EK116" i="25"/>
  <c r="EN116" i="25" s="1"/>
  <c r="DT116" i="25"/>
  <c r="EY116" i="25"/>
  <c r="EJ116" i="25"/>
  <c r="FA116" i="25"/>
  <c r="EB9" i="25"/>
  <c r="EA9" i="25"/>
  <c r="DV151" i="25"/>
  <c r="EL151" i="25"/>
  <c r="EK151" i="25"/>
  <c r="EN151" i="25" s="1"/>
  <c r="DT151" i="25"/>
  <c r="EJ151" i="25"/>
  <c r="FA151" i="25"/>
  <c r="EY151" i="25"/>
  <c r="EJ91" i="25"/>
  <c r="DV75" i="25"/>
  <c r="EK75" i="25"/>
  <c r="EN75" i="25" s="1"/>
  <c r="EL75" i="25"/>
  <c r="DT75" i="25"/>
  <c r="EJ75" i="25"/>
  <c r="EY75" i="25"/>
  <c r="FA75" i="25"/>
  <c r="DV272" i="25"/>
  <c r="DT272" i="25"/>
  <c r="EY200" i="25"/>
  <c r="DZ15" i="24"/>
  <c r="DZ58" i="24"/>
  <c r="DX31" i="24"/>
  <c r="EE31" i="24" s="1"/>
  <c r="DR285" i="24"/>
  <c r="EB285" i="24" s="1"/>
  <c r="DO169" i="24"/>
  <c r="DO88" i="24"/>
  <c r="DO295" i="24"/>
  <c r="DR295" i="24"/>
  <c r="DO204" i="24"/>
  <c r="DR204" i="24"/>
  <c r="DU204" i="24" s="1"/>
  <c r="DO115" i="24"/>
  <c r="DR115" i="24"/>
  <c r="DU115" i="24" s="1"/>
  <c r="DO141" i="24"/>
  <c r="DR141" i="24"/>
  <c r="DU141" i="24" s="1"/>
  <c r="DR100" i="24"/>
  <c r="DO100" i="24"/>
  <c r="DO145" i="24"/>
  <c r="DR145" i="24"/>
  <c r="DU145" i="24" s="1"/>
  <c r="EE188" i="24"/>
  <c r="DO257" i="24"/>
  <c r="DR257" i="24"/>
  <c r="DO39" i="24"/>
  <c r="DR288" i="24"/>
  <c r="FA288" i="24" s="1"/>
  <c r="DO288" i="24"/>
  <c r="DR44" i="24"/>
  <c r="DO44" i="24"/>
  <c r="DO275" i="24"/>
  <c r="DR275" i="24"/>
  <c r="DR56" i="24"/>
  <c r="DO56" i="24"/>
  <c r="EE205" i="24"/>
  <c r="DO126" i="24"/>
  <c r="DR126" i="24"/>
  <c r="DU126" i="24" s="1"/>
  <c r="DO28" i="24"/>
  <c r="DR28" i="24"/>
  <c r="EE163" i="24"/>
  <c r="DZ39" i="24"/>
  <c r="DX39" i="24"/>
  <c r="EE130" i="24"/>
  <c r="EE131" i="24"/>
  <c r="DR70" i="24"/>
  <c r="DO70" i="24"/>
  <c r="EE119" i="24"/>
  <c r="EE189" i="24"/>
  <c r="DO244" i="24"/>
  <c r="DR244" i="24"/>
  <c r="DO35" i="24"/>
  <c r="DR35" i="24"/>
  <c r="DR112" i="24"/>
  <c r="DU112" i="24" s="1"/>
  <c r="DO112" i="24"/>
  <c r="DO313" i="24"/>
  <c r="DR313" i="24"/>
  <c r="EE69" i="24"/>
  <c r="DR6" i="24"/>
  <c r="DO6" i="24"/>
  <c r="DO173" i="24"/>
  <c r="DR173" i="24"/>
  <c r="DU173" i="24" s="1"/>
  <c r="DX126" i="24"/>
  <c r="DO231" i="24"/>
  <c r="DR231" i="24"/>
  <c r="EE210" i="24"/>
  <c r="DO66" i="24"/>
  <c r="DR66" i="24"/>
  <c r="DR304" i="24"/>
  <c r="EB304" i="24" s="1"/>
  <c r="DO304" i="24"/>
  <c r="DR276" i="24"/>
  <c r="DO276" i="24"/>
  <c r="EE141" i="24"/>
  <c r="DR208" i="24"/>
  <c r="DU208" i="24" s="1"/>
  <c r="DO208" i="24"/>
  <c r="DR168" i="24"/>
  <c r="DU168" i="24" s="1"/>
  <c r="DO168" i="24"/>
  <c r="EE148" i="24"/>
  <c r="DO20" i="24"/>
  <c r="DR20" i="24"/>
  <c r="EE146" i="24"/>
  <c r="EE74" i="24"/>
  <c r="DR220" i="24"/>
  <c r="DO220" i="24"/>
  <c r="EE59" i="24"/>
  <c r="DR259" i="24"/>
  <c r="FA259" i="24" s="1"/>
  <c r="DO259" i="24"/>
  <c r="DX133" i="24"/>
  <c r="EE115" i="24"/>
  <c r="DR227" i="24"/>
  <c r="DO227" i="24"/>
  <c r="DO24" i="24"/>
  <c r="DR24" i="24"/>
  <c r="DO267" i="24"/>
  <c r="DR267" i="24"/>
  <c r="FA267" i="24" s="1"/>
  <c r="EE82" i="24"/>
  <c r="DX129" i="24"/>
  <c r="DX53" i="24"/>
  <c r="DZ53" i="24"/>
  <c r="DR283" i="24"/>
  <c r="EY283" i="24" s="1"/>
  <c r="DO283" i="24"/>
  <c r="DO91" i="24"/>
  <c r="DR91" i="24"/>
  <c r="DR146" i="24"/>
  <c r="DU146" i="24" s="1"/>
  <c r="DO146" i="24"/>
  <c r="EE166" i="24"/>
  <c r="DO119" i="24"/>
  <c r="DR119" i="24"/>
  <c r="DU119" i="24" s="1"/>
  <c r="DR299" i="24"/>
  <c r="EY299" i="24" s="1"/>
  <c r="DO299" i="24"/>
  <c r="DR21" i="24"/>
  <c r="DO21" i="24"/>
  <c r="EE196" i="24"/>
  <c r="DO210" i="24"/>
  <c r="DR210" i="24"/>
  <c r="DU210" i="24" s="1"/>
  <c r="EE66" i="24"/>
  <c r="DO238" i="24"/>
  <c r="DR238" i="24"/>
  <c r="FA238" i="24" s="1"/>
  <c r="EE204" i="24"/>
  <c r="DX199" i="24"/>
  <c r="DO11" i="24"/>
  <c r="DR11" i="24"/>
  <c r="DO197" i="24"/>
  <c r="DR197" i="24"/>
  <c r="DU197" i="24" s="1"/>
  <c r="DO290" i="24"/>
  <c r="DR290" i="24"/>
  <c r="DR151" i="24"/>
  <c r="DU151" i="24" s="1"/>
  <c r="DO151" i="24"/>
  <c r="EE194" i="24"/>
  <c r="DZ80" i="24"/>
  <c r="DX80" i="24"/>
  <c r="EE6" i="24"/>
  <c r="DO103" i="24"/>
  <c r="DR103" i="24"/>
  <c r="DX155" i="24"/>
  <c r="DO271" i="24"/>
  <c r="DR271" i="24"/>
  <c r="EE84" i="24"/>
  <c r="DO188" i="24"/>
  <c r="DR188" i="24"/>
  <c r="DU188" i="24" s="1"/>
  <c r="DR189" i="24"/>
  <c r="DU189" i="24" s="1"/>
  <c r="DO189" i="24"/>
  <c r="DO282" i="24"/>
  <c r="DR282" i="24"/>
  <c r="EE34" i="24"/>
  <c r="DR309" i="24"/>
  <c r="FA309" i="24" s="1"/>
  <c r="DO309" i="24"/>
  <c r="DR84" i="24"/>
  <c r="DO84" i="24"/>
  <c r="DO284" i="24"/>
  <c r="DR284" i="24"/>
  <c r="DR134" i="24"/>
  <c r="DU134" i="24" s="1"/>
  <c r="DO134" i="24"/>
  <c r="DO68" i="24"/>
  <c r="DR68" i="24"/>
  <c r="EE20" i="24"/>
  <c r="EE135" i="24"/>
  <c r="EE15" i="24"/>
  <c r="EE90" i="24"/>
  <c r="EE149" i="24"/>
  <c r="EE120" i="24"/>
  <c r="DO222" i="24"/>
  <c r="DR222" i="24"/>
  <c r="DR279" i="24"/>
  <c r="DO279" i="24"/>
  <c r="DO123" i="24"/>
  <c r="DR123" i="24"/>
  <c r="DU123" i="24" s="1"/>
  <c r="DO158" i="24"/>
  <c r="DR158" i="24"/>
  <c r="DU158" i="24" s="1"/>
  <c r="DR93" i="24"/>
  <c r="DO93" i="24"/>
  <c r="DO307" i="24"/>
  <c r="DR307" i="24"/>
  <c r="DR122" i="24"/>
  <c r="DU122" i="24" s="1"/>
  <c r="DO122" i="24"/>
  <c r="EE22" i="24"/>
  <c r="EE180" i="24"/>
  <c r="DR26" i="24"/>
  <c r="DO26" i="24"/>
  <c r="DZ14" i="24"/>
  <c r="DX14" i="24"/>
  <c r="EE151" i="24"/>
  <c r="DO17" i="24"/>
  <c r="DR17" i="24"/>
  <c r="EE58" i="24"/>
  <c r="DR256" i="24"/>
  <c r="DO256" i="24"/>
  <c r="DO113" i="24"/>
  <c r="DR113" i="24"/>
  <c r="DU113" i="24" s="1"/>
  <c r="DX173" i="24"/>
  <c r="DX201" i="24"/>
  <c r="DO133" i="24"/>
  <c r="DR133" i="24"/>
  <c r="DU133" i="24" s="1"/>
  <c r="DR174" i="24"/>
  <c r="DU174" i="24" s="1"/>
  <c r="DO174" i="24"/>
  <c r="DX157" i="24"/>
  <c r="DR164" i="24"/>
  <c r="DU164" i="24" s="1"/>
  <c r="DO164" i="24"/>
  <c r="DO111" i="24"/>
  <c r="DR111" i="24"/>
  <c r="DU111" i="24" s="1"/>
  <c r="DO296" i="24"/>
  <c r="DR296" i="24"/>
  <c r="DO14" i="24"/>
  <c r="DR14" i="24"/>
  <c r="DZ23" i="24"/>
  <c r="DX23" i="24"/>
  <c r="DR48" i="24"/>
  <c r="DO48" i="24"/>
  <c r="DX209" i="24"/>
  <c r="DO302" i="24"/>
  <c r="DR302" i="24"/>
  <c r="EL302" i="24" s="1"/>
  <c r="EE137" i="24"/>
  <c r="DR73" i="24"/>
  <c r="DO73" i="24"/>
  <c r="DR129" i="24"/>
  <c r="DU129" i="24" s="1"/>
  <c r="DO129" i="24"/>
  <c r="DZ44" i="24"/>
  <c r="DX44" i="24"/>
  <c r="DX174" i="24"/>
  <c r="DR301" i="24"/>
  <c r="FA301" i="24" s="1"/>
  <c r="DO301" i="24"/>
  <c r="DX114" i="24"/>
  <c r="DO285" i="24"/>
  <c r="DR167" i="24"/>
  <c r="DU167" i="24" s="1"/>
  <c r="DO167" i="24"/>
  <c r="DR235" i="24"/>
  <c r="DO235" i="24"/>
  <c r="DR43" i="24"/>
  <c r="DO43" i="24"/>
  <c r="EE153" i="24"/>
  <c r="EE32" i="24"/>
  <c r="DO127" i="24"/>
  <c r="DR142" i="24"/>
  <c r="DU142" i="24" s="1"/>
  <c r="DO142" i="24"/>
  <c r="DO90" i="24"/>
  <c r="DO59" i="24"/>
  <c r="DR59" i="24"/>
  <c r="DO224" i="24"/>
  <c r="DR224" i="24"/>
  <c r="EE184" i="24"/>
  <c r="DO263" i="24"/>
  <c r="DR263" i="24"/>
  <c r="EE179" i="24"/>
  <c r="DO147" i="24"/>
  <c r="DR147" i="24"/>
  <c r="DU147" i="24" s="1"/>
  <c r="DR159" i="24"/>
  <c r="DU159" i="24" s="1"/>
  <c r="DO159" i="24"/>
  <c r="DR178" i="24"/>
  <c r="DU178" i="24" s="1"/>
  <c r="DO178" i="24"/>
  <c r="EE38" i="24"/>
  <c r="DR71" i="24"/>
  <c r="DO71" i="24"/>
  <c r="DO150" i="24"/>
  <c r="DR150" i="24"/>
  <c r="DU150" i="24" s="1"/>
  <c r="DR183" i="24"/>
  <c r="DU183" i="24" s="1"/>
  <c r="DO183" i="24"/>
  <c r="DR85" i="24"/>
  <c r="DO85" i="24"/>
  <c r="DR234" i="24"/>
  <c r="EL234" i="24" s="1"/>
  <c r="DO234" i="24"/>
  <c r="DO61" i="24"/>
  <c r="DR61" i="24"/>
  <c r="DZ30" i="24"/>
  <c r="DX30" i="24"/>
  <c r="DZ63" i="24"/>
  <c r="DX63" i="24"/>
  <c r="DR217" i="24"/>
  <c r="FA217" i="24" s="1"/>
  <c r="DO217" i="24"/>
  <c r="DO138" i="24"/>
  <c r="DR138" i="24"/>
  <c r="DU138" i="24" s="1"/>
  <c r="DR200" i="24"/>
  <c r="DU200" i="24" s="1"/>
  <c r="DO200" i="24"/>
  <c r="DR117" i="24"/>
  <c r="DU117" i="24" s="1"/>
  <c r="DO117" i="24"/>
  <c r="DO221" i="24"/>
  <c r="DR221" i="24"/>
  <c r="EL221" i="24" s="1"/>
  <c r="DR293" i="24"/>
  <c r="EL293" i="24" s="1"/>
  <c r="DO293" i="24"/>
  <c r="DZ81" i="24"/>
  <c r="DX81" i="24"/>
  <c r="DO33" i="24"/>
  <c r="DR33" i="24"/>
  <c r="DZ26" i="24"/>
  <c r="DX26" i="24"/>
  <c r="DO223" i="24"/>
  <c r="DR223" i="24"/>
  <c r="DX124" i="24"/>
  <c r="DO75" i="24"/>
  <c r="DR75" i="24"/>
  <c r="EE181" i="24"/>
  <c r="DZ10" i="24"/>
  <c r="DX10" i="24"/>
  <c r="DO136" i="24"/>
  <c r="DR136" i="24"/>
  <c r="DU136" i="24" s="1"/>
  <c r="DX65" i="24"/>
  <c r="DZ65" i="24"/>
  <c r="DO32" i="24"/>
  <c r="DR32" i="24"/>
  <c r="DR237" i="24"/>
  <c r="DO237" i="24"/>
  <c r="DO156" i="24"/>
  <c r="DR156" i="24"/>
  <c r="DU156" i="24" s="1"/>
  <c r="DX50" i="24"/>
  <c r="DZ50" i="24"/>
  <c r="DO280" i="24"/>
  <c r="DR280" i="24"/>
  <c r="DR9" i="24"/>
  <c r="DO9" i="24"/>
  <c r="DO139" i="24"/>
  <c r="DR139" i="24"/>
  <c r="DU139" i="24" s="1"/>
  <c r="EE169" i="24"/>
  <c r="DR27" i="24"/>
  <c r="DO27" i="24"/>
  <c r="DO72" i="24"/>
  <c r="DR72" i="24"/>
  <c r="DR179" i="24"/>
  <c r="DU179" i="24" s="1"/>
  <c r="DO179" i="24"/>
  <c r="EE116" i="24"/>
  <c r="DO206" i="24"/>
  <c r="DR206" i="24"/>
  <c r="DU206" i="24" s="1"/>
  <c r="DO40" i="24"/>
  <c r="DR40" i="24"/>
  <c r="DX172" i="24"/>
  <c r="DO63" i="24"/>
  <c r="DR63" i="24"/>
  <c r="DX138" i="24"/>
  <c r="DR12" i="24"/>
  <c r="DO12" i="24"/>
  <c r="DR104" i="24"/>
  <c r="DO104" i="24"/>
  <c r="DX55" i="24"/>
  <c r="DZ55" i="24"/>
  <c r="DR79" i="24"/>
  <c r="DO79" i="24"/>
  <c r="DZ99" i="24"/>
  <c r="DX99" i="24"/>
  <c r="DX83" i="24"/>
  <c r="DZ83" i="24"/>
  <c r="DX159" i="24"/>
  <c r="DR305" i="24"/>
  <c r="DO305" i="24"/>
  <c r="EE168" i="24"/>
  <c r="EE102" i="24"/>
  <c r="DX47" i="24"/>
  <c r="DZ47" i="24"/>
  <c r="DO65" i="24"/>
  <c r="DR65" i="24"/>
  <c r="DR13" i="24"/>
  <c r="DO13" i="24"/>
  <c r="DR22" i="24"/>
  <c r="DO22" i="24"/>
  <c r="DO77" i="24"/>
  <c r="DR77" i="24"/>
  <c r="DR268" i="24"/>
  <c r="DO268" i="24"/>
  <c r="DR132" i="24"/>
  <c r="DU132" i="24" s="1"/>
  <c r="DO132" i="24"/>
  <c r="DX42" i="24"/>
  <c r="DZ42" i="24"/>
  <c r="DR69" i="24"/>
  <c r="DO69" i="24"/>
  <c r="DX197" i="24"/>
  <c r="DZ43" i="24"/>
  <c r="DX43" i="24"/>
  <c r="DX171" i="24"/>
  <c r="DO18" i="24"/>
  <c r="DR18" i="24"/>
  <c r="DR95" i="24"/>
  <c r="DO95" i="24"/>
  <c r="DR184" i="24"/>
  <c r="DU184" i="24" s="1"/>
  <c r="DO184" i="24"/>
  <c r="DR245" i="24"/>
  <c r="DO245" i="24"/>
  <c r="DR19" i="24"/>
  <c r="DO19" i="24"/>
  <c r="DO92" i="24"/>
  <c r="DO236" i="24"/>
  <c r="DR236" i="24"/>
  <c r="EE176" i="24"/>
  <c r="DR55" i="24"/>
  <c r="DO55" i="24"/>
  <c r="DR286" i="24"/>
  <c r="DO286" i="24"/>
  <c r="DX160" i="24"/>
  <c r="DX175" i="24"/>
  <c r="DR116" i="24"/>
  <c r="DU116" i="24" s="1"/>
  <c r="DO116" i="24"/>
  <c r="DX62" i="24"/>
  <c r="DZ62" i="24"/>
  <c r="DR128" i="24"/>
  <c r="DU128" i="24" s="1"/>
  <c r="DR248" i="24"/>
  <c r="FA248" i="24" s="1"/>
  <c r="DO248" i="24"/>
  <c r="DX186" i="24"/>
  <c r="DO31" i="24"/>
  <c r="DR31" i="24"/>
  <c r="DR175" i="24"/>
  <c r="DU175" i="24" s="1"/>
  <c r="DO175" i="24"/>
  <c r="DX183" i="24"/>
  <c r="DO74" i="24"/>
  <c r="DZ54" i="24"/>
  <c r="DX54" i="24"/>
  <c r="DR76" i="24"/>
  <c r="DO76" i="24"/>
  <c r="DZ52" i="24"/>
  <c r="DX52" i="24"/>
  <c r="DX37" i="24"/>
  <c r="DZ37" i="24"/>
  <c r="DX35" i="24"/>
  <c r="DZ35" i="24"/>
  <c r="DO135" i="24"/>
  <c r="DR135" i="24"/>
  <c r="DU135" i="24" s="1"/>
  <c r="DR165" i="24"/>
  <c r="DU165" i="24" s="1"/>
  <c r="DO165" i="24"/>
  <c r="DO157" i="24"/>
  <c r="DR157" i="24"/>
  <c r="DU157" i="24" s="1"/>
  <c r="DR42" i="24"/>
  <c r="DO42" i="24"/>
  <c r="DR209" i="24"/>
  <c r="DU209" i="24" s="1"/>
  <c r="DO209" i="24"/>
  <c r="DR36" i="24"/>
  <c r="DO36" i="24"/>
  <c r="DX123" i="24"/>
  <c r="DO98" i="24"/>
  <c r="DR98" i="24"/>
  <c r="DR8" i="24"/>
  <c r="DO8" i="24"/>
  <c r="DX192" i="24"/>
  <c r="DR260" i="24"/>
  <c r="EL260" i="24" s="1"/>
  <c r="DO260" i="24"/>
  <c r="DO51" i="24"/>
  <c r="DR51" i="24"/>
  <c r="DO25" i="24"/>
  <c r="DR25" i="24"/>
  <c r="DX167" i="24"/>
  <c r="EE96" i="24"/>
  <c r="DX112" i="24"/>
  <c r="DR162" i="24"/>
  <c r="DU162" i="24" s="1"/>
  <c r="DO162" i="24"/>
  <c r="DR101" i="24"/>
  <c r="DO101" i="24"/>
  <c r="DX202" i="24"/>
  <c r="DO314" i="24"/>
  <c r="DR314" i="24"/>
  <c r="FA314" i="24" s="1"/>
  <c r="DR187" i="24"/>
  <c r="DU187" i="24" s="1"/>
  <c r="DO187" i="24"/>
  <c r="DR124" i="24"/>
  <c r="DU124" i="24" s="1"/>
  <c r="DO124" i="24"/>
  <c r="DO287" i="24"/>
  <c r="DR287" i="24"/>
  <c r="FA287" i="24" s="1"/>
  <c r="DO161" i="24"/>
  <c r="DR161" i="24"/>
  <c r="DU161" i="24" s="1"/>
  <c r="DR315" i="24"/>
  <c r="FA315" i="24" s="1"/>
  <c r="DO315" i="24"/>
  <c r="DR149" i="24"/>
  <c r="DU149" i="24" s="1"/>
  <c r="DO149" i="24"/>
  <c r="DO193" i="24"/>
  <c r="DR193" i="24"/>
  <c r="DU193" i="24" s="1"/>
  <c r="DO254" i="24"/>
  <c r="DR254" i="24"/>
  <c r="DR289" i="24"/>
  <c r="EY289" i="24" s="1"/>
  <c r="DO289" i="24"/>
  <c r="DR198" i="24"/>
  <c r="DU198" i="24" s="1"/>
  <c r="DO198" i="24"/>
  <c r="DO243" i="24"/>
  <c r="EE207" i="24"/>
  <c r="DZ61" i="24"/>
  <c r="DX61" i="24"/>
  <c r="DO41" i="24"/>
  <c r="DR41" i="24"/>
  <c r="DO242" i="24"/>
  <c r="DO78" i="24"/>
  <c r="DO310" i="24"/>
  <c r="DR310" i="24"/>
  <c r="FA310" i="24" s="1"/>
  <c r="DR86" i="24"/>
  <c r="DO86" i="24"/>
  <c r="DO229" i="24"/>
  <c r="DR229" i="24"/>
  <c r="FA229" i="24" s="1"/>
  <c r="DO137" i="24"/>
  <c r="DR137" i="24"/>
  <c r="DU137" i="24" s="1"/>
  <c r="DX40" i="24"/>
  <c r="DZ40" i="24"/>
  <c r="DO172" i="24"/>
  <c r="DR172" i="24"/>
  <c r="DU172" i="24" s="1"/>
  <c r="DX104" i="24"/>
  <c r="DZ104" i="24"/>
  <c r="DR125" i="24"/>
  <c r="DU125" i="24" s="1"/>
  <c r="DO125" i="24"/>
  <c r="EE46" i="24"/>
  <c r="DR261" i="24"/>
  <c r="FA261" i="24" s="1"/>
  <c r="DO261" i="24"/>
  <c r="DO195" i="24"/>
  <c r="DR195" i="24"/>
  <c r="DU195" i="24" s="1"/>
  <c r="EE85" i="24"/>
  <c r="DR58" i="24"/>
  <c r="DO58" i="24"/>
  <c r="EE139" i="24"/>
  <c r="DO246" i="24"/>
  <c r="DR246" i="24"/>
  <c r="FA246" i="24" s="1"/>
  <c r="EE165" i="24"/>
  <c r="EE113" i="24"/>
  <c r="EE118" i="24"/>
  <c r="DR15" i="24"/>
  <c r="DO15" i="24"/>
  <c r="DR196" i="24"/>
  <c r="DU196" i="24" s="1"/>
  <c r="DO196" i="24"/>
  <c r="EE125" i="24"/>
  <c r="DR205" i="24"/>
  <c r="DU205" i="24" s="1"/>
  <c r="DO205" i="24"/>
  <c r="DO46" i="24"/>
  <c r="DR46" i="24"/>
  <c r="DO53" i="24"/>
  <c r="DR53" i="24"/>
  <c r="DO47" i="24"/>
  <c r="DR47" i="24"/>
  <c r="EE28" i="24"/>
  <c r="DO163" i="24"/>
  <c r="DR163" i="24"/>
  <c r="DU163" i="24" s="1"/>
  <c r="EE51" i="24"/>
  <c r="DR23" i="24"/>
  <c r="DO23" i="24"/>
  <c r="DO240" i="24"/>
  <c r="DR240" i="24"/>
  <c r="FA240" i="24" s="1"/>
  <c r="DO311" i="24"/>
  <c r="DR311" i="24"/>
  <c r="EB311" i="24" s="1"/>
  <c r="DO80" i="24"/>
  <c r="DR80" i="24"/>
  <c r="DX136" i="24"/>
  <c r="DX145" i="24"/>
  <c r="DO180" i="24"/>
  <c r="DR180" i="24"/>
  <c r="DU180" i="24" s="1"/>
  <c r="DO50" i="24"/>
  <c r="DR50" i="24"/>
  <c r="DO230" i="24"/>
  <c r="DR230" i="24"/>
  <c r="FA230" i="24" s="1"/>
  <c r="DZ67" i="24"/>
  <c r="DX67" i="24"/>
  <c r="EE200" i="24"/>
  <c r="EE117" i="24"/>
  <c r="DR241" i="24"/>
  <c r="DO241" i="24"/>
  <c r="DO97" i="24"/>
  <c r="DR97" i="24"/>
  <c r="DO153" i="24"/>
  <c r="DR153" i="24"/>
  <c r="DU153" i="24" s="1"/>
  <c r="DX164" i="24"/>
  <c r="EE206" i="24"/>
  <c r="DX132" i="24"/>
  <c r="DZ25" i="24"/>
  <c r="DX25" i="24"/>
  <c r="DR176" i="24"/>
  <c r="DU176" i="24" s="1"/>
  <c r="DO176" i="24"/>
  <c r="EE73" i="24"/>
  <c r="DO273" i="24"/>
  <c r="DR273" i="24"/>
  <c r="EL273" i="24" s="1"/>
  <c r="DO225" i="24"/>
  <c r="DR225" i="24"/>
  <c r="EE187" i="24"/>
  <c r="DR7" i="24"/>
  <c r="DO7" i="24"/>
  <c r="DO262" i="24"/>
  <c r="DR262" i="24"/>
  <c r="EL262" i="24" s="1"/>
  <c r="EE208" i="24"/>
  <c r="DR281" i="24"/>
  <c r="DO281" i="24"/>
  <c r="DR152" i="24"/>
  <c r="DU152" i="24" s="1"/>
  <c r="DO152" i="24"/>
  <c r="DO228" i="24"/>
  <c r="DR228" i="24"/>
  <c r="EL228" i="24" s="1"/>
  <c r="EE182" i="24"/>
  <c r="DX177" i="24"/>
  <c r="DR239" i="24"/>
  <c r="DO239" i="24"/>
  <c r="DR219" i="24"/>
  <c r="DO219" i="24"/>
  <c r="DZ60" i="24"/>
  <c r="DX60" i="24"/>
  <c r="DR82" i="24"/>
  <c r="DO82" i="24"/>
  <c r="DR16" i="24"/>
  <c r="DO16" i="24"/>
  <c r="DR170" i="24"/>
  <c r="DU170" i="24" s="1"/>
  <c r="DO170" i="24"/>
  <c r="DR194" i="24"/>
  <c r="DU194" i="24" s="1"/>
  <c r="DO194" i="24"/>
  <c r="DO266" i="24"/>
  <c r="DR266" i="24"/>
  <c r="DO130" i="24"/>
  <c r="DR130" i="24"/>
  <c r="DU130" i="24" s="1"/>
  <c r="DR62" i="24"/>
  <c r="DO62" i="24"/>
  <c r="DO57" i="24"/>
  <c r="DR57" i="24"/>
  <c r="DR186" i="24"/>
  <c r="DU186" i="24" s="1"/>
  <c r="DO186" i="24"/>
  <c r="DR303" i="24"/>
  <c r="FA303" i="24" s="1"/>
  <c r="DO303" i="24"/>
  <c r="DR277" i="24"/>
  <c r="FA277" i="24" s="1"/>
  <c r="DO277" i="24"/>
  <c r="DO199" i="24"/>
  <c r="DR199" i="24"/>
  <c r="DU199" i="24" s="1"/>
  <c r="DO270" i="24"/>
  <c r="DR270" i="24"/>
  <c r="EL270" i="24" s="1"/>
  <c r="DO154" i="24"/>
  <c r="DR154" i="24"/>
  <c r="DU154" i="24" s="1"/>
  <c r="DO253" i="24"/>
  <c r="DR253" i="24"/>
  <c r="EB253" i="24" s="1"/>
  <c r="DZ98" i="24"/>
  <c r="DX98" i="24"/>
  <c r="DZ8" i="24"/>
  <c r="DX8" i="24"/>
  <c r="DR316" i="24"/>
  <c r="EY316" i="24" s="1"/>
  <c r="DO316" i="24"/>
  <c r="DX185" i="24"/>
  <c r="DR218" i="24"/>
  <c r="EL218" i="24" s="1"/>
  <c r="DO218" i="24"/>
  <c r="DR294" i="24"/>
  <c r="DO294" i="24"/>
  <c r="DR292" i="24"/>
  <c r="DO292" i="24"/>
  <c r="DR54" i="24"/>
  <c r="DO54" i="24"/>
  <c r="EE191" i="24"/>
  <c r="DO118" i="24"/>
  <c r="DR118" i="24"/>
  <c r="DU118" i="24" s="1"/>
  <c r="DR312" i="24"/>
  <c r="FA312" i="24" s="1"/>
  <c r="DO312" i="24"/>
  <c r="DR121" i="24"/>
  <c r="DU121" i="24" s="1"/>
  <c r="DO121" i="24"/>
  <c r="DO258" i="24"/>
  <c r="DR258" i="24"/>
  <c r="DO182" i="24"/>
  <c r="DR182" i="24"/>
  <c r="DU182" i="24" s="1"/>
  <c r="EE49" i="24"/>
  <c r="EE144" i="24"/>
  <c r="EE178" i="24"/>
  <c r="DO232" i="24"/>
  <c r="DR232" i="24"/>
  <c r="DR60" i="24"/>
  <c r="DO60" i="24"/>
  <c r="DR255" i="24"/>
  <c r="DO255" i="24"/>
  <c r="EE121" i="24"/>
  <c r="DX170" i="24"/>
  <c r="EE19" i="24"/>
  <c r="EE140" i="24"/>
  <c r="DX142" i="24"/>
  <c r="DO291" i="24"/>
  <c r="DR291" i="24"/>
  <c r="EB291" i="24" s="1"/>
  <c r="DO272" i="24"/>
  <c r="DR272" i="24"/>
  <c r="DX152" i="24"/>
  <c r="DX127" i="24"/>
  <c r="DR45" i="24"/>
  <c r="DO45" i="24"/>
  <c r="DX33" i="24"/>
  <c r="DZ33" i="24"/>
  <c r="DO247" i="24"/>
  <c r="DR247" i="24"/>
  <c r="DO29" i="24"/>
  <c r="DR29" i="24"/>
  <c r="DR171" i="24"/>
  <c r="DU171" i="24" s="1"/>
  <c r="DO171" i="24"/>
  <c r="DX70" i="24"/>
  <c r="DZ70" i="24"/>
  <c r="DR249" i="24"/>
  <c r="DO249" i="24"/>
  <c r="DX122" i="24"/>
  <c r="DR202" i="24"/>
  <c r="DU202" i="24" s="1"/>
  <c r="DO202" i="24"/>
  <c r="DR185" i="24"/>
  <c r="DU185" i="24" s="1"/>
  <c r="DO185" i="24"/>
  <c r="DX134" i="24"/>
  <c r="DO250" i="24"/>
  <c r="DR250" i="24"/>
  <c r="EL250" i="24" s="1"/>
  <c r="DR114" i="24"/>
  <c r="DU114" i="24" s="1"/>
  <c r="DO114" i="24"/>
  <c r="DZ24" i="24"/>
  <c r="DX24" i="24"/>
  <c r="DX161" i="24"/>
  <c r="DR52" i="24"/>
  <c r="DO52" i="24"/>
  <c r="EE195" i="24"/>
  <c r="DZ29" i="24"/>
  <c r="DX29" i="24"/>
  <c r="DO201" i="24"/>
  <c r="DR201" i="24"/>
  <c r="DU201" i="24" s="1"/>
  <c r="DO192" i="24"/>
  <c r="DR192" i="24"/>
  <c r="DU192" i="24" s="1"/>
  <c r="DZ13" i="24"/>
  <c r="DX13" i="24"/>
  <c r="DX111" i="24"/>
  <c r="DR274" i="24"/>
  <c r="DO274" i="24"/>
  <c r="DO49" i="24"/>
  <c r="DR49" i="24"/>
  <c r="DR67" i="24"/>
  <c r="DO67" i="24"/>
  <c r="DO252" i="24"/>
  <c r="DR252" i="24"/>
  <c r="DO190" i="24"/>
  <c r="DX190" i="24"/>
  <c r="DR94" i="24"/>
  <c r="DO94" i="24"/>
  <c r="DR10" i="24"/>
  <c r="DO10" i="24"/>
  <c r="EE162" i="24"/>
  <c r="DO297" i="24"/>
  <c r="DR297" i="24"/>
  <c r="EE86" i="24"/>
  <c r="DO140" i="24"/>
  <c r="DR140" i="24"/>
  <c r="DU140" i="24" s="1"/>
  <c r="DO203" i="24"/>
  <c r="DR203" i="24"/>
  <c r="DU203" i="24" s="1"/>
  <c r="EE72" i="24"/>
  <c r="DR83" i="24"/>
  <c r="DO83" i="24"/>
  <c r="DO269" i="24"/>
  <c r="DR269" i="24"/>
  <c r="DO306" i="24"/>
  <c r="DR306" i="24"/>
  <c r="EY306" i="24" s="1"/>
  <c r="EE198" i="24"/>
  <c r="DR144" i="24"/>
  <c r="DU144" i="24" s="1"/>
  <c r="DO144" i="24"/>
  <c r="DR37" i="24"/>
  <c r="DO37" i="24"/>
  <c r="DR233" i="24"/>
  <c r="FA233" i="24" s="1"/>
  <c r="DO233" i="24"/>
  <c r="EE203" i="24"/>
  <c r="DR166" i="24"/>
  <c r="DU166" i="24" s="1"/>
  <c r="DO166" i="24"/>
  <c r="DO148" i="24"/>
  <c r="DR148" i="24"/>
  <c r="DU148" i="24" s="1"/>
  <c r="DR81" i="24"/>
  <c r="DO81" i="24"/>
  <c r="DR89" i="24"/>
  <c r="DO89" i="24"/>
  <c r="DR251" i="24"/>
  <c r="DO251" i="24"/>
  <c r="DO96" i="24"/>
  <c r="DX147" i="24"/>
  <c r="DO177" i="24"/>
  <c r="DR177" i="24"/>
  <c r="DU177" i="24" s="1"/>
  <c r="DO191" i="24"/>
  <c r="DR191" i="24"/>
  <c r="DU191" i="24" s="1"/>
  <c r="DO102" i="24"/>
  <c r="DR102" i="24"/>
  <c r="DO131" i="24"/>
  <c r="DR131" i="24"/>
  <c r="DU131" i="24" s="1"/>
  <c r="DZ71" i="24"/>
  <c r="DX71" i="24"/>
  <c r="DX193" i="24"/>
  <c r="DR226" i="24"/>
  <c r="DO226" i="24"/>
  <c r="DO34" i="24"/>
  <c r="DR34" i="24"/>
  <c r="DZ48" i="24"/>
  <c r="DX48" i="24"/>
  <c r="DR278" i="24"/>
  <c r="EL278" i="24" s="1"/>
  <c r="DO278" i="24"/>
  <c r="DZ100" i="24"/>
  <c r="DX100" i="24"/>
  <c r="DX158" i="24"/>
  <c r="DX103" i="24"/>
  <c r="DZ103" i="24"/>
  <c r="DO155" i="24"/>
  <c r="DR155" i="24"/>
  <c r="DU155" i="24" s="1"/>
  <c r="DZ68" i="24"/>
  <c r="DX68" i="24"/>
  <c r="DR264" i="24"/>
  <c r="DO264" i="24"/>
  <c r="DR265" i="24"/>
  <c r="DO265" i="24"/>
  <c r="DO87" i="24"/>
  <c r="DR87" i="24"/>
  <c r="DX77" i="24"/>
  <c r="DZ77" i="24"/>
  <c r="EE230" i="24"/>
  <c r="DX154" i="24"/>
  <c r="DR64" i="24"/>
  <c r="DO64" i="24"/>
  <c r="DR120" i="24"/>
  <c r="DU120" i="24" s="1"/>
  <c r="DO120" i="24"/>
  <c r="DO181" i="24"/>
  <c r="DR181" i="24"/>
  <c r="DU181" i="24" s="1"/>
  <c r="DR207" i="24"/>
  <c r="DU207" i="24" s="1"/>
  <c r="DO207" i="24"/>
  <c r="DR308" i="24"/>
  <c r="FA308" i="24" s="1"/>
  <c r="DO308" i="24"/>
  <c r="DR105" i="24"/>
  <c r="DO105" i="24"/>
  <c r="DO300" i="24"/>
  <c r="DR300" i="24"/>
  <c r="FA300" i="24" s="1"/>
  <c r="DR143" i="24"/>
  <c r="DU143" i="24" s="1"/>
  <c r="DO143" i="24"/>
  <c r="EE156" i="24"/>
  <c r="EE12" i="24"/>
  <c r="DO38" i="24"/>
  <c r="DR38" i="24"/>
  <c r="DZ89" i="24"/>
  <c r="DX89" i="24"/>
  <c r="DO99" i="24"/>
  <c r="DR99" i="24"/>
  <c r="DR30" i="24"/>
  <c r="DO30" i="24"/>
  <c r="EE143" i="24"/>
  <c r="DZ41" i="24"/>
  <c r="DX41" i="24"/>
  <c r="DR160" i="24"/>
  <c r="DU160" i="24" s="1"/>
  <c r="DO160" i="24"/>
  <c r="DX128" i="24"/>
  <c r="DR298" i="24"/>
  <c r="DO298" i="24"/>
  <c r="DR127" i="24"/>
  <c r="DU127" i="24" s="1"/>
  <c r="DX150" i="24"/>
  <c r="DR88" i="24"/>
  <c r="DQ216" i="25" l="1"/>
  <c r="DV216" i="25" s="1"/>
  <c r="DX216" i="25" s="1"/>
  <c r="EC216" i="25" s="1"/>
  <c r="DX143" i="25"/>
  <c r="EC143" i="25" s="1"/>
  <c r="DX212" i="25"/>
  <c r="EC212" i="25" s="1"/>
  <c r="DY212" i="25"/>
  <c r="EM190" i="24"/>
  <c r="EP190" i="24" s="1"/>
  <c r="DU190" i="24"/>
  <c r="EM255" i="24"/>
  <c r="EP255" i="24" s="1"/>
  <c r="EN255" i="24"/>
  <c r="EY255" i="24"/>
  <c r="FA255" i="24"/>
  <c r="EL255" i="24"/>
  <c r="EB255" i="24"/>
  <c r="EM297" i="24"/>
  <c r="EP297" i="24" s="1"/>
  <c r="EN297" i="24"/>
  <c r="EY297" i="24"/>
  <c r="EL297" i="24"/>
  <c r="EB297" i="24"/>
  <c r="EM239" i="24"/>
  <c r="EP239" i="24" s="1"/>
  <c r="EN239" i="24"/>
  <c r="EL239" i="24"/>
  <c r="EY239" i="24"/>
  <c r="EB239" i="24"/>
  <c r="FA239" i="24"/>
  <c r="EM281" i="24"/>
  <c r="EP281" i="24" s="1"/>
  <c r="EN281" i="24"/>
  <c r="FA281" i="24"/>
  <c r="EY281" i="24"/>
  <c r="EB281" i="24"/>
  <c r="EM286" i="24"/>
  <c r="EP286" i="24" s="1"/>
  <c r="EN286" i="24"/>
  <c r="EL286" i="24"/>
  <c r="EY286" i="24"/>
  <c r="EB286" i="24"/>
  <c r="EM296" i="24"/>
  <c r="EP296" i="24" s="1"/>
  <c r="EN296" i="24"/>
  <c r="EL296" i="24"/>
  <c r="EY296" i="24"/>
  <c r="FA296" i="24"/>
  <c r="EB296" i="24"/>
  <c r="EM256" i="24"/>
  <c r="EP256" i="24" s="1"/>
  <c r="EN256" i="24"/>
  <c r="FA256" i="24"/>
  <c r="EL256" i="24"/>
  <c r="EB256" i="24"/>
  <c r="EM222" i="24"/>
  <c r="EP222" i="24" s="1"/>
  <c r="EN222" i="24"/>
  <c r="EL222" i="24"/>
  <c r="EY222" i="24"/>
  <c r="FA222" i="24"/>
  <c r="EM276" i="24"/>
  <c r="EP276" i="24" s="1"/>
  <c r="EN276" i="24"/>
  <c r="EL276" i="24"/>
  <c r="EB276" i="24"/>
  <c r="EY276" i="24"/>
  <c r="EB299" i="24"/>
  <c r="FA306" i="24"/>
  <c r="EY304" i="24"/>
  <c r="EB267" i="24"/>
  <c r="EB250" i="24"/>
  <c r="EB316" i="24"/>
  <c r="FA262" i="24"/>
  <c r="EB248" i="24"/>
  <c r="EB315" i="24"/>
  <c r="FA297" i="24"/>
  <c r="EY256" i="24"/>
  <c r="EB222" i="24"/>
  <c r="EM291" i="24"/>
  <c r="EP291" i="24" s="1"/>
  <c r="EN291" i="24"/>
  <c r="EM294" i="24"/>
  <c r="EP294" i="24" s="1"/>
  <c r="EN294" i="24"/>
  <c r="EL294" i="24"/>
  <c r="EM274" i="24"/>
  <c r="EP274" i="24" s="1"/>
  <c r="EN274" i="24"/>
  <c r="EY274" i="24"/>
  <c r="EL274" i="24"/>
  <c r="EB274" i="24"/>
  <c r="EM258" i="24"/>
  <c r="EP258" i="24" s="1"/>
  <c r="EN258" i="24"/>
  <c r="EY258" i="24"/>
  <c r="EL258" i="24"/>
  <c r="EB258" i="24"/>
  <c r="EM218" i="24"/>
  <c r="EP218" i="24" s="1"/>
  <c r="EN218" i="24"/>
  <c r="EY218" i="24"/>
  <c r="EM253" i="24"/>
  <c r="EP253" i="24" s="1"/>
  <c r="EN253" i="24"/>
  <c r="EM273" i="24"/>
  <c r="EP273" i="24" s="1"/>
  <c r="EN273" i="24"/>
  <c r="FA273" i="24"/>
  <c r="EM223" i="24"/>
  <c r="EP223" i="24" s="1"/>
  <c r="EN223" i="24"/>
  <c r="EY223" i="24"/>
  <c r="FA223" i="24"/>
  <c r="EL223" i="24"/>
  <c r="EB223" i="24"/>
  <c r="EM224" i="24"/>
  <c r="EP224" i="24" s="1"/>
  <c r="EN224" i="24"/>
  <c r="EY224" i="24"/>
  <c r="EM309" i="24"/>
  <c r="EP309" i="24" s="1"/>
  <c r="EN309" i="24"/>
  <c r="EY309" i="24"/>
  <c r="EL309" i="24"/>
  <c r="EB309" i="24"/>
  <c r="EM227" i="24"/>
  <c r="EP227" i="24" s="1"/>
  <c r="EN227" i="24"/>
  <c r="EY227" i="24"/>
  <c r="FA227" i="24"/>
  <c r="EL227" i="24"/>
  <c r="EB227" i="24"/>
  <c r="EM220" i="24"/>
  <c r="EP220" i="24" s="1"/>
  <c r="EN220" i="24"/>
  <c r="EY220" i="24"/>
  <c r="EL220" i="24"/>
  <c r="EL299" i="24"/>
  <c r="EB306" i="24"/>
  <c r="FA285" i="24"/>
  <c r="EL267" i="24"/>
  <c r="EY253" i="24"/>
  <c r="EB288" i="24"/>
  <c r="EY250" i="24"/>
  <c r="EB277" i="24"/>
  <c r="EL291" i="24"/>
  <c r="EL316" i="24"/>
  <c r="EB294" i="24"/>
  <c r="EB270" i="24"/>
  <c r="FA218" i="24"/>
  <c r="EB220" i="24"/>
  <c r="EM225" i="24"/>
  <c r="EP225" i="24" s="1"/>
  <c r="EN225" i="24"/>
  <c r="EL225" i="24"/>
  <c r="EY225" i="24"/>
  <c r="EB225" i="24"/>
  <c r="FA225" i="24"/>
  <c r="EM298" i="24"/>
  <c r="EP298" i="24" s="1"/>
  <c r="EN298" i="24"/>
  <c r="EY298" i="24"/>
  <c r="EL298" i="24"/>
  <c r="EB298" i="24"/>
  <c r="EM308" i="24"/>
  <c r="EP308" i="24" s="1"/>
  <c r="EN308" i="24"/>
  <c r="EY308" i="24"/>
  <c r="EL308" i="24"/>
  <c r="EB308" i="24"/>
  <c r="EM226" i="24"/>
  <c r="EP226" i="24" s="1"/>
  <c r="EN226" i="24"/>
  <c r="EY226" i="24"/>
  <c r="EL226" i="24"/>
  <c r="EB226" i="24"/>
  <c r="EM252" i="24"/>
  <c r="EP252" i="24" s="1"/>
  <c r="EN252" i="24"/>
  <c r="EL252" i="24"/>
  <c r="EY252" i="24"/>
  <c r="EB252" i="24"/>
  <c r="EM232" i="24"/>
  <c r="EP232" i="24" s="1"/>
  <c r="EN232" i="24"/>
  <c r="EY232" i="24"/>
  <c r="EL232" i="24"/>
  <c r="EM262" i="24"/>
  <c r="EP262" i="24" s="1"/>
  <c r="EN262" i="24"/>
  <c r="EY262" i="24"/>
  <c r="EM241" i="24"/>
  <c r="EP241" i="24" s="1"/>
  <c r="EN241" i="24"/>
  <c r="EY241" i="24"/>
  <c r="EL241" i="24"/>
  <c r="EB241" i="24"/>
  <c r="EM311" i="24"/>
  <c r="EP311" i="24" s="1"/>
  <c r="EN311" i="24"/>
  <c r="EM229" i="24"/>
  <c r="EP229" i="24" s="1"/>
  <c r="EN229" i="24"/>
  <c r="EY229" i="24"/>
  <c r="EL229" i="24"/>
  <c r="EB229" i="24"/>
  <c r="EM245" i="24"/>
  <c r="EP245" i="24" s="1"/>
  <c r="EN245" i="24"/>
  <c r="EY245" i="24"/>
  <c r="FA245" i="24"/>
  <c r="EM293" i="24"/>
  <c r="EP293" i="24" s="1"/>
  <c r="EN293" i="24"/>
  <c r="EM271" i="24"/>
  <c r="EP271" i="24" s="1"/>
  <c r="EN271" i="24"/>
  <c r="EY271" i="24"/>
  <c r="FA271" i="24"/>
  <c r="EL271" i="24"/>
  <c r="EB271" i="24"/>
  <c r="EM304" i="24"/>
  <c r="EP304" i="24" s="1"/>
  <c r="EN304" i="24"/>
  <c r="EM295" i="24"/>
  <c r="EP295" i="24" s="1"/>
  <c r="EN295" i="24"/>
  <c r="EY295" i="24"/>
  <c r="EL295" i="24"/>
  <c r="EB295" i="24"/>
  <c r="FA299" i="24"/>
  <c r="FA293" i="24"/>
  <c r="EL253" i="24"/>
  <c r="FA316" i="24"/>
  <c r="FA270" i="24"/>
  <c r="EL248" i="24"/>
  <c r="EB217" i="24"/>
  <c r="FA220" i="24"/>
  <c r="FA276" i="24"/>
  <c r="FA226" i="24"/>
  <c r="FA274" i="24"/>
  <c r="EM277" i="24"/>
  <c r="EP277" i="24" s="1"/>
  <c r="EN277" i="24"/>
  <c r="EM289" i="24"/>
  <c r="EP289" i="24" s="1"/>
  <c r="EN289" i="24"/>
  <c r="EL289" i="24"/>
  <c r="FA289" i="24"/>
  <c r="EB289" i="24"/>
  <c r="EM315" i="24"/>
  <c r="EP315" i="24" s="1"/>
  <c r="EN315" i="24"/>
  <c r="EY315" i="24"/>
  <c r="EL315" i="24"/>
  <c r="EM305" i="24"/>
  <c r="EP305" i="24" s="1"/>
  <c r="EN305" i="24"/>
  <c r="EY305" i="24"/>
  <c r="EL305" i="24"/>
  <c r="EB305" i="24"/>
  <c r="EM237" i="24"/>
  <c r="EP237" i="24" s="1"/>
  <c r="EN237" i="24"/>
  <c r="EY237" i="24"/>
  <c r="EL237" i="24"/>
  <c r="EB237" i="24"/>
  <c r="EM221" i="24"/>
  <c r="EP221" i="24" s="1"/>
  <c r="EN221" i="24"/>
  <c r="EM282" i="24"/>
  <c r="EP282" i="24" s="1"/>
  <c r="EN282" i="24"/>
  <c r="EB282" i="24"/>
  <c r="EY282" i="24"/>
  <c r="FA282" i="24"/>
  <c r="EM288" i="24"/>
  <c r="EP288" i="24" s="1"/>
  <c r="EN288" i="24"/>
  <c r="EY285" i="24"/>
  <c r="EY293" i="24"/>
  <c r="EY288" i="24"/>
  <c r="FA291" i="24"/>
  <c r="FA221" i="24"/>
  <c r="EL311" i="24"/>
  <c r="EB224" i="24"/>
  <c r="EB234" i="24"/>
  <c r="EL282" i="24"/>
  <c r="EM278" i="24"/>
  <c r="EP278" i="24" s="1"/>
  <c r="EN278" i="24"/>
  <c r="EY278" i="24"/>
  <c r="FA278" i="24"/>
  <c r="EB278" i="24"/>
  <c r="EM228" i="24"/>
  <c r="EP228" i="24" s="1"/>
  <c r="EN228" i="24"/>
  <c r="EY228" i="24"/>
  <c r="EM265" i="24"/>
  <c r="EP265" i="24" s="1"/>
  <c r="EN265" i="24"/>
  <c r="EY265" i="24"/>
  <c r="FA265" i="24"/>
  <c r="EL265" i="24"/>
  <c r="EB265" i="24"/>
  <c r="EM306" i="24"/>
  <c r="EP306" i="24" s="1"/>
  <c r="EN306" i="24"/>
  <c r="EM250" i="24"/>
  <c r="EP250" i="24" s="1"/>
  <c r="EN250" i="24"/>
  <c r="EM316" i="24"/>
  <c r="EP316" i="24" s="1"/>
  <c r="EN316" i="24"/>
  <c r="EM219" i="24"/>
  <c r="EP219" i="24" s="1"/>
  <c r="EN219" i="24"/>
  <c r="EL219" i="24"/>
  <c r="EY219" i="24"/>
  <c r="EB219" i="24"/>
  <c r="FA219" i="24"/>
  <c r="EM240" i="24"/>
  <c r="EP240" i="24" s="1"/>
  <c r="EN240" i="24"/>
  <c r="EY240" i="24"/>
  <c r="EL240" i="24"/>
  <c r="EB240" i="24"/>
  <c r="EM246" i="24"/>
  <c r="EP246" i="24" s="1"/>
  <c r="EN246" i="24"/>
  <c r="EY246" i="24"/>
  <c r="EL246" i="24"/>
  <c r="EB246" i="24"/>
  <c r="EM254" i="24"/>
  <c r="EP254" i="24" s="1"/>
  <c r="EN254" i="24"/>
  <c r="EY254" i="24"/>
  <c r="EL254" i="24"/>
  <c r="EB254" i="24"/>
  <c r="EM236" i="24"/>
  <c r="EP236" i="24" s="1"/>
  <c r="EN236" i="24"/>
  <c r="EL236" i="24"/>
  <c r="EY236" i="24"/>
  <c r="EB236" i="24"/>
  <c r="FA236" i="24"/>
  <c r="EM280" i="24"/>
  <c r="EP280" i="24" s="1"/>
  <c r="EN280" i="24"/>
  <c r="EY280" i="24"/>
  <c r="EL280" i="24"/>
  <c r="EB280" i="24"/>
  <c r="EM217" i="24"/>
  <c r="EP217" i="24" s="1"/>
  <c r="EN217" i="24"/>
  <c r="EY217" i="24"/>
  <c r="EL217" i="24"/>
  <c r="EM284" i="24"/>
  <c r="EP284" i="24" s="1"/>
  <c r="EN284" i="24"/>
  <c r="EY284" i="24"/>
  <c r="EL284" i="24"/>
  <c r="EB284" i="24"/>
  <c r="EM267" i="24"/>
  <c r="EP267" i="24" s="1"/>
  <c r="EN267" i="24"/>
  <c r="EM244" i="24"/>
  <c r="EP244" i="24" s="1"/>
  <c r="EN244" i="24"/>
  <c r="EY244" i="24"/>
  <c r="EL244" i="24"/>
  <c r="EB244" i="24"/>
  <c r="EM243" i="24"/>
  <c r="EP243" i="24" s="1"/>
  <c r="EN243" i="24"/>
  <c r="EY243" i="24"/>
  <c r="FA243" i="24"/>
  <c r="EL243" i="24"/>
  <c r="EB243" i="24"/>
  <c r="EL304" i="24"/>
  <c r="FA253" i="24"/>
  <c r="FA250" i="24"/>
  <c r="EY277" i="24"/>
  <c r="FA311" i="24"/>
  <c r="FA294" i="24"/>
  <c r="EL224" i="24"/>
  <c r="EL281" i="24"/>
  <c r="FA280" i="24"/>
  <c r="FA254" i="24"/>
  <c r="FA286" i="24"/>
  <c r="FA241" i="24"/>
  <c r="FA237" i="24"/>
  <c r="FA305" i="24"/>
  <c r="FA258" i="24"/>
  <c r="EM251" i="24"/>
  <c r="EP251" i="24" s="1"/>
  <c r="EN251" i="24"/>
  <c r="EY251" i="24"/>
  <c r="EL251" i="24"/>
  <c r="EB251" i="24"/>
  <c r="EM300" i="24"/>
  <c r="EP300" i="24" s="1"/>
  <c r="EN300" i="24"/>
  <c r="EY300" i="24"/>
  <c r="EL300" i="24"/>
  <c r="EB300" i="24"/>
  <c r="EM247" i="24"/>
  <c r="EP247" i="24" s="1"/>
  <c r="EN247" i="24"/>
  <c r="EY247" i="24"/>
  <c r="EL247" i="24"/>
  <c r="EB247" i="24"/>
  <c r="EM272" i="24"/>
  <c r="EP272" i="24" s="1"/>
  <c r="EN272" i="24"/>
  <c r="EY272" i="24"/>
  <c r="EL272" i="24"/>
  <c r="EB272" i="24"/>
  <c r="EM292" i="24"/>
  <c r="EP292" i="24" s="1"/>
  <c r="EN292" i="24"/>
  <c r="FA292" i="24"/>
  <c r="EL292" i="24"/>
  <c r="EY292" i="24"/>
  <c r="EM303" i="24"/>
  <c r="EP303" i="24" s="1"/>
  <c r="EN303" i="24"/>
  <c r="EY303" i="24"/>
  <c r="EL303" i="24"/>
  <c r="EB303" i="24"/>
  <c r="EM261" i="24"/>
  <c r="EP261" i="24" s="1"/>
  <c r="EN261" i="24"/>
  <c r="EL261" i="24"/>
  <c r="EY261" i="24"/>
  <c r="EB261" i="24"/>
  <c r="EM314" i="24"/>
  <c r="EP314" i="24" s="1"/>
  <c r="EN314" i="24"/>
  <c r="EY314" i="24"/>
  <c r="EL314" i="24"/>
  <c r="EB314" i="24"/>
  <c r="EM260" i="24"/>
  <c r="EP260" i="24" s="1"/>
  <c r="EN260" i="24"/>
  <c r="EY260" i="24"/>
  <c r="FA260" i="24"/>
  <c r="EB260" i="24"/>
  <c r="EM268" i="24"/>
  <c r="EP268" i="24" s="1"/>
  <c r="EN268" i="24"/>
  <c r="EL268" i="24"/>
  <c r="FA268" i="24"/>
  <c r="EY268" i="24"/>
  <c r="EB268" i="24"/>
  <c r="EM234" i="24"/>
  <c r="EP234" i="24" s="1"/>
  <c r="EN234" i="24"/>
  <c r="EY234" i="24"/>
  <c r="EM301" i="24"/>
  <c r="EP301" i="24" s="1"/>
  <c r="EN301" i="24"/>
  <c r="EY301" i="24"/>
  <c r="EL301" i="24"/>
  <c r="EB301" i="24"/>
  <c r="EM307" i="24"/>
  <c r="EP307" i="24" s="1"/>
  <c r="EN307" i="24"/>
  <c r="EY307" i="24"/>
  <c r="EM290" i="24"/>
  <c r="EP290" i="24" s="1"/>
  <c r="EN290" i="24"/>
  <c r="EY290" i="24"/>
  <c r="EL290" i="24"/>
  <c r="EB290" i="24"/>
  <c r="EM238" i="24"/>
  <c r="EP238" i="24" s="1"/>
  <c r="EN238" i="24"/>
  <c r="EY238" i="24"/>
  <c r="EL238" i="24"/>
  <c r="EB238" i="24"/>
  <c r="EM257" i="24"/>
  <c r="EP257" i="24" s="1"/>
  <c r="EN257" i="24"/>
  <c r="EY257" i="24"/>
  <c r="FA257" i="24"/>
  <c r="EL257" i="24"/>
  <c r="EB257" i="24"/>
  <c r="EM242" i="24"/>
  <c r="EP242" i="24" s="1"/>
  <c r="EN242" i="24"/>
  <c r="FA242" i="24"/>
  <c r="EL242" i="24"/>
  <c r="EB242" i="24"/>
  <c r="EY242" i="24"/>
  <c r="EL306" i="24"/>
  <c r="FA304" i="24"/>
  <c r="EY267" i="24"/>
  <c r="EL277" i="24"/>
  <c r="EY291" i="24"/>
  <c r="EY221" i="24"/>
  <c r="FA224" i="24"/>
  <c r="EB307" i="24"/>
  <c r="FA234" i="24"/>
  <c r="EB245" i="24"/>
  <c r="EM264" i="24"/>
  <c r="EP264" i="24" s="1"/>
  <c r="EN264" i="24"/>
  <c r="EY264" i="24"/>
  <c r="EL264" i="24"/>
  <c r="EB264" i="24"/>
  <c r="EM233" i="24"/>
  <c r="EP233" i="24" s="1"/>
  <c r="EN233" i="24"/>
  <c r="EY233" i="24"/>
  <c r="EL233" i="24"/>
  <c r="EB233" i="24"/>
  <c r="EM269" i="24"/>
  <c r="EP269" i="24" s="1"/>
  <c r="EN269" i="24"/>
  <c r="EY269" i="24"/>
  <c r="FA269" i="24"/>
  <c r="EL269" i="24"/>
  <c r="EB269" i="24"/>
  <c r="EM249" i="24"/>
  <c r="EP249" i="24" s="1"/>
  <c r="EN249" i="24"/>
  <c r="EL249" i="24"/>
  <c r="EY249" i="24"/>
  <c r="EB249" i="24"/>
  <c r="EM312" i="24"/>
  <c r="EP312" i="24" s="1"/>
  <c r="EN312" i="24"/>
  <c r="EY312" i="24"/>
  <c r="EL312" i="24"/>
  <c r="EB312" i="24"/>
  <c r="EM270" i="24"/>
  <c r="EP270" i="24" s="1"/>
  <c r="EN270" i="24"/>
  <c r="EY270" i="24"/>
  <c r="EM266" i="24"/>
  <c r="EP266" i="24" s="1"/>
  <c r="EN266" i="24"/>
  <c r="EY266" i="24"/>
  <c r="EL266" i="24"/>
  <c r="FA266" i="24"/>
  <c r="EB266" i="24"/>
  <c r="EM310" i="24"/>
  <c r="EP310" i="24" s="1"/>
  <c r="EN310" i="24"/>
  <c r="EY310" i="24"/>
  <c r="EL310" i="24"/>
  <c r="EB310" i="24"/>
  <c r="EM287" i="24"/>
  <c r="EP287" i="24" s="1"/>
  <c r="EN287" i="24"/>
  <c r="EY287" i="24"/>
  <c r="EL287" i="24"/>
  <c r="EB287" i="24"/>
  <c r="EM263" i="24"/>
  <c r="EP263" i="24" s="1"/>
  <c r="EN263" i="24"/>
  <c r="EY263" i="24"/>
  <c r="FA263" i="24"/>
  <c r="EL263" i="24"/>
  <c r="EB263" i="24"/>
  <c r="EM235" i="24"/>
  <c r="EP235" i="24" s="1"/>
  <c r="EN235" i="24"/>
  <c r="EY235" i="24"/>
  <c r="EL235" i="24"/>
  <c r="EB235" i="24"/>
  <c r="EM302" i="24"/>
  <c r="EP302" i="24" s="1"/>
  <c r="EN302" i="24"/>
  <c r="EY302" i="24"/>
  <c r="FA302" i="24"/>
  <c r="EB302" i="24"/>
  <c r="EM299" i="24"/>
  <c r="EP299" i="24" s="1"/>
  <c r="EN299" i="24"/>
  <c r="EM259" i="24"/>
  <c r="EP259" i="24" s="1"/>
  <c r="EN259" i="24"/>
  <c r="EL259" i="24"/>
  <c r="EY259" i="24"/>
  <c r="EB259" i="24"/>
  <c r="EM231" i="24"/>
  <c r="EP231" i="24" s="1"/>
  <c r="EN231" i="24"/>
  <c r="FA231" i="24"/>
  <c r="EL231" i="24"/>
  <c r="EB231" i="24"/>
  <c r="EM313" i="24"/>
  <c r="EP313" i="24" s="1"/>
  <c r="EN313" i="24"/>
  <c r="EL313" i="24"/>
  <c r="EY313" i="24"/>
  <c r="FA313" i="24"/>
  <c r="EB313" i="24"/>
  <c r="EM275" i="24"/>
  <c r="EP275" i="24" s="1"/>
  <c r="EN275" i="24"/>
  <c r="EL275" i="24"/>
  <c r="EY275" i="24"/>
  <c r="EB275" i="24"/>
  <c r="FA275" i="24"/>
  <c r="EM285" i="24"/>
  <c r="EP285" i="24" s="1"/>
  <c r="EN285" i="24"/>
  <c r="EB262" i="24"/>
  <c r="FA228" i="24"/>
  <c r="EL307" i="24"/>
  <c r="EY273" i="24"/>
  <c r="EL245" i="24"/>
  <c r="EB232" i="24"/>
  <c r="EB292" i="24"/>
  <c r="FA249" i="24"/>
  <c r="FA272" i="24"/>
  <c r="FA264" i="24"/>
  <c r="FA247" i="24"/>
  <c r="FA235" i="24"/>
  <c r="FA244" i="24"/>
  <c r="FA295" i="24"/>
  <c r="FA252" i="24"/>
  <c r="EY231" i="24"/>
  <c r="FA251" i="24"/>
  <c r="FA284" i="24"/>
  <c r="FA298" i="24"/>
  <c r="FA290" i="24"/>
  <c r="EM230" i="24"/>
  <c r="EP230" i="24" s="1"/>
  <c r="EN230" i="24"/>
  <c r="EY230" i="24"/>
  <c r="EL230" i="24"/>
  <c r="EB230" i="24"/>
  <c r="EM248" i="24"/>
  <c r="EP248" i="24" s="1"/>
  <c r="EN248" i="24"/>
  <c r="EY248" i="24"/>
  <c r="EM279" i="24"/>
  <c r="EP279" i="24" s="1"/>
  <c r="EN279" i="24"/>
  <c r="EY279" i="24"/>
  <c r="FA279" i="24"/>
  <c r="EB279" i="24"/>
  <c r="EL279" i="24"/>
  <c r="EM283" i="24"/>
  <c r="EP283" i="24" s="1"/>
  <c r="EN283" i="24"/>
  <c r="EL283" i="24"/>
  <c r="EB283" i="24"/>
  <c r="FA283" i="24"/>
  <c r="EL285" i="24"/>
  <c r="EB293" i="24"/>
  <c r="EL288" i="24"/>
  <c r="EB221" i="24"/>
  <c r="EY311" i="24"/>
  <c r="EY294" i="24"/>
  <c r="EB228" i="24"/>
  <c r="EB218" i="24"/>
  <c r="FA307" i="24"/>
  <c r="EB273" i="24"/>
  <c r="FA232" i="24"/>
  <c r="EY216" i="25"/>
  <c r="DX112" i="25"/>
  <c r="EC112" i="25" s="1"/>
  <c r="DY112" i="25"/>
  <c r="CG182" i="25"/>
  <c r="CH182" i="25"/>
  <c r="CG138" i="25"/>
  <c r="CH138" i="25"/>
  <c r="CG143" i="25"/>
  <c r="CH181" i="25"/>
  <c r="CG181" i="25"/>
  <c r="EY89" i="24"/>
  <c r="FA67" i="24"/>
  <c r="EB52" i="24"/>
  <c r="FA47" i="24"/>
  <c r="EL161" i="24"/>
  <c r="EL42" i="24"/>
  <c r="EB65" i="24"/>
  <c r="FA43" i="24"/>
  <c r="EL122" i="24"/>
  <c r="EB100" i="24"/>
  <c r="DW243" i="24"/>
  <c r="DY243" i="24" s="1"/>
  <c r="EF243" i="24" s="1"/>
  <c r="EB152" i="24"/>
  <c r="EB33" i="24"/>
  <c r="FA71" i="24"/>
  <c r="FA14" i="24"/>
  <c r="EY164" i="24"/>
  <c r="EB103" i="24"/>
  <c r="EL90" i="24"/>
  <c r="DW242" i="24"/>
  <c r="DY242" i="24" s="1"/>
  <c r="EF242" i="24" s="1"/>
  <c r="FA160" i="24"/>
  <c r="EB127" i="24"/>
  <c r="FA201" i="24"/>
  <c r="EB186" i="24"/>
  <c r="EB53" i="24"/>
  <c r="EY193" i="24"/>
  <c r="EY157" i="24"/>
  <c r="EB77" i="24"/>
  <c r="EL63" i="24"/>
  <c r="EB78" i="24"/>
  <c r="FA39" i="24"/>
  <c r="EL37" i="24"/>
  <c r="FA199" i="24"/>
  <c r="EB23" i="24"/>
  <c r="EB142" i="24"/>
  <c r="EY24" i="24"/>
  <c r="DW285" i="24"/>
  <c r="DY285" i="24" s="1"/>
  <c r="EF285" i="24" s="1"/>
  <c r="EL190" i="24"/>
  <c r="EY30" i="24"/>
  <c r="FA155" i="24"/>
  <c r="EL83" i="24"/>
  <c r="FA185" i="24"/>
  <c r="EY60" i="24"/>
  <c r="EL25" i="24"/>
  <c r="EL128" i="24"/>
  <c r="FA136" i="24"/>
  <c r="FA167" i="24"/>
  <c r="EB174" i="24"/>
  <c r="EY26" i="24"/>
  <c r="EB68" i="24"/>
  <c r="EY197" i="24"/>
  <c r="CG110" i="24"/>
  <c r="FL110" i="24"/>
  <c r="EM169" i="24"/>
  <c r="EP169" i="24" s="1"/>
  <c r="FA171" i="24"/>
  <c r="EL50" i="24"/>
  <c r="FA124" i="24"/>
  <c r="EY175" i="24"/>
  <c r="FA138" i="24"/>
  <c r="EY183" i="24"/>
  <c r="EL133" i="24"/>
  <c r="EY158" i="24"/>
  <c r="EL145" i="24"/>
  <c r="DU92" i="24"/>
  <c r="FA74" i="24"/>
  <c r="FA202" i="24"/>
  <c r="EY29" i="24"/>
  <c r="EB54" i="24"/>
  <c r="EL154" i="24"/>
  <c r="FA62" i="24"/>
  <c r="EL170" i="24"/>
  <c r="EY41" i="24"/>
  <c r="EB8" i="24"/>
  <c r="EL55" i="24"/>
  <c r="EB104" i="24"/>
  <c r="EY40" i="24"/>
  <c r="FA61" i="24"/>
  <c r="EL150" i="24"/>
  <c r="FA159" i="24"/>
  <c r="EL129" i="24"/>
  <c r="EY48" i="24"/>
  <c r="EY111" i="24"/>
  <c r="EL173" i="24"/>
  <c r="EL112" i="24"/>
  <c r="FA70" i="24"/>
  <c r="EY126" i="24"/>
  <c r="FA44" i="24"/>
  <c r="DU96" i="24"/>
  <c r="EY177" i="24"/>
  <c r="FA10" i="24"/>
  <c r="EL172" i="24"/>
  <c r="EL98" i="24"/>
  <c r="FA132" i="24"/>
  <c r="EB13" i="24"/>
  <c r="EY147" i="24"/>
  <c r="EL123" i="24"/>
  <c r="EL134" i="24"/>
  <c r="EL35" i="24"/>
  <c r="CG5" i="24"/>
  <c r="K5" i="24" s="1"/>
  <c r="FL5" i="24"/>
  <c r="EL209" i="24"/>
  <c r="EM92" i="24"/>
  <c r="EP92" i="24" s="1"/>
  <c r="EB74" i="24"/>
  <c r="EN92" i="24"/>
  <c r="DW92" i="24"/>
  <c r="DY92" i="24" s="1"/>
  <c r="EF92" i="24" s="1"/>
  <c r="EL92" i="24"/>
  <c r="DU74" i="24"/>
  <c r="EB92" i="24"/>
  <c r="EM74" i="24"/>
  <c r="EP74" i="24" s="1"/>
  <c r="FA92" i="24"/>
  <c r="EL74" i="24"/>
  <c r="DW74" i="24"/>
  <c r="DY74" i="24" s="1"/>
  <c r="EF74" i="24" s="1"/>
  <c r="EY92" i="24"/>
  <c r="EY74" i="24"/>
  <c r="EN74" i="24"/>
  <c r="FA169" i="24"/>
  <c r="DW169" i="24"/>
  <c r="DY169" i="24" s="1"/>
  <c r="EF169" i="24" s="1"/>
  <c r="EN169" i="24"/>
  <c r="EB169" i="24"/>
  <c r="EL169" i="24"/>
  <c r="EY169" i="24"/>
  <c r="EB190" i="24"/>
  <c r="EN190" i="24"/>
  <c r="FA190" i="24"/>
  <c r="DW190" i="24"/>
  <c r="EA190" i="24" s="1"/>
  <c r="FL190" i="24" s="1"/>
  <c r="DX181" i="25"/>
  <c r="EC181" i="25" s="1"/>
  <c r="DU243" i="24"/>
  <c r="EL24" i="24"/>
  <c r="FA150" i="24"/>
  <c r="DY64" i="25"/>
  <c r="FL64" i="25" s="1"/>
  <c r="DY96" i="25"/>
  <c r="FL96" i="25" s="1"/>
  <c r="FA100" i="24"/>
  <c r="FA90" i="24"/>
  <c r="EL39" i="24"/>
  <c r="EL78" i="24"/>
  <c r="DY183" i="25"/>
  <c r="DY97" i="25"/>
  <c r="FL97" i="25" s="1"/>
  <c r="EM96" i="24"/>
  <c r="EP96" i="24" s="1"/>
  <c r="EB193" i="24"/>
  <c r="DW96" i="24"/>
  <c r="DY96" i="24" s="1"/>
  <c r="EF96" i="24" s="1"/>
  <c r="EB96" i="24"/>
  <c r="FA68" i="24"/>
  <c r="DU90" i="24"/>
  <c r="EL40" i="24"/>
  <c r="EM90" i="24"/>
  <c r="EP90" i="24" s="1"/>
  <c r="DU242" i="24"/>
  <c r="EN90" i="24"/>
  <c r="FA104" i="24"/>
  <c r="DW90" i="24"/>
  <c r="DY90" i="24" s="1"/>
  <c r="EF90" i="24" s="1"/>
  <c r="EB90" i="24"/>
  <c r="DY185" i="25"/>
  <c r="CG185" i="25" s="1"/>
  <c r="DY131" i="25"/>
  <c r="CG131" i="25" s="1"/>
  <c r="EY90" i="24"/>
  <c r="EB123" i="24"/>
  <c r="EY123" i="24"/>
  <c r="FA78" i="24"/>
  <c r="DU39" i="24"/>
  <c r="EY39" i="24"/>
  <c r="DU78" i="24"/>
  <c r="EB70" i="24"/>
  <c r="EY145" i="24"/>
  <c r="EM39" i="24"/>
  <c r="EP39" i="24" s="1"/>
  <c r="EB39" i="24"/>
  <c r="EN39" i="24"/>
  <c r="EN78" i="24"/>
  <c r="EL70" i="24"/>
  <c r="EB145" i="24"/>
  <c r="EY112" i="24"/>
  <c r="DW39" i="24"/>
  <c r="DY39" i="24" s="1"/>
  <c r="EF39" i="24" s="1"/>
  <c r="EM78" i="24"/>
  <c r="EP78" i="24" s="1"/>
  <c r="FA145" i="24"/>
  <c r="DW78" i="24"/>
  <c r="DY78" i="24" s="1"/>
  <c r="EF78" i="24" s="1"/>
  <c r="EY78" i="24"/>
  <c r="EY70" i="24"/>
  <c r="FA112" i="24"/>
  <c r="EL142" i="24"/>
  <c r="EL43" i="24"/>
  <c r="FA134" i="24"/>
  <c r="FA122" i="24"/>
  <c r="EB134" i="24"/>
  <c r="EB122" i="24"/>
  <c r="DY103" i="25"/>
  <c r="CH103" i="25" s="1"/>
  <c r="EY122" i="24"/>
  <c r="EY142" i="24"/>
  <c r="DY74" i="25"/>
  <c r="FL74" i="25" s="1"/>
  <c r="EL13" i="24"/>
  <c r="EB24" i="24"/>
  <c r="EB128" i="24"/>
  <c r="EL48" i="24"/>
  <c r="EB147" i="24"/>
  <c r="FA111" i="24"/>
  <c r="EN96" i="24"/>
  <c r="EL147" i="24"/>
  <c r="FA128" i="24"/>
  <c r="EY68" i="24"/>
  <c r="EB48" i="24"/>
  <c r="EL111" i="24"/>
  <c r="EY161" i="24"/>
  <c r="DY58" i="25"/>
  <c r="CH58" i="25" s="1"/>
  <c r="EL68" i="24"/>
  <c r="EB111" i="24"/>
  <c r="EY96" i="24"/>
  <c r="DY37" i="25"/>
  <c r="CH37" i="25" s="1"/>
  <c r="EY128" i="24"/>
  <c r="FA147" i="24"/>
  <c r="EY167" i="24"/>
  <c r="FA96" i="24"/>
  <c r="EL96" i="24"/>
  <c r="DY95" i="25"/>
  <c r="FL95" i="25" s="1"/>
  <c r="EL100" i="24"/>
  <c r="EY100" i="24"/>
  <c r="FA40" i="24"/>
  <c r="FA123" i="24"/>
  <c r="EC110" i="24"/>
  <c r="ED110" i="24" s="1"/>
  <c r="EH110" i="24"/>
  <c r="EI110" i="24"/>
  <c r="EX110" i="24" s="1"/>
  <c r="EL104" i="24"/>
  <c r="FA158" i="24"/>
  <c r="EH5" i="24"/>
  <c r="EC5" i="24"/>
  <c r="ED5" i="24" s="1"/>
  <c r="EI5" i="24"/>
  <c r="EX5" i="24" s="1"/>
  <c r="EB158" i="24"/>
  <c r="EG182" i="25"/>
  <c r="EX182" i="25" s="1"/>
  <c r="DY216" i="24"/>
  <c r="EF216" i="24" s="1"/>
  <c r="EA216" i="24"/>
  <c r="DY145" i="25"/>
  <c r="CH145" i="25" s="1"/>
  <c r="FA193" i="24"/>
  <c r="EY159" i="24"/>
  <c r="FA173" i="24"/>
  <c r="DY89" i="25"/>
  <c r="CH89" i="25" s="1"/>
  <c r="DY199" i="25"/>
  <c r="EF199" i="25" s="1"/>
  <c r="EW199" i="25" s="1"/>
  <c r="DY56" i="25"/>
  <c r="CH56" i="25" s="1"/>
  <c r="DY90" i="25"/>
  <c r="FL90" i="25" s="1"/>
  <c r="DY136" i="25"/>
  <c r="CH136" i="25" s="1"/>
  <c r="EL103" i="24"/>
  <c r="EB164" i="24"/>
  <c r="EL26" i="24"/>
  <c r="DY77" i="25"/>
  <c r="CH77" i="25" s="1"/>
  <c r="EY103" i="24"/>
  <c r="FA164" i="24"/>
  <c r="FA77" i="24"/>
  <c r="DY158" i="25"/>
  <c r="CG158" i="25" s="1"/>
  <c r="EY77" i="24"/>
  <c r="FA26" i="24"/>
  <c r="EL77" i="24"/>
  <c r="FA103" i="24"/>
  <c r="EY98" i="24"/>
  <c r="EB26" i="24"/>
  <c r="EY150" i="24"/>
  <c r="EY104" i="24"/>
  <c r="EB40" i="24"/>
  <c r="EB61" i="24"/>
  <c r="EL159" i="24"/>
  <c r="EB150" i="24"/>
  <c r="EY61" i="24"/>
  <c r="FA152" i="24"/>
  <c r="EY152" i="24"/>
  <c r="DU285" i="24"/>
  <c r="EL41" i="24"/>
  <c r="EY8" i="24"/>
  <c r="FA41" i="24"/>
  <c r="EB197" i="24"/>
  <c r="DY156" i="25"/>
  <c r="CG156" i="25" s="1"/>
  <c r="DY194" i="25"/>
  <c r="CG194" i="25" s="1"/>
  <c r="DY73" i="25"/>
  <c r="CH73" i="25" s="1"/>
  <c r="DY99" i="25"/>
  <c r="FL99" i="25" s="1"/>
  <c r="EY25" i="24"/>
  <c r="FA170" i="24"/>
  <c r="DY137" i="25"/>
  <c r="EF137" i="25" s="1"/>
  <c r="EW137" i="25" s="1"/>
  <c r="EB161" i="24"/>
  <c r="FA161" i="24"/>
  <c r="EY170" i="24"/>
  <c r="FA154" i="24"/>
  <c r="EL136" i="24"/>
  <c r="EL152" i="24"/>
  <c r="EB170" i="24"/>
  <c r="EY136" i="24"/>
  <c r="EB136" i="24"/>
  <c r="EY132" i="24"/>
  <c r="EB132" i="24"/>
  <c r="EL167" i="24"/>
  <c r="EB25" i="24"/>
  <c r="DY164" i="25"/>
  <c r="EG164" i="25" s="1"/>
  <c r="EX164" i="25" s="1"/>
  <c r="DY173" i="25"/>
  <c r="EG173" i="25" s="1"/>
  <c r="EX173" i="25" s="1"/>
  <c r="EE182" i="25"/>
  <c r="EI182" i="25" s="1"/>
  <c r="DY128" i="25"/>
  <c r="EG128" i="25" s="1"/>
  <c r="EX128" i="25" s="1"/>
  <c r="EF182" i="25"/>
  <c r="EW182" i="25" s="1"/>
  <c r="DY81" i="25"/>
  <c r="CH81" i="25" s="1"/>
  <c r="DY93" i="25"/>
  <c r="FL93" i="25" s="1"/>
  <c r="DY83" i="25"/>
  <c r="FL83" i="25" s="1"/>
  <c r="DY47" i="25"/>
  <c r="CH47" i="25" s="1"/>
  <c r="DY141" i="25"/>
  <c r="CH141" i="25" s="1"/>
  <c r="DY169" i="25"/>
  <c r="CH169" i="25" s="1"/>
  <c r="DY180" i="25"/>
  <c r="CH180" i="25" s="1"/>
  <c r="DY9" i="25"/>
  <c r="FL9" i="25" s="1"/>
  <c r="DY178" i="25"/>
  <c r="CH178" i="25" s="1"/>
  <c r="DY42" i="25"/>
  <c r="FL42" i="25" s="1"/>
  <c r="DY129" i="25"/>
  <c r="CH129" i="25" s="1"/>
  <c r="DY34" i="25"/>
  <c r="FL34" i="25" s="1"/>
  <c r="DY23" i="25"/>
  <c r="FL23" i="25" s="1"/>
  <c r="DY171" i="25"/>
  <c r="EG171" i="25" s="1"/>
  <c r="EX171" i="25" s="1"/>
  <c r="DY111" i="25"/>
  <c r="CH111" i="25" s="1"/>
  <c r="DY49" i="25"/>
  <c r="FL49" i="25" s="1"/>
  <c r="DY17" i="25"/>
  <c r="FL17" i="25" s="1"/>
  <c r="DY33" i="25"/>
  <c r="CG33" i="25" s="1"/>
  <c r="DY25" i="25"/>
  <c r="CH25" i="25" s="1"/>
  <c r="DY87" i="25"/>
  <c r="FL87" i="25" s="1"/>
  <c r="EY134" i="24"/>
  <c r="EL132" i="24"/>
  <c r="EB167" i="24"/>
  <c r="EY43" i="24"/>
  <c r="EB159" i="24"/>
  <c r="EB126" i="24"/>
  <c r="DX300" i="25"/>
  <c r="EC300" i="25" s="1"/>
  <c r="DY300" i="25"/>
  <c r="DX50" i="25"/>
  <c r="EC50" i="25" s="1"/>
  <c r="DY50" i="25"/>
  <c r="FL50" i="25" s="1"/>
  <c r="DX271" i="25"/>
  <c r="EC271" i="25" s="1"/>
  <c r="DY271" i="25"/>
  <c r="DX19" i="25"/>
  <c r="EC19" i="25" s="1"/>
  <c r="DY19" i="25"/>
  <c r="FL19" i="25" s="1"/>
  <c r="DX6" i="25"/>
  <c r="EC6" i="25" s="1"/>
  <c r="DY6" i="25"/>
  <c r="FL6" i="25" s="1"/>
  <c r="DX20" i="25"/>
  <c r="EC20" i="25" s="1"/>
  <c r="DY20" i="25"/>
  <c r="FL20" i="25" s="1"/>
  <c r="DY65" i="25"/>
  <c r="FL65" i="25" s="1"/>
  <c r="DX125" i="25"/>
  <c r="EC125" i="25" s="1"/>
  <c r="DY125" i="25"/>
  <c r="CH125" i="25" s="1"/>
  <c r="DX132" i="25"/>
  <c r="EC132" i="25" s="1"/>
  <c r="DY132" i="25"/>
  <c r="CH132" i="25" s="1"/>
  <c r="DX114" i="25"/>
  <c r="EC114" i="25" s="1"/>
  <c r="DY114" i="25"/>
  <c r="CG114" i="25" s="1"/>
  <c r="DY13" i="25"/>
  <c r="FL13" i="25" s="1"/>
  <c r="DX209" i="25"/>
  <c r="EC209" i="25" s="1"/>
  <c r="DY209" i="25"/>
  <c r="CH209" i="25" s="1"/>
  <c r="DX68" i="25"/>
  <c r="EC68" i="25" s="1"/>
  <c r="DY68" i="25"/>
  <c r="FL68" i="25" s="1"/>
  <c r="DY98" i="25"/>
  <c r="FL98" i="25" s="1"/>
  <c r="DX133" i="25"/>
  <c r="EC133" i="25" s="1"/>
  <c r="DY133" i="25"/>
  <c r="CH133" i="25" s="1"/>
  <c r="DX267" i="25"/>
  <c r="EC267" i="25" s="1"/>
  <c r="DY267" i="25"/>
  <c r="DX257" i="25"/>
  <c r="EC257" i="25" s="1"/>
  <c r="DY257" i="25"/>
  <c r="DY91" i="25"/>
  <c r="FL91" i="25" s="1"/>
  <c r="DX230" i="25"/>
  <c r="EC230" i="25" s="1"/>
  <c r="DY230" i="25"/>
  <c r="DX278" i="25"/>
  <c r="EC278" i="25" s="1"/>
  <c r="DY278" i="25"/>
  <c r="DY78" i="25"/>
  <c r="FL78" i="25" s="1"/>
  <c r="DX313" i="25"/>
  <c r="EC313" i="25" s="1"/>
  <c r="DY313" i="25"/>
  <c r="DX204" i="25"/>
  <c r="EC204" i="25" s="1"/>
  <c r="DY204" i="25"/>
  <c r="CH204" i="25" s="1"/>
  <c r="DY92" i="25"/>
  <c r="FL92" i="25" s="1"/>
  <c r="DX220" i="25"/>
  <c r="EC220" i="25" s="1"/>
  <c r="DY220" i="25"/>
  <c r="DY35" i="25"/>
  <c r="FL35" i="25" s="1"/>
  <c r="DX287" i="25"/>
  <c r="EC287" i="25" s="1"/>
  <c r="DY287" i="25"/>
  <c r="DX18" i="25"/>
  <c r="EC18" i="25" s="1"/>
  <c r="DY18" i="25"/>
  <c r="FL18" i="25" s="1"/>
  <c r="DY127" i="25"/>
  <c r="CG127" i="25" s="1"/>
  <c r="DX22" i="25"/>
  <c r="EC22" i="25" s="1"/>
  <c r="DY22" i="25"/>
  <c r="FL22" i="25" s="1"/>
  <c r="DX291" i="25"/>
  <c r="EC291" i="25" s="1"/>
  <c r="DY291" i="25"/>
  <c r="DX162" i="25"/>
  <c r="EC162" i="25" s="1"/>
  <c r="DY162" i="25"/>
  <c r="CH162" i="25" s="1"/>
  <c r="DX44" i="25"/>
  <c r="EC44" i="25" s="1"/>
  <c r="DY44" i="25"/>
  <c r="FL44" i="25" s="1"/>
  <c r="DX223" i="25"/>
  <c r="EC223" i="25" s="1"/>
  <c r="DY223" i="25"/>
  <c r="FA142" i="24"/>
  <c r="FA8" i="24"/>
  <c r="EB112" i="24"/>
  <c r="EB43" i="24"/>
  <c r="EY174" i="24"/>
  <c r="FA126" i="24"/>
  <c r="DX224" i="25"/>
  <c r="EC224" i="25" s="1"/>
  <c r="DY224" i="25"/>
  <c r="DX243" i="25"/>
  <c r="EC243" i="25" s="1"/>
  <c r="DY243" i="25"/>
  <c r="DX84" i="25"/>
  <c r="EC84" i="25" s="1"/>
  <c r="DY84" i="25"/>
  <c r="FL84" i="25" s="1"/>
  <c r="DY43" i="25"/>
  <c r="FL43" i="25" s="1"/>
  <c r="DX244" i="25"/>
  <c r="EC244" i="25" s="1"/>
  <c r="DY244" i="25"/>
  <c r="DX252" i="25"/>
  <c r="EC252" i="25" s="1"/>
  <c r="DY252" i="25"/>
  <c r="DX172" i="25"/>
  <c r="EC172" i="25" s="1"/>
  <c r="DY172" i="25"/>
  <c r="CH172" i="25" s="1"/>
  <c r="DY122" i="25"/>
  <c r="CG122" i="25" s="1"/>
  <c r="DX11" i="25"/>
  <c r="EC11" i="25" s="1"/>
  <c r="DY11" i="25"/>
  <c r="FL11" i="25" s="1"/>
  <c r="DX149" i="25"/>
  <c r="EC149" i="25" s="1"/>
  <c r="DY149" i="25"/>
  <c r="CH149" i="25" s="1"/>
  <c r="DX54" i="25"/>
  <c r="EC54" i="25" s="1"/>
  <c r="DY54" i="25"/>
  <c r="FL54" i="25" s="1"/>
  <c r="DX263" i="25"/>
  <c r="EC263" i="25" s="1"/>
  <c r="DY263" i="25"/>
  <c r="DY29" i="25"/>
  <c r="FL29" i="25" s="1"/>
  <c r="DY105" i="25"/>
  <c r="FL105" i="25" s="1"/>
  <c r="DX239" i="25"/>
  <c r="EC239" i="25" s="1"/>
  <c r="DY239" i="25"/>
  <c r="DX292" i="25"/>
  <c r="EC292" i="25" s="1"/>
  <c r="DY292" i="25"/>
  <c r="DX69" i="25"/>
  <c r="EC69" i="25" s="1"/>
  <c r="DY69" i="25"/>
  <c r="FL69" i="25" s="1"/>
  <c r="DY59" i="25"/>
  <c r="FL59" i="25" s="1"/>
  <c r="DY80" i="25"/>
  <c r="FL80" i="25" s="1"/>
  <c r="DX234" i="25"/>
  <c r="EC234" i="25" s="1"/>
  <c r="DY234" i="25"/>
  <c r="DX31" i="25"/>
  <c r="EC31" i="25" s="1"/>
  <c r="DY31" i="25"/>
  <c r="FL31" i="25" s="1"/>
  <c r="DX254" i="25"/>
  <c r="EC254" i="25" s="1"/>
  <c r="DY254" i="25"/>
  <c r="DX235" i="25"/>
  <c r="EC235" i="25" s="1"/>
  <c r="DY235" i="25"/>
  <c r="DX290" i="25"/>
  <c r="EC290" i="25" s="1"/>
  <c r="DY290" i="25"/>
  <c r="DX159" i="25"/>
  <c r="EC159" i="25" s="1"/>
  <c r="DY159" i="25"/>
  <c r="CH159" i="25" s="1"/>
  <c r="DY12" i="25"/>
  <c r="FL12" i="25" s="1"/>
  <c r="DX61" i="25"/>
  <c r="EC61" i="25" s="1"/>
  <c r="DY61" i="25"/>
  <c r="FL61" i="25" s="1"/>
  <c r="DX117" i="25"/>
  <c r="EC117" i="25" s="1"/>
  <c r="DY117" i="25"/>
  <c r="CH117" i="25" s="1"/>
  <c r="DY190" i="25"/>
  <c r="CH190" i="25" s="1"/>
  <c r="DY79" i="25"/>
  <c r="FL79" i="25" s="1"/>
  <c r="DY208" i="25"/>
  <c r="CH208" i="25" s="1"/>
  <c r="DX146" i="25"/>
  <c r="EC146" i="25" s="1"/>
  <c r="DY146" i="25"/>
  <c r="CH146" i="25" s="1"/>
  <c r="EL174" i="24"/>
  <c r="EL126" i="24"/>
  <c r="DX75" i="25"/>
  <c r="EC75" i="25" s="1"/>
  <c r="DY75" i="25"/>
  <c r="FL75" i="25" s="1"/>
  <c r="DX151" i="25"/>
  <c r="EC151" i="25" s="1"/>
  <c r="DY151" i="25"/>
  <c r="CH151" i="25" s="1"/>
  <c r="DX268" i="25"/>
  <c r="EC268" i="25" s="1"/>
  <c r="DY268" i="25"/>
  <c r="DX113" i="25"/>
  <c r="EC113" i="25" s="1"/>
  <c r="DY113" i="25"/>
  <c r="CH113" i="25" s="1"/>
  <c r="DX256" i="25"/>
  <c r="EC256" i="25" s="1"/>
  <c r="DY256" i="25"/>
  <c r="DX222" i="25"/>
  <c r="EC222" i="25" s="1"/>
  <c r="DY222" i="25"/>
  <c r="DX260" i="25"/>
  <c r="EC260" i="25" s="1"/>
  <c r="DY260" i="25"/>
  <c r="DX264" i="25"/>
  <c r="EC264" i="25" s="1"/>
  <c r="DY264" i="25"/>
  <c r="DX296" i="25"/>
  <c r="EC296" i="25" s="1"/>
  <c r="DY296" i="25"/>
  <c r="DX265" i="25"/>
  <c r="EC265" i="25" s="1"/>
  <c r="DY265" i="25"/>
  <c r="DY157" i="25"/>
  <c r="CH157" i="25" s="1"/>
  <c r="DX41" i="25"/>
  <c r="EC41" i="25" s="1"/>
  <c r="DY41" i="25"/>
  <c r="FL41" i="25" s="1"/>
  <c r="DX32" i="25"/>
  <c r="EC32" i="25" s="1"/>
  <c r="DY32" i="25"/>
  <c r="FL32" i="25" s="1"/>
  <c r="DX261" i="25"/>
  <c r="EC261" i="25" s="1"/>
  <c r="DY261" i="25"/>
  <c r="DX55" i="25"/>
  <c r="EC55" i="25" s="1"/>
  <c r="DY55" i="25"/>
  <c r="FL55" i="25" s="1"/>
  <c r="DX249" i="25"/>
  <c r="EC249" i="25" s="1"/>
  <c r="DY249" i="25"/>
  <c r="DX30" i="25"/>
  <c r="EC30" i="25" s="1"/>
  <c r="DY30" i="25"/>
  <c r="FL30" i="25" s="1"/>
  <c r="DX192" i="25"/>
  <c r="EC192" i="25" s="1"/>
  <c r="DY192" i="25"/>
  <c r="CG192" i="25" s="1"/>
  <c r="DX165" i="25"/>
  <c r="EC165" i="25" s="1"/>
  <c r="DY165" i="25"/>
  <c r="CH165" i="25" s="1"/>
  <c r="DX135" i="25"/>
  <c r="EC135" i="25" s="1"/>
  <c r="DY135" i="25"/>
  <c r="CH135" i="25" s="1"/>
  <c r="DX245" i="25"/>
  <c r="EC245" i="25" s="1"/>
  <c r="DY245" i="25"/>
  <c r="DY187" i="25"/>
  <c r="CG187" i="25" s="1"/>
  <c r="DX8" i="25"/>
  <c r="EC8" i="25" s="1"/>
  <c r="DY8" i="25"/>
  <c r="FL8" i="25" s="1"/>
  <c r="DX144" i="25"/>
  <c r="EC144" i="25" s="1"/>
  <c r="DY144" i="25"/>
  <c r="CH144" i="25" s="1"/>
  <c r="DY38" i="25"/>
  <c r="FL38" i="25" s="1"/>
  <c r="DY139" i="25"/>
  <c r="CH139" i="25" s="1"/>
  <c r="DY210" i="25"/>
  <c r="CH210" i="25" s="1"/>
  <c r="DY193" i="25"/>
  <c r="CH193" i="25" s="1"/>
  <c r="DX104" i="25"/>
  <c r="EC104" i="25" s="1"/>
  <c r="DY104" i="25"/>
  <c r="FL104" i="25" s="1"/>
  <c r="FA174" i="24"/>
  <c r="DX272" i="25"/>
  <c r="EC272" i="25" s="1"/>
  <c r="DY272" i="25"/>
  <c r="DX250" i="25"/>
  <c r="EC250" i="25" s="1"/>
  <c r="DY250" i="25"/>
  <c r="EE138" i="25"/>
  <c r="EG138" i="25"/>
  <c r="EX138" i="25" s="1"/>
  <c r="EF138" i="25"/>
  <c r="EW138" i="25" s="1"/>
  <c r="DX167" i="25"/>
  <c r="EC167" i="25" s="1"/>
  <c r="DY167" i="25"/>
  <c r="CH167" i="25" s="1"/>
  <c r="DX266" i="25"/>
  <c r="EC266" i="25" s="1"/>
  <c r="DY266" i="25"/>
  <c r="DX299" i="25"/>
  <c r="EC299" i="25" s="1"/>
  <c r="DY299" i="25"/>
  <c r="DX120" i="25"/>
  <c r="EC120" i="25" s="1"/>
  <c r="DY120" i="25"/>
  <c r="CH120" i="25" s="1"/>
  <c r="DX305" i="25"/>
  <c r="EC305" i="25" s="1"/>
  <c r="DY305" i="25"/>
  <c r="DX142" i="25"/>
  <c r="EC142" i="25" s="1"/>
  <c r="DY142" i="25"/>
  <c r="CH142" i="25" s="1"/>
  <c r="DY126" i="25"/>
  <c r="CH126" i="25" s="1"/>
  <c r="DX277" i="25"/>
  <c r="EC277" i="25" s="1"/>
  <c r="DY277" i="25"/>
  <c r="DX148" i="25"/>
  <c r="EC148" i="25" s="1"/>
  <c r="DY148" i="25"/>
  <c r="CG148" i="25" s="1"/>
  <c r="DX270" i="25"/>
  <c r="EC270" i="25" s="1"/>
  <c r="DY270" i="25"/>
  <c r="DX306" i="25"/>
  <c r="EC306" i="25" s="1"/>
  <c r="DY306" i="25"/>
  <c r="DX289" i="25"/>
  <c r="EC289" i="25" s="1"/>
  <c r="DY289" i="25"/>
  <c r="DX241" i="25"/>
  <c r="EC241" i="25" s="1"/>
  <c r="DY241" i="25"/>
  <c r="DX16" i="25"/>
  <c r="EC16" i="25" s="1"/>
  <c r="DY16" i="25"/>
  <c r="FL16" i="25" s="1"/>
  <c r="DY88" i="25"/>
  <c r="FL88" i="25" s="1"/>
  <c r="DX275" i="25"/>
  <c r="EC275" i="25" s="1"/>
  <c r="DY275" i="25"/>
  <c r="DX240" i="25"/>
  <c r="EC240" i="25" s="1"/>
  <c r="DY240" i="25"/>
  <c r="DX308" i="25"/>
  <c r="EC308" i="25" s="1"/>
  <c r="DY308" i="25"/>
  <c r="DX237" i="25"/>
  <c r="EC237" i="25" s="1"/>
  <c r="DY237" i="25"/>
  <c r="DX186" i="25"/>
  <c r="EC186" i="25" s="1"/>
  <c r="DY186" i="25"/>
  <c r="CH186" i="25" s="1"/>
  <c r="DX283" i="25"/>
  <c r="EC283" i="25" s="1"/>
  <c r="DY283" i="25"/>
  <c r="DX184" i="25"/>
  <c r="EC184" i="25" s="1"/>
  <c r="DY184" i="25"/>
  <c r="CG184" i="25" s="1"/>
  <c r="DX124" i="25"/>
  <c r="EC124" i="25" s="1"/>
  <c r="DY124" i="25"/>
  <c r="CH124" i="25" s="1"/>
  <c r="DX188" i="25"/>
  <c r="EC188" i="25" s="1"/>
  <c r="DY188" i="25"/>
  <c r="CH188" i="25" s="1"/>
  <c r="DX229" i="25"/>
  <c r="EC229" i="25" s="1"/>
  <c r="DY229" i="25"/>
  <c r="DY200" i="25"/>
  <c r="CG200" i="25" s="1"/>
  <c r="DY168" i="25"/>
  <c r="CH168" i="25" s="1"/>
  <c r="DX57" i="25"/>
  <c r="EC57" i="25" s="1"/>
  <c r="DY57" i="25"/>
  <c r="FL57" i="25" s="1"/>
  <c r="DX115" i="25"/>
  <c r="EC115" i="25" s="1"/>
  <c r="DY115" i="25"/>
  <c r="CG115" i="25" s="1"/>
  <c r="DX279" i="25"/>
  <c r="EC279" i="25" s="1"/>
  <c r="DY279" i="25"/>
  <c r="DX226" i="25"/>
  <c r="EC226" i="25" s="1"/>
  <c r="DY226" i="25"/>
  <c r="DX242" i="25"/>
  <c r="EC242" i="25" s="1"/>
  <c r="DY242" i="25"/>
  <c r="EG143" i="25"/>
  <c r="EX143" i="25" s="1"/>
  <c r="EE143" i="25"/>
  <c r="EF143" i="25"/>
  <c r="EW143" i="25" s="1"/>
  <c r="DX295" i="25"/>
  <c r="EC295" i="25" s="1"/>
  <c r="DY295" i="25"/>
  <c r="DX53" i="25"/>
  <c r="EC53" i="25" s="1"/>
  <c r="DY53" i="25"/>
  <c r="FL53" i="25" s="1"/>
  <c r="DX160" i="25"/>
  <c r="EC160" i="25" s="1"/>
  <c r="DY160" i="25"/>
  <c r="CH160" i="25" s="1"/>
  <c r="DY70" i="25"/>
  <c r="FL70" i="25" s="1"/>
  <c r="EB41" i="24"/>
  <c r="EL193" i="24"/>
  <c r="EL183" i="24"/>
  <c r="EY173" i="24"/>
  <c r="DX116" i="25"/>
  <c r="EC116" i="25" s="1"/>
  <c r="DY116" i="25"/>
  <c r="CH116" i="25" s="1"/>
  <c r="DY189" i="25"/>
  <c r="CH189" i="25" s="1"/>
  <c r="DX140" i="25"/>
  <c r="EC140" i="25" s="1"/>
  <c r="DY140" i="25"/>
  <c r="CH140" i="25" s="1"/>
  <c r="DX67" i="25"/>
  <c r="EC67" i="25" s="1"/>
  <c r="DY67" i="25"/>
  <c r="FL67" i="25" s="1"/>
  <c r="DY179" i="25"/>
  <c r="CH179" i="25" s="1"/>
  <c r="DX205" i="25"/>
  <c r="EC205" i="25" s="1"/>
  <c r="DY205" i="25"/>
  <c r="CG205" i="25" s="1"/>
  <c r="DX150" i="25"/>
  <c r="EC150" i="25" s="1"/>
  <c r="DY150" i="25"/>
  <c r="CH150" i="25" s="1"/>
  <c r="DX201" i="25"/>
  <c r="EC201" i="25" s="1"/>
  <c r="DY201" i="25"/>
  <c r="CH201" i="25" s="1"/>
  <c r="DY14" i="25"/>
  <c r="FL14" i="25" s="1"/>
  <c r="DY24" i="25"/>
  <c r="FL24" i="25" s="1"/>
  <c r="DX85" i="25"/>
  <c r="EC85" i="25" s="1"/>
  <c r="DY85" i="25"/>
  <c r="FL85" i="25" s="1"/>
  <c r="DY174" i="25"/>
  <c r="CG174" i="25" s="1"/>
  <c r="DX315" i="25"/>
  <c r="EC315" i="25" s="1"/>
  <c r="DY315" i="25"/>
  <c r="DY177" i="25"/>
  <c r="CH177" i="25" s="1"/>
  <c r="DY86" i="25"/>
  <c r="FL86" i="25" s="1"/>
  <c r="DX110" i="25"/>
  <c r="EC110" i="25" s="1"/>
  <c r="DY110" i="25"/>
  <c r="CH110" i="25" s="1"/>
  <c r="DX62" i="25"/>
  <c r="EC62" i="25" s="1"/>
  <c r="DY62" i="25"/>
  <c r="FL62" i="25" s="1"/>
  <c r="DY48" i="25"/>
  <c r="FL48" i="25" s="1"/>
  <c r="DY60" i="25"/>
  <c r="FL60" i="25" s="1"/>
  <c r="DX7" i="25"/>
  <c r="EC7" i="25" s="1"/>
  <c r="DY7" i="25"/>
  <c r="FL7" i="25" s="1"/>
  <c r="DX288" i="25"/>
  <c r="EC288" i="25" s="1"/>
  <c r="DY288" i="25"/>
  <c r="DX154" i="25"/>
  <c r="EC154" i="25" s="1"/>
  <c r="DY154" i="25"/>
  <c r="CH154" i="25" s="1"/>
  <c r="DX198" i="25"/>
  <c r="EC198" i="25" s="1"/>
  <c r="DY198" i="25"/>
  <c r="CG198" i="25" s="1"/>
  <c r="DY170" i="25"/>
  <c r="CG170" i="25" s="1"/>
  <c r="DX251" i="25"/>
  <c r="EC251" i="25" s="1"/>
  <c r="DY251" i="25"/>
  <c r="DX248" i="25"/>
  <c r="EC248" i="25" s="1"/>
  <c r="DY248" i="25"/>
  <c r="DX228" i="25"/>
  <c r="EC228" i="25" s="1"/>
  <c r="DY228" i="25"/>
  <c r="DY147" i="25"/>
  <c r="CG147" i="25" s="1"/>
  <c r="DY45" i="25"/>
  <c r="FL45" i="25" s="1"/>
  <c r="DX202" i="25"/>
  <c r="EC202" i="25" s="1"/>
  <c r="DY202" i="25"/>
  <c r="CH202" i="25" s="1"/>
  <c r="DX303" i="25"/>
  <c r="EC303" i="25" s="1"/>
  <c r="DY303" i="25"/>
  <c r="DY66" i="25"/>
  <c r="FL66" i="25" s="1"/>
  <c r="DX102" i="25"/>
  <c r="EC102" i="25" s="1"/>
  <c r="DY102" i="25"/>
  <c r="FL102" i="25" s="1"/>
  <c r="DY72" i="25"/>
  <c r="FL72" i="25" s="1"/>
  <c r="DX231" i="25"/>
  <c r="EC231" i="25" s="1"/>
  <c r="DY231" i="25"/>
  <c r="DX63" i="25"/>
  <c r="EC63" i="25" s="1"/>
  <c r="DY63" i="25"/>
  <c r="FL63" i="25" s="1"/>
  <c r="FA98" i="24"/>
  <c r="DX247" i="25"/>
  <c r="EC247" i="25" s="1"/>
  <c r="DY247" i="25"/>
  <c r="DX152" i="25"/>
  <c r="EC152" i="25" s="1"/>
  <c r="DY152" i="25"/>
  <c r="CH152" i="25" s="1"/>
  <c r="DX195" i="25"/>
  <c r="EC195" i="25" s="1"/>
  <c r="DY195" i="25"/>
  <c r="CH195" i="25" s="1"/>
  <c r="DX134" i="25"/>
  <c r="EC134" i="25" s="1"/>
  <c r="DY134" i="25"/>
  <c r="CH134" i="25" s="1"/>
  <c r="DX294" i="25"/>
  <c r="EC294" i="25" s="1"/>
  <c r="DY294" i="25"/>
  <c r="DY51" i="25"/>
  <c r="FL51" i="25" s="1"/>
  <c r="DX259" i="25"/>
  <c r="EC259" i="25" s="1"/>
  <c r="DY259" i="25"/>
  <c r="DY121" i="25"/>
  <c r="CH121" i="25" s="1"/>
  <c r="DX310" i="25"/>
  <c r="EC310" i="25" s="1"/>
  <c r="DY310" i="25"/>
  <c r="DX221" i="25"/>
  <c r="EC221" i="25" s="1"/>
  <c r="DY221" i="25"/>
  <c r="DX36" i="25"/>
  <c r="EC36" i="25" s="1"/>
  <c r="DY36" i="25"/>
  <c r="FL36" i="25" s="1"/>
  <c r="DX176" i="25"/>
  <c r="EC176" i="25" s="1"/>
  <c r="DY176" i="25"/>
  <c r="CH176" i="25" s="1"/>
  <c r="DX161" i="25"/>
  <c r="EC161" i="25" s="1"/>
  <c r="DY161" i="25"/>
  <c r="CH161" i="25" s="1"/>
  <c r="DX225" i="25"/>
  <c r="EC225" i="25" s="1"/>
  <c r="DY225" i="25"/>
  <c r="DX232" i="25"/>
  <c r="EC232" i="25" s="1"/>
  <c r="DY232" i="25"/>
  <c r="DX302" i="25"/>
  <c r="EC302" i="25" s="1"/>
  <c r="DY302" i="25"/>
  <c r="DX309" i="25"/>
  <c r="EC309" i="25" s="1"/>
  <c r="DY309" i="25"/>
  <c r="DX197" i="25"/>
  <c r="EC197" i="25" s="1"/>
  <c r="DY197" i="25"/>
  <c r="CH197" i="25" s="1"/>
  <c r="DX76" i="25"/>
  <c r="EC76" i="25" s="1"/>
  <c r="DY76" i="25"/>
  <c r="FL76" i="25" s="1"/>
  <c r="DX82" i="25"/>
  <c r="EC82" i="25" s="1"/>
  <c r="DY82" i="25"/>
  <c r="FL82" i="25" s="1"/>
  <c r="DY191" i="25"/>
  <c r="CH191" i="25" s="1"/>
  <c r="DX280" i="25"/>
  <c r="EC280" i="25" s="1"/>
  <c r="DY280" i="25"/>
  <c r="DX311" i="25"/>
  <c r="EC311" i="25" s="1"/>
  <c r="DY311" i="25"/>
  <c r="DY203" i="25"/>
  <c r="CH203" i="25" s="1"/>
  <c r="DY15" i="25"/>
  <c r="FL15" i="25" s="1"/>
  <c r="DY40" i="25"/>
  <c r="FL40" i="25" s="1"/>
  <c r="DX118" i="25"/>
  <c r="EC118" i="25" s="1"/>
  <c r="DY118" i="25"/>
  <c r="CG118" i="25" s="1"/>
  <c r="DX233" i="25"/>
  <c r="EC233" i="25" s="1"/>
  <c r="DY233" i="25"/>
  <c r="DX218" i="25"/>
  <c r="EC218" i="25" s="1"/>
  <c r="DY218" i="25"/>
  <c r="DX217" i="25"/>
  <c r="EC217" i="25" s="1"/>
  <c r="DY217" i="25"/>
  <c r="DX255" i="25"/>
  <c r="EC255" i="25" s="1"/>
  <c r="DY255" i="25"/>
  <c r="DX52" i="25"/>
  <c r="EC52" i="25" s="1"/>
  <c r="DY52" i="25"/>
  <c r="FL52" i="25" s="1"/>
  <c r="DX297" i="25"/>
  <c r="EC297" i="25" s="1"/>
  <c r="DY297" i="25"/>
  <c r="DX307" i="25"/>
  <c r="EC307" i="25" s="1"/>
  <c r="DY307" i="25"/>
  <c r="DX28" i="25"/>
  <c r="EC28" i="25" s="1"/>
  <c r="DY28" i="25"/>
  <c r="FL28" i="25" s="1"/>
  <c r="DX286" i="25"/>
  <c r="EC286" i="25" s="1"/>
  <c r="DY286" i="25"/>
  <c r="DX155" i="25"/>
  <c r="EC155" i="25" s="1"/>
  <c r="DY155" i="25"/>
  <c r="CG155" i="25" s="1"/>
  <c r="DX314" i="25"/>
  <c r="EC314" i="25" s="1"/>
  <c r="DY314" i="25"/>
  <c r="DX196" i="25"/>
  <c r="EC196" i="25" s="1"/>
  <c r="DY196" i="25"/>
  <c r="CH196" i="25" s="1"/>
  <c r="DX284" i="25"/>
  <c r="EC284" i="25" s="1"/>
  <c r="DY284" i="25"/>
  <c r="DX281" i="25"/>
  <c r="EC281" i="25" s="1"/>
  <c r="DY281" i="25"/>
  <c r="DX130" i="25"/>
  <c r="EC130" i="25" s="1"/>
  <c r="DY130" i="25"/>
  <c r="CG130" i="25" s="1"/>
  <c r="DX46" i="25"/>
  <c r="EC46" i="25" s="1"/>
  <c r="DY46" i="25"/>
  <c r="FL46" i="25" s="1"/>
  <c r="DY175" i="25"/>
  <c r="CH175" i="25" s="1"/>
  <c r="DX304" i="25"/>
  <c r="EC304" i="25" s="1"/>
  <c r="DY304" i="25"/>
  <c r="DX262" i="25"/>
  <c r="EC262" i="25" s="1"/>
  <c r="DY262" i="25"/>
  <c r="DX206" i="25"/>
  <c r="EC206" i="25" s="1"/>
  <c r="DY206" i="25"/>
  <c r="CH206" i="25" s="1"/>
  <c r="DX21" i="25"/>
  <c r="EC21" i="25" s="1"/>
  <c r="DY21" i="25"/>
  <c r="FL21" i="25" s="1"/>
  <c r="DY27" i="25"/>
  <c r="FL27" i="25" s="1"/>
  <c r="DX94" i="25"/>
  <c r="EC94" i="25" s="1"/>
  <c r="DY94" i="25"/>
  <c r="FL94" i="25" s="1"/>
  <c r="DX153" i="25"/>
  <c r="EC153" i="25" s="1"/>
  <c r="DY153" i="25"/>
  <c r="CH153" i="25" s="1"/>
  <c r="DX316" i="25"/>
  <c r="EC316" i="25" s="1"/>
  <c r="DY316" i="25"/>
  <c r="DX298" i="25"/>
  <c r="EC298" i="25" s="1"/>
  <c r="DY298" i="25"/>
  <c r="DY119" i="25"/>
  <c r="CG119" i="25" s="1"/>
  <c r="DX253" i="25"/>
  <c r="EC253" i="25" s="1"/>
  <c r="DY253" i="25"/>
  <c r="DX219" i="25"/>
  <c r="EC219" i="25" s="1"/>
  <c r="DY219" i="25"/>
  <c r="DX101" i="25"/>
  <c r="EC101" i="25" s="1"/>
  <c r="DY101" i="25"/>
  <c r="FL101" i="25" s="1"/>
  <c r="DX258" i="25"/>
  <c r="EC258" i="25" s="1"/>
  <c r="DY258" i="25"/>
  <c r="DX285" i="25"/>
  <c r="EC285" i="25" s="1"/>
  <c r="DY285" i="25"/>
  <c r="DX293" i="25"/>
  <c r="EC293" i="25" s="1"/>
  <c r="DY293" i="25"/>
  <c r="DX163" i="25"/>
  <c r="EC163" i="25" s="1"/>
  <c r="DY163" i="25"/>
  <c r="CH163" i="25" s="1"/>
  <c r="DX273" i="25"/>
  <c r="EC273" i="25" s="1"/>
  <c r="DY273" i="25"/>
  <c r="DX39" i="25"/>
  <c r="EC39" i="25" s="1"/>
  <c r="DY39" i="25"/>
  <c r="FL39" i="25" s="1"/>
  <c r="EF181" i="25"/>
  <c r="EW181" i="25" s="1"/>
  <c r="EG181" i="25"/>
  <c r="EX181" i="25" s="1"/>
  <c r="EE181" i="25"/>
  <c r="DX238" i="25"/>
  <c r="EC238" i="25" s="1"/>
  <c r="DY238" i="25"/>
  <c r="DX246" i="25"/>
  <c r="EC246" i="25" s="1"/>
  <c r="DY246" i="25"/>
  <c r="DX10" i="25"/>
  <c r="EC10" i="25" s="1"/>
  <c r="DY10" i="25"/>
  <c r="FL10" i="25" s="1"/>
  <c r="DX276" i="25"/>
  <c r="EC276" i="25" s="1"/>
  <c r="DY276" i="25"/>
  <c r="DX227" i="25"/>
  <c r="EC227" i="25" s="1"/>
  <c r="DY227" i="25"/>
  <c r="DX274" i="25"/>
  <c r="EC274" i="25" s="1"/>
  <c r="DY274" i="25"/>
  <c r="DX282" i="25"/>
  <c r="EC282" i="25" s="1"/>
  <c r="DY282" i="25"/>
  <c r="DX123" i="25"/>
  <c r="EC123" i="25" s="1"/>
  <c r="DY123" i="25"/>
  <c r="CH123" i="25" s="1"/>
  <c r="DX71" i="25"/>
  <c r="EC71" i="25" s="1"/>
  <c r="DY71" i="25"/>
  <c r="FL71" i="25" s="1"/>
  <c r="DX312" i="25"/>
  <c r="EC312" i="25" s="1"/>
  <c r="DY312" i="25"/>
  <c r="DX26" i="25"/>
  <c r="EC26" i="25" s="1"/>
  <c r="DY26" i="25"/>
  <c r="FL26" i="25" s="1"/>
  <c r="DX166" i="25"/>
  <c r="EC166" i="25" s="1"/>
  <c r="DY166" i="25"/>
  <c r="CH166" i="25" s="1"/>
  <c r="DX236" i="25"/>
  <c r="EC236" i="25" s="1"/>
  <c r="DY236" i="25"/>
  <c r="DX207" i="25"/>
  <c r="EC207" i="25" s="1"/>
  <c r="DY207" i="25"/>
  <c r="CH207" i="25" s="1"/>
  <c r="DX269" i="25"/>
  <c r="EC269" i="25" s="1"/>
  <c r="DY269" i="25"/>
  <c r="DY100" i="25"/>
  <c r="FL100" i="25" s="1"/>
  <c r="DX301" i="25"/>
  <c r="EC301" i="25" s="1"/>
  <c r="DY301" i="25"/>
  <c r="EY33" i="24"/>
  <c r="EB71" i="24"/>
  <c r="FA33" i="24"/>
  <c r="EY71" i="24"/>
  <c r="EL71" i="24"/>
  <c r="FA13" i="24"/>
  <c r="EL33" i="24"/>
  <c r="EB35" i="24"/>
  <c r="FA35" i="24"/>
  <c r="EL44" i="24"/>
  <c r="EY35" i="24"/>
  <c r="EY44" i="24"/>
  <c r="EB44" i="24"/>
  <c r="EL62" i="24"/>
  <c r="EL171" i="24"/>
  <c r="EB55" i="24"/>
  <c r="EB62" i="24"/>
  <c r="EY55" i="24"/>
  <c r="EY14" i="24"/>
  <c r="EB133" i="24"/>
  <c r="EY124" i="24"/>
  <c r="FA133" i="24"/>
  <c r="EB60" i="24"/>
  <c r="EB172" i="24"/>
  <c r="EY65" i="24"/>
  <c r="EL60" i="24"/>
  <c r="FA54" i="24"/>
  <c r="EB42" i="24"/>
  <c r="EL65" i="24"/>
  <c r="FA129" i="24"/>
  <c r="EY127" i="24"/>
  <c r="FA60" i="24"/>
  <c r="EY67" i="24"/>
  <c r="EL54" i="24"/>
  <c r="FA65" i="24"/>
  <c r="EB129" i="24"/>
  <c r="EL67" i="24"/>
  <c r="EB88" i="24"/>
  <c r="EN88" i="24"/>
  <c r="DW88" i="24"/>
  <c r="EM88" i="24"/>
  <c r="EP88" i="24" s="1"/>
  <c r="DU88" i="24"/>
  <c r="EL88" i="24"/>
  <c r="FA88" i="24"/>
  <c r="EY88" i="24"/>
  <c r="EL89" i="24"/>
  <c r="DW38" i="24"/>
  <c r="EN38" i="24"/>
  <c r="EM38" i="24"/>
  <c r="EP38" i="24" s="1"/>
  <c r="DU38" i="24"/>
  <c r="EY38" i="24"/>
  <c r="EL38" i="24"/>
  <c r="EB38" i="24"/>
  <c r="FA38" i="24"/>
  <c r="DW308" i="24"/>
  <c r="DU308" i="24"/>
  <c r="DW278" i="24"/>
  <c r="DU278" i="24"/>
  <c r="EN81" i="24"/>
  <c r="DW81" i="24"/>
  <c r="DY81" i="24" s="1"/>
  <c r="EF81" i="24" s="1"/>
  <c r="EM81" i="24"/>
  <c r="EP81" i="24" s="1"/>
  <c r="DU81" i="24"/>
  <c r="DW233" i="24"/>
  <c r="DU233" i="24"/>
  <c r="DW192" i="24"/>
  <c r="DY192" i="24" s="1"/>
  <c r="EF192" i="24" s="1"/>
  <c r="EN192" i="24"/>
  <c r="EM192" i="24"/>
  <c r="EP192" i="24" s="1"/>
  <c r="FA29" i="24"/>
  <c r="FA52" i="24"/>
  <c r="EN52" i="24"/>
  <c r="DW52" i="24"/>
  <c r="DY52" i="24" s="1"/>
  <c r="EF52" i="24" s="1"/>
  <c r="EM52" i="24"/>
  <c r="EP52" i="24" s="1"/>
  <c r="DU52" i="24"/>
  <c r="EE161" i="24"/>
  <c r="EE70" i="24"/>
  <c r="EE33" i="24"/>
  <c r="DW255" i="24"/>
  <c r="DU255" i="24"/>
  <c r="EL121" i="24"/>
  <c r="DW121" i="24"/>
  <c r="EN121" i="24"/>
  <c r="EM121" i="24"/>
  <c r="EP121" i="24" s="1"/>
  <c r="EY121" i="24"/>
  <c r="EB121" i="24"/>
  <c r="FA121" i="24"/>
  <c r="EL185" i="24"/>
  <c r="DW277" i="24"/>
  <c r="DU277" i="24"/>
  <c r="DW194" i="24"/>
  <c r="EN194" i="24"/>
  <c r="EM194" i="24"/>
  <c r="EP194" i="24" s="1"/>
  <c r="EB194" i="24"/>
  <c r="FA194" i="24"/>
  <c r="EL194" i="24"/>
  <c r="EY194" i="24"/>
  <c r="DW82" i="24"/>
  <c r="EN82" i="24"/>
  <c r="EM82" i="24"/>
  <c r="EP82" i="24" s="1"/>
  <c r="DU82" i="24"/>
  <c r="EB82" i="24"/>
  <c r="FA82" i="24"/>
  <c r="EL82" i="24"/>
  <c r="EY82" i="24"/>
  <c r="DW241" i="24"/>
  <c r="DU241" i="24"/>
  <c r="EE202" i="24"/>
  <c r="EL162" i="24"/>
  <c r="DW162" i="24"/>
  <c r="EN162" i="24"/>
  <c r="EM162" i="24"/>
  <c r="EP162" i="24" s="1"/>
  <c r="EY162" i="24"/>
  <c r="FA162" i="24"/>
  <c r="EB162" i="24"/>
  <c r="EE112" i="24"/>
  <c r="EL192" i="24"/>
  <c r="DW76" i="24"/>
  <c r="EN76" i="24"/>
  <c r="EM76" i="24"/>
  <c r="EP76" i="24" s="1"/>
  <c r="DU76" i="24"/>
  <c r="FA76" i="24"/>
  <c r="EY76" i="24"/>
  <c r="EL76" i="24"/>
  <c r="EB76" i="24"/>
  <c r="EE54" i="24"/>
  <c r="EB183" i="24"/>
  <c r="EL175" i="24"/>
  <c r="DW286" i="24"/>
  <c r="DU286" i="24"/>
  <c r="DW18" i="24"/>
  <c r="EN18" i="24"/>
  <c r="EM18" i="24"/>
  <c r="EP18" i="24" s="1"/>
  <c r="DU18" i="24"/>
  <c r="EL18" i="24"/>
  <c r="EB18" i="24"/>
  <c r="EY18" i="24"/>
  <c r="FA18" i="24"/>
  <c r="EL197" i="24"/>
  <c r="EY42" i="24"/>
  <c r="DW132" i="24"/>
  <c r="DY132" i="24" s="1"/>
  <c r="EF132" i="24" s="1"/>
  <c r="EN132" i="24"/>
  <c r="EM132" i="24"/>
  <c r="EP132" i="24" s="1"/>
  <c r="EB47" i="24"/>
  <c r="EE159" i="24"/>
  <c r="FA83" i="24"/>
  <c r="EN104" i="24"/>
  <c r="DW104" i="24"/>
  <c r="DY104" i="24" s="1"/>
  <c r="EF104" i="24" s="1"/>
  <c r="EM104" i="24"/>
  <c r="EP104" i="24" s="1"/>
  <c r="DU104" i="24"/>
  <c r="EB138" i="24"/>
  <c r="EN40" i="24"/>
  <c r="DW40" i="24"/>
  <c r="DY40" i="24" s="1"/>
  <c r="EF40" i="24" s="1"/>
  <c r="EM40" i="24"/>
  <c r="EP40" i="24" s="1"/>
  <c r="DU40" i="24"/>
  <c r="DW9" i="24"/>
  <c r="EN9" i="24"/>
  <c r="EM9" i="24"/>
  <c r="EP9" i="24" s="1"/>
  <c r="DU9" i="24"/>
  <c r="FA9" i="24"/>
  <c r="EB9" i="24"/>
  <c r="EY9" i="24"/>
  <c r="EL9" i="24"/>
  <c r="EE50" i="24"/>
  <c r="EE65" i="24"/>
  <c r="EL10" i="24"/>
  <c r="EL124" i="24"/>
  <c r="EY81" i="24"/>
  <c r="DW217" i="24"/>
  <c r="DU217" i="24"/>
  <c r="DW71" i="24"/>
  <c r="DY71" i="24" s="1"/>
  <c r="EF71" i="24" s="1"/>
  <c r="EN71" i="24"/>
  <c r="EM71" i="24"/>
  <c r="EP71" i="24" s="1"/>
  <c r="DU71" i="24"/>
  <c r="DW159" i="24"/>
  <c r="DY159" i="24" s="1"/>
  <c r="EF159" i="24" s="1"/>
  <c r="EN159" i="24"/>
  <c r="EM159" i="24"/>
  <c r="EP159" i="24" s="1"/>
  <c r="EE114" i="24"/>
  <c r="DW302" i="24"/>
  <c r="DU302" i="24"/>
  <c r="EL23" i="24"/>
  <c r="DW296" i="24"/>
  <c r="DU296" i="24"/>
  <c r="EN133" i="24"/>
  <c r="DW133" i="24"/>
  <c r="DY133" i="24" s="1"/>
  <c r="EF133" i="24" s="1"/>
  <c r="EM133" i="24"/>
  <c r="EP133" i="24" s="1"/>
  <c r="EL14" i="24"/>
  <c r="EB155" i="24"/>
  <c r="EE80" i="24"/>
  <c r="EB199" i="24"/>
  <c r="EE53" i="24"/>
  <c r="EE129" i="24"/>
  <c r="DW313" i="24"/>
  <c r="DU313" i="24"/>
  <c r="DW126" i="24"/>
  <c r="DY126" i="24" s="1"/>
  <c r="EF126" i="24" s="1"/>
  <c r="EN126" i="24"/>
  <c r="EM126" i="24"/>
  <c r="EP126" i="24" s="1"/>
  <c r="DW115" i="24"/>
  <c r="EN115" i="24"/>
  <c r="EM115" i="24"/>
  <c r="EP115" i="24" s="1"/>
  <c r="EY115" i="24"/>
  <c r="EL115" i="24"/>
  <c r="FA115" i="24"/>
  <c r="EB115" i="24"/>
  <c r="EE150" i="24"/>
  <c r="DW160" i="24"/>
  <c r="DY160" i="24" s="1"/>
  <c r="EF160" i="24" s="1"/>
  <c r="EN160" i="24"/>
  <c r="EM160" i="24"/>
  <c r="EP160" i="24" s="1"/>
  <c r="EE41" i="24"/>
  <c r="EN30" i="24"/>
  <c r="DW30" i="24"/>
  <c r="DY30" i="24" s="1"/>
  <c r="EF30" i="24" s="1"/>
  <c r="EM30" i="24"/>
  <c r="EP30" i="24" s="1"/>
  <c r="DU30" i="24"/>
  <c r="EB89" i="24"/>
  <c r="DW300" i="24"/>
  <c r="DU300" i="24"/>
  <c r="DW64" i="24"/>
  <c r="EN64" i="24"/>
  <c r="EM64" i="24"/>
  <c r="EP64" i="24" s="1"/>
  <c r="DU64" i="24"/>
  <c r="EB64" i="24"/>
  <c r="EL64" i="24"/>
  <c r="FA64" i="24"/>
  <c r="EY64" i="24"/>
  <c r="EE154" i="24"/>
  <c r="EE68" i="24"/>
  <c r="EE158" i="24"/>
  <c r="EN191" i="24"/>
  <c r="DW191" i="24"/>
  <c r="EM191" i="24"/>
  <c r="EP191" i="24" s="1"/>
  <c r="FA191" i="24"/>
  <c r="EL191" i="24"/>
  <c r="EB191" i="24"/>
  <c r="EY191" i="24"/>
  <c r="DW148" i="24"/>
  <c r="EN148" i="24"/>
  <c r="EM148" i="24"/>
  <c r="EP148" i="24" s="1"/>
  <c r="EL148" i="24"/>
  <c r="EY148" i="24"/>
  <c r="FA148" i="24"/>
  <c r="EB148" i="24"/>
  <c r="DW269" i="24"/>
  <c r="DU269" i="24"/>
  <c r="EN203" i="24"/>
  <c r="DW203" i="24"/>
  <c r="EM203" i="24"/>
  <c r="EP203" i="24" s="1"/>
  <c r="EY203" i="24"/>
  <c r="FA203" i="24"/>
  <c r="EB203" i="24"/>
  <c r="EL203" i="24"/>
  <c r="DW94" i="24"/>
  <c r="EN94" i="24"/>
  <c r="EM94" i="24"/>
  <c r="EP94" i="24" s="1"/>
  <c r="DU94" i="24"/>
  <c r="EY94" i="24"/>
  <c r="EB94" i="24"/>
  <c r="EL94" i="24"/>
  <c r="FA94" i="24"/>
  <c r="EB29" i="24"/>
  <c r="DW291" i="24"/>
  <c r="DU291" i="24"/>
  <c r="EL8" i="24"/>
  <c r="DW239" i="24"/>
  <c r="DU239" i="24"/>
  <c r="EE177" i="24"/>
  <c r="DW7" i="24"/>
  <c r="EN7" i="24"/>
  <c r="EM7" i="24"/>
  <c r="EP7" i="24" s="1"/>
  <c r="DU7" i="24"/>
  <c r="EL7" i="24"/>
  <c r="FA7" i="24"/>
  <c r="EY7" i="24"/>
  <c r="EB7" i="24"/>
  <c r="EE164" i="24"/>
  <c r="EY50" i="24"/>
  <c r="DW50" i="24"/>
  <c r="DY50" i="24" s="1"/>
  <c r="EF50" i="24" s="1"/>
  <c r="EN50" i="24"/>
  <c r="EM50" i="24"/>
  <c r="EP50" i="24" s="1"/>
  <c r="DU50" i="24"/>
  <c r="DW240" i="24"/>
  <c r="DU240" i="24"/>
  <c r="DW46" i="24"/>
  <c r="EN46" i="24"/>
  <c r="EM46" i="24"/>
  <c r="EP46" i="24" s="1"/>
  <c r="DU46" i="24"/>
  <c r="EY46" i="24"/>
  <c r="EB46" i="24"/>
  <c r="FA46" i="24"/>
  <c r="EL46" i="24"/>
  <c r="DW196" i="24"/>
  <c r="EN196" i="24"/>
  <c r="EM196" i="24"/>
  <c r="EP196" i="24" s="1"/>
  <c r="FA196" i="24"/>
  <c r="EL196" i="24"/>
  <c r="EY196" i="24"/>
  <c r="EB196" i="24"/>
  <c r="EN125" i="24"/>
  <c r="DW125" i="24"/>
  <c r="EM125" i="24"/>
  <c r="EP125" i="24" s="1"/>
  <c r="EB125" i="24"/>
  <c r="EL125" i="24"/>
  <c r="EY125" i="24"/>
  <c r="FA125" i="24"/>
  <c r="EN172" i="24"/>
  <c r="DW172" i="24"/>
  <c r="DY172" i="24" s="1"/>
  <c r="EF172" i="24" s="1"/>
  <c r="EM172" i="24"/>
  <c r="EP172" i="24" s="1"/>
  <c r="DW229" i="24"/>
  <c r="DU229" i="24"/>
  <c r="DW198" i="24"/>
  <c r="EN198" i="24"/>
  <c r="EM198" i="24"/>
  <c r="EP198" i="24" s="1"/>
  <c r="FA198" i="24"/>
  <c r="EL198" i="24"/>
  <c r="EY198" i="24"/>
  <c r="EB198" i="24"/>
  <c r="EL149" i="24"/>
  <c r="EN149" i="24"/>
  <c r="DW149" i="24"/>
  <c r="EM149" i="24"/>
  <c r="EP149" i="24" s="1"/>
  <c r="EB149" i="24"/>
  <c r="FA149" i="24"/>
  <c r="EY149" i="24"/>
  <c r="EB192" i="24"/>
  <c r="EN165" i="24"/>
  <c r="DW165" i="24"/>
  <c r="EM165" i="24"/>
  <c r="EP165" i="24" s="1"/>
  <c r="FA165" i="24"/>
  <c r="EB165" i="24"/>
  <c r="EY165" i="24"/>
  <c r="EL165" i="24"/>
  <c r="DW116" i="24"/>
  <c r="EN116" i="24"/>
  <c r="EM116" i="24"/>
  <c r="EP116" i="24" s="1"/>
  <c r="EL116" i="24"/>
  <c r="FA116" i="24"/>
  <c r="EB116" i="24"/>
  <c r="EY116" i="24"/>
  <c r="FA175" i="24"/>
  <c r="EL160" i="24"/>
  <c r="DW184" i="24"/>
  <c r="EN184" i="24"/>
  <c r="EM184" i="24"/>
  <c r="EP184" i="24" s="1"/>
  <c r="FA184" i="24"/>
  <c r="EY184" i="24"/>
  <c r="EL184" i="24"/>
  <c r="EB184" i="24"/>
  <c r="EE171" i="24"/>
  <c r="FA42" i="24"/>
  <c r="EY13" i="24"/>
  <c r="DW13" i="24"/>
  <c r="DY13" i="24" s="1"/>
  <c r="EF13" i="24" s="1"/>
  <c r="EN13" i="24"/>
  <c r="EM13" i="24"/>
  <c r="EP13" i="24" s="1"/>
  <c r="DU13" i="24"/>
  <c r="EY47" i="24"/>
  <c r="EB83" i="24"/>
  <c r="EY172" i="24"/>
  <c r="DW156" i="24"/>
  <c r="EN156" i="24"/>
  <c r="EM156" i="24"/>
  <c r="EP156" i="24" s="1"/>
  <c r="EB156" i="24"/>
  <c r="FA156" i="24"/>
  <c r="EY156" i="24"/>
  <c r="EL156" i="24"/>
  <c r="EY10" i="24"/>
  <c r="DW33" i="24"/>
  <c r="DY33" i="24" s="1"/>
  <c r="EF33" i="24" s="1"/>
  <c r="EN33" i="24"/>
  <c r="EM33" i="24"/>
  <c r="EP33" i="24" s="1"/>
  <c r="DU33" i="24"/>
  <c r="FA81" i="24"/>
  <c r="EL30" i="24"/>
  <c r="DW147" i="24"/>
  <c r="DY147" i="24" s="1"/>
  <c r="EF147" i="24" s="1"/>
  <c r="EN147" i="24"/>
  <c r="EM147" i="24"/>
  <c r="EP147" i="24" s="1"/>
  <c r="DW142" i="24"/>
  <c r="DY142" i="24" s="1"/>
  <c r="EF142" i="24" s="1"/>
  <c r="EN142" i="24"/>
  <c r="EM142" i="24"/>
  <c r="EP142" i="24" s="1"/>
  <c r="DW235" i="24"/>
  <c r="DU235" i="24"/>
  <c r="EE209" i="24"/>
  <c r="FA157" i="24"/>
  <c r="EE201" i="24"/>
  <c r="EE173" i="24"/>
  <c r="EY17" i="24"/>
  <c r="EN17" i="24"/>
  <c r="DW17" i="24"/>
  <c r="EM17" i="24"/>
  <c r="EP17" i="24" s="1"/>
  <c r="DU17" i="24"/>
  <c r="FA17" i="24"/>
  <c r="EB17" i="24"/>
  <c r="EL17" i="24"/>
  <c r="EB14" i="24"/>
  <c r="DW93" i="24"/>
  <c r="EN93" i="24"/>
  <c r="EM93" i="24"/>
  <c r="EP93" i="24" s="1"/>
  <c r="DU93" i="24"/>
  <c r="EL93" i="24"/>
  <c r="FA93" i="24"/>
  <c r="EB93" i="24"/>
  <c r="EY93" i="24"/>
  <c r="DW279" i="24"/>
  <c r="DU279" i="24"/>
  <c r="DW309" i="24"/>
  <c r="DU309" i="24"/>
  <c r="DW271" i="24"/>
  <c r="DU271" i="24"/>
  <c r="DW11" i="24"/>
  <c r="EN11" i="24"/>
  <c r="EM11" i="24"/>
  <c r="EP11" i="24" s="1"/>
  <c r="DU11" i="24"/>
  <c r="EL11" i="24"/>
  <c r="EB11" i="24"/>
  <c r="FA11" i="24"/>
  <c r="EY11" i="24"/>
  <c r="EL199" i="24"/>
  <c r="EN20" i="24"/>
  <c r="DW20" i="24"/>
  <c r="EM20" i="24"/>
  <c r="EP20" i="24" s="1"/>
  <c r="DU20" i="24"/>
  <c r="EB20" i="24"/>
  <c r="FA20" i="24"/>
  <c r="EL20" i="24"/>
  <c r="EY20" i="24"/>
  <c r="DW276" i="24"/>
  <c r="DU276" i="24"/>
  <c r="DW288" i="24"/>
  <c r="DU288" i="24"/>
  <c r="FA127" i="24"/>
  <c r="DW127" i="24"/>
  <c r="DY127" i="24" s="1"/>
  <c r="EF127" i="24" s="1"/>
  <c r="EN127" i="24"/>
  <c r="EM127" i="24"/>
  <c r="EP127" i="24" s="1"/>
  <c r="DW99" i="24"/>
  <c r="DY99" i="24" s="1"/>
  <c r="EF99" i="24" s="1"/>
  <c r="EN99" i="24"/>
  <c r="EM99" i="24"/>
  <c r="EP99" i="24" s="1"/>
  <c r="DU99" i="24"/>
  <c r="EE100" i="24"/>
  <c r="EN37" i="24"/>
  <c r="DW37" i="24"/>
  <c r="DY37" i="24" s="1"/>
  <c r="EF37" i="24" s="1"/>
  <c r="EM37" i="24"/>
  <c r="EP37" i="24" s="1"/>
  <c r="DU37" i="24"/>
  <c r="DW297" i="24"/>
  <c r="DU297" i="24"/>
  <c r="EE190" i="24"/>
  <c r="DW67" i="24"/>
  <c r="DY67" i="24" s="1"/>
  <c r="EF67" i="24" s="1"/>
  <c r="EN67" i="24"/>
  <c r="EM67" i="24"/>
  <c r="EP67" i="24" s="1"/>
  <c r="DU67" i="24"/>
  <c r="DW201" i="24"/>
  <c r="DY201" i="24" s="1"/>
  <c r="EF201" i="24" s="1"/>
  <c r="EN201" i="24"/>
  <c r="EM201" i="24"/>
  <c r="EP201" i="24" s="1"/>
  <c r="DW171" i="24"/>
  <c r="DY171" i="24" s="1"/>
  <c r="EF171" i="24" s="1"/>
  <c r="EN171" i="24"/>
  <c r="EM171" i="24"/>
  <c r="EP171" i="24" s="1"/>
  <c r="DW45" i="24"/>
  <c r="EN45" i="24"/>
  <c r="EM45" i="24"/>
  <c r="EP45" i="24" s="1"/>
  <c r="DU45" i="24"/>
  <c r="EL45" i="24"/>
  <c r="EB45" i="24"/>
  <c r="FA45" i="24"/>
  <c r="EY45" i="24"/>
  <c r="EL127" i="24"/>
  <c r="DW60" i="24"/>
  <c r="DY60" i="24" s="1"/>
  <c r="EF60" i="24" s="1"/>
  <c r="EN60" i="24"/>
  <c r="EM60" i="24"/>
  <c r="EP60" i="24" s="1"/>
  <c r="DU60" i="24"/>
  <c r="DW54" i="24"/>
  <c r="DY54" i="24" s="1"/>
  <c r="EF54" i="24" s="1"/>
  <c r="EN54" i="24"/>
  <c r="EM54" i="24"/>
  <c r="EP54" i="24" s="1"/>
  <c r="DU54" i="24"/>
  <c r="DW218" i="24"/>
  <c r="DU218" i="24"/>
  <c r="EE185" i="24"/>
  <c r="EB98" i="24"/>
  <c r="EY62" i="24"/>
  <c r="EN62" i="24"/>
  <c r="DW62" i="24"/>
  <c r="DY62" i="24" s="1"/>
  <c r="EF62" i="24" s="1"/>
  <c r="EM62" i="24"/>
  <c r="EP62" i="24" s="1"/>
  <c r="DU62" i="24"/>
  <c r="DW170" i="24"/>
  <c r="DY170" i="24" s="1"/>
  <c r="EF170" i="24" s="1"/>
  <c r="EN170" i="24"/>
  <c r="EM170" i="24"/>
  <c r="EP170" i="24" s="1"/>
  <c r="DW281" i="24"/>
  <c r="DU281" i="24"/>
  <c r="DW273" i="24"/>
  <c r="DU273" i="24"/>
  <c r="EE132" i="24"/>
  <c r="DW153" i="24"/>
  <c r="EN153" i="24"/>
  <c r="EM153" i="24"/>
  <c r="EP153" i="24" s="1"/>
  <c r="FA153" i="24"/>
  <c r="EY153" i="24"/>
  <c r="EB153" i="24"/>
  <c r="EL153" i="24"/>
  <c r="EB67" i="24"/>
  <c r="EN80" i="24"/>
  <c r="DW80" i="24"/>
  <c r="DY80" i="24" s="1"/>
  <c r="EF80" i="24" s="1"/>
  <c r="EM80" i="24"/>
  <c r="EP80" i="24" s="1"/>
  <c r="DU80" i="24"/>
  <c r="DW246" i="24"/>
  <c r="DU246" i="24"/>
  <c r="DW195" i="24"/>
  <c r="EN195" i="24"/>
  <c r="EM195" i="24"/>
  <c r="EP195" i="24" s="1"/>
  <c r="EB195" i="24"/>
  <c r="EL195" i="24"/>
  <c r="EY195" i="24"/>
  <c r="FA195" i="24"/>
  <c r="DW261" i="24"/>
  <c r="DU261" i="24"/>
  <c r="DW41" i="24"/>
  <c r="DY41" i="24" s="1"/>
  <c r="EF41" i="24" s="1"/>
  <c r="EN41" i="24"/>
  <c r="EM41" i="24"/>
  <c r="EP41" i="24" s="1"/>
  <c r="DU41" i="24"/>
  <c r="EE61" i="24"/>
  <c r="EB124" i="24"/>
  <c r="DW124" i="24"/>
  <c r="DY124" i="24" s="1"/>
  <c r="EF124" i="24" s="1"/>
  <c r="EN124" i="24"/>
  <c r="EM124" i="24"/>
  <c r="EP124" i="24" s="1"/>
  <c r="EE167" i="24"/>
  <c r="DW51" i="24"/>
  <c r="EN51" i="24"/>
  <c r="EM51" i="24"/>
  <c r="EP51" i="24" s="1"/>
  <c r="DU51" i="24"/>
  <c r="EL51" i="24"/>
  <c r="EY51" i="24"/>
  <c r="FA51" i="24"/>
  <c r="EB51" i="24"/>
  <c r="EE192" i="24"/>
  <c r="DW135" i="24"/>
  <c r="EN135" i="24"/>
  <c r="EM135" i="24"/>
  <c r="EP135" i="24" s="1"/>
  <c r="EL135" i="24"/>
  <c r="EB135" i="24"/>
  <c r="FA135" i="24"/>
  <c r="EY135" i="24"/>
  <c r="EB37" i="24"/>
  <c r="EL52" i="24"/>
  <c r="EE183" i="24"/>
  <c r="EB160" i="24"/>
  <c r="DW55" i="24"/>
  <c r="DY55" i="24" s="1"/>
  <c r="EF55" i="24" s="1"/>
  <c r="EN55" i="24"/>
  <c r="EM55" i="24"/>
  <c r="EP55" i="24" s="1"/>
  <c r="DU55" i="24"/>
  <c r="EE197" i="24"/>
  <c r="DW268" i="24"/>
  <c r="DU268" i="24"/>
  <c r="DW65" i="24"/>
  <c r="DY65" i="24" s="1"/>
  <c r="EF65" i="24" s="1"/>
  <c r="EN65" i="24"/>
  <c r="EM65" i="24"/>
  <c r="EP65" i="24" s="1"/>
  <c r="DU65" i="24"/>
  <c r="EY83" i="24"/>
  <c r="EL99" i="24"/>
  <c r="FA55" i="24"/>
  <c r="DW12" i="24"/>
  <c r="EN12" i="24"/>
  <c r="EM12" i="24"/>
  <c r="EP12" i="24" s="1"/>
  <c r="DU12" i="24"/>
  <c r="EL12" i="24"/>
  <c r="EB12" i="24"/>
  <c r="EY12" i="24"/>
  <c r="FA12" i="24"/>
  <c r="EE138" i="24"/>
  <c r="FA172" i="24"/>
  <c r="DW27" i="24"/>
  <c r="EN27" i="24"/>
  <c r="EM27" i="24"/>
  <c r="EP27" i="24" s="1"/>
  <c r="DU27" i="24"/>
  <c r="FA27" i="24"/>
  <c r="EL27" i="24"/>
  <c r="EB27" i="24"/>
  <c r="EY27" i="24"/>
  <c r="EN136" i="24"/>
  <c r="DW136" i="24"/>
  <c r="DY136" i="24" s="1"/>
  <c r="EF136" i="24" s="1"/>
  <c r="EM136" i="24"/>
  <c r="EP136" i="24" s="1"/>
  <c r="EE124" i="24"/>
  <c r="EE81" i="24"/>
  <c r="DW117" i="24"/>
  <c r="EN117" i="24"/>
  <c r="EM117" i="24"/>
  <c r="EP117" i="24" s="1"/>
  <c r="EL117" i="24"/>
  <c r="FA117" i="24"/>
  <c r="EY117" i="24"/>
  <c r="EB117" i="24"/>
  <c r="EE30" i="24"/>
  <c r="EN85" i="24"/>
  <c r="DW85" i="24"/>
  <c r="EM85" i="24"/>
  <c r="EP85" i="24" s="1"/>
  <c r="DU85" i="24"/>
  <c r="EL85" i="24"/>
  <c r="EB85" i="24"/>
  <c r="EY85" i="24"/>
  <c r="FA85" i="24"/>
  <c r="DW129" i="24"/>
  <c r="DY129" i="24" s="1"/>
  <c r="EF129" i="24" s="1"/>
  <c r="EN129" i="24"/>
  <c r="EM129" i="24"/>
  <c r="EP129" i="24" s="1"/>
  <c r="EE23" i="24"/>
  <c r="DW111" i="24"/>
  <c r="DY111" i="24" s="1"/>
  <c r="EF111" i="24" s="1"/>
  <c r="EN111" i="24"/>
  <c r="EM111" i="24"/>
  <c r="EP111" i="24" s="1"/>
  <c r="EB157" i="24"/>
  <c r="EN113" i="24"/>
  <c r="DW113" i="24"/>
  <c r="EM113" i="24"/>
  <c r="EP113" i="24" s="1"/>
  <c r="EY113" i="24"/>
  <c r="EB113" i="24"/>
  <c r="EL113" i="24"/>
  <c r="FA113" i="24"/>
  <c r="EL158" i="24"/>
  <c r="DW158" i="24"/>
  <c r="DY158" i="24" s="1"/>
  <c r="EF158" i="24" s="1"/>
  <c r="EN158" i="24"/>
  <c r="EM158" i="24"/>
  <c r="EP158" i="24" s="1"/>
  <c r="DW222" i="24"/>
  <c r="DU222" i="24"/>
  <c r="DW134" i="24"/>
  <c r="DY134" i="24" s="1"/>
  <c r="EF134" i="24" s="1"/>
  <c r="EN134" i="24"/>
  <c r="EM134" i="24"/>
  <c r="EP134" i="24" s="1"/>
  <c r="DW189" i="24"/>
  <c r="EN189" i="24"/>
  <c r="EM189" i="24"/>
  <c r="EP189" i="24" s="1"/>
  <c r="EB189" i="24"/>
  <c r="EL189" i="24"/>
  <c r="FA189" i="24"/>
  <c r="EY189" i="24"/>
  <c r="EE155" i="24"/>
  <c r="DW227" i="24"/>
  <c r="DU227" i="24"/>
  <c r="EY133" i="24"/>
  <c r="DW220" i="24"/>
  <c r="DU220" i="24"/>
  <c r="DW44" i="24"/>
  <c r="DY44" i="24" s="1"/>
  <c r="EF44" i="24" s="1"/>
  <c r="EN44" i="24"/>
  <c r="EM44" i="24"/>
  <c r="EP44" i="24" s="1"/>
  <c r="DU44" i="24"/>
  <c r="DW204" i="24"/>
  <c r="EN204" i="24"/>
  <c r="EM204" i="24"/>
  <c r="EP204" i="24" s="1"/>
  <c r="FA204" i="24"/>
  <c r="EL204" i="24"/>
  <c r="EB204" i="24"/>
  <c r="EY204" i="24"/>
  <c r="EE89" i="24"/>
  <c r="DW207" i="24"/>
  <c r="EN207" i="24"/>
  <c r="EM207" i="24"/>
  <c r="EP207" i="24" s="1"/>
  <c r="FA207" i="24"/>
  <c r="EB207" i="24"/>
  <c r="EL207" i="24"/>
  <c r="EY207" i="24"/>
  <c r="EN155" i="24"/>
  <c r="DW155" i="24"/>
  <c r="DY155" i="24" s="1"/>
  <c r="EF155" i="24" s="1"/>
  <c r="EM155" i="24"/>
  <c r="EP155" i="24" s="1"/>
  <c r="DW226" i="24"/>
  <c r="DU226" i="24"/>
  <c r="EE193" i="24"/>
  <c r="EE71" i="24"/>
  <c r="EN177" i="24"/>
  <c r="DW177" i="24"/>
  <c r="DY177" i="24" s="1"/>
  <c r="EF177" i="24" s="1"/>
  <c r="EM177" i="24"/>
  <c r="EP177" i="24" s="1"/>
  <c r="EL140" i="24"/>
  <c r="DW140" i="24"/>
  <c r="EN140" i="24"/>
  <c r="EM140" i="24"/>
  <c r="EP140" i="24" s="1"/>
  <c r="EB140" i="24"/>
  <c r="FA140" i="24"/>
  <c r="EY140" i="24"/>
  <c r="EB49" i="24"/>
  <c r="DW49" i="24"/>
  <c r="EN49" i="24"/>
  <c r="EM49" i="24"/>
  <c r="EP49" i="24" s="1"/>
  <c r="DU49" i="24"/>
  <c r="EY49" i="24"/>
  <c r="FA49" i="24"/>
  <c r="EL49" i="24"/>
  <c r="EE29" i="24"/>
  <c r="DW185" i="24"/>
  <c r="DY185" i="24" s="1"/>
  <c r="EF185" i="24" s="1"/>
  <c r="EN185" i="24"/>
  <c r="EM185" i="24"/>
  <c r="EP185" i="24" s="1"/>
  <c r="EN29" i="24"/>
  <c r="DW29" i="24"/>
  <c r="DY29" i="24" s="1"/>
  <c r="EF29" i="24" s="1"/>
  <c r="EM29" i="24"/>
  <c r="EP29" i="24" s="1"/>
  <c r="DU29" i="24"/>
  <c r="EE170" i="24"/>
  <c r="EN182" i="24"/>
  <c r="DW182" i="24"/>
  <c r="EM182" i="24"/>
  <c r="EP182" i="24" s="1"/>
  <c r="EL182" i="24"/>
  <c r="EB182" i="24"/>
  <c r="EY182" i="24"/>
  <c r="FA182" i="24"/>
  <c r="DW270" i="24"/>
  <c r="DU270" i="24"/>
  <c r="DW303" i="24"/>
  <c r="DU303" i="24"/>
  <c r="DW130" i="24"/>
  <c r="EN130" i="24"/>
  <c r="EM130" i="24"/>
  <c r="EP130" i="24" s="1"/>
  <c r="EB130" i="24"/>
  <c r="EY130" i="24"/>
  <c r="FA130" i="24"/>
  <c r="EL130" i="24"/>
  <c r="DW219" i="24"/>
  <c r="DU219" i="24"/>
  <c r="FA15" i="24"/>
  <c r="DW15" i="24"/>
  <c r="EN15" i="24"/>
  <c r="EM15" i="24"/>
  <c r="EP15" i="24" s="1"/>
  <c r="DU15" i="24"/>
  <c r="EL15" i="24"/>
  <c r="EB15" i="24"/>
  <c r="EY15" i="24"/>
  <c r="EE104" i="24"/>
  <c r="DW289" i="24"/>
  <c r="DU289" i="24"/>
  <c r="DW315" i="24"/>
  <c r="DU315" i="24"/>
  <c r="EY36" i="24"/>
  <c r="DW36" i="24"/>
  <c r="EN36" i="24"/>
  <c r="EM36" i="24"/>
  <c r="EP36" i="24" s="1"/>
  <c r="DU36" i="24"/>
  <c r="EB36" i="24"/>
  <c r="FA36" i="24"/>
  <c r="EL36" i="24"/>
  <c r="EY186" i="24"/>
  <c r="EE175" i="24"/>
  <c r="EE160" i="24"/>
  <c r="DW19" i="24"/>
  <c r="EN19" i="24"/>
  <c r="EM19" i="24"/>
  <c r="EP19" i="24" s="1"/>
  <c r="DU19" i="24"/>
  <c r="EL19" i="24"/>
  <c r="EB19" i="24"/>
  <c r="FA19" i="24"/>
  <c r="EY19" i="24"/>
  <c r="EY99" i="24"/>
  <c r="DW79" i="24"/>
  <c r="EN79" i="24"/>
  <c r="EM79" i="24"/>
  <c r="EP79" i="24" s="1"/>
  <c r="DU79" i="24"/>
  <c r="EY79" i="24"/>
  <c r="EB79" i="24"/>
  <c r="EL79" i="24"/>
  <c r="FA79" i="24"/>
  <c r="DW280" i="24"/>
  <c r="DU280" i="24"/>
  <c r="EE10" i="24"/>
  <c r="DW224" i="24"/>
  <c r="DU224" i="24"/>
  <c r="FA48" i="24"/>
  <c r="DW48" i="24"/>
  <c r="DY48" i="24" s="1"/>
  <c r="EF48" i="24" s="1"/>
  <c r="EN48" i="24"/>
  <c r="EM48" i="24"/>
  <c r="EP48" i="24" s="1"/>
  <c r="DU48" i="24"/>
  <c r="EL157" i="24"/>
  <c r="DW188" i="24"/>
  <c r="EN188" i="24"/>
  <c r="EM188" i="24"/>
  <c r="EP188" i="24" s="1"/>
  <c r="EY188" i="24"/>
  <c r="FA188" i="24"/>
  <c r="EL188" i="24"/>
  <c r="EB188" i="24"/>
  <c r="EL155" i="24"/>
  <c r="DW21" i="24"/>
  <c r="EN21" i="24"/>
  <c r="EM21" i="24"/>
  <c r="EP21" i="24" s="1"/>
  <c r="DU21" i="24"/>
  <c r="EY21" i="24"/>
  <c r="EB21" i="24"/>
  <c r="EL21" i="24"/>
  <c r="FA21" i="24"/>
  <c r="EN146" i="24"/>
  <c r="DW146" i="24"/>
  <c r="EM146" i="24"/>
  <c r="EP146" i="24" s="1"/>
  <c r="EB146" i="24"/>
  <c r="EL146" i="24"/>
  <c r="FA146" i="24"/>
  <c r="EY146" i="24"/>
  <c r="EL53" i="24"/>
  <c r="DW168" i="24"/>
  <c r="EN168" i="24"/>
  <c r="EM168" i="24"/>
  <c r="EP168" i="24" s="1"/>
  <c r="EY168" i="24"/>
  <c r="EL168" i="24"/>
  <c r="FA168" i="24"/>
  <c r="EB168" i="24"/>
  <c r="DW304" i="24"/>
  <c r="DU304" i="24"/>
  <c r="DW231" i="24"/>
  <c r="DU231" i="24"/>
  <c r="DW112" i="24"/>
  <c r="DY112" i="24" s="1"/>
  <c r="EF112" i="24" s="1"/>
  <c r="EN112" i="24"/>
  <c r="EM112" i="24"/>
  <c r="EP112" i="24" s="1"/>
  <c r="DW257" i="24"/>
  <c r="DU257" i="24"/>
  <c r="DW298" i="24"/>
  <c r="DU298" i="24"/>
  <c r="DW181" i="24"/>
  <c r="EN181" i="24"/>
  <c r="EM181" i="24"/>
  <c r="EP181" i="24" s="1"/>
  <c r="EB181" i="24"/>
  <c r="FA181" i="24"/>
  <c r="EY181" i="24"/>
  <c r="EL181" i="24"/>
  <c r="DW265" i="24"/>
  <c r="DU265" i="24"/>
  <c r="EE147" i="24"/>
  <c r="DW251" i="24"/>
  <c r="DU251" i="24"/>
  <c r="DW166" i="24"/>
  <c r="EN166" i="24"/>
  <c r="EM166" i="24"/>
  <c r="EP166" i="24" s="1"/>
  <c r="EB166" i="24"/>
  <c r="EL166" i="24"/>
  <c r="EY166" i="24"/>
  <c r="FA166" i="24"/>
  <c r="DW144" i="24"/>
  <c r="EN144" i="24"/>
  <c r="EM144" i="24"/>
  <c r="EP144" i="24" s="1"/>
  <c r="FA144" i="24"/>
  <c r="EB144" i="24"/>
  <c r="EL144" i="24"/>
  <c r="EY144" i="24"/>
  <c r="DW83" i="24"/>
  <c r="DY83" i="24" s="1"/>
  <c r="EF83" i="24" s="1"/>
  <c r="EN83" i="24"/>
  <c r="EM83" i="24"/>
  <c r="EP83" i="24" s="1"/>
  <c r="DU83" i="24"/>
  <c r="EE13" i="24"/>
  <c r="EN114" i="24"/>
  <c r="DW114" i="24"/>
  <c r="DY114" i="24" s="1"/>
  <c r="EF114" i="24" s="1"/>
  <c r="EM114" i="24"/>
  <c r="EP114" i="24" s="1"/>
  <c r="DW312" i="24"/>
  <c r="DU312" i="24"/>
  <c r="DW292" i="24"/>
  <c r="DU292" i="24"/>
  <c r="DW316" i="24"/>
  <c r="DU316" i="24"/>
  <c r="EE8" i="24"/>
  <c r="DW253" i="24"/>
  <c r="DU253" i="24"/>
  <c r="EN16" i="24"/>
  <c r="DW16" i="24"/>
  <c r="EM16" i="24"/>
  <c r="EP16" i="24" s="1"/>
  <c r="DU16" i="24"/>
  <c r="EL16" i="24"/>
  <c r="EY16" i="24"/>
  <c r="EB16" i="24"/>
  <c r="FA16" i="24"/>
  <c r="DW228" i="24"/>
  <c r="DU228" i="24"/>
  <c r="DW225" i="24"/>
  <c r="DU225" i="24"/>
  <c r="EE25" i="24"/>
  <c r="EN97" i="24"/>
  <c r="DW97" i="24"/>
  <c r="EM97" i="24"/>
  <c r="EP97" i="24" s="1"/>
  <c r="DU97" i="24"/>
  <c r="FA97" i="24"/>
  <c r="EY97" i="24"/>
  <c r="EB97" i="24"/>
  <c r="EL97" i="24"/>
  <c r="DW180" i="24"/>
  <c r="EN180" i="24"/>
  <c r="EM180" i="24"/>
  <c r="EP180" i="24" s="1"/>
  <c r="FA180" i="24"/>
  <c r="EY180" i="24"/>
  <c r="EB180" i="24"/>
  <c r="EL180" i="24"/>
  <c r="DW311" i="24"/>
  <c r="DU311" i="24"/>
  <c r="FA23" i="24"/>
  <c r="DW23" i="24"/>
  <c r="DY23" i="24" s="1"/>
  <c r="EF23" i="24" s="1"/>
  <c r="EN23" i="24"/>
  <c r="EM23" i="24"/>
  <c r="EP23" i="24" s="1"/>
  <c r="DU23" i="24"/>
  <c r="DW205" i="24"/>
  <c r="EN205" i="24"/>
  <c r="EM205" i="24"/>
  <c r="EP205" i="24" s="1"/>
  <c r="EL205" i="24"/>
  <c r="EB205" i="24"/>
  <c r="FA205" i="24"/>
  <c r="EY205" i="24"/>
  <c r="DW86" i="24"/>
  <c r="EN86" i="24"/>
  <c r="EM86" i="24"/>
  <c r="EP86" i="24" s="1"/>
  <c r="DU86" i="24"/>
  <c r="FA86" i="24"/>
  <c r="EL86" i="24"/>
  <c r="EB86" i="24"/>
  <c r="EY86" i="24"/>
  <c r="DW254" i="24"/>
  <c r="DU254" i="24"/>
  <c r="DW161" i="24"/>
  <c r="DY161" i="24" s="1"/>
  <c r="EF161" i="24" s="1"/>
  <c r="EN161" i="24"/>
  <c r="EM161" i="24"/>
  <c r="EP161" i="24" s="1"/>
  <c r="DW187" i="24"/>
  <c r="EN187" i="24"/>
  <c r="EM187" i="24"/>
  <c r="EP187" i="24" s="1"/>
  <c r="EY187" i="24"/>
  <c r="EL187" i="24"/>
  <c r="FA187" i="24"/>
  <c r="EB187" i="24"/>
  <c r="DW101" i="24"/>
  <c r="EN101" i="24"/>
  <c r="EM101" i="24"/>
  <c r="EP101" i="24" s="1"/>
  <c r="DU101" i="24"/>
  <c r="EB101" i="24"/>
  <c r="EL101" i="24"/>
  <c r="FA101" i="24"/>
  <c r="EY101" i="24"/>
  <c r="DW8" i="24"/>
  <c r="DY8" i="24" s="1"/>
  <c r="EF8" i="24" s="1"/>
  <c r="EN8" i="24"/>
  <c r="EM8" i="24"/>
  <c r="EP8" i="24" s="1"/>
  <c r="DU8" i="24"/>
  <c r="EY37" i="24"/>
  <c r="EE52" i="24"/>
  <c r="EN175" i="24"/>
  <c r="DW175" i="24"/>
  <c r="DY175" i="24" s="1"/>
  <c r="EF175" i="24" s="1"/>
  <c r="EM175" i="24"/>
  <c r="EP175" i="24" s="1"/>
  <c r="DW248" i="24"/>
  <c r="DU248" i="24"/>
  <c r="EE62" i="24"/>
  <c r="DW95" i="24"/>
  <c r="EN95" i="24"/>
  <c r="EM95" i="24"/>
  <c r="EP95" i="24" s="1"/>
  <c r="DU95" i="24"/>
  <c r="EY95" i="24"/>
  <c r="EB95" i="24"/>
  <c r="EL95" i="24"/>
  <c r="FA95" i="24"/>
  <c r="DW69" i="24"/>
  <c r="EN69" i="24"/>
  <c r="EM69" i="24"/>
  <c r="EP69" i="24" s="1"/>
  <c r="DU69" i="24"/>
  <c r="EL69" i="24"/>
  <c r="FA69" i="24"/>
  <c r="EB69" i="24"/>
  <c r="EY69" i="24"/>
  <c r="EN77" i="24"/>
  <c r="DW77" i="24"/>
  <c r="DY77" i="24" s="1"/>
  <c r="EF77" i="24" s="1"/>
  <c r="EM77" i="24"/>
  <c r="EP77" i="24" s="1"/>
  <c r="DU77" i="24"/>
  <c r="EE47" i="24"/>
  <c r="FA99" i="24"/>
  <c r="FA63" i="24"/>
  <c r="DW63" i="24"/>
  <c r="DY63" i="24" s="1"/>
  <c r="EF63" i="24" s="1"/>
  <c r="EN63" i="24"/>
  <c r="EM63" i="24"/>
  <c r="EP63" i="24" s="1"/>
  <c r="DU63" i="24"/>
  <c r="EB50" i="24"/>
  <c r="DW237" i="24"/>
  <c r="DU237" i="24"/>
  <c r="DW200" i="24"/>
  <c r="EN200" i="24"/>
  <c r="EM200" i="24"/>
  <c r="EP200" i="24" s="1"/>
  <c r="EY200" i="24"/>
  <c r="EB200" i="24"/>
  <c r="FA200" i="24"/>
  <c r="EL200" i="24"/>
  <c r="EB63" i="24"/>
  <c r="EL61" i="24"/>
  <c r="DW61" i="24"/>
  <c r="DY61" i="24" s="1"/>
  <c r="EF61" i="24" s="1"/>
  <c r="EN61" i="24"/>
  <c r="EM61" i="24"/>
  <c r="EP61" i="24" s="1"/>
  <c r="DU61" i="24"/>
  <c r="EN183" i="24"/>
  <c r="DW183" i="24"/>
  <c r="DY183" i="24" s="1"/>
  <c r="EF183" i="24" s="1"/>
  <c r="EM183" i="24"/>
  <c r="EP183" i="24" s="1"/>
  <c r="EB114" i="24"/>
  <c r="DW73" i="24"/>
  <c r="EN73" i="24"/>
  <c r="EM73" i="24"/>
  <c r="EP73" i="24" s="1"/>
  <c r="DU73" i="24"/>
  <c r="EY73" i="24"/>
  <c r="EL73" i="24"/>
  <c r="FA73" i="24"/>
  <c r="EB73" i="24"/>
  <c r="DW14" i="24"/>
  <c r="DY14" i="24" s="1"/>
  <c r="EF14" i="24" s="1"/>
  <c r="EN14" i="24"/>
  <c r="EM14" i="24"/>
  <c r="EP14" i="24" s="1"/>
  <c r="DU14" i="24"/>
  <c r="EE14" i="24"/>
  <c r="DW123" i="24"/>
  <c r="DY123" i="24" s="1"/>
  <c r="EF123" i="24" s="1"/>
  <c r="EN123" i="24"/>
  <c r="EM123" i="24"/>
  <c r="EP123" i="24" s="1"/>
  <c r="DW284" i="24"/>
  <c r="DU284" i="24"/>
  <c r="DW103" i="24"/>
  <c r="DY103" i="24" s="1"/>
  <c r="EF103" i="24" s="1"/>
  <c r="EN103" i="24"/>
  <c r="EM103" i="24"/>
  <c r="EP103" i="24" s="1"/>
  <c r="DU103" i="24"/>
  <c r="FA80" i="24"/>
  <c r="DW290" i="24"/>
  <c r="DU290" i="24"/>
  <c r="EN210" i="24"/>
  <c r="DW210" i="24"/>
  <c r="EM210" i="24"/>
  <c r="EP210" i="24" s="1"/>
  <c r="EY210" i="24"/>
  <c r="EB210" i="24"/>
  <c r="EL210" i="24"/>
  <c r="FA210" i="24"/>
  <c r="DW91" i="24"/>
  <c r="EN91" i="24"/>
  <c r="EM91" i="24"/>
  <c r="EP91" i="24" s="1"/>
  <c r="DU91" i="24"/>
  <c r="FA91" i="24"/>
  <c r="EB91" i="24"/>
  <c r="EL91" i="24"/>
  <c r="EY91" i="24"/>
  <c r="EY53" i="24"/>
  <c r="DW267" i="24"/>
  <c r="DU267" i="24"/>
  <c r="DW259" i="24"/>
  <c r="DU259" i="24"/>
  <c r="DW66" i="24"/>
  <c r="EN66" i="24"/>
  <c r="EM66" i="24"/>
  <c r="EP66" i="24" s="1"/>
  <c r="DU66" i="24"/>
  <c r="EY66" i="24"/>
  <c r="EL66" i="24"/>
  <c r="EB66" i="24"/>
  <c r="FA66" i="24"/>
  <c r="EE126" i="24"/>
  <c r="DW6" i="24"/>
  <c r="EN6" i="24"/>
  <c r="EM6" i="24"/>
  <c r="EP6" i="24" s="1"/>
  <c r="DU6" i="24"/>
  <c r="EY6" i="24"/>
  <c r="EB6" i="24"/>
  <c r="EL6" i="24"/>
  <c r="FA6" i="24"/>
  <c r="DW35" i="24"/>
  <c r="DY35" i="24" s="1"/>
  <c r="EF35" i="24" s="1"/>
  <c r="EN35" i="24"/>
  <c r="EM35" i="24"/>
  <c r="EP35" i="24" s="1"/>
  <c r="DU35" i="24"/>
  <c r="DW131" i="24"/>
  <c r="EN131" i="24"/>
  <c r="EM131" i="24"/>
  <c r="EP131" i="24" s="1"/>
  <c r="EL131" i="24"/>
  <c r="EY131" i="24"/>
  <c r="EB131" i="24"/>
  <c r="FA131" i="24"/>
  <c r="DW250" i="24"/>
  <c r="DU250" i="24"/>
  <c r="DW202" i="24"/>
  <c r="DY202" i="24" s="1"/>
  <c r="EF202" i="24" s="1"/>
  <c r="EN202" i="24"/>
  <c r="EM202" i="24"/>
  <c r="EP202" i="24" s="1"/>
  <c r="EE122" i="24"/>
  <c r="EE127" i="24"/>
  <c r="EE152" i="24"/>
  <c r="DW232" i="24"/>
  <c r="DU232" i="24"/>
  <c r="DW258" i="24"/>
  <c r="DU258" i="24"/>
  <c r="DW118" i="24"/>
  <c r="EN118" i="24"/>
  <c r="EM118" i="24"/>
  <c r="EP118" i="24" s="1"/>
  <c r="FA118" i="24"/>
  <c r="EL118" i="24"/>
  <c r="EY118" i="24"/>
  <c r="EB118" i="24"/>
  <c r="EN199" i="24"/>
  <c r="DW199" i="24"/>
  <c r="DY199" i="24" s="1"/>
  <c r="EF199" i="24" s="1"/>
  <c r="EM199" i="24"/>
  <c r="EP199" i="24" s="1"/>
  <c r="EN186" i="24"/>
  <c r="DW186" i="24"/>
  <c r="DY186" i="24" s="1"/>
  <c r="EF186" i="24" s="1"/>
  <c r="EM186" i="24"/>
  <c r="EP186" i="24" s="1"/>
  <c r="DW266" i="24"/>
  <c r="DU266" i="24"/>
  <c r="FA177" i="24"/>
  <c r="DW176" i="24"/>
  <c r="EN176" i="24"/>
  <c r="EM176" i="24"/>
  <c r="EP176" i="24" s="1"/>
  <c r="EL176" i="24"/>
  <c r="EB176" i="24"/>
  <c r="FA176" i="24"/>
  <c r="EY176" i="24"/>
  <c r="EE67" i="24"/>
  <c r="DW47" i="24"/>
  <c r="DY47" i="24" s="1"/>
  <c r="EF47" i="24" s="1"/>
  <c r="EN47" i="24"/>
  <c r="EM47" i="24"/>
  <c r="EP47" i="24" s="1"/>
  <c r="DU47" i="24"/>
  <c r="EE40" i="24"/>
  <c r="DW310" i="24"/>
  <c r="DU310" i="24"/>
  <c r="EY202" i="24"/>
  <c r="DW260" i="24"/>
  <c r="DU260" i="24"/>
  <c r="DW98" i="24"/>
  <c r="DY98" i="24" s="1"/>
  <c r="EF98" i="24" s="1"/>
  <c r="EN98" i="24"/>
  <c r="EM98" i="24"/>
  <c r="EP98" i="24" s="1"/>
  <c r="DU98" i="24"/>
  <c r="DW209" i="24"/>
  <c r="DY209" i="24" s="1"/>
  <c r="EF209" i="24" s="1"/>
  <c r="EN209" i="24"/>
  <c r="EM209" i="24"/>
  <c r="EP209" i="24" s="1"/>
  <c r="EE35" i="24"/>
  <c r="EE37" i="24"/>
  <c r="FA186" i="24"/>
  <c r="EN128" i="24"/>
  <c r="DW128" i="24"/>
  <c r="DY128" i="24" s="1"/>
  <c r="EF128" i="24" s="1"/>
  <c r="EM128" i="24"/>
  <c r="EP128" i="24" s="1"/>
  <c r="DW236" i="24"/>
  <c r="DU236" i="24"/>
  <c r="EE42" i="24"/>
  <c r="DW305" i="24"/>
  <c r="DU305" i="24"/>
  <c r="EE83" i="24"/>
  <c r="EB99" i="24"/>
  <c r="EE172" i="24"/>
  <c r="DW179" i="24"/>
  <c r="EN179" i="24"/>
  <c r="EM179" i="24"/>
  <c r="EP179" i="24" s="1"/>
  <c r="EY179" i="24"/>
  <c r="EB179" i="24"/>
  <c r="FA179" i="24"/>
  <c r="EL179" i="24"/>
  <c r="DW139" i="24"/>
  <c r="EN139" i="24"/>
  <c r="EM139" i="24"/>
  <c r="EP139" i="24" s="1"/>
  <c r="EY139" i="24"/>
  <c r="EL139" i="24"/>
  <c r="EB139" i="24"/>
  <c r="FA139" i="24"/>
  <c r="DW223" i="24"/>
  <c r="DU223" i="24"/>
  <c r="DW138" i="24"/>
  <c r="DY138" i="24" s="1"/>
  <c r="EF138" i="24" s="1"/>
  <c r="EN138" i="24"/>
  <c r="EM138" i="24"/>
  <c r="EP138" i="24" s="1"/>
  <c r="EN150" i="24"/>
  <c r="DW150" i="24"/>
  <c r="DY150" i="24" s="1"/>
  <c r="EF150" i="24" s="1"/>
  <c r="EM150" i="24"/>
  <c r="EP150" i="24" s="1"/>
  <c r="DW178" i="24"/>
  <c r="EN178" i="24"/>
  <c r="EM178" i="24"/>
  <c r="EP178" i="24" s="1"/>
  <c r="EL178" i="24"/>
  <c r="EB178" i="24"/>
  <c r="FA178" i="24"/>
  <c r="EY178" i="24"/>
  <c r="DW263" i="24"/>
  <c r="DU263" i="24"/>
  <c r="EN59" i="24"/>
  <c r="DW59" i="24"/>
  <c r="EM59" i="24"/>
  <c r="EP59" i="24" s="1"/>
  <c r="DU59" i="24"/>
  <c r="EL59" i="24"/>
  <c r="EB59" i="24"/>
  <c r="FA59" i="24"/>
  <c r="EY59" i="24"/>
  <c r="FA114" i="24"/>
  <c r="DW301" i="24"/>
  <c r="DU301" i="24"/>
  <c r="EY209" i="24"/>
  <c r="DW164" i="24"/>
  <c r="DY164" i="24" s="1"/>
  <c r="EF164" i="24" s="1"/>
  <c r="EN164" i="24"/>
  <c r="EM164" i="24"/>
  <c r="EP164" i="24" s="1"/>
  <c r="EE157" i="24"/>
  <c r="EB201" i="24"/>
  <c r="DW256" i="24"/>
  <c r="DU256" i="24"/>
  <c r="DW122" i="24"/>
  <c r="DY122" i="24" s="1"/>
  <c r="EF122" i="24" s="1"/>
  <c r="EN122" i="24"/>
  <c r="EM122" i="24"/>
  <c r="EP122" i="24" s="1"/>
  <c r="EL80" i="24"/>
  <c r="DW151" i="24"/>
  <c r="EN151" i="24"/>
  <c r="EM151" i="24"/>
  <c r="EP151" i="24" s="1"/>
  <c r="FA151" i="24"/>
  <c r="EY151" i="24"/>
  <c r="EL151" i="24"/>
  <c r="EB151" i="24"/>
  <c r="DW238" i="24"/>
  <c r="DU238" i="24"/>
  <c r="DW299" i="24"/>
  <c r="DU299" i="24"/>
  <c r="FA53" i="24"/>
  <c r="DW208" i="24"/>
  <c r="EN208" i="24"/>
  <c r="EM208" i="24"/>
  <c r="EP208" i="24" s="1"/>
  <c r="EL208" i="24"/>
  <c r="EY208" i="24"/>
  <c r="FA208" i="24"/>
  <c r="EB208" i="24"/>
  <c r="DW56" i="24"/>
  <c r="EN56" i="24"/>
  <c r="EM56" i="24"/>
  <c r="EP56" i="24" s="1"/>
  <c r="DU56" i="24"/>
  <c r="FA56" i="24"/>
  <c r="EB56" i="24"/>
  <c r="EL56" i="24"/>
  <c r="EY56" i="24"/>
  <c r="EN100" i="24"/>
  <c r="DW100" i="24"/>
  <c r="DY100" i="24" s="1"/>
  <c r="EF100" i="24" s="1"/>
  <c r="EM100" i="24"/>
  <c r="EP100" i="24" s="1"/>
  <c r="DU100" i="24"/>
  <c r="DW295" i="24"/>
  <c r="DU295" i="24"/>
  <c r="EY105" i="24"/>
  <c r="DW105" i="24"/>
  <c r="EN105" i="24"/>
  <c r="EM105" i="24"/>
  <c r="EP105" i="24" s="1"/>
  <c r="DU105" i="24"/>
  <c r="EL105" i="24"/>
  <c r="EB105" i="24"/>
  <c r="FA105" i="24"/>
  <c r="EE77" i="24"/>
  <c r="DW264" i="24"/>
  <c r="DU264" i="24"/>
  <c r="EE48" i="24"/>
  <c r="DW34" i="24"/>
  <c r="EN34" i="24"/>
  <c r="EM34" i="24"/>
  <c r="EP34" i="24" s="1"/>
  <c r="DU34" i="24"/>
  <c r="FA34" i="24"/>
  <c r="EL34" i="24"/>
  <c r="EY34" i="24"/>
  <c r="EB34" i="24"/>
  <c r="EN89" i="24"/>
  <c r="DW89" i="24"/>
  <c r="DY89" i="24" s="1"/>
  <c r="EF89" i="24" s="1"/>
  <c r="EM89" i="24"/>
  <c r="EP89" i="24" s="1"/>
  <c r="DU89" i="24"/>
  <c r="DW274" i="24"/>
  <c r="DU274" i="24"/>
  <c r="EE111" i="24"/>
  <c r="EE24" i="24"/>
  <c r="EE134" i="24"/>
  <c r="DW247" i="24"/>
  <c r="DU247" i="24"/>
  <c r="EE142" i="24"/>
  <c r="DW294" i="24"/>
  <c r="DU294" i="24"/>
  <c r="EY185" i="24"/>
  <c r="EE98" i="24"/>
  <c r="EY154" i="24"/>
  <c r="DW154" i="24"/>
  <c r="DY154" i="24" s="1"/>
  <c r="EF154" i="24" s="1"/>
  <c r="EN154" i="24"/>
  <c r="EM154" i="24"/>
  <c r="EP154" i="24" s="1"/>
  <c r="EN57" i="24"/>
  <c r="DW57" i="24"/>
  <c r="EM57" i="24"/>
  <c r="EP57" i="24" s="1"/>
  <c r="DU57" i="24"/>
  <c r="EL57" i="24"/>
  <c r="EY57" i="24"/>
  <c r="EB57" i="24"/>
  <c r="FA57" i="24"/>
  <c r="EL177" i="24"/>
  <c r="DW262" i="24"/>
  <c r="DU262" i="24"/>
  <c r="EE145" i="24"/>
  <c r="DW193" i="24"/>
  <c r="DY193" i="24" s="1"/>
  <c r="EF193" i="24" s="1"/>
  <c r="EN193" i="24"/>
  <c r="EM193" i="24"/>
  <c r="EP193" i="24" s="1"/>
  <c r="DW287" i="24"/>
  <c r="DU287" i="24"/>
  <c r="EL202" i="24"/>
  <c r="FA192" i="24"/>
  <c r="EE123" i="24"/>
  <c r="DW157" i="24"/>
  <c r="DY157" i="24" s="1"/>
  <c r="EF157" i="24" s="1"/>
  <c r="EN157" i="24"/>
  <c r="EM157" i="24"/>
  <c r="EP157" i="24" s="1"/>
  <c r="FA37" i="24"/>
  <c r="EY52" i="24"/>
  <c r="DW31" i="24"/>
  <c r="EN31" i="24"/>
  <c r="EM31" i="24"/>
  <c r="EP31" i="24" s="1"/>
  <c r="DU31" i="24"/>
  <c r="FA31" i="24"/>
  <c r="EY31" i="24"/>
  <c r="EB31" i="24"/>
  <c r="EL31" i="24"/>
  <c r="EL186" i="24"/>
  <c r="EB171" i="24"/>
  <c r="EE99" i="24"/>
  <c r="EE55" i="24"/>
  <c r="EY138" i="24"/>
  <c r="DW206" i="24"/>
  <c r="EN206" i="24"/>
  <c r="EM206" i="24"/>
  <c r="EP206" i="24" s="1"/>
  <c r="EB206" i="24"/>
  <c r="FA206" i="24"/>
  <c r="EY206" i="24"/>
  <c r="EL206" i="24"/>
  <c r="FA50" i="24"/>
  <c r="DW32" i="24"/>
  <c r="EN32" i="24"/>
  <c r="EM32" i="24"/>
  <c r="EP32" i="24" s="1"/>
  <c r="DU32" i="24"/>
  <c r="EY32" i="24"/>
  <c r="EL32" i="24"/>
  <c r="FA32" i="24"/>
  <c r="EB32" i="24"/>
  <c r="EE26" i="24"/>
  <c r="EB81" i="24"/>
  <c r="DW293" i="24"/>
  <c r="DU293" i="24"/>
  <c r="EY63" i="24"/>
  <c r="EB30" i="24"/>
  <c r="EL114" i="24"/>
  <c r="EE174" i="24"/>
  <c r="EE44" i="24"/>
  <c r="FA209" i="24"/>
  <c r="EL201" i="24"/>
  <c r="DW307" i="24"/>
  <c r="DU307" i="24"/>
  <c r="DW68" i="24"/>
  <c r="DY68" i="24" s="1"/>
  <c r="EF68" i="24" s="1"/>
  <c r="EN68" i="24"/>
  <c r="EM68" i="24"/>
  <c r="EP68" i="24" s="1"/>
  <c r="DU68" i="24"/>
  <c r="DW282" i="24"/>
  <c r="DU282" i="24"/>
  <c r="EY80" i="24"/>
  <c r="DW197" i="24"/>
  <c r="DY197" i="24" s="1"/>
  <c r="EF197" i="24" s="1"/>
  <c r="EN197" i="24"/>
  <c r="EM197" i="24"/>
  <c r="EP197" i="24" s="1"/>
  <c r="EY199" i="24"/>
  <c r="EL119" i="24"/>
  <c r="EN119" i="24"/>
  <c r="DW119" i="24"/>
  <c r="EM119" i="24"/>
  <c r="EP119" i="24" s="1"/>
  <c r="FA119" i="24"/>
  <c r="EY119" i="24"/>
  <c r="EB119" i="24"/>
  <c r="FA24" i="24"/>
  <c r="DW24" i="24"/>
  <c r="DY24" i="24" s="1"/>
  <c r="EF24" i="24" s="1"/>
  <c r="EN24" i="24"/>
  <c r="EM24" i="24"/>
  <c r="EP24" i="24" s="1"/>
  <c r="DU24" i="24"/>
  <c r="EE133" i="24"/>
  <c r="DW173" i="24"/>
  <c r="DY173" i="24" s="1"/>
  <c r="EF173" i="24" s="1"/>
  <c r="EN173" i="24"/>
  <c r="EM173" i="24"/>
  <c r="EP173" i="24" s="1"/>
  <c r="DW70" i="24"/>
  <c r="DY70" i="24" s="1"/>
  <c r="EF70" i="24" s="1"/>
  <c r="EN70" i="24"/>
  <c r="EM70" i="24"/>
  <c r="EP70" i="24" s="1"/>
  <c r="DU70" i="24"/>
  <c r="DW28" i="24"/>
  <c r="EN28" i="24"/>
  <c r="EM28" i="24"/>
  <c r="EP28" i="24" s="1"/>
  <c r="DU28" i="24"/>
  <c r="EY28" i="24"/>
  <c r="FA28" i="24"/>
  <c r="EB28" i="24"/>
  <c r="EL28" i="24"/>
  <c r="DW141" i="24"/>
  <c r="EN141" i="24"/>
  <c r="EM141" i="24"/>
  <c r="EP141" i="24" s="1"/>
  <c r="EL141" i="24"/>
  <c r="EY141" i="24"/>
  <c r="FA141" i="24"/>
  <c r="EB141" i="24"/>
  <c r="EE128" i="24"/>
  <c r="FA89" i="24"/>
  <c r="EB143" i="24"/>
  <c r="DW143" i="24"/>
  <c r="EN143" i="24"/>
  <c r="EM143" i="24"/>
  <c r="EP143" i="24" s="1"/>
  <c r="EL143" i="24"/>
  <c r="EY143" i="24"/>
  <c r="FA143" i="24"/>
  <c r="EY120" i="24"/>
  <c r="DW120" i="24"/>
  <c r="EN120" i="24"/>
  <c r="EM120" i="24"/>
  <c r="EP120" i="24" s="1"/>
  <c r="FA120" i="24"/>
  <c r="EL120" i="24"/>
  <c r="EB120" i="24"/>
  <c r="EB154" i="24"/>
  <c r="DW87" i="24"/>
  <c r="EN87" i="24"/>
  <c r="EM87" i="24"/>
  <c r="EP87" i="24" s="1"/>
  <c r="DU87" i="24"/>
  <c r="FA87" i="24"/>
  <c r="EY87" i="24"/>
  <c r="EL87" i="24"/>
  <c r="EB87" i="24"/>
  <c r="EE103" i="24"/>
  <c r="DW102" i="24"/>
  <c r="EN102" i="24"/>
  <c r="EM102" i="24"/>
  <c r="EP102" i="24" s="1"/>
  <c r="DU102" i="24"/>
  <c r="FA102" i="24"/>
  <c r="EY102" i="24"/>
  <c r="EL102" i="24"/>
  <c r="EB102" i="24"/>
  <c r="DW306" i="24"/>
  <c r="DU306" i="24"/>
  <c r="DW10" i="24"/>
  <c r="DY10" i="24" s="1"/>
  <c r="EF10" i="24" s="1"/>
  <c r="EN10" i="24"/>
  <c r="EM10" i="24"/>
  <c r="EP10" i="24" s="1"/>
  <c r="DU10" i="24"/>
  <c r="DW252" i="24"/>
  <c r="DU252" i="24"/>
  <c r="EL29" i="24"/>
  <c r="DW249" i="24"/>
  <c r="DU249" i="24"/>
  <c r="DW272" i="24"/>
  <c r="DU272" i="24"/>
  <c r="EB185" i="24"/>
  <c r="EE60" i="24"/>
  <c r="EB177" i="24"/>
  <c r="DW152" i="24"/>
  <c r="DY152" i="24" s="1"/>
  <c r="EF152" i="24" s="1"/>
  <c r="EN152" i="24"/>
  <c r="EM152" i="24"/>
  <c r="EP152" i="24" s="1"/>
  <c r="EL164" i="24"/>
  <c r="DW230" i="24"/>
  <c r="DU230" i="24"/>
  <c r="EE136" i="24"/>
  <c r="DW163" i="24"/>
  <c r="EN163" i="24"/>
  <c r="EM163" i="24"/>
  <c r="EP163" i="24" s="1"/>
  <c r="FA163" i="24"/>
  <c r="EB163" i="24"/>
  <c r="EL163" i="24"/>
  <c r="EY163" i="24"/>
  <c r="DW53" i="24"/>
  <c r="DY53" i="24" s="1"/>
  <c r="EF53" i="24" s="1"/>
  <c r="EN53" i="24"/>
  <c r="EM53" i="24"/>
  <c r="EP53" i="24" s="1"/>
  <c r="DU53" i="24"/>
  <c r="EB58" i="24"/>
  <c r="DW58" i="24"/>
  <c r="EN58" i="24"/>
  <c r="EM58" i="24"/>
  <c r="EP58" i="24" s="1"/>
  <c r="DU58" i="24"/>
  <c r="FA58" i="24"/>
  <c r="EL58" i="24"/>
  <c r="EY58" i="24"/>
  <c r="DW137" i="24"/>
  <c r="EN137" i="24"/>
  <c r="EM137" i="24"/>
  <c r="EP137" i="24" s="1"/>
  <c r="EY137" i="24"/>
  <c r="EB137" i="24"/>
  <c r="EL137" i="24"/>
  <c r="FA137" i="24"/>
  <c r="DW314" i="24"/>
  <c r="DU314" i="24"/>
  <c r="EB202" i="24"/>
  <c r="FA25" i="24"/>
  <c r="EN25" i="24"/>
  <c r="DW25" i="24"/>
  <c r="DY25" i="24" s="1"/>
  <c r="EF25" i="24" s="1"/>
  <c r="EM25" i="24"/>
  <c r="EP25" i="24" s="1"/>
  <c r="DU25" i="24"/>
  <c r="EY192" i="24"/>
  <c r="EN42" i="24"/>
  <c r="DW42" i="24"/>
  <c r="DY42" i="24" s="1"/>
  <c r="EF42" i="24" s="1"/>
  <c r="EM42" i="24"/>
  <c r="EP42" i="24" s="1"/>
  <c r="DU42" i="24"/>
  <c r="EY54" i="24"/>
  <c r="FA183" i="24"/>
  <c r="EE186" i="24"/>
  <c r="EB175" i="24"/>
  <c r="EY160" i="24"/>
  <c r="DW245" i="24"/>
  <c r="DU245" i="24"/>
  <c r="EY171" i="24"/>
  <c r="EE43" i="24"/>
  <c r="FA197" i="24"/>
  <c r="DW22" i="24"/>
  <c r="EN22" i="24"/>
  <c r="EM22" i="24"/>
  <c r="EP22" i="24" s="1"/>
  <c r="DU22" i="24"/>
  <c r="FA22" i="24"/>
  <c r="EB22" i="24"/>
  <c r="EL22" i="24"/>
  <c r="EY22" i="24"/>
  <c r="EL47" i="24"/>
  <c r="EL138" i="24"/>
  <c r="EN72" i="24"/>
  <c r="DW72" i="24"/>
  <c r="EM72" i="24"/>
  <c r="EP72" i="24" s="1"/>
  <c r="DU72" i="24"/>
  <c r="EY72" i="24"/>
  <c r="EL72" i="24"/>
  <c r="FA72" i="24"/>
  <c r="EB72" i="24"/>
  <c r="EB10" i="24"/>
  <c r="EL75" i="24"/>
  <c r="DW75" i="24"/>
  <c r="EN75" i="24"/>
  <c r="EM75" i="24"/>
  <c r="EP75" i="24" s="1"/>
  <c r="DU75" i="24"/>
  <c r="FA75" i="24"/>
  <c r="EB75" i="24"/>
  <c r="EY75" i="24"/>
  <c r="EL81" i="24"/>
  <c r="DW221" i="24"/>
  <c r="DU221" i="24"/>
  <c r="EE63" i="24"/>
  <c r="FA30" i="24"/>
  <c r="DW234" i="24"/>
  <c r="DU234" i="24"/>
  <c r="DW43" i="24"/>
  <c r="DY43" i="24" s="1"/>
  <c r="EF43" i="24" s="1"/>
  <c r="EN43" i="24"/>
  <c r="EM43" i="24"/>
  <c r="EP43" i="24" s="1"/>
  <c r="DU43" i="24"/>
  <c r="DW167" i="24"/>
  <c r="DY167" i="24" s="1"/>
  <c r="EF167" i="24" s="1"/>
  <c r="EN167" i="24"/>
  <c r="EM167" i="24"/>
  <c r="EP167" i="24" s="1"/>
  <c r="EY114" i="24"/>
  <c r="EB209" i="24"/>
  <c r="EY23" i="24"/>
  <c r="DW174" i="24"/>
  <c r="DY174" i="24" s="1"/>
  <c r="EF174" i="24" s="1"/>
  <c r="EN174" i="24"/>
  <c r="EM174" i="24"/>
  <c r="EP174" i="24" s="1"/>
  <c r="EY201" i="24"/>
  <c r="EB173" i="24"/>
  <c r="DW26" i="24"/>
  <c r="DY26" i="24" s="1"/>
  <c r="EF26" i="24" s="1"/>
  <c r="EN26" i="24"/>
  <c r="EM26" i="24"/>
  <c r="EP26" i="24" s="1"/>
  <c r="DU26" i="24"/>
  <c r="DW84" i="24"/>
  <c r="EN84" i="24"/>
  <c r="EM84" i="24"/>
  <c r="EP84" i="24" s="1"/>
  <c r="DU84" i="24"/>
  <c r="EB84" i="24"/>
  <c r="EY84" i="24"/>
  <c r="FA84" i="24"/>
  <c r="EL84" i="24"/>
  <c r="EY155" i="24"/>
  <c r="EB80" i="24"/>
  <c r="EE199" i="24"/>
  <c r="DW283" i="24"/>
  <c r="DU283" i="24"/>
  <c r="EY129" i="24"/>
  <c r="DW244" i="24"/>
  <c r="DU244" i="24"/>
  <c r="EE39" i="24"/>
  <c r="DW275" i="24"/>
  <c r="DU275" i="24"/>
  <c r="DW145" i="24"/>
  <c r="DY145" i="24" s="1"/>
  <c r="EF145" i="24" s="1"/>
  <c r="EN145" i="24"/>
  <c r="EM145" i="24"/>
  <c r="EP145" i="24" s="1"/>
  <c r="BV106" i="19"/>
  <c r="CB106" i="19" s="1"/>
  <c r="BW106" i="19"/>
  <c r="CC106" i="19" s="1"/>
  <c r="EL216" i="25" l="1"/>
  <c r="EK216" i="25"/>
  <c r="EN216" i="25" s="1"/>
  <c r="FA216" i="25"/>
  <c r="DY216" i="25"/>
  <c r="EG216" i="25" s="1"/>
  <c r="EX216" i="25" s="1"/>
  <c r="DT216" i="25"/>
  <c r="EJ216" i="25"/>
  <c r="CG212" i="25"/>
  <c r="EE212" i="25"/>
  <c r="EG212" i="25"/>
  <c r="EX212" i="25" s="1"/>
  <c r="EF212" i="25"/>
  <c r="EW212" i="25" s="1"/>
  <c r="CH212" i="25"/>
  <c r="DY190" i="24"/>
  <c r="EF190" i="24" s="1"/>
  <c r="EA243" i="24"/>
  <c r="FL243" i="24" s="1"/>
  <c r="EA96" i="24"/>
  <c r="CG96" i="24" s="1"/>
  <c r="EA242" i="24"/>
  <c r="EH242" i="24" s="1"/>
  <c r="EA285" i="24"/>
  <c r="EC285" i="24" s="1"/>
  <c r="ED285" i="24" s="1"/>
  <c r="FL216" i="24"/>
  <c r="EI216" i="24"/>
  <c r="EX216" i="24" s="1"/>
  <c r="EC216" i="24"/>
  <c r="ED216" i="24" s="1"/>
  <c r="EH216" i="24"/>
  <c r="I5" i="24"/>
  <c r="M5" i="24" s="1"/>
  <c r="U5" i="24" s="1"/>
  <c r="CH285" i="25"/>
  <c r="EF285" i="25"/>
  <c r="EW285" i="25" s="1"/>
  <c r="EG285" i="25"/>
  <c r="EX285" i="25" s="1"/>
  <c r="EE285" i="25"/>
  <c r="CH253" i="25"/>
  <c r="EE253" i="25"/>
  <c r="EF253" i="25"/>
  <c r="EW253" i="25" s="1"/>
  <c r="EG253" i="25"/>
  <c r="EX253" i="25" s="1"/>
  <c r="CG262" i="25"/>
  <c r="EF262" i="25"/>
  <c r="EW262" i="25" s="1"/>
  <c r="EG262" i="25"/>
  <c r="EX262" i="25" s="1"/>
  <c r="EE262" i="25"/>
  <c r="CH303" i="25"/>
  <c r="EF303" i="25"/>
  <c r="EW303" i="25" s="1"/>
  <c r="EG303" i="25"/>
  <c r="EX303" i="25" s="1"/>
  <c r="EE303" i="25"/>
  <c r="CH248" i="25"/>
  <c r="EE248" i="25"/>
  <c r="EF248" i="25"/>
  <c r="EW248" i="25" s="1"/>
  <c r="EG248" i="25"/>
  <c r="EX248" i="25" s="1"/>
  <c r="CG242" i="25"/>
  <c r="EE242" i="25"/>
  <c r="EF242" i="25"/>
  <c r="EW242" i="25" s="1"/>
  <c r="EG242" i="25"/>
  <c r="EX242" i="25" s="1"/>
  <c r="CH237" i="25"/>
  <c r="EF237" i="25"/>
  <c r="EW237" i="25" s="1"/>
  <c r="EG237" i="25"/>
  <c r="EX237" i="25" s="1"/>
  <c r="EE237" i="25"/>
  <c r="CG266" i="25"/>
  <c r="EE266" i="25"/>
  <c r="EF266" i="25"/>
  <c r="EW266" i="25" s="1"/>
  <c r="EG266" i="25"/>
  <c r="EX266" i="25" s="1"/>
  <c r="CH264" i="25"/>
  <c r="EE264" i="25"/>
  <c r="EF264" i="25"/>
  <c r="EW264" i="25" s="1"/>
  <c r="EG264" i="25"/>
  <c r="EX264" i="25" s="1"/>
  <c r="CH235" i="25"/>
  <c r="EF235" i="25"/>
  <c r="EW235" i="25" s="1"/>
  <c r="EG235" i="25"/>
  <c r="EX235" i="25" s="1"/>
  <c r="EE235" i="25"/>
  <c r="CG230" i="25"/>
  <c r="EE230" i="25"/>
  <c r="EF230" i="25"/>
  <c r="EW230" i="25" s="1"/>
  <c r="EG230" i="25"/>
  <c r="EX230" i="25" s="1"/>
  <c r="CH300" i="25"/>
  <c r="EE300" i="25"/>
  <c r="EF300" i="25"/>
  <c r="EW300" i="25" s="1"/>
  <c r="EG300" i="25"/>
  <c r="EX300" i="25" s="1"/>
  <c r="CH312" i="25"/>
  <c r="EG312" i="25"/>
  <c r="EX312" i="25" s="1"/>
  <c r="EE312" i="25"/>
  <c r="EF312" i="25"/>
  <c r="EW312" i="25" s="1"/>
  <c r="CG274" i="25"/>
  <c r="EE274" i="25"/>
  <c r="EG274" i="25"/>
  <c r="EX274" i="25" s="1"/>
  <c r="EF274" i="25"/>
  <c r="EW274" i="25" s="1"/>
  <c r="CG246" i="25"/>
  <c r="EE246" i="25"/>
  <c r="EF246" i="25"/>
  <c r="EW246" i="25" s="1"/>
  <c r="EG246" i="25"/>
  <c r="EX246" i="25" s="1"/>
  <c r="CH281" i="25"/>
  <c r="EE281" i="25"/>
  <c r="EG281" i="25"/>
  <c r="EX281" i="25" s="1"/>
  <c r="EF281" i="25"/>
  <c r="EW281" i="25" s="1"/>
  <c r="CH307" i="25"/>
  <c r="EE307" i="25"/>
  <c r="EF307" i="25"/>
  <c r="EW307" i="25" s="1"/>
  <c r="EG307" i="25"/>
  <c r="EX307" i="25" s="1"/>
  <c r="CH217" i="25"/>
  <c r="EE217" i="25"/>
  <c r="EF217" i="25"/>
  <c r="EW217" i="25" s="1"/>
  <c r="EG217" i="25"/>
  <c r="EX217" i="25" s="1"/>
  <c r="CG302" i="25"/>
  <c r="EE302" i="25"/>
  <c r="EF302" i="25"/>
  <c r="EW302" i="25" s="1"/>
  <c r="EG302" i="25"/>
  <c r="EX302" i="25" s="1"/>
  <c r="CH288" i="25"/>
  <c r="EF288" i="25"/>
  <c r="EW288" i="25" s="1"/>
  <c r="EG288" i="25"/>
  <c r="EX288" i="25" s="1"/>
  <c r="EE288" i="25"/>
  <c r="CG270" i="25"/>
  <c r="EE270" i="25"/>
  <c r="EF270" i="25"/>
  <c r="EW270" i="25" s="1"/>
  <c r="EG270" i="25"/>
  <c r="EX270" i="25" s="1"/>
  <c r="CH272" i="25"/>
  <c r="EF272" i="25"/>
  <c r="EW272" i="25" s="1"/>
  <c r="EG272" i="25"/>
  <c r="EX272" i="25" s="1"/>
  <c r="EE272" i="25"/>
  <c r="CH249" i="25"/>
  <c r="EE249" i="25"/>
  <c r="EF249" i="25"/>
  <c r="EW249" i="25" s="1"/>
  <c r="EG249" i="25"/>
  <c r="EX249" i="25" s="1"/>
  <c r="CG273" i="25"/>
  <c r="EE273" i="25"/>
  <c r="EF273" i="25"/>
  <c r="EW273" i="25" s="1"/>
  <c r="EG273" i="25"/>
  <c r="EX273" i="25" s="1"/>
  <c r="CG258" i="25"/>
  <c r="EE258" i="25"/>
  <c r="EF258" i="25"/>
  <c r="EW258" i="25" s="1"/>
  <c r="EG258" i="25"/>
  <c r="EX258" i="25" s="1"/>
  <c r="CH304" i="25"/>
  <c r="EE304" i="25"/>
  <c r="EF304" i="25"/>
  <c r="EW304" i="25" s="1"/>
  <c r="EG304" i="25"/>
  <c r="EX304" i="25" s="1"/>
  <c r="CH259" i="25"/>
  <c r="EE259" i="25"/>
  <c r="EF259" i="25"/>
  <c r="EW259" i="25" s="1"/>
  <c r="EG259" i="25"/>
  <c r="EX259" i="25" s="1"/>
  <c r="CH231" i="25"/>
  <c r="EG231" i="25"/>
  <c r="EX231" i="25" s="1"/>
  <c r="EE231" i="25"/>
  <c r="EF231" i="25"/>
  <c r="EW231" i="25" s="1"/>
  <c r="CH251" i="25"/>
  <c r="EE251" i="25"/>
  <c r="EF251" i="25"/>
  <c r="EW251" i="25" s="1"/>
  <c r="EG251" i="25"/>
  <c r="EX251" i="25" s="1"/>
  <c r="CG226" i="25"/>
  <c r="EE226" i="25"/>
  <c r="EF226" i="25"/>
  <c r="EW226" i="25" s="1"/>
  <c r="EG226" i="25"/>
  <c r="EX226" i="25" s="1"/>
  <c r="CH308" i="25"/>
  <c r="EE308" i="25"/>
  <c r="EF308" i="25"/>
  <c r="EW308" i="25" s="1"/>
  <c r="EG308" i="25"/>
  <c r="EX308" i="25" s="1"/>
  <c r="CH305" i="25"/>
  <c r="EE305" i="25"/>
  <c r="EF305" i="25"/>
  <c r="EW305" i="25" s="1"/>
  <c r="EG305" i="25"/>
  <c r="EX305" i="25" s="1"/>
  <c r="CH260" i="25"/>
  <c r="EF260" i="25"/>
  <c r="EW260" i="25" s="1"/>
  <c r="EG260" i="25"/>
  <c r="EX260" i="25" s="1"/>
  <c r="EE260" i="25"/>
  <c r="CG268" i="25"/>
  <c r="EG268" i="25"/>
  <c r="EX268" i="25" s="1"/>
  <c r="EE268" i="25"/>
  <c r="EF268" i="25"/>
  <c r="EW268" i="25" s="1"/>
  <c r="CG254" i="25"/>
  <c r="EG254" i="25"/>
  <c r="EX254" i="25" s="1"/>
  <c r="EE254" i="25"/>
  <c r="EF254" i="25"/>
  <c r="EW254" i="25" s="1"/>
  <c r="CH263" i="25"/>
  <c r="EE263" i="25"/>
  <c r="EF263" i="25"/>
  <c r="EW263" i="25" s="1"/>
  <c r="EG263" i="25"/>
  <c r="EX263" i="25" s="1"/>
  <c r="CH236" i="25"/>
  <c r="EE236" i="25"/>
  <c r="EF236" i="25"/>
  <c r="EW236" i="25" s="1"/>
  <c r="EG236" i="25"/>
  <c r="EX236" i="25" s="1"/>
  <c r="CH227" i="25"/>
  <c r="EE227" i="25"/>
  <c r="EF227" i="25"/>
  <c r="EW227" i="25" s="1"/>
  <c r="EG227" i="25"/>
  <c r="EX227" i="25" s="1"/>
  <c r="CG238" i="25"/>
  <c r="EE238" i="25"/>
  <c r="EF238" i="25"/>
  <c r="EW238" i="25" s="1"/>
  <c r="EG238" i="25"/>
  <c r="EX238" i="25" s="1"/>
  <c r="CG298" i="25"/>
  <c r="EG298" i="25"/>
  <c r="EX298" i="25" s="1"/>
  <c r="EE298" i="25"/>
  <c r="EF298" i="25"/>
  <c r="EW298" i="25" s="1"/>
  <c r="CH284" i="25"/>
  <c r="EE284" i="25"/>
  <c r="EG284" i="25"/>
  <c r="EX284" i="25" s="1"/>
  <c r="EF284" i="25"/>
  <c r="EW284" i="25" s="1"/>
  <c r="CH286" i="25"/>
  <c r="EE286" i="25"/>
  <c r="EF286" i="25"/>
  <c r="EW286" i="25" s="1"/>
  <c r="EG286" i="25"/>
  <c r="EX286" i="25" s="1"/>
  <c r="CH297" i="25"/>
  <c r="EE297" i="25"/>
  <c r="EF297" i="25"/>
  <c r="EW297" i="25" s="1"/>
  <c r="EG297" i="25"/>
  <c r="EX297" i="25" s="1"/>
  <c r="CG218" i="25"/>
  <c r="EE218" i="25"/>
  <c r="EF218" i="25"/>
  <c r="EW218" i="25" s="1"/>
  <c r="EG218" i="25"/>
  <c r="EX218" i="25" s="1"/>
  <c r="CH232" i="25"/>
  <c r="EF232" i="25"/>
  <c r="EW232" i="25" s="1"/>
  <c r="EG232" i="25"/>
  <c r="EX232" i="25" s="1"/>
  <c r="EE232" i="25"/>
  <c r="CH295" i="25"/>
  <c r="EE295" i="25"/>
  <c r="EG295" i="25"/>
  <c r="EX295" i="25" s="1"/>
  <c r="EF295" i="25"/>
  <c r="EW295" i="25" s="1"/>
  <c r="CH241" i="25"/>
  <c r="EE241" i="25"/>
  <c r="EF241" i="25"/>
  <c r="EW241" i="25" s="1"/>
  <c r="EG241" i="25"/>
  <c r="EX241" i="25" s="1"/>
  <c r="CH287" i="25"/>
  <c r="EF287" i="25"/>
  <c r="EW287" i="25" s="1"/>
  <c r="EG287" i="25"/>
  <c r="EX287" i="25" s="1"/>
  <c r="EE287" i="25"/>
  <c r="CG313" i="25"/>
  <c r="EE313" i="25"/>
  <c r="EF313" i="25"/>
  <c r="EW313" i="25" s="1"/>
  <c r="EG313" i="25"/>
  <c r="EX313" i="25" s="1"/>
  <c r="CH257" i="25"/>
  <c r="EF257" i="25"/>
  <c r="EW257" i="25" s="1"/>
  <c r="EG257" i="25"/>
  <c r="EX257" i="25" s="1"/>
  <c r="EE257" i="25"/>
  <c r="CH301" i="25"/>
  <c r="EE301" i="25"/>
  <c r="EF301" i="25"/>
  <c r="EW301" i="25" s="1"/>
  <c r="EG301" i="25"/>
  <c r="EX301" i="25" s="1"/>
  <c r="CH311" i="25"/>
  <c r="EE311" i="25"/>
  <c r="EF311" i="25"/>
  <c r="EW311" i="25" s="1"/>
  <c r="EG311" i="25"/>
  <c r="EX311" i="25" s="1"/>
  <c r="CH279" i="25"/>
  <c r="EE279" i="25"/>
  <c r="EG279" i="25"/>
  <c r="EX279" i="25" s="1"/>
  <c r="EF279" i="25"/>
  <c r="EW279" i="25" s="1"/>
  <c r="CG229" i="25"/>
  <c r="EE229" i="25"/>
  <c r="EF229" i="25"/>
  <c r="EW229" i="25" s="1"/>
  <c r="EG229" i="25"/>
  <c r="EX229" i="25" s="1"/>
  <c r="CH283" i="25"/>
  <c r="EE283" i="25"/>
  <c r="EF283" i="25"/>
  <c r="EW283" i="25" s="1"/>
  <c r="EG283" i="25"/>
  <c r="EX283" i="25" s="1"/>
  <c r="CG240" i="25"/>
  <c r="EE240" i="25"/>
  <c r="EF240" i="25"/>
  <c r="EW240" i="25" s="1"/>
  <c r="EG240" i="25"/>
  <c r="EX240" i="25" s="1"/>
  <c r="CH265" i="25"/>
  <c r="EF265" i="25"/>
  <c r="EW265" i="25" s="1"/>
  <c r="EG265" i="25"/>
  <c r="EX265" i="25" s="1"/>
  <c r="EE265" i="25"/>
  <c r="CG222" i="25"/>
  <c r="EE222" i="25"/>
  <c r="EF222" i="25"/>
  <c r="EW222" i="25" s="1"/>
  <c r="EG222" i="25"/>
  <c r="EX222" i="25" s="1"/>
  <c r="CH292" i="25"/>
  <c r="EE292" i="25"/>
  <c r="EF292" i="25"/>
  <c r="EW292" i="25" s="1"/>
  <c r="EG292" i="25"/>
  <c r="EX292" i="25" s="1"/>
  <c r="CH243" i="25"/>
  <c r="EF243" i="25"/>
  <c r="EW243" i="25" s="1"/>
  <c r="EG243" i="25"/>
  <c r="EX243" i="25" s="1"/>
  <c r="EE243" i="25"/>
  <c r="CH291" i="25"/>
  <c r="EE291" i="25"/>
  <c r="EF291" i="25"/>
  <c r="EW291" i="25" s="1"/>
  <c r="EG291" i="25"/>
  <c r="EX291" i="25" s="1"/>
  <c r="CH271" i="25"/>
  <c r="EE271" i="25"/>
  <c r="EG271" i="25"/>
  <c r="EX271" i="25" s="1"/>
  <c r="EF271" i="25"/>
  <c r="EW271" i="25" s="1"/>
  <c r="CH276" i="25"/>
  <c r="EE276" i="25"/>
  <c r="EF276" i="25"/>
  <c r="EW276" i="25" s="1"/>
  <c r="EG276" i="25"/>
  <c r="EX276" i="25" s="1"/>
  <c r="CH316" i="25"/>
  <c r="EE316" i="25"/>
  <c r="EF316" i="25"/>
  <c r="EW316" i="25" s="1"/>
  <c r="EG316" i="25"/>
  <c r="EX316" i="25" s="1"/>
  <c r="CH233" i="25"/>
  <c r="EE233" i="25"/>
  <c r="EF233" i="25"/>
  <c r="EW233" i="25" s="1"/>
  <c r="EG233" i="25"/>
  <c r="EX233" i="25" s="1"/>
  <c r="CG225" i="25"/>
  <c r="EE225" i="25"/>
  <c r="EF225" i="25"/>
  <c r="EW225" i="25" s="1"/>
  <c r="EG225" i="25"/>
  <c r="EX225" i="25" s="1"/>
  <c r="CH221" i="25"/>
  <c r="EG221" i="25"/>
  <c r="EX221" i="25" s="1"/>
  <c r="EE221" i="25"/>
  <c r="EF221" i="25"/>
  <c r="EW221" i="25" s="1"/>
  <c r="CG294" i="25"/>
  <c r="EE294" i="25"/>
  <c r="EF294" i="25"/>
  <c r="EW294" i="25" s="1"/>
  <c r="EG294" i="25"/>
  <c r="EX294" i="25" s="1"/>
  <c r="CH247" i="25"/>
  <c r="EE247" i="25"/>
  <c r="EF247" i="25"/>
  <c r="EW247" i="25" s="1"/>
  <c r="EG247" i="25"/>
  <c r="EX247" i="25" s="1"/>
  <c r="CH315" i="25"/>
  <c r="EE315" i="25"/>
  <c r="EF315" i="25"/>
  <c r="EW315" i="25" s="1"/>
  <c r="EG315" i="25"/>
  <c r="EX315" i="25" s="1"/>
  <c r="CH289" i="25"/>
  <c r="EE289" i="25"/>
  <c r="EF289" i="25"/>
  <c r="EW289" i="25" s="1"/>
  <c r="EG289" i="25"/>
  <c r="EX289" i="25" s="1"/>
  <c r="CH277" i="25"/>
  <c r="EF277" i="25"/>
  <c r="EW277" i="25" s="1"/>
  <c r="EG277" i="25"/>
  <c r="EX277" i="25" s="1"/>
  <c r="EE277" i="25"/>
  <c r="CH261" i="25"/>
  <c r="EE261" i="25"/>
  <c r="EF261" i="25"/>
  <c r="EW261" i="25" s="1"/>
  <c r="EG261" i="25"/>
  <c r="EX261" i="25" s="1"/>
  <c r="CG252" i="25"/>
  <c r="EE252" i="25"/>
  <c r="EF252" i="25"/>
  <c r="EW252" i="25" s="1"/>
  <c r="EG252" i="25"/>
  <c r="EX252" i="25" s="1"/>
  <c r="CG267" i="25"/>
  <c r="EE267" i="25"/>
  <c r="EF267" i="25"/>
  <c r="EW267" i="25" s="1"/>
  <c r="EG267" i="25"/>
  <c r="EX267" i="25" s="1"/>
  <c r="CH293" i="25"/>
  <c r="EG293" i="25"/>
  <c r="EX293" i="25" s="1"/>
  <c r="EE293" i="25"/>
  <c r="EF293" i="25"/>
  <c r="EW293" i="25" s="1"/>
  <c r="CH219" i="25"/>
  <c r="EE219" i="25"/>
  <c r="EF219" i="25"/>
  <c r="EW219" i="25" s="1"/>
  <c r="EG219" i="25"/>
  <c r="EX219" i="25" s="1"/>
  <c r="CH280" i="25"/>
  <c r="EE280" i="25"/>
  <c r="EF280" i="25"/>
  <c r="EW280" i="25" s="1"/>
  <c r="EG280" i="25"/>
  <c r="EX280" i="25" s="1"/>
  <c r="CH228" i="25"/>
  <c r="EE228" i="25"/>
  <c r="EF228" i="25"/>
  <c r="EW228" i="25" s="1"/>
  <c r="EG228" i="25"/>
  <c r="EX228" i="25" s="1"/>
  <c r="CG275" i="25"/>
  <c r="EG275" i="25"/>
  <c r="EX275" i="25" s="1"/>
  <c r="EE275" i="25"/>
  <c r="EF275" i="25"/>
  <c r="EW275" i="25" s="1"/>
  <c r="CH299" i="25"/>
  <c r="EE299" i="25"/>
  <c r="EF299" i="25"/>
  <c r="EW299" i="25" s="1"/>
  <c r="EG299" i="25"/>
  <c r="EX299" i="25" s="1"/>
  <c r="CH296" i="25"/>
  <c r="EF296" i="25"/>
  <c r="EW296" i="25" s="1"/>
  <c r="EG296" i="25"/>
  <c r="EX296" i="25" s="1"/>
  <c r="EE296" i="25"/>
  <c r="CH256" i="25"/>
  <c r="EE256" i="25"/>
  <c r="EF256" i="25"/>
  <c r="EW256" i="25" s="1"/>
  <c r="EG256" i="25"/>
  <c r="EX256" i="25" s="1"/>
  <c r="CG290" i="25"/>
  <c r="EG290" i="25"/>
  <c r="EX290" i="25" s="1"/>
  <c r="EE290" i="25"/>
  <c r="EF290" i="25"/>
  <c r="EW290" i="25" s="1"/>
  <c r="CG234" i="25"/>
  <c r="EE234" i="25"/>
  <c r="EF234" i="25"/>
  <c r="EW234" i="25" s="1"/>
  <c r="EG234" i="25"/>
  <c r="EX234" i="25" s="1"/>
  <c r="CH239" i="25"/>
  <c r="EE239" i="25"/>
  <c r="EF239" i="25"/>
  <c r="EW239" i="25" s="1"/>
  <c r="EG239" i="25"/>
  <c r="EX239" i="25" s="1"/>
  <c r="CH224" i="25"/>
  <c r="EG224" i="25"/>
  <c r="EX224" i="25" s="1"/>
  <c r="EE224" i="25"/>
  <c r="EF224" i="25"/>
  <c r="EW224" i="25" s="1"/>
  <c r="CH223" i="25"/>
  <c r="EE223" i="25"/>
  <c r="EF223" i="25"/>
  <c r="EW223" i="25" s="1"/>
  <c r="EG223" i="25"/>
  <c r="EX223" i="25" s="1"/>
  <c r="CH220" i="25"/>
  <c r="EE220" i="25"/>
  <c r="EF220" i="25"/>
  <c r="EW220" i="25" s="1"/>
  <c r="EG220" i="25"/>
  <c r="EX220" i="25" s="1"/>
  <c r="CG278" i="25"/>
  <c r="EE278" i="25"/>
  <c r="EF278" i="25"/>
  <c r="EW278" i="25" s="1"/>
  <c r="EG278" i="25"/>
  <c r="EX278" i="25" s="1"/>
  <c r="CH269" i="25"/>
  <c r="EE269" i="25"/>
  <c r="EF269" i="25"/>
  <c r="EW269" i="25" s="1"/>
  <c r="EG269" i="25"/>
  <c r="EX269" i="25" s="1"/>
  <c r="CH282" i="25"/>
  <c r="EE282" i="25"/>
  <c r="EF282" i="25"/>
  <c r="EW282" i="25" s="1"/>
  <c r="EG282" i="25"/>
  <c r="EX282" i="25" s="1"/>
  <c r="CG314" i="25"/>
  <c r="EE314" i="25"/>
  <c r="EF314" i="25"/>
  <c r="EW314" i="25" s="1"/>
  <c r="EG314" i="25"/>
  <c r="EX314" i="25" s="1"/>
  <c r="CH255" i="25"/>
  <c r="EE255" i="25"/>
  <c r="EF255" i="25"/>
  <c r="EW255" i="25" s="1"/>
  <c r="EG255" i="25"/>
  <c r="EX255" i="25" s="1"/>
  <c r="CH309" i="25"/>
  <c r="EF309" i="25"/>
  <c r="EW309" i="25" s="1"/>
  <c r="EG309" i="25"/>
  <c r="EX309" i="25" s="1"/>
  <c r="EE309" i="25"/>
  <c r="CG310" i="25"/>
  <c r="EE310" i="25"/>
  <c r="EF310" i="25"/>
  <c r="EW310" i="25" s="1"/>
  <c r="EG310" i="25"/>
  <c r="EX310" i="25" s="1"/>
  <c r="CG306" i="25"/>
  <c r="EF306" i="25"/>
  <c r="EW306" i="25" s="1"/>
  <c r="EG306" i="25"/>
  <c r="EX306" i="25" s="1"/>
  <c r="EE306" i="25"/>
  <c r="CG250" i="25"/>
  <c r="EE250" i="25"/>
  <c r="EF250" i="25"/>
  <c r="EW250" i="25" s="1"/>
  <c r="EG250" i="25"/>
  <c r="EX250" i="25" s="1"/>
  <c r="CH245" i="25"/>
  <c r="EG245" i="25"/>
  <c r="EX245" i="25" s="1"/>
  <c r="EE245" i="25"/>
  <c r="EF245" i="25"/>
  <c r="EW245" i="25" s="1"/>
  <c r="CH244" i="25"/>
  <c r="EE244" i="25"/>
  <c r="EF244" i="25"/>
  <c r="EW244" i="25" s="1"/>
  <c r="EG244" i="25"/>
  <c r="EX244" i="25" s="1"/>
  <c r="EG112" i="25"/>
  <c r="EX112" i="25" s="1"/>
  <c r="EE112" i="25"/>
  <c r="CG112" i="25"/>
  <c r="CH112" i="25"/>
  <c r="EF112" i="25"/>
  <c r="EW112" i="25" s="1"/>
  <c r="CH65" i="25"/>
  <c r="CG136" i="25"/>
  <c r="CH115" i="25"/>
  <c r="CG190" i="25"/>
  <c r="CH82" i="25"/>
  <c r="CH51" i="25"/>
  <c r="CH170" i="25"/>
  <c r="CH194" i="25"/>
  <c r="CH192" i="25"/>
  <c r="CH55" i="25"/>
  <c r="CH198" i="25"/>
  <c r="CH185" i="25"/>
  <c r="CH205" i="25"/>
  <c r="CH70" i="25"/>
  <c r="CH200" i="25"/>
  <c r="CG110" i="25"/>
  <c r="CG207" i="25"/>
  <c r="CG169" i="25"/>
  <c r="CH131" i="25"/>
  <c r="CH174" i="25"/>
  <c r="CH147" i="25"/>
  <c r="CH158" i="25"/>
  <c r="CH114" i="25"/>
  <c r="CH171" i="25"/>
  <c r="CH187" i="25"/>
  <c r="CH79" i="25"/>
  <c r="CH122" i="25"/>
  <c r="CH64" i="25"/>
  <c r="CH155" i="25"/>
  <c r="CH148" i="25"/>
  <c r="CG159" i="25"/>
  <c r="CH156" i="25"/>
  <c r="CH119" i="25"/>
  <c r="CG160" i="25"/>
  <c r="CH24" i="25"/>
  <c r="CG204" i="25"/>
  <c r="CG179" i="25"/>
  <c r="CH83" i="25"/>
  <c r="CG203" i="25"/>
  <c r="CH130" i="25"/>
  <c r="CG172" i="25"/>
  <c r="CH6" i="25"/>
  <c r="CG145" i="25"/>
  <c r="CG133" i="25"/>
  <c r="CG120" i="25"/>
  <c r="CH19" i="25"/>
  <c r="CH184" i="25"/>
  <c r="CH48" i="25"/>
  <c r="CG121" i="25"/>
  <c r="CG208" i="25"/>
  <c r="CH99" i="25"/>
  <c r="CH53" i="25"/>
  <c r="CG168" i="25"/>
  <c r="CH15" i="25"/>
  <c r="CG132" i="25"/>
  <c r="CH29" i="25"/>
  <c r="CH35" i="25"/>
  <c r="CG152" i="25"/>
  <c r="CG161" i="25"/>
  <c r="CH96" i="25"/>
  <c r="CG124" i="25"/>
  <c r="CH21" i="25"/>
  <c r="CH32" i="25"/>
  <c r="CH54" i="25"/>
  <c r="CH87" i="25"/>
  <c r="CH18" i="25"/>
  <c r="CH28" i="25"/>
  <c r="CH63" i="25"/>
  <c r="CH26" i="25"/>
  <c r="CH38" i="25"/>
  <c r="CH41" i="25"/>
  <c r="CH36" i="25"/>
  <c r="CH44" i="25"/>
  <c r="CG173" i="25"/>
  <c r="CG196" i="25"/>
  <c r="CG116" i="25"/>
  <c r="CH14" i="25"/>
  <c r="CH17" i="25"/>
  <c r="CH76" i="25"/>
  <c r="CH84" i="25"/>
  <c r="CG202" i="25"/>
  <c r="CH127" i="25"/>
  <c r="CG206" i="25"/>
  <c r="CH69" i="25"/>
  <c r="CH42" i="25"/>
  <c r="CG134" i="25"/>
  <c r="CH43" i="25"/>
  <c r="CG153" i="25"/>
  <c r="CH62" i="25"/>
  <c r="CH12" i="25"/>
  <c r="CG201" i="25"/>
  <c r="CG139" i="25"/>
  <c r="CH61" i="25"/>
  <c r="CH49" i="25"/>
  <c r="CG210" i="25"/>
  <c r="CG167" i="25"/>
  <c r="CH23" i="25"/>
  <c r="CG111" i="25"/>
  <c r="CG123" i="25"/>
  <c r="CH11" i="25"/>
  <c r="CG176" i="25"/>
  <c r="CG195" i="25"/>
  <c r="CH104" i="25"/>
  <c r="CH90" i="25"/>
  <c r="CH173" i="25"/>
  <c r="CH118" i="25"/>
  <c r="CH67" i="25"/>
  <c r="CH57" i="25"/>
  <c r="CG197" i="25"/>
  <c r="CG157" i="25"/>
  <c r="CG151" i="25"/>
  <c r="CH30" i="25"/>
  <c r="CG186" i="25"/>
  <c r="CG166" i="25"/>
  <c r="CG154" i="25"/>
  <c r="CH9" i="25"/>
  <c r="CH16" i="25"/>
  <c r="CG142" i="25"/>
  <c r="CH95" i="25"/>
  <c r="CG135" i="25"/>
  <c r="CG162" i="25"/>
  <c r="CH68" i="25"/>
  <c r="CG141" i="25"/>
  <c r="CG117" i="25"/>
  <c r="CH60" i="25"/>
  <c r="CH39" i="25"/>
  <c r="CG140" i="25"/>
  <c r="CH100" i="25"/>
  <c r="CH80" i="25"/>
  <c r="CG144" i="25"/>
  <c r="CH92" i="25"/>
  <c r="CG188" i="25"/>
  <c r="CG113" i="25"/>
  <c r="CH101" i="25"/>
  <c r="CG165" i="25"/>
  <c r="CH10" i="25"/>
  <c r="CG126" i="25"/>
  <c r="CH93" i="25"/>
  <c r="CG137" i="25"/>
  <c r="CG125" i="25"/>
  <c r="CG191" i="25"/>
  <c r="CG193" i="25"/>
  <c r="CG209" i="25"/>
  <c r="CH85" i="25"/>
  <c r="CH94" i="25"/>
  <c r="CG146" i="25"/>
  <c r="CH46" i="25"/>
  <c r="CG149" i="25"/>
  <c r="CG150" i="25"/>
  <c r="CG129" i="25"/>
  <c r="CG175" i="25"/>
  <c r="CH13" i="25"/>
  <c r="CH75" i="25"/>
  <c r="CH72" i="25"/>
  <c r="EA78" i="24"/>
  <c r="FL78" i="24" s="1"/>
  <c r="CH183" i="25"/>
  <c r="CG183" i="25"/>
  <c r="CH102" i="25"/>
  <c r="CH27" i="25"/>
  <c r="CG128" i="25"/>
  <c r="CH20" i="25"/>
  <c r="CH105" i="25"/>
  <c r="CG189" i="25"/>
  <c r="CG163" i="25"/>
  <c r="CH78" i="25"/>
  <c r="CH137" i="25"/>
  <c r="CH59" i="25"/>
  <c r="CH22" i="25"/>
  <c r="CG180" i="25"/>
  <c r="CG199" i="25"/>
  <c r="CH66" i="25"/>
  <c r="CG177" i="25"/>
  <c r="CG164" i="25"/>
  <c r="CH34" i="25"/>
  <c r="CH86" i="25"/>
  <c r="CG178" i="25"/>
  <c r="CH98" i="25"/>
  <c r="CH50" i="25"/>
  <c r="CH7" i="25"/>
  <c r="CH8" i="25"/>
  <c r="CH74" i="25"/>
  <c r="CH128" i="25"/>
  <c r="CG171" i="25"/>
  <c r="CH97" i="25"/>
  <c r="CH71" i="25"/>
  <c r="CH199" i="25"/>
  <c r="CH33" i="25"/>
  <c r="CH88" i="25"/>
  <c r="CH45" i="25"/>
  <c r="CH164" i="25"/>
  <c r="CH40" i="25"/>
  <c r="CH52" i="25"/>
  <c r="CH91" i="25"/>
  <c r="CH31" i="25"/>
  <c r="CG103" i="25"/>
  <c r="CG86" i="25"/>
  <c r="I110" i="24"/>
  <c r="M110" i="24" s="1"/>
  <c r="CG6" i="25"/>
  <c r="CG39" i="25"/>
  <c r="CG49" i="25"/>
  <c r="CG78" i="25"/>
  <c r="CG24" i="25"/>
  <c r="CG63" i="25"/>
  <c r="CG42" i="25"/>
  <c r="CG38" i="25"/>
  <c r="CG14" i="25"/>
  <c r="CG41" i="25"/>
  <c r="CG10" i="25"/>
  <c r="CG96" i="25"/>
  <c r="EF58" i="25"/>
  <c r="EW58" i="25" s="1"/>
  <c r="FL58" i="25"/>
  <c r="CG101" i="25"/>
  <c r="CG61" i="25"/>
  <c r="CG66" i="25"/>
  <c r="CG44" i="25"/>
  <c r="CG98" i="25"/>
  <c r="CG84" i="25"/>
  <c r="CG45" i="25"/>
  <c r="EF81" i="25"/>
  <c r="EW81" i="25" s="1"/>
  <c r="FL81" i="25"/>
  <c r="EG56" i="25"/>
  <c r="EX56" i="25" s="1"/>
  <c r="FL56" i="25"/>
  <c r="CG17" i="25"/>
  <c r="EF77" i="25"/>
  <c r="EW77" i="25" s="1"/>
  <c r="FL77" i="25"/>
  <c r="EE89" i="25"/>
  <c r="EV89" i="25" s="1"/>
  <c r="FL89" i="25"/>
  <c r="EE103" i="25"/>
  <c r="EV103" i="25" s="1"/>
  <c r="FL103" i="25"/>
  <c r="CG102" i="25"/>
  <c r="CG9" i="25"/>
  <c r="CG105" i="25"/>
  <c r="CG65" i="25"/>
  <c r="CG87" i="25"/>
  <c r="CG95" i="25"/>
  <c r="CG23" i="25"/>
  <c r="CG88" i="25"/>
  <c r="CG55" i="25"/>
  <c r="CG90" i="25"/>
  <c r="CG15" i="25"/>
  <c r="CG82" i="25"/>
  <c r="CG57" i="25"/>
  <c r="CG73" i="25"/>
  <c r="CG8" i="25"/>
  <c r="CG104" i="25"/>
  <c r="CG31" i="25"/>
  <c r="CG21" i="25"/>
  <c r="CG99" i="25"/>
  <c r="CG36" i="25"/>
  <c r="CG59" i="25"/>
  <c r="CG11" i="25"/>
  <c r="CG53" i="25"/>
  <c r="CG29" i="25"/>
  <c r="CG35" i="25"/>
  <c r="CG13" i="25"/>
  <c r="CG51" i="25"/>
  <c r="CG70" i="25"/>
  <c r="CG81" i="25"/>
  <c r="CG25" i="25"/>
  <c r="CG62" i="25"/>
  <c r="CG22" i="25"/>
  <c r="CG97" i="25"/>
  <c r="CG30" i="25"/>
  <c r="CG26" i="25"/>
  <c r="CG79" i="25"/>
  <c r="CG56" i="25"/>
  <c r="CG80" i="25"/>
  <c r="CG50" i="25"/>
  <c r="CG72" i="25"/>
  <c r="CG74" i="25"/>
  <c r="EG47" i="25"/>
  <c r="EX47" i="25" s="1"/>
  <c r="FL47" i="25"/>
  <c r="EG37" i="25"/>
  <c r="EX37" i="25" s="1"/>
  <c r="FL37" i="25"/>
  <c r="CG69" i="25"/>
  <c r="CG19" i="25"/>
  <c r="CG12" i="25"/>
  <c r="CG37" i="25"/>
  <c r="CG68" i="25"/>
  <c r="CG28" i="25"/>
  <c r="CG34" i="25"/>
  <c r="CG60" i="25"/>
  <c r="CG93" i="25"/>
  <c r="CG100" i="25"/>
  <c r="CG76" i="25"/>
  <c r="CG77" i="25"/>
  <c r="EF25" i="25"/>
  <c r="EW25" i="25" s="1"/>
  <c r="FL25" i="25"/>
  <c r="CG32" i="25"/>
  <c r="CG16" i="25"/>
  <c r="CG94" i="25"/>
  <c r="CG58" i="25"/>
  <c r="CG18" i="25"/>
  <c r="CG71" i="25"/>
  <c r="CG48" i="25"/>
  <c r="CG40" i="25"/>
  <c r="CG46" i="25"/>
  <c r="CG89" i="25"/>
  <c r="CG47" i="25"/>
  <c r="CG64" i="25"/>
  <c r="CG7" i="25"/>
  <c r="CG54" i="25"/>
  <c r="EF33" i="25"/>
  <c r="EW33" i="25" s="1"/>
  <c r="FL33" i="25"/>
  <c r="EF73" i="25"/>
  <c r="EW73" i="25" s="1"/>
  <c r="FL73" i="25"/>
  <c r="CG27" i="25"/>
  <c r="CG20" i="25"/>
  <c r="CG43" i="25"/>
  <c r="CG92" i="25"/>
  <c r="CG85" i="25"/>
  <c r="CG67" i="25"/>
  <c r="CG83" i="25"/>
  <c r="CG52" i="25"/>
  <c r="CG91" i="25"/>
  <c r="CG75" i="25"/>
  <c r="EF47" i="25"/>
  <c r="EW47" i="25" s="1"/>
  <c r="EA92" i="24"/>
  <c r="FL92" i="24" s="1"/>
  <c r="EA74" i="24"/>
  <c r="FL74" i="24" s="1"/>
  <c r="EA60" i="24"/>
  <c r="EC60" i="24" s="1"/>
  <c r="ED60" i="24" s="1"/>
  <c r="EE64" i="25"/>
  <c r="EV64" i="25" s="1"/>
  <c r="EA39" i="24"/>
  <c r="CG190" i="24"/>
  <c r="EA169" i="24"/>
  <c r="EA44" i="24"/>
  <c r="EE164" i="25"/>
  <c r="EI164" i="25" s="1"/>
  <c r="EG103" i="25"/>
  <c r="EX103" i="25" s="1"/>
  <c r="EF103" i="25"/>
  <c r="EW103" i="25" s="1"/>
  <c r="EF64" i="25"/>
  <c r="EW64" i="25" s="1"/>
  <c r="EG64" i="25"/>
  <c r="EX64" i="25" s="1"/>
  <c r="EF96" i="25"/>
  <c r="EW96" i="25" s="1"/>
  <c r="EG96" i="25"/>
  <c r="EX96" i="25" s="1"/>
  <c r="EG89" i="25"/>
  <c r="EX89" i="25" s="1"/>
  <c r="EE96" i="25"/>
  <c r="EV96" i="25" s="1"/>
  <c r="EF89" i="25"/>
  <c r="EW89" i="25" s="1"/>
  <c r="EF128" i="25"/>
  <c r="EW128" i="25" s="1"/>
  <c r="EE128" i="25"/>
  <c r="EV128" i="25" s="1"/>
  <c r="EE77" i="25"/>
  <c r="EV77" i="25" s="1"/>
  <c r="EA127" i="24"/>
  <c r="FL127" i="24" s="1"/>
  <c r="EG183" i="25"/>
  <c r="EX183" i="25" s="1"/>
  <c r="EE183" i="25"/>
  <c r="EV183" i="25" s="1"/>
  <c r="EF183" i="25"/>
  <c r="EW183" i="25" s="1"/>
  <c r="EF95" i="25"/>
  <c r="EW95" i="25" s="1"/>
  <c r="EE185" i="25"/>
  <c r="EI185" i="25" s="1"/>
  <c r="EF185" i="25"/>
  <c r="EW185" i="25" s="1"/>
  <c r="EG97" i="25"/>
  <c r="EX97" i="25" s="1"/>
  <c r="EG158" i="25"/>
  <c r="EX158" i="25" s="1"/>
  <c r="EG145" i="25"/>
  <c r="EX145" i="25" s="1"/>
  <c r="EF158" i="25"/>
  <c r="EW158" i="25" s="1"/>
  <c r="EE145" i="25"/>
  <c r="EI145" i="25" s="1"/>
  <c r="EE158" i="25"/>
  <c r="EV158" i="25" s="1"/>
  <c r="EF145" i="25"/>
  <c r="EW145" i="25" s="1"/>
  <c r="EE136" i="25"/>
  <c r="EI136" i="25" s="1"/>
  <c r="EF99" i="25"/>
  <c r="EW99" i="25" s="1"/>
  <c r="EG136" i="25"/>
  <c r="EX136" i="25" s="1"/>
  <c r="EG99" i="25"/>
  <c r="EX99" i="25" s="1"/>
  <c r="EF136" i="25"/>
  <c r="EW136" i="25" s="1"/>
  <c r="EE99" i="25"/>
  <c r="EV99" i="25" s="1"/>
  <c r="EE97" i="25"/>
  <c r="EV97" i="25" s="1"/>
  <c r="EF97" i="25"/>
  <c r="EW97" i="25" s="1"/>
  <c r="EG95" i="25"/>
  <c r="EX95" i="25" s="1"/>
  <c r="EE131" i="25"/>
  <c r="EV131" i="25" s="1"/>
  <c r="EF74" i="25"/>
  <c r="EW74" i="25" s="1"/>
  <c r="EF83" i="25"/>
  <c r="EW83" i="25" s="1"/>
  <c r="EF93" i="25"/>
  <c r="EW93" i="25" s="1"/>
  <c r="EA126" i="24"/>
  <c r="EE95" i="25"/>
  <c r="EV95" i="25" s="1"/>
  <c r="EG185" i="25"/>
  <c r="EX185" i="25" s="1"/>
  <c r="EE17" i="25"/>
  <c r="EI17" i="25" s="1"/>
  <c r="EO17" i="25" s="1"/>
  <c r="EF17" i="25"/>
  <c r="EW17" i="25" s="1"/>
  <c r="EG17" i="25"/>
  <c r="EX17" i="25" s="1"/>
  <c r="EG74" i="25"/>
  <c r="EX74" i="25" s="1"/>
  <c r="EF131" i="25"/>
  <c r="EW131" i="25" s="1"/>
  <c r="EE74" i="25"/>
  <c r="EV74" i="25" s="1"/>
  <c r="EG131" i="25"/>
  <c r="EX131" i="25" s="1"/>
  <c r="EA37" i="24"/>
  <c r="EA52" i="24"/>
  <c r="EA172" i="24"/>
  <c r="FL172" i="24" s="1"/>
  <c r="EG33" i="25"/>
  <c r="EX33" i="25" s="1"/>
  <c r="EF90" i="25"/>
  <c r="EW90" i="25" s="1"/>
  <c r="EE33" i="25"/>
  <c r="EV33" i="25" s="1"/>
  <c r="EG90" i="25"/>
  <c r="EX90" i="25" s="1"/>
  <c r="EE90" i="25"/>
  <c r="EI90" i="25" s="1"/>
  <c r="EO90" i="25" s="1"/>
  <c r="CG216" i="24"/>
  <c r="EG93" i="25"/>
  <c r="EX93" i="25" s="1"/>
  <c r="EE93" i="25"/>
  <c r="EV93" i="25" s="1"/>
  <c r="EA90" i="24"/>
  <c r="EG73" i="25"/>
  <c r="EX73" i="25" s="1"/>
  <c r="EE73" i="25"/>
  <c r="EV73" i="25" s="1"/>
  <c r="EG58" i="25"/>
  <c r="EX58" i="25" s="1"/>
  <c r="EE58" i="25"/>
  <c r="EV58" i="25" s="1"/>
  <c r="CH275" i="25"/>
  <c r="CG287" i="25"/>
  <c r="CH313" i="25"/>
  <c r="CH267" i="25"/>
  <c r="CG231" i="25"/>
  <c r="CG236" i="25"/>
  <c r="CH229" i="25"/>
  <c r="CH240" i="25"/>
  <c r="CH225" i="25"/>
  <c r="CH252" i="25"/>
  <c r="CG286" i="25"/>
  <c r="CH268" i="25"/>
  <c r="CG282" i="25"/>
  <c r="CH273" i="25"/>
  <c r="CG316" i="25"/>
  <c r="CH254" i="25"/>
  <c r="CH274" i="25"/>
  <c r="CG277" i="25"/>
  <c r="CH266" i="25"/>
  <c r="CG279" i="25"/>
  <c r="CG260" i="25"/>
  <c r="CG299" i="25"/>
  <c r="CG251" i="25"/>
  <c r="CG244" i="25"/>
  <c r="CG300" i="25"/>
  <c r="CG220" i="25"/>
  <c r="CG249" i="25"/>
  <c r="CG237" i="25"/>
  <c r="CH270" i="25"/>
  <c r="CG296" i="25"/>
  <c r="CG276" i="25"/>
  <c r="CG297" i="25"/>
  <c r="CG311" i="25"/>
  <c r="CH314" i="25"/>
  <c r="CG293" i="25"/>
  <c r="CG255" i="25"/>
  <c r="CG241" i="25"/>
  <c r="CG221" i="25"/>
  <c r="CH298" i="25"/>
  <c r="CG281" i="25"/>
  <c r="CG217" i="25"/>
  <c r="CG239" i="25"/>
  <c r="CH250" i="25"/>
  <c r="CG308" i="25"/>
  <c r="CG263" i="25"/>
  <c r="CH242" i="25"/>
  <c r="CG256" i="25"/>
  <c r="CG285" i="25"/>
  <c r="CH290" i="25"/>
  <c r="CH278" i="25"/>
  <c r="CG284" i="25"/>
  <c r="CG264" i="25"/>
  <c r="CH310" i="25"/>
  <c r="CG272" i="25"/>
  <c r="CG269" i="25"/>
  <c r="CG291" i="25"/>
  <c r="CH306" i="25"/>
  <c r="CG235" i="25"/>
  <c r="CH302" i="25"/>
  <c r="CG243" i="25"/>
  <c r="CG303" i="25"/>
  <c r="CH230" i="25"/>
  <c r="CH294" i="25"/>
  <c r="CG305" i="25"/>
  <c r="CG219" i="25"/>
  <c r="CG280" i="25"/>
  <c r="CG259" i="25"/>
  <c r="CH226" i="25"/>
  <c r="CH238" i="25"/>
  <c r="CG301" i="25"/>
  <c r="CH218" i="25"/>
  <c r="CG312" i="25"/>
  <c r="CG292" i="25"/>
  <c r="CG309" i="25"/>
  <c r="CG253" i="25"/>
  <c r="CG228" i="25"/>
  <c r="CG247" i="25"/>
  <c r="CG304" i="25"/>
  <c r="CG289" i="25"/>
  <c r="CG295" i="25"/>
  <c r="CG288" i="25"/>
  <c r="CH258" i="25"/>
  <c r="CG257" i="25"/>
  <c r="CG265" i="25"/>
  <c r="CH222" i="25"/>
  <c r="CG307" i="25"/>
  <c r="CG233" i="25"/>
  <c r="CG283" i="25"/>
  <c r="CH246" i="25"/>
  <c r="CG232" i="25"/>
  <c r="CH262" i="25"/>
  <c r="CH234" i="25"/>
  <c r="CG227" i="25"/>
  <c r="CG315" i="25"/>
  <c r="CG224" i="25"/>
  <c r="CG223" i="25"/>
  <c r="CG245" i="25"/>
  <c r="CG248" i="25"/>
  <c r="CG261" i="25"/>
  <c r="CG271" i="25"/>
  <c r="EA63" i="24"/>
  <c r="EA133" i="24"/>
  <c r="EF56" i="25"/>
  <c r="EW56" i="25" s="1"/>
  <c r="EE56" i="25"/>
  <c r="EI56" i="25" s="1"/>
  <c r="EO56" i="25" s="1"/>
  <c r="EE37" i="25"/>
  <c r="EV37" i="25" s="1"/>
  <c r="EF37" i="25"/>
  <c r="EW37" i="25" s="1"/>
  <c r="EF171" i="25"/>
  <c r="EW171" i="25" s="1"/>
  <c r="EV182" i="25"/>
  <c r="FB182" i="25" s="1"/>
  <c r="EG77" i="25"/>
  <c r="EX77" i="25" s="1"/>
  <c r="EF164" i="25"/>
  <c r="EW164" i="25" s="1"/>
  <c r="EG199" i="25"/>
  <c r="EX199" i="25" s="1"/>
  <c r="EE199" i="25"/>
  <c r="EV199" i="25" s="1"/>
  <c r="EE25" i="25"/>
  <c r="EV25" i="25" s="1"/>
  <c r="EK110" i="24"/>
  <c r="EW110" i="24"/>
  <c r="FB110" i="24" s="1"/>
  <c r="EK5" i="24"/>
  <c r="EQ5" i="24" s="1"/>
  <c r="EW5" i="24"/>
  <c r="EZ5" i="24" s="1"/>
  <c r="FB5" i="24" s="1"/>
  <c r="EF194" i="25"/>
  <c r="EW194" i="25" s="1"/>
  <c r="EG23" i="25"/>
  <c r="EX23" i="25" s="1"/>
  <c r="EG87" i="25"/>
  <c r="EX87" i="25" s="1"/>
  <c r="EE34" i="25"/>
  <c r="EV34" i="25" s="1"/>
  <c r="EE47" i="25"/>
  <c r="EV47" i="25" s="1"/>
  <c r="EE42" i="25"/>
  <c r="EI42" i="25" s="1"/>
  <c r="EO42" i="25" s="1"/>
  <c r="EE83" i="25"/>
  <c r="EV83" i="25" s="1"/>
  <c r="EE129" i="25"/>
  <c r="EV129" i="25" s="1"/>
  <c r="EA71" i="24"/>
  <c r="EE156" i="25"/>
  <c r="EI156" i="25" s="1"/>
  <c r="EG156" i="25"/>
  <c r="EX156" i="25" s="1"/>
  <c r="EA55" i="24"/>
  <c r="EG178" i="25"/>
  <c r="EX178" i="25" s="1"/>
  <c r="EA186" i="24"/>
  <c r="EG83" i="25"/>
  <c r="EX83" i="25" s="1"/>
  <c r="EG137" i="25"/>
  <c r="EX137" i="25" s="1"/>
  <c r="EE137" i="25"/>
  <c r="EV137" i="25" s="1"/>
  <c r="EA142" i="24"/>
  <c r="EE141" i="25"/>
  <c r="EV141" i="25" s="1"/>
  <c r="EE81" i="25"/>
  <c r="EV81" i="25" s="1"/>
  <c r="EF156" i="25"/>
  <c r="EW156" i="25" s="1"/>
  <c r="EG81" i="25"/>
  <c r="EX81" i="25" s="1"/>
  <c r="EG194" i="25"/>
  <c r="EX194" i="25" s="1"/>
  <c r="EG141" i="25"/>
  <c r="EX141" i="25" s="1"/>
  <c r="EA199" i="24"/>
  <c r="EA136" i="24"/>
  <c r="EF141" i="25"/>
  <c r="EW141" i="25" s="1"/>
  <c r="EE194" i="25"/>
  <c r="EI194" i="25" s="1"/>
  <c r="EG42" i="25"/>
  <c r="EX42" i="25" s="1"/>
  <c r="EE173" i="25"/>
  <c r="EV173" i="25" s="1"/>
  <c r="EF173" i="25"/>
  <c r="EW173" i="25" s="1"/>
  <c r="EF42" i="25"/>
  <c r="EW42" i="25" s="1"/>
  <c r="EE171" i="25"/>
  <c r="EI171" i="25" s="1"/>
  <c r="EF178" i="25"/>
  <c r="EW178" i="25" s="1"/>
  <c r="EA111" i="24"/>
  <c r="EA48" i="24"/>
  <c r="EA67" i="24"/>
  <c r="EA160" i="24"/>
  <c r="EA30" i="24"/>
  <c r="EA104" i="24"/>
  <c r="EA170" i="24"/>
  <c r="EF111" i="25"/>
  <c r="EW111" i="25" s="1"/>
  <c r="EA83" i="24"/>
  <c r="FL83" i="24" s="1"/>
  <c r="EA14" i="24"/>
  <c r="FL14" i="24" s="1"/>
  <c r="EA147" i="24"/>
  <c r="EA132" i="24"/>
  <c r="EA192" i="24"/>
  <c r="EE178" i="25"/>
  <c r="EV178" i="25" s="1"/>
  <c r="EA124" i="24"/>
  <c r="EF169" i="25"/>
  <c r="EW169" i="25" s="1"/>
  <c r="EG180" i="25"/>
  <c r="EX180" i="25" s="1"/>
  <c r="EG169" i="25"/>
  <c r="EX169" i="25" s="1"/>
  <c r="EE180" i="25"/>
  <c r="EV180" i="25" s="1"/>
  <c r="EE169" i="25"/>
  <c r="EI169" i="25" s="1"/>
  <c r="EF180" i="25"/>
  <c r="EW180" i="25" s="1"/>
  <c r="EG129" i="25"/>
  <c r="EX129" i="25" s="1"/>
  <c r="EF9" i="25"/>
  <c r="EW9" i="25" s="1"/>
  <c r="EG9" i="25"/>
  <c r="EX9" i="25" s="1"/>
  <c r="EF34" i="25"/>
  <c r="EW34" i="25" s="1"/>
  <c r="EG111" i="25"/>
  <c r="EX111" i="25" s="1"/>
  <c r="EG25" i="25"/>
  <c r="EX25" i="25" s="1"/>
  <c r="EF129" i="25"/>
  <c r="EW129" i="25" s="1"/>
  <c r="EE111" i="25"/>
  <c r="EV111" i="25" s="1"/>
  <c r="EF87" i="25"/>
  <c r="EW87" i="25" s="1"/>
  <c r="EE23" i="25"/>
  <c r="EV23" i="25" s="1"/>
  <c r="EF23" i="25"/>
  <c r="EW23" i="25" s="1"/>
  <c r="EF49" i="25"/>
  <c r="EW49" i="25" s="1"/>
  <c r="EE9" i="25"/>
  <c r="EV9" i="25" s="1"/>
  <c r="EG49" i="25"/>
  <c r="EX49" i="25" s="1"/>
  <c r="EE49" i="25"/>
  <c r="EV49" i="25" s="1"/>
  <c r="EG34" i="25"/>
  <c r="EX34" i="25" s="1"/>
  <c r="EE87" i="25"/>
  <c r="EV87" i="25" s="1"/>
  <c r="EG94" i="25"/>
  <c r="EX94" i="25" s="1"/>
  <c r="EF94" i="25"/>
  <c r="EW94" i="25" s="1"/>
  <c r="EE94" i="25"/>
  <c r="EG196" i="25"/>
  <c r="EX196" i="25" s="1"/>
  <c r="EF196" i="25"/>
  <c r="EW196" i="25" s="1"/>
  <c r="EE196" i="25"/>
  <c r="EG118" i="25"/>
  <c r="EX118" i="25" s="1"/>
  <c r="EF118" i="25"/>
  <c r="EW118" i="25" s="1"/>
  <c r="EE118" i="25"/>
  <c r="EE147" i="25"/>
  <c r="EF147" i="25"/>
  <c r="EW147" i="25" s="1"/>
  <c r="EG147" i="25"/>
  <c r="EX147" i="25" s="1"/>
  <c r="EE154" i="25"/>
  <c r="EG154" i="25"/>
  <c r="EX154" i="25" s="1"/>
  <c r="EF154" i="25"/>
  <c r="EW154" i="25" s="1"/>
  <c r="EE62" i="25"/>
  <c r="EG62" i="25"/>
  <c r="EX62" i="25" s="1"/>
  <c r="EF62" i="25"/>
  <c r="EW62" i="25" s="1"/>
  <c r="EF86" i="25"/>
  <c r="EW86" i="25" s="1"/>
  <c r="EE86" i="25"/>
  <c r="EG86" i="25"/>
  <c r="EX86" i="25" s="1"/>
  <c r="EG174" i="25"/>
  <c r="EX174" i="25" s="1"/>
  <c r="EF174" i="25"/>
  <c r="EW174" i="25" s="1"/>
  <c r="EE174" i="25"/>
  <c r="EG160" i="25"/>
  <c r="EX160" i="25" s="1"/>
  <c r="EF160" i="25"/>
  <c r="EW160" i="25" s="1"/>
  <c r="EE160" i="25"/>
  <c r="EE115" i="25"/>
  <c r="EG115" i="25"/>
  <c r="EX115" i="25" s="1"/>
  <c r="EF115" i="25"/>
  <c r="EW115" i="25" s="1"/>
  <c r="EG144" i="25"/>
  <c r="EX144" i="25" s="1"/>
  <c r="EF144" i="25"/>
  <c r="EW144" i="25" s="1"/>
  <c r="EE144" i="25"/>
  <c r="EG187" i="25"/>
  <c r="EX187" i="25" s="1"/>
  <c r="EF187" i="25"/>
  <c r="EW187" i="25" s="1"/>
  <c r="EE187" i="25"/>
  <c r="EE146" i="25"/>
  <c r="EF146" i="25"/>
  <c r="EW146" i="25" s="1"/>
  <c r="EG146" i="25"/>
  <c r="EX146" i="25" s="1"/>
  <c r="EF59" i="25"/>
  <c r="EW59" i="25" s="1"/>
  <c r="EE59" i="25"/>
  <c r="EG59" i="25"/>
  <c r="EX59" i="25" s="1"/>
  <c r="EG18" i="25"/>
  <c r="EX18" i="25" s="1"/>
  <c r="EE18" i="25"/>
  <c r="EF18" i="25"/>
  <c r="EW18" i="25" s="1"/>
  <c r="EE209" i="25"/>
  <c r="EG209" i="25"/>
  <c r="EX209" i="25" s="1"/>
  <c r="EF209" i="25"/>
  <c r="EW209" i="25" s="1"/>
  <c r="EF125" i="25"/>
  <c r="EW125" i="25" s="1"/>
  <c r="EE125" i="25"/>
  <c r="EG125" i="25"/>
  <c r="EX125" i="25" s="1"/>
  <c r="EF207" i="25"/>
  <c r="EW207" i="25" s="1"/>
  <c r="EE207" i="25"/>
  <c r="EG207" i="25"/>
  <c r="EX207" i="25" s="1"/>
  <c r="EG119" i="25"/>
  <c r="EX119" i="25" s="1"/>
  <c r="EF119" i="25"/>
  <c r="EW119" i="25" s="1"/>
  <c r="EE119" i="25"/>
  <c r="EF161" i="25"/>
  <c r="EW161" i="25" s="1"/>
  <c r="EE161" i="25"/>
  <c r="EG161" i="25"/>
  <c r="EX161" i="25" s="1"/>
  <c r="EE66" i="25"/>
  <c r="EG66" i="25"/>
  <c r="EX66" i="25" s="1"/>
  <c r="EF66" i="25"/>
  <c r="EW66" i="25" s="1"/>
  <c r="EE177" i="25"/>
  <c r="EG177" i="25"/>
  <c r="EX177" i="25" s="1"/>
  <c r="EF177" i="25"/>
  <c r="EW177" i="25" s="1"/>
  <c r="EF140" i="25"/>
  <c r="EW140" i="25" s="1"/>
  <c r="EE140" i="25"/>
  <c r="EG140" i="25"/>
  <c r="EX140" i="25" s="1"/>
  <c r="EG188" i="25"/>
  <c r="EX188" i="25" s="1"/>
  <c r="EF188" i="25"/>
  <c r="EW188" i="25" s="1"/>
  <c r="EE188" i="25"/>
  <c r="EV138" i="25"/>
  <c r="FB138" i="25" s="1"/>
  <c r="EI138" i="25"/>
  <c r="EE12" i="25"/>
  <c r="EF12" i="25"/>
  <c r="EW12" i="25" s="1"/>
  <c r="EG12" i="25"/>
  <c r="EX12" i="25" s="1"/>
  <c r="EG69" i="25"/>
  <c r="EX69" i="25" s="1"/>
  <c r="EE69" i="25"/>
  <c r="EF69" i="25"/>
  <c r="EW69" i="25" s="1"/>
  <c r="EE149" i="25"/>
  <c r="EF149" i="25"/>
  <c r="EW149" i="25" s="1"/>
  <c r="EG149" i="25"/>
  <c r="EX149" i="25" s="1"/>
  <c r="EE162" i="25"/>
  <c r="EG162" i="25"/>
  <c r="EX162" i="25" s="1"/>
  <c r="EF162" i="25"/>
  <c r="EW162" i="25" s="1"/>
  <c r="EE78" i="25"/>
  <c r="EG78" i="25"/>
  <c r="EX78" i="25" s="1"/>
  <c r="EF78" i="25"/>
  <c r="EW78" i="25" s="1"/>
  <c r="EG6" i="25"/>
  <c r="EX6" i="25" s="1"/>
  <c r="EF6" i="25"/>
  <c r="EW6" i="25" s="1"/>
  <c r="EE6" i="25"/>
  <c r="EG123" i="25"/>
  <c r="EX123" i="25" s="1"/>
  <c r="EF123" i="25"/>
  <c r="EW123" i="25" s="1"/>
  <c r="EE123" i="25"/>
  <c r="EV181" i="25"/>
  <c r="FB181" i="25" s="1"/>
  <c r="EI181" i="25"/>
  <c r="EG163" i="25"/>
  <c r="EX163" i="25" s="1"/>
  <c r="EF163" i="25"/>
  <c r="EW163" i="25" s="1"/>
  <c r="EE163" i="25"/>
  <c r="EG27" i="25"/>
  <c r="EX27" i="25" s="1"/>
  <c r="EF27" i="25"/>
  <c r="EW27" i="25" s="1"/>
  <c r="EE27" i="25"/>
  <c r="EF40" i="25"/>
  <c r="EW40" i="25" s="1"/>
  <c r="EE40" i="25"/>
  <c r="EG40" i="25"/>
  <c r="EX40" i="25" s="1"/>
  <c r="EF191" i="25"/>
  <c r="EW191" i="25" s="1"/>
  <c r="EG191" i="25"/>
  <c r="EX191" i="25" s="1"/>
  <c r="EE191" i="25"/>
  <c r="EG51" i="25"/>
  <c r="EX51" i="25" s="1"/>
  <c r="EE51" i="25"/>
  <c r="EF51" i="25"/>
  <c r="EW51" i="25" s="1"/>
  <c r="EF63" i="25"/>
  <c r="EW63" i="25" s="1"/>
  <c r="EE63" i="25"/>
  <c r="EG63" i="25"/>
  <c r="EX63" i="25" s="1"/>
  <c r="EE110" i="25"/>
  <c r="EG110" i="25"/>
  <c r="EX110" i="25" s="1"/>
  <c r="EF110" i="25"/>
  <c r="EW110" i="25" s="1"/>
  <c r="EE150" i="25"/>
  <c r="EG150" i="25"/>
  <c r="EX150" i="25" s="1"/>
  <c r="EF150" i="25"/>
  <c r="EW150" i="25" s="1"/>
  <c r="EE186" i="25"/>
  <c r="EG186" i="25"/>
  <c r="EX186" i="25" s="1"/>
  <c r="EF186" i="25"/>
  <c r="EW186" i="25" s="1"/>
  <c r="EF120" i="25"/>
  <c r="EW120" i="25" s="1"/>
  <c r="EE120" i="25"/>
  <c r="EG120" i="25"/>
  <c r="EX120" i="25" s="1"/>
  <c r="EE104" i="25"/>
  <c r="EG104" i="25"/>
  <c r="EX104" i="25" s="1"/>
  <c r="EF104" i="25"/>
  <c r="EW104" i="25" s="1"/>
  <c r="EF8" i="25"/>
  <c r="EW8" i="25" s="1"/>
  <c r="EG8" i="25"/>
  <c r="EX8" i="25" s="1"/>
  <c r="EE8" i="25"/>
  <c r="EE55" i="25"/>
  <c r="EG55" i="25"/>
  <c r="EX55" i="25" s="1"/>
  <c r="EF55" i="25"/>
  <c r="EW55" i="25" s="1"/>
  <c r="EE41" i="25"/>
  <c r="EG41" i="25"/>
  <c r="EX41" i="25" s="1"/>
  <c r="EF41" i="25"/>
  <c r="EW41" i="25" s="1"/>
  <c r="EG151" i="25"/>
  <c r="EX151" i="25" s="1"/>
  <c r="EF151" i="25"/>
  <c r="EW151" i="25" s="1"/>
  <c r="EE151" i="25"/>
  <c r="EG208" i="25"/>
  <c r="EX208" i="25" s="1"/>
  <c r="EF208" i="25"/>
  <c r="EW208" i="25" s="1"/>
  <c r="EE208" i="25"/>
  <c r="EE159" i="25"/>
  <c r="EG159" i="25"/>
  <c r="EX159" i="25" s="1"/>
  <c r="EF159" i="25"/>
  <c r="EW159" i="25" s="1"/>
  <c r="EF43" i="25"/>
  <c r="EW43" i="25" s="1"/>
  <c r="EE43" i="25"/>
  <c r="EG43" i="25"/>
  <c r="EX43" i="25" s="1"/>
  <c r="EE13" i="25"/>
  <c r="EG13" i="25"/>
  <c r="EX13" i="25" s="1"/>
  <c r="EF13" i="25"/>
  <c r="EW13" i="25" s="1"/>
  <c r="EF26" i="25"/>
  <c r="EW26" i="25" s="1"/>
  <c r="EE26" i="25"/>
  <c r="EG26" i="25"/>
  <c r="EX26" i="25" s="1"/>
  <c r="EE21" i="25"/>
  <c r="EG21" i="25"/>
  <c r="EX21" i="25" s="1"/>
  <c r="EF21" i="25"/>
  <c r="EW21" i="25" s="1"/>
  <c r="EE175" i="25"/>
  <c r="EG175" i="25"/>
  <c r="EX175" i="25" s="1"/>
  <c r="EF175" i="25"/>
  <c r="EW175" i="25" s="1"/>
  <c r="EE82" i="25"/>
  <c r="EG82" i="25"/>
  <c r="EX82" i="25" s="1"/>
  <c r="EF82" i="25"/>
  <c r="EW82" i="25" s="1"/>
  <c r="EF176" i="25"/>
  <c r="EW176" i="25" s="1"/>
  <c r="EE176" i="25"/>
  <c r="EG176" i="25"/>
  <c r="EX176" i="25" s="1"/>
  <c r="EF121" i="25"/>
  <c r="EW121" i="25" s="1"/>
  <c r="EE121" i="25"/>
  <c r="EG121" i="25"/>
  <c r="EX121" i="25" s="1"/>
  <c r="EE195" i="25"/>
  <c r="EG195" i="25"/>
  <c r="EX195" i="25" s="1"/>
  <c r="EF195" i="25"/>
  <c r="EW195" i="25" s="1"/>
  <c r="EF24" i="25"/>
  <c r="EW24" i="25" s="1"/>
  <c r="EE24" i="25"/>
  <c r="EG24" i="25"/>
  <c r="EX24" i="25" s="1"/>
  <c r="EG189" i="25"/>
  <c r="EX189" i="25" s="1"/>
  <c r="EF189" i="25"/>
  <c r="EW189" i="25" s="1"/>
  <c r="EE189" i="25"/>
  <c r="EV143" i="25"/>
  <c r="FB143" i="25" s="1"/>
  <c r="EI143" i="25"/>
  <c r="EF57" i="25"/>
  <c r="EW57" i="25" s="1"/>
  <c r="EG57" i="25"/>
  <c r="EX57" i="25" s="1"/>
  <c r="EE57" i="25"/>
  <c r="EE124" i="25"/>
  <c r="EG124" i="25"/>
  <c r="EX124" i="25" s="1"/>
  <c r="EF124" i="25"/>
  <c r="EW124" i="25" s="1"/>
  <c r="EF126" i="25"/>
  <c r="EW126" i="25" s="1"/>
  <c r="EG126" i="25"/>
  <c r="EX126" i="25" s="1"/>
  <c r="EE126" i="25"/>
  <c r="EG135" i="25"/>
  <c r="EX135" i="25" s="1"/>
  <c r="EF135" i="25"/>
  <c r="EW135" i="25" s="1"/>
  <c r="EE135" i="25"/>
  <c r="EF79" i="25"/>
  <c r="EW79" i="25" s="1"/>
  <c r="EG79" i="25"/>
  <c r="EX79" i="25" s="1"/>
  <c r="EE79" i="25"/>
  <c r="EE31" i="25"/>
  <c r="EG31" i="25"/>
  <c r="EX31" i="25" s="1"/>
  <c r="EF31" i="25"/>
  <c r="EW31" i="25" s="1"/>
  <c r="EE105" i="25"/>
  <c r="EG105" i="25"/>
  <c r="EX105" i="25" s="1"/>
  <c r="EF105" i="25"/>
  <c r="EW105" i="25" s="1"/>
  <c r="EF11" i="25"/>
  <c r="EW11" i="25" s="1"/>
  <c r="EE11" i="25"/>
  <c r="EG11" i="25"/>
  <c r="EX11" i="25" s="1"/>
  <c r="EG84" i="25"/>
  <c r="EX84" i="25" s="1"/>
  <c r="EF84" i="25"/>
  <c r="EW84" i="25" s="1"/>
  <c r="EE84" i="25"/>
  <c r="EG133" i="25"/>
  <c r="EX133" i="25" s="1"/>
  <c r="EF133" i="25"/>
  <c r="EW133" i="25" s="1"/>
  <c r="EE133" i="25"/>
  <c r="EG19" i="25"/>
  <c r="EX19" i="25" s="1"/>
  <c r="EF19" i="25"/>
  <c r="EW19" i="25" s="1"/>
  <c r="EE19" i="25"/>
  <c r="EE50" i="25"/>
  <c r="EG50" i="25"/>
  <c r="EX50" i="25" s="1"/>
  <c r="EF50" i="25"/>
  <c r="EW50" i="25" s="1"/>
  <c r="EF71" i="25"/>
  <c r="EW71" i="25" s="1"/>
  <c r="EE71" i="25"/>
  <c r="EG71" i="25"/>
  <c r="EX71" i="25" s="1"/>
  <c r="EF10" i="25"/>
  <c r="EW10" i="25" s="1"/>
  <c r="EE10" i="25"/>
  <c r="EG10" i="25"/>
  <c r="EX10" i="25" s="1"/>
  <c r="EF46" i="25"/>
  <c r="EW46" i="25" s="1"/>
  <c r="EE46" i="25"/>
  <c r="EG46" i="25"/>
  <c r="EX46" i="25" s="1"/>
  <c r="EF155" i="25"/>
  <c r="EW155" i="25" s="1"/>
  <c r="EE155" i="25"/>
  <c r="EG155" i="25"/>
  <c r="EX155" i="25" s="1"/>
  <c r="EG28" i="25"/>
  <c r="EX28" i="25" s="1"/>
  <c r="EF28" i="25"/>
  <c r="EW28" i="25" s="1"/>
  <c r="EE28" i="25"/>
  <c r="EG15" i="25"/>
  <c r="EX15" i="25" s="1"/>
  <c r="EF15" i="25"/>
  <c r="EW15" i="25" s="1"/>
  <c r="EE15" i="25"/>
  <c r="EE202" i="25"/>
  <c r="EG202" i="25"/>
  <c r="EX202" i="25" s="1"/>
  <c r="EF202" i="25"/>
  <c r="EW202" i="25" s="1"/>
  <c r="EF7" i="25"/>
  <c r="EW7" i="25" s="1"/>
  <c r="EE7" i="25"/>
  <c r="EG7" i="25"/>
  <c r="EX7" i="25" s="1"/>
  <c r="EE14" i="25"/>
  <c r="EG14" i="25"/>
  <c r="EX14" i="25" s="1"/>
  <c r="EF14" i="25"/>
  <c r="EW14" i="25" s="1"/>
  <c r="EE205" i="25"/>
  <c r="EG205" i="25"/>
  <c r="EX205" i="25" s="1"/>
  <c r="EF205" i="25"/>
  <c r="EW205" i="25" s="1"/>
  <c r="EE116" i="25"/>
  <c r="EG116" i="25"/>
  <c r="EX116" i="25" s="1"/>
  <c r="EF116" i="25"/>
  <c r="EW116" i="25" s="1"/>
  <c r="EE88" i="25"/>
  <c r="EG88" i="25"/>
  <c r="EX88" i="25" s="1"/>
  <c r="EF88" i="25"/>
  <c r="EW88" i="25" s="1"/>
  <c r="EG142" i="25"/>
  <c r="EX142" i="25" s="1"/>
  <c r="EF142" i="25"/>
  <c r="EW142" i="25" s="1"/>
  <c r="EE142" i="25"/>
  <c r="EE193" i="25"/>
  <c r="EG193" i="25"/>
  <c r="EX193" i="25" s="1"/>
  <c r="EF193" i="25"/>
  <c r="EW193" i="25" s="1"/>
  <c r="EG75" i="25"/>
  <c r="EX75" i="25" s="1"/>
  <c r="EE75" i="25"/>
  <c r="EF75" i="25"/>
  <c r="EW75" i="25" s="1"/>
  <c r="EF190" i="25"/>
  <c r="EW190" i="25" s="1"/>
  <c r="EG190" i="25"/>
  <c r="EX190" i="25" s="1"/>
  <c r="EE190" i="25"/>
  <c r="EF29" i="25"/>
  <c r="EW29" i="25" s="1"/>
  <c r="EE29" i="25"/>
  <c r="EG29" i="25"/>
  <c r="EX29" i="25" s="1"/>
  <c r="EF35" i="25"/>
  <c r="EW35" i="25" s="1"/>
  <c r="EE35" i="25"/>
  <c r="EG35" i="25"/>
  <c r="EX35" i="25" s="1"/>
  <c r="EF92" i="25"/>
  <c r="EW92" i="25" s="1"/>
  <c r="EE92" i="25"/>
  <c r="EG92" i="25"/>
  <c r="EX92" i="25" s="1"/>
  <c r="EF114" i="25"/>
  <c r="EW114" i="25" s="1"/>
  <c r="EE114" i="25"/>
  <c r="EG114" i="25"/>
  <c r="EX114" i="25" s="1"/>
  <c r="EG166" i="25"/>
  <c r="EX166" i="25" s="1"/>
  <c r="EF166" i="25"/>
  <c r="EW166" i="25" s="1"/>
  <c r="EE166" i="25"/>
  <c r="EF206" i="25"/>
  <c r="EW206" i="25" s="1"/>
  <c r="EG206" i="25"/>
  <c r="EX206" i="25" s="1"/>
  <c r="EE206" i="25"/>
  <c r="EF203" i="25"/>
  <c r="EW203" i="25" s="1"/>
  <c r="EE203" i="25"/>
  <c r="EG203" i="25"/>
  <c r="EX203" i="25" s="1"/>
  <c r="EF76" i="25"/>
  <c r="EW76" i="25" s="1"/>
  <c r="EE76" i="25"/>
  <c r="EG76" i="25"/>
  <c r="EX76" i="25" s="1"/>
  <c r="EF36" i="25"/>
  <c r="EW36" i="25" s="1"/>
  <c r="EE36" i="25"/>
  <c r="EG36" i="25"/>
  <c r="EX36" i="25" s="1"/>
  <c r="EG134" i="25"/>
  <c r="EX134" i="25" s="1"/>
  <c r="EE134" i="25"/>
  <c r="EF134" i="25"/>
  <c r="EW134" i="25" s="1"/>
  <c r="EG152" i="25"/>
  <c r="EX152" i="25" s="1"/>
  <c r="EF152" i="25"/>
  <c r="EW152" i="25" s="1"/>
  <c r="EE152" i="25"/>
  <c r="EP182" i="25"/>
  <c r="EE170" i="25"/>
  <c r="EG170" i="25"/>
  <c r="EX170" i="25" s="1"/>
  <c r="EF170" i="25"/>
  <c r="EW170" i="25" s="1"/>
  <c r="EG85" i="25"/>
  <c r="EX85" i="25" s="1"/>
  <c r="EE85" i="25"/>
  <c r="EF85" i="25"/>
  <c r="EW85" i="25" s="1"/>
  <c r="EE168" i="25"/>
  <c r="EG168" i="25"/>
  <c r="EX168" i="25" s="1"/>
  <c r="EF168" i="25"/>
  <c r="EW168" i="25" s="1"/>
  <c r="EE184" i="25"/>
  <c r="EF184" i="25"/>
  <c r="EW184" i="25" s="1"/>
  <c r="EG184" i="25"/>
  <c r="EX184" i="25" s="1"/>
  <c r="EE16" i="25"/>
  <c r="EF16" i="25"/>
  <c r="EW16" i="25" s="1"/>
  <c r="EG16" i="25"/>
  <c r="EX16" i="25" s="1"/>
  <c r="EE167" i="25"/>
  <c r="EG167" i="25"/>
  <c r="EX167" i="25" s="1"/>
  <c r="EF167" i="25"/>
  <c r="EW167" i="25" s="1"/>
  <c r="EG210" i="25"/>
  <c r="EX210" i="25" s="1"/>
  <c r="EF210" i="25"/>
  <c r="EW210" i="25" s="1"/>
  <c r="EE210" i="25"/>
  <c r="EG165" i="25"/>
  <c r="EX165" i="25" s="1"/>
  <c r="EF165" i="25"/>
  <c r="EW165" i="25" s="1"/>
  <c r="EE165" i="25"/>
  <c r="EF30" i="25"/>
  <c r="EW30" i="25" s="1"/>
  <c r="EE30" i="25"/>
  <c r="EG30" i="25"/>
  <c r="EX30" i="25" s="1"/>
  <c r="EG157" i="25"/>
  <c r="EX157" i="25" s="1"/>
  <c r="EF157" i="25"/>
  <c r="EW157" i="25" s="1"/>
  <c r="EE157" i="25"/>
  <c r="EG117" i="25"/>
  <c r="EX117" i="25" s="1"/>
  <c r="EF117" i="25"/>
  <c r="EW117" i="25" s="1"/>
  <c r="EE117" i="25"/>
  <c r="EG122" i="25"/>
  <c r="EX122" i="25" s="1"/>
  <c r="EE122" i="25"/>
  <c r="EF122" i="25"/>
  <c r="EW122" i="25" s="1"/>
  <c r="EF22" i="25"/>
  <c r="EW22" i="25" s="1"/>
  <c r="EE22" i="25"/>
  <c r="EG22" i="25"/>
  <c r="EX22" i="25" s="1"/>
  <c r="EF204" i="25"/>
  <c r="EW204" i="25" s="1"/>
  <c r="EE204" i="25"/>
  <c r="EG204" i="25"/>
  <c r="EX204" i="25" s="1"/>
  <c r="EF98" i="25"/>
  <c r="EW98" i="25" s="1"/>
  <c r="EG98" i="25"/>
  <c r="EX98" i="25" s="1"/>
  <c r="EE98" i="25"/>
  <c r="EF100" i="25"/>
  <c r="EW100" i="25" s="1"/>
  <c r="EE100" i="25"/>
  <c r="EG100" i="25"/>
  <c r="EX100" i="25" s="1"/>
  <c r="EG39" i="25"/>
  <c r="EX39" i="25" s="1"/>
  <c r="EE39" i="25"/>
  <c r="EF39" i="25"/>
  <c r="EW39" i="25" s="1"/>
  <c r="EF153" i="25"/>
  <c r="EW153" i="25" s="1"/>
  <c r="EE153" i="25"/>
  <c r="EG153" i="25"/>
  <c r="EX153" i="25" s="1"/>
  <c r="EE130" i="25"/>
  <c r="EG130" i="25"/>
  <c r="EX130" i="25" s="1"/>
  <c r="EF130" i="25"/>
  <c r="EW130" i="25" s="1"/>
  <c r="EF52" i="25"/>
  <c r="EW52" i="25" s="1"/>
  <c r="EE52" i="25"/>
  <c r="EG52" i="25"/>
  <c r="EX52" i="25" s="1"/>
  <c r="EE72" i="25"/>
  <c r="EF72" i="25"/>
  <c r="EW72" i="25" s="1"/>
  <c r="EG72" i="25"/>
  <c r="EX72" i="25" s="1"/>
  <c r="EF45" i="25"/>
  <c r="EW45" i="25" s="1"/>
  <c r="EE45" i="25"/>
  <c r="EG45" i="25"/>
  <c r="EX45" i="25" s="1"/>
  <c r="EE198" i="25"/>
  <c r="EF198" i="25"/>
  <c r="EW198" i="25" s="1"/>
  <c r="EG198" i="25"/>
  <c r="EX198" i="25" s="1"/>
  <c r="EE60" i="25"/>
  <c r="EG60" i="25"/>
  <c r="EX60" i="25" s="1"/>
  <c r="EF60" i="25"/>
  <c r="EW60" i="25" s="1"/>
  <c r="EF201" i="25"/>
  <c r="EW201" i="25" s="1"/>
  <c r="EE201" i="25"/>
  <c r="EG201" i="25"/>
  <c r="EX201" i="25" s="1"/>
  <c r="EG179" i="25"/>
  <c r="EX179" i="25" s="1"/>
  <c r="EE179" i="25"/>
  <c r="EF179" i="25"/>
  <c r="EW179" i="25" s="1"/>
  <c r="EG53" i="25"/>
  <c r="EX53" i="25" s="1"/>
  <c r="EF53" i="25"/>
  <c r="EW53" i="25" s="1"/>
  <c r="EE53" i="25"/>
  <c r="EF200" i="25"/>
  <c r="EW200" i="25" s="1"/>
  <c r="EE200" i="25"/>
  <c r="EG200" i="25"/>
  <c r="EX200" i="25" s="1"/>
  <c r="EF139" i="25"/>
  <c r="EW139" i="25" s="1"/>
  <c r="EE139" i="25"/>
  <c r="EG139" i="25"/>
  <c r="EX139" i="25" s="1"/>
  <c r="EG113" i="25"/>
  <c r="EX113" i="25" s="1"/>
  <c r="EF113" i="25"/>
  <c r="EW113" i="25" s="1"/>
  <c r="EE113" i="25"/>
  <c r="EE172" i="25"/>
  <c r="EG172" i="25"/>
  <c r="EX172" i="25" s="1"/>
  <c r="EF172" i="25"/>
  <c r="EW172" i="25" s="1"/>
  <c r="EF91" i="25"/>
  <c r="EW91" i="25" s="1"/>
  <c r="EE91" i="25"/>
  <c r="EG91" i="25"/>
  <c r="EX91" i="25" s="1"/>
  <c r="EE68" i="25"/>
  <c r="EF68" i="25"/>
  <c r="EW68" i="25" s="1"/>
  <c r="EG68" i="25"/>
  <c r="EX68" i="25" s="1"/>
  <c r="EG132" i="25"/>
  <c r="EX132" i="25" s="1"/>
  <c r="EE132" i="25"/>
  <c r="EF132" i="25"/>
  <c r="EW132" i="25" s="1"/>
  <c r="EF65" i="25"/>
  <c r="EW65" i="25" s="1"/>
  <c r="EE65" i="25"/>
  <c r="EG65" i="25"/>
  <c r="EX65" i="25" s="1"/>
  <c r="EE101" i="25"/>
  <c r="EG101" i="25"/>
  <c r="EX101" i="25" s="1"/>
  <c r="EF101" i="25"/>
  <c r="EW101" i="25" s="1"/>
  <c r="EG197" i="25"/>
  <c r="EX197" i="25" s="1"/>
  <c r="EE197" i="25"/>
  <c r="EF197" i="25"/>
  <c r="EW197" i="25" s="1"/>
  <c r="EG102" i="25"/>
  <c r="EX102" i="25" s="1"/>
  <c r="EE102" i="25"/>
  <c r="EF102" i="25"/>
  <c r="EW102" i="25" s="1"/>
  <c r="EE48" i="25"/>
  <c r="EG48" i="25"/>
  <c r="EX48" i="25" s="1"/>
  <c r="EF48" i="25"/>
  <c r="EW48" i="25" s="1"/>
  <c r="EF67" i="25"/>
  <c r="EW67" i="25" s="1"/>
  <c r="EE67" i="25"/>
  <c r="EG67" i="25"/>
  <c r="EX67" i="25" s="1"/>
  <c r="EG70" i="25"/>
  <c r="EX70" i="25" s="1"/>
  <c r="EE70" i="25"/>
  <c r="EF70" i="25"/>
  <c r="EW70" i="25" s="1"/>
  <c r="EF148" i="25"/>
  <c r="EW148" i="25" s="1"/>
  <c r="EG148" i="25"/>
  <c r="EX148" i="25" s="1"/>
  <c r="EE148" i="25"/>
  <c r="EF38" i="25"/>
  <c r="EW38" i="25" s="1"/>
  <c r="EE38" i="25"/>
  <c r="EG38" i="25"/>
  <c r="EX38" i="25" s="1"/>
  <c r="EF192" i="25"/>
  <c r="EW192" i="25" s="1"/>
  <c r="EE192" i="25"/>
  <c r="EG192" i="25"/>
  <c r="EX192" i="25" s="1"/>
  <c r="EF32" i="25"/>
  <c r="EW32" i="25" s="1"/>
  <c r="EE32" i="25"/>
  <c r="EG32" i="25"/>
  <c r="EX32" i="25" s="1"/>
  <c r="EF61" i="25"/>
  <c r="EW61" i="25" s="1"/>
  <c r="EG61" i="25"/>
  <c r="EX61" i="25" s="1"/>
  <c r="EE61" i="25"/>
  <c r="EF80" i="25"/>
  <c r="EW80" i="25" s="1"/>
  <c r="EE80" i="25"/>
  <c r="EG80" i="25"/>
  <c r="EX80" i="25" s="1"/>
  <c r="EE54" i="25"/>
  <c r="EG54" i="25"/>
  <c r="EX54" i="25" s="1"/>
  <c r="EF54" i="25"/>
  <c r="EW54" i="25" s="1"/>
  <c r="EF44" i="25"/>
  <c r="EW44" i="25" s="1"/>
  <c r="EE44" i="25"/>
  <c r="EG44" i="25"/>
  <c r="EX44" i="25" s="1"/>
  <c r="EG127" i="25"/>
  <c r="EX127" i="25" s="1"/>
  <c r="EF127" i="25"/>
  <c r="EW127" i="25" s="1"/>
  <c r="EE127" i="25"/>
  <c r="EG20" i="25"/>
  <c r="EX20" i="25" s="1"/>
  <c r="EF20" i="25"/>
  <c r="EW20" i="25" s="1"/>
  <c r="EE20" i="25"/>
  <c r="EA40" i="24"/>
  <c r="EA152" i="24"/>
  <c r="EA13" i="24"/>
  <c r="EA99" i="24"/>
  <c r="EA29" i="24"/>
  <c r="EA62" i="24"/>
  <c r="EA10" i="24"/>
  <c r="EA77" i="24"/>
  <c r="EA43" i="24"/>
  <c r="EA134" i="24"/>
  <c r="FL134" i="24" s="1"/>
  <c r="EA23" i="24"/>
  <c r="EA81" i="24"/>
  <c r="FL81" i="24" s="1"/>
  <c r="EA201" i="24"/>
  <c r="EA159" i="24"/>
  <c r="DY6" i="24"/>
  <c r="EF6" i="24" s="1"/>
  <c r="EA6" i="24"/>
  <c r="DY245" i="24"/>
  <c r="EF245" i="24" s="1"/>
  <c r="EA245" i="24"/>
  <c r="EA128" i="24"/>
  <c r="DY141" i="24"/>
  <c r="EF141" i="24" s="1"/>
  <c r="EA141" i="24"/>
  <c r="DY28" i="24"/>
  <c r="EF28" i="24" s="1"/>
  <c r="EA28" i="24"/>
  <c r="DY282" i="24"/>
  <c r="EF282" i="24" s="1"/>
  <c r="EA282" i="24"/>
  <c r="EA174" i="24"/>
  <c r="EA26" i="24"/>
  <c r="DY32" i="24"/>
  <c r="EF32" i="24" s="1"/>
  <c r="EA32" i="24"/>
  <c r="DY31" i="24"/>
  <c r="EF31" i="24" s="1"/>
  <c r="EA31" i="24"/>
  <c r="EA123" i="24"/>
  <c r="DY299" i="24"/>
  <c r="EF299" i="24" s="1"/>
  <c r="EA299" i="24"/>
  <c r="DY290" i="24"/>
  <c r="EF290" i="24" s="1"/>
  <c r="EA290" i="24"/>
  <c r="DY69" i="24"/>
  <c r="EF69" i="24" s="1"/>
  <c r="EA69" i="24"/>
  <c r="DY95" i="24"/>
  <c r="EF95" i="24" s="1"/>
  <c r="EA95" i="24"/>
  <c r="DY225" i="24"/>
  <c r="EF225" i="24" s="1"/>
  <c r="EA225" i="24"/>
  <c r="DY316" i="24"/>
  <c r="EF316" i="24" s="1"/>
  <c r="EA316" i="24"/>
  <c r="DY251" i="24"/>
  <c r="EF251" i="24" s="1"/>
  <c r="EA251" i="24"/>
  <c r="DY257" i="24"/>
  <c r="EF257" i="24" s="1"/>
  <c r="EA257" i="24"/>
  <c r="DY304" i="24"/>
  <c r="EF304" i="24" s="1"/>
  <c r="EA304" i="24"/>
  <c r="DY168" i="24"/>
  <c r="EF168" i="24" s="1"/>
  <c r="EA168" i="24"/>
  <c r="DY146" i="24"/>
  <c r="EF146" i="24" s="1"/>
  <c r="EA146" i="24"/>
  <c r="DY19" i="24"/>
  <c r="EF19" i="24" s="1"/>
  <c r="EA19" i="24"/>
  <c r="DY182" i="24"/>
  <c r="EF182" i="24" s="1"/>
  <c r="EA182" i="24"/>
  <c r="DY226" i="24"/>
  <c r="EF226" i="24" s="1"/>
  <c r="EA226" i="24"/>
  <c r="DY227" i="24"/>
  <c r="EF227" i="24" s="1"/>
  <c r="EA227" i="24"/>
  <c r="DY85" i="24"/>
  <c r="EF85" i="24" s="1"/>
  <c r="EA85" i="24"/>
  <c r="DY51" i="24"/>
  <c r="EF51" i="24" s="1"/>
  <c r="EA51" i="24"/>
  <c r="DY261" i="24"/>
  <c r="EF261" i="24" s="1"/>
  <c r="EA261" i="24"/>
  <c r="DY195" i="24"/>
  <c r="EF195" i="24" s="1"/>
  <c r="EA195" i="24"/>
  <c r="DY20" i="24"/>
  <c r="EF20" i="24" s="1"/>
  <c r="EA20" i="24"/>
  <c r="DY279" i="24"/>
  <c r="EF279" i="24" s="1"/>
  <c r="EA279" i="24"/>
  <c r="DY93" i="24"/>
  <c r="EF93" i="24" s="1"/>
  <c r="EA93" i="24"/>
  <c r="EA209" i="24"/>
  <c r="EA177" i="24"/>
  <c r="DY269" i="24"/>
  <c r="EF269" i="24" s="1"/>
  <c r="EA269" i="24"/>
  <c r="DY148" i="24"/>
  <c r="EF148" i="24" s="1"/>
  <c r="EA148" i="24"/>
  <c r="EA41" i="24"/>
  <c r="EA53" i="24"/>
  <c r="EA114" i="24"/>
  <c r="EA202" i="24"/>
  <c r="EA161" i="24"/>
  <c r="DY137" i="24"/>
  <c r="EF137" i="24" s="1"/>
  <c r="EA137" i="24"/>
  <c r="DY234" i="24"/>
  <c r="EF234" i="24" s="1"/>
  <c r="EA234" i="24"/>
  <c r="DY249" i="24"/>
  <c r="EF249" i="24" s="1"/>
  <c r="EA249" i="24"/>
  <c r="DY206" i="24"/>
  <c r="EF206" i="24" s="1"/>
  <c r="EA206" i="24"/>
  <c r="DY295" i="24"/>
  <c r="EF295" i="24" s="1"/>
  <c r="EA295" i="24"/>
  <c r="DY256" i="24"/>
  <c r="EF256" i="24" s="1"/>
  <c r="EA256" i="24"/>
  <c r="DY223" i="24"/>
  <c r="EF223" i="24" s="1"/>
  <c r="EA223" i="24"/>
  <c r="DY139" i="24"/>
  <c r="EF139" i="24" s="1"/>
  <c r="EA139" i="24"/>
  <c r="DY179" i="24"/>
  <c r="EF179" i="24" s="1"/>
  <c r="EA179" i="24"/>
  <c r="DY260" i="24"/>
  <c r="EF260" i="24" s="1"/>
  <c r="EA260" i="24"/>
  <c r="DY258" i="24"/>
  <c r="EF258" i="24" s="1"/>
  <c r="EA258" i="24"/>
  <c r="EA122" i="24"/>
  <c r="DY73" i="24"/>
  <c r="EF73" i="24" s="1"/>
  <c r="EA73" i="24"/>
  <c r="DY16" i="24"/>
  <c r="EF16" i="24" s="1"/>
  <c r="EA16" i="24"/>
  <c r="DY21" i="24"/>
  <c r="EF21" i="24" s="1"/>
  <c r="EA21" i="24"/>
  <c r="DY289" i="24"/>
  <c r="EF289" i="24" s="1"/>
  <c r="EA289" i="24"/>
  <c r="DY270" i="24"/>
  <c r="EF270" i="24" s="1"/>
  <c r="EA270" i="24"/>
  <c r="DY222" i="24"/>
  <c r="EF222" i="24" s="1"/>
  <c r="EA222" i="24"/>
  <c r="EA197" i="24"/>
  <c r="EA185" i="24"/>
  <c r="DY276" i="24"/>
  <c r="EF276" i="24" s="1"/>
  <c r="EA276" i="24"/>
  <c r="DY156" i="24"/>
  <c r="EF156" i="24" s="1"/>
  <c r="EA156" i="24"/>
  <c r="DY229" i="24"/>
  <c r="EF229" i="24" s="1"/>
  <c r="EA229" i="24"/>
  <c r="DY300" i="24"/>
  <c r="EF300" i="24" s="1"/>
  <c r="EA300" i="24"/>
  <c r="EA50" i="24"/>
  <c r="DY9" i="24"/>
  <c r="EF9" i="24" s="1"/>
  <c r="EA9" i="24"/>
  <c r="DY84" i="24"/>
  <c r="EF84" i="24" s="1"/>
  <c r="EA84" i="24"/>
  <c r="DY22" i="24"/>
  <c r="EF22" i="24" s="1"/>
  <c r="EA22" i="24"/>
  <c r="DY58" i="24"/>
  <c r="EF58" i="24" s="1"/>
  <c r="EA58" i="24"/>
  <c r="DY306" i="24"/>
  <c r="EF306" i="24" s="1"/>
  <c r="EA306" i="24"/>
  <c r="DY102" i="24"/>
  <c r="EF102" i="24" s="1"/>
  <c r="EA102" i="24"/>
  <c r="DY307" i="24"/>
  <c r="EF307" i="24" s="1"/>
  <c r="EA307" i="24"/>
  <c r="EA145" i="24"/>
  <c r="DY238" i="24"/>
  <c r="EF238" i="24" s="1"/>
  <c r="EA238" i="24"/>
  <c r="DY151" i="24"/>
  <c r="EF151" i="24" s="1"/>
  <c r="EA151" i="24"/>
  <c r="DY305" i="24"/>
  <c r="EF305" i="24" s="1"/>
  <c r="EA305" i="24"/>
  <c r="DY228" i="24"/>
  <c r="EF228" i="24" s="1"/>
  <c r="EA228" i="24"/>
  <c r="DY292" i="24"/>
  <c r="EF292" i="24" s="1"/>
  <c r="EA292" i="24"/>
  <c r="DY188" i="24"/>
  <c r="EF188" i="24" s="1"/>
  <c r="EA188" i="24"/>
  <c r="DY15" i="24"/>
  <c r="EF15" i="24" s="1"/>
  <c r="EA15" i="24"/>
  <c r="EA167" i="24"/>
  <c r="EA61" i="24"/>
  <c r="DY246" i="24"/>
  <c r="EF246" i="24" s="1"/>
  <c r="EA246" i="24"/>
  <c r="EH190" i="24"/>
  <c r="EC190" i="24"/>
  <c r="ED190" i="24" s="1"/>
  <c r="EI190" i="24"/>
  <c r="EX190" i="24" s="1"/>
  <c r="EA100" i="24"/>
  <c r="DY11" i="24"/>
  <c r="EF11" i="24" s="1"/>
  <c r="EA11" i="24"/>
  <c r="DY235" i="24"/>
  <c r="EF235" i="24" s="1"/>
  <c r="EA235" i="24"/>
  <c r="DY239" i="24"/>
  <c r="EF239" i="24" s="1"/>
  <c r="EA239" i="24"/>
  <c r="EA158" i="24"/>
  <c r="DY217" i="24"/>
  <c r="EF217" i="24" s="1"/>
  <c r="EA217" i="24"/>
  <c r="EA54" i="24"/>
  <c r="DY76" i="24"/>
  <c r="EF76" i="24" s="1"/>
  <c r="EA76" i="24"/>
  <c r="DY255" i="24"/>
  <c r="EF255" i="24" s="1"/>
  <c r="EA255" i="24"/>
  <c r="DY278" i="24"/>
  <c r="EF278" i="24" s="1"/>
  <c r="EA278" i="24"/>
  <c r="DY247" i="24"/>
  <c r="EF247" i="24" s="1"/>
  <c r="EA247" i="24"/>
  <c r="DY232" i="24"/>
  <c r="EF232" i="24" s="1"/>
  <c r="EA232" i="24"/>
  <c r="DY259" i="24"/>
  <c r="EF259" i="24" s="1"/>
  <c r="EA259" i="24"/>
  <c r="DY97" i="24"/>
  <c r="EF97" i="24" s="1"/>
  <c r="EA97" i="24"/>
  <c r="DY224" i="24"/>
  <c r="EF224" i="24" s="1"/>
  <c r="EA224" i="24"/>
  <c r="EA155" i="24"/>
  <c r="DY189" i="24"/>
  <c r="EF189" i="24" s="1"/>
  <c r="EA189" i="24"/>
  <c r="DY117" i="24"/>
  <c r="EF117" i="24" s="1"/>
  <c r="EA117" i="24"/>
  <c r="DY27" i="24"/>
  <c r="EF27" i="24" s="1"/>
  <c r="EA27" i="24"/>
  <c r="DY273" i="24"/>
  <c r="EF273" i="24" s="1"/>
  <c r="EA273" i="24"/>
  <c r="DY218" i="24"/>
  <c r="EF218" i="24" s="1"/>
  <c r="EA218" i="24"/>
  <c r="EA173" i="24"/>
  <c r="EA80" i="24"/>
  <c r="DY296" i="24"/>
  <c r="EF296" i="24" s="1"/>
  <c r="EA296" i="24"/>
  <c r="DY241" i="24"/>
  <c r="EF241" i="24" s="1"/>
  <c r="EA241" i="24"/>
  <c r="DY82" i="24"/>
  <c r="EF82" i="24" s="1"/>
  <c r="EA82" i="24"/>
  <c r="DY194" i="24"/>
  <c r="EF194" i="24" s="1"/>
  <c r="EA194" i="24"/>
  <c r="DY88" i="24"/>
  <c r="EF88" i="24" s="1"/>
  <c r="EA88" i="24"/>
  <c r="DY264" i="24"/>
  <c r="EF264" i="24" s="1"/>
  <c r="EA264" i="24"/>
  <c r="DY301" i="24"/>
  <c r="EF301" i="24" s="1"/>
  <c r="EA301" i="24"/>
  <c r="DY252" i="24"/>
  <c r="EF252" i="24" s="1"/>
  <c r="EA252" i="24"/>
  <c r="EA103" i="24"/>
  <c r="DY87" i="24"/>
  <c r="EF87" i="24" s="1"/>
  <c r="EA87" i="24"/>
  <c r="DY120" i="24"/>
  <c r="EF120" i="24" s="1"/>
  <c r="EA120" i="24"/>
  <c r="DY143" i="24"/>
  <c r="EF143" i="24" s="1"/>
  <c r="EA143" i="24"/>
  <c r="DY287" i="24"/>
  <c r="EF287" i="24" s="1"/>
  <c r="EA287" i="24"/>
  <c r="DY262" i="24"/>
  <c r="EF262" i="24" s="1"/>
  <c r="EA262" i="24"/>
  <c r="DY57" i="24"/>
  <c r="EF57" i="24" s="1"/>
  <c r="EA57" i="24"/>
  <c r="EA98" i="24"/>
  <c r="DY105" i="24"/>
  <c r="EF105" i="24" s="1"/>
  <c r="EA105" i="24"/>
  <c r="EA157" i="24"/>
  <c r="EA42" i="24"/>
  <c r="DY310" i="24"/>
  <c r="EF310" i="24" s="1"/>
  <c r="EA310" i="24"/>
  <c r="DY176" i="24"/>
  <c r="EF176" i="24" s="1"/>
  <c r="EA176" i="24"/>
  <c r="DY200" i="24"/>
  <c r="EF200" i="24" s="1"/>
  <c r="EA200" i="24"/>
  <c r="EA47" i="24"/>
  <c r="DY248" i="24"/>
  <c r="EF248" i="24" s="1"/>
  <c r="EA248" i="24"/>
  <c r="DY311" i="24"/>
  <c r="EF311" i="24" s="1"/>
  <c r="EA311" i="24"/>
  <c r="DY180" i="24"/>
  <c r="EF180" i="24" s="1"/>
  <c r="EA180" i="24"/>
  <c r="DY253" i="24"/>
  <c r="EF253" i="24" s="1"/>
  <c r="EA253" i="24"/>
  <c r="DY312" i="24"/>
  <c r="EF312" i="24" s="1"/>
  <c r="EA312" i="24"/>
  <c r="DY265" i="24"/>
  <c r="EF265" i="24" s="1"/>
  <c r="EA265" i="24"/>
  <c r="DY181" i="24"/>
  <c r="EF181" i="24" s="1"/>
  <c r="EA181" i="24"/>
  <c r="EA175" i="24"/>
  <c r="DY36" i="24"/>
  <c r="EF36" i="24" s="1"/>
  <c r="EA36" i="24"/>
  <c r="DY207" i="24"/>
  <c r="EF207" i="24" s="1"/>
  <c r="EA207" i="24"/>
  <c r="EA183" i="24"/>
  <c r="DY45" i="24"/>
  <c r="EF45" i="24" s="1"/>
  <c r="EA45" i="24"/>
  <c r="DY297" i="24"/>
  <c r="EF297" i="24" s="1"/>
  <c r="EA297" i="24"/>
  <c r="DY271" i="24"/>
  <c r="EF271" i="24" s="1"/>
  <c r="EA271" i="24"/>
  <c r="EA171" i="24"/>
  <c r="DY184" i="24"/>
  <c r="EF184" i="24" s="1"/>
  <c r="EA184" i="24"/>
  <c r="DY125" i="24"/>
  <c r="EF125" i="24" s="1"/>
  <c r="EA125" i="24"/>
  <c r="EA68" i="24"/>
  <c r="DY313" i="24"/>
  <c r="EF313" i="24" s="1"/>
  <c r="EA313" i="24"/>
  <c r="DY18" i="24"/>
  <c r="EF18" i="24" s="1"/>
  <c r="EA18" i="24"/>
  <c r="EA33" i="24"/>
  <c r="DY233" i="24"/>
  <c r="EF233" i="24" s="1"/>
  <c r="EA233" i="24"/>
  <c r="DY308" i="24"/>
  <c r="EF308" i="24" s="1"/>
  <c r="EA308" i="24"/>
  <c r="DY38" i="24"/>
  <c r="EF38" i="24" s="1"/>
  <c r="EA38" i="24"/>
  <c r="DY293" i="24"/>
  <c r="EF293" i="24" s="1"/>
  <c r="EA293" i="24"/>
  <c r="DY56" i="24"/>
  <c r="EF56" i="24" s="1"/>
  <c r="EA56" i="24"/>
  <c r="DY208" i="24"/>
  <c r="EF208" i="24" s="1"/>
  <c r="EA208" i="24"/>
  <c r="DY66" i="24"/>
  <c r="EF66" i="24" s="1"/>
  <c r="EA66" i="24"/>
  <c r="DY267" i="24"/>
  <c r="EF267" i="24" s="1"/>
  <c r="EA267" i="24"/>
  <c r="DY210" i="24"/>
  <c r="EF210" i="24" s="1"/>
  <c r="EA210" i="24"/>
  <c r="DY254" i="24"/>
  <c r="EF254" i="24" s="1"/>
  <c r="EA254" i="24"/>
  <c r="DY86" i="24"/>
  <c r="EF86" i="24" s="1"/>
  <c r="EA86" i="24"/>
  <c r="DY205" i="24"/>
  <c r="EF205" i="24" s="1"/>
  <c r="EA205" i="24"/>
  <c r="DY219" i="24"/>
  <c r="EF219" i="24" s="1"/>
  <c r="EA219" i="24"/>
  <c r="DY130" i="24"/>
  <c r="EF130" i="24" s="1"/>
  <c r="EA130" i="24"/>
  <c r="DY49" i="24"/>
  <c r="EF49" i="24" s="1"/>
  <c r="EA49" i="24"/>
  <c r="DY140" i="24"/>
  <c r="EF140" i="24" s="1"/>
  <c r="EA140" i="24"/>
  <c r="DY220" i="24"/>
  <c r="EF220" i="24" s="1"/>
  <c r="EA220" i="24"/>
  <c r="DY113" i="24"/>
  <c r="EF113" i="24" s="1"/>
  <c r="EA113" i="24"/>
  <c r="DY281" i="24"/>
  <c r="EF281" i="24" s="1"/>
  <c r="EA281" i="24"/>
  <c r="DY288" i="24"/>
  <c r="EF288" i="24" s="1"/>
  <c r="EA288" i="24"/>
  <c r="DY165" i="24"/>
  <c r="EF165" i="24" s="1"/>
  <c r="EA165" i="24"/>
  <c r="DY149" i="24"/>
  <c r="EF149" i="24" s="1"/>
  <c r="EA149" i="24"/>
  <c r="DY196" i="24"/>
  <c r="EF196" i="24" s="1"/>
  <c r="EA196" i="24"/>
  <c r="DY46" i="24"/>
  <c r="EF46" i="24" s="1"/>
  <c r="EA46" i="24"/>
  <c r="DY291" i="24"/>
  <c r="EF291" i="24" s="1"/>
  <c r="EA291" i="24"/>
  <c r="DY203" i="24"/>
  <c r="EF203" i="24" s="1"/>
  <c r="EA203" i="24"/>
  <c r="DY162" i="24"/>
  <c r="EF162" i="24" s="1"/>
  <c r="EA162" i="24"/>
  <c r="DY277" i="24"/>
  <c r="EF277" i="24" s="1"/>
  <c r="EA277" i="24"/>
  <c r="DY121" i="24"/>
  <c r="EF121" i="24" s="1"/>
  <c r="EA121" i="24"/>
  <c r="DY244" i="24"/>
  <c r="EF244" i="24" s="1"/>
  <c r="EA244" i="24"/>
  <c r="DY230" i="24"/>
  <c r="EF230" i="24" s="1"/>
  <c r="EA230" i="24"/>
  <c r="DY59" i="24"/>
  <c r="EF59" i="24" s="1"/>
  <c r="EA59" i="24"/>
  <c r="DY283" i="24"/>
  <c r="EF283" i="24" s="1"/>
  <c r="EA283" i="24"/>
  <c r="DY221" i="24"/>
  <c r="EF221" i="24" s="1"/>
  <c r="EA221" i="24"/>
  <c r="DY75" i="24"/>
  <c r="EF75" i="24" s="1"/>
  <c r="EA75" i="24"/>
  <c r="DY119" i="24"/>
  <c r="EF119" i="24" s="1"/>
  <c r="EA119" i="24"/>
  <c r="DY263" i="24"/>
  <c r="EF263" i="24" s="1"/>
  <c r="EA263" i="24"/>
  <c r="DY178" i="24"/>
  <c r="EF178" i="24" s="1"/>
  <c r="EA178" i="24"/>
  <c r="DY236" i="24"/>
  <c r="EF236" i="24" s="1"/>
  <c r="EA236" i="24"/>
  <c r="DY91" i="24"/>
  <c r="EF91" i="24" s="1"/>
  <c r="EA91" i="24"/>
  <c r="EA25" i="24"/>
  <c r="EA8" i="24"/>
  <c r="DY144" i="24"/>
  <c r="EF144" i="24" s="1"/>
  <c r="EA144" i="24"/>
  <c r="DY166" i="24"/>
  <c r="EF166" i="24" s="1"/>
  <c r="EA166" i="24"/>
  <c r="DY298" i="24"/>
  <c r="EF298" i="24" s="1"/>
  <c r="EA298" i="24"/>
  <c r="DY231" i="24"/>
  <c r="EF231" i="24" s="1"/>
  <c r="EA231" i="24"/>
  <c r="EA193" i="24"/>
  <c r="EA89" i="24"/>
  <c r="DY204" i="24"/>
  <c r="EF204" i="24" s="1"/>
  <c r="EA204" i="24"/>
  <c r="EA138" i="24"/>
  <c r="DY12" i="24"/>
  <c r="EF12" i="24" s="1"/>
  <c r="EA12" i="24"/>
  <c r="DY135" i="24"/>
  <c r="EF135" i="24" s="1"/>
  <c r="EA135" i="24"/>
  <c r="DY309" i="24"/>
  <c r="EF309" i="24" s="1"/>
  <c r="EA309" i="24"/>
  <c r="DY116" i="24"/>
  <c r="EF116" i="24" s="1"/>
  <c r="EA116" i="24"/>
  <c r="EA164" i="24"/>
  <c r="DY7" i="24"/>
  <c r="EF7" i="24" s="1"/>
  <c r="EA7" i="24"/>
  <c r="DY94" i="24"/>
  <c r="EF94" i="24" s="1"/>
  <c r="EA94" i="24"/>
  <c r="EA150" i="24"/>
  <c r="DY115" i="24"/>
  <c r="EF115" i="24" s="1"/>
  <c r="EA115" i="24"/>
  <c r="EA129" i="24"/>
  <c r="DY302" i="24"/>
  <c r="EF302" i="24" s="1"/>
  <c r="EA302" i="24"/>
  <c r="DY286" i="24"/>
  <c r="EF286" i="24" s="1"/>
  <c r="EA286" i="24"/>
  <c r="EA112" i="24"/>
  <c r="EA70" i="24"/>
  <c r="DY314" i="24"/>
  <c r="EF314" i="24" s="1"/>
  <c r="EA314" i="24"/>
  <c r="DY274" i="24"/>
  <c r="EF274" i="24" s="1"/>
  <c r="EA274" i="24"/>
  <c r="DY275" i="24"/>
  <c r="EF275" i="24" s="1"/>
  <c r="EA275" i="24"/>
  <c r="DY72" i="24"/>
  <c r="EF72" i="24" s="1"/>
  <c r="EA72" i="24"/>
  <c r="DY163" i="24"/>
  <c r="EF163" i="24" s="1"/>
  <c r="EA163" i="24"/>
  <c r="DY272" i="24"/>
  <c r="EF272" i="24" s="1"/>
  <c r="EA272" i="24"/>
  <c r="DY294" i="24"/>
  <c r="EF294" i="24" s="1"/>
  <c r="EA294" i="24"/>
  <c r="EA24" i="24"/>
  <c r="DY34" i="24"/>
  <c r="EF34" i="24" s="1"/>
  <c r="EA34" i="24"/>
  <c r="EA35" i="24"/>
  <c r="DY266" i="24"/>
  <c r="EF266" i="24" s="1"/>
  <c r="EA266" i="24"/>
  <c r="DY118" i="24"/>
  <c r="EF118" i="24" s="1"/>
  <c r="EA118" i="24"/>
  <c r="DY250" i="24"/>
  <c r="EF250" i="24" s="1"/>
  <c r="EA250" i="24"/>
  <c r="DY131" i="24"/>
  <c r="EF131" i="24" s="1"/>
  <c r="EA131" i="24"/>
  <c r="DY284" i="24"/>
  <c r="EF284" i="24" s="1"/>
  <c r="EA284" i="24"/>
  <c r="DY237" i="24"/>
  <c r="EF237" i="24" s="1"/>
  <c r="EA237" i="24"/>
  <c r="DY101" i="24"/>
  <c r="EF101" i="24" s="1"/>
  <c r="EA101" i="24"/>
  <c r="DY187" i="24"/>
  <c r="EF187" i="24" s="1"/>
  <c r="EA187" i="24"/>
  <c r="DY280" i="24"/>
  <c r="EF280" i="24" s="1"/>
  <c r="EA280" i="24"/>
  <c r="DY79" i="24"/>
  <c r="EF79" i="24" s="1"/>
  <c r="EA79" i="24"/>
  <c r="DY315" i="24"/>
  <c r="EF315" i="24" s="1"/>
  <c r="EA315" i="24"/>
  <c r="DY303" i="24"/>
  <c r="EF303" i="24" s="1"/>
  <c r="EA303" i="24"/>
  <c r="DY268" i="24"/>
  <c r="EF268" i="24" s="1"/>
  <c r="EA268" i="24"/>
  <c r="DY153" i="24"/>
  <c r="EF153" i="24" s="1"/>
  <c r="EA153" i="24"/>
  <c r="DY17" i="24"/>
  <c r="EF17" i="24" s="1"/>
  <c r="EA17" i="24"/>
  <c r="DY198" i="24"/>
  <c r="EF198" i="24" s="1"/>
  <c r="EA198" i="24"/>
  <c r="DY240" i="24"/>
  <c r="EF240" i="24" s="1"/>
  <c r="EA240" i="24"/>
  <c r="DY191" i="24"/>
  <c r="EF191" i="24" s="1"/>
  <c r="EA191" i="24"/>
  <c r="EA154" i="24"/>
  <c r="DY64" i="24"/>
  <c r="EF64" i="24" s="1"/>
  <c r="EA64" i="24"/>
  <c r="EA65" i="24"/>
  <c r="F64" i="19"/>
  <c r="F65" i="19"/>
  <c r="EE216" i="25" l="1"/>
  <c r="EV216" i="25" s="1"/>
  <c r="EF216" i="25"/>
  <c r="EW216" i="25" s="1"/>
  <c r="CG216" i="25"/>
  <c r="CH216" i="25"/>
  <c r="CG242" i="24"/>
  <c r="CG243" i="24"/>
  <c r="EV212" i="25"/>
  <c r="FB212" i="25" s="1"/>
  <c r="EI212" i="25"/>
  <c r="EC96" i="24"/>
  <c r="ED96" i="24" s="1"/>
  <c r="EH96" i="24"/>
  <c r="EW96" i="24" s="1"/>
  <c r="EI96" i="24"/>
  <c r="EX96" i="24" s="1"/>
  <c r="FL96" i="24"/>
  <c r="CG285" i="24"/>
  <c r="EI243" i="24"/>
  <c r="EX243" i="24" s="1"/>
  <c r="EC243" i="24"/>
  <c r="ED243" i="24" s="1"/>
  <c r="EH243" i="24"/>
  <c r="EK243" i="24" s="1"/>
  <c r="EC78" i="24"/>
  <c r="ED78" i="24" s="1"/>
  <c r="EH78" i="24"/>
  <c r="EW78" i="24" s="1"/>
  <c r="EI78" i="24"/>
  <c r="EX78" i="24" s="1"/>
  <c r="EH60" i="24"/>
  <c r="EW60" i="24" s="1"/>
  <c r="EV136" i="25"/>
  <c r="FC136" i="25" s="1"/>
  <c r="FE136" i="25" s="1"/>
  <c r="FF136" i="25" s="1"/>
  <c r="EH285" i="24"/>
  <c r="EK285" i="24" s="1"/>
  <c r="EI60" i="24"/>
  <c r="EX60" i="24" s="1"/>
  <c r="EC242" i="24"/>
  <c r="ED242" i="24" s="1"/>
  <c r="EI242" i="24"/>
  <c r="EX242" i="24" s="1"/>
  <c r="FL242" i="24"/>
  <c r="FL285" i="24"/>
  <c r="EI285" i="24"/>
  <c r="EX285" i="24" s="1"/>
  <c r="EW216" i="24"/>
  <c r="FB216" i="24" s="1"/>
  <c r="EK216" i="24"/>
  <c r="EI89" i="25"/>
  <c r="EO89" i="25" s="1"/>
  <c r="EP89" i="25" s="1"/>
  <c r="S110" i="24"/>
  <c r="T110" i="24" s="1"/>
  <c r="J110" i="24" s="1"/>
  <c r="K110" i="24"/>
  <c r="EC92" i="24"/>
  <c r="ED92" i="24" s="1"/>
  <c r="CG92" i="24"/>
  <c r="EH92" i="24"/>
  <c r="EW92" i="24" s="1"/>
  <c r="FL237" i="24"/>
  <c r="EH237" i="24"/>
  <c r="EI237" i="24"/>
  <c r="EX237" i="24" s="1"/>
  <c r="EC237" i="24"/>
  <c r="ED237" i="24" s="1"/>
  <c r="FL275" i="24"/>
  <c r="EI275" i="24"/>
  <c r="EX275" i="24" s="1"/>
  <c r="EC275" i="24"/>
  <c r="ED275" i="24" s="1"/>
  <c r="EH275" i="24"/>
  <c r="FL221" i="24"/>
  <c r="EH221" i="24"/>
  <c r="EI221" i="24"/>
  <c r="EX221" i="24" s="1"/>
  <c r="EC221" i="24"/>
  <c r="ED221" i="24" s="1"/>
  <c r="FL244" i="24"/>
  <c r="EH244" i="24"/>
  <c r="EI244" i="24"/>
  <c r="EX244" i="24" s="1"/>
  <c r="EC244" i="24"/>
  <c r="ED244" i="24" s="1"/>
  <c r="FL254" i="24"/>
  <c r="EH254" i="24"/>
  <c r="EI254" i="24"/>
  <c r="EX254" i="24" s="1"/>
  <c r="EC254" i="24"/>
  <c r="ED254" i="24" s="1"/>
  <c r="FL265" i="24"/>
  <c r="EH265" i="24"/>
  <c r="EC265" i="24"/>
  <c r="ED265" i="24" s="1"/>
  <c r="EI265" i="24"/>
  <c r="EX265" i="24" s="1"/>
  <c r="FL311" i="24"/>
  <c r="EI311" i="24"/>
  <c r="EX311" i="24" s="1"/>
  <c r="EH311" i="24"/>
  <c r="EC311" i="24"/>
  <c r="ED311" i="24" s="1"/>
  <c r="FL224" i="24"/>
  <c r="EI224" i="24"/>
  <c r="EX224" i="24" s="1"/>
  <c r="EH224" i="24"/>
  <c r="EC224" i="24"/>
  <c r="ED224" i="24" s="1"/>
  <c r="FL247" i="24"/>
  <c r="EH247" i="24"/>
  <c r="EI247" i="24"/>
  <c r="EX247" i="24" s="1"/>
  <c r="EC247" i="24"/>
  <c r="ED247" i="24" s="1"/>
  <c r="FL228" i="24"/>
  <c r="EH228" i="24"/>
  <c r="EC228" i="24"/>
  <c r="ED228" i="24" s="1"/>
  <c r="EI228" i="24"/>
  <c r="EX228" i="24" s="1"/>
  <c r="FL300" i="24"/>
  <c r="EI300" i="24"/>
  <c r="EX300" i="24" s="1"/>
  <c r="EC300" i="24"/>
  <c r="ED300" i="24" s="1"/>
  <c r="EH300" i="24"/>
  <c r="FL261" i="24"/>
  <c r="EH261" i="24"/>
  <c r="EI261" i="24"/>
  <c r="EX261" i="24" s="1"/>
  <c r="EC261" i="24"/>
  <c r="ED261" i="24" s="1"/>
  <c r="FL226" i="24"/>
  <c r="EH226" i="24"/>
  <c r="EI226" i="24"/>
  <c r="EX226" i="24" s="1"/>
  <c r="EC226" i="24"/>
  <c r="ED226" i="24" s="1"/>
  <c r="FL316" i="24"/>
  <c r="EC316" i="24"/>
  <c r="ED316" i="24" s="1"/>
  <c r="EH316" i="24"/>
  <c r="EI316" i="24"/>
  <c r="EX316" i="24" s="1"/>
  <c r="FL290" i="24"/>
  <c r="EH290" i="24"/>
  <c r="EI290" i="24"/>
  <c r="EX290" i="24" s="1"/>
  <c r="EC290" i="24"/>
  <c r="ED290" i="24" s="1"/>
  <c r="FL294" i="24"/>
  <c r="EH294" i="24"/>
  <c r="EI294" i="24"/>
  <c r="EX294" i="24" s="1"/>
  <c r="EC294" i="24"/>
  <c r="ED294" i="24" s="1"/>
  <c r="FL217" i="24"/>
  <c r="EH217" i="24"/>
  <c r="EI217" i="24"/>
  <c r="EX217" i="24" s="1"/>
  <c r="EC217" i="24"/>
  <c r="ED217" i="24" s="1"/>
  <c r="FL307" i="24"/>
  <c r="EI307" i="24"/>
  <c r="EX307" i="24" s="1"/>
  <c r="EC307" i="24"/>
  <c r="ED307" i="24" s="1"/>
  <c r="EH307" i="24"/>
  <c r="FL260" i="24"/>
  <c r="EH260" i="24"/>
  <c r="EI260" i="24"/>
  <c r="EX260" i="24" s="1"/>
  <c r="EC260" i="24"/>
  <c r="ED260" i="24" s="1"/>
  <c r="FL256" i="24"/>
  <c r="EI256" i="24"/>
  <c r="EX256" i="24" s="1"/>
  <c r="EC256" i="24"/>
  <c r="ED256" i="24" s="1"/>
  <c r="EH256" i="24"/>
  <c r="FL234" i="24"/>
  <c r="EI234" i="24"/>
  <c r="EX234" i="24" s="1"/>
  <c r="EH234" i="24"/>
  <c r="EC234" i="24"/>
  <c r="ED234" i="24" s="1"/>
  <c r="FL250" i="24"/>
  <c r="EC250" i="24"/>
  <c r="ED250" i="24" s="1"/>
  <c r="EH250" i="24"/>
  <c r="EI250" i="24"/>
  <c r="EX250" i="24" s="1"/>
  <c r="FL286" i="24"/>
  <c r="EH286" i="24"/>
  <c r="EC286" i="24"/>
  <c r="ED286" i="24" s="1"/>
  <c r="EI286" i="24"/>
  <c r="EX286" i="24" s="1"/>
  <c r="FL310" i="24"/>
  <c r="EH310" i="24"/>
  <c r="EI310" i="24"/>
  <c r="EX310" i="24" s="1"/>
  <c r="EC310" i="24"/>
  <c r="ED310" i="24" s="1"/>
  <c r="FL240" i="24"/>
  <c r="EH240" i="24"/>
  <c r="EI240" i="24"/>
  <c r="EX240" i="24" s="1"/>
  <c r="EC240" i="24"/>
  <c r="ED240" i="24" s="1"/>
  <c r="FL268" i="24"/>
  <c r="EH268" i="24"/>
  <c r="EC268" i="24"/>
  <c r="ED268" i="24" s="1"/>
  <c r="EI268" i="24"/>
  <c r="EX268" i="24" s="1"/>
  <c r="FL280" i="24"/>
  <c r="EI280" i="24"/>
  <c r="EX280" i="24" s="1"/>
  <c r="EH280" i="24"/>
  <c r="EC280" i="24"/>
  <c r="ED280" i="24" s="1"/>
  <c r="FL284" i="24"/>
  <c r="EH284" i="24"/>
  <c r="EI284" i="24"/>
  <c r="EX284" i="24" s="1"/>
  <c r="EC284" i="24"/>
  <c r="ED284" i="24" s="1"/>
  <c r="FL266" i="24"/>
  <c r="EC266" i="24"/>
  <c r="ED266" i="24" s="1"/>
  <c r="EI266" i="24"/>
  <c r="EX266" i="24" s="1"/>
  <c r="EH266" i="24"/>
  <c r="FL272" i="24"/>
  <c r="EI272" i="24"/>
  <c r="EX272" i="24" s="1"/>
  <c r="EC272" i="24"/>
  <c r="ED272" i="24" s="1"/>
  <c r="EH272" i="24"/>
  <c r="FL274" i="24"/>
  <c r="EH274" i="24"/>
  <c r="EI274" i="24"/>
  <c r="EX274" i="24" s="1"/>
  <c r="EC274" i="24"/>
  <c r="ED274" i="24" s="1"/>
  <c r="FL302" i="24"/>
  <c r="EI302" i="24"/>
  <c r="EX302" i="24" s="1"/>
  <c r="EH302" i="24"/>
  <c r="EC302" i="24"/>
  <c r="ED302" i="24" s="1"/>
  <c r="FL231" i="24"/>
  <c r="EI231" i="24"/>
  <c r="EX231" i="24" s="1"/>
  <c r="EH231" i="24"/>
  <c r="EC231" i="24"/>
  <c r="ED231" i="24" s="1"/>
  <c r="FL263" i="24"/>
  <c r="EH263" i="24"/>
  <c r="EC263" i="24"/>
  <c r="ED263" i="24" s="1"/>
  <c r="EI263" i="24"/>
  <c r="EX263" i="24" s="1"/>
  <c r="FL283" i="24"/>
  <c r="EC283" i="24"/>
  <c r="ED283" i="24" s="1"/>
  <c r="EH283" i="24"/>
  <c r="EI283" i="24"/>
  <c r="EX283" i="24" s="1"/>
  <c r="FL291" i="24"/>
  <c r="EC291" i="24"/>
  <c r="ED291" i="24" s="1"/>
  <c r="EH291" i="24"/>
  <c r="EI291" i="24"/>
  <c r="EX291" i="24" s="1"/>
  <c r="FL220" i="24"/>
  <c r="EH220" i="24"/>
  <c r="EI220" i="24"/>
  <c r="EX220" i="24" s="1"/>
  <c r="EC220" i="24"/>
  <c r="ED220" i="24" s="1"/>
  <c r="FL219" i="24"/>
  <c r="EH219" i="24"/>
  <c r="EC219" i="24"/>
  <c r="ED219" i="24" s="1"/>
  <c r="EI219" i="24"/>
  <c r="EX219" i="24" s="1"/>
  <c r="FL313" i="24"/>
  <c r="EH313" i="24"/>
  <c r="EI313" i="24"/>
  <c r="EX313" i="24" s="1"/>
  <c r="EC313" i="24"/>
  <c r="ED313" i="24" s="1"/>
  <c r="FL271" i="24"/>
  <c r="EH271" i="24"/>
  <c r="EC271" i="24"/>
  <c r="ED271" i="24" s="1"/>
  <c r="EI271" i="24"/>
  <c r="EX271" i="24" s="1"/>
  <c r="FL312" i="24"/>
  <c r="EH312" i="24"/>
  <c r="EI312" i="24"/>
  <c r="EX312" i="24" s="1"/>
  <c r="EC312" i="24"/>
  <c r="ED312" i="24" s="1"/>
  <c r="FL248" i="24"/>
  <c r="EH248" i="24"/>
  <c r="EI248" i="24"/>
  <c r="EX248" i="24" s="1"/>
  <c r="EC248" i="24"/>
  <c r="ED248" i="24" s="1"/>
  <c r="FL262" i="24"/>
  <c r="EI262" i="24"/>
  <c r="EX262" i="24" s="1"/>
  <c r="EC262" i="24"/>
  <c r="ED262" i="24" s="1"/>
  <c r="EH262" i="24"/>
  <c r="FL301" i="24"/>
  <c r="EH301" i="24"/>
  <c r="EI301" i="24"/>
  <c r="EX301" i="24" s="1"/>
  <c r="EC301" i="24"/>
  <c r="ED301" i="24" s="1"/>
  <c r="FL218" i="24"/>
  <c r="EI218" i="24"/>
  <c r="EX218" i="24" s="1"/>
  <c r="EC218" i="24"/>
  <c r="ED218" i="24" s="1"/>
  <c r="EH218" i="24"/>
  <c r="FL278" i="24"/>
  <c r="EH278" i="24"/>
  <c r="EI278" i="24"/>
  <c r="EX278" i="24" s="1"/>
  <c r="EC278" i="24"/>
  <c r="ED278" i="24" s="1"/>
  <c r="FL305" i="24"/>
  <c r="EH305" i="24"/>
  <c r="EI305" i="24"/>
  <c r="EX305" i="24" s="1"/>
  <c r="EC305" i="24"/>
  <c r="ED305" i="24" s="1"/>
  <c r="FL229" i="24"/>
  <c r="EH229" i="24"/>
  <c r="EI229" i="24"/>
  <c r="EX229" i="24" s="1"/>
  <c r="EC229" i="24"/>
  <c r="ED229" i="24" s="1"/>
  <c r="FL222" i="24"/>
  <c r="EH222" i="24"/>
  <c r="EI222" i="24"/>
  <c r="EX222" i="24" s="1"/>
  <c r="EC222" i="24"/>
  <c r="ED222" i="24" s="1"/>
  <c r="FL279" i="24"/>
  <c r="EH279" i="24"/>
  <c r="EC279" i="24"/>
  <c r="ED279" i="24" s="1"/>
  <c r="EI279" i="24"/>
  <c r="EX279" i="24" s="1"/>
  <c r="FL304" i="24"/>
  <c r="EC304" i="24"/>
  <c r="ED304" i="24" s="1"/>
  <c r="EH304" i="24"/>
  <c r="EI304" i="24"/>
  <c r="EX304" i="24" s="1"/>
  <c r="FL225" i="24"/>
  <c r="EH225" i="24"/>
  <c r="EC225" i="24"/>
  <c r="ED225" i="24" s="1"/>
  <c r="EI225" i="24"/>
  <c r="EX225" i="24" s="1"/>
  <c r="FL299" i="24"/>
  <c r="EC299" i="24"/>
  <c r="ED299" i="24" s="1"/>
  <c r="EH299" i="24"/>
  <c r="EI299" i="24"/>
  <c r="EX299" i="24" s="1"/>
  <c r="FL245" i="24"/>
  <c r="EH245" i="24"/>
  <c r="EI245" i="24"/>
  <c r="EX245" i="24" s="1"/>
  <c r="EC245" i="24"/>
  <c r="ED245" i="24" s="1"/>
  <c r="FL308" i="24"/>
  <c r="EH308" i="24"/>
  <c r="EI308" i="24"/>
  <c r="EX308" i="24" s="1"/>
  <c r="EC308" i="24"/>
  <c r="ED308" i="24" s="1"/>
  <c r="FL303" i="24"/>
  <c r="EH303" i="24"/>
  <c r="EI303" i="24"/>
  <c r="EX303" i="24" s="1"/>
  <c r="EC303" i="24"/>
  <c r="ED303" i="24" s="1"/>
  <c r="FL267" i="24"/>
  <c r="EC267" i="24"/>
  <c r="ED267" i="24" s="1"/>
  <c r="EH267" i="24"/>
  <c r="EI267" i="24"/>
  <c r="EX267" i="24" s="1"/>
  <c r="FL297" i="24"/>
  <c r="EH297" i="24"/>
  <c r="EI297" i="24"/>
  <c r="EX297" i="24" s="1"/>
  <c r="EC297" i="24"/>
  <c r="ED297" i="24" s="1"/>
  <c r="FL253" i="24"/>
  <c r="EC253" i="24"/>
  <c r="ED253" i="24" s="1"/>
  <c r="EH253" i="24"/>
  <c r="EI253" i="24"/>
  <c r="EX253" i="24" s="1"/>
  <c r="FL287" i="24"/>
  <c r="EH287" i="24"/>
  <c r="EI287" i="24"/>
  <c r="EX287" i="24" s="1"/>
  <c r="EC287" i="24"/>
  <c r="ED287" i="24" s="1"/>
  <c r="FL264" i="24"/>
  <c r="EI264" i="24"/>
  <c r="EX264" i="24" s="1"/>
  <c r="EH264" i="24"/>
  <c r="EC264" i="24"/>
  <c r="ED264" i="24" s="1"/>
  <c r="FL241" i="24"/>
  <c r="EH241" i="24"/>
  <c r="EI241" i="24"/>
  <c r="EX241" i="24" s="1"/>
  <c r="EC241" i="24"/>
  <c r="ED241" i="24" s="1"/>
  <c r="FL273" i="24"/>
  <c r="EH273" i="24"/>
  <c r="EI273" i="24"/>
  <c r="EX273" i="24" s="1"/>
  <c r="EC273" i="24"/>
  <c r="ED273" i="24" s="1"/>
  <c r="FL259" i="24"/>
  <c r="EI259" i="24"/>
  <c r="EX259" i="24" s="1"/>
  <c r="EC259" i="24"/>
  <c r="ED259" i="24" s="1"/>
  <c r="EH259" i="24"/>
  <c r="FL255" i="24"/>
  <c r="EH255" i="24"/>
  <c r="EC255" i="24"/>
  <c r="ED255" i="24" s="1"/>
  <c r="EI255" i="24"/>
  <c r="EX255" i="24" s="1"/>
  <c r="FL239" i="24"/>
  <c r="EI239" i="24"/>
  <c r="EX239" i="24" s="1"/>
  <c r="EC239" i="24"/>
  <c r="ED239" i="24" s="1"/>
  <c r="EH239" i="24"/>
  <c r="FL270" i="24"/>
  <c r="EI270" i="24"/>
  <c r="EX270" i="24" s="1"/>
  <c r="EH270" i="24"/>
  <c r="EC270" i="24"/>
  <c r="ED270" i="24" s="1"/>
  <c r="FL269" i="24"/>
  <c r="EH269" i="24"/>
  <c r="EC269" i="24"/>
  <c r="ED269" i="24" s="1"/>
  <c r="EI269" i="24"/>
  <c r="EX269" i="24" s="1"/>
  <c r="FL257" i="24"/>
  <c r="EH257" i="24"/>
  <c r="EC257" i="24"/>
  <c r="ED257" i="24" s="1"/>
  <c r="EI257" i="24"/>
  <c r="EX257" i="24" s="1"/>
  <c r="FL295" i="24"/>
  <c r="EH295" i="24"/>
  <c r="EI295" i="24"/>
  <c r="EX295" i="24" s="1"/>
  <c r="EC295" i="24"/>
  <c r="ED295" i="24" s="1"/>
  <c r="FL282" i="24"/>
  <c r="EC282" i="24"/>
  <c r="ED282" i="24" s="1"/>
  <c r="EH282" i="24"/>
  <c r="EI282" i="24"/>
  <c r="EX282" i="24" s="1"/>
  <c r="FL314" i="24"/>
  <c r="EH314" i="24"/>
  <c r="EI314" i="24"/>
  <c r="EX314" i="24" s="1"/>
  <c r="EC314" i="24"/>
  <c r="ED314" i="24" s="1"/>
  <c r="FL298" i="24"/>
  <c r="EI298" i="24"/>
  <c r="EX298" i="24" s="1"/>
  <c r="EH298" i="24"/>
  <c r="EC298" i="24"/>
  <c r="ED298" i="24" s="1"/>
  <c r="FL277" i="24"/>
  <c r="EI277" i="24"/>
  <c r="EX277" i="24" s="1"/>
  <c r="EH277" i="24"/>
  <c r="EC277" i="24"/>
  <c r="ED277" i="24" s="1"/>
  <c r="FL288" i="24"/>
  <c r="EH288" i="24"/>
  <c r="EI288" i="24"/>
  <c r="EX288" i="24" s="1"/>
  <c r="EC288" i="24"/>
  <c r="ED288" i="24" s="1"/>
  <c r="FL293" i="24"/>
  <c r="EH293" i="24"/>
  <c r="EI293" i="24"/>
  <c r="EX293" i="24" s="1"/>
  <c r="EC293" i="24"/>
  <c r="ED293" i="24" s="1"/>
  <c r="FL233" i="24"/>
  <c r="EH233" i="24"/>
  <c r="EI233" i="24"/>
  <c r="EX233" i="24" s="1"/>
  <c r="EC233" i="24"/>
  <c r="ED233" i="24" s="1"/>
  <c r="FL252" i="24"/>
  <c r="EH252" i="24"/>
  <c r="EC252" i="24"/>
  <c r="ED252" i="24" s="1"/>
  <c r="EI252" i="24"/>
  <c r="EX252" i="24" s="1"/>
  <c r="FL306" i="24"/>
  <c r="EC306" i="24"/>
  <c r="ED306" i="24" s="1"/>
  <c r="EH306" i="24"/>
  <c r="EI306" i="24"/>
  <c r="EX306" i="24" s="1"/>
  <c r="FL315" i="24"/>
  <c r="EH315" i="24"/>
  <c r="EI315" i="24"/>
  <c r="EX315" i="24" s="1"/>
  <c r="EC315" i="24"/>
  <c r="ED315" i="24" s="1"/>
  <c r="FL281" i="24"/>
  <c r="EH281" i="24"/>
  <c r="EI281" i="24"/>
  <c r="EX281" i="24" s="1"/>
  <c r="EC281" i="24"/>
  <c r="ED281" i="24" s="1"/>
  <c r="FL296" i="24"/>
  <c r="EI296" i="24"/>
  <c r="EX296" i="24" s="1"/>
  <c r="EC296" i="24"/>
  <c r="ED296" i="24" s="1"/>
  <c r="EH296" i="24"/>
  <c r="FL232" i="24"/>
  <c r="EH232" i="24"/>
  <c r="EI232" i="24"/>
  <c r="EX232" i="24" s="1"/>
  <c r="EC232" i="24"/>
  <c r="ED232" i="24" s="1"/>
  <c r="FL235" i="24"/>
  <c r="EH235" i="24"/>
  <c r="EI235" i="24"/>
  <c r="EX235" i="24" s="1"/>
  <c r="EC235" i="24"/>
  <c r="ED235" i="24" s="1"/>
  <c r="FL246" i="24"/>
  <c r="EH246" i="24"/>
  <c r="EI246" i="24"/>
  <c r="EX246" i="24" s="1"/>
  <c r="EC246" i="24"/>
  <c r="ED246" i="24" s="1"/>
  <c r="FL292" i="24"/>
  <c r="EH292" i="24"/>
  <c r="EI292" i="24"/>
  <c r="EX292" i="24" s="1"/>
  <c r="EC292" i="24"/>
  <c r="ED292" i="24" s="1"/>
  <c r="FL238" i="24"/>
  <c r="EH238" i="24"/>
  <c r="EI238" i="24"/>
  <c r="EX238" i="24" s="1"/>
  <c r="EC238" i="24"/>
  <c r="ED238" i="24" s="1"/>
  <c r="FL276" i="24"/>
  <c r="EH276" i="24"/>
  <c r="EI276" i="24"/>
  <c r="EX276" i="24" s="1"/>
  <c r="EC276" i="24"/>
  <c r="ED276" i="24" s="1"/>
  <c r="FL289" i="24"/>
  <c r="EH289" i="24"/>
  <c r="EI289" i="24"/>
  <c r="EX289" i="24" s="1"/>
  <c r="EC289" i="24"/>
  <c r="ED289" i="24" s="1"/>
  <c r="FL227" i="24"/>
  <c r="EH227" i="24"/>
  <c r="EC227" i="24"/>
  <c r="ED227" i="24" s="1"/>
  <c r="EI227" i="24"/>
  <c r="EX227" i="24" s="1"/>
  <c r="FL251" i="24"/>
  <c r="EH251" i="24"/>
  <c r="EI251" i="24"/>
  <c r="EX251" i="24" s="1"/>
  <c r="EC251" i="24"/>
  <c r="ED251" i="24" s="1"/>
  <c r="FL236" i="24"/>
  <c r="EI236" i="24"/>
  <c r="EX236" i="24" s="1"/>
  <c r="EC236" i="24"/>
  <c r="ED236" i="24" s="1"/>
  <c r="EH236" i="24"/>
  <c r="FL230" i="24"/>
  <c r="EH230" i="24"/>
  <c r="EI230" i="24"/>
  <c r="EX230" i="24" s="1"/>
  <c r="EC230" i="24"/>
  <c r="ED230" i="24" s="1"/>
  <c r="FL309" i="24"/>
  <c r="EH309" i="24"/>
  <c r="EI309" i="24"/>
  <c r="EX309" i="24" s="1"/>
  <c r="EC309" i="24"/>
  <c r="ED309" i="24" s="1"/>
  <c r="FL258" i="24"/>
  <c r="EH258" i="24"/>
  <c r="EI258" i="24"/>
  <c r="EX258" i="24" s="1"/>
  <c r="EC258" i="24"/>
  <c r="ED258" i="24" s="1"/>
  <c r="FL223" i="24"/>
  <c r="EH223" i="24"/>
  <c r="EC223" i="24"/>
  <c r="ED223" i="24" s="1"/>
  <c r="EI223" i="24"/>
  <c r="EX223" i="24" s="1"/>
  <c r="FL249" i="24"/>
  <c r="EH249" i="24"/>
  <c r="EI249" i="24"/>
  <c r="EX249" i="24" s="1"/>
  <c r="EC249" i="24"/>
  <c r="ED249" i="24" s="1"/>
  <c r="EK242" i="24"/>
  <c r="EW242" i="24"/>
  <c r="EV299" i="25"/>
  <c r="FB299" i="25" s="1"/>
  <c r="EI299" i="25"/>
  <c r="EV252" i="25"/>
  <c r="FB252" i="25" s="1"/>
  <c r="EI252" i="25"/>
  <c r="EI308" i="25"/>
  <c r="EV308" i="25"/>
  <c r="FB308" i="25" s="1"/>
  <c r="EI281" i="25"/>
  <c r="EV281" i="25"/>
  <c r="FB281" i="25" s="1"/>
  <c r="EI274" i="25"/>
  <c r="EV274" i="25"/>
  <c r="FB274" i="25" s="1"/>
  <c r="EI300" i="25"/>
  <c r="EV300" i="25"/>
  <c r="FB300" i="25" s="1"/>
  <c r="EV303" i="25"/>
  <c r="FB303" i="25" s="1"/>
  <c r="EI303" i="25"/>
  <c r="EI296" i="25"/>
  <c r="EV296" i="25"/>
  <c r="FB296" i="25" s="1"/>
  <c r="EV228" i="25"/>
  <c r="FB228" i="25" s="1"/>
  <c r="EI228" i="25"/>
  <c r="EI219" i="25"/>
  <c r="EV219" i="25"/>
  <c r="FB219" i="25" s="1"/>
  <c r="EI315" i="25"/>
  <c r="EV315" i="25"/>
  <c r="FB315" i="25" s="1"/>
  <c r="EI291" i="25"/>
  <c r="EV291" i="25"/>
  <c r="FB291" i="25" s="1"/>
  <c r="EI292" i="25"/>
  <c r="EV292" i="25"/>
  <c r="FB292" i="25" s="1"/>
  <c r="EI283" i="25"/>
  <c r="EV283" i="25"/>
  <c r="FB283" i="25" s="1"/>
  <c r="EI279" i="25"/>
  <c r="EV279" i="25"/>
  <c r="FB279" i="25" s="1"/>
  <c r="EV298" i="25"/>
  <c r="FB298" i="25" s="1"/>
  <c r="EI298" i="25"/>
  <c r="EI251" i="25"/>
  <c r="EV251" i="25"/>
  <c r="FB251" i="25" s="1"/>
  <c r="EI259" i="25"/>
  <c r="EV259" i="25"/>
  <c r="FB259" i="25" s="1"/>
  <c r="EV266" i="25"/>
  <c r="FB266" i="25" s="1"/>
  <c r="EI266" i="25"/>
  <c r="EI242" i="25"/>
  <c r="EV242" i="25"/>
  <c r="FB242" i="25" s="1"/>
  <c r="EV290" i="25"/>
  <c r="FB290" i="25" s="1"/>
  <c r="EI290" i="25"/>
  <c r="EI301" i="25"/>
  <c r="EV301" i="25"/>
  <c r="FB301" i="25" s="1"/>
  <c r="EV295" i="25"/>
  <c r="FB295" i="25" s="1"/>
  <c r="EI295" i="25"/>
  <c r="EI218" i="25"/>
  <c r="EV218" i="25"/>
  <c r="FB218" i="25" s="1"/>
  <c r="EI286" i="25"/>
  <c r="EV286" i="25"/>
  <c r="FB286" i="25" s="1"/>
  <c r="EI227" i="25"/>
  <c r="EV227" i="25"/>
  <c r="FB227" i="25" s="1"/>
  <c r="EI258" i="25"/>
  <c r="EV258" i="25"/>
  <c r="FB258" i="25" s="1"/>
  <c r="EI253" i="25"/>
  <c r="EV253" i="25"/>
  <c r="FB253" i="25" s="1"/>
  <c r="EV282" i="25"/>
  <c r="FB282" i="25" s="1"/>
  <c r="EI282" i="25"/>
  <c r="EI278" i="25"/>
  <c r="EV278" i="25"/>
  <c r="FB278" i="25" s="1"/>
  <c r="EV223" i="25"/>
  <c r="FB223" i="25" s="1"/>
  <c r="EI223" i="25"/>
  <c r="EV239" i="25"/>
  <c r="FB239" i="25" s="1"/>
  <c r="EI239" i="25"/>
  <c r="EI275" i="25"/>
  <c r="EV275" i="25"/>
  <c r="FB275" i="25" s="1"/>
  <c r="EI294" i="25"/>
  <c r="EV294" i="25"/>
  <c r="FB294" i="25" s="1"/>
  <c r="EI225" i="25"/>
  <c r="EV225" i="25"/>
  <c r="FB225" i="25" s="1"/>
  <c r="EV316" i="25"/>
  <c r="FB316" i="25" s="1"/>
  <c r="EI316" i="25"/>
  <c r="EI243" i="25"/>
  <c r="EV243" i="25"/>
  <c r="FB243" i="25" s="1"/>
  <c r="EV268" i="25"/>
  <c r="FB268" i="25" s="1"/>
  <c r="EI268" i="25"/>
  <c r="EV249" i="25"/>
  <c r="FB249" i="25" s="1"/>
  <c r="EI249" i="25"/>
  <c r="EV270" i="25"/>
  <c r="FB270" i="25" s="1"/>
  <c r="EI270" i="25"/>
  <c r="EI302" i="25"/>
  <c r="EV302" i="25"/>
  <c r="FB302" i="25" s="1"/>
  <c r="EI307" i="25"/>
  <c r="EV307" i="25"/>
  <c r="FB307" i="25" s="1"/>
  <c r="EI312" i="25"/>
  <c r="EV312" i="25"/>
  <c r="FB312" i="25" s="1"/>
  <c r="EI237" i="25"/>
  <c r="EV237" i="25"/>
  <c r="FB237" i="25" s="1"/>
  <c r="EV244" i="25"/>
  <c r="FB244" i="25" s="1"/>
  <c r="EI244" i="25"/>
  <c r="EI250" i="25"/>
  <c r="EV250" i="25"/>
  <c r="FB250" i="25" s="1"/>
  <c r="EI293" i="25"/>
  <c r="EV293" i="25"/>
  <c r="FB293" i="25" s="1"/>
  <c r="EV267" i="25"/>
  <c r="FB267" i="25" s="1"/>
  <c r="EI267" i="25"/>
  <c r="EI261" i="25"/>
  <c r="EV261" i="25"/>
  <c r="FB261" i="25" s="1"/>
  <c r="EV313" i="25"/>
  <c r="FB313" i="25" s="1"/>
  <c r="EI313" i="25"/>
  <c r="EI232" i="25"/>
  <c r="EV232" i="25"/>
  <c r="FB232" i="25" s="1"/>
  <c r="EV263" i="25"/>
  <c r="FB263" i="25" s="1"/>
  <c r="EI263" i="25"/>
  <c r="EV305" i="25"/>
  <c r="FB305" i="25" s="1"/>
  <c r="EI305" i="25"/>
  <c r="EI231" i="25"/>
  <c r="EV231" i="25"/>
  <c r="FB231" i="25" s="1"/>
  <c r="EV246" i="25"/>
  <c r="FB246" i="25" s="1"/>
  <c r="EI246" i="25"/>
  <c r="EV230" i="25"/>
  <c r="FB230" i="25" s="1"/>
  <c r="EI230" i="25"/>
  <c r="EI262" i="25"/>
  <c r="EV262" i="25"/>
  <c r="FB262" i="25" s="1"/>
  <c r="EI285" i="25"/>
  <c r="EV285" i="25"/>
  <c r="FB285" i="25" s="1"/>
  <c r="EI310" i="25"/>
  <c r="EV310" i="25"/>
  <c r="FB310" i="25" s="1"/>
  <c r="EI280" i="25"/>
  <c r="EV280" i="25"/>
  <c r="FB280" i="25" s="1"/>
  <c r="EI289" i="25"/>
  <c r="EV289" i="25"/>
  <c r="FB289" i="25" s="1"/>
  <c r="EV271" i="25"/>
  <c r="FB271" i="25" s="1"/>
  <c r="EI271" i="25"/>
  <c r="EI222" i="25"/>
  <c r="EV222" i="25"/>
  <c r="FB222" i="25" s="1"/>
  <c r="EI240" i="25"/>
  <c r="EV240" i="25"/>
  <c r="FB240" i="25" s="1"/>
  <c r="EI229" i="25"/>
  <c r="EV229" i="25"/>
  <c r="FB229" i="25" s="1"/>
  <c r="EI241" i="25"/>
  <c r="EV241" i="25"/>
  <c r="FB241" i="25" s="1"/>
  <c r="EI226" i="25"/>
  <c r="EV226" i="25"/>
  <c r="FB226" i="25" s="1"/>
  <c r="EI304" i="25"/>
  <c r="EV304" i="25"/>
  <c r="FB304" i="25" s="1"/>
  <c r="EI272" i="25"/>
  <c r="EV272" i="25"/>
  <c r="FB272" i="25" s="1"/>
  <c r="EI288" i="25"/>
  <c r="EV288" i="25"/>
  <c r="FB288" i="25" s="1"/>
  <c r="EV264" i="25"/>
  <c r="FB264" i="25" s="1"/>
  <c r="EI264" i="25"/>
  <c r="EV306" i="25"/>
  <c r="FB306" i="25" s="1"/>
  <c r="EI306" i="25"/>
  <c r="EI255" i="25"/>
  <c r="EV255" i="25"/>
  <c r="FB255" i="25" s="1"/>
  <c r="EV314" i="25"/>
  <c r="FB314" i="25" s="1"/>
  <c r="EI314" i="25"/>
  <c r="EI224" i="25"/>
  <c r="EV224" i="25"/>
  <c r="FB224" i="25" s="1"/>
  <c r="EV221" i="25"/>
  <c r="FB221" i="25" s="1"/>
  <c r="EI221" i="25"/>
  <c r="EV311" i="25"/>
  <c r="FB311" i="25" s="1"/>
  <c r="EI311" i="25"/>
  <c r="EV257" i="25"/>
  <c r="FB257" i="25" s="1"/>
  <c r="EI257" i="25"/>
  <c r="EV287" i="25"/>
  <c r="FB287" i="25" s="1"/>
  <c r="EI287" i="25"/>
  <c r="EI297" i="25"/>
  <c r="EV297" i="25"/>
  <c r="FB297" i="25" s="1"/>
  <c r="EV284" i="25"/>
  <c r="FB284" i="25" s="1"/>
  <c r="EI284" i="25"/>
  <c r="EV238" i="25"/>
  <c r="FB238" i="25" s="1"/>
  <c r="EI238" i="25"/>
  <c r="EV236" i="25"/>
  <c r="FB236" i="25" s="1"/>
  <c r="EI236" i="25"/>
  <c r="EV260" i="25"/>
  <c r="FB260" i="25" s="1"/>
  <c r="EI260" i="25"/>
  <c r="EV273" i="25"/>
  <c r="FB273" i="25" s="1"/>
  <c r="EI273" i="25"/>
  <c r="EI248" i="25"/>
  <c r="EV248" i="25"/>
  <c r="FB248" i="25" s="1"/>
  <c r="EV245" i="25"/>
  <c r="FB245" i="25" s="1"/>
  <c r="EI245" i="25"/>
  <c r="EI309" i="25"/>
  <c r="EV309" i="25"/>
  <c r="FB309" i="25" s="1"/>
  <c r="EV269" i="25"/>
  <c r="FB269" i="25" s="1"/>
  <c r="EI269" i="25"/>
  <c r="EV220" i="25"/>
  <c r="FB220" i="25" s="1"/>
  <c r="EI220" i="25"/>
  <c r="EV234" i="25"/>
  <c r="FB234" i="25" s="1"/>
  <c r="EI234" i="25"/>
  <c r="EV256" i="25"/>
  <c r="FB256" i="25" s="1"/>
  <c r="EI256" i="25"/>
  <c r="EV277" i="25"/>
  <c r="FB277" i="25" s="1"/>
  <c r="EI277" i="25"/>
  <c r="EI247" i="25"/>
  <c r="EV247" i="25"/>
  <c r="FB247" i="25" s="1"/>
  <c r="EV233" i="25"/>
  <c r="FB233" i="25" s="1"/>
  <c r="EI233" i="25"/>
  <c r="EV276" i="25"/>
  <c r="FB276" i="25" s="1"/>
  <c r="EI276" i="25"/>
  <c r="EV265" i="25"/>
  <c r="FB265" i="25" s="1"/>
  <c r="EI265" i="25"/>
  <c r="EV254" i="25"/>
  <c r="FB254" i="25" s="1"/>
  <c r="EI254" i="25"/>
  <c r="EI217" i="25"/>
  <c r="EV217" i="25"/>
  <c r="FB217" i="25" s="1"/>
  <c r="EI235" i="25"/>
  <c r="EV235" i="25"/>
  <c r="FB235" i="25" s="1"/>
  <c r="CG78" i="24"/>
  <c r="EC74" i="24"/>
  <c r="ED74" i="24" s="1"/>
  <c r="EI112" i="25"/>
  <c r="EV112" i="25"/>
  <c r="FB112" i="25" s="1"/>
  <c r="EI103" i="25"/>
  <c r="EO103" i="25" s="1"/>
  <c r="EP103" i="25" s="1"/>
  <c r="EH74" i="24"/>
  <c r="EW74" i="24" s="1"/>
  <c r="BK110" i="24"/>
  <c r="EI74" i="24"/>
  <c r="EX74" i="24" s="1"/>
  <c r="EI64" i="25"/>
  <c r="EO64" i="25" s="1"/>
  <c r="EP64" i="25" s="1"/>
  <c r="CG89" i="24"/>
  <c r="FL89" i="24"/>
  <c r="CG149" i="24"/>
  <c r="FL149" i="24"/>
  <c r="CG120" i="24"/>
  <c r="FL120" i="24"/>
  <c r="CG93" i="24"/>
  <c r="FL93" i="24"/>
  <c r="CG135" i="24"/>
  <c r="FL135" i="24"/>
  <c r="CG193" i="24"/>
  <c r="FL193" i="24"/>
  <c r="CG38" i="24"/>
  <c r="FL38" i="24"/>
  <c r="CG171" i="24"/>
  <c r="FL171" i="24"/>
  <c r="CG207" i="24"/>
  <c r="FL207" i="24"/>
  <c r="CG173" i="24"/>
  <c r="FL173" i="24"/>
  <c r="CG27" i="24"/>
  <c r="FL27" i="24"/>
  <c r="CG167" i="24"/>
  <c r="FL167" i="24"/>
  <c r="CG22" i="24"/>
  <c r="FL22" i="24"/>
  <c r="CG197" i="24"/>
  <c r="FL197" i="24"/>
  <c r="CG41" i="24"/>
  <c r="FL41" i="24"/>
  <c r="CG26" i="24"/>
  <c r="FL26" i="24"/>
  <c r="CG128" i="24"/>
  <c r="FL128" i="24"/>
  <c r="EC23" i="24"/>
  <c r="ED23" i="24" s="1"/>
  <c r="FL23" i="24"/>
  <c r="CG13" i="24"/>
  <c r="FL13" i="24"/>
  <c r="CG132" i="24"/>
  <c r="FL132" i="24"/>
  <c r="CG160" i="24"/>
  <c r="FL160" i="24"/>
  <c r="CG186" i="24"/>
  <c r="FL186" i="24"/>
  <c r="CG52" i="24"/>
  <c r="FL52" i="24"/>
  <c r="CG144" i="24"/>
  <c r="FL144" i="24"/>
  <c r="CG208" i="24"/>
  <c r="FL208" i="24"/>
  <c r="CG145" i="24"/>
  <c r="FL145" i="24"/>
  <c r="CG53" i="24"/>
  <c r="FL53" i="24"/>
  <c r="CG168" i="24"/>
  <c r="FL168" i="24"/>
  <c r="CG87" i="24"/>
  <c r="FL87" i="24"/>
  <c r="CG100" i="24"/>
  <c r="FL100" i="24"/>
  <c r="CG15" i="24"/>
  <c r="FL15" i="24"/>
  <c r="CG16" i="24"/>
  <c r="FL16" i="24"/>
  <c r="CG148" i="24"/>
  <c r="FL148" i="24"/>
  <c r="CG51" i="24"/>
  <c r="FL51" i="24"/>
  <c r="CG182" i="24"/>
  <c r="FL182" i="24"/>
  <c r="CG174" i="24"/>
  <c r="FL174" i="24"/>
  <c r="CG152" i="24"/>
  <c r="FL152" i="24"/>
  <c r="CG147" i="24"/>
  <c r="FL147" i="24"/>
  <c r="EH67" i="24"/>
  <c r="EW67" i="24" s="1"/>
  <c r="FL67" i="24"/>
  <c r="EZ47" i="25"/>
  <c r="FB47" i="25" s="1"/>
  <c r="CG37" i="24"/>
  <c r="FL37" i="24"/>
  <c r="CG60" i="24"/>
  <c r="FL60" i="24"/>
  <c r="CG191" i="24"/>
  <c r="FL191" i="24"/>
  <c r="CG118" i="24"/>
  <c r="FL118" i="24"/>
  <c r="CG18" i="24"/>
  <c r="FL18" i="24"/>
  <c r="CG61" i="24"/>
  <c r="FL61" i="24"/>
  <c r="CG21" i="24"/>
  <c r="FL21" i="24"/>
  <c r="CG7" i="24"/>
  <c r="FL7" i="24"/>
  <c r="CG36" i="24"/>
  <c r="FL36" i="24"/>
  <c r="CG42" i="24"/>
  <c r="FL42" i="24"/>
  <c r="CG117" i="24"/>
  <c r="FL117" i="24"/>
  <c r="CG158" i="24"/>
  <c r="FL158" i="24"/>
  <c r="CG102" i="24"/>
  <c r="FL102" i="24"/>
  <c r="CG84" i="24"/>
  <c r="FL84" i="24"/>
  <c r="CG179" i="24"/>
  <c r="FL179" i="24"/>
  <c r="CG137" i="24"/>
  <c r="FL137" i="24"/>
  <c r="EI43" i="24"/>
  <c r="EX43" i="24" s="1"/>
  <c r="FL43" i="24"/>
  <c r="EC40" i="24"/>
  <c r="ED40" i="24" s="1"/>
  <c r="FL40" i="24"/>
  <c r="CG124" i="24"/>
  <c r="FL124" i="24"/>
  <c r="CG48" i="24"/>
  <c r="FL48" i="24"/>
  <c r="CG55" i="24"/>
  <c r="FL55" i="24"/>
  <c r="CG94" i="24"/>
  <c r="FL94" i="24"/>
  <c r="CG178" i="24"/>
  <c r="FL178" i="24"/>
  <c r="CG194" i="24"/>
  <c r="FL194" i="24"/>
  <c r="CG121" i="24"/>
  <c r="FL121" i="24"/>
  <c r="CG165" i="24"/>
  <c r="FL165" i="24"/>
  <c r="CG82" i="24"/>
  <c r="FL82" i="24"/>
  <c r="CG164" i="24"/>
  <c r="FL164" i="24"/>
  <c r="CG46" i="24"/>
  <c r="FL46" i="24"/>
  <c r="CG140" i="24"/>
  <c r="FL140" i="24"/>
  <c r="CG205" i="24"/>
  <c r="FL205" i="24"/>
  <c r="CG47" i="24"/>
  <c r="FL47" i="24"/>
  <c r="CG157" i="24"/>
  <c r="FL157" i="24"/>
  <c r="CG103" i="24"/>
  <c r="FL103" i="24"/>
  <c r="CG188" i="24"/>
  <c r="FL188" i="24"/>
  <c r="CG151" i="24"/>
  <c r="FL151" i="24"/>
  <c r="CG156" i="24"/>
  <c r="FL156" i="24"/>
  <c r="CG73" i="24"/>
  <c r="FL73" i="24"/>
  <c r="CG20" i="24"/>
  <c r="FL20" i="24"/>
  <c r="CG85" i="24"/>
  <c r="FL85" i="24"/>
  <c r="CG19" i="24"/>
  <c r="FL19" i="24"/>
  <c r="CG95" i="24"/>
  <c r="FL95" i="24"/>
  <c r="CG123" i="24"/>
  <c r="FL123" i="24"/>
  <c r="CG6" i="24"/>
  <c r="FL6" i="24"/>
  <c r="EH77" i="24"/>
  <c r="EW77" i="24" s="1"/>
  <c r="FL77" i="24"/>
  <c r="CG111" i="24"/>
  <c r="FL111" i="24"/>
  <c r="CG133" i="24"/>
  <c r="FL133" i="24"/>
  <c r="CG44" i="24"/>
  <c r="FL44" i="24"/>
  <c r="CG79" i="24"/>
  <c r="FL79" i="24"/>
  <c r="CG203" i="24"/>
  <c r="FL203" i="24"/>
  <c r="CG130" i="24"/>
  <c r="FL130" i="24"/>
  <c r="CG183" i="24"/>
  <c r="FL183" i="24"/>
  <c r="CG57" i="24"/>
  <c r="FL57" i="24"/>
  <c r="CG80" i="24"/>
  <c r="FL80" i="24"/>
  <c r="CG54" i="24"/>
  <c r="FL54" i="24"/>
  <c r="CG97" i="24"/>
  <c r="FL97" i="24"/>
  <c r="CG65" i="24"/>
  <c r="FL65" i="24"/>
  <c r="CG198" i="24"/>
  <c r="FL198" i="24"/>
  <c r="CG187" i="24"/>
  <c r="FL187" i="24"/>
  <c r="CG131" i="24"/>
  <c r="FL131" i="24"/>
  <c r="CG163" i="24"/>
  <c r="FL163" i="24"/>
  <c r="CG129" i="24"/>
  <c r="FL129" i="24"/>
  <c r="CG68" i="24"/>
  <c r="FL68" i="24"/>
  <c r="CG64" i="24"/>
  <c r="FL64" i="24"/>
  <c r="CG34" i="24"/>
  <c r="FL34" i="24"/>
  <c r="CG115" i="24"/>
  <c r="FL115" i="24"/>
  <c r="CG116" i="24"/>
  <c r="FL116" i="24"/>
  <c r="CG138" i="24"/>
  <c r="FL138" i="24"/>
  <c r="CG125" i="24"/>
  <c r="FL125" i="24"/>
  <c r="CG175" i="24"/>
  <c r="FL175" i="24"/>
  <c r="CG200" i="24"/>
  <c r="FL200" i="24"/>
  <c r="CG105" i="24"/>
  <c r="FL105" i="24"/>
  <c r="CG189" i="24"/>
  <c r="FL189" i="24"/>
  <c r="CG9" i="24"/>
  <c r="FL9" i="24"/>
  <c r="CG139" i="24"/>
  <c r="FL139" i="24"/>
  <c r="CG206" i="24"/>
  <c r="FL206" i="24"/>
  <c r="CG161" i="24"/>
  <c r="FL161" i="24"/>
  <c r="CG31" i="24"/>
  <c r="FL31" i="24"/>
  <c r="CG28" i="24"/>
  <c r="FL28" i="24"/>
  <c r="CG10" i="24"/>
  <c r="FL10" i="24"/>
  <c r="EI136" i="24"/>
  <c r="EX136" i="24" s="1"/>
  <c r="FL136" i="24"/>
  <c r="EH142" i="24"/>
  <c r="EW142" i="24" s="1"/>
  <c r="FL142" i="24"/>
  <c r="CG63" i="24"/>
  <c r="FL63" i="24"/>
  <c r="CG90" i="24"/>
  <c r="FL90" i="24"/>
  <c r="CG39" i="24"/>
  <c r="FL39" i="24"/>
  <c r="CG8" i="24"/>
  <c r="FL8" i="24"/>
  <c r="CG210" i="24"/>
  <c r="FL210" i="24"/>
  <c r="CG56" i="24"/>
  <c r="FL56" i="24"/>
  <c r="CG12" i="24"/>
  <c r="FL12" i="24"/>
  <c r="CG25" i="24"/>
  <c r="FL25" i="24"/>
  <c r="CG35" i="24"/>
  <c r="FL35" i="24"/>
  <c r="CG91" i="24"/>
  <c r="FL91" i="24"/>
  <c r="CG119" i="24"/>
  <c r="FL119" i="24"/>
  <c r="CG59" i="24"/>
  <c r="FL59" i="24"/>
  <c r="CG17" i="24"/>
  <c r="FL17" i="24"/>
  <c r="CG101" i="24"/>
  <c r="FL101" i="24"/>
  <c r="CG72" i="24"/>
  <c r="FL72" i="24"/>
  <c r="CG70" i="24"/>
  <c r="FL70" i="24"/>
  <c r="CG204" i="24"/>
  <c r="FL204" i="24"/>
  <c r="CG166" i="24"/>
  <c r="FL166" i="24"/>
  <c r="CG75" i="24"/>
  <c r="FL75" i="24"/>
  <c r="CG162" i="24"/>
  <c r="FL162" i="24"/>
  <c r="CG196" i="24"/>
  <c r="FL196" i="24"/>
  <c r="CG49" i="24"/>
  <c r="FL49" i="24"/>
  <c r="CG86" i="24"/>
  <c r="FL86" i="24"/>
  <c r="CG66" i="24"/>
  <c r="FL66" i="24"/>
  <c r="CG45" i="24"/>
  <c r="FL45" i="24"/>
  <c r="CG181" i="24"/>
  <c r="FL181" i="24"/>
  <c r="CG180" i="24"/>
  <c r="FL180" i="24"/>
  <c r="CG143" i="24"/>
  <c r="FL143" i="24"/>
  <c r="CG88" i="24"/>
  <c r="FL88" i="24"/>
  <c r="CG76" i="24"/>
  <c r="FL76" i="24"/>
  <c r="CG122" i="24"/>
  <c r="FL122" i="24"/>
  <c r="CG202" i="24"/>
  <c r="FL202" i="24"/>
  <c r="CG177" i="24"/>
  <c r="FL177" i="24"/>
  <c r="CG195" i="24"/>
  <c r="FL195" i="24"/>
  <c r="CG146" i="24"/>
  <c r="FL146" i="24"/>
  <c r="CG69" i="24"/>
  <c r="FL69" i="24"/>
  <c r="EH159" i="24"/>
  <c r="EW159" i="24" s="1"/>
  <c r="FL159" i="24"/>
  <c r="EC62" i="24"/>
  <c r="ED62" i="24" s="1"/>
  <c r="FL62" i="24"/>
  <c r="CG170" i="24"/>
  <c r="FL170" i="24"/>
  <c r="CG199" i="24"/>
  <c r="FL199" i="24"/>
  <c r="CG71" i="24"/>
  <c r="FL71" i="24"/>
  <c r="CG126" i="24"/>
  <c r="FL126" i="24"/>
  <c r="EC169" i="24"/>
  <c r="ED169" i="24" s="1"/>
  <c r="FL169" i="24"/>
  <c r="CG153" i="24"/>
  <c r="FL153" i="24"/>
  <c r="CG113" i="24"/>
  <c r="FL113" i="24"/>
  <c r="CG11" i="24"/>
  <c r="FL11" i="24"/>
  <c r="CG185" i="24"/>
  <c r="FL185" i="24"/>
  <c r="CG99" i="24"/>
  <c r="FL99" i="24"/>
  <c r="CG30" i="24"/>
  <c r="FL30" i="24"/>
  <c r="CG154" i="24"/>
  <c r="FL154" i="24"/>
  <c r="CG24" i="24"/>
  <c r="FL24" i="24"/>
  <c r="CG112" i="24"/>
  <c r="FL112" i="24"/>
  <c r="CG150" i="24"/>
  <c r="FL150" i="24"/>
  <c r="CG33" i="24"/>
  <c r="FL33" i="24"/>
  <c r="CG184" i="24"/>
  <c r="FL184" i="24"/>
  <c r="CG176" i="24"/>
  <c r="FL176" i="24"/>
  <c r="CG98" i="24"/>
  <c r="FL98" i="24"/>
  <c r="CG155" i="24"/>
  <c r="FL155" i="24"/>
  <c r="CG58" i="24"/>
  <c r="FL58" i="24"/>
  <c r="CG50" i="24"/>
  <c r="FL50" i="24"/>
  <c r="CG114" i="24"/>
  <c r="FL114" i="24"/>
  <c r="CG209" i="24"/>
  <c r="FL209" i="24"/>
  <c r="CG32" i="24"/>
  <c r="FL32" i="24"/>
  <c r="CG141" i="24"/>
  <c r="FL141" i="24"/>
  <c r="CG201" i="24"/>
  <c r="FL201" i="24"/>
  <c r="EI29" i="24"/>
  <c r="EX29" i="24" s="1"/>
  <c r="FL29" i="24"/>
  <c r="CG192" i="24"/>
  <c r="FL192" i="24"/>
  <c r="CG104" i="24"/>
  <c r="FL104" i="24"/>
  <c r="EI39" i="24"/>
  <c r="EX39" i="24" s="1"/>
  <c r="EH39" i="24"/>
  <c r="EW39" i="24" s="1"/>
  <c r="EC39" i="24"/>
  <c r="ED39" i="24" s="1"/>
  <c r="EI92" i="24"/>
  <c r="EX92" i="24" s="1"/>
  <c r="CG74" i="24"/>
  <c r="EH132" i="24"/>
  <c r="EK132" i="24" s="1"/>
  <c r="EH44" i="24"/>
  <c r="EW44" i="24" s="1"/>
  <c r="EC44" i="24"/>
  <c r="ED44" i="24" s="1"/>
  <c r="EI44" i="24"/>
  <c r="EX44" i="24" s="1"/>
  <c r="EV17" i="25"/>
  <c r="EZ17" i="25" s="1"/>
  <c r="FB17" i="25" s="1"/>
  <c r="EI33" i="25"/>
  <c r="EO33" i="25" s="1"/>
  <c r="EP33" i="25" s="1"/>
  <c r="EI169" i="24"/>
  <c r="EX169" i="24" s="1"/>
  <c r="EH169" i="24"/>
  <c r="CG169" i="24"/>
  <c r="EI132" i="24"/>
  <c r="EX132" i="24" s="1"/>
  <c r="EH160" i="24"/>
  <c r="EK160" i="24" s="1"/>
  <c r="EI160" i="24"/>
  <c r="EX160" i="24" s="1"/>
  <c r="EI127" i="24"/>
  <c r="EX127" i="24" s="1"/>
  <c r="EC160" i="24"/>
  <c r="ED160" i="24" s="1"/>
  <c r="EC132" i="24"/>
  <c r="ED132" i="24" s="1"/>
  <c r="EV164" i="25"/>
  <c r="FB164" i="25" s="1"/>
  <c r="EC52" i="24"/>
  <c r="ED52" i="24" s="1"/>
  <c r="EI52" i="24"/>
  <c r="EX52" i="24" s="1"/>
  <c r="EH52" i="24"/>
  <c r="EW52" i="24" s="1"/>
  <c r="EI133" i="24"/>
  <c r="EX133" i="24" s="1"/>
  <c r="EC133" i="24"/>
  <c r="ED133" i="24" s="1"/>
  <c r="EH133" i="24"/>
  <c r="EW133" i="24" s="1"/>
  <c r="EC104" i="24"/>
  <c r="ED104" i="24" s="1"/>
  <c r="EC37" i="24"/>
  <c r="ED37" i="24" s="1"/>
  <c r="EZ103" i="25"/>
  <c r="FB103" i="25" s="1"/>
  <c r="EC127" i="24"/>
  <c r="ED127" i="24" s="1"/>
  <c r="EI58" i="25"/>
  <c r="EO58" i="25" s="1"/>
  <c r="EP58" i="25" s="1"/>
  <c r="EH152" i="24"/>
  <c r="EK152" i="24" s="1"/>
  <c r="EZ64" i="25"/>
  <c r="FB64" i="25" s="1"/>
  <c r="EI77" i="25"/>
  <c r="EO77" i="25" s="1"/>
  <c r="EP77" i="25" s="1"/>
  <c r="EH127" i="24"/>
  <c r="EK127" i="24" s="1"/>
  <c r="CG127" i="24"/>
  <c r="EI55" i="24"/>
  <c r="EX55" i="24" s="1"/>
  <c r="EH83" i="24"/>
  <c r="EK83" i="24" s="1"/>
  <c r="EQ83" i="24" s="1"/>
  <c r="EZ89" i="25"/>
  <c r="FB89" i="25" s="1"/>
  <c r="EH48" i="24"/>
  <c r="EK48" i="24" s="1"/>
  <c r="EQ48" i="24" s="1"/>
  <c r="EZ96" i="25"/>
  <c r="FB96" i="25" s="1"/>
  <c r="EH37" i="24"/>
  <c r="EK37" i="24" s="1"/>
  <c r="EQ37" i="24" s="1"/>
  <c r="EI37" i="24"/>
  <c r="EX37" i="24" s="1"/>
  <c r="EV90" i="25"/>
  <c r="EZ90" i="25" s="1"/>
  <c r="FB90" i="25" s="1"/>
  <c r="EI172" i="24"/>
  <c r="EX172" i="24" s="1"/>
  <c r="EI96" i="25"/>
  <c r="EO96" i="25" s="1"/>
  <c r="EI183" i="25"/>
  <c r="EP183" i="25" s="1"/>
  <c r="EH29" i="24"/>
  <c r="EK29" i="24" s="1"/>
  <c r="EQ29" i="24" s="1"/>
  <c r="EI201" i="24"/>
  <c r="EX201" i="24" s="1"/>
  <c r="EI128" i="25"/>
  <c r="EP128" i="25" s="1"/>
  <c r="EV145" i="25"/>
  <c r="FB145" i="25" s="1"/>
  <c r="EH126" i="24"/>
  <c r="EK126" i="24" s="1"/>
  <c r="FB183" i="25"/>
  <c r="EI99" i="25"/>
  <c r="EO99" i="25" s="1"/>
  <c r="EP99" i="25" s="1"/>
  <c r="EI126" i="24"/>
  <c r="EX126" i="24" s="1"/>
  <c r="EC126" i="24"/>
  <c r="ED126" i="24" s="1"/>
  <c r="FB128" i="25"/>
  <c r="EH63" i="24"/>
  <c r="EW63" i="24" s="1"/>
  <c r="EV185" i="25"/>
  <c r="FB185" i="25" s="1"/>
  <c r="EC111" i="24"/>
  <c r="ED111" i="24" s="1"/>
  <c r="EC63" i="24"/>
  <c r="ED63" i="24" s="1"/>
  <c r="EH30" i="24"/>
  <c r="EK30" i="24" s="1"/>
  <c r="EQ30" i="24" s="1"/>
  <c r="EI63" i="24"/>
  <c r="EX63" i="24" s="1"/>
  <c r="EI30" i="24"/>
  <c r="EX30" i="24" s="1"/>
  <c r="EC30" i="24"/>
  <c r="ED30" i="24" s="1"/>
  <c r="EI83" i="24"/>
  <c r="EX83" i="24" s="1"/>
  <c r="EH111" i="24"/>
  <c r="EW111" i="24" s="1"/>
  <c r="EI111" i="24"/>
  <c r="EX111" i="24" s="1"/>
  <c r="EI47" i="25"/>
  <c r="EO47" i="25" s="1"/>
  <c r="EI37" i="25"/>
  <c r="EO37" i="25" s="1"/>
  <c r="EP37" i="25" s="1"/>
  <c r="EZ33" i="25"/>
  <c r="FB33" i="25" s="1"/>
  <c r="EZ95" i="25"/>
  <c r="FB95" i="25" s="1"/>
  <c r="EZ97" i="25"/>
  <c r="FB97" i="25" s="1"/>
  <c r="FB158" i="25"/>
  <c r="EI81" i="24"/>
  <c r="EX81" i="24" s="1"/>
  <c r="EH71" i="24"/>
  <c r="EK71" i="24" s="1"/>
  <c r="EQ71" i="24" s="1"/>
  <c r="EI95" i="25"/>
  <c r="EO95" i="25" s="1"/>
  <c r="EI74" i="25"/>
  <c r="EO74" i="25" s="1"/>
  <c r="EP74" i="25" s="1"/>
  <c r="EI97" i="25"/>
  <c r="EO97" i="25" s="1"/>
  <c r="EP97" i="25" s="1"/>
  <c r="EI158" i="25"/>
  <c r="FC158" i="25" s="1"/>
  <c r="FE158" i="25" s="1"/>
  <c r="FF158" i="25" s="1"/>
  <c r="EI93" i="25"/>
  <c r="EO93" i="25" s="1"/>
  <c r="EP93" i="25" s="1"/>
  <c r="FB131" i="25"/>
  <c r="EI131" i="25"/>
  <c r="EP131" i="25" s="1"/>
  <c r="EZ99" i="25"/>
  <c r="FB99" i="25" s="1"/>
  <c r="FC182" i="25"/>
  <c r="FE182" i="25" s="1"/>
  <c r="FF182" i="25" s="1"/>
  <c r="EC172" i="24"/>
  <c r="ED172" i="24" s="1"/>
  <c r="CG172" i="24"/>
  <c r="EZ58" i="25"/>
  <c r="FB58" i="25" s="1"/>
  <c r="EH172" i="24"/>
  <c r="EW172" i="24" s="1"/>
  <c r="EI71" i="24"/>
  <c r="EX71" i="24" s="1"/>
  <c r="EZ74" i="25"/>
  <c r="FB74" i="25" s="1"/>
  <c r="EC71" i="24"/>
  <c r="ED71" i="24" s="1"/>
  <c r="EZ93" i="25"/>
  <c r="FB93" i="25" s="1"/>
  <c r="EI173" i="25"/>
  <c r="EP173" i="25" s="1"/>
  <c r="EI137" i="25"/>
  <c r="FC137" i="25" s="1"/>
  <c r="FE137" i="25" s="1"/>
  <c r="FF137" i="25" s="1"/>
  <c r="EV42" i="25"/>
  <c r="EZ42" i="25" s="1"/>
  <c r="FB42" i="25" s="1"/>
  <c r="EI192" i="24"/>
  <c r="EX192" i="24" s="1"/>
  <c r="CG275" i="24"/>
  <c r="CG265" i="24"/>
  <c r="I216" i="24"/>
  <c r="EC192" i="24"/>
  <c r="ED192" i="24" s="1"/>
  <c r="CG240" i="24"/>
  <c r="CG14" i="24"/>
  <c r="CG29" i="24"/>
  <c r="CG252" i="24"/>
  <c r="EI104" i="24"/>
  <c r="EX104" i="24" s="1"/>
  <c r="EH192" i="24"/>
  <c r="EW192" i="24" s="1"/>
  <c r="EV56" i="25"/>
  <c r="EZ56" i="25" s="1"/>
  <c r="FB56" i="25" s="1"/>
  <c r="CG277" i="24"/>
  <c r="CG239" i="24"/>
  <c r="CG293" i="24"/>
  <c r="CG278" i="24"/>
  <c r="CG249" i="24"/>
  <c r="EH104" i="24"/>
  <c r="EK104" i="24" s="1"/>
  <c r="EQ104" i="24" s="1"/>
  <c r="CG297" i="24"/>
  <c r="EZ73" i="25"/>
  <c r="FB73" i="25" s="1"/>
  <c r="EH90" i="24"/>
  <c r="EC90" i="24"/>
  <c r="ED90" i="24" s="1"/>
  <c r="EI90" i="24"/>
  <c r="EX90" i="24" s="1"/>
  <c r="CG251" i="24"/>
  <c r="CG290" i="24"/>
  <c r="CG232" i="24"/>
  <c r="CG222" i="24"/>
  <c r="CG272" i="24"/>
  <c r="CG40" i="24"/>
  <c r="CG62" i="24"/>
  <c r="CG254" i="24"/>
  <c r="CG260" i="24"/>
  <c r="CG219" i="24"/>
  <c r="CG269" i="24"/>
  <c r="CG231" i="24"/>
  <c r="CG223" i="24"/>
  <c r="CG314" i="24"/>
  <c r="CG83" i="24"/>
  <c r="CG264" i="24"/>
  <c r="CG292" i="24"/>
  <c r="CG263" i="24"/>
  <c r="CG281" i="24"/>
  <c r="CG77" i="24"/>
  <c r="CG273" i="24"/>
  <c r="CG271" i="24"/>
  <c r="CG230" i="24"/>
  <c r="CG258" i="24"/>
  <c r="CG234" i="24"/>
  <c r="CG298" i="24"/>
  <c r="CG283" i="24"/>
  <c r="CG142" i="24"/>
  <c r="CG227" i="24"/>
  <c r="CG228" i="24"/>
  <c r="CG287" i="24"/>
  <c r="CG279" i="24"/>
  <c r="CG303" i="24"/>
  <c r="CG315" i="24"/>
  <c r="CG246" i="24"/>
  <c r="CG244" i="24"/>
  <c r="CG304" i="24"/>
  <c r="CG256" i="24"/>
  <c r="CG81" i="24"/>
  <c r="CG253" i="24"/>
  <c r="CG312" i="24"/>
  <c r="CG274" i="24"/>
  <c r="CG309" i="24"/>
  <c r="CG276" i="24"/>
  <c r="CG313" i="24"/>
  <c r="CG316" i="24"/>
  <c r="CG302" i="24"/>
  <c r="EI142" i="24"/>
  <c r="EX142" i="24" s="1"/>
  <c r="EC136" i="24"/>
  <c r="ED136" i="24" s="1"/>
  <c r="CG301" i="24"/>
  <c r="CG307" i="24"/>
  <c r="CG218" i="24"/>
  <c r="CG257" i="24"/>
  <c r="CG295" i="24"/>
  <c r="CG268" i="24"/>
  <c r="CG294" i="24"/>
  <c r="CG220" i="24"/>
  <c r="CG308" i="24"/>
  <c r="CG289" i="24"/>
  <c r="CG267" i="24"/>
  <c r="CG224" i="24"/>
  <c r="CG262" i="24"/>
  <c r="CG235" i="24"/>
  <c r="CG259" i="24"/>
  <c r="CG221" i="24"/>
  <c r="EH40" i="24"/>
  <c r="EW40" i="24" s="1"/>
  <c r="EC142" i="24"/>
  <c r="ED142" i="24" s="1"/>
  <c r="EV156" i="25"/>
  <c r="FB156" i="25" s="1"/>
  <c r="CG229" i="24"/>
  <c r="CG136" i="24"/>
  <c r="CG238" i="24"/>
  <c r="CG241" i="24"/>
  <c r="CG261" i="24"/>
  <c r="CG236" i="24"/>
  <c r="CG255" i="24"/>
  <c r="CG226" i="24"/>
  <c r="CG282" i="24"/>
  <c r="CG233" i="24"/>
  <c r="CG280" i="24"/>
  <c r="CG310" i="24"/>
  <c r="CG306" i="24"/>
  <c r="CG300" i="24"/>
  <c r="CG225" i="24"/>
  <c r="CG250" i="24"/>
  <c r="CG43" i="24"/>
  <c r="EH136" i="24"/>
  <c r="EK136" i="24" s="1"/>
  <c r="EI73" i="25"/>
  <c r="EO73" i="25" s="1"/>
  <c r="EP73" i="25" s="1"/>
  <c r="CG134" i="24"/>
  <c r="CG247" i="24"/>
  <c r="CG296" i="24"/>
  <c r="CG311" i="24"/>
  <c r="CG286" i="24"/>
  <c r="CG217" i="24"/>
  <c r="CG237" i="24"/>
  <c r="CG270" i="24"/>
  <c r="CG305" i="24"/>
  <c r="CG291" i="24"/>
  <c r="CG23" i="24"/>
  <c r="CG288" i="24"/>
  <c r="CG248" i="24"/>
  <c r="CG284" i="24"/>
  <c r="CG299" i="24"/>
  <c r="CG159" i="24"/>
  <c r="CG266" i="24"/>
  <c r="CG245" i="24"/>
  <c r="CG67" i="24"/>
  <c r="EZ77" i="25"/>
  <c r="FB77" i="25" s="1"/>
  <c r="EI25" i="25"/>
  <c r="EO25" i="25" s="1"/>
  <c r="EP25" i="25" s="1"/>
  <c r="EZ37" i="25"/>
  <c r="FB37" i="25" s="1"/>
  <c r="EI40" i="24"/>
  <c r="EX40" i="24" s="1"/>
  <c r="EI48" i="24"/>
  <c r="EX48" i="24" s="1"/>
  <c r="EC83" i="24"/>
  <c r="ED83" i="24" s="1"/>
  <c r="EI129" i="25"/>
  <c r="EP129" i="25" s="1"/>
  <c r="EI186" i="24"/>
  <c r="EX186" i="24" s="1"/>
  <c r="EC48" i="24"/>
  <c r="ED48" i="24" s="1"/>
  <c r="EI34" i="25"/>
  <c r="EO34" i="25" s="1"/>
  <c r="EP34" i="25" s="1"/>
  <c r="EC43" i="24"/>
  <c r="ED43" i="24" s="1"/>
  <c r="EH186" i="24"/>
  <c r="EK186" i="24" s="1"/>
  <c r="EH43" i="24"/>
  <c r="EW43" i="24" s="1"/>
  <c r="EC186" i="24"/>
  <c r="ED186" i="24" s="1"/>
  <c r="EI9" i="25"/>
  <c r="EO9" i="25" s="1"/>
  <c r="EP9" i="25" s="1"/>
  <c r="EH170" i="24"/>
  <c r="EW170" i="24" s="1"/>
  <c r="EH99" i="24"/>
  <c r="EW99" i="24" s="1"/>
  <c r="EH55" i="24"/>
  <c r="EW55" i="24" s="1"/>
  <c r="EI170" i="24"/>
  <c r="EX170" i="24" s="1"/>
  <c r="EC55" i="24"/>
  <c r="ED55" i="24" s="1"/>
  <c r="EC170" i="24"/>
  <c r="ED170" i="24" s="1"/>
  <c r="EZ83" i="25"/>
  <c r="FB83" i="25" s="1"/>
  <c r="EH23" i="24"/>
  <c r="EW23" i="24" s="1"/>
  <c r="EH124" i="24"/>
  <c r="EK124" i="24" s="1"/>
  <c r="EI14" i="24"/>
  <c r="EX14" i="24" s="1"/>
  <c r="EC67" i="24"/>
  <c r="ED67" i="24" s="1"/>
  <c r="EI83" i="25"/>
  <c r="EO83" i="25" s="1"/>
  <c r="EP83" i="25" s="1"/>
  <c r="EC99" i="24"/>
  <c r="ED99" i="24" s="1"/>
  <c r="EH14" i="24"/>
  <c r="EW14" i="24" s="1"/>
  <c r="EI67" i="24"/>
  <c r="EX67" i="24" s="1"/>
  <c r="EC124" i="24"/>
  <c r="ED124" i="24" s="1"/>
  <c r="EI99" i="24"/>
  <c r="EX99" i="24" s="1"/>
  <c r="EI23" i="24"/>
  <c r="EX23" i="24" s="1"/>
  <c r="EC14" i="24"/>
  <c r="ED14" i="24" s="1"/>
  <c r="EI124" i="24"/>
  <c r="EX124" i="24" s="1"/>
  <c r="EI81" i="25"/>
  <c r="EO81" i="25" s="1"/>
  <c r="EP81" i="25" s="1"/>
  <c r="EV169" i="25"/>
  <c r="FC169" i="25" s="1"/>
  <c r="FE169" i="25" s="1"/>
  <c r="FF169" i="25" s="1"/>
  <c r="EI199" i="25"/>
  <c r="FC199" i="25" s="1"/>
  <c r="FE199" i="25" s="1"/>
  <c r="FF199" i="25" s="1"/>
  <c r="EI178" i="25"/>
  <c r="EP178" i="25" s="1"/>
  <c r="FB199" i="25"/>
  <c r="EV194" i="25"/>
  <c r="FB194" i="25" s="1"/>
  <c r="EI141" i="25"/>
  <c r="FC141" i="25" s="1"/>
  <c r="FE141" i="25" s="1"/>
  <c r="FF141" i="25" s="1"/>
  <c r="EV171" i="25"/>
  <c r="FB171" i="25" s="1"/>
  <c r="ER5" i="24"/>
  <c r="FC5" i="24"/>
  <c r="FE5" i="24" s="1"/>
  <c r="FF5" i="24" s="1"/>
  <c r="U110" i="24"/>
  <c r="N110" i="24"/>
  <c r="ER110" i="24"/>
  <c r="FC110" i="24"/>
  <c r="FE110" i="24" s="1"/>
  <c r="FF110" i="24" s="1"/>
  <c r="FB178" i="25"/>
  <c r="FB141" i="25"/>
  <c r="FB137" i="25"/>
  <c r="EC159" i="24"/>
  <c r="ED159" i="24" s="1"/>
  <c r="EI159" i="24"/>
  <c r="EX159" i="24" s="1"/>
  <c r="EI152" i="24"/>
  <c r="EX152" i="24" s="1"/>
  <c r="EC81" i="24"/>
  <c r="ED81" i="24" s="1"/>
  <c r="EC29" i="24"/>
  <c r="ED29" i="24" s="1"/>
  <c r="EC152" i="24"/>
  <c r="ED152" i="24" s="1"/>
  <c r="EZ81" i="25"/>
  <c r="FB81" i="25" s="1"/>
  <c r="EC199" i="24"/>
  <c r="ED199" i="24" s="1"/>
  <c r="EH199" i="24"/>
  <c r="EK199" i="24" s="1"/>
  <c r="EH147" i="24"/>
  <c r="EK147" i="24" s="1"/>
  <c r="EH81" i="24"/>
  <c r="EW81" i="24" s="1"/>
  <c r="EI147" i="24"/>
  <c r="EX147" i="24" s="1"/>
  <c r="EI199" i="24"/>
  <c r="EX199" i="24" s="1"/>
  <c r="EC147" i="24"/>
  <c r="ED147" i="24" s="1"/>
  <c r="FB173" i="25"/>
  <c r="FB129" i="25"/>
  <c r="EC201" i="24"/>
  <c r="ED201" i="24" s="1"/>
  <c r="FB180" i="25"/>
  <c r="EH134" i="24"/>
  <c r="EK134" i="24" s="1"/>
  <c r="EI49" i="25"/>
  <c r="EO49" i="25" s="1"/>
  <c r="EP49" i="25" s="1"/>
  <c r="EI180" i="25"/>
  <c r="FC180" i="25" s="1"/>
  <c r="FE180" i="25" s="1"/>
  <c r="FF180" i="25" s="1"/>
  <c r="EI87" i="25"/>
  <c r="EO87" i="25" s="1"/>
  <c r="EP87" i="25" s="1"/>
  <c r="EI77" i="24"/>
  <c r="EX77" i="24" s="1"/>
  <c r="EZ9" i="25"/>
  <c r="FB9" i="25" s="1"/>
  <c r="EC77" i="24"/>
  <c r="ED77" i="24" s="1"/>
  <c r="EH13" i="24"/>
  <c r="EK13" i="24" s="1"/>
  <c r="EQ13" i="24" s="1"/>
  <c r="EC13" i="24"/>
  <c r="ED13" i="24" s="1"/>
  <c r="EI13" i="24"/>
  <c r="EX13" i="24" s="1"/>
  <c r="EZ49" i="25"/>
  <c r="FB49" i="25" s="1"/>
  <c r="EZ23" i="25"/>
  <c r="FB23" i="25" s="1"/>
  <c r="EZ25" i="25"/>
  <c r="FB25" i="25" s="1"/>
  <c r="FB111" i="25"/>
  <c r="EI23" i="25"/>
  <c r="EO23" i="25" s="1"/>
  <c r="EP23" i="25" s="1"/>
  <c r="EI111" i="25"/>
  <c r="EP111" i="25" s="1"/>
  <c r="EZ87" i="25"/>
  <c r="FB87" i="25" s="1"/>
  <c r="EZ34" i="25"/>
  <c r="FB34" i="25" s="1"/>
  <c r="EH201" i="24"/>
  <c r="EK201" i="24" s="1"/>
  <c r="EH62" i="24"/>
  <c r="EW62" i="24" s="1"/>
  <c r="EP185" i="25"/>
  <c r="EV70" i="25"/>
  <c r="EZ70" i="25" s="1"/>
  <c r="FB70" i="25" s="1"/>
  <c r="EI70" i="25"/>
  <c r="EO70" i="25" s="1"/>
  <c r="EV48" i="25"/>
  <c r="EZ48" i="25" s="1"/>
  <c r="FB48" i="25" s="1"/>
  <c r="EI48" i="25"/>
  <c r="EO48" i="25" s="1"/>
  <c r="EV200" i="25"/>
  <c r="FB200" i="25" s="1"/>
  <c r="EI200" i="25"/>
  <c r="EV53" i="25"/>
  <c r="EZ53" i="25" s="1"/>
  <c r="FB53" i="25" s="1"/>
  <c r="EI53" i="25"/>
  <c r="EO53" i="25" s="1"/>
  <c r="EV204" i="25"/>
  <c r="FB204" i="25" s="1"/>
  <c r="EI204" i="25"/>
  <c r="EV22" i="25"/>
  <c r="EZ22" i="25" s="1"/>
  <c r="FB22" i="25" s="1"/>
  <c r="EI22" i="25"/>
  <c r="EO22" i="25" s="1"/>
  <c r="EV157" i="25"/>
  <c r="FB157" i="25" s="1"/>
  <c r="EI157" i="25"/>
  <c r="EV165" i="25"/>
  <c r="FB165" i="25" s="1"/>
  <c r="EI165" i="25"/>
  <c r="EV190" i="25"/>
  <c r="FB190" i="25" s="1"/>
  <c r="EI190" i="25"/>
  <c r="EV142" i="25"/>
  <c r="FB142" i="25" s="1"/>
  <c r="EI142" i="25"/>
  <c r="EV116" i="25"/>
  <c r="FB116" i="25" s="1"/>
  <c r="EI116" i="25"/>
  <c r="EV14" i="25"/>
  <c r="EZ14" i="25" s="1"/>
  <c r="FB14" i="25" s="1"/>
  <c r="EI14" i="25"/>
  <c r="EO14" i="25" s="1"/>
  <c r="EV28" i="25"/>
  <c r="EZ28" i="25" s="1"/>
  <c r="FB28" i="25" s="1"/>
  <c r="EI28" i="25"/>
  <c r="EO28" i="25" s="1"/>
  <c r="EV79" i="25"/>
  <c r="EZ79" i="25" s="1"/>
  <c r="FB79" i="25" s="1"/>
  <c r="EI79" i="25"/>
  <c r="EO79" i="25" s="1"/>
  <c r="EP156" i="25"/>
  <c r="EV159" i="25"/>
  <c r="FB159" i="25" s="1"/>
  <c r="EI159" i="25"/>
  <c r="EV149" i="25"/>
  <c r="FB149" i="25" s="1"/>
  <c r="EI149" i="25"/>
  <c r="EV12" i="25"/>
  <c r="EZ12" i="25" s="1"/>
  <c r="FB12" i="25" s="1"/>
  <c r="EI12" i="25"/>
  <c r="EO12" i="25" s="1"/>
  <c r="EV146" i="25"/>
  <c r="FB146" i="25" s="1"/>
  <c r="EI146" i="25"/>
  <c r="EI62" i="24"/>
  <c r="EX62" i="24" s="1"/>
  <c r="EV65" i="25"/>
  <c r="EZ65" i="25" s="1"/>
  <c r="FB65" i="25" s="1"/>
  <c r="EI65" i="25"/>
  <c r="EO65" i="25" s="1"/>
  <c r="EV139" i="25"/>
  <c r="FB139" i="25" s="1"/>
  <c r="EI139" i="25"/>
  <c r="EV201" i="25"/>
  <c r="FB201" i="25" s="1"/>
  <c r="EI201" i="25"/>
  <c r="EV153" i="25"/>
  <c r="FB153" i="25" s="1"/>
  <c r="EI153" i="25"/>
  <c r="EV122" i="25"/>
  <c r="FB122" i="25" s="1"/>
  <c r="EI122" i="25"/>
  <c r="EV206" i="25"/>
  <c r="FB206" i="25" s="1"/>
  <c r="EI206" i="25"/>
  <c r="EV114" i="25"/>
  <c r="FB114" i="25" s="1"/>
  <c r="EI114" i="25"/>
  <c r="EV92" i="25"/>
  <c r="EZ92" i="25" s="1"/>
  <c r="FB92" i="25" s="1"/>
  <c r="EI92" i="25"/>
  <c r="EO92" i="25" s="1"/>
  <c r="EV29" i="25"/>
  <c r="EZ29" i="25" s="1"/>
  <c r="FB29" i="25" s="1"/>
  <c r="EI29" i="25"/>
  <c r="EO29" i="25" s="1"/>
  <c r="EV7" i="25"/>
  <c r="EZ7" i="25" s="1"/>
  <c r="FB7" i="25" s="1"/>
  <c r="EI7" i="25"/>
  <c r="EO7" i="25" s="1"/>
  <c r="EV15" i="25"/>
  <c r="EZ15" i="25" s="1"/>
  <c r="FB15" i="25" s="1"/>
  <c r="EI15" i="25"/>
  <c r="EO15" i="25" s="1"/>
  <c r="EP169" i="25"/>
  <c r="EV133" i="25"/>
  <c r="FB133" i="25" s="1"/>
  <c r="EI133" i="25"/>
  <c r="EV11" i="25"/>
  <c r="EZ11" i="25" s="1"/>
  <c r="FB11" i="25" s="1"/>
  <c r="EI11" i="25"/>
  <c r="EO11" i="25" s="1"/>
  <c r="EV186" i="25"/>
  <c r="FB186" i="25" s="1"/>
  <c r="EI186" i="25"/>
  <c r="EP145" i="25"/>
  <c r="FC181" i="25"/>
  <c r="FE181" i="25" s="1"/>
  <c r="FF181" i="25" s="1"/>
  <c r="EP181" i="25"/>
  <c r="EV123" i="25"/>
  <c r="FB123" i="25" s="1"/>
  <c r="EI123" i="25"/>
  <c r="EV162" i="25"/>
  <c r="FB162" i="25" s="1"/>
  <c r="EI162" i="25"/>
  <c r="EV209" i="25"/>
  <c r="FB209" i="25" s="1"/>
  <c r="EI209" i="25"/>
  <c r="EV144" i="25"/>
  <c r="FB144" i="25" s="1"/>
  <c r="EI144" i="25"/>
  <c r="EV115" i="25"/>
  <c r="FB115" i="25" s="1"/>
  <c r="EI115" i="25"/>
  <c r="EV86" i="25"/>
  <c r="EZ86" i="25" s="1"/>
  <c r="FB86" i="25" s="1"/>
  <c r="EI86" i="25"/>
  <c r="EO86" i="25" s="1"/>
  <c r="EV118" i="25"/>
  <c r="FB118" i="25" s="1"/>
  <c r="EI118" i="25"/>
  <c r="EV20" i="25"/>
  <c r="EZ20" i="25" s="1"/>
  <c r="FB20" i="25" s="1"/>
  <c r="EI20" i="25"/>
  <c r="EO20" i="25" s="1"/>
  <c r="EV80" i="25"/>
  <c r="EZ80" i="25" s="1"/>
  <c r="FB80" i="25" s="1"/>
  <c r="EI80" i="25"/>
  <c r="EO80" i="25" s="1"/>
  <c r="EV32" i="25"/>
  <c r="EZ32" i="25" s="1"/>
  <c r="FB32" i="25" s="1"/>
  <c r="EI32" i="25"/>
  <c r="EO32" i="25" s="1"/>
  <c r="EV192" i="25"/>
  <c r="FB192" i="25" s="1"/>
  <c r="EI192" i="25"/>
  <c r="EV148" i="25"/>
  <c r="FB148" i="25" s="1"/>
  <c r="EI148" i="25"/>
  <c r="EV68" i="25"/>
  <c r="EZ68" i="25" s="1"/>
  <c r="FB68" i="25" s="1"/>
  <c r="EI68" i="25"/>
  <c r="EO68" i="25" s="1"/>
  <c r="EV113" i="25"/>
  <c r="FB113" i="25" s="1"/>
  <c r="EI113" i="25"/>
  <c r="EV45" i="25"/>
  <c r="EZ45" i="25" s="1"/>
  <c r="FB45" i="25" s="1"/>
  <c r="EI45" i="25"/>
  <c r="EO45" i="25" s="1"/>
  <c r="EP164" i="25"/>
  <c r="EV170" i="25"/>
  <c r="FB170" i="25" s="1"/>
  <c r="EI170" i="25"/>
  <c r="EV71" i="25"/>
  <c r="EZ71" i="25" s="1"/>
  <c r="FB71" i="25" s="1"/>
  <c r="EI71" i="25"/>
  <c r="EO71" i="25" s="1"/>
  <c r="EV50" i="25"/>
  <c r="EZ50" i="25" s="1"/>
  <c r="FB50" i="25" s="1"/>
  <c r="EI50" i="25"/>
  <c r="EO50" i="25" s="1"/>
  <c r="EV121" i="25"/>
  <c r="FB121" i="25" s="1"/>
  <c r="EI121" i="25"/>
  <c r="EV26" i="25"/>
  <c r="EZ26" i="25" s="1"/>
  <c r="FB26" i="25" s="1"/>
  <c r="EI26" i="25"/>
  <c r="EO26" i="25" s="1"/>
  <c r="EV208" i="25"/>
  <c r="FB208" i="25" s="1"/>
  <c r="EI208" i="25"/>
  <c r="EV41" i="25"/>
  <c r="EZ41" i="25" s="1"/>
  <c r="FB41" i="25" s="1"/>
  <c r="EI41" i="25"/>
  <c r="EO41" i="25" s="1"/>
  <c r="EV150" i="25"/>
  <c r="FB150" i="25" s="1"/>
  <c r="EI150" i="25"/>
  <c r="EV6" i="25"/>
  <c r="EZ6" i="25" s="1"/>
  <c r="FB6" i="25" s="1"/>
  <c r="EI6" i="25"/>
  <c r="EO6" i="25" s="1"/>
  <c r="EV188" i="25"/>
  <c r="FB188" i="25" s="1"/>
  <c r="EI188" i="25"/>
  <c r="EV177" i="25"/>
  <c r="FB177" i="25" s="1"/>
  <c r="EI177" i="25"/>
  <c r="EP90" i="25"/>
  <c r="EV154" i="25"/>
  <c r="FB154" i="25" s="1"/>
  <c r="EI154" i="25"/>
  <c r="EV44" i="25"/>
  <c r="EZ44" i="25" s="1"/>
  <c r="FB44" i="25" s="1"/>
  <c r="EI44" i="25"/>
  <c r="EO44" i="25" s="1"/>
  <c r="EV38" i="25"/>
  <c r="EZ38" i="25" s="1"/>
  <c r="FB38" i="25" s="1"/>
  <c r="EI38" i="25"/>
  <c r="EO38" i="25" s="1"/>
  <c r="EV172" i="25"/>
  <c r="FB172" i="25" s="1"/>
  <c r="EI172" i="25"/>
  <c r="EV60" i="25"/>
  <c r="EZ60" i="25" s="1"/>
  <c r="FB60" i="25" s="1"/>
  <c r="EI60" i="25"/>
  <c r="EO60" i="25" s="1"/>
  <c r="EV100" i="25"/>
  <c r="EZ100" i="25" s="1"/>
  <c r="FB100" i="25" s="1"/>
  <c r="EI100" i="25"/>
  <c r="EO100" i="25" s="1"/>
  <c r="EV98" i="25"/>
  <c r="EZ98" i="25" s="1"/>
  <c r="FB98" i="25" s="1"/>
  <c r="EI98" i="25"/>
  <c r="EO98" i="25" s="1"/>
  <c r="EV184" i="25"/>
  <c r="FB184" i="25" s="1"/>
  <c r="EI184" i="25"/>
  <c r="EV134" i="25"/>
  <c r="FB134" i="25" s="1"/>
  <c r="EI134" i="25"/>
  <c r="EV76" i="25"/>
  <c r="EZ76" i="25" s="1"/>
  <c r="FB76" i="25" s="1"/>
  <c r="EI76" i="25"/>
  <c r="EO76" i="25" s="1"/>
  <c r="EP136" i="25"/>
  <c r="EV126" i="25"/>
  <c r="FB126" i="25" s="1"/>
  <c r="EI126" i="25"/>
  <c r="FC143" i="25"/>
  <c r="FE143" i="25" s="1"/>
  <c r="FF143" i="25" s="1"/>
  <c r="EP143" i="25"/>
  <c r="EV24" i="25"/>
  <c r="EZ24" i="25" s="1"/>
  <c r="FB24" i="25" s="1"/>
  <c r="EI24" i="25"/>
  <c r="EO24" i="25" s="1"/>
  <c r="EV195" i="25"/>
  <c r="FB195" i="25" s="1"/>
  <c r="EI195" i="25"/>
  <c r="EV175" i="25"/>
  <c r="FB175" i="25" s="1"/>
  <c r="EI175" i="25"/>
  <c r="EV43" i="25"/>
  <c r="EZ43" i="25" s="1"/>
  <c r="FB43" i="25" s="1"/>
  <c r="EI43" i="25"/>
  <c r="EO43" i="25" s="1"/>
  <c r="EV104" i="25"/>
  <c r="EZ104" i="25" s="1"/>
  <c r="FB104" i="25" s="1"/>
  <c r="EI104" i="25"/>
  <c r="EO104" i="25" s="1"/>
  <c r="EV120" i="25"/>
  <c r="FB120" i="25" s="1"/>
  <c r="EI120" i="25"/>
  <c r="EV119" i="25"/>
  <c r="FB119" i="25" s="1"/>
  <c r="EI119" i="25"/>
  <c r="EP194" i="25"/>
  <c r="EV59" i="25"/>
  <c r="EZ59" i="25" s="1"/>
  <c r="FB59" i="25" s="1"/>
  <c r="EI59" i="25"/>
  <c r="EO59" i="25" s="1"/>
  <c r="EV160" i="25"/>
  <c r="FB160" i="25" s="1"/>
  <c r="EI160" i="25"/>
  <c r="EV102" i="25"/>
  <c r="EZ102" i="25" s="1"/>
  <c r="FB102" i="25" s="1"/>
  <c r="EI102" i="25"/>
  <c r="EO102" i="25" s="1"/>
  <c r="EP171" i="25"/>
  <c r="EV52" i="25"/>
  <c r="EZ52" i="25" s="1"/>
  <c r="FB52" i="25" s="1"/>
  <c r="EI52" i="25"/>
  <c r="EO52" i="25" s="1"/>
  <c r="EV117" i="25"/>
  <c r="FB117" i="25" s="1"/>
  <c r="EI117" i="25"/>
  <c r="EV210" i="25"/>
  <c r="FB210" i="25" s="1"/>
  <c r="EI210" i="25"/>
  <c r="EV193" i="25"/>
  <c r="FB193" i="25" s="1"/>
  <c r="EI193" i="25"/>
  <c r="EV205" i="25"/>
  <c r="FB205" i="25" s="1"/>
  <c r="EI205" i="25"/>
  <c r="EV19" i="25"/>
  <c r="EZ19" i="25" s="1"/>
  <c r="FB19" i="25" s="1"/>
  <c r="EI19" i="25"/>
  <c r="EO19" i="25" s="1"/>
  <c r="EV13" i="25"/>
  <c r="EZ13" i="25" s="1"/>
  <c r="FB13" i="25" s="1"/>
  <c r="EI13" i="25"/>
  <c r="EO13" i="25" s="1"/>
  <c r="EV40" i="25"/>
  <c r="EZ40" i="25" s="1"/>
  <c r="FB40" i="25" s="1"/>
  <c r="EI40" i="25"/>
  <c r="EO40" i="25" s="1"/>
  <c r="EP56" i="25"/>
  <c r="EV78" i="25"/>
  <c r="EZ78" i="25" s="1"/>
  <c r="FB78" i="25" s="1"/>
  <c r="EI78" i="25"/>
  <c r="EO78" i="25" s="1"/>
  <c r="EP138" i="25"/>
  <c r="FC138" i="25"/>
  <c r="FE138" i="25" s="1"/>
  <c r="FF138" i="25" s="1"/>
  <c r="EV140" i="25"/>
  <c r="FB140" i="25" s="1"/>
  <c r="EI140" i="25"/>
  <c r="EV66" i="25"/>
  <c r="EZ66" i="25" s="1"/>
  <c r="FB66" i="25" s="1"/>
  <c r="EI66" i="25"/>
  <c r="EO66" i="25" s="1"/>
  <c r="EV125" i="25"/>
  <c r="FB125" i="25" s="1"/>
  <c r="EI125" i="25"/>
  <c r="EV18" i="25"/>
  <c r="EZ18" i="25" s="1"/>
  <c r="FB18" i="25" s="1"/>
  <c r="EI18" i="25"/>
  <c r="EO18" i="25" s="1"/>
  <c r="EV174" i="25"/>
  <c r="FB174" i="25" s="1"/>
  <c r="EI174" i="25"/>
  <c r="EV54" i="25"/>
  <c r="EZ54" i="25" s="1"/>
  <c r="FB54" i="25" s="1"/>
  <c r="EI54" i="25"/>
  <c r="EO54" i="25" s="1"/>
  <c r="EV61" i="25"/>
  <c r="EZ61" i="25" s="1"/>
  <c r="FB61" i="25" s="1"/>
  <c r="EI61" i="25"/>
  <c r="EO61" i="25" s="1"/>
  <c r="EV197" i="25"/>
  <c r="FB197" i="25" s="1"/>
  <c r="EI197" i="25"/>
  <c r="EV132" i="25"/>
  <c r="FB132" i="25" s="1"/>
  <c r="EI132" i="25"/>
  <c r="EV91" i="25"/>
  <c r="EZ91" i="25" s="1"/>
  <c r="FB91" i="25" s="1"/>
  <c r="EI91" i="25"/>
  <c r="EO91" i="25" s="1"/>
  <c r="EV179" i="25"/>
  <c r="FB179" i="25" s="1"/>
  <c r="EI179" i="25"/>
  <c r="EV39" i="25"/>
  <c r="EZ39" i="25" s="1"/>
  <c r="FB39" i="25" s="1"/>
  <c r="EI39" i="25"/>
  <c r="EO39" i="25" s="1"/>
  <c r="EV30" i="25"/>
  <c r="EZ30" i="25" s="1"/>
  <c r="FB30" i="25" s="1"/>
  <c r="EI30" i="25"/>
  <c r="EO30" i="25" s="1"/>
  <c r="EV35" i="25"/>
  <c r="EZ35" i="25" s="1"/>
  <c r="FB35" i="25" s="1"/>
  <c r="EI35" i="25"/>
  <c r="EO35" i="25" s="1"/>
  <c r="EV75" i="25"/>
  <c r="EZ75" i="25" s="1"/>
  <c r="FB75" i="25" s="1"/>
  <c r="EI75" i="25"/>
  <c r="EO75" i="25" s="1"/>
  <c r="EV124" i="25"/>
  <c r="FB124" i="25" s="1"/>
  <c r="EI124" i="25"/>
  <c r="EV82" i="25"/>
  <c r="EZ82" i="25" s="1"/>
  <c r="FB82" i="25" s="1"/>
  <c r="EI82" i="25"/>
  <c r="EO82" i="25" s="1"/>
  <c r="EV8" i="25"/>
  <c r="EZ8" i="25" s="1"/>
  <c r="FB8" i="25" s="1"/>
  <c r="EI8" i="25"/>
  <c r="EO8" i="25" s="1"/>
  <c r="EV110" i="25"/>
  <c r="FB110" i="25" s="1"/>
  <c r="EI110" i="25"/>
  <c r="EV63" i="25"/>
  <c r="EZ63" i="25" s="1"/>
  <c r="FB63" i="25" s="1"/>
  <c r="EI63" i="25"/>
  <c r="EO63" i="25" s="1"/>
  <c r="EV163" i="25"/>
  <c r="FB163" i="25" s="1"/>
  <c r="EI163" i="25"/>
  <c r="EV161" i="25"/>
  <c r="FB161" i="25" s="1"/>
  <c r="EI161" i="25"/>
  <c r="EV187" i="25"/>
  <c r="FB187" i="25" s="1"/>
  <c r="EI187" i="25"/>
  <c r="EV94" i="25"/>
  <c r="EZ94" i="25" s="1"/>
  <c r="FB94" i="25" s="1"/>
  <c r="EI94" i="25"/>
  <c r="EO94" i="25" s="1"/>
  <c r="EV127" i="25"/>
  <c r="FB127" i="25" s="1"/>
  <c r="EI127" i="25"/>
  <c r="EV67" i="25"/>
  <c r="EZ67" i="25" s="1"/>
  <c r="FB67" i="25" s="1"/>
  <c r="EI67" i="25"/>
  <c r="EO67" i="25" s="1"/>
  <c r="EV130" i="25"/>
  <c r="FB130" i="25" s="1"/>
  <c r="EI130" i="25"/>
  <c r="EV167" i="25"/>
  <c r="FB167" i="25" s="1"/>
  <c r="EI167" i="25"/>
  <c r="EV85" i="25"/>
  <c r="EZ85" i="25" s="1"/>
  <c r="FB85" i="25" s="1"/>
  <c r="EI85" i="25"/>
  <c r="EO85" i="25" s="1"/>
  <c r="EV152" i="25"/>
  <c r="FB152" i="25" s="1"/>
  <c r="EI152" i="25"/>
  <c r="EV88" i="25"/>
  <c r="EZ88" i="25" s="1"/>
  <c r="FB88" i="25" s="1"/>
  <c r="EI88" i="25"/>
  <c r="EO88" i="25" s="1"/>
  <c r="EV202" i="25"/>
  <c r="FB202" i="25" s="1"/>
  <c r="EI202" i="25"/>
  <c r="EV155" i="25"/>
  <c r="FB155" i="25" s="1"/>
  <c r="EI155" i="25"/>
  <c r="EV46" i="25"/>
  <c r="EZ46" i="25" s="1"/>
  <c r="FB46" i="25" s="1"/>
  <c r="EI46" i="25"/>
  <c r="EO46" i="25" s="1"/>
  <c r="EV10" i="25"/>
  <c r="EZ10" i="25" s="1"/>
  <c r="FB10" i="25" s="1"/>
  <c r="EI10" i="25"/>
  <c r="EO10" i="25" s="1"/>
  <c r="EV105" i="25"/>
  <c r="EZ105" i="25" s="1"/>
  <c r="FB105" i="25" s="1"/>
  <c r="EI105" i="25"/>
  <c r="EO105" i="25" s="1"/>
  <c r="EV31" i="25"/>
  <c r="EZ31" i="25" s="1"/>
  <c r="FB31" i="25" s="1"/>
  <c r="EI31" i="25"/>
  <c r="EO31" i="25" s="1"/>
  <c r="EV189" i="25"/>
  <c r="FB189" i="25" s="1"/>
  <c r="EI189" i="25"/>
  <c r="EV176" i="25"/>
  <c r="FB176" i="25" s="1"/>
  <c r="EI176" i="25"/>
  <c r="EV151" i="25"/>
  <c r="FB151" i="25" s="1"/>
  <c r="EI151" i="25"/>
  <c r="EV55" i="25"/>
  <c r="EZ55" i="25" s="1"/>
  <c r="FB55" i="25" s="1"/>
  <c r="EI55" i="25"/>
  <c r="EO55" i="25" s="1"/>
  <c r="EV51" i="25"/>
  <c r="EZ51" i="25" s="1"/>
  <c r="FB51" i="25" s="1"/>
  <c r="EI51" i="25"/>
  <c r="EO51" i="25" s="1"/>
  <c r="EV62" i="25"/>
  <c r="EZ62" i="25" s="1"/>
  <c r="FB62" i="25" s="1"/>
  <c r="EI62" i="25"/>
  <c r="EO62" i="25" s="1"/>
  <c r="EV147" i="25"/>
  <c r="FB147" i="25" s="1"/>
  <c r="EI147" i="25"/>
  <c r="EV101" i="25"/>
  <c r="EZ101" i="25" s="1"/>
  <c r="FB101" i="25" s="1"/>
  <c r="EI101" i="25"/>
  <c r="EO101" i="25" s="1"/>
  <c r="EP42" i="25"/>
  <c r="EV198" i="25"/>
  <c r="FB198" i="25" s="1"/>
  <c r="EI198" i="25"/>
  <c r="EV72" i="25"/>
  <c r="EZ72" i="25" s="1"/>
  <c r="FB72" i="25" s="1"/>
  <c r="EI72" i="25"/>
  <c r="EO72" i="25" s="1"/>
  <c r="EV16" i="25"/>
  <c r="EZ16" i="25" s="1"/>
  <c r="FB16" i="25" s="1"/>
  <c r="EI16" i="25"/>
  <c r="EO16" i="25" s="1"/>
  <c r="EV168" i="25"/>
  <c r="FB168" i="25" s="1"/>
  <c r="EI168" i="25"/>
  <c r="EV36" i="25"/>
  <c r="EZ36" i="25" s="1"/>
  <c r="FB36" i="25" s="1"/>
  <c r="EI36" i="25"/>
  <c r="EO36" i="25" s="1"/>
  <c r="EV203" i="25"/>
  <c r="FB203" i="25" s="1"/>
  <c r="EI203" i="25"/>
  <c r="EV166" i="25"/>
  <c r="FB166" i="25" s="1"/>
  <c r="EI166" i="25"/>
  <c r="EV84" i="25"/>
  <c r="EZ84" i="25" s="1"/>
  <c r="FB84" i="25" s="1"/>
  <c r="EI84" i="25"/>
  <c r="EO84" i="25" s="1"/>
  <c r="EV135" i="25"/>
  <c r="FB135" i="25" s="1"/>
  <c r="EI135" i="25"/>
  <c r="EV57" i="25"/>
  <c r="EZ57" i="25" s="1"/>
  <c r="FB57" i="25" s="1"/>
  <c r="EI57" i="25"/>
  <c r="EO57" i="25" s="1"/>
  <c r="EV21" i="25"/>
  <c r="EZ21" i="25" s="1"/>
  <c r="FB21" i="25" s="1"/>
  <c r="EI21" i="25"/>
  <c r="EO21" i="25" s="1"/>
  <c r="EV191" i="25"/>
  <c r="FB191" i="25" s="1"/>
  <c r="EI191" i="25"/>
  <c r="EV27" i="25"/>
  <c r="EZ27" i="25" s="1"/>
  <c r="FB27" i="25" s="1"/>
  <c r="EI27" i="25"/>
  <c r="EO27" i="25" s="1"/>
  <c r="EV69" i="25"/>
  <c r="EZ69" i="25" s="1"/>
  <c r="FB69" i="25" s="1"/>
  <c r="EI69" i="25"/>
  <c r="EO69" i="25" s="1"/>
  <c r="EP17" i="25"/>
  <c r="EV207" i="25"/>
  <c r="FB207" i="25" s="1"/>
  <c r="EI207" i="25"/>
  <c r="EV196" i="25"/>
  <c r="FB196" i="25" s="1"/>
  <c r="EI196" i="25"/>
  <c r="EH10" i="24"/>
  <c r="EK10" i="24" s="1"/>
  <c r="EQ10" i="24" s="1"/>
  <c r="EI10" i="24"/>
  <c r="EX10" i="24" s="1"/>
  <c r="EC10" i="24"/>
  <c r="ED10" i="24" s="1"/>
  <c r="EI134" i="24"/>
  <c r="EX134" i="24" s="1"/>
  <c r="EC134" i="24"/>
  <c r="ED134" i="24" s="1"/>
  <c r="EH79" i="24"/>
  <c r="EC79" i="24"/>
  <c r="ED79" i="24" s="1"/>
  <c r="EI79" i="24"/>
  <c r="EX79" i="24" s="1"/>
  <c r="EI72" i="24"/>
  <c r="EX72" i="24" s="1"/>
  <c r="EH72" i="24"/>
  <c r="EC72" i="24"/>
  <c r="ED72" i="24" s="1"/>
  <c r="EH115" i="24"/>
  <c r="EC115" i="24"/>
  <c r="ED115" i="24" s="1"/>
  <c r="EI115" i="24"/>
  <c r="EX115" i="24" s="1"/>
  <c r="EC116" i="24"/>
  <c r="ED116" i="24" s="1"/>
  <c r="EH116" i="24"/>
  <c r="EI116" i="24"/>
  <c r="EX116" i="24" s="1"/>
  <c r="EC91" i="24"/>
  <c r="ED91" i="24" s="1"/>
  <c r="EI91" i="24"/>
  <c r="EX91" i="24" s="1"/>
  <c r="EH91" i="24"/>
  <c r="EC121" i="24"/>
  <c r="ED121" i="24" s="1"/>
  <c r="EI121" i="24"/>
  <c r="EX121" i="24" s="1"/>
  <c r="EH121" i="24"/>
  <c r="EH46" i="24"/>
  <c r="EC46" i="24"/>
  <c r="ED46" i="24" s="1"/>
  <c r="EI46" i="24"/>
  <c r="EX46" i="24" s="1"/>
  <c r="EI113" i="24"/>
  <c r="EX113" i="24" s="1"/>
  <c r="EH113" i="24"/>
  <c r="EC113" i="24"/>
  <c r="ED113" i="24" s="1"/>
  <c r="EI86" i="24"/>
  <c r="EX86" i="24" s="1"/>
  <c r="EC86" i="24"/>
  <c r="ED86" i="24" s="1"/>
  <c r="EH86" i="24"/>
  <c r="EC33" i="24"/>
  <c r="ED33" i="24" s="1"/>
  <c r="EI33" i="24"/>
  <c r="EX33" i="24" s="1"/>
  <c r="EH33" i="24"/>
  <c r="EI45" i="24"/>
  <c r="EX45" i="24" s="1"/>
  <c r="EH45" i="24"/>
  <c r="EC45" i="24"/>
  <c r="ED45" i="24" s="1"/>
  <c r="EH105" i="24"/>
  <c r="EI105" i="24"/>
  <c r="EX105" i="24" s="1"/>
  <c r="EC105" i="24"/>
  <c r="ED105" i="24" s="1"/>
  <c r="EH120" i="24"/>
  <c r="EI120" i="24"/>
  <c r="EX120" i="24" s="1"/>
  <c r="EC120" i="24"/>
  <c r="ED120" i="24" s="1"/>
  <c r="EI27" i="24"/>
  <c r="EX27" i="24" s="1"/>
  <c r="EC27" i="24"/>
  <c r="ED27" i="24" s="1"/>
  <c r="EH27" i="24"/>
  <c r="EH97" i="24"/>
  <c r="EI97" i="24"/>
  <c r="EX97" i="24" s="1"/>
  <c r="EC97" i="24"/>
  <c r="ED97" i="24" s="1"/>
  <c r="EH100" i="24"/>
  <c r="EC100" i="24"/>
  <c r="ED100" i="24" s="1"/>
  <c r="EI100" i="24"/>
  <c r="EX100" i="24" s="1"/>
  <c r="EH61" i="24"/>
  <c r="EC61" i="24"/>
  <c r="ED61" i="24" s="1"/>
  <c r="EI61" i="24"/>
  <c r="EX61" i="24" s="1"/>
  <c r="EH84" i="24"/>
  <c r="EC84" i="24"/>
  <c r="ED84" i="24" s="1"/>
  <c r="EI84" i="24"/>
  <c r="EX84" i="24" s="1"/>
  <c r="EC197" i="24"/>
  <c r="ED197" i="24" s="1"/>
  <c r="EI197" i="24"/>
  <c r="EX197" i="24" s="1"/>
  <c r="EH197" i="24"/>
  <c r="EC21" i="24"/>
  <c r="ED21" i="24" s="1"/>
  <c r="EH21" i="24"/>
  <c r="EI21" i="24"/>
  <c r="EX21" i="24" s="1"/>
  <c r="EI139" i="24"/>
  <c r="EX139" i="24" s="1"/>
  <c r="EC139" i="24"/>
  <c r="ED139" i="24" s="1"/>
  <c r="EH139" i="24"/>
  <c r="EC20" i="24"/>
  <c r="ED20" i="24" s="1"/>
  <c r="EI20" i="24"/>
  <c r="EX20" i="24" s="1"/>
  <c r="EH20" i="24"/>
  <c r="EH26" i="24"/>
  <c r="EC26" i="24"/>
  <c r="ED26" i="24" s="1"/>
  <c r="EI26" i="24"/>
  <c r="EX26" i="24" s="1"/>
  <c r="EI154" i="24"/>
  <c r="EX154" i="24" s="1"/>
  <c r="EH154" i="24"/>
  <c r="EC154" i="24"/>
  <c r="ED154" i="24" s="1"/>
  <c r="EC17" i="24"/>
  <c r="ED17" i="24" s="1"/>
  <c r="EI17" i="24"/>
  <c r="EX17" i="24" s="1"/>
  <c r="EH17" i="24"/>
  <c r="EI35" i="24"/>
  <c r="EX35" i="24" s="1"/>
  <c r="EH35" i="24"/>
  <c r="EC35" i="24"/>
  <c r="ED35" i="24" s="1"/>
  <c r="EI70" i="24"/>
  <c r="EX70" i="24" s="1"/>
  <c r="EH70" i="24"/>
  <c r="EC70" i="24"/>
  <c r="ED70" i="24" s="1"/>
  <c r="EH138" i="24"/>
  <c r="EI138" i="24"/>
  <c r="EX138" i="24" s="1"/>
  <c r="EC138" i="24"/>
  <c r="ED138" i="24" s="1"/>
  <c r="EI119" i="24"/>
  <c r="EX119" i="24" s="1"/>
  <c r="EC119" i="24"/>
  <c r="ED119" i="24" s="1"/>
  <c r="EH119" i="24"/>
  <c r="EI18" i="24"/>
  <c r="EX18" i="24" s="1"/>
  <c r="EH18" i="24"/>
  <c r="EC18" i="24"/>
  <c r="ED18" i="24" s="1"/>
  <c r="EC184" i="24"/>
  <c r="ED184" i="24" s="1"/>
  <c r="EI184" i="24"/>
  <c r="EX184" i="24" s="1"/>
  <c r="EH184" i="24"/>
  <c r="EC189" i="24"/>
  <c r="ED189" i="24" s="1"/>
  <c r="EH189" i="24"/>
  <c r="EI189" i="24"/>
  <c r="EX189" i="24" s="1"/>
  <c r="EH158" i="24"/>
  <c r="EI158" i="24"/>
  <c r="EX158" i="24" s="1"/>
  <c r="EC158" i="24"/>
  <c r="ED158" i="24" s="1"/>
  <c r="EI167" i="24"/>
  <c r="EX167" i="24" s="1"/>
  <c r="EH167" i="24"/>
  <c r="EC167" i="24"/>
  <c r="ED167" i="24" s="1"/>
  <c r="EH188" i="24"/>
  <c r="EC188" i="24"/>
  <c r="ED188" i="24" s="1"/>
  <c r="EI188" i="24"/>
  <c r="EX188" i="24" s="1"/>
  <c r="EH50" i="24"/>
  <c r="EC50" i="24"/>
  <c r="ED50" i="24" s="1"/>
  <c r="EI50" i="24"/>
  <c r="EX50" i="24" s="1"/>
  <c r="EH122" i="24"/>
  <c r="EI122" i="24"/>
  <c r="EX122" i="24" s="1"/>
  <c r="EC122" i="24"/>
  <c r="ED122" i="24" s="1"/>
  <c r="EI161" i="24"/>
  <c r="EX161" i="24" s="1"/>
  <c r="EH161" i="24"/>
  <c r="EC161" i="24"/>
  <c r="ED161" i="24" s="1"/>
  <c r="EC168" i="24"/>
  <c r="ED168" i="24" s="1"/>
  <c r="EH168" i="24"/>
  <c r="EI168" i="24"/>
  <c r="EX168" i="24" s="1"/>
  <c r="EC174" i="24"/>
  <c r="ED174" i="24" s="1"/>
  <c r="EH174" i="24"/>
  <c r="EI174" i="24"/>
  <c r="EX174" i="24" s="1"/>
  <c r="EC141" i="24"/>
  <c r="ED141" i="24" s="1"/>
  <c r="EH141" i="24"/>
  <c r="EI141" i="24"/>
  <c r="EX141" i="24" s="1"/>
  <c r="EH191" i="24"/>
  <c r="EI191" i="24"/>
  <c r="EX191" i="24" s="1"/>
  <c r="EC191" i="24"/>
  <c r="ED191" i="24" s="1"/>
  <c r="EC112" i="24"/>
  <c r="ED112" i="24" s="1"/>
  <c r="EI112" i="24"/>
  <c r="EX112" i="24" s="1"/>
  <c r="EH112" i="24"/>
  <c r="EI150" i="24"/>
  <c r="EX150" i="24" s="1"/>
  <c r="EH150" i="24"/>
  <c r="EC150" i="24"/>
  <c r="ED150" i="24" s="1"/>
  <c r="EC204" i="24"/>
  <c r="ED204" i="24" s="1"/>
  <c r="EH204" i="24"/>
  <c r="EI204" i="24"/>
  <c r="EX204" i="24" s="1"/>
  <c r="EH166" i="24"/>
  <c r="EC166" i="24"/>
  <c r="ED166" i="24" s="1"/>
  <c r="EI166" i="24"/>
  <c r="EX166" i="24" s="1"/>
  <c r="EH59" i="24"/>
  <c r="EC59" i="24"/>
  <c r="ED59" i="24" s="1"/>
  <c r="EI59" i="24"/>
  <c r="EX59" i="24" s="1"/>
  <c r="EH196" i="24"/>
  <c r="EI196" i="24"/>
  <c r="EX196" i="24" s="1"/>
  <c r="EC196" i="24"/>
  <c r="ED196" i="24" s="1"/>
  <c r="EH38" i="24"/>
  <c r="EI38" i="24"/>
  <c r="EX38" i="24" s="1"/>
  <c r="EC38" i="24"/>
  <c r="ED38" i="24" s="1"/>
  <c r="EI183" i="24"/>
  <c r="EX183" i="24" s="1"/>
  <c r="EC183" i="24"/>
  <c r="ED183" i="24" s="1"/>
  <c r="EH183" i="24"/>
  <c r="EH200" i="24"/>
  <c r="EC200" i="24"/>
  <c r="ED200" i="24" s="1"/>
  <c r="EI200" i="24"/>
  <c r="EX200" i="24" s="1"/>
  <c r="EI98" i="24"/>
  <c r="EX98" i="24" s="1"/>
  <c r="EC98" i="24"/>
  <c r="ED98" i="24" s="1"/>
  <c r="EH98" i="24"/>
  <c r="EH87" i="24"/>
  <c r="EI87" i="24"/>
  <c r="EX87" i="24" s="1"/>
  <c r="EC87" i="24"/>
  <c r="ED87" i="24" s="1"/>
  <c r="EH117" i="24"/>
  <c r="EI117" i="24"/>
  <c r="EX117" i="24" s="1"/>
  <c r="EC117" i="24"/>
  <c r="ED117" i="24" s="1"/>
  <c r="EI15" i="24"/>
  <c r="EX15" i="24" s="1"/>
  <c r="EH15" i="24"/>
  <c r="EC15" i="24"/>
  <c r="ED15" i="24" s="1"/>
  <c r="EH185" i="24"/>
  <c r="EI185" i="24"/>
  <c r="EX185" i="24" s="1"/>
  <c r="EC185" i="24"/>
  <c r="ED185" i="24" s="1"/>
  <c r="EI16" i="24"/>
  <c r="EX16" i="24" s="1"/>
  <c r="EC16" i="24"/>
  <c r="ED16" i="24" s="1"/>
  <c r="EH16" i="24"/>
  <c r="EH202" i="24"/>
  <c r="EC202" i="24"/>
  <c r="ED202" i="24" s="1"/>
  <c r="EI202" i="24"/>
  <c r="EX202" i="24" s="1"/>
  <c r="EI177" i="24"/>
  <c r="EX177" i="24" s="1"/>
  <c r="EH177" i="24"/>
  <c r="EC177" i="24"/>
  <c r="ED177" i="24" s="1"/>
  <c r="EH195" i="24"/>
  <c r="EC195" i="24"/>
  <c r="ED195" i="24" s="1"/>
  <c r="EI195" i="24"/>
  <c r="EX195" i="24" s="1"/>
  <c r="EI153" i="24"/>
  <c r="EX153" i="24" s="1"/>
  <c r="EH153" i="24"/>
  <c r="EC153" i="24"/>
  <c r="ED153" i="24" s="1"/>
  <c r="EH94" i="24"/>
  <c r="EC94" i="24"/>
  <c r="ED94" i="24" s="1"/>
  <c r="EI94" i="24"/>
  <c r="EX94" i="24" s="1"/>
  <c r="EC178" i="24"/>
  <c r="ED178" i="24" s="1"/>
  <c r="EI178" i="24"/>
  <c r="EX178" i="24" s="1"/>
  <c r="EH178" i="24"/>
  <c r="EC210" i="24"/>
  <c r="ED210" i="24" s="1"/>
  <c r="EI210" i="24"/>
  <c r="EX210" i="24" s="1"/>
  <c r="EH210" i="24"/>
  <c r="EC171" i="24"/>
  <c r="ED171" i="24" s="1"/>
  <c r="EI171" i="24"/>
  <c r="EX171" i="24" s="1"/>
  <c r="EH171" i="24"/>
  <c r="EC57" i="24"/>
  <c r="ED57" i="24" s="1"/>
  <c r="EH57" i="24"/>
  <c r="EI57" i="24"/>
  <c r="EX57" i="24" s="1"/>
  <c r="EC88" i="24"/>
  <c r="ED88" i="24" s="1"/>
  <c r="EH88" i="24"/>
  <c r="EI88" i="24"/>
  <c r="EX88" i="24" s="1"/>
  <c r="EH155" i="24"/>
  <c r="EI155" i="24"/>
  <c r="EX155" i="24" s="1"/>
  <c r="EC155" i="24"/>
  <c r="ED155" i="24" s="1"/>
  <c r="EH145" i="24"/>
  <c r="EC145" i="24"/>
  <c r="ED145" i="24" s="1"/>
  <c r="EI145" i="24"/>
  <c r="EX145" i="24" s="1"/>
  <c r="EH58" i="24"/>
  <c r="EI58" i="24"/>
  <c r="EX58" i="24" s="1"/>
  <c r="EC58" i="24"/>
  <c r="ED58" i="24" s="1"/>
  <c r="EH114" i="24"/>
  <c r="EC114" i="24"/>
  <c r="ED114" i="24" s="1"/>
  <c r="EI114" i="24"/>
  <c r="EX114" i="24" s="1"/>
  <c r="EH209" i="24"/>
  <c r="EC209" i="24"/>
  <c r="ED209" i="24" s="1"/>
  <c r="EI209" i="24"/>
  <c r="EX209" i="24" s="1"/>
  <c r="EC182" i="24"/>
  <c r="ED182" i="24" s="1"/>
  <c r="EI182" i="24"/>
  <c r="EX182" i="24" s="1"/>
  <c r="EH182" i="24"/>
  <c r="EH123" i="24"/>
  <c r="EC123" i="24"/>
  <c r="ED123" i="24" s="1"/>
  <c r="EI123" i="24"/>
  <c r="EX123" i="24" s="1"/>
  <c r="EC128" i="24"/>
  <c r="ED128" i="24" s="1"/>
  <c r="EI128" i="24"/>
  <c r="EX128" i="24" s="1"/>
  <c r="EH128" i="24"/>
  <c r="EC187" i="24"/>
  <c r="ED187" i="24" s="1"/>
  <c r="EI187" i="24"/>
  <c r="EX187" i="24" s="1"/>
  <c r="EH187" i="24"/>
  <c r="EC131" i="24"/>
  <c r="ED131" i="24" s="1"/>
  <c r="EI131" i="24"/>
  <c r="EX131" i="24" s="1"/>
  <c r="EH131" i="24"/>
  <c r="EH89" i="24"/>
  <c r="EC89" i="24"/>
  <c r="ED89" i="24" s="1"/>
  <c r="EI89" i="24"/>
  <c r="EX89" i="24" s="1"/>
  <c r="EH144" i="24"/>
  <c r="EC144" i="24"/>
  <c r="ED144" i="24" s="1"/>
  <c r="EI144" i="24"/>
  <c r="EX144" i="24" s="1"/>
  <c r="EC75" i="24"/>
  <c r="ED75" i="24" s="1"/>
  <c r="EH75" i="24"/>
  <c r="EI75" i="24"/>
  <c r="EX75" i="24" s="1"/>
  <c r="EC162" i="24"/>
  <c r="ED162" i="24" s="1"/>
  <c r="EI162" i="24"/>
  <c r="EX162" i="24" s="1"/>
  <c r="EH162" i="24"/>
  <c r="EH203" i="24"/>
  <c r="EC203" i="24"/>
  <c r="ED203" i="24" s="1"/>
  <c r="EI203" i="24"/>
  <c r="EX203" i="24" s="1"/>
  <c r="EC149" i="24"/>
  <c r="ED149" i="24" s="1"/>
  <c r="EI149" i="24"/>
  <c r="EX149" i="24" s="1"/>
  <c r="EH149" i="24"/>
  <c r="EC140" i="24"/>
  <c r="ED140" i="24" s="1"/>
  <c r="EI140" i="24"/>
  <c r="EX140" i="24" s="1"/>
  <c r="EH140" i="24"/>
  <c r="EI36" i="24"/>
  <c r="EX36" i="24" s="1"/>
  <c r="EH36" i="24"/>
  <c r="EC36" i="24"/>
  <c r="ED36" i="24" s="1"/>
  <c r="EC103" i="24"/>
  <c r="ED103" i="24" s="1"/>
  <c r="EH103" i="24"/>
  <c r="EI103" i="24"/>
  <c r="EX103" i="24" s="1"/>
  <c r="EH76" i="24"/>
  <c r="EC76" i="24"/>
  <c r="ED76" i="24" s="1"/>
  <c r="EI76" i="24"/>
  <c r="EX76" i="24" s="1"/>
  <c r="EW190" i="24"/>
  <c r="FB190" i="24" s="1"/>
  <c r="EK190" i="24"/>
  <c r="EI73" i="24"/>
  <c r="EX73" i="24" s="1"/>
  <c r="EC73" i="24"/>
  <c r="ED73" i="24" s="1"/>
  <c r="EH73" i="24"/>
  <c r="EI53" i="24"/>
  <c r="EX53" i="24" s="1"/>
  <c r="EC53" i="24"/>
  <c r="ED53" i="24" s="1"/>
  <c r="EH53" i="24"/>
  <c r="EC93" i="24"/>
  <c r="ED93" i="24" s="1"/>
  <c r="EI93" i="24"/>
  <c r="EX93" i="24" s="1"/>
  <c r="EH93" i="24"/>
  <c r="EH31" i="24"/>
  <c r="EI31" i="24"/>
  <c r="EX31" i="24" s="1"/>
  <c r="EC31" i="24"/>
  <c r="ED31" i="24" s="1"/>
  <c r="EH6" i="24"/>
  <c r="EI6" i="24"/>
  <c r="EX6" i="24" s="1"/>
  <c r="EC6" i="24"/>
  <c r="ED6" i="24" s="1"/>
  <c r="EI118" i="24"/>
  <c r="EX118" i="24" s="1"/>
  <c r="EH118" i="24"/>
  <c r="EC118" i="24"/>
  <c r="ED118" i="24" s="1"/>
  <c r="EI34" i="24"/>
  <c r="EX34" i="24" s="1"/>
  <c r="EH34" i="24"/>
  <c r="EC34" i="24"/>
  <c r="ED34" i="24" s="1"/>
  <c r="EH7" i="24"/>
  <c r="EC7" i="24"/>
  <c r="ED7" i="24" s="1"/>
  <c r="EI7" i="24"/>
  <c r="EX7" i="24" s="1"/>
  <c r="EI135" i="24"/>
  <c r="EX135" i="24" s="1"/>
  <c r="EH135" i="24"/>
  <c r="EC135" i="24"/>
  <c r="ED135" i="24" s="1"/>
  <c r="EC193" i="24"/>
  <c r="ED193" i="24" s="1"/>
  <c r="EI193" i="24"/>
  <c r="EX193" i="24" s="1"/>
  <c r="EH193" i="24"/>
  <c r="EI130" i="24"/>
  <c r="EX130" i="24" s="1"/>
  <c r="EC130" i="24"/>
  <c r="ED130" i="24" s="1"/>
  <c r="EH130" i="24"/>
  <c r="EC208" i="24"/>
  <c r="ED208" i="24" s="1"/>
  <c r="EI208" i="24"/>
  <c r="EX208" i="24" s="1"/>
  <c r="EH208" i="24"/>
  <c r="EC207" i="24"/>
  <c r="ED207" i="24" s="1"/>
  <c r="EI207" i="24"/>
  <c r="EX207" i="24" s="1"/>
  <c r="EH207" i="24"/>
  <c r="EI47" i="24"/>
  <c r="EX47" i="24" s="1"/>
  <c r="EH47" i="24"/>
  <c r="EC47" i="24"/>
  <c r="ED47" i="24" s="1"/>
  <c r="EH176" i="24"/>
  <c r="EC176" i="24"/>
  <c r="ED176" i="24" s="1"/>
  <c r="EI176" i="24"/>
  <c r="EX176" i="24" s="1"/>
  <c r="EC194" i="24"/>
  <c r="ED194" i="24" s="1"/>
  <c r="EH194" i="24"/>
  <c r="EI194" i="24"/>
  <c r="EX194" i="24" s="1"/>
  <c r="EH80" i="24"/>
  <c r="EI80" i="24"/>
  <c r="EX80" i="24" s="1"/>
  <c r="EC80" i="24"/>
  <c r="ED80" i="24" s="1"/>
  <c r="EC22" i="24"/>
  <c r="ED22" i="24" s="1"/>
  <c r="EI22" i="24"/>
  <c r="EX22" i="24" s="1"/>
  <c r="EH22" i="24"/>
  <c r="EI41" i="24"/>
  <c r="EX41" i="24" s="1"/>
  <c r="EC41" i="24"/>
  <c r="ED41" i="24" s="1"/>
  <c r="EH41" i="24"/>
  <c r="EI85" i="24"/>
  <c r="EX85" i="24" s="1"/>
  <c r="EC85" i="24"/>
  <c r="ED85" i="24" s="1"/>
  <c r="EH85" i="24"/>
  <c r="EI19" i="24"/>
  <c r="EX19" i="24" s="1"/>
  <c r="EC19" i="24"/>
  <c r="ED19" i="24" s="1"/>
  <c r="EH19" i="24"/>
  <c r="EC95" i="24"/>
  <c r="ED95" i="24" s="1"/>
  <c r="EH95" i="24"/>
  <c r="EI95" i="24"/>
  <c r="EX95" i="24" s="1"/>
  <c r="EI65" i="24"/>
  <c r="EX65" i="24" s="1"/>
  <c r="EC65" i="24"/>
  <c r="ED65" i="24" s="1"/>
  <c r="EH65" i="24"/>
  <c r="EC101" i="24"/>
  <c r="ED101" i="24" s="1"/>
  <c r="EH101" i="24"/>
  <c r="EI101" i="24"/>
  <c r="EX101" i="24" s="1"/>
  <c r="EC163" i="24"/>
  <c r="ED163" i="24" s="1"/>
  <c r="EH163" i="24"/>
  <c r="EI163" i="24"/>
  <c r="EX163" i="24" s="1"/>
  <c r="EH8" i="24"/>
  <c r="EC8" i="24"/>
  <c r="ED8" i="24" s="1"/>
  <c r="EI8" i="24"/>
  <c r="EX8" i="24" s="1"/>
  <c r="EC165" i="24"/>
  <c r="ED165" i="24" s="1"/>
  <c r="EI165" i="24"/>
  <c r="EX165" i="24" s="1"/>
  <c r="EH165" i="24"/>
  <c r="EI49" i="24"/>
  <c r="EX49" i="24" s="1"/>
  <c r="EC49" i="24"/>
  <c r="ED49" i="24" s="1"/>
  <c r="EH49" i="24"/>
  <c r="EC205" i="24"/>
  <c r="ED205" i="24" s="1"/>
  <c r="EI205" i="24"/>
  <c r="EX205" i="24" s="1"/>
  <c r="EH205" i="24"/>
  <c r="EH68" i="24"/>
  <c r="EI68" i="24"/>
  <c r="EX68" i="24" s="1"/>
  <c r="EC68" i="24"/>
  <c r="ED68" i="24" s="1"/>
  <c r="EH175" i="24"/>
  <c r="EC175" i="24"/>
  <c r="ED175" i="24" s="1"/>
  <c r="EI175" i="24"/>
  <c r="EX175" i="24" s="1"/>
  <c r="EI42" i="24"/>
  <c r="EX42" i="24" s="1"/>
  <c r="EH42" i="24"/>
  <c r="EC42" i="24"/>
  <c r="ED42" i="24" s="1"/>
  <c r="EC143" i="24"/>
  <c r="ED143" i="24" s="1"/>
  <c r="EI143" i="24"/>
  <c r="EX143" i="24" s="1"/>
  <c r="EH143" i="24"/>
  <c r="EI173" i="24"/>
  <c r="EX173" i="24" s="1"/>
  <c r="EH173" i="24"/>
  <c r="EC173" i="24"/>
  <c r="ED173" i="24" s="1"/>
  <c r="EC54" i="24"/>
  <c r="ED54" i="24" s="1"/>
  <c r="EI54" i="24"/>
  <c r="EX54" i="24" s="1"/>
  <c r="EH54" i="24"/>
  <c r="EI11" i="24"/>
  <c r="EX11" i="24" s="1"/>
  <c r="EC11" i="24"/>
  <c r="ED11" i="24" s="1"/>
  <c r="EH11" i="24"/>
  <c r="EC102" i="24"/>
  <c r="ED102" i="24" s="1"/>
  <c r="EI102" i="24"/>
  <c r="EX102" i="24" s="1"/>
  <c r="EH102" i="24"/>
  <c r="EH156" i="24"/>
  <c r="EC156" i="24"/>
  <c r="ED156" i="24" s="1"/>
  <c r="EI156" i="24"/>
  <c r="EX156" i="24" s="1"/>
  <c r="EC179" i="24"/>
  <c r="ED179" i="24" s="1"/>
  <c r="EI179" i="24"/>
  <c r="EX179" i="24" s="1"/>
  <c r="EH179" i="24"/>
  <c r="EC148" i="24"/>
  <c r="ED148" i="24" s="1"/>
  <c r="EH148" i="24"/>
  <c r="EI148" i="24"/>
  <c r="EX148" i="24" s="1"/>
  <c r="EI51" i="24"/>
  <c r="EX51" i="24" s="1"/>
  <c r="EC51" i="24"/>
  <c r="ED51" i="24" s="1"/>
  <c r="EH51" i="24"/>
  <c r="EH32" i="24"/>
  <c r="EI32" i="24"/>
  <c r="EX32" i="24" s="1"/>
  <c r="EC32" i="24"/>
  <c r="ED32" i="24" s="1"/>
  <c r="EI64" i="24"/>
  <c r="EX64" i="24" s="1"/>
  <c r="EH64" i="24"/>
  <c r="EC64" i="24"/>
  <c r="ED64" i="24" s="1"/>
  <c r="EH198" i="24"/>
  <c r="EC198" i="24"/>
  <c r="ED198" i="24" s="1"/>
  <c r="EI198" i="24"/>
  <c r="EX198" i="24" s="1"/>
  <c r="EC24" i="24"/>
  <c r="ED24" i="24" s="1"/>
  <c r="EH24" i="24"/>
  <c r="EI24" i="24"/>
  <c r="EX24" i="24" s="1"/>
  <c r="EI129" i="24"/>
  <c r="EX129" i="24" s="1"/>
  <c r="EH129" i="24"/>
  <c r="EC129" i="24"/>
  <c r="ED129" i="24" s="1"/>
  <c r="EC164" i="24"/>
  <c r="ED164" i="24" s="1"/>
  <c r="EI164" i="24"/>
  <c r="EX164" i="24" s="1"/>
  <c r="EH164" i="24"/>
  <c r="EI12" i="24"/>
  <c r="EX12" i="24" s="1"/>
  <c r="EH12" i="24"/>
  <c r="EC12" i="24"/>
  <c r="ED12" i="24" s="1"/>
  <c r="EC25" i="24"/>
  <c r="ED25" i="24" s="1"/>
  <c r="EH25" i="24"/>
  <c r="EI25" i="24"/>
  <c r="EX25" i="24" s="1"/>
  <c r="EC66" i="24"/>
  <c r="ED66" i="24" s="1"/>
  <c r="EI66" i="24"/>
  <c r="EX66" i="24" s="1"/>
  <c r="EH66" i="24"/>
  <c r="EC56" i="24"/>
  <c r="ED56" i="24" s="1"/>
  <c r="EH56" i="24"/>
  <c r="EI56" i="24"/>
  <c r="EX56" i="24" s="1"/>
  <c r="EH125" i="24"/>
  <c r="EC125" i="24"/>
  <c r="ED125" i="24" s="1"/>
  <c r="EI125" i="24"/>
  <c r="EX125" i="24" s="1"/>
  <c r="EH181" i="24"/>
  <c r="EI181" i="24"/>
  <c r="EX181" i="24" s="1"/>
  <c r="EC181" i="24"/>
  <c r="ED181" i="24" s="1"/>
  <c r="EI180" i="24"/>
  <c r="EX180" i="24" s="1"/>
  <c r="EH180" i="24"/>
  <c r="EC180" i="24"/>
  <c r="ED180" i="24" s="1"/>
  <c r="EI157" i="24"/>
  <c r="EX157" i="24" s="1"/>
  <c r="EH157" i="24"/>
  <c r="EC157" i="24"/>
  <c r="ED157" i="24" s="1"/>
  <c r="EI82" i="24"/>
  <c r="EX82" i="24" s="1"/>
  <c r="EH82" i="24"/>
  <c r="EC82" i="24"/>
  <c r="ED82" i="24" s="1"/>
  <c r="EC151" i="24"/>
  <c r="ED151" i="24" s="1"/>
  <c r="EH151" i="24"/>
  <c r="EI151" i="24"/>
  <c r="EX151" i="24" s="1"/>
  <c r="EI9" i="24"/>
  <c r="EX9" i="24" s="1"/>
  <c r="EC9" i="24"/>
  <c r="ED9" i="24" s="1"/>
  <c r="EH9" i="24"/>
  <c r="EC206" i="24"/>
  <c r="ED206" i="24" s="1"/>
  <c r="EH206" i="24"/>
  <c r="EI206" i="24"/>
  <c r="EX206" i="24" s="1"/>
  <c r="EI137" i="24"/>
  <c r="EX137" i="24" s="1"/>
  <c r="EH137" i="24"/>
  <c r="EC137" i="24"/>
  <c r="ED137" i="24" s="1"/>
  <c r="EC146" i="24"/>
  <c r="ED146" i="24" s="1"/>
  <c r="EI146" i="24"/>
  <c r="EX146" i="24" s="1"/>
  <c r="EH146" i="24"/>
  <c r="EI69" i="24"/>
  <c r="EX69" i="24" s="1"/>
  <c r="EH69" i="24"/>
  <c r="EC69" i="24"/>
  <c r="ED69" i="24" s="1"/>
  <c r="EH28" i="24"/>
  <c r="EC28" i="24"/>
  <c r="ED28" i="24" s="1"/>
  <c r="EI28" i="24"/>
  <c r="EX28" i="24" s="1"/>
  <c r="AZ106" i="19"/>
  <c r="BL106" i="19" s="1"/>
  <c r="BM106" i="19" s="1"/>
  <c r="BZ106" i="19" s="1"/>
  <c r="BK106" i="19"/>
  <c r="B289" i="2"/>
  <c r="BI106" i="19"/>
  <c r="BJ106" i="19"/>
  <c r="BC106" i="19"/>
  <c r="BB106" i="19"/>
  <c r="BD106" i="19"/>
  <c r="BG106" i="19"/>
  <c r="BU106" i="19"/>
  <c r="CA106" i="19" s="1"/>
  <c r="BH106" i="19"/>
  <c r="BA106" i="19"/>
  <c r="BF106" i="19"/>
  <c r="BS106" i="19"/>
  <c r="BE106" i="19"/>
  <c r="EI216" i="25" l="1"/>
  <c r="EP216" i="25" s="1"/>
  <c r="FB216" i="25"/>
  <c r="EK96" i="24"/>
  <c r="EQ96" i="24" s="1"/>
  <c r="ER96" i="24" s="1"/>
  <c r="EK92" i="24"/>
  <c r="EQ92" i="24" s="1"/>
  <c r="ER92" i="24" s="1"/>
  <c r="EZ96" i="24"/>
  <c r="FB96" i="24" s="1"/>
  <c r="EP212" i="25"/>
  <c r="FC212" i="25"/>
  <c r="FE212" i="25" s="1"/>
  <c r="FF212" i="25" s="1"/>
  <c r="EW243" i="24"/>
  <c r="FB243" i="24" s="1"/>
  <c r="EK67" i="24"/>
  <c r="EQ67" i="24" s="1"/>
  <c r="ER67" i="24" s="1"/>
  <c r="EK159" i="24"/>
  <c r="ER159" i="24" s="1"/>
  <c r="EW132" i="24"/>
  <c r="FB132" i="24" s="1"/>
  <c r="O110" i="24"/>
  <c r="BZ110" i="24" s="1"/>
  <c r="EW285" i="24"/>
  <c r="FB285" i="24" s="1"/>
  <c r="EZ92" i="24"/>
  <c r="FB92" i="24" s="1"/>
  <c r="EZ78" i="24"/>
  <c r="FB78" i="24" s="1"/>
  <c r="EK78" i="24"/>
  <c r="EQ78" i="24" s="1"/>
  <c r="ER78" i="24" s="1"/>
  <c r="FB242" i="24"/>
  <c r="EK60" i="24"/>
  <c r="EQ60" i="24" s="1"/>
  <c r="EZ60" i="24"/>
  <c r="FB60" i="24" s="1"/>
  <c r="FB136" i="25"/>
  <c r="EK77" i="24"/>
  <c r="EQ77" i="24" s="1"/>
  <c r="ER77" i="24" s="1"/>
  <c r="EK74" i="24"/>
  <c r="EQ74" i="24" s="1"/>
  <c r="ER74" i="24" s="1"/>
  <c r="FC216" i="24"/>
  <c r="FE216" i="24" s="1"/>
  <c r="FF216" i="24" s="1"/>
  <c r="ER216" i="24"/>
  <c r="BK216" i="24"/>
  <c r="K216" i="24"/>
  <c r="ER285" i="24"/>
  <c r="EW245" i="24"/>
  <c r="FB245" i="24" s="1"/>
  <c r="EK245" i="24"/>
  <c r="EW225" i="24"/>
  <c r="FB225" i="24" s="1"/>
  <c r="EK225" i="24"/>
  <c r="EW279" i="24"/>
  <c r="FB279" i="24" s="1"/>
  <c r="EK279" i="24"/>
  <c r="EK229" i="24"/>
  <c r="EW229" i="24"/>
  <c r="FB229" i="24" s="1"/>
  <c r="EW278" i="24"/>
  <c r="FB278" i="24" s="1"/>
  <c r="EK278" i="24"/>
  <c r="EK301" i="24"/>
  <c r="EW301" i="24"/>
  <c r="FB301" i="24" s="1"/>
  <c r="EK248" i="24"/>
  <c r="EW248" i="24"/>
  <c r="FB248" i="24" s="1"/>
  <c r="EK271" i="24"/>
  <c r="EW271" i="24"/>
  <c r="FB271" i="24" s="1"/>
  <c r="EK219" i="24"/>
  <c r="EW219" i="24"/>
  <c r="FB219" i="24" s="1"/>
  <c r="EK263" i="24"/>
  <c r="EW263" i="24"/>
  <c r="FB263" i="24" s="1"/>
  <c r="EK284" i="24"/>
  <c r="EW284" i="24"/>
  <c r="FB284" i="24" s="1"/>
  <c r="EW268" i="24"/>
  <c r="FB268" i="24" s="1"/>
  <c r="EK268" i="24"/>
  <c r="EW310" i="24"/>
  <c r="FB310" i="24" s="1"/>
  <c r="EK310" i="24"/>
  <c r="EK294" i="24"/>
  <c r="EW294" i="24"/>
  <c r="FB294" i="24" s="1"/>
  <c r="EK275" i="24"/>
  <c r="EW275" i="24"/>
  <c r="FB275" i="24" s="1"/>
  <c r="EW249" i="24"/>
  <c r="FB249" i="24" s="1"/>
  <c r="EK249" i="24"/>
  <c r="EK258" i="24"/>
  <c r="EW258" i="24"/>
  <c r="FB258" i="24" s="1"/>
  <c r="EK230" i="24"/>
  <c r="EW230" i="24"/>
  <c r="FB230" i="24" s="1"/>
  <c r="EW306" i="24"/>
  <c r="FB306" i="24" s="1"/>
  <c r="EK306" i="24"/>
  <c r="EW298" i="24"/>
  <c r="FB298" i="24" s="1"/>
  <c r="EK298" i="24"/>
  <c r="EK282" i="24"/>
  <c r="EW282" i="24"/>
  <c r="FB282" i="24" s="1"/>
  <c r="EW270" i="24"/>
  <c r="FB270" i="24" s="1"/>
  <c r="EK270" i="24"/>
  <c r="EK264" i="24"/>
  <c r="EW264" i="24"/>
  <c r="FB264" i="24" s="1"/>
  <c r="EW253" i="24"/>
  <c r="FB253" i="24" s="1"/>
  <c r="EK253" i="24"/>
  <c r="EK267" i="24"/>
  <c r="EW267" i="24"/>
  <c r="FB267" i="24" s="1"/>
  <c r="EW316" i="24"/>
  <c r="FB316" i="24" s="1"/>
  <c r="EK316" i="24"/>
  <c r="EK224" i="24"/>
  <c r="EW224" i="24"/>
  <c r="FB224" i="24" s="1"/>
  <c r="EW251" i="24"/>
  <c r="FB251" i="24" s="1"/>
  <c r="EK251" i="24"/>
  <c r="EW289" i="24"/>
  <c r="FB289" i="24" s="1"/>
  <c r="EK289" i="24"/>
  <c r="EK238" i="24"/>
  <c r="EW238" i="24"/>
  <c r="FB238" i="24" s="1"/>
  <c r="EK246" i="24"/>
  <c r="EW246" i="24"/>
  <c r="FB246" i="24" s="1"/>
  <c r="EK232" i="24"/>
  <c r="EW232" i="24"/>
  <c r="FB232" i="24" s="1"/>
  <c r="EK281" i="24"/>
  <c r="EW281" i="24"/>
  <c r="FB281" i="24" s="1"/>
  <c r="EK233" i="24"/>
  <c r="EW233" i="24"/>
  <c r="FB233" i="24" s="1"/>
  <c r="EW288" i="24"/>
  <c r="FB288" i="24" s="1"/>
  <c r="EK288" i="24"/>
  <c r="EW257" i="24"/>
  <c r="FB257" i="24" s="1"/>
  <c r="EK257" i="24"/>
  <c r="EW255" i="24"/>
  <c r="FB255" i="24" s="1"/>
  <c r="EK255" i="24"/>
  <c r="EK273" i="24"/>
  <c r="EW273" i="24"/>
  <c r="FB273" i="24" s="1"/>
  <c r="EK218" i="24"/>
  <c r="EW218" i="24"/>
  <c r="FB218" i="24" s="1"/>
  <c r="EW262" i="24"/>
  <c r="FB262" i="24" s="1"/>
  <c r="EK262" i="24"/>
  <c r="EK266" i="24"/>
  <c r="EW266" i="24"/>
  <c r="FB266" i="24" s="1"/>
  <c r="ER243" i="24"/>
  <c r="EK261" i="24"/>
  <c r="EW261" i="24"/>
  <c r="FB261" i="24" s="1"/>
  <c r="EK228" i="24"/>
  <c r="EW228" i="24"/>
  <c r="FB228" i="24" s="1"/>
  <c r="EK265" i="24"/>
  <c r="EW265" i="24"/>
  <c r="FB265" i="24" s="1"/>
  <c r="EK244" i="24"/>
  <c r="EW244" i="24"/>
  <c r="FB244" i="24" s="1"/>
  <c r="EK236" i="24"/>
  <c r="EW236" i="24"/>
  <c r="FB236" i="24" s="1"/>
  <c r="EK299" i="24"/>
  <c r="EW299" i="24"/>
  <c r="FB299" i="24" s="1"/>
  <c r="EW304" i="24"/>
  <c r="FB304" i="24" s="1"/>
  <c r="EK304" i="24"/>
  <c r="EK283" i="24"/>
  <c r="EW283" i="24"/>
  <c r="FB283" i="24" s="1"/>
  <c r="EW231" i="24"/>
  <c r="FB231" i="24" s="1"/>
  <c r="EK231" i="24"/>
  <c r="EK280" i="24"/>
  <c r="EW280" i="24"/>
  <c r="FB280" i="24" s="1"/>
  <c r="EK234" i="24"/>
  <c r="EW234" i="24"/>
  <c r="FB234" i="24" s="1"/>
  <c r="EK296" i="24"/>
  <c r="EW296" i="24"/>
  <c r="FB296" i="24" s="1"/>
  <c r="EK239" i="24"/>
  <c r="EW239" i="24"/>
  <c r="FB239" i="24" s="1"/>
  <c r="EW259" i="24"/>
  <c r="FB259" i="24" s="1"/>
  <c r="EK259" i="24"/>
  <c r="EW308" i="24"/>
  <c r="FB308" i="24" s="1"/>
  <c r="EK308" i="24"/>
  <c r="EK222" i="24"/>
  <c r="EW222" i="24"/>
  <c r="FB222" i="24" s="1"/>
  <c r="EK305" i="24"/>
  <c r="EW305" i="24"/>
  <c r="FB305" i="24" s="1"/>
  <c r="EW312" i="24"/>
  <c r="FB312" i="24" s="1"/>
  <c r="EK312" i="24"/>
  <c r="EK313" i="24"/>
  <c r="EW313" i="24"/>
  <c r="FB313" i="24" s="1"/>
  <c r="EK220" i="24"/>
  <c r="EW220" i="24"/>
  <c r="FB220" i="24" s="1"/>
  <c r="EW274" i="24"/>
  <c r="FB274" i="24" s="1"/>
  <c r="EK274" i="24"/>
  <c r="EK240" i="24"/>
  <c r="EW240" i="24"/>
  <c r="FB240" i="24" s="1"/>
  <c r="EK286" i="24"/>
  <c r="EW286" i="24"/>
  <c r="FB286" i="24" s="1"/>
  <c r="EK260" i="24"/>
  <c r="EW260" i="24"/>
  <c r="FB260" i="24" s="1"/>
  <c r="EK217" i="24"/>
  <c r="EW217" i="24"/>
  <c r="FB217" i="24" s="1"/>
  <c r="EW300" i="24"/>
  <c r="FB300" i="24" s="1"/>
  <c r="EK300" i="24"/>
  <c r="EK223" i="24"/>
  <c r="EW223" i="24"/>
  <c r="FB223" i="24" s="1"/>
  <c r="EK309" i="24"/>
  <c r="EW309" i="24"/>
  <c r="FB309" i="24" s="1"/>
  <c r="EK277" i="24"/>
  <c r="EW277" i="24"/>
  <c r="FB277" i="24" s="1"/>
  <c r="EK311" i="24"/>
  <c r="EW311" i="24"/>
  <c r="FB311" i="24" s="1"/>
  <c r="ER242" i="24"/>
  <c r="FC242" i="24"/>
  <c r="FE242" i="24" s="1"/>
  <c r="FF242" i="24" s="1"/>
  <c r="EK227" i="24"/>
  <c r="EW227" i="24"/>
  <c r="FB227" i="24" s="1"/>
  <c r="EW276" i="24"/>
  <c r="FB276" i="24" s="1"/>
  <c r="EK276" i="24"/>
  <c r="EK292" i="24"/>
  <c r="EW292" i="24"/>
  <c r="FB292" i="24" s="1"/>
  <c r="EW235" i="24"/>
  <c r="FB235" i="24" s="1"/>
  <c r="EK235" i="24"/>
  <c r="EK315" i="24"/>
  <c r="EW315" i="24"/>
  <c r="FB315" i="24" s="1"/>
  <c r="EK252" i="24"/>
  <c r="EW252" i="24"/>
  <c r="FB252" i="24" s="1"/>
  <c r="EW293" i="24"/>
  <c r="FB293" i="24" s="1"/>
  <c r="EK293" i="24"/>
  <c r="EW314" i="24"/>
  <c r="FB314" i="24" s="1"/>
  <c r="EK314" i="24"/>
  <c r="EW295" i="24"/>
  <c r="FB295" i="24" s="1"/>
  <c r="EK295" i="24"/>
  <c r="EK269" i="24"/>
  <c r="EW269" i="24"/>
  <c r="FB269" i="24" s="1"/>
  <c r="EW241" i="24"/>
  <c r="FB241" i="24" s="1"/>
  <c r="EK241" i="24"/>
  <c r="EW287" i="24"/>
  <c r="FB287" i="24" s="1"/>
  <c r="EK287" i="24"/>
  <c r="EK297" i="24"/>
  <c r="EW297" i="24"/>
  <c r="FB297" i="24" s="1"/>
  <c r="EK303" i="24"/>
  <c r="EW303" i="24"/>
  <c r="FB303" i="24" s="1"/>
  <c r="EK272" i="24"/>
  <c r="EW272" i="24"/>
  <c r="FB272" i="24" s="1"/>
  <c r="EK256" i="24"/>
  <c r="EW256" i="24"/>
  <c r="FB256" i="24" s="1"/>
  <c r="EK307" i="24"/>
  <c r="EW307" i="24"/>
  <c r="FB307" i="24" s="1"/>
  <c r="EW290" i="24"/>
  <c r="FB290" i="24" s="1"/>
  <c r="EK290" i="24"/>
  <c r="EK226" i="24"/>
  <c r="EW226" i="24"/>
  <c r="FB226" i="24" s="1"/>
  <c r="EW247" i="24"/>
  <c r="FB247" i="24" s="1"/>
  <c r="EK247" i="24"/>
  <c r="EK254" i="24"/>
  <c r="EW254" i="24"/>
  <c r="FB254" i="24" s="1"/>
  <c r="EK221" i="24"/>
  <c r="EW221" i="24"/>
  <c r="FB221" i="24" s="1"/>
  <c r="EW237" i="24"/>
  <c r="FB237" i="24" s="1"/>
  <c r="EK237" i="24"/>
  <c r="EK291" i="24"/>
  <c r="EW291" i="24"/>
  <c r="FB291" i="24" s="1"/>
  <c r="EW302" i="24"/>
  <c r="FB302" i="24" s="1"/>
  <c r="EK302" i="24"/>
  <c r="EK250" i="24"/>
  <c r="EW250" i="24"/>
  <c r="FB250" i="24" s="1"/>
  <c r="EP217" i="25"/>
  <c r="FC217" i="25"/>
  <c r="FE217" i="25" s="1"/>
  <c r="FF217" i="25" s="1"/>
  <c r="EP256" i="25"/>
  <c r="FC256" i="25"/>
  <c r="FE256" i="25" s="1"/>
  <c r="FF256" i="25" s="1"/>
  <c r="EP273" i="25"/>
  <c r="FC273" i="25"/>
  <c r="FE273" i="25" s="1"/>
  <c r="FF273" i="25" s="1"/>
  <c r="FC221" i="25"/>
  <c r="FE221" i="25" s="1"/>
  <c r="FF221" i="25" s="1"/>
  <c r="EP221" i="25"/>
  <c r="FC226" i="25"/>
  <c r="FE226" i="25" s="1"/>
  <c r="FF226" i="25" s="1"/>
  <c r="EP226" i="25"/>
  <c r="EP240" i="25"/>
  <c r="FC240" i="25"/>
  <c r="FE240" i="25" s="1"/>
  <c r="FF240" i="25" s="1"/>
  <c r="EP249" i="25"/>
  <c r="FC249" i="25"/>
  <c r="FE249" i="25" s="1"/>
  <c r="FF249" i="25" s="1"/>
  <c r="FC282" i="25"/>
  <c r="FE282" i="25" s="1"/>
  <c r="FF282" i="25" s="1"/>
  <c r="EP282" i="25"/>
  <c r="EP227" i="25"/>
  <c r="FC227" i="25"/>
  <c r="FE227" i="25" s="1"/>
  <c r="FF227" i="25" s="1"/>
  <c r="EP301" i="25"/>
  <c r="FC301" i="25"/>
  <c r="FE301" i="25" s="1"/>
  <c r="FF301" i="25" s="1"/>
  <c r="FC279" i="25"/>
  <c r="FE279" i="25" s="1"/>
  <c r="FF279" i="25" s="1"/>
  <c r="EP279" i="25"/>
  <c r="FC233" i="25"/>
  <c r="FE233" i="25" s="1"/>
  <c r="FF233" i="25" s="1"/>
  <c r="EP233" i="25"/>
  <c r="EP284" i="25"/>
  <c r="FC284" i="25"/>
  <c r="FE284" i="25" s="1"/>
  <c r="FF284" i="25" s="1"/>
  <c r="FC311" i="25"/>
  <c r="FE311" i="25" s="1"/>
  <c r="FF311" i="25" s="1"/>
  <c r="EP311" i="25"/>
  <c r="EP306" i="25"/>
  <c r="FC306" i="25"/>
  <c r="FE306" i="25" s="1"/>
  <c r="FF306" i="25" s="1"/>
  <c r="EP280" i="25"/>
  <c r="FC280" i="25"/>
  <c r="FE280" i="25" s="1"/>
  <c r="FF280" i="25" s="1"/>
  <c r="FC246" i="25"/>
  <c r="FE246" i="25" s="1"/>
  <c r="FF246" i="25" s="1"/>
  <c r="EP246" i="25"/>
  <c r="EP263" i="25"/>
  <c r="FC263" i="25"/>
  <c r="FE263" i="25" s="1"/>
  <c r="FF263" i="25" s="1"/>
  <c r="EP312" i="25"/>
  <c r="FC312" i="25"/>
  <c r="FE312" i="25" s="1"/>
  <c r="FF312" i="25" s="1"/>
  <c r="FC243" i="25"/>
  <c r="FE243" i="25" s="1"/>
  <c r="FF243" i="25" s="1"/>
  <c r="EP243" i="25"/>
  <c r="EP275" i="25"/>
  <c r="FC275" i="25"/>
  <c r="FE275" i="25" s="1"/>
  <c r="FF275" i="25" s="1"/>
  <c r="EP259" i="25"/>
  <c r="FC259" i="25"/>
  <c r="FE259" i="25" s="1"/>
  <c r="FF259" i="25" s="1"/>
  <c r="EP315" i="25"/>
  <c r="FC315" i="25"/>
  <c r="FE315" i="25" s="1"/>
  <c r="FF315" i="25" s="1"/>
  <c r="EP296" i="25"/>
  <c r="FC296" i="25"/>
  <c r="FE296" i="25" s="1"/>
  <c r="FF296" i="25" s="1"/>
  <c r="EP281" i="25"/>
  <c r="FC281" i="25"/>
  <c r="FE281" i="25" s="1"/>
  <c r="FF281" i="25" s="1"/>
  <c r="EP254" i="25"/>
  <c r="FC254" i="25"/>
  <c r="FE254" i="25" s="1"/>
  <c r="FF254" i="25" s="1"/>
  <c r="EP234" i="25"/>
  <c r="FC234" i="25"/>
  <c r="FE234" i="25" s="1"/>
  <c r="FF234" i="25" s="1"/>
  <c r="EP309" i="25"/>
  <c r="FC309" i="25"/>
  <c r="FE309" i="25" s="1"/>
  <c r="FF309" i="25" s="1"/>
  <c r="EP288" i="25"/>
  <c r="FC288" i="25"/>
  <c r="FE288" i="25" s="1"/>
  <c r="FF288" i="25" s="1"/>
  <c r="FC222" i="25"/>
  <c r="FE222" i="25" s="1"/>
  <c r="FF222" i="25" s="1"/>
  <c r="EP222" i="25"/>
  <c r="EP261" i="25"/>
  <c r="FC261" i="25"/>
  <c r="FE261" i="25" s="1"/>
  <c r="FF261" i="25" s="1"/>
  <c r="EP316" i="25"/>
  <c r="FC316" i="25"/>
  <c r="FE316" i="25" s="1"/>
  <c r="FF316" i="25" s="1"/>
  <c r="EP239" i="25"/>
  <c r="FC239" i="25"/>
  <c r="FE239" i="25" s="1"/>
  <c r="FF239" i="25" s="1"/>
  <c r="EP253" i="25"/>
  <c r="FC253" i="25"/>
  <c r="FE253" i="25" s="1"/>
  <c r="FF253" i="25" s="1"/>
  <c r="FC286" i="25"/>
  <c r="FE286" i="25" s="1"/>
  <c r="FF286" i="25" s="1"/>
  <c r="EP286" i="25"/>
  <c r="EP290" i="25"/>
  <c r="FC290" i="25"/>
  <c r="FE290" i="25" s="1"/>
  <c r="FF290" i="25" s="1"/>
  <c r="EP283" i="25"/>
  <c r="FC283" i="25"/>
  <c r="FE283" i="25" s="1"/>
  <c r="FF283" i="25" s="1"/>
  <c r="EP303" i="25"/>
  <c r="FC303" i="25"/>
  <c r="FE303" i="25" s="1"/>
  <c r="FF303" i="25" s="1"/>
  <c r="EP245" i="25"/>
  <c r="FC245" i="25"/>
  <c r="FE245" i="25" s="1"/>
  <c r="FF245" i="25" s="1"/>
  <c r="FC260" i="25"/>
  <c r="FE260" i="25" s="1"/>
  <c r="FF260" i="25" s="1"/>
  <c r="EP260" i="25"/>
  <c r="FC224" i="25"/>
  <c r="FE224" i="25" s="1"/>
  <c r="FF224" i="25" s="1"/>
  <c r="EP224" i="25"/>
  <c r="EP241" i="25"/>
  <c r="FC241" i="25"/>
  <c r="FE241" i="25" s="1"/>
  <c r="FF241" i="25" s="1"/>
  <c r="FC271" i="25"/>
  <c r="FE271" i="25" s="1"/>
  <c r="FF271" i="25" s="1"/>
  <c r="EP271" i="25"/>
  <c r="EP267" i="25"/>
  <c r="FC267" i="25"/>
  <c r="FE267" i="25" s="1"/>
  <c r="FF267" i="25" s="1"/>
  <c r="EP250" i="25"/>
  <c r="FC250" i="25"/>
  <c r="FE250" i="25" s="1"/>
  <c r="FF250" i="25" s="1"/>
  <c r="EP307" i="25"/>
  <c r="FC307" i="25"/>
  <c r="FE307" i="25" s="1"/>
  <c r="FF307" i="25" s="1"/>
  <c r="EP268" i="25"/>
  <c r="FC268" i="25"/>
  <c r="FE268" i="25" s="1"/>
  <c r="FF268" i="25" s="1"/>
  <c r="FC251" i="25"/>
  <c r="FE251" i="25" s="1"/>
  <c r="FF251" i="25" s="1"/>
  <c r="EP251" i="25"/>
  <c r="EP299" i="25"/>
  <c r="FC299" i="25"/>
  <c r="FE299" i="25" s="1"/>
  <c r="FF299" i="25" s="1"/>
  <c r="FC247" i="25"/>
  <c r="FE247" i="25" s="1"/>
  <c r="FF247" i="25" s="1"/>
  <c r="EP247" i="25"/>
  <c r="EP220" i="25"/>
  <c r="FC220" i="25"/>
  <c r="FE220" i="25" s="1"/>
  <c r="FF220" i="25" s="1"/>
  <c r="EP297" i="25"/>
  <c r="FC297" i="25"/>
  <c r="FE297" i="25" s="1"/>
  <c r="FF297" i="25" s="1"/>
  <c r="EP314" i="25"/>
  <c r="FC314" i="25"/>
  <c r="FE314" i="25" s="1"/>
  <c r="FF314" i="25" s="1"/>
  <c r="FC272" i="25"/>
  <c r="FE272" i="25" s="1"/>
  <c r="FF272" i="25" s="1"/>
  <c r="EP272" i="25"/>
  <c r="FC310" i="25"/>
  <c r="FE310" i="25" s="1"/>
  <c r="FF310" i="25" s="1"/>
  <c r="EP310" i="25"/>
  <c r="EP285" i="25"/>
  <c r="FC285" i="25"/>
  <c r="FE285" i="25" s="1"/>
  <c r="FF285" i="25" s="1"/>
  <c r="FC232" i="25"/>
  <c r="FE232" i="25" s="1"/>
  <c r="FF232" i="25" s="1"/>
  <c r="EP232" i="25"/>
  <c r="EP244" i="25"/>
  <c r="FC244" i="25"/>
  <c r="FE244" i="25" s="1"/>
  <c r="FF244" i="25" s="1"/>
  <c r="FC223" i="25"/>
  <c r="FE223" i="25" s="1"/>
  <c r="FF223" i="25" s="1"/>
  <c r="EP223" i="25"/>
  <c r="FC218" i="25"/>
  <c r="FE218" i="25" s="1"/>
  <c r="FF218" i="25" s="1"/>
  <c r="EP218" i="25"/>
  <c r="EP242" i="25"/>
  <c r="FC242" i="25"/>
  <c r="FE242" i="25" s="1"/>
  <c r="FF242" i="25" s="1"/>
  <c r="EP292" i="25"/>
  <c r="FC292" i="25"/>
  <c r="FE292" i="25" s="1"/>
  <c r="FF292" i="25" s="1"/>
  <c r="EP308" i="25"/>
  <c r="FC308" i="25"/>
  <c r="FE308" i="25" s="1"/>
  <c r="FF308" i="25" s="1"/>
  <c r="EP265" i="25"/>
  <c r="FC265" i="25"/>
  <c r="FE265" i="25" s="1"/>
  <c r="FF265" i="25" s="1"/>
  <c r="FC277" i="25"/>
  <c r="FE277" i="25" s="1"/>
  <c r="FF277" i="25" s="1"/>
  <c r="EP277" i="25"/>
  <c r="EP236" i="25"/>
  <c r="FC236" i="25"/>
  <c r="FE236" i="25" s="1"/>
  <c r="FF236" i="25" s="1"/>
  <c r="EP287" i="25"/>
  <c r="FC287" i="25"/>
  <c r="FE287" i="25" s="1"/>
  <c r="FF287" i="25" s="1"/>
  <c r="EP264" i="25"/>
  <c r="FC264" i="25"/>
  <c r="FE264" i="25" s="1"/>
  <c r="FF264" i="25" s="1"/>
  <c r="EP313" i="25"/>
  <c r="FC313" i="25"/>
  <c r="FE313" i="25" s="1"/>
  <c r="FF313" i="25" s="1"/>
  <c r="FC302" i="25"/>
  <c r="FE302" i="25" s="1"/>
  <c r="FF302" i="25" s="1"/>
  <c r="EP302" i="25"/>
  <c r="EP225" i="25"/>
  <c r="FC225" i="25"/>
  <c r="FE225" i="25" s="1"/>
  <c r="FF225" i="25" s="1"/>
  <c r="FC295" i="25"/>
  <c r="FE295" i="25" s="1"/>
  <c r="FF295" i="25" s="1"/>
  <c r="EP295" i="25"/>
  <c r="FC266" i="25"/>
  <c r="FE266" i="25" s="1"/>
  <c r="FF266" i="25" s="1"/>
  <c r="EP266" i="25"/>
  <c r="EP298" i="25"/>
  <c r="FC298" i="25"/>
  <c r="FE298" i="25" s="1"/>
  <c r="FF298" i="25" s="1"/>
  <c r="FC219" i="25"/>
  <c r="FE219" i="25" s="1"/>
  <c r="FF219" i="25" s="1"/>
  <c r="EP219" i="25"/>
  <c r="FC300" i="25"/>
  <c r="FE300" i="25" s="1"/>
  <c r="FF300" i="25" s="1"/>
  <c r="EP300" i="25"/>
  <c r="FC235" i="25"/>
  <c r="FE235" i="25" s="1"/>
  <c r="FF235" i="25" s="1"/>
  <c r="EP235" i="25"/>
  <c r="EP269" i="25"/>
  <c r="FC269" i="25"/>
  <c r="FE269" i="25" s="1"/>
  <c r="FF269" i="25" s="1"/>
  <c r="EP304" i="25"/>
  <c r="FC304" i="25"/>
  <c r="FE304" i="25" s="1"/>
  <c r="FF304" i="25" s="1"/>
  <c r="EP229" i="25"/>
  <c r="FC229" i="25"/>
  <c r="FE229" i="25" s="1"/>
  <c r="FF229" i="25" s="1"/>
  <c r="EP289" i="25"/>
  <c r="FC289" i="25"/>
  <c r="FE289" i="25" s="1"/>
  <c r="FF289" i="25" s="1"/>
  <c r="FC262" i="25"/>
  <c r="FE262" i="25" s="1"/>
  <c r="FF262" i="25" s="1"/>
  <c r="EP262" i="25"/>
  <c r="FC231" i="25"/>
  <c r="FE231" i="25" s="1"/>
  <c r="FF231" i="25" s="1"/>
  <c r="EP231" i="25"/>
  <c r="EP293" i="25"/>
  <c r="FC293" i="25"/>
  <c r="FE293" i="25" s="1"/>
  <c r="FF293" i="25" s="1"/>
  <c r="EP270" i="25"/>
  <c r="FC270" i="25"/>
  <c r="FE270" i="25" s="1"/>
  <c r="FF270" i="25" s="1"/>
  <c r="FC258" i="25"/>
  <c r="FE258" i="25" s="1"/>
  <c r="FF258" i="25" s="1"/>
  <c r="EP258" i="25"/>
  <c r="EP291" i="25"/>
  <c r="FC291" i="25"/>
  <c r="FE291" i="25" s="1"/>
  <c r="FF291" i="25" s="1"/>
  <c r="EP228" i="25"/>
  <c r="FC228" i="25"/>
  <c r="FE228" i="25" s="1"/>
  <c r="FF228" i="25" s="1"/>
  <c r="EP276" i="25"/>
  <c r="FC276" i="25"/>
  <c r="FE276" i="25" s="1"/>
  <c r="FF276" i="25" s="1"/>
  <c r="EP248" i="25"/>
  <c r="FC248" i="25"/>
  <c r="FE248" i="25" s="1"/>
  <c r="FF248" i="25" s="1"/>
  <c r="EP238" i="25"/>
  <c r="FC238" i="25"/>
  <c r="FE238" i="25" s="1"/>
  <c r="FF238" i="25" s="1"/>
  <c r="FC257" i="25"/>
  <c r="FE257" i="25" s="1"/>
  <c r="FF257" i="25" s="1"/>
  <c r="EP257" i="25"/>
  <c r="EP255" i="25"/>
  <c r="FC255" i="25"/>
  <c r="FE255" i="25" s="1"/>
  <c r="FF255" i="25" s="1"/>
  <c r="FC230" i="25"/>
  <c r="FE230" i="25" s="1"/>
  <c r="FF230" i="25" s="1"/>
  <c r="EP230" i="25"/>
  <c r="EP305" i="25"/>
  <c r="FC305" i="25"/>
  <c r="FE305" i="25" s="1"/>
  <c r="FF305" i="25" s="1"/>
  <c r="EP237" i="25"/>
  <c r="FC237" i="25"/>
  <c r="FE237" i="25" s="1"/>
  <c r="FF237" i="25" s="1"/>
  <c r="FC294" i="25"/>
  <c r="FE294" i="25" s="1"/>
  <c r="FF294" i="25" s="1"/>
  <c r="EP294" i="25"/>
  <c r="FC278" i="25"/>
  <c r="FE278" i="25" s="1"/>
  <c r="FF278" i="25" s="1"/>
  <c r="EP278" i="25"/>
  <c r="FC274" i="25"/>
  <c r="FE274" i="25" s="1"/>
  <c r="FF274" i="25" s="1"/>
  <c r="EP274" i="25"/>
  <c r="EP252" i="25"/>
  <c r="FC252" i="25"/>
  <c r="FE252" i="25" s="1"/>
  <c r="FF252" i="25" s="1"/>
  <c r="EZ74" i="24"/>
  <c r="FB74" i="24" s="1"/>
  <c r="EK142" i="24"/>
  <c r="FC142" i="24" s="1"/>
  <c r="FE142" i="24" s="1"/>
  <c r="FF142" i="24" s="1"/>
  <c r="FC112" i="25"/>
  <c r="FE112" i="25" s="1"/>
  <c r="FF112" i="25" s="1"/>
  <c r="EP112" i="25"/>
  <c r="EZ43" i="24"/>
  <c r="FB43" i="24" s="1"/>
  <c r="EK39" i="24"/>
  <c r="EQ39" i="24" s="1"/>
  <c r="ER39" i="24" s="1"/>
  <c r="EZ39" i="24"/>
  <c r="FB39" i="24" s="1"/>
  <c r="EW152" i="24"/>
  <c r="FB152" i="24" s="1"/>
  <c r="EK52" i="24"/>
  <c r="EQ52" i="24" s="1"/>
  <c r="ER52" i="24" s="1"/>
  <c r="FC47" i="25"/>
  <c r="FE47" i="25" s="1"/>
  <c r="FF47" i="25" s="1"/>
  <c r="EK63" i="24"/>
  <c r="EQ63" i="24" s="1"/>
  <c r="ER63" i="24" s="1"/>
  <c r="EZ55" i="24"/>
  <c r="FB55" i="24" s="1"/>
  <c r="EW37" i="24"/>
  <c r="EZ37" i="24" s="1"/>
  <c r="FB37" i="24" s="1"/>
  <c r="EK44" i="24"/>
  <c r="EQ44" i="24" s="1"/>
  <c r="ER44" i="24" s="1"/>
  <c r="EZ44" i="24"/>
  <c r="FB44" i="24" s="1"/>
  <c r="FC96" i="25"/>
  <c r="FE96" i="25" s="1"/>
  <c r="FF96" i="25" s="1"/>
  <c r="EW83" i="24"/>
  <c r="EZ83" i="24" s="1"/>
  <c r="FB83" i="24" s="1"/>
  <c r="EW186" i="24"/>
  <c r="FB186" i="24" s="1"/>
  <c r="EW134" i="24"/>
  <c r="FC134" i="24" s="1"/>
  <c r="FE134" i="24" s="1"/>
  <c r="FF134" i="24" s="1"/>
  <c r="EW160" i="24"/>
  <c r="FB160" i="24" s="1"/>
  <c r="FB133" i="24"/>
  <c r="FC164" i="25"/>
  <c r="FE164" i="25" s="1"/>
  <c r="FF164" i="25" s="1"/>
  <c r="EK169" i="24"/>
  <c r="EW169" i="24"/>
  <c r="FB169" i="24" s="1"/>
  <c r="EK133" i="24"/>
  <c r="ER133" i="24" s="1"/>
  <c r="EK111" i="24"/>
  <c r="FC111" i="24" s="1"/>
  <c r="FE111" i="24" s="1"/>
  <c r="FF111" i="24" s="1"/>
  <c r="EZ52" i="24"/>
  <c r="FB52" i="24" s="1"/>
  <c r="EW126" i="24"/>
  <c r="FB126" i="24" s="1"/>
  <c r="EW127" i="24"/>
  <c r="FB127" i="24" s="1"/>
  <c r="FC128" i="25"/>
  <c r="FE128" i="25" s="1"/>
  <c r="FF128" i="25" s="1"/>
  <c r="FC64" i="25"/>
  <c r="FE64" i="25" s="1"/>
  <c r="FF64" i="25" s="1"/>
  <c r="FC103" i="25"/>
  <c r="FE103" i="25" s="1"/>
  <c r="FF103" i="25" s="1"/>
  <c r="EP96" i="25"/>
  <c r="EW104" i="24"/>
  <c r="EZ104" i="24" s="1"/>
  <c r="FB104" i="24" s="1"/>
  <c r="EW136" i="24"/>
  <c r="FB136" i="24" s="1"/>
  <c r="FC89" i="25"/>
  <c r="FE89" i="25" s="1"/>
  <c r="FF89" i="25" s="1"/>
  <c r="EW48" i="24"/>
  <c r="EZ48" i="24" s="1"/>
  <c r="EW30" i="24"/>
  <c r="EZ30" i="24" s="1"/>
  <c r="FB30" i="24" s="1"/>
  <c r="FC93" i="25"/>
  <c r="FE93" i="25" s="1"/>
  <c r="FF93" i="25" s="1"/>
  <c r="FC145" i="25"/>
  <c r="FE145" i="25" s="1"/>
  <c r="FF145" i="25" s="1"/>
  <c r="FB111" i="24"/>
  <c r="EP47" i="25"/>
  <c r="FC156" i="25"/>
  <c r="FE156" i="25" s="1"/>
  <c r="FF156" i="25" s="1"/>
  <c r="FC183" i="25"/>
  <c r="FE183" i="25" s="1"/>
  <c r="FF183" i="25" s="1"/>
  <c r="EK14" i="24"/>
  <c r="EQ14" i="24" s="1"/>
  <c r="FB192" i="24"/>
  <c r="EZ63" i="24"/>
  <c r="FB63" i="24" s="1"/>
  <c r="EK55" i="24"/>
  <c r="EQ55" i="24" s="1"/>
  <c r="ER55" i="24" s="1"/>
  <c r="EK40" i="24"/>
  <c r="EQ40" i="24" s="1"/>
  <c r="ER40" i="24" s="1"/>
  <c r="EW71" i="24"/>
  <c r="EZ71" i="24" s="1"/>
  <c r="FB172" i="24"/>
  <c r="EW29" i="24"/>
  <c r="EZ29" i="24" s="1"/>
  <c r="FB29" i="24" s="1"/>
  <c r="EW199" i="24"/>
  <c r="FB199" i="24" s="1"/>
  <c r="EZ14" i="24"/>
  <c r="FB14" i="24" s="1"/>
  <c r="FC131" i="25"/>
  <c r="FE131" i="25" s="1"/>
  <c r="FF131" i="25" s="1"/>
  <c r="FC74" i="25"/>
  <c r="FE74" i="25" s="1"/>
  <c r="FF74" i="25" s="1"/>
  <c r="EK62" i="24"/>
  <c r="EQ62" i="24" s="1"/>
  <c r="ER62" i="24" s="1"/>
  <c r="FC185" i="25"/>
  <c r="FE185" i="25" s="1"/>
  <c r="FF185" i="25" s="1"/>
  <c r="EZ81" i="24"/>
  <c r="FB81" i="24" s="1"/>
  <c r="EK192" i="24"/>
  <c r="ER192" i="24" s="1"/>
  <c r="EK172" i="24"/>
  <c r="ER172" i="24" s="1"/>
  <c r="FB159" i="24"/>
  <c r="EW147" i="24"/>
  <c r="FC147" i="24" s="1"/>
  <c r="FE147" i="24" s="1"/>
  <c r="FF147" i="24" s="1"/>
  <c r="FC173" i="25"/>
  <c r="FE173" i="25" s="1"/>
  <c r="FF173" i="25" s="1"/>
  <c r="FC17" i="25"/>
  <c r="FE17" i="25" s="1"/>
  <c r="FF17" i="25" s="1"/>
  <c r="FC33" i="25"/>
  <c r="FE33" i="25" s="1"/>
  <c r="FF33" i="25" s="1"/>
  <c r="EP158" i="25"/>
  <c r="FC97" i="25"/>
  <c r="FE97" i="25" s="1"/>
  <c r="FF97" i="25" s="1"/>
  <c r="FB170" i="24"/>
  <c r="FC95" i="25"/>
  <c r="FE95" i="25" s="1"/>
  <c r="FF95" i="25" s="1"/>
  <c r="EP95" i="25"/>
  <c r="EK170" i="24"/>
  <c r="FC170" i="24" s="1"/>
  <c r="FE170" i="24" s="1"/>
  <c r="FF170" i="24" s="1"/>
  <c r="EK81" i="24"/>
  <c r="EQ81" i="24" s="1"/>
  <c r="ER81" i="24" s="1"/>
  <c r="EK43" i="24"/>
  <c r="EQ43" i="24" s="1"/>
  <c r="ER43" i="24" s="1"/>
  <c r="EK23" i="24"/>
  <c r="EQ23" i="24" s="1"/>
  <c r="ER23" i="24" s="1"/>
  <c r="FC99" i="25"/>
  <c r="FE99" i="25" s="1"/>
  <c r="FF99" i="25" s="1"/>
  <c r="FC90" i="25"/>
  <c r="FE90" i="25" s="1"/>
  <c r="FF90" i="25" s="1"/>
  <c r="EP199" i="25"/>
  <c r="FC77" i="25"/>
  <c r="FE77" i="25" s="1"/>
  <c r="FF77" i="25" s="1"/>
  <c r="FC58" i="25"/>
  <c r="FE58" i="25" s="1"/>
  <c r="FF58" i="25" s="1"/>
  <c r="EP137" i="25"/>
  <c r="FC37" i="25"/>
  <c r="FE37" i="25" s="1"/>
  <c r="FF37" i="25" s="1"/>
  <c r="FC42" i="25"/>
  <c r="FE42" i="25" s="1"/>
  <c r="FF42" i="25" s="1"/>
  <c r="FC73" i="25"/>
  <c r="FE73" i="25" s="1"/>
  <c r="FF73" i="25" s="1"/>
  <c r="FC56" i="25"/>
  <c r="FE56" i="25" s="1"/>
  <c r="FF56" i="25" s="1"/>
  <c r="EW10" i="24"/>
  <c r="EZ10" i="24" s="1"/>
  <c r="FB10" i="24" s="1"/>
  <c r="FB169" i="25"/>
  <c r="FC178" i="25"/>
  <c r="FE178" i="25" s="1"/>
  <c r="FF178" i="25" s="1"/>
  <c r="EZ40" i="24"/>
  <c r="FB40" i="24" s="1"/>
  <c r="FC194" i="25"/>
  <c r="FE194" i="25" s="1"/>
  <c r="FF194" i="25" s="1"/>
  <c r="S216" i="24"/>
  <c r="T216" i="24" s="1"/>
  <c r="M216" i="24"/>
  <c r="N216" i="24" s="1"/>
  <c r="EK90" i="24"/>
  <c r="EQ90" i="24" s="1"/>
  <c r="EW90" i="24"/>
  <c r="EZ90" i="24" s="1"/>
  <c r="FB90" i="24" s="1"/>
  <c r="FB142" i="24"/>
  <c r="EK99" i="24"/>
  <c r="EQ99" i="24" s="1"/>
  <c r="ER99" i="24" s="1"/>
  <c r="EW124" i="24"/>
  <c r="FB124" i="24" s="1"/>
  <c r="FC171" i="25"/>
  <c r="FE171" i="25" s="1"/>
  <c r="FF171" i="25" s="1"/>
  <c r="EZ99" i="24"/>
  <c r="FB99" i="24" s="1"/>
  <c r="FC83" i="25"/>
  <c r="FE83" i="25" s="1"/>
  <c r="FF83" i="25" s="1"/>
  <c r="FC129" i="25"/>
  <c r="FE129" i="25" s="1"/>
  <c r="FF129" i="25" s="1"/>
  <c r="EP141" i="25"/>
  <c r="EZ23" i="24"/>
  <c r="FB23" i="24" s="1"/>
  <c r="EW201" i="24"/>
  <c r="FB201" i="24" s="1"/>
  <c r="EZ67" i="24"/>
  <c r="FB67" i="24" s="1"/>
  <c r="EZ77" i="24"/>
  <c r="FB77" i="24" s="1"/>
  <c r="FC25" i="25"/>
  <c r="FE25" i="25" s="1"/>
  <c r="FF25" i="25" s="1"/>
  <c r="Q110" i="24"/>
  <c r="AP110" i="24"/>
  <c r="P110" i="24"/>
  <c r="V110" i="24"/>
  <c r="W110" i="24"/>
  <c r="AE110" i="24"/>
  <c r="AI110" i="24"/>
  <c r="X110" i="24"/>
  <c r="AA110" i="24" s="1"/>
  <c r="AB110" i="24" s="1"/>
  <c r="AC110" i="24" s="1"/>
  <c r="FC49" i="25"/>
  <c r="FE49" i="25" s="1"/>
  <c r="FF49" i="25" s="1"/>
  <c r="FC34" i="25"/>
  <c r="FE34" i="25" s="1"/>
  <c r="FF34" i="25" s="1"/>
  <c r="FC81" i="25"/>
  <c r="FE81" i="25" s="1"/>
  <c r="FF81" i="25" s="1"/>
  <c r="EP180" i="25"/>
  <c r="FC87" i="25"/>
  <c r="FE87" i="25" s="1"/>
  <c r="FF87" i="25" s="1"/>
  <c r="FC9" i="25"/>
  <c r="FE9" i="25" s="1"/>
  <c r="FF9" i="25" s="1"/>
  <c r="FC111" i="25"/>
  <c r="FE111" i="25" s="1"/>
  <c r="FF111" i="25" s="1"/>
  <c r="FC23" i="25"/>
  <c r="FE23" i="25" s="1"/>
  <c r="FF23" i="25" s="1"/>
  <c r="EW13" i="24"/>
  <c r="EZ13" i="24" s="1"/>
  <c r="FB13" i="24" s="1"/>
  <c r="EZ62" i="24"/>
  <c r="FB62" i="24" s="1"/>
  <c r="FC72" i="25"/>
  <c r="FE72" i="25" s="1"/>
  <c r="FF72" i="25" s="1"/>
  <c r="EP72" i="25"/>
  <c r="EP10" i="25"/>
  <c r="FC10" i="25"/>
  <c r="FE10" i="25" s="1"/>
  <c r="FF10" i="25" s="1"/>
  <c r="EP210" i="25"/>
  <c r="FC210" i="25"/>
  <c r="FE210" i="25" s="1"/>
  <c r="FF210" i="25" s="1"/>
  <c r="FC195" i="25"/>
  <c r="FE195" i="25" s="1"/>
  <c r="FF195" i="25" s="1"/>
  <c r="EP195" i="25"/>
  <c r="EP134" i="25"/>
  <c r="FC134" i="25"/>
  <c r="FE134" i="25" s="1"/>
  <c r="FF134" i="25" s="1"/>
  <c r="FC60" i="25"/>
  <c r="FE60" i="25" s="1"/>
  <c r="FF60" i="25" s="1"/>
  <c r="EP60" i="25"/>
  <c r="EP154" i="25"/>
  <c r="FC154" i="25"/>
  <c r="FE154" i="25" s="1"/>
  <c r="FF154" i="25" s="1"/>
  <c r="EP150" i="25"/>
  <c r="FC150" i="25"/>
  <c r="FE150" i="25" s="1"/>
  <c r="FF150" i="25" s="1"/>
  <c r="FC113" i="25"/>
  <c r="FE113" i="25" s="1"/>
  <c r="FF113" i="25" s="1"/>
  <c r="EP113" i="25"/>
  <c r="FC148" i="25"/>
  <c r="FE148" i="25" s="1"/>
  <c r="FF148" i="25" s="1"/>
  <c r="EP148" i="25"/>
  <c r="EP20" i="25"/>
  <c r="FC20" i="25"/>
  <c r="FE20" i="25" s="1"/>
  <c r="FF20" i="25" s="1"/>
  <c r="EP142" i="25"/>
  <c r="FC142" i="25"/>
  <c r="FE142" i="25" s="1"/>
  <c r="FF142" i="25" s="1"/>
  <c r="EP53" i="25"/>
  <c r="FC53" i="25"/>
  <c r="FE53" i="25" s="1"/>
  <c r="FF53" i="25" s="1"/>
  <c r="EP196" i="25"/>
  <c r="FC196" i="25"/>
  <c r="FE196" i="25" s="1"/>
  <c r="FF196" i="25" s="1"/>
  <c r="FC16" i="25"/>
  <c r="FE16" i="25" s="1"/>
  <c r="FF16" i="25" s="1"/>
  <c r="EP16" i="25"/>
  <c r="FC202" i="25"/>
  <c r="FE202" i="25" s="1"/>
  <c r="FF202" i="25" s="1"/>
  <c r="EP202" i="25"/>
  <c r="FC152" i="25"/>
  <c r="FE152" i="25" s="1"/>
  <c r="FF152" i="25" s="1"/>
  <c r="EP152" i="25"/>
  <c r="EP167" i="25"/>
  <c r="FC167" i="25"/>
  <c r="FE167" i="25" s="1"/>
  <c r="FF167" i="25" s="1"/>
  <c r="FC127" i="25"/>
  <c r="FE127" i="25" s="1"/>
  <c r="FF127" i="25" s="1"/>
  <c r="EP127" i="25"/>
  <c r="FC163" i="25"/>
  <c r="FE163" i="25" s="1"/>
  <c r="FF163" i="25" s="1"/>
  <c r="EP163" i="25"/>
  <c r="FC110" i="25"/>
  <c r="FE110" i="25" s="1"/>
  <c r="FF110" i="25" s="1"/>
  <c r="EP110" i="25"/>
  <c r="FC124" i="25"/>
  <c r="FE124" i="25" s="1"/>
  <c r="FF124" i="25" s="1"/>
  <c r="EP124" i="25"/>
  <c r="EP125" i="25"/>
  <c r="FC125" i="25"/>
  <c r="FE125" i="25" s="1"/>
  <c r="FF125" i="25" s="1"/>
  <c r="FC52" i="25"/>
  <c r="FE52" i="25" s="1"/>
  <c r="FF52" i="25" s="1"/>
  <c r="EP52" i="25"/>
  <c r="FC126" i="25"/>
  <c r="FE126" i="25" s="1"/>
  <c r="FF126" i="25" s="1"/>
  <c r="EP126" i="25"/>
  <c r="FC184" i="25"/>
  <c r="FE184" i="25" s="1"/>
  <c r="FF184" i="25" s="1"/>
  <c r="EP184" i="25"/>
  <c r="EP188" i="25"/>
  <c r="FC188" i="25"/>
  <c r="FE188" i="25" s="1"/>
  <c r="FF188" i="25" s="1"/>
  <c r="EP86" i="25"/>
  <c r="FC86" i="25"/>
  <c r="FE86" i="25" s="1"/>
  <c r="FF86" i="25" s="1"/>
  <c r="EP114" i="25"/>
  <c r="FC114" i="25"/>
  <c r="FE114" i="25" s="1"/>
  <c r="FF114" i="25" s="1"/>
  <c r="EP65" i="25"/>
  <c r="FC65" i="25"/>
  <c r="FE65" i="25" s="1"/>
  <c r="FF65" i="25" s="1"/>
  <c r="FC79" i="25"/>
  <c r="FE79" i="25" s="1"/>
  <c r="FF79" i="25" s="1"/>
  <c r="EP79" i="25"/>
  <c r="FC166" i="25"/>
  <c r="FE166" i="25" s="1"/>
  <c r="FF166" i="25" s="1"/>
  <c r="EP166" i="25"/>
  <c r="FC203" i="25"/>
  <c r="FE203" i="25" s="1"/>
  <c r="FF203" i="25" s="1"/>
  <c r="EP203" i="25"/>
  <c r="FC198" i="25"/>
  <c r="FE198" i="25" s="1"/>
  <c r="FF198" i="25" s="1"/>
  <c r="EP198" i="25"/>
  <c r="EP51" i="25"/>
  <c r="FC51" i="25"/>
  <c r="FE51" i="25" s="1"/>
  <c r="FF51" i="25" s="1"/>
  <c r="FC55" i="25"/>
  <c r="FE55" i="25" s="1"/>
  <c r="FF55" i="25" s="1"/>
  <c r="EP55" i="25"/>
  <c r="FC31" i="25"/>
  <c r="FE31" i="25" s="1"/>
  <c r="FF31" i="25" s="1"/>
  <c r="EP31" i="25"/>
  <c r="EP82" i="25"/>
  <c r="FC82" i="25"/>
  <c r="FE82" i="25" s="1"/>
  <c r="FF82" i="25" s="1"/>
  <c r="EP61" i="25"/>
  <c r="FC61" i="25"/>
  <c r="FE61" i="25" s="1"/>
  <c r="FF61" i="25" s="1"/>
  <c r="FC140" i="25"/>
  <c r="FE140" i="25" s="1"/>
  <c r="FF140" i="25" s="1"/>
  <c r="EP140" i="25"/>
  <c r="EP193" i="25"/>
  <c r="FC193" i="25"/>
  <c r="FE193" i="25" s="1"/>
  <c r="FF193" i="25" s="1"/>
  <c r="FC117" i="25"/>
  <c r="FE117" i="25" s="1"/>
  <c r="FF117" i="25" s="1"/>
  <c r="EP117" i="25"/>
  <c r="FC175" i="25"/>
  <c r="FE175" i="25" s="1"/>
  <c r="FF175" i="25" s="1"/>
  <c r="EP175" i="25"/>
  <c r="FC172" i="25"/>
  <c r="FE172" i="25" s="1"/>
  <c r="FF172" i="25" s="1"/>
  <c r="EP172" i="25"/>
  <c r="EP26" i="25"/>
  <c r="FC26" i="25"/>
  <c r="FE26" i="25" s="1"/>
  <c r="FF26" i="25" s="1"/>
  <c r="EP68" i="25"/>
  <c r="FC68" i="25"/>
  <c r="FE68" i="25" s="1"/>
  <c r="FF68" i="25" s="1"/>
  <c r="EP192" i="25"/>
  <c r="FC192" i="25"/>
  <c r="FE192" i="25" s="1"/>
  <c r="FF192" i="25" s="1"/>
  <c r="EP209" i="25"/>
  <c r="FC209" i="25"/>
  <c r="FE209" i="25" s="1"/>
  <c r="FF209" i="25" s="1"/>
  <c r="FC186" i="25"/>
  <c r="FE186" i="25" s="1"/>
  <c r="FF186" i="25" s="1"/>
  <c r="EP186" i="25"/>
  <c r="FC7" i="25"/>
  <c r="FE7" i="25" s="1"/>
  <c r="FF7" i="25" s="1"/>
  <c r="EP7" i="25"/>
  <c r="EP122" i="25"/>
  <c r="FC122" i="25"/>
  <c r="FE122" i="25" s="1"/>
  <c r="FF122" i="25" s="1"/>
  <c r="EP146" i="25"/>
  <c r="FC146" i="25"/>
  <c r="FE146" i="25" s="1"/>
  <c r="FF146" i="25" s="1"/>
  <c r="EP12" i="25"/>
  <c r="FC12" i="25"/>
  <c r="FE12" i="25" s="1"/>
  <c r="FF12" i="25" s="1"/>
  <c r="FC190" i="25"/>
  <c r="FE190" i="25" s="1"/>
  <c r="FF190" i="25" s="1"/>
  <c r="EP190" i="25"/>
  <c r="FC22" i="25"/>
  <c r="FE22" i="25" s="1"/>
  <c r="FF22" i="25" s="1"/>
  <c r="EP22" i="25"/>
  <c r="EP200" i="25"/>
  <c r="FC200" i="25"/>
  <c r="FE200" i="25" s="1"/>
  <c r="FF200" i="25" s="1"/>
  <c r="EP21" i="25"/>
  <c r="FC21" i="25"/>
  <c r="FE21" i="25" s="1"/>
  <c r="FF21" i="25" s="1"/>
  <c r="EP57" i="25"/>
  <c r="FC57" i="25"/>
  <c r="FE57" i="25" s="1"/>
  <c r="FF57" i="25" s="1"/>
  <c r="FC46" i="25"/>
  <c r="FE46" i="25" s="1"/>
  <c r="FF46" i="25" s="1"/>
  <c r="EP46" i="25"/>
  <c r="EP8" i="25"/>
  <c r="FC8" i="25"/>
  <c r="FE8" i="25" s="1"/>
  <c r="FF8" i="25" s="1"/>
  <c r="FC35" i="25"/>
  <c r="FE35" i="25" s="1"/>
  <c r="FF35" i="25" s="1"/>
  <c r="EP35" i="25"/>
  <c r="EP91" i="25"/>
  <c r="FC91" i="25"/>
  <c r="FE91" i="25" s="1"/>
  <c r="FF91" i="25" s="1"/>
  <c r="EP40" i="25"/>
  <c r="FC40" i="25"/>
  <c r="FE40" i="25" s="1"/>
  <c r="FF40" i="25" s="1"/>
  <c r="EP19" i="25"/>
  <c r="FC19" i="25"/>
  <c r="FE19" i="25" s="1"/>
  <c r="FF19" i="25" s="1"/>
  <c r="FC6" i="25"/>
  <c r="FE6" i="25" s="1"/>
  <c r="FF6" i="25" s="1"/>
  <c r="EP6" i="25"/>
  <c r="EP41" i="25"/>
  <c r="FC41" i="25"/>
  <c r="FE41" i="25" s="1"/>
  <c r="FF41" i="25" s="1"/>
  <c r="EP123" i="25"/>
  <c r="FC123" i="25"/>
  <c r="FE123" i="25" s="1"/>
  <c r="FF123" i="25" s="1"/>
  <c r="EP11" i="25"/>
  <c r="FC11" i="25"/>
  <c r="FE11" i="25" s="1"/>
  <c r="FF11" i="25" s="1"/>
  <c r="EP29" i="25"/>
  <c r="FC29" i="25"/>
  <c r="FE29" i="25" s="1"/>
  <c r="FF29" i="25" s="1"/>
  <c r="FC206" i="25"/>
  <c r="FE206" i="25" s="1"/>
  <c r="FF206" i="25" s="1"/>
  <c r="EP206" i="25"/>
  <c r="EP139" i="25"/>
  <c r="FC139" i="25"/>
  <c r="FE139" i="25" s="1"/>
  <c r="FF139" i="25" s="1"/>
  <c r="EP36" i="25"/>
  <c r="FC36" i="25"/>
  <c r="FE36" i="25" s="1"/>
  <c r="FF36" i="25" s="1"/>
  <c r="FC189" i="25"/>
  <c r="FE189" i="25" s="1"/>
  <c r="FF189" i="25" s="1"/>
  <c r="EP189" i="25"/>
  <c r="EP105" i="25"/>
  <c r="FC105" i="25"/>
  <c r="FE105" i="25" s="1"/>
  <c r="FF105" i="25" s="1"/>
  <c r="FC94" i="25"/>
  <c r="FE94" i="25" s="1"/>
  <c r="FF94" i="25" s="1"/>
  <c r="EP94" i="25"/>
  <c r="FC30" i="25"/>
  <c r="FE30" i="25" s="1"/>
  <c r="FF30" i="25" s="1"/>
  <c r="EP30" i="25"/>
  <c r="FC197" i="25"/>
  <c r="FE197" i="25" s="1"/>
  <c r="FF197" i="25" s="1"/>
  <c r="EP197" i="25"/>
  <c r="EP54" i="25"/>
  <c r="FC54" i="25"/>
  <c r="FE54" i="25" s="1"/>
  <c r="FF54" i="25" s="1"/>
  <c r="FC174" i="25"/>
  <c r="FE174" i="25" s="1"/>
  <c r="FF174" i="25" s="1"/>
  <c r="EP174" i="25"/>
  <c r="FC24" i="25"/>
  <c r="FE24" i="25" s="1"/>
  <c r="FF24" i="25" s="1"/>
  <c r="EP24" i="25"/>
  <c r="FC98" i="25"/>
  <c r="FE98" i="25" s="1"/>
  <c r="FF98" i="25" s="1"/>
  <c r="EP98" i="25"/>
  <c r="FC121" i="25"/>
  <c r="FE121" i="25" s="1"/>
  <c r="FF121" i="25" s="1"/>
  <c r="EP121" i="25"/>
  <c r="EP50" i="25"/>
  <c r="FC50" i="25"/>
  <c r="FE50" i="25" s="1"/>
  <c r="FF50" i="25" s="1"/>
  <c r="FC32" i="25"/>
  <c r="FE32" i="25" s="1"/>
  <c r="FF32" i="25" s="1"/>
  <c r="EP32" i="25"/>
  <c r="EP149" i="25"/>
  <c r="FC149" i="25"/>
  <c r="FE149" i="25" s="1"/>
  <c r="FF149" i="25" s="1"/>
  <c r="FC14" i="25"/>
  <c r="FE14" i="25" s="1"/>
  <c r="FF14" i="25" s="1"/>
  <c r="EP14" i="25"/>
  <c r="FC165" i="25"/>
  <c r="FE165" i="25" s="1"/>
  <c r="FF165" i="25" s="1"/>
  <c r="EP165" i="25"/>
  <c r="FC204" i="25"/>
  <c r="FE204" i="25" s="1"/>
  <c r="FF204" i="25" s="1"/>
  <c r="EP204" i="25"/>
  <c r="EP207" i="25"/>
  <c r="FC207" i="25"/>
  <c r="FE207" i="25" s="1"/>
  <c r="FF207" i="25" s="1"/>
  <c r="FC27" i="25"/>
  <c r="FE27" i="25" s="1"/>
  <c r="FF27" i="25" s="1"/>
  <c r="EP27" i="25"/>
  <c r="FC135" i="25"/>
  <c r="FE135" i="25" s="1"/>
  <c r="FF135" i="25" s="1"/>
  <c r="EP135" i="25"/>
  <c r="FC84" i="25"/>
  <c r="FE84" i="25" s="1"/>
  <c r="FF84" i="25" s="1"/>
  <c r="EP84" i="25"/>
  <c r="EP147" i="25"/>
  <c r="FC147" i="25"/>
  <c r="FE147" i="25" s="1"/>
  <c r="FF147" i="25" s="1"/>
  <c r="EP155" i="25"/>
  <c r="FC155" i="25"/>
  <c r="FE155" i="25" s="1"/>
  <c r="FF155" i="25" s="1"/>
  <c r="FC88" i="25"/>
  <c r="FE88" i="25" s="1"/>
  <c r="FF88" i="25" s="1"/>
  <c r="EP88" i="25"/>
  <c r="FC85" i="25"/>
  <c r="FE85" i="25" s="1"/>
  <c r="FF85" i="25" s="1"/>
  <c r="EP85" i="25"/>
  <c r="FC67" i="25"/>
  <c r="FE67" i="25" s="1"/>
  <c r="FF67" i="25" s="1"/>
  <c r="EP67" i="25"/>
  <c r="EP39" i="25"/>
  <c r="FC39" i="25"/>
  <c r="FE39" i="25" s="1"/>
  <c r="FF39" i="25" s="1"/>
  <c r="FC132" i="25"/>
  <c r="FE132" i="25" s="1"/>
  <c r="FF132" i="25" s="1"/>
  <c r="EP132" i="25"/>
  <c r="FC205" i="25"/>
  <c r="FE205" i="25" s="1"/>
  <c r="FF205" i="25" s="1"/>
  <c r="EP205" i="25"/>
  <c r="FC102" i="25"/>
  <c r="FE102" i="25" s="1"/>
  <c r="FF102" i="25" s="1"/>
  <c r="EP102" i="25"/>
  <c r="EP160" i="25"/>
  <c r="FC160" i="25"/>
  <c r="FE160" i="25" s="1"/>
  <c r="FF160" i="25" s="1"/>
  <c r="FC120" i="25"/>
  <c r="FE120" i="25" s="1"/>
  <c r="FF120" i="25" s="1"/>
  <c r="EP120" i="25"/>
  <c r="EP44" i="25"/>
  <c r="FC44" i="25"/>
  <c r="FE44" i="25" s="1"/>
  <c r="FF44" i="25" s="1"/>
  <c r="FC177" i="25"/>
  <c r="FE177" i="25" s="1"/>
  <c r="FF177" i="25" s="1"/>
  <c r="EP177" i="25"/>
  <c r="EP208" i="25"/>
  <c r="FC208" i="25"/>
  <c r="FE208" i="25" s="1"/>
  <c r="FF208" i="25" s="1"/>
  <c r="EP170" i="25"/>
  <c r="FC170" i="25"/>
  <c r="FE170" i="25" s="1"/>
  <c r="FF170" i="25" s="1"/>
  <c r="EP45" i="25"/>
  <c r="FC45" i="25"/>
  <c r="FE45" i="25" s="1"/>
  <c r="FF45" i="25" s="1"/>
  <c r="FC115" i="25"/>
  <c r="FE115" i="25" s="1"/>
  <c r="FF115" i="25" s="1"/>
  <c r="EP115" i="25"/>
  <c r="EP162" i="25"/>
  <c r="FC162" i="25"/>
  <c r="FE162" i="25" s="1"/>
  <c r="FF162" i="25" s="1"/>
  <c r="EP201" i="25"/>
  <c r="FC201" i="25"/>
  <c r="FE201" i="25" s="1"/>
  <c r="FF201" i="25" s="1"/>
  <c r="EP69" i="25"/>
  <c r="FC69" i="25"/>
  <c r="FE69" i="25" s="1"/>
  <c r="FF69" i="25" s="1"/>
  <c r="FC151" i="25"/>
  <c r="FE151" i="25" s="1"/>
  <c r="FF151" i="25" s="1"/>
  <c r="EP151" i="25"/>
  <c r="EP176" i="25"/>
  <c r="FC176" i="25"/>
  <c r="FE176" i="25" s="1"/>
  <c r="FF176" i="25" s="1"/>
  <c r="EP130" i="25"/>
  <c r="FC130" i="25"/>
  <c r="FE130" i="25" s="1"/>
  <c r="FF130" i="25" s="1"/>
  <c r="FC187" i="25"/>
  <c r="FE187" i="25" s="1"/>
  <c r="FF187" i="25" s="1"/>
  <c r="EP187" i="25"/>
  <c r="EP161" i="25"/>
  <c r="FC161" i="25"/>
  <c r="FE161" i="25" s="1"/>
  <c r="FF161" i="25" s="1"/>
  <c r="EP179" i="25"/>
  <c r="FC179" i="25"/>
  <c r="FE179" i="25" s="1"/>
  <c r="FF179" i="25" s="1"/>
  <c r="FC66" i="25"/>
  <c r="FE66" i="25" s="1"/>
  <c r="FF66" i="25" s="1"/>
  <c r="EP66" i="25"/>
  <c r="EP78" i="25"/>
  <c r="FC78" i="25"/>
  <c r="FE78" i="25" s="1"/>
  <c r="FF78" i="25" s="1"/>
  <c r="FC119" i="25"/>
  <c r="FE119" i="25" s="1"/>
  <c r="FF119" i="25" s="1"/>
  <c r="EP119" i="25"/>
  <c r="EP76" i="25"/>
  <c r="FC76" i="25"/>
  <c r="FE76" i="25" s="1"/>
  <c r="FF76" i="25" s="1"/>
  <c r="EP100" i="25"/>
  <c r="FC100" i="25"/>
  <c r="FE100" i="25" s="1"/>
  <c r="FF100" i="25" s="1"/>
  <c r="EP71" i="25"/>
  <c r="FC71" i="25"/>
  <c r="FE71" i="25" s="1"/>
  <c r="FF71" i="25" s="1"/>
  <c r="EP80" i="25"/>
  <c r="FC80" i="25"/>
  <c r="FE80" i="25" s="1"/>
  <c r="FF80" i="25" s="1"/>
  <c r="EP15" i="25"/>
  <c r="FC15" i="25"/>
  <c r="FE15" i="25" s="1"/>
  <c r="FF15" i="25" s="1"/>
  <c r="FC153" i="25"/>
  <c r="FE153" i="25" s="1"/>
  <c r="FF153" i="25" s="1"/>
  <c r="EP153" i="25"/>
  <c r="EP159" i="25"/>
  <c r="FC159" i="25"/>
  <c r="FE159" i="25" s="1"/>
  <c r="FF159" i="25" s="1"/>
  <c r="FC28" i="25"/>
  <c r="FE28" i="25" s="1"/>
  <c r="FF28" i="25" s="1"/>
  <c r="EP28" i="25"/>
  <c r="EP116" i="25"/>
  <c r="FC116" i="25"/>
  <c r="FE116" i="25" s="1"/>
  <c r="FF116" i="25" s="1"/>
  <c r="EP157" i="25"/>
  <c r="FC157" i="25"/>
  <c r="FE157" i="25" s="1"/>
  <c r="FF157" i="25" s="1"/>
  <c r="EP70" i="25"/>
  <c r="FC70" i="25"/>
  <c r="FE70" i="25" s="1"/>
  <c r="FF70" i="25" s="1"/>
  <c r="FC191" i="25"/>
  <c r="FE191" i="25" s="1"/>
  <c r="FF191" i="25" s="1"/>
  <c r="EP191" i="25"/>
  <c r="EP168" i="25"/>
  <c r="FC168" i="25"/>
  <c r="FE168" i="25" s="1"/>
  <c r="FF168" i="25" s="1"/>
  <c r="EP101" i="25"/>
  <c r="FC101" i="25"/>
  <c r="FE101" i="25" s="1"/>
  <c r="FF101" i="25" s="1"/>
  <c r="FC62" i="25"/>
  <c r="FE62" i="25" s="1"/>
  <c r="FF62" i="25" s="1"/>
  <c r="EP62" i="25"/>
  <c r="FC63" i="25"/>
  <c r="FE63" i="25" s="1"/>
  <c r="FF63" i="25" s="1"/>
  <c r="EP63" i="25"/>
  <c r="FC75" i="25"/>
  <c r="FE75" i="25" s="1"/>
  <c r="FF75" i="25" s="1"/>
  <c r="EP75" i="25"/>
  <c r="EP18" i="25"/>
  <c r="FC18" i="25"/>
  <c r="FE18" i="25" s="1"/>
  <c r="FF18" i="25" s="1"/>
  <c r="FC13" i="25"/>
  <c r="FE13" i="25" s="1"/>
  <c r="FF13" i="25" s="1"/>
  <c r="EP13" i="25"/>
  <c r="FC59" i="25"/>
  <c r="FE59" i="25" s="1"/>
  <c r="FF59" i="25" s="1"/>
  <c r="EP59" i="25"/>
  <c r="FC104" i="25"/>
  <c r="FE104" i="25" s="1"/>
  <c r="FF104" i="25" s="1"/>
  <c r="EP104" i="25"/>
  <c r="FC43" i="25"/>
  <c r="FE43" i="25" s="1"/>
  <c r="FF43" i="25" s="1"/>
  <c r="EP43" i="25"/>
  <c r="EP38" i="25"/>
  <c r="FC38" i="25"/>
  <c r="FE38" i="25" s="1"/>
  <c r="FF38" i="25" s="1"/>
  <c r="EP118" i="25"/>
  <c r="FC118" i="25"/>
  <c r="FE118" i="25" s="1"/>
  <c r="FF118" i="25" s="1"/>
  <c r="EP144" i="25"/>
  <c r="FC144" i="25"/>
  <c r="FE144" i="25" s="1"/>
  <c r="FF144" i="25" s="1"/>
  <c r="EP133" i="25"/>
  <c r="FC133" i="25"/>
  <c r="FE133" i="25" s="1"/>
  <c r="FF133" i="25" s="1"/>
  <c r="EP92" i="25"/>
  <c r="FC92" i="25"/>
  <c r="FE92" i="25" s="1"/>
  <c r="FF92" i="25" s="1"/>
  <c r="FC48" i="25"/>
  <c r="FE48" i="25" s="1"/>
  <c r="FF48" i="25" s="1"/>
  <c r="EP48" i="25"/>
  <c r="EW125" i="24"/>
  <c r="FB125" i="24" s="1"/>
  <c r="EK125" i="24"/>
  <c r="EK151" i="24"/>
  <c r="EW151" i="24"/>
  <c r="FB151" i="24" s="1"/>
  <c r="EK137" i="24"/>
  <c r="EW137" i="24"/>
  <c r="FB137" i="24" s="1"/>
  <c r="EW180" i="24"/>
  <c r="FB180" i="24" s="1"/>
  <c r="EK180" i="24"/>
  <c r="EK129" i="24"/>
  <c r="EW129" i="24"/>
  <c r="FB129" i="24" s="1"/>
  <c r="EW64" i="24"/>
  <c r="EZ64" i="24" s="1"/>
  <c r="FB64" i="24" s="1"/>
  <c r="EK64" i="24"/>
  <c r="EQ64" i="24" s="1"/>
  <c r="EK205" i="24"/>
  <c r="EW205" i="24"/>
  <c r="FB205" i="24" s="1"/>
  <c r="EW7" i="24"/>
  <c r="EZ7" i="24" s="1"/>
  <c r="FB7" i="24" s="1"/>
  <c r="EK7" i="24"/>
  <c r="EQ7" i="24" s="1"/>
  <c r="ER30" i="24"/>
  <c r="EK187" i="24"/>
  <c r="EW187" i="24"/>
  <c r="FB187" i="24" s="1"/>
  <c r="EW128" i="24"/>
  <c r="FB128" i="24" s="1"/>
  <c r="EK128" i="24"/>
  <c r="EW88" i="24"/>
  <c r="EZ88" i="24" s="1"/>
  <c r="FB88" i="24" s="1"/>
  <c r="EK88" i="24"/>
  <c r="EQ88" i="24" s="1"/>
  <c r="EK188" i="24"/>
  <c r="EW188" i="24"/>
  <c r="FB188" i="24" s="1"/>
  <c r="EK189" i="24"/>
  <c r="EW189" i="24"/>
  <c r="FB189" i="24" s="1"/>
  <c r="EW20" i="24"/>
  <c r="EZ20" i="24" s="1"/>
  <c r="FB20" i="24" s="1"/>
  <c r="EK20" i="24"/>
  <c r="EQ20" i="24" s="1"/>
  <c r="EK120" i="24"/>
  <c r="EW120" i="24"/>
  <c r="FB120" i="24" s="1"/>
  <c r="EW86" i="24"/>
  <c r="EZ86" i="24" s="1"/>
  <c r="FB86" i="24" s="1"/>
  <c r="EK86" i="24"/>
  <c r="EQ86" i="24" s="1"/>
  <c r="EW113" i="24"/>
  <c r="FB113" i="24" s="1"/>
  <c r="EK113" i="24"/>
  <c r="EK46" i="24"/>
  <c r="EQ46" i="24" s="1"/>
  <c r="EW46" i="24"/>
  <c r="EZ46" i="24" s="1"/>
  <c r="FB46" i="24" s="1"/>
  <c r="EW116" i="24"/>
  <c r="FB116" i="24" s="1"/>
  <c r="EK116" i="24"/>
  <c r="EK206" i="24"/>
  <c r="EW206" i="24"/>
  <c r="FB206" i="24" s="1"/>
  <c r="EK157" i="24"/>
  <c r="EW157" i="24"/>
  <c r="FB157" i="24" s="1"/>
  <c r="EK25" i="24"/>
  <c r="EQ25" i="24" s="1"/>
  <c r="EW25" i="24"/>
  <c r="EZ25" i="24" s="1"/>
  <c r="FB25" i="24" s="1"/>
  <c r="EW54" i="24"/>
  <c r="EZ54" i="24" s="1"/>
  <c r="FB54" i="24" s="1"/>
  <c r="EK54" i="24"/>
  <c r="EQ54" i="24" s="1"/>
  <c r="EK173" i="24"/>
  <c r="EW173" i="24"/>
  <c r="FB173" i="24" s="1"/>
  <c r="EK163" i="24"/>
  <c r="EW163" i="24"/>
  <c r="FB163" i="24" s="1"/>
  <c r="EW65" i="24"/>
  <c r="EZ65" i="24" s="1"/>
  <c r="FB65" i="24" s="1"/>
  <c r="EK65" i="24"/>
  <c r="EQ65" i="24" s="1"/>
  <c r="EK118" i="24"/>
  <c r="EW118" i="24"/>
  <c r="FB118" i="24" s="1"/>
  <c r="EK53" i="24"/>
  <c r="EQ53" i="24" s="1"/>
  <c r="EW53" i="24"/>
  <c r="EZ53" i="24" s="1"/>
  <c r="FB53" i="24" s="1"/>
  <c r="EW155" i="24"/>
  <c r="FB155" i="24" s="1"/>
  <c r="EK155" i="24"/>
  <c r="EK210" i="24"/>
  <c r="EW210" i="24"/>
  <c r="FB210" i="24" s="1"/>
  <c r="EW98" i="24"/>
  <c r="EZ98" i="24" s="1"/>
  <c r="FB98" i="24" s="1"/>
  <c r="EK98" i="24"/>
  <c r="EQ98" i="24" s="1"/>
  <c r="EK200" i="24"/>
  <c r="EW200" i="24"/>
  <c r="FB200" i="24" s="1"/>
  <c r="ER199" i="24"/>
  <c r="EK70" i="24"/>
  <c r="EQ70" i="24" s="1"/>
  <c r="EW70" i="24"/>
  <c r="EZ70" i="24" s="1"/>
  <c r="FB70" i="24" s="1"/>
  <c r="EW26" i="24"/>
  <c r="EZ26" i="24" s="1"/>
  <c r="FB26" i="24" s="1"/>
  <c r="EK26" i="24"/>
  <c r="EQ26" i="24" s="1"/>
  <c r="EK97" i="24"/>
  <c r="EQ97" i="24" s="1"/>
  <c r="EW97" i="24"/>
  <c r="EZ97" i="24" s="1"/>
  <c r="FB97" i="24" s="1"/>
  <c r="EK28" i="24"/>
  <c r="EQ28" i="24" s="1"/>
  <c r="EW28" i="24"/>
  <c r="EZ28" i="24" s="1"/>
  <c r="FB28" i="24" s="1"/>
  <c r="EK146" i="24"/>
  <c r="EW146" i="24"/>
  <c r="FB146" i="24" s="1"/>
  <c r="EK82" i="24"/>
  <c r="EQ82" i="24" s="1"/>
  <c r="EW82" i="24"/>
  <c r="EZ82" i="24" s="1"/>
  <c r="FB82" i="24" s="1"/>
  <c r="ER134" i="24"/>
  <c r="EW164" i="24"/>
  <c r="FB164" i="24" s="1"/>
  <c r="EK164" i="24"/>
  <c r="EW32" i="24"/>
  <c r="EZ32" i="24" s="1"/>
  <c r="FB32" i="24" s="1"/>
  <c r="EK32" i="24"/>
  <c r="EQ32" i="24" s="1"/>
  <c r="EW143" i="24"/>
  <c r="FB143" i="24" s="1"/>
  <c r="EK143" i="24"/>
  <c r="EK68" i="24"/>
  <c r="EQ68" i="24" s="1"/>
  <c r="EW68" i="24"/>
  <c r="EZ68" i="24" s="1"/>
  <c r="FB68" i="24" s="1"/>
  <c r="EK95" i="24"/>
  <c r="EQ95" i="24" s="1"/>
  <c r="EW95" i="24"/>
  <c r="EZ95" i="24" s="1"/>
  <c r="FB95" i="24" s="1"/>
  <c r="EK194" i="24"/>
  <c r="EW194" i="24"/>
  <c r="FB194" i="24" s="1"/>
  <c r="EW208" i="24"/>
  <c r="FB208" i="24" s="1"/>
  <c r="EK208" i="24"/>
  <c r="EK135" i="24"/>
  <c r="EW135" i="24"/>
  <c r="FB135" i="24" s="1"/>
  <c r="EW89" i="24"/>
  <c r="EZ89" i="24" s="1"/>
  <c r="FB89" i="24" s="1"/>
  <c r="EK89" i="24"/>
  <c r="EQ89" i="24" s="1"/>
  <c r="EW123" i="24"/>
  <c r="FB123" i="24" s="1"/>
  <c r="EK123" i="24"/>
  <c r="EW58" i="24"/>
  <c r="EZ58" i="24" s="1"/>
  <c r="FB58" i="24" s="1"/>
  <c r="EK58" i="24"/>
  <c r="EQ58" i="24" s="1"/>
  <c r="EW57" i="24"/>
  <c r="EZ57" i="24" s="1"/>
  <c r="FB57" i="24" s="1"/>
  <c r="EK57" i="24"/>
  <c r="EQ57" i="24" s="1"/>
  <c r="ER10" i="24"/>
  <c r="EK174" i="24"/>
  <c r="EW174" i="24"/>
  <c r="FB174" i="24" s="1"/>
  <c r="EK158" i="24"/>
  <c r="EW158" i="24"/>
  <c r="FB158" i="24" s="1"/>
  <c r="ER71" i="24"/>
  <c r="EK18" i="24"/>
  <c r="EQ18" i="24" s="1"/>
  <c r="EW18" i="24"/>
  <c r="EZ18" i="24" s="1"/>
  <c r="FB18" i="24" s="1"/>
  <c r="EK154" i="24"/>
  <c r="EW154" i="24"/>
  <c r="FB154" i="24" s="1"/>
  <c r="EW84" i="24"/>
  <c r="EZ84" i="24" s="1"/>
  <c r="FB84" i="24" s="1"/>
  <c r="EK84" i="24"/>
  <c r="EQ84" i="24" s="1"/>
  <c r="EW91" i="24"/>
  <c r="EZ91" i="24" s="1"/>
  <c r="FB91" i="24" s="1"/>
  <c r="EK91" i="24"/>
  <c r="EQ91" i="24" s="1"/>
  <c r="EW148" i="24"/>
  <c r="FB148" i="24" s="1"/>
  <c r="EK148" i="24"/>
  <c r="ER132" i="24"/>
  <c r="EW85" i="24"/>
  <c r="EZ85" i="24" s="1"/>
  <c r="FB85" i="24" s="1"/>
  <c r="EK85" i="24"/>
  <c r="EQ85" i="24" s="1"/>
  <c r="EK47" i="24"/>
  <c r="EQ47" i="24" s="1"/>
  <c r="EW47" i="24"/>
  <c r="EZ47" i="24" s="1"/>
  <c r="FB47" i="24" s="1"/>
  <c r="EK130" i="24"/>
  <c r="EW130" i="24"/>
  <c r="FB130" i="24" s="1"/>
  <c r="EK36" i="24"/>
  <c r="EQ36" i="24" s="1"/>
  <c r="EW36" i="24"/>
  <c r="EZ36" i="24" s="1"/>
  <c r="FB36" i="24" s="1"/>
  <c r="EW131" i="24"/>
  <c r="FB131" i="24" s="1"/>
  <c r="EK131" i="24"/>
  <c r="EK114" i="24"/>
  <c r="EW114" i="24"/>
  <c r="FB114" i="24" s="1"/>
  <c r="EK196" i="24"/>
  <c r="EW196" i="24"/>
  <c r="FB196" i="24" s="1"/>
  <c r="EK166" i="24"/>
  <c r="EW166" i="24"/>
  <c r="FB166" i="24" s="1"/>
  <c r="EK150" i="24"/>
  <c r="EW150" i="24"/>
  <c r="FB150" i="24" s="1"/>
  <c r="EK161" i="24"/>
  <c r="EW161" i="24"/>
  <c r="FB161" i="24" s="1"/>
  <c r="EK50" i="24"/>
  <c r="EQ50" i="24" s="1"/>
  <c r="EW50" i="24"/>
  <c r="EZ50" i="24" s="1"/>
  <c r="FB50" i="24" s="1"/>
  <c r="EW197" i="24"/>
  <c r="FB197" i="24" s="1"/>
  <c r="EK197" i="24"/>
  <c r="EW27" i="24"/>
  <c r="EZ27" i="24" s="1"/>
  <c r="FB27" i="24" s="1"/>
  <c r="EK27" i="24"/>
  <c r="EQ27" i="24" s="1"/>
  <c r="EW45" i="24"/>
  <c r="EZ45" i="24" s="1"/>
  <c r="FB45" i="24" s="1"/>
  <c r="EK45" i="24"/>
  <c r="EQ45" i="24" s="1"/>
  <c r="EK198" i="24"/>
  <c r="EW198" i="24"/>
  <c r="FB198" i="24" s="1"/>
  <c r="EW165" i="24"/>
  <c r="FB165" i="24" s="1"/>
  <c r="EK165" i="24"/>
  <c r="EK193" i="24"/>
  <c r="EW193" i="24"/>
  <c r="FB193" i="24" s="1"/>
  <c r="EK34" i="24"/>
  <c r="EQ34" i="24" s="1"/>
  <c r="EW34" i="24"/>
  <c r="EZ34" i="24" s="1"/>
  <c r="FB34" i="24" s="1"/>
  <c r="EW31" i="24"/>
  <c r="EZ31" i="24" s="1"/>
  <c r="FB31" i="24" s="1"/>
  <c r="EK31" i="24"/>
  <c r="EQ31" i="24" s="1"/>
  <c r="EK76" i="24"/>
  <c r="EQ76" i="24" s="1"/>
  <c r="EW76" i="24"/>
  <c r="EZ76" i="24" s="1"/>
  <c r="FB76" i="24" s="1"/>
  <c r="EW140" i="24"/>
  <c r="FB140" i="24" s="1"/>
  <c r="EK140" i="24"/>
  <c r="EW203" i="24"/>
  <c r="FB203" i="24" s="1"/>
  <c r="EK203" i="24"/>
  <c r="ER147" i="24"/>
  <c r="EK178" i="24"/>
  <c r="EW178" i="24"/>
  <c r="FB178" i="24" s="1"/>
  <c r="EK153" i="24"/>
  <c r="EW153" i="24"/>
  <c r="FB153" i="24" s="1"/>
  <c r="EK195" i="24"/>
  <c r="EW195" i="24"/>
  <c r="FB195" i="24" s="1"/>
  <c r="EW185" i="24"/>
  <c r="FB185" i="24" s="1"/>
  <c r="EK185" i="24"/>
  <c r="EK59" i="24"/>
  <c r="EQ59" i="24" s="1"/>
  <c r="EW59" i="24"/>
  <c r="EZ59" i="24" s="1"/>
  <c r="FB59" i="24" s="1"/>
  <c r="EW167" i="24"/>
  <c r="FB167" i="24" s="1"/>
  <c r="EK167" i="24"/>
  <c r="EK184" i="24"/>
  <c r="EW184" i="24"/>
  <c r="FB184" i="24" s="1"/>
  <c r="ER152" i="24"/>
  <c r="EW100" i="24"/>
  <c r="EZ100" i="24" s="1"/>
  <c r="FB100" i="24" s="1"/>
  <c r="EK100" i="24"/>
  <c r="EQ100" i="24" s="1"/>
  <c r="EK72" i="24"/>
  <c r="EQ72" i="24" s="1"/>
  <c r="EW72" i="24"/>
  <c r="EZ72" i="24" s="1"/>
  <c r="FB72" i="24" s="1"/>
  <c r="EW79" i="24"/>
  <c r="EZ79" i="24" s="1"/>
  <c r="FB79" i="24" s="1"/>
  <c r="EK79" i="24"/>
  <c r="EQ79" i="24" s="1"/>
  <c r="EW9" i="24"/>
  <c r="EZ9" i="24" s="1"/>
  <c r="FB9" i="24" s="1"/>
  <c r="EK9" i="24"/>
  <c r="EQ9" i="24" s="1"/>
  <c r="EK56" i="24"/>
  <c r="EQ56" i="24" s="1"/>
  <c r="EW56" i="24"/>
  <c r="EZ56" i="24" s="1"/>
  <c r="FB56" i="24" s="1"/>
  <c r="EK51" i="24"/>
  <c r="EQ51" i="24" s="1"/>
  <c r="EW51" i="24"/>
  <c r="EZ51" i="24" s="1"/>
  <c r="FB51" i="24" s="1"/>
  <c r="EW11" i="24"/>
  <c r="EZ11" i="24" s="1"/>
  <c r="FB11" i="24" s="1"/>
  <c r="EK11" i="24"/>
  <c r="EQ11" i="24" s="1"/>
  <c r="EK49" i="24"/>
  <c r="EQ49" i="24" s="1"/>
  <c r="EW49" i="24"/>
  <c r="EZ49" i="24" s="1"/>
  <c r="FB49" i="24" s="1"/>
  <c r="EK8" i="24"/>
  <c r="EQ8" i="24" s="1"/>
  <c r="EW8" i="24"/>
  <c r="EZ8" i="24" s="1"/>
  <c r="FB8" i="24" s="1"/>
  <c r="ER136" i="24"/>
  <c r="EW22" i="24"/>
  <c r="EZ22" i="24" s="1"/>
  <c r="FB22" i="24" s="1"/>
  <c r="EK22" i="24"/>
  <c r="EQ22" i="24" s="1"/>
  <c r="EW80" i="24"/>
  <c r="EZ80" i="24" s="1"/>
  <c r="FB80" i="24" s="1"/>
  <c r="EK80" i="24"/>
  <c r="EQ80" i="24" s="1"/>
  <c r="EW93" i="24"/>
  <c r="EZ93" i="24" s="1"/>
  <c r="FB93" i="24" s="1"/>
  <c r="EK93" i="24"/>
  <c r="EQ93" i="24" s="1"/>
  <c r="EK103" i="24"/>
  <c r="EQ103" i="24" s="1"/>
  <c r="EW103" i="24"/>
  <c r="EZ103" i="24" s="1"/>
  <c r="FB103" i="24" s="1"/>
  <c r="EK149" i="24"/>
  <c r="EW149" i="24"/>
  <c r="FB149" i="24" s="1"/>
  <c r="EW75" i="24"/>
  <c r="EZ75" i="24" s="1"/>
  <c r="FB75" i="24" s="1"/>
  <c r="EK75" i="24"/>
  <c r="EQ75" i="24" s="1"/>
  <c r="EW144" i="24"/>
  <c r="FB144" i="24" s="1"/>
  <c r="EK144" i="24"/>
  <c r="EK182" i="24"/>
  <c r="EW182" i="24"/>
  <c r="FB182" i="24" s="1"/>
  <c r="EK209" i="24"/>
  <c r="EW209" i="24"/>
  <c r="FB209" i="24" s="1"/>
  <c r="ER104" i="24"/>
  <c r="EW94" i="24"/>
  <c r="EZ94" i="24" s="1"/>
  <c r="FB94" i="24" s="1"/>
  <c r="EK94" i="24"/>
  <c r="EQ94" i="24" s="1"/>
  <c r="ER127" i="24"/>
  <c r="EK202" i="24"/>
  <c r="EW202" i="24"/>
  <c r="FB202" i="24" s="1"/>
  <c r="EK16" i="24"/>
  <c r="EQ16" i="24" s="1"/>
  <c r="EW16" i="24"/>
  <c r="EZ16" i="24" s="1"/>
  <c r="FB16" i="24" s="1"/>
  <c r="EK87" i="24"/>
  <c r="EQ87" i="24" s="1"/>
  <c r="EW87" i="24"/>
  <c r="EZ87" i="24" s="1"/>
  <c r="FB87" i="24" s="1"/>
  <c r="EW183" i="24"/>
  <c r="FB183" i="24" s="1"/>
  <c r="EK183" i="24"/>
  <c r="EW38" i="24"/>
  <c r="EZ38" i="24" s="1"/>
  <c r="FB38" i="24" s="1"/>
  <c r="EK38" i="24"/>
  <c r="EQ38" i="24" s="1"/>
  <c r="EW141" i="24"/>
  <c r="FB141" i="24" s="1"/>
  <c r="EK141" i="24"/>
  <c r="EK138" i="24"/>
  <c r="EW138" i="24"/>
  <c r="FB138" i="24" s="1"/>
  <c r="EK17" i="24"/>
  <c r="EQ17" i="24" s="1"/>
  <c r="EW17" i="24"/>
  <c r="EZ17" i="24" s="1"/>
  <c r="FB17" i="24" s="1"/>
  <c r="ER48" i="24"/>
  <c r="EW105" i="24"/>
  <c r="EZ105" i="24" s="1"/>
  <c r="FB105" i="24" s="1"/>
  <c r="EK105" i="24"/>
  <c r="EQ105" i="24" s="1"/>
  <c r="ER29" i="24"/>
  <c r="EW121" i="24"/>
  <c r="FB121" i="24" s="1"/>
  <c r="EK121" i="24"/>
  <c r="EW69" i="24"/>
  <c r="EZ69" i="24" s="1"/>
  <c r="FB69" i="24" s="1"/>
  <c r="EK69" i="24"/>
  <c r="EQ69" i="24" s="1"/>
  <c r="EK181" i="24"/>
  <c r="EW181" i="24"/>
  <c r="FB181" i="24" s="1"/>
  <c r="EK24" i="24"/>
  <c r="EQ24" i="24" s="1"/>
  <c r="EW24" i="24"/>
  <c r="EZ24" i="24" s="1"/>
  <c r="FB24" i="24" s="1"/>
  <c r="EW179" i="24"/>
  <c r="FB179" i="24" s="1"/>
  <c r="EK179" i="24"/>
  <c r="EW102" i="24"/>
  <c r="EZ102" i="24" s="1"/>
  <c r="FB102" i="24" s="1"/>
  <c r="EK102" i="24"/>
  <c r="EQ102" i="24" s="1"/>
  <c r="EK175" i="24"/>
  <c r="EW175" i="24"/>
  <c r="FB175" i="24" s="1"/>
  <c r="EK101" i="24"/>
  <c r="EQ101" i="24" s="1"/>
  <c r="EW101" i="24"/>
  <c r="EZ101" i="24" s="1"/>
  <c r="FB101" i="24" s="1"/>
  <c r="ER83" i="24"/>
  <c r="EK19" i="24"/>
  <c r="EQ19" i="24" s="1"/>
  <c r="EW19" i="24"/>
  <c r="EZ19" i="24" s="1"/>
  <c r="FB19" i="24" s="1"/>
  <c r="EW73" i="24"/>
  <c r="EZ73" i="24" s="1"/>
  <c r="FB73" i="24" s="1"/>
  <c r="EK73" i="24"/>
  <c r="EQ73" i="24" s="1"/>
  <c r="ER126" i="24"/>
  <c r="EK15" i="24"/>
  <c r="EQ15" i="24" s="1"/>
  <c r="EW15" i="24"/>
  <c r="EZ15" i="24" s="1"/>
  <c r="FB15" i="24" s="1"/>
  <c r="EW117" i="24"/>
  <c r="FB117" i="24" s="1"/>
  <c r="EK117" i="24"/>
  <c r="EK122" i="24"/>
  <c r="EW122" i="24"/>
  <c r="FB122" i="24" s="1"/>
  <c r="EK119" i="24"/>
  <c r="EW119" i="24"/>
  <c r="FB119" i="24" s="1"/>
  <c r="EW35" i="24"/>
  <c r="EZ35" i="24" s="1"/>
  <c r="FB35" i="24" s="1"/>
  <c r="EK35" i="24"/>
  <c r="EQ35" i="24" s="1"/>
  <c r="EW33" i="24"/>
  <c r="EZ33" i="24" s="1"/>
  <c r="FB33" i="24" s="1"/>
  <c r="EK33" i="24"/>
  <c r="EQ33" i="24" s="1"/>
  <c r="EW115" i="24"/>
  <c r="FB115" i="24" s="1"/>
  <c r="EK115" i="24"/>
  <c r="EK66" i="24"/>
  <c r="EQ66" i="24" s="1"/>
  <c r="EW66" i="24"/>
  <c r="EZ66" i="24" s="1"/>
  <c r="FB66" i="24" s="1"/>
  <c r="EK12" i="24"/>
  <c r="EQ12" i="24" s="1"/>
  <c r="EW12" i="24"/>
  <c r="EZ12" i="24" s="1"/>
  <c r="FB12" i="24" s="1"/>
  <c r="EW156" i="24"/>
  <c r="FB156" i="24" s="1"/>
  <c r="EK156" i="24"/>
  <c r="EW42" i="24"/>
  <c r="EZ42" i="24" s="1"/>
  <c r="FB42" i="24" s="1"/>
  <c r="EK42" i="24"/>
  <c r="EQ42" i="24" s="1"/>
  <c r="EW41" i="24"/>
  <c r="EZ41" i="24" s="1"/>
  <c r="FB41" i="24" s="1"/>
  <c r="EK41" i="24"/>
  <c r="EQ41" i="24" s="1"/>
  <c r="ER160" i="24"/>
  <c r="ER186" i="24"/>
  <c r="EW176" i="24"/>
  <c r="FB176" i="24" s="1"/>
  <c r="EK176" i="24"/>
  <c r="EK207" i="24"/>
  <c r="EW207" i="24"/>
  <c r="FB207" i="24" s="1"/>
  <c r="ER37" i="24"/>
  <c r="EK6" i="24"/>
  <c r="EQ6" i="24" s="1"/>
  <c r="EW6" i="24"/>
  <c r="EZ6" i="24" s="1"/>
  <c r="FB6" i="24" s="1"/>
  <c r="ER190" i="24"/>
  <c r="FC190" i="24"/>
  <c r="FE190" i="24" s="1"/>
  <c r="FF190" i="24" s="1"/>
  <c r="EK162" i="24"/>
  <c r="EW162" i="24"/>
  <c r="FB162" i="24" s="1"/>
  <c r="EK145" i="24"/>
  <c r="EW145" i="24"/>
  <c r="FB145" i="24" s="1"/>
  <c r="EK171" i="24"/>
  <c r="EW171" i="24"/>
  <c r="FB171" i="24" s="1"/>
  <c r="EW177" i="24"/>
  <c r="FB177" i="24" s="1"/>
  <c r="EK177" i="24"/>
  <c r="ER201" i="24"/>
  <c r="EK204" i="24"/>
  <c r="EW204" i="24"/>
  <c r="FB204" i="24" s="1"/>
  <c r="EW112" i="24"/>
  <c r="FB112" i="24" s="1"/>
  <c r="EK112" i="24"/>
  <c r="EK191" i="24"/>
  <c r="EW191" i="24"/>
  <c r="FB191" i="24" s="1"/>
  <c r="EW168" i="24"/>
  <c r="FB168" i="24" s="1"/>
  <c r="EK168" i="24"/>
  <c r="EK139" i="24"/>
  <c r="EW139" i="24"/>
  <c r="FB139" i="24" s="1"/>
  <c r="EK21" i="24"/>
  <c r="EQ21" i="24" s="1"/>
  <c r="EW21" i="24"/>
  <c r="EZ21" i="24" s="1"/>
  <c r="FB21" i="24" s="1"/>
  <c r="ER13" i="24"/>
  <c r="EW61" i="24"/>
  <c r="EZ61" i="24" s="1"/>
  <c r="FB61" i="24" s="1"/>
  <c r="EK61" i="24"/>
  <c r="EQ61" i="24" s="1"/>
  <c r="ER124" i="24"/>
  <c r="F66" i="19"/>
  <c r="J9" i="8"/>
  <c r="U216" i="24" l="1"/>
  <c r="FC216" i="25"/>
  <c r="FE216" i="25" s="1"/>
  <c r="FF216" i="25" s="1"/>
  <c r="Y110" i="24"/>
  <c r="FC96" i="24"/>
  <c r="FE96" i="24" s="1"/>
  <c r="FF96" i="24" s="1"/>
  <c r="FC159" i="24"/>
  <c r="FE159" i="24" s="1"/>
  <c r="FF159" i="24" s="1"/>
  <c r="FC243" i="24"/>
  <c r="FE243" i="24" s="1"/>
  <c r="FF243" i="24" s="1"/>
  <c r="FC132" i="24"/>
  <c r="FE132" i="24" s="1"/>
  <c r="FF132" i="24" s="1"/>
  <c r="ER142" i="24"/>
  <c r="CL212" i="24"/>
  <c r="DQ212" i="24"/>
  <c r="ES212" i="24"/>
  <c r="EV212" i="24" s="1"/>
  <c r="CW212" i="24"/>
  <c r="CX212" i="24" s="1"/>
  <c r="CY212" i="24"/>
  <c r="CU212" i="24"/>
  <c r="FC285" i="24"/>
  <c r="FE285" i="24" s="1"/>
  <c r="FF285" i="24" s="1"/>
  <c r="F212" i="24"/>
  <c r="FC92" i="24"/>
  <c r="FE92" i="24" s="1"/>
  <c r="FF92" i="24" s="1"/>
  <c r="FC78" i="24"/>
  <c r="FE78" i="24" s="1"/>
  <c r="FF78" i="24" s="1"/>
  <c r="FC60" i="24"/>
  <c r="FE60" i="24" s="1"/>
  <c r="FF60" i="24" s="1"/>
  <c r="ER60" i="24"/>
  <c r="FC74" i="24"/>
  <c r="FE74" i="24" s="1"/>
  <c r="FF74" i="24" s="1"/>
  <c r="ER221" i="24"/>
  <c r="FC221" i="24"/>
  <c r="FE221" i="24" s="1"/>
  <c r="FF221" i="24" s="1"/>
  <c r="ER290" i="24"/>
  <c r="FC290" i="24"/>
  <c r="FE290" i="24" s="1"/>
  <c r="FF290" i="24" s="1"/>
  <c r="ER276" i="24"/>
  <c r="FC276" i="24"/>
  <c r="FE276" i="24" s="1"/>
  <c r="FF276" i="24" s="1"/>
  <c r="FC277" i="24"/>
  <c r="FE277" i="24" s="1"/>
  <c r="FF277" i="24" s="1"/>
  <c r="ER277" i="24"/>
  <c r="ER286" i="24"/>
  <c r="FC286" i="24"/>
  <c r="FE286" i="24" s="1"/>
  <c r="FF286" i="24" s="1"/>
  <c r="FC313" i="24"/>
  <c r="FE313" i="24" s="1"/>
  <c r="FF313" i="24" s="1"/>
  <c r="ER313" i="24"/>
  <c r="ER304" i="24"/>
  <c r="FC304" i="24"/>
  <c r="FE304" i="24" s="1"/>
  <c r="FF304" i="24" s="1"/>
  <c r="ER244" i="24"/>
  <c r="FC244" i="24"/>
  <c r="FE244" i="24" s="1"/>
  <c r="FF244" i="24" s="1"/>
  <c r="ER230" i="24"/>
  <c r="FC230" i="24"/>
  <c r="FE230" i="24" s="1"/>
  <c r="FF230" i="24" s="1"/>
  <c r="ER294" i="24"/>
  <c r="FC294" i="24"/>
  <c r="FE294" i="24" s="1"/>
  <c r="FF294" i="24" s="1"/>
  <c r="ER225" i="24"/>
  <c r="FC225" i="24"/>
  <c r="FE225" i="24" s="1"/>
  <c r="FF225" i="24" s="1"/>
  <c r="FC250" i="24"/>
  <c r="FE250" i="24" s="1"/>
  <c r="FF250" i="24" s="1"/>
  <c r="ER250" i="24"/>
  <c r="ER303" i="24"/>
  <c r="FC303" i="24"/>
  <c r="FE303" i="24" s="1"/>
  <c r="FF303" i="24" s="1"/>
  <c r="ER269" i="24"/>
  <c r="FC269" i="24"/>
  <c r="FE269" i="24" s="1"/>
  <c r="FF269" i="24" s="1"/>
  <c r="ER252" i="24"/>
  <c r="FC252" i="24"/>
  <c r="FE252" i="24" s="1"/>
  <c r="FF252" i="24" s="1"/>
  <c r="ER300" i="24"/>
  <c r="FC300" i="24"/>
  <c r="FE300" i="24" s="1"/>
  <c r="FF300" i="24" s="1"/>
  <c r="ER312" i="24"/>
  <c r="FC312" i="24"/>
  <c r="FE312" i="24" s="1"/>
  <c r="FF312" i="24" s="1"/>
  <c r="FC259" i="24"/>
  <c r="FE259" i="24" s="1"/>
  <c r="FF259" i="24" s="1"/>
  <c r="ER259" i="24"/>
  <c r="ER280" i="24"/>
  <c r="FC280" i="24"/>
  <c r="FE280" i="24" s="1"/>
  <c r="FF280" i="24" s="1"/>
  <c r="ER273" i="24"/>
  <c r="FC273" i="24"/>
  <c r="FE273" i="24" s="1"/>
  <c r="FF273" i="24" s="1"/>
  <c r="ER233" i="24"/>
  <c r="FC233" i="24"/>
  <c r="FE233" i="24" s="1"/>
  <c r="FF233" i="24" s="1"/>
  <c r="FC238" i="24"/>
  <c r="FE238" i="24" s="1"/>
  <c r="FF238" i="24" s="1"/>
  <c r="ER238" i="24"/>
  <c r="ER263" i="24"/>
  <c r="FC263" i="24"/>
  <c r="FE263" i="24" s="1"/>
  <c r="FF263" i="24" s="1"/>
  <c r="ER301" i="24"/>
  <c r="FC301" i="24"/>
  <c r="FE301" i="24" s="1"/>
  <c r="FF301" i="24" s="1"/>
  <c r="ER302" i="24"/>
  <c r="FC302" i="24"/>
  <c r="FE302" i="24" s="1"/>
  <c r="FF302" i="24" s="1"/>
  <c r="FC254" i="24"/>
  <c r="FE254" i="24" s="1"/>
  <c r="FF254" i="24" s="1"/>
  <c r="ER254" i="24"/>
  <c r="FC295" i="24"/>
  <c r="FE295" i="24" s="1"/>
  <c r="FF295" i="24" s="1"/>
  <c r="ER295" i="24"/>
  <c r="ER240" i="24"/>
  <c r="FC240" i="24"/>
  <c r="FE240" i="24" s="1"/>
  <c r="FF240" i="24" s="1"/>
  <c r="ER231" i="24"/>
  <c r="FC231" i="24"/>
  <c r="FE231" i="24" s="1"/>
  <c r="FF231" i="24" s="1"/>
  <c r="FC265" i="24"/>
  <c r="FE265" i="24" s="1"/>
  <c r="FF265" i="24" s="1"/>
  <c r="ER265" i="24"/>
  <c r="ER266" i="24"/>
  <c r="FC266" i="24"/>
  <c r="FE266" i="24" s="1"/>
  <c r="FF266" i="24" s="1"/>
  <c r="FC255" i="24"/>
  <c r="FE255" i="24" s="1"/>
  <c r="FF255" i="24" s="1"/>
  <c r="ER255" i="24"/>
  <c r="FC289" i="24"/>
  <c r="FE289" i="24" s="1"/>
  <c r="FF289" i="24" s="1"/>
  <c r="ER289" i="24"/>
  <c r="FC267" i="24"/>
  <c r="FE267" i="24" s="1"/>
  <c r="FF267" i="24" s="1"/>
  <c r="ER267" i="24"/>
  <c r="ER282" i="24"/>
  <c r="FC282" i="24"/>
  <c r="FE282" i="24" s="1"/>
  <c r="FF282" i="24" s="1"/>
  <c r="FC258" i="24"/>
  <c r="FE258" i="24" s="1"/>
  <c r="FF258" i="24" s="1"/>
  <c r="ER258" i="24"/>
  <c r="ER310" i="24"/>
  <c r="FC310" i="24"/>
  <c r="FE310" i="24" s="1"/>
  <c r="FF310" i="24" s="1"/>
  <c r="ER278" i="24"/>
  <c r="FC278" i="24"/>
  <c r="FE278" i="24" s="1"/>
  <c r="FF278" i="24" s="1"/>
  <c r="FC245" i="24"/>
  <c r="FE245" i="24" s="1"/>
  <c r="FF245" i="24" s="1"/>
  <c r="ER245" i="24"/>
  <c r="ER307" i="24"/>
  <c r="FC307" i="24"/>
  <c r="FE307" i="24" s="1"/>
  <c r="FF307" i="24" s="1"/>
  <c r="ER297" i="24"/>
  <c r="FC297" i="24"/>
  <c r="FE297" i="24" s="1"/>
  <c r="FF297" i="24" s="1"/>
  <c r="ER315" i="24"/>
  <c r="FC315" i="24"/>
  <c r="FE315" i="24" s="1"/>
  <c r="FF315" i="24" s="1"/>
  <c r="ER227" i="24"/>
  <c r="FC227" i="24"/>
  <c r="FE227" i="24" s="1"/>
  <c r="FF227" i="24" s="1"/>
  <c r="ER309" i="24"/>
  <c r="FC309" i="24"/>
  <c r="FE309" i="24" s="1"/>
  <c r="FF309" i="24" s="1"/>
  <c r="FC274" i="24"/>
  <c r="FE274" i="24" s="1"/>
  <c r="FF274" i="24" s="1"/>
  <c r="ER274" i="24"/>
  <c r="ER299" i="24"/>
  <c r="FC299" i="24"/>
  <c r="FE299" i="24" s="1"/>
  <c r="FF299" i="24" s="1"/>
  <c r="ER262" i="24"/>
  <c r="FC262" i="24"/>
  <c r="FE262" i="24" s="1"/>
  <c r="FF262" i="24" s="1"/>
  <c r="FC281" i="24"/>
  <c r="FE281" i="24" s="1"/>
  <c r="FF281" i="24" s="1"/>
  <c r="ER281" i="24"/>
  <c r="ER253" i="24"/>
  <c r="FC253" i="24"/>
  <c r="FE253" i="24" s="1"/>
  <c r="FF253" i="24" s="1"/>
  <c r="ER298" i="24"/>
  <c r="FC298" i="24"/>
  <c r="FE298" i="24" s="1"/>
  <c r="FF298" i="24" s="1"/>
  <c r="FC249" i="24"/>
  <c r="FE249" i="24" s="1"/>
  <c r="FF249" i="24" s="1"/>
  <c r="ER249" i="24"/>
  <c r="ER219" i="24"/>
  <c r="FC219" i="24"/>
  <c r="FE219" i="24" s="1"/>
  <c r="FF219" i="24" s="1"/>
  <c r="FC247" i="24"/>
  <c r="FE247" i="24" s="1"/>
  <c r="FF247" i="24" s="1"/>
  <c r="ER247" i="24"/>
  <c r="FC287" i="24"/>
  <c r="FE287" i="24" s="1"/>
  <c r="FF287" i="24" s="1"/>
  <c r="ER287" i="24"/>
  <c r="FC314" i="24"/>
  <c r="FE314" i="24" s="1"/>
  <c r="FF314" i="24" s="1"/>
  <c r="ER314" i="24"/>
  <c r="FC235" i="24"/>
  <c r="FE235" i="24" s="1"/>
  <c r="FF235" i="24" s="1"/>
  <c r="ER235" i="24"/>
  <c r="ER311" i="24"/>
  <c r="FC311" i="24"/>
  <c r="FE311" i="24" s="1"/>
  <c r="FF311" i="24" s="1"/>
  <c r="ER217" i="24"/>
  <c r="FC217" i="24"/>
  <c r="FE217" i="24" s="1"/>
  <c r="FF217" i="24" s="1"/>
  <c r="ER305" i="24"/>
  <c r="FC305" i="24"/>
  <c r="FE305" i="24" s="1"/>
  <c r="FF305" i="24" s="1"/>
  <c r="ER239" i="24"/>
  <c r="FC239" i="24"/>
  <c r="FE239" i="24" s="1"/>
  <c r="FF239" i="24" s="1"/>
  <c r="FC228" i="24"/>
  <c r="FE228" i="24" s="1"/>
  <c r="FF228" i="24" s="1"/>
  <c r="ER228" i="24"/>
  <c r="ER257" i="24"/>
  <c r="FC257" i="24"/>
  <c r="FE257" i="24" s="1"/>
  <c r="FF257" i="24" s="1"/>
  <c r="FC251" i="24"/>
  <c r="FE251" i="24" s="1"/>
  <c r="FF251" i="24" s="1"/>
  <c r="ER251" i="24"/>
  <c r="ER268" i="24"/>
  <c r="FC268" i="24"/>
  <c r="FE268" i="24" s="1"/>
  <c r="FF268" i="24" s="1"/>
  <c r="ER291" i="24"/>
  <c r="FC291" i="24"/>
  <c r="FE291" i="24" s="1"/>
  <c r="FF291" i="24" s="1"/>
  <c r="ER237" i="24"/>
  <c r="FC237" i="24"/>
  <c r="FE237" i="24" s="1"/>
  <c r="FF237" i="24" s="1"/>
  <c r="ER256" i="24"/>
  <c r="FC256" i="24"/>
  <c r="FE256" i="24" s="1"/>
  <c r="FF256" i="24" s="1"/>
  <c r="ER223" i="24"/>
  <c r="FC223" i="24"/>
  <c r="FE223" i="24" s="1"/>
  <c r="FF223" i="24" s="1"/>
  <c r="ER283" i="24"/>
  <c r="FC283" i="24"/>
  <c r="FE283" i="24" s="1"/>
  <c r="FF283" i="24" s="1"/>
  <c r="FC236" i="24"/>
  <c r="FE236" i="24" s="1"/>
  <c r="FF236" i="24" s="1"/>
  <c r="ER236" i="24"/>
  <c r="FC232" i="24"/>
  <c r="FE232" i="24" s="1"/>
  <c r="FF232" i="24" s="1"/>
  <c r="ER232" i="24"/>
  <c r="FC306" i="24"/>
  <c r="FE306" i="24" s="1"/>
  <c r="FF306" i="24" s="1"/>
  <c r="ER306" i="24"/>
  <c r="FC271" i="24"/>
  <c r="FE271" i="24" s="1"/>
  <c r="FF271" i="24" s="1"/>
  <c r="ER271" i="24"/>
  <c r="FC229" i="24"/>
  <c r="FE229" i="24" s="1"/>
  <c r="FF229" i="24" s="1"/>
  <c r="ER229" i="24"/>
  <c r="FC241" i="24"/>
  <c r="FE241" i="24" s="1"/>
  <c r="FF241" i="24" s="1"/>
  <c r="ER241" i="24"/>
  <c r="FC293" i="24"/>
  <c r="FE293" i="24" s="1"/>
  <c r="FF293" i="24" s="1"/>
  <c r="ER293" i="24"/>
  <c r="ER260" i="24"/>
  <c r="FC260" i="24"/>
  <c r="FE260" i="24" s="1"/>
  <c r="FF260" i="24" s="1"/>
  <c r="ER220" i="24"/>
  <c r="FC220" i="24"/>
  <c r="FE220" i="24" s="1"/>
  <c r="FF220" i="24" s="1"/>
  <c r="ER222" i="24"/>
  <c r="FC222" i="24"/>
  <c r="FE222" i="24" s="1"/>
  <c r="FF222" i="24" s="1"/>
  <c r="ER296" i="24"/>
  <c r="FC296" i="24"/>
  <c r="FE296" i="24" s="1"/>
  <c r="FF296" i="24" s="1"/>
  <c r="FC261" i="24"/>
  <c r="FE261" i="24" s="1"/>
  <c r="FF261" i="24" s="1"/>
  <c r="ER261" i="24"/>
  <c r="ER218" i="24"/>
  <c r="FC218" i="24"/>
  <c r="FE218" i="24" s="1"/>
  <c r="FF218" i="24" s="1"/>
  <c r="FC288" i="24"/>
  <c r="FE288" i="24" s="1"/>
  <c r="FF288" i="24" s="1"/>
  <c r="ER288" i="24"/>
  <c r="FC224" i="24"/>
  <c r="FE224" i="24" s="1"/>
  <c r="FF224" i="24" s="1"/>
  <c r="ER224" i="24"/>
  <c r="ER264" i="24"/>
  <c r="FC264" i="24"/>
  <c r="FE264" i="24" s="1"/>
  <c r="FF264" i="24" s="1"/>
  <c r="FC275" i="24"/>
  <c r="FE275" i="24" s="1"/>
  <c r="FF275" i="24" s="1"/>
  <c r="ER275" i="24"/>
  <c r="FC279" i="24"/>
  <c r="FE279" i="24" s="1"/>
  <c r="FF279" i="24" s="1"/>
  <c r="ER279" i="24"/>
  <c r="FC226" i="24"/>
  <c r="FE226" i="24" s="1"/>
  <c r="FF226" i="24" s="1"/>
  <c r="ER226" i="24"/>
  <c r="ER272" i="24"/>
  <c r="FC272" i="24"/>
  <c r="FE272" i="24" s="1"/>
  <c r="FF272" i="24" s="1"/>
  <c r="ER292" i="24"/>
  <c r="FC292" i="24"/>
  <c r="FE292" i="24" s="1"/>
  <c r="FF292" i="24" s="1"/>
  <c r="FC308" i="24"/>
  <c r="FE308" i="24" s="1"/>
  <c r="FF308" i="24" s="1"/>
  <c r="ER308" i="24"/>
  <c r="FC234" i="24"/>
  <c r="FE234" i="24" s="1"/>
  <c r="FF234" i="24" s="1"/>
  <c r="ER234" i="24"/>
  <c r="FC246" i="24"/>
  <c r="FE246" i="24" s="1"/>
  <c r="FF246" i="24" s="1"/>
  <c r="ER246" i="24"/>
  <c r="FC316" i="24"/>
  <c r="FE316" i="24" s="1"/>
  <c r="FF316" i="24" s="1"/>
  <c r="ER316" i="24"/>
  <c r="ER270" i="24"/>
  <c r="FC270" i="24"/>
  <c r="FE270" i="24" s="1"/>
  <c r="FF270" i="24" s="1"/>
  <c r="FC284" i="24"/>
  <c r="FE284" i="24" s="1"/>
  <c r="FF284" i="24" s="1"/>
  <c r="ER284" i="24"/>
  <c r="ER248" i="24"/>
  <c r="FC248" i="24"/>
  <c r="FE248" i="24" s="1"/>
  <c r="FF248" i="24" s="1"/>
  <c r="FC39" i="24"/>
  <c r="FE39" i="24" s="1"/>
  <c r="FF39" i="24" s="1"/>
  <c r="FC152" i="24"/>
  <c r="FE152" i="24" s="1"/>
  <c r="FF152" i="24" s="1"/>
  <c r="FC44" i="24"/>
  <c r="FE44" i="24" s="1"/>
  <c r="FF44" i="24" s="1"/>
  <c r="FC199" i="24"/>
  <c r="FE199" i="24" s="1"/>
  <c r="FF199" i="24" s="1"/>
  <c r="FC160" i="24"/>
  <c r="FE160" i="24" s="1"/>
  <c r="FF160" i="24" s="1"/>
  <c r="FB134" i="24"/>
  <c r="ER111" i="24"/>
  <c r="FC23" i="24"/>
  <c r="FE23" i="24" s="1"/>
  <c r="FF23" i="24" s="1"/>
  <c r="FC192" i="24"/>
  <c r="FE192" i="24" s="1"/>
  <c r="FF192" i="24" s="1"/>
  <c r="FC186" i="24"/>
  <c r="FE186" i="24" s="1"/>
  <c r="FF186" i="24" s="1"/>
  <c r="FC133" i="24"/>
  <c r="FE133" i="24" s="1"/>
  <c r="FF133" i="24" s="1"/>
  <c r="FC126" i="24"/>
  <c r="FE126" i="24" s="1"/>
  <c r="FF126" i="24" s="1"/>
  <c r="FC127" i="24"/>
  <c r="FE127" i="24" s="1"/>
  <c r="FF127" i="24" s="1"/>
  <c r="FC52" i="24"/>
  <c r="FE52" i="24" s="1"/>
  <c r="FF52" i="24" s="1"/>
  <c r="ER169" i="24"/>
  <c r="FC169" i="24"/>
  <c r="FE169" i="24" s="1"/>
  <c r="FF169" i="24" s="1"/>
  <c r="FC104" i="24"/>
  <c r="FE104" i="24" s="1"/>
  <c r="FF104" i="24" s="1"/>
  <c r="FC63" i="24"/>
  <c r="FE63" i="24" s="1"/>
  <c r="FF63" i="24" s="1"/>
  <c r="FC201" i="24"/>
  <c r="FE201" i="24" s="1"/>
  <c r="FF201" i="24" s="1"/>
  <c r="FC14" i="24"/>
  <c r="FE14" i="24" s="1"/>
  <c r="FF14" i="24" s="1"/>
  <c r="FC136" i="24"/>
  <c r="FE136" i="24" s="1"/>
  <c r="FF136" i="24" s="1"/>
  <c r="FC124" i="24"/>
  <c r="FE124" i="24" s="1"/>
  <c r="FF124" i="24" s="1"/>
  <c r="ER170" i="24"/>
  <c r="ER14" i="24"/>
  <c r="FB147" i="24"/>
  <c r="FC29" i="24"/>
  <c r="FE29" i="24" s="1"/>
  <c r="FF29" i="24" s="1"/>
  <c r="FC43" i="24"/>
  <c r="FE43" i="24" s="1"/>
  <c r="FF43" i="24" s="1"/>
  <c r="FC81" i="24"/>
  <c r="FE81" i="24" s="1"/>
  <c r="FF81" i="24" s="1"/>
  <c r="FC37" i="24"/>
  <c r="FE37" i="24" s="1"/>
  <c r="FF37" i="24" s="1"/>
  <c r="FC30" i="24"/>
  <c r="FE30" i="24" s="1"/>
  <c r="FF30" i="24" s="1"/>
  <c r="FC55" i="24"/>
  <c r="FE55" i="24" s="1"/>
  <c r="FF55" i="24" s="1"/>
  <c r="FB71" i="24"/>
  <c r="FC71" i="24"/>
  <c r="FE71" i="24" s="1"/>
  <c r="FF71" i="24" s="1"/>
  <c r="FB48" i="24"/>
  <c r="FC48" i="24"/>
  <c r="FE48" i="24" s="1"/>
  <c r="FF48" i="24" s="1"/>
  <c r="FC77" i="24"/>
  <c r="FE77" i="24" s="1"/>
  <c r="FF77" i="24" s="1"/>
  <c r="FC172" i="24"/>
  <c r="FE172" i="24" s="1"/>
  <c r="FF172" i="24" s="1"/>
  <c r="FC40" i="24"/>
  <c r="FE40" i="24" s="1"/>
  <c r="FF40" i="24" s="1"/>
  <c r="FC99" i="24"/>
  <c r="FE99" i="24" s="1"/>
  <c r="FF99" i="24" s="1"/>
  <c r="FC83" i="24"/>
  <c r="FE83" i="24" s="1"/>
  <c r="FF83" i="24" s="1"/>
  <c r="FC90" i="24"/>
  <c r="FE90" i="24" s="1"/>
  <c r="FF90" i="24" s="1"/>
  <c r="ER90" i="24"/>
  <c r="J216" i="24"/>
  <c r="O216" i="24"/>
  <c r="BZ216" i="24" s="1"/>
  <c r="FC67" i="24"/>
  <c r="FE67" i="24" s="1"/>
  <c r="FF67" i="24" s="1"/>
  <c r="FC13" i="24"/>
  <c r="FE13" i="24" s="1"/>
  <c r="FF13" i="24" s="1"/>
  <c r="AJ110" i="24"/>
  <c r="AG110" i="24"/>
  <c r="AF110" i="24"/>
  <c r="FJ263" i="24"/>
  <c r="FJ170" i="24"/>
  <c r="FI184" i="24"/>
  <c r="FJ114" i="24"/>
  <c r="FJ232" i="24"/>
  <c r="FJ142" i="24"/>
  <c r="FI206" i="24"/>
  <c r="FJ117" i="24"/>
  <c r="FJ159" i="24"/>
  <c r="FJ192" i="24"/>
  <c r="FI209" i="24"/>
  <c r="FJ132" i="24"/>
  <c r="FJ301" i="24"/>
  <c r="FI141" i="24"/>
  <c r="FI144" i="24"/>
  <c r="FI152" i="24"/>
  <c r="FJ242" i="24"/>
  <c r="FJ306" i="24"/>
  <c r="FI167" i="24"/>
  <c r="FI208" i="24"/>
  <c r="FJ287" i="24"/>
  <c r="FJ146" i="24"/>
  <c r="FJ225" i="24"/>
  <c r="FJ299" i="24"/>
  <c r="FJ294" i="24"/>
  <c r="FJ155" i="24"/>
  <c r="FJ238" i="24"/>
  <c r="FI189" i="24"/>
  <c r="FJ311" i="24"/>
  <c r="FI130" i="24"/>
  <c r="FI150" i="24"/>
  <c r="FI197" i="24"/>
  <c r="FJ234" i="24"/>
  <c r="FJ255" i="24"/>
  <c r="FJ169" i="24"/>
  <c r="FI170" i="24"/>
  <c r="FI108" i="24"/>
  <c r="FJ228" i="24"/>
  <c r="FJ133" i="24"/>
  <c r="FJ199" i="24"/>
  <c r="FI116" i="24"/>
  <c r="FJ154" i="24"/>
  <c r="FI174" i="24"/>
  <c r="FJ131" i="24"/>
  <c r="FJ291" i="24"/>
  <c r="FI207" i="24"/>
  <c r="FI132" i="24"/>
  <c r="FI204" i="24"/>
  <c r="FJ261" i="24"/>
  <c r="FJ112" i="24"/>
  <c r="FJ136" i="24"/>
  <c r="FJ270" i="24"/>
  <c r="FJ122" i="24"/>
  <c r="FI175" i="24"/>
  <c r="FJ265" i="24"/>
  <c r="FJ217" i="24"/>
  <c r="FJ115" i="24"/>
  <c r="FJ229" i="24"/>
  <c r="FI143" i="24"/>
  <c r="FJ315" i="24"/>
  <c r="FJ245" i="24"/>
  <c r="FJ187" i="24"/>
  <c r="FJ237" i="24"/>
  <c r="FJ227" i="24"/>
  <c r="FI169" i="24"/>
  <c r="FJ249" i="24"/>
  <c r="FJ216" i="24"/>
  <c r="FJ116" i="24"/>
  <c r="FJ290" i="24"/>
  <c r="FI110" i="24"/>
  <c r="FJ153" i="24"/>
  <c r="FJ283" i="24"/>
  <c r="FI182" i="24"/>
  <c r="FJ126" i="24"/>
  <c r="FJ280" i="24"/>
  <c r="FI115" i="24"/>
  <c r="FJ174" i="24"/>
  <c r="FJ250" i="24"/>
  <c r="FI165" i="24"/>
  <c r="FI139" i="24"/>
  <c r="FJ296" i="24"/>
  <c r="FJ113" i="24"/>
  <c r="FI188" i="24"/>
  <c r="FJ239" i="24"/>
  <c r="FJ276" i="24"/>
  <c r="FJ186" i="24"/>
  <c r="FJ246" i="24"/>
  <c r="FI140" i="24"/>
  <c r="FJ171" i="24"/>
  <c r="FI210" i="24"/>
  <c r="FJ244" i="24"/>
  <c r="FI121" i="24"/>
  <c r="FI149" i="24"/>
  <c r="FJ304" i="24"/>
  <c r="FJ272" i="24"/>
  <c r="FI179" i="24"/>
  <c r="FJ222" i="24"/>
  <c r="FI138" i="24"/>
  <c r="FJ148" i="24"/>
  <c r="FJ190" i="24"/>
  <c r="FI114" i="24"/>
  <c r="FJ277" i="24"/>
  <c r="FJ266" i="24"/>
  <c r="FJ144" i="24"/>
  <c r="FI125" i="24"/>
  <c r="FJ278" i="24"/>
  <c r="FI193" i="24"/>
  <c r="FI123" i="24"/>
  <c r="FI191" i="24"/>
  <c r="FJ297" i="24"/>
  <c r="FJ163" i="24"/>
  <c r="FI160" i="24"/>
  <c r="FI194" i="24"/>
  <c r="FJ121" i="24"/>
  <c r="FJ240" i="24"/>
  <c r="FJ300" i="24"/>
  <c r="FI171" i="24"/>
  <c r="FI177" i="24"/>
  <c r="FJ260" i="24"/>
  <c r="FI199" i="24"/>
  <c r="FI124" i="24"/>
  <c r="FJ194" i="24"/>
  <c r="FI126" i="24"/>
  <c r="FJ292" i="24"/>
  <c r="FI181" i="24"/>
  <c r="CE108" i="24"/>
  <c r="FI201" i="24"/>
  <c r="FI133" i="24"/>
  <c r="FI145" i="24"/>
  <c r="FI176" i="24"/>
  <c r="FI113" i="24"/>
  <c r="FI172" i="24"/>
  <c r="FJ251" i="24"/>
  <c r="FI159" i="24"/>
  <c r="FI111" i="24"/>
  <c r="FJ273" i="24"/>
  <c r="FI186" i="24"/>
  <c r="FI112" i="24"/>
  <c r="FJ189" i="24"/>
  <c r="FJ289" i="24"/>
  <c r="FI155" i="24"/>
  <c r="FI183" i="24"/>
  <c r="FJ147" i="24"/>
  <c r="FJ254" i="24"/>
  <c r="FJ201" i="24"/>
  <c r="FJ149" i="24"/>
  <c r="FJ314" i="24"/>
  <c r="FI135" i="24"/>
  <c r="FJ197" i="24"/>
  <c r="FI137" i="24"/>
  <c r="FJ129" i="24"/>
  <c r="FI173" i="24"/>
  <c r="FI122" i="24"/>
  <c r="FI153" i="24"/>
  <c r="FJ235" i="24"/>
  <c r="CF110" i="24"/>
  <c r="FI196" i="24"/>
  <c r="FJ128" i="24"/>
  <c r="FJ134" i="24"/>
  <c r="FI146" i="24"/>
  <c r="FJ172" i="24"/>
  <c r="FJ110" i="24"/>
  <c r="FJ243" i="24"/>
  <c r="FI198" i="24"/>
  <c r="FI117" i="24"/>
  <c r="FI162" i="24"/>
  <c r="FJ259" i="24"/>
  <c r="FI178" i="24"/>
  <c r="FI129" i="24"/>
  <c r="FJ293" i="24"/>
  <c r="FJ264" i="24"/>
  <c r="FI163" i="24"/>
  <c r="FJ140" i="24"/>
  <c r="FI202" i="24"/>
  <c r="FJ310" i="24"/>
  <c r="FI147" i="24"/>
  <c r="FI157" i="24"/>
  <c r="FJ258" i="24"/>
  <c r="FI195" i="24"/>
  <c r="FI120" i="24"/>
  <c r="FI119" i="24"/>
  <c r="FJ143" i="24"/>
  <c r="FI185" i="24"/>
  <c r="CF216" i="24"/>
  <c r="FI192" i="24"/>
  <c r="FI128" i="24"/>
  <c r="FJ286" i="24"/>
  <c r="FJ164" i="24"/>
  <c r="FJ233" i="24"/>
  <c r="FI164" i="24"/>
  <c r="FJ188" i="24"/>
  <c r="FJ111" i="24"/>
  <c r="FJ220" i="24"/>
  <c r="FI154" i="24"/>
  <c r="FJ313" i="24"/>
  <c r="FJ257" i="24"/>
  <c r="FI158" i="24"/>
  <c r="FJ152" i="24"/>
  <c r="FJ248" i="24"/>
  <c r="FJ230" i="24"/>
  <c r="FI134" i="24"/>
  <c r="FJ176" i="24"/>
  <c r="FI127" i="24"/>
  <c r="FJ295" i="24"/>
  <c r="FI205" i="24"/>
  <c r="FI161" i="24"/>
  <c r="FJ312" i="24"/>
  <c r="FI190" i="24"/>
  <c r="FJ218" i="24"/>
  <c r="FJ298" i="24"/>
  <c r="FJ282" i="24"/>
  <c r="FI200" i="24"/>
  <c r="FJ160" i="24"/>
  <c r="FI151" i="24"/>
  <c r="FJ226" i="24"/>
  <c r="FJ275" i="24"/>
  <c r="FJ184" i="24"/>
  <c r="FJ305" i="24"/>
  <c r="FJ127" i="24"/>
  <c r="FJ247" i="24"/>
  <c r="FI148" i="24"/>
  <c r="FJ221" i="24"/>
  <c r="FI136" i="24"/>
  <c r="FI166" i="24"/>
  <c r="FJ267" i="24"/>
  <c r="FJ141" i="24"/>
  <c r="FJ309" i="24"/>
  <c r="FJ252" i="24"/>
  <c r="FI156" i="24"/>
  <c r="FJ124" i="24"/>
  <c r="FJ231" i="24"/>
  <c r="FJ303" i="24"/>
  <c r="FI142" i="24"/>
  <c r="FJ223" i="24"/>
  <c r="FJ308" i="24"/>
  <c r="FI131" i="24"/>
  <c r="FJ307" i="24"/>
  <c r="FJ253" i="24"/>
  <c r="FI187" i="24"/>
  <c r="FI118" i="24"/>
  <c r="FI168" i="24"/>
  <c r="FI203" i="24"/>
  <c r="FJ302" i="24"/>
  <c r="FJ316" i="24"/>
  <c r="FJ145" i="24"/>
  <c r="FJ219" i="24"/>
  <c r="FJ158" i="24"/>
  <c r="FJ138" i="24"/>
  <c r="FJ196" i="24"/>
  <c r="CE110" i="24"/>
  <c r="FI180" i="24"/>
  <c r="FC62" i="24"/>
  <c r="FE62" i="24" s="1"/>
  <c r="FF62" i="24" s="1"/>
  <c r="FC10" i="24"/>
  <c r="FE10" i="24" s="1"/>
  <c r="FF10" i="24" s="1"/>
  <c r="ER6" i="24"/>
  <c r="FC6" i="24"/>
  <c r="FE6" i="24" s="1"/>
  <c r="FF6" i="24" s="1"/>
  <c r="ER207" i="24"/>
  <c r="FC207" i="24"/>
  <c r="FE207" i="24" s="1"/>
  <c r="FF207" i="24" s="1"/>
  <c r="ER115" i="24"/>
  <c r="FC115" i="24"/>
  <c r="FE115" i="24" s="1"/>
  <c r="FF115" i="24" s="1"/>
  <c r="ER117" i="24"/>
  <c r="FC117" i="24"/>
  <c r="FE117" i="24" s="1"/>
  <c r="FF117" i="24" s="1"/>
  <c r="ER19" i="24"/>
  <c r="FC19" i="24"/>
  <c r="FE19" i="24" s="1"/>
  <c r="FF19" i="24" s="1"/>
  <c r="FC179" i="24"/>
  <c r="FE179" i="24" s="1"/>
  <c r="FF179" i="24" s="1"/>
  <c r="ER179" i="24"/>
  <c r="ER75" i="24"/>
  <c r="FC75" i="24"/>
  <c r="FE75" i="24" s="1"/>
  <c r="FF75" i="24" s="1"/>
  <c r="ER80" i="24"/>
  <c r="FC80" i="24"/>
  <c r="FE80" i="24" s="1"/>
  <c r="FF80" i="24" s="1"/>
  <c r="ER49" i="24"/>
  <c r="FC49" i="24"/>
  <c r="FE49" i="24" s="1"/>
  <c r="FF49" i="24" s="1"/>
  <c r="ER59" i="24"/>
  <c r="FC59" i="24"/>
  <c r="FE59" i="24" s="1"/>
  <c r="FF59" i="24" s="1"/>
  <c r="ER178" i="24"/>
  <c r="FC178" i="24"/>
  <c r="FE178" i="24" s="1"/>
  <c r="FF178" i="24" s="1"/>
  <c r="ER27" i="24"/>
  <c r="FC27" i="24"/>
  <c r="FE27" i="24" s="1"/>
  <c r="FF27" i="24" s="1"/>
  <c r="ER161" i="24"/>
  <c r="FC161" i="24"/>
  <c r="FE161" i="24" s="1"/>
  <c r="FF161" i="24" s="1"/>
  <c r="ER150" i="24"/>
  <c r="FC150" i="24"/>
  <c r="FE150" i="24" s="1"/>
  <c r="FF150" i="24" s="1"/>
  <c r="ER18" i="24"/>
  <c r="FC18" i="24"/>
  <c r="FE18" i="24" s="1"/>
  <c r="FF18" i="24" s="1"/>
  <c r="ER158" i="24"/>
  <c r="FC158" i="24"/>
  <c r="FE158" i="24" s="1"/>
  <c r="FF158" i="24" s="1"/>
  <c r="ER194" i="24"/>
  <c r="FC194" i="24"/>
  <c r="FE194" i="24" s="1"/>
  <c r="FF194" i="24" s="1"/>
  <c r="ER95" i="24"/>
  <c r="FC95" i="24"/>
  <c r="FE95" i="24" s="1"/>
  <c r="FF95" i="24" s="1"/>
  <c r="ER146" i="24"/>
  <c r="FC146" i="24"/>
  <c r="FE146" i="24" s="1"/>
  <c r="FF146" i="24" s="1"/>
  <c r="ER97" i="24"/>
  <c r="FC97" i="24"/>
  <c r="FE97" i="24" s="1"/>
  <c r="FF97" i="24" s="1"/>
  <c r="ER70" i="24"/>
  <c r="FC70" i="24"/>
  <c r="FE70" i="24" s="1"/>
  <c r="FF70" i="24" s="1"/>
  <c r="ER210" i="24"/>
  <c r="FC210" i="24"/>
  <c r="FE210" i="24" s="1"/>
  <c r="FF210" i="24" s="1"/>
  <c r="ER187" i="24"/>
  <c r="FC187" i="24"/>
  <c r="FE187" i="24" s="1"/>
  <c r="FF187" i="24" s="1"/>
  <c r="ER7" i="24"/>
  <c r="FC7" i="24"/>
  <c r="FE7" i="24" s="1"/>
  <c r="FF7" i="24" s="1"/>
  <c r="ER125" i="24"/>
  <c r="FC125" i="24"/>
  <c r="FE125" i="24" s="1"/>
  <c r="FF125" i="24" s="1"/>
  <c r="ER21" i="24"/>
  <c r="FC21" i="24"/>
  <c r="FE21" i="24" s="1"/>
  <c r="FF21" i="24" s="1"/>
  <c r="ER176" i="24"/>
  <c r="FC176" i="24"/>
  <c r="FE176" i="24" s="1"/>
  <c r="FF176" i="24" s="1"/>
  <c r="ER122" i="24"/>
  <c r="FC122" i="24"/>
  <c r="FE122" i="24" s="1"/>
  <c r="FF122" i="24" s="1"/>
  <c r="ER209" i="24"/>
  <c r="FC209" i="24"/>
  <c r="FE209" i="24" s="1"/>
  <c r="FF209" i="24" s="1"/>
  <c r="ER103" i="24"/>
  <c r="FC103" i="24"/>
  <c r="FE103" i="24" s="1"/>
  <c r="FF103" i="24" s="1"/>
  <c r="ER9" i="24"/>
  <c r="FC9" i="24"/>
  <c r="FE9" i="24" s="1"/>
  <c r="FF9" i="24" s="1"/>
  <c r="ER31" i="24"/>
  <c r="FC31" i="24"/>
  <c r="FE31" i="24" s="1"/>
  <c r="FF31" i="24" s="1"/>
  <c r="ER130" i="24"/>
  <c r="FC130" i="24"/>
  <c r="FE130" i="24" s="1"/>
  <c r="FF130" i="24" s="1"/>
  <c r="FC148" i="24"/>
  <c r="FE148" i="24" s="1"/>
  <c r="FF148" i="24" s="1"/>
  <c r="ER148" i="24"/>
  <c r="ER84" i="24"/>
  <c r="FC84" i="24"/>
  <c r="FE84" i="24" s="1"/>
  <c r="FF84" i="24" s="1"/>
  <c r="ER82" i="24"/>
  <c r="FC82" i="24"/>
  <c r="FE82" i="24" s="1"/>
  <c r="FF82" i="24" s="1"/>
  <c r="ER26" i="24"/>
  <c r="FC26" i="24"/>
  <c r="FE26" i="24" s="1"/>
  <c r="FF26" i="24" s="1"/>
  <c r="ER200" i="24"/>
  <c r="FC200" i="24"/>
  <c r="FE200" i="24" s="1"/>
  <c r="FF200" i="24" s="1"/>
  <c r="ER157" i="24"/>
  <c r="FC157" i="24"/>
  <c r="FE157" i="24" s="1"/>
  <c r="FF157" i="24" s="1"/>
  <c r="ER205" i="24"/>
  <c r="FC205" i="24"/>
  <c r="FE205" i="24" s="1"/>
  <c r="FF205" i="24" s="1"/>
  <c r="ER137" i="24"/>
  <c r="FC137" i="24"/>
  <c r="FE137" i="24" s="1"/>
  <c r="FF137" i="24" s="1"/>
  <c r="ER162" i="24"/>
  <c r="FC162" i="24"/>
  <c r="FE162" i="24" s="1"/>
  <c r="FF162" i="24" s="1"/>
  <c r="ER156" i="24"/>
  <c r="FC156" i="24"/>
  <c r="FE156" i="24" s="1"/>
  <c r="FF156" i="24" s="1"/>
  <c r="ER35" i="24"/>
  <c r="FC35" i="24"/>
  <c r="FE35" i="24" s="1"/>
  <c r="FF35" i="24" s="1"/>
  <c r="ER105" i="24"/>
  <c r="FC105" i="24"/>
  <c r="FE105" i="24" s="1"/>
  <c r="FF105" i="24" s="1"/>
  <c r="ER17" i="24"/>
  <c r="FC17" i="24"/>
  <c r="FE17" i="24" s="1"/>
  <c r="FF17" i="24" s="1"/>
  <c r="ER16" i="24"/>
  <c r="FC16" i="24"/>
  <c r="FE16" i="24" s="1"/>
  <c r="FF16" i="24" s="1"/>
  <c r="ER56" i="24"/>
  <c r="FC56" i="24"/>
  <c r="FE56" i="24" s="1"/>
  <c r="FF56" i="24" s="1"/>
  <c r="ER72" i="24"/>
  <c r="FC72" i="24"/>
  <c r="FE72" i="24" s="1"/>
  <c r="FF72" i="24" s="1"/>
  <c r="ER166" i="24"/>
  <c r="FC166" i="24"/>
  <c r="FE166" i="24" s="1"/>
  <c r="FF166" i="24" s="1"/>
  <c r="ER114" i="24"/>
  <c r="FC114" i="24"/>
  <c r="FE114" i="24" s="1"/>
  <c r="FF114" i="24" s="1"/>
  <c r="ER131" i="24"/>
  <c r="FC131" i="24"/>
  <c r="FE131" i="24" s="1"/>
  <c r="FF131" i="24" s="1"/>
  <c r="ER68" i="24"/>
  <c r="FC68" i="24"/>
  <c r="FE68" i="24" s="1"/>
  <c r="FF68" i="24" s="1"/>
  <c r="ER28" i="24"/>
  <c r="FC28" i="24"/>
  <c r="FE28" i="24" s="1"/>
  <c r="FF28" i="24" s="1"/>
  <c r="ER98" i="24"/>
  <c r="FC98" i="24"/>
  <c r="FE98" i="24" s="1"/>
  <c r="FF98" i="24" s="1"/>
  <c r="ER61" i="24"/>
  <c r="FC61" i="24"/>
  <c r="FE61" i="24" s="1"/>
  <c r="FF61" i="24" s="1"/>
  <c r="ER139" i="24"/>
  <c r="FC139" i="24"/>
  <c r="FE139" i="24" s="1"/>
  <c r="FF139" i="24" s="1"/>
  <c r="ER191" i="24"/>
  <c r="FC191" i="24"/>
  <c r="FE191" i="24" s="1"/>
  <c r="FF191" i="24" s="1"/>
  <c r="ER145" i="24"/>
  <c r="FC145" i="24"/>
  <c r="FE145" i="24" s="1"/>
  <c r="FF145" i="24" s="1"/>
  <c r="ER15" i="24"/>
  <c r="FC15" i="24"/>
  <c r="FE15" i="24" s="1"/>
  <c r="FF15" i="24" s="1"/>
  <c r="ER175" i="24"/>
  <c r="FC175" i="24"/>
  <c r="FE175" i="24" s="1"/>
  <c r="FF175" i="24" s="1"/>
  <c r="ER38" i="24"/>
  <c r="FC38" i="24"/>
  <c r="FE38" i="24" s="1"/>
  <c r="FF38" i="24" s="1"/>
  <c r="ER94" i="24"/>
  <c r="FC94" i="24"/>
  <c r="FE94" i="24" s="1"/>
  <c r="FF94" i="24" s="1"/>
  <c r="ER182" i="24"/>
  <c r="FC182" i="24"/>
  <c r="FE182" i="24" s="1"/>
  <c r="FF182" i="24" s="1"/>
  <c r="ER22" i="24"/>
  <c r="FC22" i="24"/>
  <c r="FE22" i="24" s="1"/>
  <c r="FF22" i="24" s="1"/>
  <c r="ER11" i="24"/>
  <c r="FC11" i="24"/>
  <c r="FE11" i="24" s="1"/>
  <c r="FF11" i="24" s="1"/>
  <c r="ER140" i="24"/>
  <c r="FC140" i="24"/>
  <c r="FE140" i="24" s="1"/>
  <c r="FF140" i="24" s="1"/>
  <c r="ER165" i="24"/>
  <c r="FC165" i="24"/>
  <c r="FE165" i="24" s="1"/>
  <c r="FF165" i="24" s="1"/>
  <c r="ER57" i="24"/>
  <c r="FC57" i="24"/>
  <c r="FE57" i="24" s="1"/>
  <c r="FF57" i="24" s="1"/>
  <c r="ER89" i="24"/>
  <c r="FC89" i="24"/>
  <c r="FE89" i="24" s="1"/>
  <c r="FF89" i="24" s="1"/>
  <c r="ER155" i="24"/>
  <c r="FC155" i="24"/>
  <c r="FE155" i="24" s="1"/>
  <c r="FF155" i="24" s="1"/>
  <c r="ER118" i="24"/>
  <c r="FC118" i="24"/>
  <c r="FE118" i="24" s="1"/>
  <c r="FF118" i="24" s="1"/>
  <c r="ER65" i="24"/>
  <c r="FC65" i="24"/>
  <c r="FE65" i="24" s="1"/>
  <c r="FF65" i="24" s="1"/>
  <c r="ER206" i="24"/>
  <c r="FC206" i="24"/>
  <c r="FE206" i="24" s="1"/>
  <c r="FF206" i="24" s="1"/>
  <c r="ER129" i="24"/>
  <c r="FC129" i="24"/>
  <c r="FE129" i="24" s="1"/>
  <c r="FF129" i="24" s="1"/>
  <c r="ER151" i="24"/>
  <c r="FC151" i="24"/>
  <c r="FE151" i="24" s="1"/>
  <c r="FF151" i="24" s="1"/>
  <c r="ER112" i="24"/>
  <c r="FC112" i="24"/>
  <c r="FE112" i="24" s="1"/>
  <c r="FF112" i="24" s="1"/>
  <c r="ER42" i="24"/>
  <c r="FC42" i="24"/>
  <c r="FE42" i="24" s="1"/>
  <c r="FF42" i="24" s="1"/>
  <c r="ER101" i="24"/>
  <c r="FC101" i="24"/>
  <c r="FE101" i="24" s="1"/>
  <c r="FF101" i="24" s="1"/>
  <c r="ER69" i="24"/>
  <c r="FC69" i="24"/>
  <c r="FE69" i="24" s="1"/>
  <c r="FF69" i="24" s="1"/>
  <c r="ER138" i="24"/>
  <c r="FC138" i="24"/>
  <c r="FE138" i="24" s="1"/>
  <c r="FF138" i="24" s="1"/>
  <c r="ER87" i="24"/>
  <c r="FC87" i="24"/>
  <c r="FE87" i="24" s="1"/>
  <c r="FF87" i="24" s="1"/>
  <c r="ER202" i="24"/>
  <c r="FC202" i="24"/>
  <c r="FE202" i="24" s="1"/>
  <c r="FF202" i="24" s="1"/>
  <c r="ER184" i="24"/>
  <c r="FC184" i="24"/>
  <c r="FE184" i="24" s="1"/>
  <c r="FF184" i="24" s="1"/>
  <c r="ER195" i="24"/>
  <c r="FC195" i="24"/>
  <c r="FE195" i="24" s="1"/>
  <c r="FF195" i="24" s="1"/>
  <c r="ER193" i="24"/>
  <c r="FC193" i="24"/>
  <c r="FE193" i="24" s="1"/>
  <c r="FF193" i="24" s="1"/>
  <c r="ER45" i="24"/>
  <c r="FC45" i="24"/>
  <c r="FE45" i="24" s="1"/>
  <c r="FF45" i="24" s="1"/>
  <c r="ER197" i="24"/>
  <c r="FC197" i="24"/>
  <c r="FE197" i="24" s="1"/>
  <c r="FF197" i="24" s="1"/>
  <c r="ER196" i="24"/>
  <c r="FC196" i="24"/>
  <c r="FE196" i="24" s="1"/>
  <c r="FF196" i="24" s="1"/>
  <c r="ER116" i="24"/>
  <c r="FC116" i="24"/>
  <c r="FE116" i="24" s="1"/>
  <c r="FF116" i="24" s="1"/>
  <c r="ER46" i="24"/>
  <c r="FC46" i="24"/>
  <c r="FE46" i="24" s="1"/>
  <c r="FF46" i="24" s="1"/>
  <c r="ER64" i="24"/>
  <c r="FC64" i="24"/>
  <c r="FE64" i="24" s="1"/>
  <c r="FF64" i="24" s="1"/>
  <c r="ER180" i="24"/>
  <c r="FC180" i="24"/>
  <c r="FE180" i="24" s="1"/>
  <c r="ER168" i="24"/>
  <c r="FC168" i="24"/>
  <c r="FE168" i="24" s="1"/>
  <c r="FF168" i="24" s="1"/>
  <c r="ER66" i="24"/>
  <c r="FC66" i="24"/>
  <c r="FE66" i="24" s="1"/>
  <c r="FF66" i="24" s="1"/>
  <c r="ER73" i="24"/>
  <c r="FC73" i="24"/>
  <c r="FE73" i="24" s="1"/>
  <c r="FF73" i="24" s="1"/>
  <c r="ER24" i="24"/>
  <c r="FC24" i="24"/>
  <c r="FE24" i="24" s="1"/>
  <c r="FF24" i="24" s="1"/>
  <c r="ER183" i="24"/>
  <c r="FC183" i="24"/>
  <c r="FE183" i="24" s="1"/>
  <c r="FF183" i="24" s="1"/>
  <c r="ER100" i="24"/>
  <c r="FC100" i="24"/>
  <c r="FE100" i="24" s="1"/>
  <c r="FF100" i="24" s="1"/>
  <c r="ER198" i="24"/>
  <c r="FC198" i="24"/>
  <c r="FE198" i="24" s="1"/>
  <c r="FF198" i="24" s="1"/>
  <c r="ER91" i="24"/>
  <c r="FC91" i="24"/>
  <c r="FE91" i="24" s="1"/>
  <c r="FF91" i="24" s="1"/>
  <c r="ER58" i="24"/>
  <c r="FC58" i="24"/>
  <c r="FE58" i="24" s="1"/>
  <c r="FF58" i="24" s="1"/>
  <c r="ER164" i="24"/>
  <c r="FC164" i="24"/>
  <c r="FE164" i="24" s="1"/>
  <c r="FF164" i="24" s="1"/>
  <c r="ER25" i="24"/>
  <c r="FC25" i="24"/>
  <c r="FE25" i="24" s="1"/>
  <c r="FF25" i="24" s="1"/>
  <c r="ER113" i="24"/>
  <c r="FC113" i="24"/>
  <c r="FE113" i="24" s="1"/>
  <c r="FF113" i="24" s="1"/>
  <c r="FC120" i="24"/>
  <c r="FE120" i="24" s="1"/>
  <c r="FF120" i="24" s="1"/>
  <c r="ER120" i="24"/>
  <c r="FC189" i="24"/>
  <c r="FE189" i="24" s="1"/>
  <c r="FF189" i="24" s="1"/>
  <c r="ER189" i="24"/>
  <c r="ER88" i="24"/>
  <c r="FC88" i="24"/>
  <c r="FE88" i="24" s="1"/>
  <c r="FF88" i="24" s="1"/>
  <c r="ER128" i="24"/>
  <c r="FC128" i="24"/>
  <c r="FE128" i="24" s="1"/>
  <c r="FF128" i="24" s="1"/>
  <c r="ER177" i="24"/>
  <c r="FC177" i="24"/>
  <c r="FE177" i="24" s="1"/>
  <c r="FF177" i="24" s="1"/>
  <c r="ER33" i="24"/>
  <c r="FC33" i="24"/>
  <c r="FE33" i="24" s="1"/>
  <c r="FF33" i="24" s="1"/>
  <c r="ER102" i="24"/>
  <c r="FC102" i="24"/>
  <c r="FE102" i="24" s="1"/>
  <c r="FF102" i="24" s="1"/>
  <c r="ER121" i="24"/>
  <c r="FC121" i="24"/>
  <c r="FE121" i="24" s="1"/>
  <c r="FF121" i="24" s="1"/>
  <c r="ER144" i="24"/>
  <c r="FC144" i="24"/>
  <c r="FE144" i="24" s="1"/>
  <c r="FF144" i="24" s="1"/>
  <c r="ER93" i="24"/>
  <c r="FC93" i="24"/>
  <c r="FE93" i="24" s="1"/>
  <c r="FF93" i="24" s="1"/>
  <c r="ER8" i="24"/>
  <c r="FC8" i="24"/>
  <c r="FE8" i="24" s="1"/>
  <c r="FF8" i="24" s="1"/>
  <c r="ER51" i="24"/>
  <c r="FC51" i="24"/>
  <c r="FE51" i="24" s="1"/>
  <c r="FF51" i="24" s="1"/>
  <c r="ER167" i="24"/>
  <c r="FC167" i="24"/>
  <c r="FE167" i="24" s="1"/>
  <c r="FF167" i="24" s="1"/>
  <c r="ER153" i="24"/>
  <c r="FC153" i="24"/>
  <c r="FE153" i="24" s="1"/>
  <c r="FF153" i="24" s="1"/>
  <c r="ER34" i="24"/>
  <c r="FC34" i="24"/>
  <c r="FE34" i="24" s="1"/>
  <c r="FF34" i="24" s="1"/>
  <c r="ER50" i="24"/>
  <c r="FC50" i="24"/>
  <c r="FE50" i="24" s="1"/>
  <c r="FF50" i="24" s="1"/>
  <c r="ER85" i="24"/>
  <c r="FC85" i="24"/>
  <c r="FE85" i="24" s="1"/>
  <c r="FF85" i="24" s="1"/>
  <c r="ER154" i="24"/>
  <c r="FC154" i="24"/>
  <c r="FE154" i="24" s="1"/>
  <c r="FF154" i="24" s="1"/>
  <c r="ER174" i="24"/>
  <c r="FC174" i="24"/>
  <c r="FE174" i="24" s="1"/>
  <c r="FF174" i="24" s="1"/>
  <c r="ER143" i="24"/>
  <c r="FC143" i="24"/>
  <c r="FE143" i="24" s="1"/>
  <c r="FF143" i="24" s="1"/>
  <c r="ER32" i="24"/>
  <c r="FC32" i="24"/>
  <c r="FE32" i="24" s="1"/>
  <c r="FF32" i="24" s="1"/>
  <c r="ER163" i="24"/>
  <c r="FC163" i="24"/>
  <c r="FE163" i="24" s="1"/>
  <c r="FF163" i="24" s="1"/>
  <c r="FC173" i="24"/>
  <c r="FE173" i="24" s="1"/>
  <c r="FF173" i="24" s="1"/>
  <c r="ER173" i="24"/>
  <c r="ER20" i="24"/>
  <c r="FC20" i="24"/>
  <c r="FE20" i="24" s="1"/>
  <c r="FF20" i="24" s="1"/>
  <c r="ER204" i="24"/>
  <c r="FC204" i="24"/>
  <c r="FE204" i="24" s="1"/>
  <c r="FF204" i="24" s="1"/>
  <c r="ER171" i="24"/>
  <c r="FC171" i="24"/>
  <c r="FE171" i="24" s="1"/>
  <c r="FF171" i="24" s="1"/>
  <c r="ER41" i="24"/>
  <c r="FC41" i="24"/>
  <c r="FE41" i="24" s="1"/>
  <c r="FF41" i="24" s="1"/>
  <c r="ER12" i="24"/>
  <c r="FC12" i="24"/>
  <c r="FE12" i="24" s="1"/>
  <c r="FF12" i="24" s="1"/>
  <c r="ER119" i="24"/>
  <c r="FC119" i="24"/>
  <c r="FE119" i="24" s="1"/>
  <c r="FF119" i="24" s="1"/>
  <c r="ER181" i="24"/>
  <c r="FC181" i="24"/>
  <c r="FE181" i="24" s="1"/>
  <c r="FF181" i="24" s="1"/>
  <c r="ER141" i="24"/>
  <c r="FC141" i="24"/>
  <c r="FE141" i="24" s="1"/>
  <c r="FF141" i="24" s="1"/>
  <c r="ER149" i="24"/>
  <c r="FC149" i="24"/>
  <c r="FE149" i="24" s="1"/>
  <c r="FF149" i="24" s="1"/>
  <c r="ER79" i="24"/>
  <c r="FC79" i="24"/>
  <c r="FE79" i="24" s="1"/>
  <c r="FF79" i="24" s="1"/>
  <c r="ER185" i="24"/>
  <c r="FC185" i="24"/>
  <c r="FE185" i="24" s="1"/>
  <c r="FF185" i="24" s="1"/>
  <c r="FC203" i="24"/>
  <c r="FE203" i="24" s="1"/>
  <c r="FF203" i="24" s="1"/>
  <c r="ER203" i="24"/>
  <c r="ER76" i="24"/>
  <c r="FC76" i="24"/>
  <c r="FE76" i="24" s="1"/>
  <c r="FF76" i="24" s="1"/>
  <c r="ER36" i="24"/>
  <c r="FC36" i="24"/>
  <c r="FE36" i="24" s="1"/>
  <c r="FF36" i="24" s="1"/>
  <c r="ER47" i="24"/>
  <c r="FC47" i="24"/>
  <c r="FE47" i="24" s="1"/>
  <c r="FF47" i="24" s="1"/>
  <c r="ER123" i="24"/>
  <c r="FC123" i="24"/>
  <c r="FE123" i="24" s="1"/>
  <c r="FF123" i="24" s="1"/>
  <c r="ER135" i="24"/>
  <c r="FC135" i="24"/>
  <c r="FE135" i="24" s="1"/>
  <c r="FF135" i="24" s="1"/>
  <c r="ER208" i="24"/>
  <c r="FC208" i="24"/>
  <c r="FE208" i="24" s="1"/>
  <c r="FF208" i="24" s="1"/>
  <c r="ER53" i="24"/>
  <c r="FC53" i="24"/>
  <c r="FE53" i="24" s="1"/>
  <c r="FF53" i="24" s="1"/>
  <c r="ER54" i="24"/>
  <c r="FC54" i="24"/>
  <c r="FE54" i="24" s="1"/>
  <c r="FF54" i="24" s="1"/>
  <c r="ER86" i="24"/>
  <c r="FC86" i="24"/>
  <c r="FE86" i="24" s="1"/>
  <c r="FF86" i="24" s="1"/>
  <c r="ER188" i="24"/>
  <c r="FC188" i="24"/>
  <c r="FE188" i="24" s="1"/>
  <c r="FF188" i="24" s="1"/>
  <c r="B199" i="2"/>
  <c r="C50" i="16" s="1"/>
  <c r="FJ120" i="24" l="1"/>
  <c r="FJ236" i="24"/>
  <c r="FJ130" i="24"/>
  <c r="FJ123" i="24"/>
  <c r="FJ175" i="24"/>
  <c r="FJ281" i="24"/>
  <c r="FJ256" i="24"/>
  <c r="FJ150" i="24"/>
  <c r="FJ118" i="24"/>
  <c r="FJ224" i="24"/>
  <c r="FJ274" i="24"/>
  <c r="FJ137" i="24"/>
  <c r="FJ156" i="24"/>
  <c r="FJ262" i="24"/>
  <c r="FJ269" i="24"/>
  <c r="FJ165" i="24"/>
  <c r="FJ271" i="24"/>
  <c r="FJ161" i="24"/>
  <c r="FJ151" i="24"/>
  <c r="FJ182" i="24"/>
  <c r="FJ288" i="24"/>
  <c r="FJ193" i="24"/>
  <c r="FJ202" i="24"/>
  <c r="FJ191" i="24"/>
  <c r="FJ200" i="24"/>
  <c r="FJ241" i="24"/>
  <c r="FJ139" i="24"/>
  <c r="FJ209" i="24"/>
  <c r="FJ135" i="24"/>
  <c r="FJ284" i="24"/>
  <c r="FJ178" i="24"/>
  <c r="FJ185" i="24"/>
  <c r="FJ268" i="24"/>
  <c r="FJ166" i="24"/>
  <c r="FJ162" i="24"/>
  <c r="FJ157" i="24"/>
  <c r="FJ285" i="24"/>
  <c r="CZ212" i="24"/>
  <c r="CS212" i="24"/>
  <c r="FD212" i="24" s="1"/>
  <c r="CN212" i="24"/>
  <c r="DA212" i="24" s="1"/>
  <c r="DT212" i="24"/>
  <c r="BO212" i="24"/>
  <c r="BR212" i="24" s="1"/>
  <c r="H212" i="24"/>
  <c r="AM212" i="24"/>
  <c r="FJ119" i="24"/>
  <c r="FJ203" i="24"/>
  <c r="FJ279" i="24"/>
  <c r="FJ173" i="24"/>
  <c r="FJ125" i="24"/>
  <c r="AT110" i="24"/>
  <c r="BA110" i="24" s="1"/>
  <c r="FJ179" i="24"/>
  <c r="FJ168" i="24"/>
  <c r="FJ181" i="24"/>
  <c r="FJ177" i="24"/>
  <c r="FJ167" i="24"/>
  <c r="FJ198" i="24"/>
  <c r="FJ210" i="24"/>
  <c r="B114" i="2"/>
  <c r="B118" i="2" s="1"/>
  <c r="E16" i="1" s="1"/>
  <c r="FJ207" i="24"/>
  <c r="FJ183" i="24"/>
  <c r="FJ206" i="24"/>
  <c r="FJ195" i="24"/>
  <c r="FJ208" i="24"/>
  <c r="AE216" i="24"/>
  <c r="AI216" i="24"/>
  <c r="X216" i="24"/>
  <c r="AA216" i="24" s="1"/>
  <c r="AB216" i="24" s="1"/>
  <c r="AC216" i="24" s="1"/>
  <c r="V216" i="24"/>
  <c r="W216" i="24"/>
  <c r="Q216" i="24"/>
  <c r="P216" i="24"/>
  <c r="AP216" i="24"/>
  <c r="FJ205" i="24"/>
  <c r="FJ204" i="24"/>
  <c r="AN110" i="24"/>
  <c r="AK110" i="24"/>
  <c r="FF180" i="24"/>
  <c r="FJ180" i="24"/>
  <c r="B265" i="2"/>
  <c r="D50" i="16" s="1"/>
  <c r="E46" i="1"/>
  <c r="A265" i="2"/>
  <c r="BH110" i="24" l="1"/>
  <c r="BI110" i="24"/>
  <c r="BL110" i="24" s="1"/>
  <c r="Y216" i="24"/>
  <c r="DC212" i="24"/>
  <c r="E57" i="1" s="1"/>
  <c r="DI212" i="24"/>
  <c r="DB212" i="24"/>
  <c r="DE212" i="24" s="1"/>
  <c r="DF212" i="24" s="1"/>
  <c r="DG212" i="24" s="1"/>
  <c r="DM212" i="24"/>
  <c r="AJ216" i="24"/>
  <c r="AF216" i="24"/>
  <c r="AG216" i="24"/>
  <c r="FI312" i="24"/>
  <c r="FI302" i="24"/>
  <c r="FI285" i="24"/>
  <c r="FI301" i="24"/>
  <c r="FI234" i="24"/>
  <c r="FI267" i="24"/>
  <c r="FI230" i="24"/>
  <c r="FI293" i="24"/>
  <c r="FI281" i="24"/>
  <c r="FI276" i="24"/>
  <c r="FI294" i="24"/>
  <c r="FI266" i="24"/>
  <c r="FI227" i="24"/>
  <c r="FI287" i="24"/>
  <c r="FI237" i="24"/>
  <c r="FI289" i="24"/>
  <c r="FI246" i="24"/>
  <c r="FI251" i="24"/>
  <c r="FI217" i="24"/>
  <c r="FI243" i="24"/>
  <c r="FI232" i="24"/>
  <c r="FI256" i="24"/>
  <c r="FI316" i="24"/>
  <c r="FI261" i="24"/>
  <c r="FI296" i="24"/>
  <c r="FI240" i="24"/>
  <c r="FI288" i="24"/>
  <c r="FI307" i="24"/>
  <c r="FI314" i="24"/>
  <c r="FI263" i="24"/>
  <c r="FI298" i="24"/>
  <c r="FI218" i="24"/>
  <c r="FI220" i="24"/>
  <c r="FI216" i="24"/>
  <c r="FI221" i="24"/>
  <c r="FI235" i="24"/>
  <c r="FI225" i="24"/>
  <c r="FI297" i="24"/>
  <c r="FI229" i="24"/>
  <c r="FI231" i="24"/>
  <c r="FI249" i="24"/>
  <c r="FI269" i="24"/>
  <c r="FI291" i="24"/>
  <c r="FI248" i="24"/>
  <c r="FI250" i="24"/>
  <c r="FI241" i="24"/>
  <c r="FI223" i="24"/>
  <c r="FI260" i="24"/>
  <c r="FI268" i="24"/>
  <c r="FI278" i="24"/>
  <c r="FI265" i="24"/>
  <c r="FI228" i="24"/>
  <c r="FI279" i="24"/>
  <c r="FI247" i="24"/>
  <c r="CE216" i="24"/>
  <c r="FI310" i="24"/>
  <c r="FI238" i="24"/>
  <c r="FI264" i="24"/>
  <c r="FI239" i="24"/>
  <c r="FI308" i="24"/>
  <c r="FI299" i="24"/>
  <c r="FI219" i="24"/>
  <c r="FI259" i="24"/>
  <c r="FI286" i="24"/>
  <c r="FI262" i="24"/>
  <c r="FI222" i="24"/>
  <c r="FI304" i="24"/>
  <c r="FI236" i="24"/>
  <c r="FI258" i="24"/>
  <c r="FI252" i="24"/>
  <c r="FI242" i="24"/>
  <c r="FI255" i="24"/>
  <c r="FI309" i="24"/>
  <c r="FI272" i="24"/>
  <c r="FI277" i="24"/>
  <c r="FI282" i="24"/>
  <c r="FI283" i="24"/>
  <c r="FI271" i="24"/>
  <c r="FI226" i="24"/>
  <c r="FI245" i="24"/>
  <c r="FI311" i="24"/>
  <c r="FI224" i="24"/>
  <c r="FI244" i="24"/>
  <c r="FI295" i="24"/>
  <c r="FI292" i="24"/>
  <c r="FI313" i="24"/>
  <c r="FI274" i="24"/>
  <c r="FI233" i="24"/>
  <c r="FI253" i="24"/>
  <c r="FI280" i="24"/>
  <c r="FI303" i="24"/>
  <c r="FI270" i="24"/>
  <c r="FI300" i="24"/>
  <c r="FI284" i="24"/>
  <c r="FI254" i="24"/>
  <c r="FI290" i="24"/>
  <c r="FI315" i="24"/>
  <c r="FI257" i="24"/>
  <c r="FI275" i="24"/>
  <c r="FI306" i="24"/>
  <c r="FI305" i="24"/>
  <c r="FI273" i="24"/>
  <c r="AS110" i="24"/>
  <c r="BJ110" i="24"/>
  <c r="AQ110" i="24"/>
  <c r="BU110" i="24"/>
  <c r="AX110" i="24"/>
  <c r="BW110" i="24"/>
  <c r="DN212" i="24" l="1"/>
  <c r="DX212" i="24" s="1"/>
  <c r="DK212" i="24"/>
  <c r="DJ212" i="24"/>
  <c r="AT216" i="24"/>
  <c r="BA216" i="24" s="1"/>
  <c r="AN216" i="24"/>
  <c r="AK216" i="24"/>
  <c r="AU110" i="24"/>
  <c r="BB110" i="24" s="1"/>
  <c r="AW110" i="24"/>
  <c r="BW216" i="24" l="1"/>
  <c r="BI216" i="24"/>
  <c r="BL216" i="24" s="1"/>
  <c r="DO212" i="24"/>
  <c r="DR212" i="24"/>
  <c r="EE212" i="24"/>
  <c r="BH216" i="24"/>
  <c r="BU216" i="24"/>
  <c r="BJ216" i="24"/>
  <c r="AX216" i="24"/>
  <c r="AS216" i="24"/>
  <c r="AQ216" i="24"/>
  <c r="AY110" i="24"/>
  <c r="AZ110" i="24" s="1"/>
  <c r="BD110" i="24"/>
  <c r="BE110" i="24"/>
  <c r="BT110" i="24" s="1"/>
  <c r="DW212" i="24" l="1"/>
  <c r="EM212" i="24"/>
  <c r="EP212" i="24" s="1"/>
  <c r="EN212" i="24"/>
  <c r="FI212" i="24"/>
  <c r="DU212" i="24"/>
  <c r="EB212" i="24"/>
  <c r="EL212" i="24"/>
  <c r="EY212" i="24"/>
  <c r="FA212" i="24"/>
  <c r="AU216" i="24"/>
  <c r="BB216" i="24" s="1"/>
  <c r="AW216" i="24"/>
  <c r="BS110" i="24"/>
  <c r="BX110" i="24" s="1"/>
  <c r="BG110" i="24"/>
  <c r="DY212" i="24" l="1"/>
  <c r="EF212" i="24" s="1"/>
  <c r="EA212" i="24"/>
  <c r="L4" i="29"/>
  <c r="W3" i="29" s="1"/>
  <c r="BM110" i="24"/>
  <c r="BN110" i="24" s="1"/>
  <c r="BE216" i="24"/>
  <c r="BT216" i="24" s="1"/>
  <c r="BD216" i="24"/>
  <c r="AY216" i="24"/>
  <c r="AZ216" i="24" s="1"/>
  <c r="BY110" i="24"/>
  <c r="CA110" i="24" s="1"/>
  <c r="CB110" i="24" s="1"/>
  <c r="EH212" i="24" l="1"/>
  <c r="EC212" i="24"/>
  <c r="ED212" i="24" s="1"/>
  <c r="EI212" i="24"/>
  <c r="EX212" i="24" s="1"/>
  <c r="FL212" i="24"/>
  <c r="CG212" i="24"/>
  <c r="I212" i="24" s="1"/>
  <c r="B41" i="29"/>
  <c r="D41" i="29" s="1"/>
  <c r="BG216" i="24"/>
  <c r="BM216" i="24" s="1"/>
  <c r="BS216" i="24"/>
  <c r="BX216" i="24" s="1"/>
  <c r="I388" i="29"/>
  <c r="J507" i="29"/>
  <c r="I318" i="29"/>
  <c r="J157" i="29"/>
  <c r="J196" i="29"/>
  <c r="I481" i="29"/>
  <c r="I511" i="29"/>
  <c r="I152" i="29"/>
  <c r="I345" i="29"/>
  <c r="I495" i="29"/>
  <c r="I129" i="29"/>
  <c r="I435" i="29"/>
  <c r="I469" i="29"/>
  <c r="I133" i="29"/>
  <c r="J550" i="29"/>
  <c r="I611" i="29"/>
  <c r="J306" i="29"/>
  <c r="J464" i="29"/>
  <c r="J482" i="29"/>
  <c r="I560" i="29"/>
  <c r="J541" i="29"/>
  <c r="I217" i="29"/>
  <c r="J25" i="29"/>
  <c r="J564" i="29"/>
  <c r="J123" i="29"/>
  <c r="I238" i="29"/>
  <c r="I321" i="29"/>
  <c r="I550" i="29"/>
  <c r="I104" i="29"/>
  <c r="J524" i="29"/>
  <c r="I527" i="29"/>
  <c r="I513" i="29"/>
  <c r="I276" i="29"/>
  <c r="J86" i="29"/>
  <c r="I632" i="29"/>
  <c r="J609" i="29"/>
  <c r="I360" i="29"/>
  <c r="I69" i="29"/>
  <c r="J437" i="29"/>
  <c r="I361" i="29"/>
  <c r="I164" i="29"/>
  <c r="J254" i="29"/>
  <c r="I300" i="29"/>
  <c r="I194" i="29"/>
  <c r="I42" i="29"/>
  <c r="J601" i="29"/>
  <c r="I428" i="29"/>
  <c r="J506" i="29"/>
  <c r="J38" i="29"/>
  <c r="J375" i="29"/>
  <c r="J430" i="29"/>
  <c r="I517" i="29"/>
  <c r="J250" i="29"/>
  <c r="I38" i="29"/>
  <c r="J372" i="29"/>
  <c r="J516" i="29"/>
  <c r="J314" i="29"/>
  <c r="I431" i="29"/>
  <c r="J521" i="29"/>
  <c r="I608" i="29"/>
  <c r="I461" i="29"/>
  <c r="I105" i="29"/>
  <c r="I475" i="29"/>
  <c r="J101" i="29"/>
  <c r="J361" i="29"/>
  <c r="J73" i="29"/>
  <c r="I233" i="29"/>
  <c r="I602" i="29"/>
  <c r="I604" i="29"/>
  <c r="J279" i="29"/>
  <c r="I525" i="29"/>
  <c r="I569" i="29"/>
  <c r="I319" i="29"/>
  <c r="I75" i="29"/>
  <c r="J119" i="29"/>
  <c r="J152" i="29"/>
  <c r="J590" i="29"/>
  <c r="I64" i="29"/>
  <c r="J585" i="29"/>
  <c r="J455" i="29"/>
  <c r="I440" i="29"/>
  <c r="J83" i="29"/>
  <c r="I239" i="29"/>
  <c r="J339" i="29"/>
  <c r="J300" i="29"/>
  <c r="I599" i="29"/>
  <c r="I379" i="29"/>
  <c r="I579" i="29"/>
  <c r="I524" i="29"/>
  <c r="I561" i="29"/>
  <c r="I267" i="29"/>
  <c r="I582" i="29"/>
  <c r="I314" i="29"/>
  <c r="J287" i="29"/>
  <c r="J393" i="29"/>
  <c r="J131" i="29"/>
  <c r="I220" i="29"/>
  <c r="I107" i="29"/>
  <c r="I137" i="29"/>
  <c r="J124" i="29"/>
  <c r="J535" i="29"/>
  <c r="I474" i="29"/>
  <c r="J344" i="29"/>
  <c r="I106" i="29"/>
  <c r="I412" i="29"/>
  <c r="J510" i="29"/>
  <c r="J331" i="29"/>
  <c r="J45" i="29"/>
  <c r="I203" i="29"/>
  <c r="J198" i="29"/>
  <c r="J569" i="29"/>
  <c r="I92" i="29"/>
  <c r="J177" i="29"/>
  <c r="J527" i="29"/>
  <c r="I576" i="29"/>
  <c r="J309" i="29"/>
  <c r="I515" i="29"/>
  <c r="I349" i="29"/>
  <c r="J357" i="29"/>
  <c r="J68" i="29"/>
  <c r="J226" i="29"/>
  <c r="I274" i="29"/>
  <c r="I154" i="29"/>
  <c r="J409" i="29"/>
  <c r="I355" i="29"/>
  <c r="J589" i="29"/>
  <c r="I393" i="29"/>
  <c r="J42" i="29"/>
  <c r="J360" i="29"/>
  <c r="I391" i="29"/>
  <c r="J401" i="29"/>
  <c r="I554" i="29"/>
  <c r="I464" i="29"/>
  <c r="J350" i="29"/>
  <c r="J284" i="29"/>
  <c r="I55" i="29"/>
  <c r="J330" i="29"/>
  <c r="I390" i="29"/>
  <c r="J548" i="29"/>
  <c r="I398" i="29"/>
  <c r="I135" i="29"/>
  <c r="J70" i="29"/>
  <c r="I472" i="29"/>
  <c r="I505" i="29"/>
  <c r="J171" i="29"/>
  <c r="J325" i="29"/>
  <c r="I504" i="29"/>
  <c r="I357" i="29"/>
  <c r="I130" i="29"/>
  <c r="I273" i="29"/>
  <c r="J607" i="29"/>
  <c r="I593" i="29"/>
  <c r="I97" i="29"/>
  <c r="J194" i="29"/>
  <c r="J195" i="29"/>
  <c r="J90" i="29"/>
  <c r="I91" i="29"/>
  <c r="I483" i="29"/>
  <c r="J588" i="29"/>
  <c r="J435" i="29"/>
  <c r="J130" i="29"/>
  <c r="I271" i="29"/>
  <c r="J258" i="29"/>
  <c r="I375" i="29"/>
  <c r="I538" i="29"/>
  <c r="I364" i="29"/>
  <c r="J263" i="29"/>
  <c r="I383" i="29"/>
  <c r="I502" i="29"/>
  <c r="J320" i="29"/>
  <c r="J425" i="29"/>
  <c r="I493" i="29"/>
  <c r="I555" i="29"/>
  <c r="I497" i="29"/>
  <c r="J52" i="29"/>
  <c r="J277" i="29"/>
  <c r="J442" i="29"/>
  <c r="J504" i="29"/>
  <c r="I329" i="29"/>
  <c r="I77" i="29"/>
  <c r="J602" i="29"/>
  <c r="I313" i="29"/>
  <c r="I114" i="29"/>
  <c r="I304" i="29"/>
  <c r="J253" i="29"/>
  <c r="J576" i="29"/>
  <c r="J346" i="29"/>
  <c r="J519" i="29"/>
  <c r="J203" i="29"/>
  <c r="I119" i="29"/>
  <c r="J210" i="29"/>
  <c r="I242" i="29"/>
  <c r="I596" i="29"/>
  <c r="J359" i="29"/>
  <c r="I162" i="29"/>
  <c r="I261" i="29"/>
  <c r="I459" i="29"/>
  <c r="I585" i="29"/>
  <c r="I406" i="29"/>
  <c r="J493" i="29"/>
  <c r="I577" i="29"/>
  <c r="J65" i="29"/>
  <c r="J160" i="29"/>
  <c r="J72" i="29"/>
  <c r="I277" i="29"/>
  <c r="J252" i="29"/>
  <c r="I334" i="29"/>
  <c r="I373" i="29"/>
  <c r="I374" i="29"/>
  <c r="I592" i="29"/>
  <c r="J322" i="29"/>
  <c r="J575" i="29"/>
  <c r="J231" i="29"/>
  <c r="J221" i="29"/>
  <c r="I150" i="29"/>
  <c r="I327" i="29"/>
  <c r="I446" i="29"/>
  <c r="J61" i="29"/>
  <c r="I117" i="29"/>
  <c r="J102" i="29"/>
  <c r="I370" i="29"/>
  <c r="I422" i="29"/>
  <c r="I199" i="29"/>
  <c r="I284" i="29"/>
  <c r="J354" i="29"/>
  <c r="I49" i="29"/>
  <c r="I102" i="29"/>
  <c r="J161" i="29"/>
  <c r="J562" i="29"/>
  <c r="J563" i="29"/>
  <c r="J79" i="29"/>
  <c r="J381" i="29"/>
  <c r="J474" i="29"/>
  <c r="I248" i="29"/>
  <c r="I32" i="29"/>
  <c r="J338" i="29"/>
  <c r="J530" i="29"/>
  <c r="I74" i="29"/>
  <c r="J53" i="29"/>
  <c r="I542" i="29"/>
  <c r="J584" i="29"/>
  <c r="I303" i="29"/>
  <c r="I587" i="29"/>
  <c r="J297" i="29"/>
  <c r="I240" i="29"/>
  <c r="J176" i="29"/>
  <c r="J158" i="29"/>
  <c r="J247" i="29"/>
  <c r="J289" i="29"/>
  <c r="I414" i="29"/>
  <c r="J587" i="29"/>
  <c r="J491" i="29"/>
  <c r="J579" i="29"/>
  <c r="I403" i="29"/>
  <c r="J366" i="29"/>
  <c r="J486" i="29"/>
  <c r="I170" i="29"/>
  <c r="I432" i="29"/>
  <c r="I603" i="29"/>
  <c r="I58" i="29"/>
  <c r="J168" i="29"/>
  <c r="I479" i="29"/>
  <c r="I454" i="29"/>
  <c r="I567" i="29"/>
  <c r="J423" i="29"/>
  <c r="I378" i="29"/>
  <c r="J389" i="29"/>
  <c r="I24" i="29"/>
  <c r="J369" i="29"/>
  <c r="I168" i="29"/>
  <c r="I213" i="29"/>
  <c r="I558" i="29"/>
  <c r="I251" i="29"/>
  <c r="J432" i="29"/>
  <c r="J311" i="29"/>
  <c r="I487" i="29"/>
  <c r="I138" i="29"/>
  <c r="J345" i="29"/>
  <c r="J262" i="29"/>
  <c r="J106" i="29"/>
  <c r="I266" i="29"/>
  <c r="I306" i="29"/>
  <c r="I54" i="29"/>
  <c r="E54" i="1"/>
  <c r="I336" i="29"/>
  <c r="I18" i="29"/>
  <c r="I275" i="29"/>
  <c r="J379" i="29"/>
  <c r="J449" i="29"/>
  <c r="J32" i="29"/>
  <c r="J417" i="29"/>
  <c r="I37" i="29"/>
  <c r="I282" i="29"/>
  <c r="J334" i="29"/>
  <c r="J60" i="29"/>
  <c r="J374" i="29"/>
  <c r="J436" i="29"/>
  <c r="I320" i="29"/>
  <c r="I407" i="29"/>
  <c r="J385" i="29"/>
  <c r="I441" i="29"/>
  <c r="I589" i="29"/>
  <c r="I547" i="29"/>
  <c r="I389" i="29"/>
  <c r="I293" i="29"/>
  <c r="I404" i="29"/>
  <c r="I365" i="29"/>
  <c r="J467" i="29"/>
  <c r="I581" i="29"/>
  <c r="I292" i="29"/>
  <c r="J164" i="29"/>
  <c r="I160" i="29"/>
  <c r="I521" i="29"/>
  <c r="I79" i="29"/>
  <c r="I399" i="29"/>
  <c r="J336" i="29"/>
  <c r="I546" i="29"/>
  <c r="J243" i="29"/>
  <c r="I229" i="29"/>
  <c r="I280" i="29"/>
  <c r="J348" i="29"/>
  <c r="J597" i="29"/>
  <c r="J139" i="29"/>
  <c r="J492" i="29"/>
  <c r="I132" i="29"/>
  <c r="I559" i="29"/>
  <c r="I433" i="29"/>
  <c r="J233" i="29"/>
  <c r="J407" i="29"/>
  <c r="J571" i="29"/>
  <c r="J501" i="29"/>
  <c r="J44" i="29"/>
  <c r="I312" i="29"/>
  <c r="J460" i="29"/>
  <c r="I331" i="29"/>
  <c r="J111" i="29"/>
  <c r="J328" i="29"/>
  <c r="J377" i="29"/>
  <c r="J135" i="29"/>
  <c r="I333" i="29"/>
  <c r="I457" i="29"/>
  <c r="I514" i="29"/>
  <c r="I605" i="29"/>
  <c r="J595" i="29"/>
  <c r="J145" i="29"/>
  <c r="J421" i="29"/>
  <c r="J605" i="29"/>
  <c r="J303" i="29"/>
  <c r="I439" i="29"/>
  <c r="I573" i="29"/>
  <c r="I144" i="29"/>
  <c r="I197" i="29"/>
  <c r="I241" i="29"/>
  <c r="I510" i="29"/>
  <c r="J556" i="29"/>
  <c r="I536" i="29"/>
  <c r="I445" i="29"/>
  <c r="I609" i="29"/>
  <c r="I353" i="29"/>
  <c r="I245" i="29"/>
  <c r="I122" i="29"/>
  <c r="I359" i="29"/>
  <c r="I316" i="29"/>
  <c r="I13" i="29"/>
  <c r="J275" i="29"/>
  <c r="I78" i="29"/>
  <c r="I473" i="29"/>
  <c r="I20" i="29"/>
  <c r="J20" i="29"/>
  <c r="I448" i="29"/>
  <c r="J539" i="29"/>
  <c r="I366" i="29"/>
  <c r="J450" i="29"/>
  <c r="I444" i="29"/>
  <c r="I15" i="29"/>
  <c r="J384" i="29"/>
  <c r="I568" i="29"/>
  <c r="J537" i="29"/>
  <c r="I143" i="29"/>
  <c r="I410" i="29"/>
  <c r="I408" i="29"/>
  <c r="J30" i="29"/>
  <c r="J367" i="29"/>
  <c r="J351" i="29"/>
  <c r="J302" i="29"/>
  <c r="J472" i="29"/>
  <c r="I337" i="29"/>
  <c r="J480" i="29"/>
  <c r="I392" i="29"/>
  <c r="J91" i="29"/>
  <c r="J136" i="29"/>
  <c r="J445" i="29"/>
  <c r="J465" i="29"/>
  <c r="J536" i="29"/>
  <c r="I315" i="29"/>
  <c r="I405" i="29"/>
  <c r="I61" i="29"/>
  <c r="J117" i="29"/>
  <c r="I201" i="29"/>
  <c r="I612" i="29"/>
  <c r="G622" i="29"/>
  <c r="J318" i="29"/>
  <c r="I421" i="29"/>
  <c r="I484" i="29"/>
  <c r="J390" i="29"/>
  <c r="J433" i="29"/>
  <c r="I232" i="29"/>
  <c r="J559" i="29"/>
  <c r="I580" i="29"/>
  <c r="I299" i="29"/>
  <c r="J608" i="29"/>
  <c r="I317" i="29"/>
  <c r="J326" i="29"/>
  <c r="I413" i="29"/>
  <c r="I286" i="29"/>
  <c r="I174" i="29"/>
  <c r="J185" i="29"/>
  <c r="I171" i="29"/>
  <c r="J553" i="29"/>
  <c r="J380" i="29"/>
  <c r="J466" i="29"/>
  <c r="I185" i="29"/>
  <c r="I372" i="29"/>
  <c r="J84" i="29"/>
  <c r="I437" i="29"/>
  <c r="J606" i="29"/>
  <c r="I184" i="29"/>
  <c r="I350" i="29"/>
  <c r="J458" i="29"/>
  <c r="J19" i="29"/>
  <c r="J85" i="29"/>
  <c r="J228" i="29"/>
  <c r="J522" i="29"/>
  <c r="J503" i="29"/>
  <c r="J175" i="29"/>
  <c r="I397" i="29"/>
  <c r="J500" i="29"/>
  <c r="J146" i="29"/>
  <c r="J35" i="29"/>
  <c r="I134" i="29"/>
  <c r="I578" i="29"/>
  <c r="I551" i="29"/>
  <c r="I116" i="29"/>
  <c r="J517" i="29"/>
  <c r="J496" i="29"/>
  <c r="I65" i="29"/>
  <c r="I209" i="29"/>
  <c r="I145" i="29"/>
  <c r="J129" i="29"/>
  <c r="J16" i="29"/>
  <c r="I33" i="29"/>
  <c r="J128" i="29"/>
  <c r="J446" i="29"/>
  <c r="I436" i="29"/>
  <c r="J534" i="29"/>
  <c r="I305" i="29"/>
  <c r="I482" i="29"/>
  <c r="I76" i="29"/>
  <c r="J133" i="29"/>
  <c r="J321" i="29"/>
  <c r="I395" i="29"/>
  <c r="I236" i="29"/>
  <c r="J402" i="29"/>
  <c r="J77" i="29"/>
  <c r="J163" i="29"/>
  <c r="J426" i="29"/>
  <c r="I471" i="29"/>
  <c r="I67" i="29"/>
  <c r="I386" i="29"/>
  <c r="I425" i="29"/>
  <c r="I476" i="29"/>
  <c r="I25" i="29"/>
  <c r="J80" i="29"/>
  <c r="I491" i="29"/>
  <c r="J438" i="29"/>
  <c r="I56" i="29"/>
  <c r="J89" i="29"/>
  <c r="I499" i="29"/>
  <c r="I565" i="29"/>
  <c r="I109" i="29"/>
  <c r="I453" i="29"/>
  <c r="J444" i="29"/>
  <c r="I532" i="29"/>
  <c r="J54" i="29"/>
  <c r="J304" i="29"/>
  <c r="J580" i="29"/>
  <c r="I540" i="29"/>
  <c r="I206" i="29"/>
  <c r="J469" i="29"/>
  <c r="I583" i="29"/>
  <c r="J358" i="29"/>
  <c r="I158" i="29"/>
  <c r="J192" i="29"/>
  <c r="I252" i="29"/>
  <c r="I151" i="29"/>
  <c r="I595" i="29"/>
  <c r="I443" i="29"/>
  <c r="I562" i="29"/>
  <c r="J422" i="29"/>
  <c r="J179" i="29"/>
  <c r="J285" i="29"/>
  <c r="I344" i="29"/>
  <c r="I411" i="29"/>
  <c r="J40" i="29"/>
  <c r="I376" i="29"/>
  <c r="I255" i="29"/>
  <c r="J199" i="29"/>
  <c r="I215" i="29"/>
  <c r="I307" i="29"/>
  <c r="J411" i="29"/>
  <c r="I523" i="29"/>
  <c r="I72" i="29"/>
  <c r="I85" i="29"/>
  <c r="I387" i="29"/>
  <c r="J412" i="29"/>
  <c r="J137" i="29"/>
  <c r="J74" i="29"/>
  <c r="I533" i="29"/>
  <c r="J484" i="29"/>
  <c r="J546" i="29"/>
  <c r="J36" i="29"/>
  <c r="I465" i="29"/>
  <c r="J497" i="29"/>
  <c r="J544" i="29"/>
  <c r="J298" i="29"/>
  <c r="I156" i="29"/>
  <c r="I51" i="29"/>
  <c r="I552" i="29"/>
  <c r="J249" i="29"/>
  <c r="I458" i="29"/>
  <c r="I548" i="29"/>
  <c r="J386" i="29"/>
  <c r="I358" i="29"/>
  <c r="J272" i="29"/>
  <c r="I294" i="29"/>
  <c r="J28" i="29"/>
  <c r="I382" i="29"/>
  <c r="J591" i="29"/>
  <c r="I189" i="29"/>
  <c r="I48" i="29"/>
  <c r="J582" i="29"/>
  <c r="I343" i="29"/>
  <c r="J327" i="29"/>
  <c r="I534" i="29"/>
  <c r="J578" i="29"/>
  <c r="J343" i="29"/>
  <c r="J125" i="29"/>
  <c r="I169" i="29"/>
  <c r="J27" i="29"/>
  <c r="I342" i="29"/>
  <c r="I485" i="29"/>
  <c r="J463" i="29"/>
  <c r="J462" i="29"/>
  <c r="I478" i="29"/>
  <c r="I178" i="29"/>
  <c r="I400" i="29"/>
  <c r="J349" i="29"/>
  <c r="I427" i="29"/>
  <c r="J232" i="29"/>
  <c r="J542" i="29"/>
  <c r="J481" i="29"/>
  <c r="J489" i="29"/>
  <c r="I351" i="29"/>
  <c r="J64" i="29"/>
  <c r="J363" i="29"/>
  <c r="I52" i="29"/>
  <c r="I244" i="29"/>
  <c r="I442" i="29"/>
  <c r="J394" i="29"/>
  <c r="I460" i="29"/>
  <c r="J568" i="29"/>
  <c r="I600" i="29"/>
  <c r="J230" i="29"/>
  <c r="J305" i="29"/>
  <c r="J404" i="29"/>
  <c r="I352" i="29"/>
  <c r="J281" i="29"/>
  <c r="I62" i="29"/>
  <c r="J554" i="29"/>
  <c r="I623" i="29"/>
  <c r="J397" i="29"/>
  <c r="J520" i="29"/>
  <c r="J362" i="29"/>
  <c r="I19" i="29"/>
  <c r="J41" i="29"/>
  <c r="I191" i="29"/>
  <c r="I208" i="29"/>
  <c r="I449" i="29"/>
  <c r="I46" i="29"/>
  <c r="I234" i="29"/>
  <c r="I123" i="29"/>
  <c r="J167" i="29"/>
  <c r="J103" i="29"/>
  <c r="J212" i="29"/>
  <c r="I173" i="29"/>
  <c r="J26" i="29"/>
  <c r="J188" i="29"/>
  <c r="I332" i="29"/>
  <c r="J270" i="29"/>
  <c r="I57" i="29"/>
  <c r="J213" i="29"/>
  <c r="I17" i="29"/>
  <c r="J209" i="29"/>
  <c r="I41" i="29"/>
  <c r="J291" i="29"/>
  <c r="I371" i="29"/>
  <c r="I503" i="29"/>
  <c r="I509" i="29"/>
  <c r="J315" i="29"/>
  <c r="I363" i="29"/>
  <c r="J88" i="29"/>
  <c r="J126" i="29"/>
  <c r="I80" i="29"/>
  <c r="I356" i="29"/>
  <c r="J97" i="29"/>
  <c r="J109" i="29"/>
  <c r="I526" i="29"/>
  <c r="I501" i="29"/>
  <c r="J256" i="29"/>
  <c r="I205" i="29"/>
  <c r="I47" i="29"/>
  <c r="J528" i="29"/>
  <c r="J335" i="29"/>
  <c r="J47" i="29"/>
  <c r="J29" i="29"/>
  <c r="J242" i="29"/>
  <c r="I246" i="29"/>
  <c r="J549" i="29"/>
  <c r="I225" i="29"/>
  <c r="J278" i="29"/>
  <c r="I35" i="29"/>
  <c r="J169" i="29"/>
  <c r="J205" i="29"/>
  <c r="J222" i="29"/>
  <c r="I588" i="29"/>
  <c r="J365" i="29"/>
  <c r="J182" i="29"/>
  <c r="I396" i="29"/>
  <c r="J392" i="29"/>
  <c r="I530" i="29"/>
  <c r="I228" i="29"/>
  <c r="J416" i="29"/>
  <c r="J329" i="29"/>
  <c r="J547" i="29"/>
  <c r="I279" i="29"/>
  <c r="J116" i="29"/>
  <c r="I179" i="29"/>
  <c r="J95" i="29"/>
  <c r="J98" i="29"/>
  <c r="J93" i="29"/>
  <c r="I237" i="29"/>
  <c r="J67" i="29"/>
  <c r="J217" i="29"/>
  <c r="J76" i="29"/>
  <c r="I60" i="29"/>
  <c r="I16" i="29"/>
  <c r="J457" i="29"/>
  <c r="J418" i="29"/>
  <c r="I30" i="29"/>
  <c r="I153" i="29"/>
  <c r="I149" i="29"/>
  <c r="I101" i="29"/>
  <c r="I572" i="29"/>
  <c r="I470" i="29"/>
  <c r="I26" i="29"/>
  <c r="J154" i="29"/>
  <c r="J356" i="29"/>
  <c r="J81" i="29"/>
  <c r="I338" i="29"/>
  <c r="I256" i="29"/>
  <c r="J251" i="29"/>
  <c r="J475" i="29"/>
  <c r="I218" i="29"/>
  <c r="J479" i="29"/>
  <c r="J403" i="29"/>
  <c r="I126" i="29"/>
  <c r="J276" i="29"/>
  <c r="J264" i="29"/>
  <c r="I381" i="29"/>
  <c r="I268" i="29"/>
  <c r="I254" i="29"/>
  <c r="I348" i="29"/>
  <c r="I624" i="29"/>
  <c r="I166" i="29"/>
  <c r="J112" i="29"/>
  <c r="J245" i="29"/>
  <c r="J560" i="29"/>
  <c r="J323" i="29"/>
  <c r="I247" i="29"/>
  <c r="I98" i="29"/>
  <c r="I270" i="29"/>
  <c r="J593" i="29"/>
  <c r="I295" i="29"/>
  <c r="J147" i="29"/>
  <c r="I207" i="29"/>
  <c r="J428" i="29"/>
  <c r="J420" i="29"/>
  <c r="I597" i="29"/>
  <c r="I146" i="29"/>
  <c r="I447" i="29"/>
  <c r="I88" i="29"/>
  <c r="J200" i="29"/>
  <c r="J260" i="29"/>
  <c r="I31" i="29"/>
  <c r="J573" i="29"/>
  <c r="J50" i="29"/>
  <c r="J513" i="29"/>
  <c r="I161" i="29"/>
  <c r="J237" i="29"/>
  <c r="J355" i="29"/>
  <c r="J483" i="29"/>
  <c r="J148" i="29"/>
  <c r="I219" i="29"/>
  <c r="I257" i="29"/>
  <c r="J92" i="29"/>
  <c r="I553" i="29"/>
  <c r="J166" i="29"/>
  <c r="I297" i="29"/>
  <c r="I269" i="29"/>
  <c r="J219" i="29"/>
  <c r="I628" i="29"/>
  <c r="I328" i="29"/>
  <c r="I456" i="29"/>
  <c r="J257" i="29"/>
  <c r="J69" i="29"/>
  <c r="I455" i="29"/>
  <c r="I182" i="29"/>
  <c r="I71" i="29"/>
  <c r="J312" i="29"/>
  <c r="I486" i="29"/>
  <c r="I607" i="29"/>
  <c r="I380" i="29"/>
  <c r="J594" i="29"/>
  <c r="I462" i="29"/>
  <c r="J307" i="29"/>
  <c r="J488" i="29"/>
  <c r="J505" i="29"/>
  <c r="I498" i="29"/>
  <c r="I265" i="29"/>
  <c r="J448" i="29"/>
  <c r="J561" i="29"/>
  <c r="J427" i="29"/>
  <c r="I211" i="29"/>
  <c r="J603" i="29"/>
  <c r="I556" i="29"/>
  <c r="J261" i="29"/>
  <c r="I296" i="29"/>
  <c r="J509" i="29"/>
  <c r="J197" i="29"/>
  <c r="J159" i="29"/>
  <c r="J162" i="29"/>
  <c r="J255" i="29"/>
  <c r="I346" i="29"/>
  <c r="J273" i="29"/>
  <c r="I28" i="29"/>
  <c r="I262" i="29"/>
  <c r="J512" i="29"/>
  <c r="I167" i="29"/>
  <c r="I204" i="29"/>
  <c r="J225" i="29"/>
  <c r="I289" i="29"/>
  <c r="I163" i="29"/>
  <c r="J57" i="29"/>
  <c r="I235" i="29"/>
  <c r="J508" i="29"/>
  <c r="J39" i="29"/>
  <c r="J405" i="29"/>
  <c r="I128" i="29"/>
  <c r="J337" i="29"/>
  <c r="J51" i="29"/>
  <c r="J18" i="29"/>
  <c r="J268" i="29"/>
  <c r="I141" i="29"/>
  <c r="I93" i="29"/>
  <c r="J499" i="29"/>
  <c r="J211" i="29"/>
  <c r="J141" i="29"/>
  <c r="J583" i="29"/>
  <c r="J470" i="29"/>
  <c r="J529" i="29"/>
  <c r="J58" i="29"/>
  <c r="I230" i="29"/>
  <c r="J319" i="29"/>
  <c r="J113" i="29"/>
  <c r="I157" i="29"/>
  <c r="J347" i="29"/>
  <c r="I82" i="29"/>
  <c r="I212" i="29"/>
  <c r="I200" i="29"/>
  <c r="I311" i="29"/>
  <c r="J105" i="29"/>
  <c r="I221" i="29"/>
  <c r="J453" i="29"/>
  <c r="J478" i="29"/>
  <c r="J43" i="29"/>
  <c r="J94" i="29"/>
  <c r="J485" i="29"/>
  <c r="J596" i="29"/>
  <c r="J138" i="29"/>
  <c r="I142" i="29"/>
  <c r="I298" i="29"/>
  <c r="I216" i="29"/>
  <c r="J600" i="29"/>
  <c r="J628" i="29"/>
  <c r="J240" i="29"/>
  <c r="J316" i="29"/>
  <c r="J540" i="29"/>
  <c r="I606" i="29"/>
  <c r="J395" i="29"/>
  <c r="J216" i="29"/>
  <c r="J459" i="29"/>
  <c r="J391" i="29"/>
  <c r="I259" i="29"/>
  <c r="J543" i="29"/>
  <c r="I196" i="29"/>
  <c r="I430" i="29"/>
  <c r="J244" i="29"/>
  <c r="I531" i="29"/>
  <c r="J290" i="29"/>
  <c r="I544" i="29"/>
  <c r="J75" i="29"/>
  <c r="J295" i="29"/>
  <c r="J523" i="29"/>
  <c r="I584" i="29"/>
  <c r="J241" i="29"/>
  <c r="I263" i="29"/>
  <c r="I369" i="29"/>
  <c r="I258" i="29"/>
  <c r="J364" i="29"/>
  <c r="J186" i="29"/>
  <c r="J37" i="29"/>
  <c r="J238" i="29"/>
  <c r="J239" i="29"/>
  <c r="I103" i="29"/>
  <c r="I155" i="29"/>
  <c r="I420" i="29"/>
  <c r="I339" i="29"/>
  <c r="I626" i="29"/>
  <c r="J15" i="29"/>
  <c r="J34" i="29"/>
  <c r="I264" i="29"/>
  <c r="I535" i="29"/>
  <c r="I118" i="29"/>
  <c r="J441" i="29"/>
  <c r="I610" i="29"/>
  <c r="I415" i="29"/>
  <c r="J190" i="29"/>
  <c r="J398" i="29"/>
  <c r="J623" i="29"/>
  <c r="J502" i="29"/>
  <c r="I494" i="29"/>
  <c r="I467" i="29"/>
  <c r="I508" i="29"/>
  <c r="I385" i="29"/>
  <c r="J333" i="29"/>
  <c r="J202" i="29"/>
  <c r="J156" i="29"/>
  <c r="I516" i="29"/>
  <c r="I278" i="29"/>
  <c r="I202" i="29"/>
  <c r="J515" i="29"/>
  <c r="J173" i="29"/>
  <c r="I564" i="29"/>
  <c r="J494" i="29"/>
  <c r="J332" i="29"/>
  <c r="I394" i="29"/>
  <c r="J439" i="29"/>
  <c r="I549" i="29"/>
  <c r="J269" i="29"/>
  <c r="I243" i="29"/>
  <c r="I224" i="29"/>
  <c r="J267" i="29"/>
  <c r="I231" i="29"/>
  <c r="I73" i="29"/>
  <c r="J108" i="29"/>
  <c r="I100" i="29"/>
  <c r="I507" i="29"/>
  <c r="I496" i="29"/>
  <c r="J599" i="29"/>
  <c r="J142" i="29"/>
  <c r="J149" i="29"/>
  <c r="J31" i="29"/>
  <c r="J626" i="29"/>
  <c r="I84" i="29"/>
  <c r="J220" i="29"/>
  <c r="I172" i="29"/>
  <c r="J324" i="29"/>
  <c r="I89" i="29"/>
  <c r="I330" i="29"/>
  <c r="J17" i="29"/>
  <c r="J414" i="29"/>
  <c r="J518" i="29"/>
  <c r="I426" i="29"/>
  <c r="J132" i="29"/>
  <c r="I63" i="29"/>
  <c r="J286" i="29"/>
  <c r="J22" i="29"/>
  <c r="I325" i="29"/>
  <c r="J259" i="29"/>
  <c r="I111" i="29"/>
  <c r="J236" i="29"/>
  <c r="I468" i="29"/>
  <c r="J227" i="29"/>
  <c r="J400" i="29"/>
  <c r="I418" i="29"/>
  <c r="I302" i="29"/>
  <c r="J246" i="29"/>
  <c r="J352" i="29"/>
  <c r="I347" i="29"/>
  <c r="J14" i="29"/>
  <c r="I480" i="29"/>
  <c r="I522" i="29"/>
  <c r="I377" i="29"/>
  <c r="J308" i="29"/>
  <c r="I291" i="29"/>
  <c r="I539" i="29"/>
  <c r="J193" i="29"/>
  <c r="I335" i="29"/>
  <c r="I424" i="29"/>
  <c r="I108" i="29"/>
  <c r="J288" i="29"/>
  <c r="I340" i="29"/>
  <c r="I308" i="29"/>
  <c r="J424" i="29"/>
  <c r="J214" i="29"/>
  <c r="J342" i="29"/>
  <c r="J82" i="29"/>
  <c r="J447" i="29"/>
  <c r="I341" i="29"/>
  <c r="J180" i="29"/>
  <c r="J473" i="29"/>
  <c r="J46" i="29"/>
  <c r="I490" i="29"/>
  <c r="I324" i="29"/>
  <c r="J96" i="29"/>
  <c r="J408" i="29"/>
  <c r="J293" i="29"/>
  <c r="I148" i="29"/>
  <c r="J206" i="29"/>
  <c r="J187" i="29"/>
  <c r="I59" i="29"/>
  <c r="J371" i="29"/>
  <c r="I417" i="29"/>
  <c r="I195" i="29"/>
  <c r="I416" i="29"/>
  <c r="I574" i="29"/>
  <c r="J296" i="29"/>
  <c r="J570" i="29"/>
  <c r="I124" i="29"/>
  <c r="I99" i="29"/>
  <c r="J477" i="29"/>
  <c r="J495" i="29"/>
  <c r="J78" i="29"/>
  <c r="I354" i="29"/>
  <c r="J368" i="29"/>
  <c r="J413" i="29"/>
  <c r="J134" i="29"/>
  <c r="I489" i="29"/>
  <c r="I34" i="29"/>
  <c r="J292" i="29"/>
  <c r="I110" i="29"/>
  <c r="I83" i="29"/>
  <c r="J23" i="29"/>
  <c r="I520" i="29"/>
  <c r="J155" i="29"/>
  <c r="J545" i="29"/>
  <c r="J140" i="29"/>
  <c r="J533" i="29"/>
  <c r="J63" i="29"/>
  <c r="J178" i="29"/>
  <c r="I175" i="29"/>
  <c r="I463" i="29"/>
  <c r="I165" i="29"/>
  <c r="J604" i="29"/>
  <c r="I96" i="29"/>
  <c r="J598" i="29"/>
  <c r="I423" i="29"/>
  <c r="J565" i="29"/>
  <c r="I512" i="29"/>
  <c r="I557" i="29"/>
  <c r="I613" i="29"/>
  <c r="I541" i="29"/>
  <c r="I131" i="29"/>
  <c r="J410" i="29"/>
  <c r="J170" i="29"/>
  <c r="J611" i="29"/>
  <c r="I113" i="29"/>
  <c r="J234" i="29"/>
  <c r="I466" i="29"/>
  <c r="I452" i="29"/>
  <c r="J555" i="29"/>
  <c r="J388" i="29"/>
  <c r="I27" i="29"/>
  <c r="J613" i="29"/>
  <c r="I367" i="29"/>
  <c r="I81" i="29"/>
  <c r="I272" i="29"/>
  <c r="J431" i="29"/>
  <c r="I362" i="29"/>
  <c r="I86" i="29"/>
  <c r="I159" i="29"/>
  <c r="I594" i="29"/>
  <c r="I95" i="29"/>
  <c r="J151" i="29"/>
  <c r="I451" i="29"/>
  <c r="J376" i="29"/>
  <c r="I186" i="29"/>
  <c r="J55" i="29"/>
  <c r="J120" i="29"/>
  <c r="I188" i="29"/>
  <c r="J150" i="29"/>
  <c r="I309" i="29"/>
  <c r="I125" i="29"/>
  <c r="J382" i="29"/>
  <c r="I384" i="29"/>
  <c r="J208" i="29"/>
  <c r="I223" i="29"/>
  <c r="I120" i="29"/>
  <c r="I140" i="29"/>
  <c r="I591" i="29"/>
  <c r="J317" i="29"/>
  <c r="I283" i="29"/>
  <c r="J271" i="29"/>
  <c r="J71" i="29"/>
  <c r="J399" i="29"/>
  <c r="J440" i="29"/>
  <c r="J266" i="29"/>
  <c r="J370" i="29"/>
  <c r="I112" i="29"/>
  <c r="J434" i="29"/>
  <c r="J174" i="29"/>
  <c r="J592" i="29"/>
  <c r="J378" i="29"/>
  <c r="J340" i="29"/>
  <c r="J586" i="29"/>
  <c r="I14" i="29"/>
  <c r="J248" i="29"/>
  <c r="J490" i="29"/>
  <c r="I192" i="29"/>
  <c r="I70" i="29"/>
  <c r="I87" i="29"/>
  <c r="J87" i="29"/>
  <c r="J104" i="29"/>
  <c r="I68" i="29"/>
  <c r="J299" i="29"/>
  <c r="I601" i="29"/>
  <c r="J566" i="29"/>
  <c r="I537" i="29"/>
  <c r="I180" i="29"/>
  <c r="J341" i="29"/>
  <c r="I409" i="29"/>
  <c r="J21" i="29"/>
  <c r="I590" i="29"/>
  <c r="I402" i="29"/>
  <c r="J282" i="29"/>
  <c r="J454" i="29"/>
  <c r="I401" i="29"/>
  <c r="J476" i="29"/>
  <c r="I529" i="29"/>
  <c r="I222" i="29"/>
  <c r="I519" i="29"/>
  <c r="I285" i="29"/>
  <c r="I176" i="29"/>
  <c r="J33" i="29"/>
  <c r="I281" i="29"/>
  <c r="I310" i="29"/>
  <c r="J461" i="29"/>
  <c r="J66" i="29"/>
  <c r="J115" i="29"/>
  <c r="J373" i="29"/>
  <c r="I40" i="29"/>
  <c r="J419" i="29"/>
  <c r="J511" i="29"/>
  <c r="J415" i="29"/>
  <c r="I518" i="29"/>
  <c r="I39" i="29"/>
  <c r="J577" i="29"/>
  <c r="I288" i="29"/>
  <c r="I434" i="29"/>
  <c r="J49" i="29"/>
  <c r="I545" i="29"/>
  <c r="I147" i="29"/>
  <c r="I500" i="29"/>
  <c r="J110" i="29"/>
  <c r="I438" i="29"/>
  <c r="J625" i="29"/>
  <c r="I566" i="29"/>
  <c r="I419" i="29"/>
  <c r="J567" i="29"/>
  <c r="I45" i="29"/>
  <c r="I543" i="29"/>
  <c r="J204" i="29"/>
  <c r="I249" i="29"/>
  <c r="J201" i="29"/>
  <c r="I121" i="29"/>
  <c r="I136" i="29"/>
  <c r="J456" i="29"/>
  <c r="J468" i="29"/>
  <c r="I575" i="29"/>
  <c r="I250" i="29"/>
  <c r="I227" i="29"/>
  <c r="I226" i="29"/>
  <c r="J525" i="29"/>
  <c r="J383" i="29"/>
  <c r="J215" i="29"/>
  <c r="I287" i="29"/>
  <c r="I50" i="29"/>
  <c r="I506" i="29"/>
  <c r="I598" i="29"/>
  <c r="J387" i="29"/>
  <c r="J452" i="29"/>
  <c r="I528" i="29"/>
  <c r="J487" i="29"/>
  <c r="I563" i="29"/>
  <c r="J153" i="29"/>
  <c r="J396" i="29"/>
  <c r="J429" i="29"/>
  <c r="J62" i="29"/>
  <c r="J191" i="29"/>
  <c r="J557" i="29"/>
  <c r="I53" i="29"/>
  <c r="I94" i="29"/>
  <c r="J498" i="29"/>
  <c r="J118" i="29"/>
  <c r="I210" i="29"/>
  <c r="J183" i="29"/>
  <c r="J59" i="29"/>
  <c r="J552" i="29"/>
  <c r="J514" i="29"/>
  <c r="J56" i="29"/>
  <c r="J143" i="29"/>
  <c r="I187" i="29"/>
  <c r="I301" i="29"/>
  <c r="J406" i="29"/>
  <c r="J558" i="29"/>
  <c r="J144" i="29"/>
  <c r="J224" i="29"/>
  <c r="I260" i="29"/>
  <c r="J223" i="29"/>
  <c r="I198" i="29"/>
  <c r="I290" i="29"/>
  <c r="I627" i="29"/>
  <c r="I29" i="29"/>
  <c r="J526" i="29"/>
  <c r="I477" i="29"/>
  <c r="I21" i="29"/>
  <c r="I326" i="29"/>
  <c r="J581" i="29"/>
  <c r="I183" i="29"/>
  <c r="J24" i="29"/>
  <c r="I190" i="29"/>
  <c r="J48" i="29"/>
  <c r="J184" i="29"/>
  <c r="I625" i="29"/>
  <c r="I492" i="29"/>
  <c r="I586" i="29"/>
  <c r="J100" i="29"/>
  <c r="J13" i="29"/>
  <c r="J624" i="29"/>
  <c r="I90" i="29"/>
  <c r="J353" i="29"/>
  <c r="I571" i="29"/>
  <c r="J114" i="29"/>
  <c r="J471" i="29"/>
  <c r="J165" i="29"/>
  <c r="J551" i="29"/>
  <c r="J235" i="29"/>
  <c r="I139" i="29"/>
  <c r="I322" i="29"/>
  <c r="I429" i="29"/>
  <c r="J301" i="29"/>
  <c r="J451" i="29"/>
  <c r="J99" i="29"/>
  <c r="I570" i="29"/>
  <c r="J229" i="29"/>
  <c r="I181" i="29"/>
  <c r="I253" i="29"/>
  <c r="J218" i="29"/>
  <c r="I66" i="29"/>
  <c r="I193" i="29"/>
  <c r="J572" i="29"/>
  <c r="J627" i="29"/>
  <c r="J274" i="29"/>
  <c r="J189" i="29"/>
  <c r="J283" i="29"/>
  <c r="J532" i="29"/>
  <c r="J313" i="29"/>
  <c r="I450" i="29"/>
  <c r="J443" i="29"/>
  <c r="I36" i="29"/>
  <c r="J610" i="29"/>
  <c r="J280" i="29"/>
  <c r="J310" i="29"/>
  <c r="J574" i="29"/>
  <c r="I323" i="29"/>
  <c r="J538" i="29"/>
  <c r="J122" i="29"/>
  <c r="J181" i="29"/>
  <c r="J107" i="29"/>
  <c r="I23" i="29"/>
  <c r="J531" i="29"/>
  <c r="J612" i="29"/>
  <c r="J121" i="29"/>
  <c r="I488" i="29"/>
  <c r="I115" i="29"/>
  <c r="J265" i="29"/>
  <c r="I127" i="29"/>
  <c r="J172" i="29"/>
  <c r="I214" i="29"/>
  <c r="I44" i="29"/>
  <c r="I43" i="29"/>
  <c r="I368" i="29"/>
  <c r="J127" i="29"/>
  <c r="J207" i="29"/>
  <c r="J294" i="29"/>
  <c r="I177" i="29"/>
  <c r="I22" i="29"/>
  <c r="K212" i="24" l="1"/>
  <c r="BK212" i="24"/>
  <c r="S212" i="24"/>
  <c r="T212" i="24" s="1"/>
  <c r="M212" i="24"/>
  <c r="EK212" i="24"/>
  <c r="EW212" i="24"/>
  <c r="FB212" i="24" s="1"/>
  <c r="BN216" i="24"/>
  <c r="BY216" i="24"/>
  <c r="CA216" i="24" s="1"/>
  <c r="CB216" i="24" s="1"/>
  <c r="X623" i="29"/>
  <c r="Y623" i="29" s="1"/>
  <c r="AH623" i="29"/>
  <c r="W628" i="29"/>
  <c r="AG628" i="29"/>
  <c r="V622" i="29"/>
  <c r="K622" i="29"/>
  <c r="P622" i="29"/>
  <c r="R622" i="29"/>
  <c r="U622" i="29"/>
  <c r="T622" i="29"/>
  <c r="Q622" i="29"/>
  <c r="I622" i="29"/>
  <c r="O622" i="29"/>
  <c r="S622" i="29"/>
  <c r="J622" i="29"/>
  <c r="L622" i="29"/>
  <c r="AH625" i="29"/>
  <c r="X625" i="29"/>
  <c r="Y625" i="29" s="1"/>
  <c r="X624" i="29"/>
  <c r="Y624" i="29" s="1"/>
  <c r="AH624" i="29"/>
  <c r="AH627" i="29"/>
  <c r="X627" i="29"/>
  <c r="Y627" i="29" s="1"/>
  <c r="AH628" i="29"/>
  <c r="X628" i="29"/>
  <c r="Y628" i="29" s="1"/>
  <c r="W623" i="29"/>
  <c r="J633" i="29" s="1"/>
  <c r="AG623" i="29"/>
  <c r="K633" i="29" s="1"/>
  <c r="W627" i="29"/>
  <c r="AG627" i="29"/>
  <c r="X626" i="29"/>
  <c r="Y626" i="29" s="1"/>
  <c r="AH626" i="29"/>
  <c r="AG624" i="29"/>
  <c r="K634" i="29" s="1"/>
  <c r="W624" i="29"/>
  <c r="J634" i="29" s="1"/>
  <c r="W626" i="29"/>
  <c r="J636" i="29" s="1"/>
  <c r="AG626" i="29"/>
  <c r="K636" i="29" s="1"/>
  <c r="AG625" i="29"/>
  <c r="K635" i="29" s="1"/>
  <c r="W625" i="29"/>
  <c r="J635" i="29" s="1"/>
  <c r="BK5" i="24"/>
  <c r="S5" i="24"/>
  <c r="T5" i="24" s="1"/>
  <c r="J5" i="24" s="1"/>
  <c r="ER212" i="24" l="1"/>
  <c r="FC212" i="24"/>
  <c r="FE212" i="24" s="1"/>
  <c r="U212" i="24"/>
  <c r="N212" i="24"/>
  <c r="J212" i="24"/>
  <c r="O212" i="24"/>
  <c r="BZ212" i="24" s="1"/>
  <c r="AD622" i="29"/>
  <c r="X622" i="29"/>
  <c r="Y622" i="29" s="1"/>
  <c r="AH622" i="29"/>
  <c r="AE622" i="29"/>
  <c r="W622" i="29"/>
  <c r="J632" i="29" s="1"/>
  <c r="AG622" i="29"/>
  <c r="K632" i="29" s="1"/>
  <c r="N5" i="24"/>
  <c r="P5" i="24" s="1"/>
  <c r="FI24" i="24" s="1"/>
  <c r="O5" i="24"/>
  <c r="BZ5" i="24" s="1"/>
  <c r="V5" i="24"/>
  <c r="W5" i="24"/>
  <c r="Y5" i="24" l="1"/>
  <c r="AE212" i="24"/>
  <c r="AI212" i="24"/>
  <c r="X212" i="24"/>
  <c r="AA212" i="24" s="1"/>
  <c r="AB212" i="24" s="1"/>
  <c r="AC212" i="24" s="1"/>
  <c r="Q212" i="24"/>
  <c r="AP212" i="24"/>
  <c r="P212" i="24"/>
  <c r="V212" i="24"/>
  <c r="W212" i="24"/>
  <c r="FF212" i="24"/>
  <c r="FJ212" i="24"/>
  <c r="Q5" i="24"/>
  <c r="R5" i="24" s="1"/>
  <c r="FI58" i="24"/>
  <c r="FJ62" i="24"/>
  <c r="FJ77" i="24"/>
  <c r="FJ35" i="24"/>
  <c r="FI51" i="24"/>
  <c r="FJ69" i="24"/>
  <c r="FJ24" i="24"/>
  <c r="FJ72" i="24"/>
  <c r="FI91" i="24"/>
  <c r="FI54" i="24"/>
  <c r="FI18" i="24"/>
  <c r="FJ27" i="24"/>
  <c r="FJ41" i="24"/>
  <c r="FJ103" i="24"/>
  <c r="FI60" i="24"/>
  <c r="FJ51" i="24"/>
  <c r="FJ5" i="24"/>
  <c r="FI87" i="24"/>
  <c r="FJ21" i="24"/>
  <c r="FI63" i="24"/>
  <c r="FJ29" i="24"/>
  <c r="FJ38" i="24"/>
  <c r="FI85" i="24"/>
  <c r="FJ64" i="24"/>
  <c r="FI36" i="24"/>
  <c r="FJ63" i="24"/>
  <c r="FI15" i="24"/>
  <c r="FJ99" i="24"/>
  <c r="FJ42" i="24"/>
  <c r="FJ19" i="24"/>
  <c r="FI62" i="24"/>
  <c r="FJ48" i="24"/>
  <c r="FI19" i="24"/>
  <c r="FJ88" i="24"/>
  <c r="FI11" i="24"/>
  <c r="FJ57" i="24"/>
  <c r="FI55" i="24"/>
  <c r="FI14" i="24"/>
  <c r="FI61" i="24"/>
  <c r="FJ45" i="24"/>
  <c r="FI69" i="24"/>
  <c r="FI89" i="24"/>
  <c r="FI70" i="24"/>
  <c r="FJ92" i="24"/>
  <c r="FI9" i="24"/>
  <c r="FI50" i="24"/>
  <c r="FJ60" i="24"/>
  <c r="FI47" i="24"/>
  <c r="FJ49" i="24"/>
  <c r="FI72" i="24"/>
  <c r="CF5" i="24"/>
  <c r="FJ58" i="24"/>
  <c r="FI90" i="24"/>
  <c r="FJ32" i="24"/>
  <c r="FJ95" i="24"/>
  <c r="FJ23" i="24"/>
  <c r="FI81" i="24"/>
  <c r="FJ16" i="24"/>
  <c r="FJ85" i="24"/>
  <c r="FJ82" i="24"/>
  <c r="FJ61" i="24"/>
  <c r="FJ71" i="24"/>
  <c r="FJ90" i="24"/>
  <c r="FI43" i="24"/>
  <c r="FJ12" i="24"/>
  <c r="FI25" i="24"/>
  <c r="FJ83" i="24"/>
  <c r="FJ40" i="24"/>
  <c r="FI68" i="24"/>
  <c r="FI59" i="24"/>
  <c r="FJ87" i="24"/>
  <c r="FI42" i="24"/>
  <c r="FI57" i="24"/>
  <c r="FI95" i="24"/>
  <c r="FI33" i="24"/>
  <c r="FI77" i="24"/>
  <c r="FJ43" i="24"/>
  <c r="FJ74" i="24"/>
  <c r="FJ6" i="24"/>
  <c r="FI92" i="24"/>
  <c r="FI103" i="24"/>
  <c r="FJ76" i="24"/>
  <c r="FJ56" i="24"/>
  <c r="FJ84" i="24"/>
  <c r="FI49" i="24"/>
  <c r="FJ78" i="24"/>
  <c r="FJ54" i="24"/>
  <c r="FI41" i="24"/>
  <c r="FI40" i="24"/>
  <c r="FJ89" i="24"/>
  <c r="FJ18" i="24"/>
  <c r="FI79" i="24"/>
  <c r="FI26" i="24"/>
  <c r="FI80" i="24"/>
  <c r="FI35" i="24"/>
  <c r="FJ37" i="24"/>
  <c r="FI27" i="24"/>
  <c r="FJ36" i="24"/>
  <c r="FI32" i="24"/>
  <c r="FI39" i="24"/>
  <c r="FJ44" i="24"/>
  <c r="FI30" i="24"/>
  <c r="FI78" i="24"/>
  <c r="FJ101" i="24"/>
  <c r="FJ104" i="24"/>
  <c r="FI13" i="24"/>
  <c r="FI7" i="24"/>
  <c r="FI45" i="24"/>
  <c r="FI48" i="24"/>
  <c r="FJ13" i="24"/>
  <c r="FI34" i="24"/>
  <c r="FJ33" i="24"/>
  <c r="FI8" i="24"/>
  <c r="FJ52" i="24"/>
  <c r="FJ86" i="24"/>
  <c r="CE5" i="24"/>
  <c r="FJ73" i="24"/>
  <c r="FJ17" i="24"/>
  <c r="FJ80" i="24"/>
  <c r="FJ20" i="24"/>
  <c r="FJ46" i="24"/>
  <c r="FJ22" i="24"/>
  <c r="FI94" i="24"/>
  <c r="FI97" i="24"/>
  <c r="FI88" i="24"/>
  <c r="FI105" i="24"/>
  <c r="FI22" i="24"/>
  <c r="FI46" i="24"/>
  <c r="FI38" i="24"/>
  <c r="FJ15" i="24"/>
  <c r="FI96" i="24"/>
  <c r="FI5" i="24"/>
  <c r="FI37" i="24"/>
  <c r="FJ81" i="24"/>
  <c r="FJ97" i="24"/>
  <c r="FJ34" i="24"/>
  <c r="FJ100" i="24"/>
  <c r="FI23" i="24"/>
  <c r="FI93" i="24"/>
  <c r="FI53" i="24"/>
  <c r="FI44" i="24"/>
  <c r="FI71" i="24"/>
  <c r="FJ50" i="24"/>
  <c r="FI99" i="24"/>
  <c r="FI104" i="24"/>
  <c r="FJ102" i="24"/>
  <c r="FJ25" i="24"/>
  <c r="FI83" i="24"/>
  <c r="FJ14" i="24"/>
  <c r="FI102" i="24"/>
  <c r="FJ31" i="24"/>
  <c r="FJ96" i="24"/>
  <c r="FJ59" i="24"/>
  <c r="FI100" i="24"/>
  <c r="FJ67" i="24"/>
  <c r="FI16" i="24"/>
  <c r="FJ70" i="24"/>
  <c r="FI31" i="24"/>
  <c r="FJ39" i="24"/>
  <c r="FI73" i="24"/>
  <c r="FJ55" i="24"/>
  <c r="FJ79" i="24"/>
  <c r="FI101" i="24"/>
  <c r="FI98" i="24"/>
  <c r="FJ7" i="24"/>
  <c r="FI29" i="24"/>
  <c r="FI86" i="24"/>
  <c r="FI21" i="24"/>
  <c r="FI66" i="24"/>
  <c r="FI64" i="24"/>
  <c r="FI10" i="24"/>
  <c r="FI12" i="24"/>
  <c r="FJ26" i="24"/>
  <c r="FJ30" i="24"/>
  <c r="FJ94" i="24"/>
  <c r="FJ8" i="24"/>
  <c r="AP5" i="24"/>
  <c r="FJ91" i="24"/>
  <c r="FJ66" i="24"/>
  <c r="FI17" i="24"/>
  <c r="FJ53" i="24"/>
  <c r="FJ98" i="24"/>
  <c r="FJ11" i="24"/>
  <c r="FI74" i="24"/>
  <c r="FI20" i="24"/>
  <c r="FI52" i="24"/>
  <c r="FI67" i="24"/>
  <c r="FI84" i="24"/>
  <c r="FI65" i="24"/>
  <c r="FJ47" i="24"/>
  <c r="FJ9" i="24"/>
  <c r="FI75" i="24"/>
  <c r="FJ75" i="24"/>
  <c r="FJ65" i="24"/>
  <c r="FI28" i="24"/>
  <c r="FI76" i="24"/>
  <c r="FJ93" i="24"/>
  <c r="FI56" i="24"/>
  <c r="FI82" i="24"/>
  <c r="FJ105" i="24"/>
  <c r="FJ28" i="24"/>
  <c r="FJ10" i="24"/>
  <c r="FJ68" i="24"/>
  <c r="FI6" i="24"/>
  <c r="AE5" i="24"/>
  <c r="AI5" i="24"/>
  <c r="X5" i="24"/>
  <c r="AA5" i="24" s="1"/>
  <c r="AB5" i="24" s="1"/>
  <c r="AC5" i="24" s="1"/>
  <c r="Y212" i="24" l="1"/>
  <c r="AA3" i="29" s="1"/>
  <c r="AJ212" i="24"/>
  <c r="AT212" i="24" s="1"/>
  <c r="AG212" i="24"/>
  <c r="AF212" i="24"/>
  <c r="AJ5" i="24"/>
  <c r="AG5" i="24"/>
  <c r="AF5" i="24"/>
  <c r="AK212" i="24" l="1"/>
  <c r="AN212" i="24"/>
  <c r="BI212" i="24" s="1"/>
  <c r="BA212" i="24"/>
  <c r="AT5" i="24"/>
  <c r="BA5" i="24" s="1"/>
  <c r="AV5" i="24"/>
  <c r="AN5" i="24"/>
  <c r="AK5" i="24"/>
  <c r="BH5" i="24" l="1"/>
  <c r="BI5" i="24"/>
  <c r="BL5" i="24" s="1"/>
  <c r="BU5" i="24"/>
  <c r="AQ212" i="24"/>
  <c r="CE212" i="24"/>
  <c r="BL212" i="24"/>
  <c r="AS212" i="24"/>
  <c r="BJ212" i="24"/>
  <c r="BW212" i="24"/>
  <c r="BU212" i="24"/>
  <c r="BH212" i="24"/>
  <c r="AX212" i="24"/>
  <c r="AS5" i="24"/>
  <c r="BJ5" i="24"/>
  <c r="AQ5" i="24"/>
  <c r="AX5" i="24"/>
  <c r="BW5" i="24"/>
  <c r="AU212" i="24" l="1"/>
  <c r="BB212" i="24" s="1"/>
  <c r="AW212" i="24"/>
  <c r="AU5" i="24"/>
  <c r="BB5" i="24" s="1"/>
  <c r="AW5" i="24"/>
  <c r="BE212" i="24" l="1"/>
  <c r="BT212" i="24" s="1"/>
  <c r="AY212" i="24"/>
  <c r="AZ212" i="24" s="1"/>
  <c r="BD212" i="24"/>
  <c r="BE5" i="24"/>
  <c r="BT5" i="24" s="1"/>
  <c r="BD5" i="24"/>
  <c r="AY5" i="24"/>
  <c r="AZ5" i="24" s="1"/>
  <c r="BG212" i="24" l="1"/>
  <c r="BS212" i="24"/>
  <c r="BX212" i="24" s="1"/>
  <c r="BS5" i="24"/>
  <c r="BV5" i="24" s="1"/>
  <c r="BX5" i="24" s="1"/>
  <c r="BG5" i="24"/>
  <c r="BM5" i="24" s="1"/>
  <c r="BY212" i="24" l="1"/>
  <c r="CA212" i="24" s="1"/>
  <c r="BM212" i="24"/>
  <c r="BN212" i="24" s="1"/>
  <c r="BY5" i="24"/>
  <c r="CA5" i="24" s="1"/>
  <c r="CB5" i="24" s="1"/>
  <c r="BN5" i="24"/>
  <c r="CB212" i="24" l="1"/>
  <c r="CF212" i="24"/>
  <c r="EM5" i="25" l="1"/>
  <c r="CX5" i="25" l="1"/>
  <c r="CS5" i="25"/>
  <c r="CT5" i="25"/>
  <c r="CU5" i="25" l="1"/>
  <c r="CW5" i="25"/>
  <c r="CV5" i="25"/>
  <c r="DS5" i="25"/>
  <c r="FD5" i="25"/>
  <c r="CY5" i="25"/>
  <c r="CO5" i="25" l="1"/>
  <c r="CZ5" i="25" s="1"/>
  <c r="DB5" i="25" s="1"/>
  <c r="DA5" i="25" l="1"/>
  <c r="DD5" i="25" s="1"/>
  <c r="DE5" i="25" s="1"/>
  <c r="DF5" i="25" s="1"/>
  <c r="DM5" i="25" s="1"/>
  <c r="DW5" i="25" s="1"/>
  <c r="DH5" i="25"/>
  <c r="DJ5" i="25" l="1"/>
  <c r="DI5" i="25"/>
  <c r="EB5" i="25"/>
  <c r="EA5" i="25"/>
  <c r="DQ5" i="25" l="1"/>
  <c r="DV5" i="25" s="1"/>
  <c r="DN5" i="25"/>
  <c r="FA5" i="25" l="1"/>
  <c r="EJ5" i="25"/>
  <c r="EL5" i="25"/>
  <c r="EY5" i="25"/>
  <c r="EK5" i="25"/>
  <c r="EN5" i="25" s="1"/>
  <c r="DT5" i="25"/>
  <c r="DX5" i="25"/>
  <c r="EC5" i="25" s="1"/>
  <c r="DY5" i="25"/>
  <c r="FL5" i="25" s="1"/>
  <c r="CH5" i="25" l="1"/>
  <c r="CG5" i="25"/>
  <c r="EF5" i="25"/>
  <c r="EW5" i="25" s="1"/>
  <c r="EG5" i="25"/>
  <c r="EX5" i="25" s="1"/>
  <c r="EE5" i="25"/>
  <c r="J5" i="25" l="1"/>
  <c r="N5" i="25" s="1"/>
  <c r="EV5" i="25"/>
  <c r="EZ5" i="25" s="1"/>
  <c r="FB5" i="25" s="1"/>
  <c r="EI5" i="25"/>
  <c r="EO5" i="25" s="1"/>
  <c r="L5" i="25" l="1"/>
  <c r="BI5" i="25"/>
  <c r="EP5" i="25"/>
  <c r="FC5" i="25"/>
  <c r="FE5" i="25" s="1"/>
  <c r="FF5" i="25" s="1"/>
  <c r="P5" i="25"/>
  <c r="O5" i="25"/>
  <c r="T5" i="25"/>
  <c r="Q5" i="25" l="1"/>
  <c r="BZ5" i="25"/>
  <c r="R5" i="25"/>
  <c r="AO5" i="25"/>
  <c r="S5" i="25"/>
  <c r="K5" i="25" s="1"/>
  <c r="U5" i="25"/>
  <c r="V5" i="25" l="1"/>
  <c r="X5" i="25" s="1"/>
  <c r="FI63" i="25"/>
  <c r="FJ62" i="25"/>
  <c r="FI39" i="25"/>
  <c r="FI79" i="25"/>
  <c r="FJ71" i="25"/>
  <c r="FI14" i="25"/>
  <c r="FJ57" i="25"/>
  <c r="FI56" i="25"/>
  <c r="FI43" i="25"/>
  <c r="FI60" i="25"/>
  <c r="FI69" i="25"/>
  <c r="FJ33" i="25"/>
  <c r="FJ98" i="25"/>
  <c r="FJ94" i="25"/>
  <c r="FJ89" i="25"/>
  <c r="FI16" i="25"/>
  <c r="FJ40" i="25"/>
  <c r="FI24" i="25"/>
  <c r="FI38" i="25"/>
  <c r="FJ48" i="25"/>
  <c r="FJ42" i="25"/>
  <c r="FJ8" i="25"/>
  <c r="FJ12" i="25"/>
  <c r="FJ83" i="25"/>
  <c r="FJ26" i="25"/>
  <c r="FJ60" i="25"/>
  <c r="FJ101" i="25"/>
  <c r="FJ73" i="25"/>
  <c r="FJ19" i="25"/>
  <c r="FJ69" i="25"/>
  <c r="FJ53" i="25"/>
  <c r="FI94" i="25"/>
  <c r="FI15" i="25"/>
  <c r="FI95" i="25"/>
  <c r="FI17" i="25"/>
  <c r="CE5" i="25"/>
  <c r="FI47" i="25"/>
  <c r="FJ27" i="25"/>
  <c r="FI20" i="25"/>
  <c r="FI66" i="25"/>
  <c r="FJ97" i="25"/>
  <c r="FI75" i="25"/>
  <c r="FJ88" i="25"/>
  <c r="FJ15" i="25"/>
  <c r="FJ16" i="25"/>
  <c r="FJ86" i="25"/>
  <c r="FJ52" i="25"/>
  <c r="FI102" i="25"/>
  <c r="FI32" i="25"/>
  <c r="FI104" i="25"/>
  <c r="FJ22" i="25"/>
  <c r="FJ96" i="25"/>
  <c r="FI55" i="25"/>
  <c r="FI54" i="25"/>
  <c r="FI40" i="25"/>
  <c r="FJ63" i="25"/>
  <c r="FJ32" i="25"/>
  <c r="FJ92" i="25"/>
  <c r="FI35" i="25"/>
  <c r="FI71" i="25"/>
  <c r="FJ25" i="25"/>
  <c r="FI96" i="25"/>
  <c r="FI61" i="25"/>
  <c r="FI22" i="25"/>
  <c r="FI19" i="25"/>
  <c r="FJ38" i="25"/>
  <c r="FI82" i="25"/>
  <c r="FJ76" i="25"/>
  <c r="FJ20" i="25"/>
  <c r="FI8" i="25"/>
  <c r="FI84" i="25"/>
  <c r="FI41" i="25"/>
  <c r="FI59" i="25"/>
  <c r="FJ78" i="25"/>
  <c r="FJ11" i="25"/>
  <c r="FJ100" i="25"/>
  <c r="FJ66" i="25"/>
  <c r="FI76" i="25"/>
  <c r="FI45" i="25"/>
  <c r="FI92" i="25"/>
  <c r="FI70" i="25"/>
  <c r="FI74" i="25"/>
  <c r="FI27" i="25"/>
  <c r="FJ43" i="25"/>
  <c r="FJ34" i="25"/>
  <c r="FI7" i="25"/>
  <c r="FI87" i="25"/>
  <c r="FJ75" i="25"/>
  <c r="FJ64" i="25"/>
  <c r="FI52" i="25"/>
  <c r="FI18" i="25"/>
  <c r="FI53" i="25"/>
  <c r="FI28" i="25"/>
  <c r="FJ37" i="25"/>
  <c r="FJ90" i="25"/>
  <c r="FI10" i="25"/>
  <c r="FI97" i="25"/>
  <c r="FJ36" i="25"/>
  <c r="FI49" i="25"/>
  <c r="FI44" i="25"/>
  <c r="FJ24" i="25"/>
  <c r="FJ58" i="25"/>
  <c r="FJ45" i="25"/>
  <c r="FI25" i="25"/>
  <c r="FI67" i="25"/>
  <c r="FJ72" i="25"/>
  <c r="FI85" i="25"/>
  <c r="FJ55" i="25"/>
  <c r="FI103" i="25"/>
  <c r="FI83" i="25"/>
  <c r="FJ91" i="25"/>
  <c r="FI42" i="25"/>
  <c r="FI5" i="25"/>
  <c r="FI23" i="25"/>
  <c r="FJ93" i="25"/>
  <c r="FJ29" i="25"/>
  <c r="FI80" i="25"/>
  <c r="FJ61" i="25"/>
  <c r="FI58" i="25"/>
  <c r="FJ56" i="25"/>
  <c r="FJ28" i="25"/>
  <c r="FI34" i="25"/>
  <c r="FI91" i="25"/>
  <c r="FI62" i="25"/>
  <c r="FI36" i="25"/>
  <c r="FJ7" i="25"/>
  <c r="FJ47" i="25"/>
  <c r="FI46" i="25"/>
  <c r="FI101" i="25"/>
  <c r="FI30" i="25"/>
  <c r="FJ30" i="25"/>
  <c r="FJ14" i="25"/>
  <c r="FI48" i="25"/>
  <c r="FJ74" i="25"/>
  <c r="FI50" i="25"/>
  <c r="FJ84" i="25"/>
  <c r="FI6" i="25"/>
  <c r="FI90" i="25"/>
  <c r="FI21" i="25"/>
  <c r="FJ23" i="25"/>
  <c r="FJ18" i="25"/>
  <c r="FI105" i="25"/>
  <c r="FJ67" i="25"/>
  <c r="FI78" i="25"/>
  <c r="FI81" i="25"/>
  <c r="FJ65" i="25"/>
  <c r="FJ13" i="25"/>
  <c r="FJ31" i="25"/>
  <c r="FI89" i="25"/>
  <c r="FI13" i="25"/>
  <c r="FI29" i="25"/>
  <c r="FI64" i="25"/>
  <c r="FJ87" i="25"/>
  <c r="FI93" i="25"/>
  <c r="FJ105" i="25"/>
  <c r="FJ104" i="25"/>
  <c r="CF5" i="25"/>
  <c r="FJ9" i="25"/>
  <c r="FJ85" i="25"/>
  <c r="FJ21" i="25"/>
  <c r="FI72" i="25"/>
  <c r="FJ68" i="25"/>
  <c r="FJ5" i="25"/>
  <c r="FJ95" i="25"/>
  <c r="FJ10" i="25"/>
  <c r="FI11" i="25"/>
  <c r="FJ6" i="25"/>
  <c r="FJ51" i="25"/>
  <c r="FI31" i="25"/>
  <c r="FI37" i="25"/>
  <c r="FJ59" i="25"/>
  <c r="FJ77" i="25"/>
  <c r="FI73" i="25"/>
  <c r="FJ103" i="25"/>
  <c r="FI9" i="25"/>
  <c r="FJ70" i="25"/>
  <c r="FJ49" i="25"/>
  <c r="FJ50" i="25"/>
  <c r="FJ17" i="25"/>
  <c r="FJ35" i="25"/>
  <c r="FJ39" i="25"/>
  <c r="FJ99" i="25"/>
  <c r="FJ81" i="25"/>
  <c r="FI100" i="25"/>
  <c r="FI33" i="25"/>
  <c r="FI86" i="25"/>
  <c r="FI68" i="25"/>
  <c r="FI57" i="25"/>
  <c r="FJ80" i="25"/>
  <c r="FJ41" i="25"/>
  <c r="FI12" i="25"/>
  <c r="FJ54" i="25"/>
  <c r="FJ44" i="25"/>
  <c r="FI99" i="25"/>
  <c r="FJ102" i="25"/>
  <c r="FI26" i="25"/>
  <c r="FI88" i="25"/>
  <c r="FI98" i="25"/>
  <c r="FI77" i="25"/>
  <c r="FJ82" i="25"/>
  <c r="FI51" i="25"/>
  <c r="FJ79" i="25"/>
  <c r="FI65" i="25"/>
  <c r="FJ46" i="25"/>
  <c r="W5" i="25" l="1"/>
  <c r="Z5" i="25" s="1"/>
  <c r="AA5" i="25" s="1"/>
  <c r="AB5" i="25" s="1"/>
  <c r="AI5" i="25" s="1"/>
  <c r="AD5" i="25"/>
  <c r="AE5" i="25" s="1"/>
  <c r="AS5" i="25" l="1"/>
  <c r="AW5" i="25" s="1"/>
  <c r="AF5" i="25"/>
  <c r="AM5" i="25" s="1"/>
  <c r="BF5" i="25" l="1"/>
  <c r="BG5" i="25"/>
  <c r="BJ5" i="25" s="1"/>
  <c r="AX5" i="25"/>
  <c r="AJ5" i="25"/>
  <c r="AR5" i="25"/>
  <c r="BH5" i="25"/>
  <c r="AP5" i="25"/>
  <c r="BU5" i="25"/>
  <c r="BW5" i="25"/>
  <c r="AT5" i="25" l="1"/>
  <c r="AY5" i="25" s="1"/>
  <c r="AU5" i="25"/>
  <c r="BC5" i="25" l="1"/>
  <c r="BT5" i="25" s="1"/>
  <c r="BB5" i="25"/>
  <c r="BS5" i="25" s="1"/>
  <c r="BA5" i="25"/>
  <c r="BR5" i="25" l="1"/>
  <c r="BV5" i="25" s="1"/>
  <c r="BX5" i="25" s="1"/>
  <c r="BE5" i="25"/>
  <c r="BK5" i="25" s="1"/>
  <c r="BY5" i="25" l="1"/>
  <c r="CA5" i="25" s="1"/>
  <c r="CB5" i="25" s="1"/>
  <c r="BL5" i="25"/>
  <c r="G17" i="25"/>
  <c r="F192" i="25"/>
  <c r="G192" i="25"/>
  <c r="G63" i="25"/>
  <c r="F122" i="25"/>
  <c r="G122" i="25"/>
  <c r="F137" i="25"/>
  <c r="G137" i="25"/>
  <c r="G80" i="25"/>
  <c r="F93" i="25"/>
  <c r="BM93" i="25" s="1"/>
  <c r="G93" i="25"/>
  <c r="F138" i="24"/>
  <c r="F272" i="24"/>
  <c r="F157" i="24"/>
  <c r="F111" i="24"/>
  <c r="F145" i="24"/>
  <c r="BO145" i="24" s="1"/>
  <c r="BR145" i="24" s="1"/>
  <c r="F223" i="24"/>
  <c r="F253" i="24"/>
  <c r="F143" i="24"/>
  <c r="F160" i="24"/>
  <c r="BO160" i="24" s="1"/>
  <c r="BR160" i="24" s="1"/>
  <c r="F62" i="24"/>
  <c r="F158" i="24"/>
  <c r="BO158" i="24" s="1"/>
  <c r="BR158" i="24" s="1"/>
  <c r="F292" i="24"/>
  <c r="F67" i="24"/>
  <c r="F224" i="24"/>
  <c r="F104" i="24"/>
  <c r="F22" i="24"/>
  <c r="I22" i="24" s="1"/>
  <c r="F241" i="24"/>
  <c r="F252" i="24"/>
  <c r="F114" i="24"/>
  <c r="F101" i="24"/>
  <c r="I101" i="24" s="1"/>
  <c r="F250" i="24"/>
  <c r="F165" i="24"/>
  <c r="F169" i="24"/>
  <c r="F97" i="24"/>
  <c r="F96" i="24"/>
  <c r="F14" i="24"/>
  <c r="BO14" i="24" s="1"/>
  <c r="BR14" i="24" s="1"/>
  <c r="F233" i="24"/>
  <c r="F298" i="24"/>
  <c r="F263" i="24"/>
  <c r="F237" i="25"/>
  <c r="G237" i="25"/>
  <c r="BN237" i="25" s="1"/>
  <c r="F42" i="25"/>
  <c r="G42" i="25"/>
  <c r="F71" i="25"/>
  <c r="G71" i="25"/>
  <c r="F16" i="25"/>
  <c r="BM16" i="25" s="1"/>
  <c r="G16" i="25"/>
  <c r="G53" i="25"/>
  <c r="BN53" i="25" s="1"/>
  <c r="F94" i="25"/>
  <c r="G94" i="25"/>
  <c r="I94" i="25" s="1"/>
  <c r="F38" i="25"/>
  <c r="BM38" i="25" s="1"/>
  <c r="G38" i="25"/>
  <c r="I38" i="25" s="1"/>
  <c r="F145" i="25"/>
  <c r="G145" i="25"/>
  <c r="F190" i="25"/>
  <c r="G190" i="25"/>
  <c r="I190" i="25" s="1"/>
  <c r="F236" i="25"/>
  <c r="G236" i="25"/>
  <c r="BN236" i="25" s="1"/>
  <c r="F105" i="25"/>
  <c r="G105" i="25"/>
  <c r="G87" i="25"/>
  <c r="BN87" i="25" s="1"/>
  <c r="F83" i="25"/>
  <c r="BM83" i="25" s="1"/>
  <c r="G83" i="25"/>
  <c r="BN83" i="25" s="1"/>
  <c r="G29" i="25"/>
  <c r="BN29" i="25" s="1"/>
  <c r="G82" i="25"/>
  <c r="BN82" i="25" s="1"/>
  <c r="F125" i="25"/>
  <c r="G125" i="25"/>
  <c r="BN125" i="25" s="1"/>
  <c r="F9" i="25"/>
  <c r="G9" i="25"/>
  <c r="F162" i="25"/>
  <c r="G162" i="25"/>
  <c r="G111" i="25"/>
  <c r="F163" i="25"/>
  <c r="G163" i="25"/>
  <c r="I163" i="25" s="1"/>
  <c r="F157" i="25"/>
  <c r="G157" i="25"/>
  <c r="I157" i="25" s="1"/>
  <c r="F245" i="25"/>
  <c r="G245" i="25"/>
  <c r="I245" i="25" s="1"/>
  <c r="F129" i="25"/>
  <c r="G129" i="25"/>
  <c r="F241" i="25"/>
  <c r="G241" i="25"/>
  <c r="BN241" i="25" s="1"/>
  <c r="F58" i="25"/>
  <c r="BM58" i="25" s="1"/>
  <c r="G58" i="25"/>
  <c r="BN58" i="25" s="1"/>
  <c r="G69" i="25"/>
  <c r="BN69" i="25" s="1"/>
  <c r="F8" i="25"/>
  <c r="G8" i="25"/>
  <c r="BN8" i="25" s="1"/>
  <c r="F186" i="25"/>
  <c r="BM186" i="25" s="1"/>
  <c r="G186" i="25"/>
  <c r="I186" i="25" s="1"/>
  <c r="F164" i="25"/>
  <c r="G164" i="25"/>
  <c r="BN164" i="25" s="1"/>
  <c r="F202" i="25"/>
  <c r="BM202" i="25" s="1"/>
  <c r="G202" i="25"/>
  <c r="I202" i="25" s="1"/>
  <c r="F195" i="25"/>
  <c r="G195" i="25"/>
  <c r="G257" i="25"/>
  <c r="BN257" i="25" s="1"/>
  <c r="F279" i="25"/>
  <c r="BM279" i="25" s="1"/>
  <c r="G279" i="25"/>
  <c r="I279" i="25" s="1"/>
  <c r="F11" i="25"/>
  <c r="G11" i="25"/>
  <c r="G30" i="25"/>
  <c r="BN30" i="25" s="1"/>
  <c r="F23" i="25"/>
  <c r="G23" i="25"/>
  <c r="BN23" i="25" s="1"/>
  <c r="F52" i="25"/>
  <c r="G52" i="25"/>
  <c r="I52" i="25" s="1"/>
  <c r="G310" i="25"/>
  <c r="I310" i="25" s="1"/>
  <c r="G34" i="25"/>
  <c r="F270" i="25"/>
  <c r="G270" i="25"/>
  <c r="I270" i="25" s="1"/>
  <c r="F226" i="25"/>
  <c r="G226" i="25"/>
  <c r="F53" i="25"/>
  <c r="BM53" i="25" s="1"/>
  <c r="F257" i="25"/>
  <c r="F188" i="24"/>
  <c r="F29" i="25"/>
  <c r="F277" i="24"/>
  <c r="F41" i="24"/>
  <c r="F74" i="24"/>
  <c r="BO74" i="24" s="1"/>
  <c r="BR74" i="24" s="1"/>
  <c r="F147" i="24"/>
  <c r="BO147" i="24" s="1"/>
  <c r="BR147" i="24" s="1"/>
  <c r="F261" i="24"/>
  <c r="F190" i="24"/>
  <c r="I190" i="24" s="1"/>
  <c r="F159" i="24"/>
  <c r="F286" i="24"/>
  <c r="F259" i="24"/>
  <c r="F77" i="24"/>
  <c r="F21" i="24"/>
  <c r="I21" i="24" s="1"/>
  <c r="F88" i="24"/>
  <c r="F56" i="24"/>
  <c r="F24" i="24"/>
  <c r="BO24" i="24" s="1"/>
  <c r="BR24" i="24" s="1"/>
  <c r="F38" i="24"/>
  <c r="F6" i="24"/>
  <c r="BO6" i="24" s="1"/>
  <c r="BR6" i="24" s="1"/>
  <c r="F134" i="24"/>
  <c r="F225" i="24"/>
  <c r="F268" i="24"/>
  <c r="F274" i="24"/>
  <c r="F130" i="24"/>
  <c r="F132" i="24"/>
  <c r="I132" i="24" s="1"/>
  <c r="F75" i="24"/>
  <c r="BO75" i="24" s="1"/>
  <c r="BR75" i="24" s="1"/>
  <c r="F129" i="24"/>
  <c r="BO129" i="24" s="1"/>
  <c r="BR129" i="24" s="1"/>
  <c r="F162" i="24"/>
  <c r="I162" i="24" s="1"/>
  <c r="F266" i="24"/>
  <c r="F296" i="24"/>
  <c r="F206" i="24"/>
  <c r="BO206" i="24" s="1"/>
  <c r="BR206" i="24" s="1"/>
  <c r="F192" i="24"/>
  <c r="BO192" i="24" s="1"/>
  <c r="BR192" i="24" s="1"/>
  <c r="F251" i="24"/>
  <c r="F71" i="24"/>
  <c r="F39" i="24"/>
  <c r="F7" i="24"/>
  <c r="I7" i="24" s="1"/>
  <c r="F94" i="24"/>
  <c r="BO94" i="24" s="1"/>
  <c r="BR94" i="24" s="1"/>
  <c r="F125" i="24"/>
  <c r="BO125" i="24" s="1"/>
  <c r="BR125" i="24" s="1"/>
  <c r="F281" i="24"/>
  <c r="F254" i="24"/>
  <c r="F228" i="24"/>
  <c r="F194" i="24"/>
  <c r="BO194" i="24" s="1"/>
  <c r="BR194" i="24" s="1"/>
  <c r="F12" i="24"/>
  <c r="F99" i="24"/>
  <c r="F117" i="24"/>
  <c r="F186" i="24"/>
  <c r="F133" i="24"/>
  <c r="F246" i="24"/>
  <c r="F118" i="24"/>
  <c r="F243" i="24"/>
  <c r="F45" i="24"/>
  <c r="I45" i="24" s="1"/>
  <c r="F54" i="24"/>
  <c r="F191" i="24"/>
  <c r="I191" i="24" s="1"/>
  <c r="F314" i="24"/>
  <c r="F177" i="24"/>
  <c r="BO177" i="24" s="1"/>
  <c r="BR177" i="24" s="1"/>
  <c r="F33" i="24"/>
  <c r="F100" i="24"/>
  <c r="BO100" i="24" s="1"/>
  <c r="BR100" i="24" s="1"/>
  <c r="F68" i="24"/>
  <c r="F36" i="24"/>
  <c r="BO36" i="24" s="1"/>
  <c r="BR36" i="24" s="1"/>
  <c r="F50" i="24"/>
  <c r="BO50" i="24" s="1"/>
  <c r="BR50" i="24" s="1"/>
  <c r="F18" i="24"/>
  <c r="F146" i="24"/>
  <c r="F280" i="24"/>
  <c r="F302" i="24"/>
  <c r="F176" i="24"/>
  <c r="F267" i="24"/>
  <c r="F46" i="24"/>
  <c r="F163" i="24"/>
  <c r="BO163" i="24" s="1"/>
  <c r="BR163" i="24" s="1"/>
  <c r="F142" i="24"/>
  <c r="I142" i="24" s="1"/>
  <c r="F198" i="24"/>
  <c r="BO198" i="24" s="1"/>
  <c r="BR198" i="24" s="1"/>
  <c r="F276" i="24"/>
  <c r="F115" i="24"/>
  <c r="F255" i="25"/>
  <c r="G255" i="25"/>
  <c r="I255" i="25" s="1"/>
  <c r="F266" i="25"/>
  <c r="G266" i="25"/>
  <c r="BN266" i="25" s="1"/>
  <c r="F182" i="25"/>
  <c r="G182" i="25"/>
  <c r="F210" i="25"/>
  <c r="G210" i="25"/>
  <c r="F269" i="25"/>
  <c r="G269" i="25"/>
  <c r="BN269" i="25" s="1"/>
  <c r="F152" i="25"/>
  <c r="BM152" i="25" s="1"/>
  <c r="G152" i="25"/>
  <c r="F300" i="25"/>
  <c r="G300" i="25"/>
  <c r="BN300" i="25" s="1"/>
  <c r="F37" i="25"/>
  <c r="G37" i="25"/>
  <c r="F180" i="25"/>
  <c r="BM180" i="25" s="1"/>
  <c r="G180" i="25"/>
  <c r="F165" i="25"/>
  <c r="G165" i="25"/>
  <c r="F189" i="25"/>
  <c r="G189" i="25"/>
  <c r="I189" i="25" s="1"/>
  <c r="G277" i="25"/>
  <c r="BN277" i="25" s="1"/>
  <c r="F70" i="25"/>
  <c r="G70" i="25"/>
  <c r="BN70" i="25" s="1"/>
  <c r="F232" i="25"/>
  <c r="BM232" i="25" s="1"/>
  <c r="G232" i="25"/>
  <c r="F6" i="25"/>
  <c r="BM6" i="25" s="1"/>
  <c r="G6" i="25"/>
  <c r="F265" i="25"/>
  <c r="G265" i="25"/>
  <c r="I265" i="25" s="1"/>
  <c r="F31" i="25"/>
  <c r="G31" i="25"/>
  <c r="I31" i="25" s="1"/>
  <c r="F59" i="25"/>
  <c r="G59" i="25"/>
  <c r="I59" i="25" s="1"/>
  <c r="F188" i="25"/>
  <c r="G188" i="25"/>
  <c r="F167" i="24"/>
  <c r="BO167" i="24" s="1"/>
  <c r="BR167" i="24" s="1"/>
  <c r="F237" i="24"/>
  <c r="F30" i="25"/>
  <c r="BM30" i="25" s="1"/>
  <c r="F230" i="24"/>
  <c r="F307" i="24"/>
  <c r="F83" i="24"/>
  <c r="BO83" i="24" s="1"/>
  <c r="BR83" i="24" s="1"/>
  <c r="F19" i="24"/>
  <c r="F170" i="24"/>
  <c r="F304" i="24"/>
  <c r="F205" i="24"/>
  <c r="F70" i="24"/>
  <c r="BO70" i="24" s="1"/>
  <c r="BR70" i="24" s="1"/>
  <c r="F131" i="24"/>
  <c r="BO131" i="24" s="1"/>
  <c r="BR131" i="24" s="1"/>
  <c r="F123" i="24"/>
  <c r="F201" i="24"/>
  <c r="F255" i="24"/>
  <c r="F52" i="24"/>
  <c r="F37" i="24"/>
  <c r="F285" i="24"/>
  <c r="F232" i="24"/>
  <c r="F103" i="24"/>
  <c r="F202" i="24"/>
  <c r="F137" i="24"/>
  <c r="F122" i="24"/>
  <c r="F44" i="24"/>
  <c r="I44" i="24" s="1"/>
  <c r="F309" i="24"/>
  <c r="F256" i="24"/>
  <c r="F152" i="24"/>
  <c r="BO152" i="24" s="1"/>
  <c r="BR152" i="24" s="1"/>
  <c r="F63" i="24"/>
  <c r="F273" i="24"/>
  <c r="F82" i="24"/>
  <c r="F179" i="24"/>
  <c r="F116" i="24"/>
  <c r="F119" i="24"/>
  <c r="I119" i="24" s="1"/>
  <c r="F55" i="24"/>
  <c r="BO55" i="24" s="1"/>
  <c r="BR55" i="24" s="1"/>
  <c r="F265" i="24"/>
  <c r="F171" i="24"/>
  <c r="F295" i="24"/>
  <c r="F13" i="25"/>
  <c r="G13" i="25"/>
  <c r="I13" i="25" s="1"/>
  <c r="F26" i="25"/>
  <c r="G26" i="25"/>
  <c r="BN26" i="25" s="1"/>
  <c r="F77" i="25"/>
  <c r="G77" i="25"/>
  <c r="I77" i="25" s="1"/>
  <c r="F203" i="25"/>
  <c r="BM203" i="25" s="1"/>
  <c r="G203" i="25"/>
  <c r="BN203" i="25" s="1"/>
  <c r="F206" i="25"/>
  <c r="G206" i="25"/>
  <c r="BN206" i="25" s="1"/>
  <c r="F160" i="25"/>
  <c r="G160" i="25"/>
  <c r="BN160" i="25" s="1"/>
  <c r="F280" i="25"/>
  <c r="G280" i="25"/>
  <c r="BN280" i="25" s="1"/>
  <c r="F174" i="25"/>
  <c r="G174" i="25"/>
  <c r="F208" i="25"/>
  <c r="G208" i="25"/>
  <c r="I208" i="25" s="1"/>
  <c r="F132" i="25"/>
  <c r="G132" i="25"/>
  <c r="I132" i="25" s="1"/>
  <c r="F194" i="25"/>
  <c r="G194" i="25"/>
  <c r="I194" i="25" s="1"/>
  <c r="F120" i="25"/>
  <c r="G120" i="25"/>
  <c r="I120" i="25" s="1"/>
  <c r="G218" i="25"/>
  <c r="BN218" i="25" s="1"/>
  <c r="F315" i="25"/>
  <c r="BM315" i="25" s="1"/>
  <c r="G315" i="25"/>
  <c r="BN315" i="25" s="1"/>
  <c r="F271" i="25"/>
  <c r="G271" i="25"/>
  <c r="I271" i="25" s="1"/>
  <c r="F62" i="25"/>
  <c r="G62" i="25"/>
  <c r="I62" i="25" s="1"/>
  <c r="F204" i="25"/>
  <c r="G204" i="25"/>
  <c r="I204" i="25" s="1"/>
  <c r="F74" i="25"/>
  <c r="G74" i="25"/>
  <c r="F177" i="25"/>
  <c r="G177" i="25"/>
  <c r="I177" i="25" s="1"/>
  <c r="F246" i="25"/>
  <c r="BM246" i="25" s="1"/>
  <c r="G246" i="25"/>
  <c r="F126" i="25"/>
  <c r="G126" i="25"/>
  <c r="G15" i="25"/>
  <c r="I15" i="25" s="1"/>
  <c r="F176" i="25"/>
  <c r="G176" i="25"/>
  <c r="F73" i="25"/>
  <c r="G73" i="25"/>
  <c r="F159" i="25"/>
  <c r="BM159" i="25" s="1"/>
  <c r="G159" i="25"/>
  <c r="BN159" i="25" s="1"/>
  <c r="F185" i="25"/>
  <c r="G185" i="25"/>
  <c r="BN185" i="25" s="1"/>
  <c r="F141" i="25"/>
  <c r="BM141" i="25" s="1"/>
  <c r="G141" i="25"/>
  <c r="BN141" i="25" s="1"/>
  <c r="F151" i="25"/>
  <c r="BM151" i="25" s="1"/>
  <c r="G151" i="25"/>
  <c r="BN151" i="25" s="1"/>
  <c r="F168" i="25"/>
  <c r="BM168" i="25" s="1"/>
  <c r="G168" i="25"/>
  <c r="BN168" i="25" s="1"/>
  <c r="F193" i="25"/>
  <c r="BM193" i="25" s="1"/>
  <c r="G193" i="25"/>
  <c r="BN193" i="25" s="1"/>
  <c r="F143" i="25"/>
  <c r="G143" i="25"/>
  <c r="BN143" i="25" s="1"/>
  <c r="F169" i="25"/>
  <c r="G169" i="25"/>
  <c r="BN169" i="25" s="1"/>
  <c r="F273" i="25"/>
  <c r="G273" i="25"/>
  <c r="BN273" i="25" s="1"/>
  <c r="F239" i="25"/>
  <c r="BM239" i="25" s="1"/>
  <c r="G239" i="25"/>
  <c r="I239" i="25" s="1"/>
  <c r="F44" i="25"/>
  <c r="BM44" i="25" s="1"/>
  <c r="G44" i="25"/>
  <c r="I44" i="25" s="1"/>
  <c r="F81" i="25"/>
  <c r="BM81" i="25" s="1"/>
  <c r="G81" i="25"/>
  <c r="I81" i="25" s="1"/>
  <c r="F219" i="25"/>
  <c r="G219" i="25"/>
  <c r="I219" i="25" s="1"/>
  <c r="F230" i="25"/>
  <c r="G230" i="25"/>
  <c r="BN230" i="25" s="1"/>
  <c r="F104" i="25"/>
  <c r="G104" i="25"/>
  <c r="I104" i="25" s="1"/>
  <c r="F21" i="25"/>
  <c r="G21" i="25"/>
  <c r="BN21" i="25" s="1"/>
  <c r="F179" i="25"/>
  <c r="G179" i="25"/>
  <c r="BN179" i="25" s="1"/>
  <c r="F198" i="25"/>
  <c r="G198" i="25"/>
  <c r="I198" i="25" s="1"/>
  <c r="F96" i="25"/>
  <c r="G96" i="25"/>
  <c r="F197" i="25"/>
  <c r="G197" i="25"/>
  <c r="BN197" i="25" s="1"/>
  <c r="F118" i="25"/>
  <c r="G118" i="25"/>
  <c r="BN118" i="25" s="1"/>
  <c r="F115" i="25"/>
  <c r="G115" i="25"/>
  <c r="BN115" i="25" s="1"/>
  <c r="F205" i="25"/>
  <c r="G205" i="25"/>
  <c r="BN205" i="25" s="1"/>
  <c r="F183" i="25"/>
  <c r="G183" i="25"/>
  <c r="BN183" i="25" s="1"/>
  <c r="F200" i="25"/>
  <c r="G200" i="25"/>
  <c r="BN200" i="25" s="1"/>
  <c r="F114" i="25"/>
  <c r="G114" i="25"/>
  <c r="BN114" i="25" s="1"/>
  <c r="F207" i="25"/>
  <c r="G207" i="25"/>
  <c r="BN207" i="25" s="1"/>
  <c r="F130" i="25"/>
  <c r="G130" i="25"/>
  <c r="BN130" i="25" s="1"/>
  <c r="F116" i="25"/>
  <c r="G116" i="25"/>
  <c r="BN116" i="25" s="1"/>
  <c r="F218" i="25"/>
  <c r="BM218" i="25" s="1"/>
  <c r="F168" i="24"/>
  <c r="BO168" i="24" s="1"/>
  <c r="BR168" i="24" s="1"/>
  <c r="F43" i="24"/>
  <c r="F86" i="24"/>
  <c r="BO86" i="24" s="1"/>
  <c r="BR86" i="24" s="1"/>
  <c r="F239" i="24"/>
  <c r="F73" i="24"/>
  <c r="F51" i="24"/>
  <c r="F195" i="24"/>
  <c r="BO195" i="24" s="1"/>
  <c r="BR195" i="24" s="1"/>
  <c r="F290" i="24"/>
  <c r="F291" i="24"/>
  <c r="F102" i="24"/>
  <c r="F257" i="24"/>
  <c r="F151" i="24"/>
  <c r="F164" i="24"/>
  <c r="BO164" i="24" s="1"/>
  <c r="BR164" i="24" s="1"/>
  <c r="F84" i="24"/>
  <c r="F20" i="24"/>
  <c r="F120" i="24"/>
  <c r="F141" i="24"/>
  <c r="F126" i="24"/>
  <c r="BO126" i="24" s="1"/>
  <c r="BR126" i="24" s="1"/>
  <c r="F283" i="24"/>
  <c r="F16" i="24"/>
  <c r="F187" i="24"/>
  <c r="F258" i="24"/>
  <c r="F247" i="24"/>
  <c r="F76" i="24"/>
  <c r="F58" i="24"/>
  <c r="F282" i="24"/>
  <c r="F185" i="24"/>
  <c r="BO185" i="24" s="1"/>
  <c r="BR185" i="24" s="1"/>
  <c r="F181" i="24"/>
  <c r="BO181" i="24" s="1"/>
  <c r="BR181" i="24" s="1"/>
  <c r="F95" i="24"/>
  <c r="F31" i="24"/>
  <c r="F182" i="24"/>
  <c r="F271" i="24"/>
  <c r="F69" i="24"/>
  <c r="F269" i="24"/>
  <c r="F175" i="24"/>
  <c r="BO175" i="24" s="1"/>
  <c r="BR175" i="24" s="1"/>
  <c r="F299" i="24"/>
  <c r="F87" i="24"/>
  <c r="F23" i="24"/>
  <c r="F174" i="24"/>
  <c r="F308" i="24"/>
  <c r="F204" i="24"/>
  <c r="F290" i="25"/>
  <c r="G290" i="25"/>
  <c r="BN290" i="25" s="1"/>
  <c r="F117" i="25"/>
  <c r="G117" i="25"/>
  <c r="I117" i="25" s="1"/>
  <c r="F297" i="25"/>
  <c r="G297" i="25"/>
  <c r="I297" i="25" s="1"/>
  <c r="F312" i="25"/>
  <c r="G312" i="25"/>
  <c r="BN312" i="25" s="1"/>
  <c r="F221" i="25"/>
  <c r="G221" i="25"/>
  <c r="I221" i="25" s="1"/>
  <c r="F49" i="25"/>
  <c r="G49" i="25"/>
  <c r="F35" i="25"/>
  <c r="G35" i="25"/>
  <c r="BN35" i="25" s="1"/>
  <c r="F48" i="25"/>
  <c r="BM48" i="25" s="1"/>
  <c r="G48" i="25"/>
  <c r="BN48" i="25" s="1"/>
  <c r="F85" i="25"/>
  <c r="G85" i="25"/>
  <c r="BN85" i="25" s="1"/>
  <c r="F91" i="25"/>
  <c r="G91" i="25"/>
  <c r="BN91" i="25" s="1"/>
  <c r="F20" i="25"/>
  <c r="G20" i="25"/>
  <c r="BN20" i="25" s="1"/>
  <c r="F57" i="25"/>
  <c r="G57" i="25"/>
  <c r="BN57" i="25" s="1"/>
  <c r="F98" i="25"/>
  <c r="G98" i="25"/>
  <c r="BN98" i="25" s="1"/>
  <c r="F24" i="25"/>
  <c r="G24" i="25"/>
  <c r="BN24" i="25" s="1"/>
  <c r="F22" i="25"/>
  <c r="G22" i="25"/>
  <c r="BN22" i="25" s="1"/>
  <c r="F123" i="25"/>
  <c r="G123" i="25"/>
  <c r="BN123" i="25" s="1"/>
  <c r="F140" i="25"/>
  <c r="G140" i="25"/>
  <c r="BN140" i="25" s="1"/>
  <c r="F149" i="25"/>
  <c r="G149" i="25"/>
  <c r="BN149" i="25" s="1"/>
  <c r="F127" i="25"/>
  <c r="G127" i="25"/>
  <c r="BN127" i="25" s="1"/>
  <c r="F153" i="25"/>
  <c r="G153" i="25"/>
  <c r="BN153" i="25" s="1"/>
  <c r="F196" i="25"/>
  <c r="G196" i="25"/>
  <c r="BN196" i="25" s="1"/>
  <c r="F135" i="25"/>
  <c r="G135" i="25"/>
  <c r="BN135" i="25" s="1"/>
  <c r="F307" i="25"/>
  <c r="G307" i="25"/>
  <c r="I307" i="25" s="1"/>
  <c r="F99" i="25"/>
  <c r="G99" i="25"/>
  <c r="F43" i="25"/>
  <c r="G43" i="25"/>
  <c r="BN43" i="25" s="1"/>
  <c r="F40" i="25"/>
  <c r="G40" i="25"/>
  <c r="BN40" i="25" s="1"/>
  <c r="F54" i="25"/>
  <c r="G54" i="25"/>
  <c r="BN54" i="25" s="1"/>
  <c r="F139" i="25"/>
  <c r="G139" i="25"/>
  <c r="BN139" i="25" s="1"/>
  <c r="F156" i="25"/>
  <c r="G156" i="25"/>
  <c r="I156" i="25" s="1"/>
  <c r="F278" i="25"/>
  <c r="G278" i="25"/>
  <c r="I278" i="25" s="1"/>
  <c r="F32" i="25"/>
  <c r="G32" i="25"/>
  <c r="F311" i="25"/>
  <c r="G311" i="25"/>
  <c r="I311" i="25" s="1"/>
  <c r="F150" i="25"/>
  <c r="G150" i="25"/>
  <c r="F260" i="25"/>
  <c r="G260" i="25"/>
  <c r="I260" i="25" s="1"/>
  <c r="F227" i="25"/>
  <c r="G227" i="25"/>
  <c r="I227" i="25" s="1"/>
  <c r="G97" i="25"/>
  <c r="F46" i="25"/>
  <c r="G46" i="25"/>
  <c r="BN46" i="25" s="1"/>
  <c r="F79" i="25"/>
  <c r="G79" i="25"/>
  <c r="BN79" i="25" s="1"/>
  <c r="F68" i="25"/>
  <c r="G68" i="25"/>
  <c r="BN68" i="25" s="1"/>
  <c r="F18" i="25"/>
  <c r="G18" i="25"/>
  <c r="BN18" i="25" s="1"/>
  <c r="F51" i="25"/>
  <c r="G51" i="25"/>
  <c r="BN51" i="25" s="1"/>
  <c r="F72" i="25"/>
  <c r="G72" i="25"/>
  <c r="BN72" i="25" s="1"/>
  <c r="F67" i="25"/>
  <c r="G67" i="25"/>
  <c r="BN67" i="25" s="1"/>
  <c r="F171" i="25"/>
  <c r="G171" i="25"/>
  <c r="BN171" i="25" s="1"/>
  <c r="F295" i="25"/>
  <c r="G295" i="25"/>
  <c r="BN295" i="25" s="1"/>
  <c r="F82" i="25"/>
  <c r="BM82" i="25" s="1"/>
  <c r="F34" i="25"/>
  <c r="BM34" i="25" s="1"/>
  <c r="F80" i="25"/>
  <c r="BM80" i="25" s="1"/>
  <c r="F284" i="24"/>
  <c r="F311" i="24"/>
  <c r="F148" i="24"/>
  <c r="BO148" i="24" s="1"/>
  <c r="BR148" i="24" s="1"/>
  <c r="F127" i="24"/>
  <c r="BO127" i="24" s="1"/>
  <c r="BR127" i="24" s="1"/>
  <c r="F150" i="24"/>
  <c r="BO150" i="24" s="1"/>
  <c r="BR150" i="24" s="1"/>
  <c r="F87" i="25"/>
  <c r="BM87" i="25" s="1"/>
  <c r="F61" i="24"/>
  <c r="BO61" i="24" s="1"/>
  <c r="BR61" i="24" s="1"/>
  <c r="F42" i="24"/>
  <c r="BO42" i="24" s="1"/>
  <c r="BR42" i="24" s="1"/>
  <c r="F60" i="24"/>
  <c r="BO60" i="24" s="1"/>
  <c r="BR60" i="24" s="1"/>
  <c r="F53" i="24"/>
  <c r="BO53" i="24" s="1"/>
  <c r="BR53" i="24" s="1"/>
  <c r="F81" i="24"/>
  <c r="BO81" i="24" s="1"/>
  <c r="BR81" i="24" s="1"/>
  <c r="F92" i="24"/>
  <c r="F293" i="24"/>
  <c r="F240" i="24"/>
  <c r="F200" i="24"/>
  <c r="F15" i="24"/>
  <c r="F166" i="24"/>
  <c r="F300" i="24"/>
  <c r="F17" i="24"/>
  <c r="F34" i="24"/>
  <c r="F221" i="24"/>
  <c r="F270" i="24"/>
  <c r="F13" i="24"/>
  <c r="F313" i="24"/>
  <c r="F260" i="24"/>
  <c r="F156" i="24"/>
  <c r="F90" i="24"/>
  <c r="F245" i="24"/>
  <c r="F217" i="24"/>
  <c r="F275" i="24"/>
  <c r="F8" i="24"/>
  <c r="F199" i="24"/>
  <c r="F155" i="24"/>
  <c r="F220" i="24"/>
  <c r="F180" i="24"/>
  <c r="F27" i="24"/>
  <c r="F178" i="24"/>
  <c r="BO178" i="24" s="1"/>
  <c r="BR178" i="24" s="1"/>
  <c r="F312" i="24"/>
  <c r="F208" i="24"/>
  <c r="F89" i="24"/>
  <c r="F113" i="24"/>
  <c r="F306" i="24"/>
  <c r="F128" i="24"/>
  <c r="F231" i="24"/>
  <c r="F286" i="25"/>
  <c r="G286" i="25"/>
  <c r="F276" i="25"/>
  <c r="G276" i="25"/>
  <c r="I276" i="25" s="1"/>
  <c r="F288" i="25"/>
  <c r="G288" i="25"/>
  <c r="BN288" i="25" s="1"/>
  <c r="F259" i="25"/>
  <c r="BM259" i="25" s="1"/>
  <c r="G259" i="25"/>
  <c r="I259" i="25" s="1"/>
  <c r="F308" i="25"/>
  <c r="G308" i="25"/>
  <c r="F283" i="25"/>
  <c r="G283" i="25"/>
  <c r="I283" i="25" s="1"/>
  <c r="F301" i="25"/>
  <c r="G301" i="25"/>
  <c r="F287" i="25"/>
  <c r="G287" i="25"/>
  <c r="I287" i="25" s="1"/>
  <c r="F268" i="25"/>
  <c r="G268" i="25"/>
  <c r="F12" i="25"/>
  <c r="G12" i="25"/>
  <c r="F314" i="25"/>
  <c r="G314" i="25"/>
  <c r="F274" i="25"/>
  <c r="G274" i="25"/>
  <c r="BN274" i="25" s="1"/>
  <c r="F263" i="25"/>
  <c r="G263" i="25"/>
  <c r="F253" i="25"/>
  <c r="G253" i="25"/>
  <c r="BN253" i="25" s="1"/>
  <c r="F100" i="25"/>
  <c r="G100" i="25"/>
  <c r="I100" i="25" s="1"/>
  <c r="F76" i="25"/>
  <c r="G76" i="25"/>
  <c r="I76" i="25" s="1"/>
  <c r="F84" i="25"/>
  <c r="G84" i="25"/>
  <c r="BN84" i="25" s="1"/>
  <c r="F90" i="25"/>
  <c r="G90" i="25"/>
  <c r="F45" i="25"/>
  <c r="G45" i="25"/>
  <c r="F64" i="25"/>
  <c r="G64" i="25"/>
  <c r="F14" i="25"/>
  <c r="G14" i="25"/>
  <c r="F36" i="25"/>
  <c r="G36" i="25"/>
  <c r="I36" i="25" s="1"/>
  <c r="F306" i="25"/>
  <c r="G306" i="25"/>
  <c r="F231" i="25"/>
  <c r="G231" i="25"/>
  <c r="BN231" i="25" s="1"/>
  <c r="F285" i="25"/>
  <c r="G285" i="25"/>
  <c r="F101" i="25"/>
  <c r="G101" i="25"/>
  <c r="F19" i="25"/>
  <c r="G19" i="25"/>
  <c r="F187" i="25"/>
  <c r="G187" i="25"/>
  <c r="F55" i="25"/>
  <c r="G55" i="25"/>
  <c r="G50" i="25"/>
  <c r="F142" i="25"/>
  <c r="G142" i="25"/>
  <c r="F166" i="25"/>
  <c r="G166" i="25"/>
  <c r="F256" i="25"/>
  <c r="BM256" i="25" s="1"/>
  <c r="G256" i="25"/>
  <c r="I256" i="25" s="1"/>
  <c r="F41" i="25"/>
  <c r="G41" i="25"/>
  <c r="BN41" i="25" s="1"/>
  <c r="F133" i="25"/>
  <c r="G133" i="25"/>
  <c r="I133" i="25" s="1"/>
  <c r="F119" i="25"/>
  <c r="G119" i="25"/>
  <c r="BN119" i="25" s="1"/>
  <c r="F131" i="25"/>
  <c r="G131" i="25"/>
  <c r="I131" i="25" s="1"/>
  <c r="F167" i="25"/>
  <c r="G167" i="25"/>
  <c r="F184" i="25"/>
  <c r="G184" i="25"/>
  <c r="F209" i="25"/>
  <c r="G209" i="25"/>
  <c r="F175" i="25"/>
  <c r="G175" i="25"/>
  <c r="F201" i="25"/>
  <c r="G201" i="25"/>
  <c r="F289" i="25"/>
  <c r="G289" i="25"/>
  <c r="I289" i="25" s="1"/>
  <c r="F238" i="25"/>
  <c r="G238" i="25"/>
  <c r="I238" i="25" s="1"/>
  <c r="F234" i="25"/>
  <c r="G234" i="25"/>
  <c r="F313" i="25"/>
  <c r="G313" i="25"/>
  <c r="I313" i="25" s="1"/>
  <c r="F304" i="25"/>
  <c r="G304" i="25"/>
  <c r="F60" i="25"/>
  <c r="G60" i="25"/>
  <c r="F75" i="25"/>
  <c r="G75" i="25"/>
  <c r="I75" i="25" s="1"/>
  <c r="F95" i="25"/>
  <c r="G95" i="25"/>
  <c r="I95" i="25" s="1"/>
  <c r="F264" i="25"/>
  <c r="G264" i="25"/>
  <c r="BN264" i="25" s="1"/>
  <c r="F235" i="25"/>
  <c r="G235" i="25"/>
  <c r="I235" i="25" s="1"/>
  <c r="F183" i="24"/>
  <c r="BO183" i="24" s="1"/>
  <c r="BR183" i="24" s="1"/>
  <c r="F105" i="24"/>
  <c r="F63" i="25"/>
  <c r="BM63" i="25" s="1"/>
  <c r="F26" i="24"/>
  <c r="BO26" i="24" s="1"/>
  <c r="BR26" i="24" s="1"/>
  <c r="F9" i="24"/>
  <c r="F48" i="24"/>
  <c r="BO48" i="24" s="1"/>
  <c r="BR48" i="24" s="1"/>
  <c r="F11" i="24"/>
  <c r="BO11" i="24" s="1"/>
  <c r="BR11" i="24" s="1"/>
  <c r="F28" i="24"/>
  <c r="BO28" i="24" s="1"/>
  <c r="BR28" i="24" s="1"/>
  <c r="F78" i="24"/>
  <c r="BO78" i="24" s="1"/>
  <c r="BR78" i="24" s="1"/>
  <c r="F29" i="24"/>
  <c r="BO29" i="24" s="1"/>
  <c r="BR29" i="24" s="1"/>
  <c r="F277" i="25"/>
  <c r="BM277" i="25" s="1"/>
  <c r="F310" i="25"/>
  <c r="BM310" i="25" s="1"/>
  <c r="F111" i="25"/>
  <c r="BM111" i="25" s="1"/>
  <c r="F69" i="25"/>
  <c r="BM69" i="25" s="1"/>
  <c r="F25" i="24"/>
  <c r="F226" i="24"/>
  <c r="F149" i="24"/>
  <c r="F124" i="24"/>
  <c r="F227" i="24"/>
  <c r="F47" i="24"/>
  <c r="F121" i="24"/>
  <c r="F278" i="24"/>
  <c r="F210" i="24"/>
  <c r="F287" i="24"/>
  <c r="F65" i="24"/>
  <c r="BO65" i="24" s="1"/>
  <c r="BR65" i="24" s="1"/>
  <c r="F66" i="24"/>
  <c r="F218" i="24"/>
  <c r="F264" i="24"/>
  <c r="F219" i="24"/>
  <c r="F57" i="24"/>
  <c r="F80" i="24"/>
  <c r="F294" i="24"/>
  <c r="F197" i="24"/>
  <c r="F189" i="24"/>
  <c r="F49" i="24"/>
  <c r="F93" i="24"/>
  <c r="F154" i="24"/>
  <c r="F288" i="24"/>
  <c r="F184" i="24"/>
  <c r="F40" i="24"/>
  <c r="F305" i="24"/>
  <c r="F316" i="24"/>
  <c r="F203" i="24"/>
  <c r="F139" i="24"/>
  <c r="F222" i="24"/>
  <c r="F235" i="24"/>
  <c r="F32" i="24"/>
  <c r="F297" i="24"/>
  <c r="F244" i="24"/>
  <c r="F140" i="24"/>
  <c r="F240" i="25"/>
  <c r="G240" i="25"/>
  <c r="BN240" i="25" s="1"/>
  <c r="F284" i="25"/>
  <c r="G284" i="25"/>
  <c r="F267" i="25"/>
  <c r="G267" i="25"/>
  <c r="F251" i="25"/>
  <c r="G251" i="25"/>
  <c r="F33" i="25"/>
  <c r="G33" i="25"/>
  <c r="F27" i="25"/>
  <c r="G27" i="25"/>
  <c r="F154" i="25"/>
  <c r="G154" i="25"/>
  <c r="F261" i="25"/>
  <c r="G261" i="25"/>
  <c r="F249" i="25"/>
  <c r="G249" i="25"/>
  <c r="F217" i="25"/>
  <c r="G217" i="25"/>
  <c r="BN217" i="25" s="1"/>
  <c r="F28" i="25"/>
  <c r="G28" i="25"/>
  <c r="F65" i="25"/>
  <c r="G65" i="25"/>
  <c r="F228" i="25"/>
  <c r="G228" i="25"/>
  <c r="F299" i="25"/>
  <c r="BM299" i="25" s="1"/>
  <c r="G299" i="25"/>
  <c r="F155" i="25"/>
  <c r="G155" i="25"/>
  <c r="F172" i="25"/>
  <c r="G172" i="25"/>
  <c r="F181" i="25"/>
  <c r="G181" i="25"/>
  <c r="I181" i="25" s="1"/>
  <c r="F191" i="25"/>
  <c r="G191" i="25"/>
  <c r="F178" i="25"/>
  <c r="G178" i="25"/>
  <c r="F173" i="25"/>
  <c r="G173" i="25"/>
  <c r="F309" i="25"/>
  <c r="G309" i="25"/>
  <c r="F7" i="25"/>
  <c r="G7" i="25"/>
  <c r="F92" i="25"/>
  <c r="G92" i="25"/>
  <c r="F78" i="25"/>
  <c r="G78" i="25"/>
  <c r="F229" i="25"/>
  <c r="G229" i="25"/>
  <c r="BN229" i="25" s="1"/>
  <c r="F303" i="25"/>
  <c r="BM303" i="25" s="1"/>
  <c r="G303" i="25"/>
  <c r="F282" i="25"/>
  <c r="G282" i="25"/>
  <c r="BN282" i="25" s="1"/>
  <c r="F172" i="24"/>
  <c r="BO172" i="24" s="1"/>
  <c r="BR172" i="24" s="1"/>
  <c r="F50" i="25"/>
  <c r="BM50" i="25" s="1"/>
  <c r="F17" i="25"/>
  <c r="BM17" i="25" s="1"/>
  <c r="F97" i="25"/>
  <c r="BM97" i="25" s="1"/>
  <c r="F59" i="24"/>
  <c r="BO59" i="24" s="1"/>
  <c r="BR59" i="24" s="1"/>
  <c r="F15" i="25"/>
  <c r="BM15" i="25" s="1"/>
  <c r="F85" i="24"/>
  <c r="F10" i="24"/>
  <c r="F229" i="24"/>
  <c r="F136" i="24"/>
  <c r="F79" i="24"/>
  <c r="F289" i="24"/>
  <c r="F236" i="24"/>
  <c r="F196" i="24"/>
  <c r="F98" i="24"/>
  <c r="BO98" i="24" s="1"/>
  <c r="BR98" i="24" s="1"/>
  <c r="F310" i="24"/>
  <c r="F209" i="24"/>
  <c r="F193" i="24"/>
  <c r="F315" i="24"/>
  <c r="F30" i="24"/>
  <c r="F249" i="24"/>
  <c r="F135" i="24"/>
  <c r="F279" i="24"/>
  <c r="F35" i="24"/>
  <c r="F207" i="24"/>
  <c r="F238" i="24"/>
  <c r="F112" i="24"/>
  <c r="F72" i="24"/>
  <c r="F262" i="24"/>
  <c r="F173" i="24"/>
  <c r="F234" i="24"/>
  <c r="F303" i="24"/>
  <c r="F91" i="24"/>
  <c r="F301" i="24"/>
  <c r="F248" i="24"/>
  <c r="F144" i="24"/>
  <c r="F64" i="24"/>
  <c r="F242" i="24"/>
  <c r="F153" i="24"/>
  <c r="F161" i="24"/>
  <c r="F250" i="25"/>
  <c r="G250" i="25"/>
  <c r="F25" i="25"/>
  <c r="G25" i="25"/>
  <c r="F66" i="25"/>
  <c r="G66" i="25"/>
  <c r="F39" i="25"/>
  <c r="G39" i="25"/>
  <c r="F61" i="25"/>
  <c r="G61" i="25"/>
  <c r="F170" i="25"/>
  <c r="G170" i="25"/>
  <c r="F272" i="25"/>
  <c r="G272" i="25"/>
  <c r="F242" i="25"/>
  <c r="G242" i="25"/>
  <c r="I242" i="25" s="1"/>
  <c r="F252" i="25"/>
  <c r="G252" i="25"/>
  <c r="F225" i="25"/>
  <c r="G225" i="25"/>
  <c r="F247" i="25"/>
  <c r="G247" i="25"/>
  <c r="BN247" i="25" s="1"/>
  <c r="F316" i="25"/>
  <c r="G316" i="25"/>
  <c r="F293" i="25"/>
  <c r="G293" i="25"/>
  <c r="F281" i="25"/>
  <c r="G281" i="25"/>
  <c r="I281" i="25" s="1"/>
  <c r="F89" i="25"/>
  <c r="G89" i="25"/>
  <c r="F47" i="25"/>
  <c r="G47" i="25"/>
  <c r="F56" i="25"/>
  <c r="G56" i="25"/>
  <c r="I56" i="25" s="1"/>
  <c r="F86" i="25"/>
  <c r="G86" i="25"/>
  <c r="G110" i="25"/>
  <c r="BN110" i="25" s="1"/>
  <c r="BQ110" i="25" s="1"/>
  <c r="F305" i="25"/>
  <c r="G305" i="25"/>
  <c r="F124" i="25"/>
  <c r="G124" i="25"/>
  <c r="F121" i="25"/>
  <c r="G121" i="25"/>
  <c r="F136" i="25"/>
  <c r="G136" i="25"/>
  <c r="F161" i="25"/>
  <c r="G161" i="25"/>
  <c r="F292" i="25"/>
  <c r="G292" i="25"/>
  <c r="F243" i="25"/>
  <c r="G243" i="25"/>
  <c r="G216" i="25"/>
  <c r="BN216" i="25" s="1"/>
  <c r="BQ216" i="25" s="1"/>
  <c r="F298" i="25"/>
  <c r="G298" i="25"/>
  <c r="BN298" i="25" s="1"/>
  <c r="F113" i="25"/>
  <c r="G113" i="25"/>
  <c r="F148" i="25"/>
  <c r="G148" i="25"/>
  <c r="F233" i="25"/>
  <c r="G233" i="25"/>
  <c r="BN233" i="25" s="1"/>
  <c r="F291" i="25"/>
  <c r="G291" i="25"/>
  <c r="I291" i="25" s="1"/>
  <c r="F262" i="25"/>
  <c r="BM262" i="25" s="1"/>
  <c r="G262" i="25"/>
  <c r="F144" i="25"/>
  <c r="G144" i="25"/>
  <c r="F199" i="25"/>
  <c r="G199" i="25"/>
  <c r="I199" i="25" s="1"/>
  <c r="F146" i="25"/>
  <c r="G146" i="25"/>
  <c r="BN146" i="25" s="1"/>
  <c r="F220" i="25"/>
  <c r="G220" i="25"/>
  <c r="I220" i="25" s="1"/>
  <c r="F258" i="25"/>
  <c r="G258" i="25"/>
  <c r="BN258" i="25" s="1"/>
  <c r="F296" i="25"/>
  <c r="G296" i="25"/>
  <c r="I296" i="25" s="1"/>
  <c r="F248" i="25"/>
  <c r="G248" i="25"/>
  <c r="I248" i="25" s="1"/>
  <c r="F134" i="25"/>
  <c r="G134" i="25"/>
  <c r="I134" i="25" s="1"/>
  <c r="F128" i="25"/>
  <c r="G128" i="25"/>
  <c r="BN128" i="25" s="1"/>
  <c r="F302" i="25"/>
  <c r="G302" i="25"/>
  <c r="I302" i="25" s="1"/>
  <c r="F254" i="25"/>
  <c r="G254" i="25"/>
  <c r="I254" i="25" s="1"/>
  <c r="F112" i="25"/>
  <c r="G112" i="25"/>
  <c r="F103" i="25"/>
  <c r="G103" i="25"/>
  <c r="F88" i="25"/>
  <c r="G88" i="25"/>
  <c r="F147" i="25"/>
  <c r="G147" i="25"/>
  <c r="F138" i="25"/>
  <c r="G138" i="25"/>
  <c r="I138" i="25" s="1"/>
  <c r="F224" i="25"/>
  <c r="BM224" i="25" s="1"/>
  <c r="G224" i="25"/>
  <c r="BN224" i="25" s="1"/>
  <c r="F275" i="25"/>
  <c r="G275" i="25"/>
  <c r="I275" i="25" s="1"/>
  <c r="F223" i="25"/>
  <c r="G223" i="25"/>
  <c r="I223" i="25" s="1"/>
  <c r="F158" i="25"/>
  <c r="G158" i="25"/>
  <c r="F222" i="25"/>
  <c r="G222" i="25"/>
  <c r="I222" i="25" s="1"/>
  <c r="F102" i="25"/>
  <c r="G102" i="25"/>
  <c r="F10" i="25"/>
  <c r="BM10" i="25" s="1"/>
  <c r="G10" i="25"/>
  <c r="F244" i="25"/>
  <c r="G244" i="25"/>
  <c r="I244" i="25" s="1"/>
  <c r="F294" i="25"/>
  <c r="G294" i="25"/>
  <c r="I294" i="25" s="1"/>
  <c r="BO228" i="24" l="1"/>
  <c r="BR228" i="24" s="1"/>
  <c r="BO302" i="24"/>
  <c r="BR302" i="24" s="1"/>
  <c r="BO277" i="24"/>
  <c r="BR277" i="24" s="1"/>
  <c r="BO250" i="24"/>
  <c r="BR250" i="24" s="1"/>
  <c r="BO235" i="24"/>
  <c r="BR235" i="24" s="1"/>
  <c r="BO284" i="24"/>
  <c r="BR284" i="24" s="1"/>
  <c r="BO259" i="24"/>
  <c r="BR259" i="24" s="1"/>
  <c r="BO223" i="24"/>
  <c r="BR223" i="24" s="1"/>
  <c r="I294" i="24"/>
  <c r="S294" i="24" s="1"/>
  <c r="T294" i="24" s="1"/>
  <c r="BO274" i="24"/>
  <c r="BR274" i="24" s="1"/>
  <c r="BO241" i="24"/>
  <c r="BR241" i="24" s="1"/>
  <c r="I257" i="24"/>
  <c r="M257" i="24" s="1"/>
  <c r="N257" i="24" s="1"/>
  <c r="P257" i="24" s="1"/>
  <c r="BO298" i="24"/>
  <c r="BR298" i="24" s="1"/>
  <c r="BO281" i="24"/>
  <c r="BR281" i="24" s="1"/>
  <c r="BO311" i="24"/>
  <c r="BR311" i="24" s="1"/>
  <c r="BO243" i="24"/>
  <c r="BR243" i="24" s="1"/>
  <c r="I236" i="24"/>
  <c r="BK236" i="24" s="1"/>
  <c r="BO251" i="24"/>
  <c r="BR251" i="24" s="1"/>
  <c r="I233" i="24"/>
  <c r="S233" i="24" s="1"/>
  <c r="T233" i="24" s="1"/>
  <c r="BO291" i="24"/>
  <c r="BR291" i="24" s="1"/>
  <c r="I264" i="24"/>
  <c r="K264" i="24" s="1"/>
  <c r="BO285" i="24"/>
  <c r="BR285" i="24" s="1"/>
  <c r="BO275" i="24"/>
  <c r="BR275" i="24" s="1"/>
  <c r="BO283" i="24"/>
  <c r="BR283" i="24" s="1"/>
  <c r="BO307" i="24"/>
  <c r="BR307" i="24" s="1"/>
  <c r="I292" i="24"/>
  <c r="S292" i="24" s="1"/>
  <c r="T292" i="24" s="1"/>
  <c r="BQ218" i="25"/>
  <c r="BO105" i="24"/>
  <c r="BR105" i="24" s="1"/>
  <c r="BQ82" i="25"/>
  <c r="BQ69" i="25"/>
  <c r="BQ87" i="25"/>
  <c r="J29" i="25"/>
  <c r="BI29" i="25" s="1"/>
  <c r="J257" i="25"/>
  <c r="N257" i="25" s="1"/>
  <c r="T257" i="25" s="1"/>
  <c r="J179" i="25"/>
  <c r="BI179" i="25" s="1"/>
  <c r="J143" i="25"/>
  <c r="N143" i="25" s="1"/>
  <c r="P143" i="25" s="1"/>
  <c r="I69" i="25"/>
  <c r="J293" i="25"/>
  <c r="N293" i="25" s="1"/>
  <c r="T293" i="25" s="1"/>
  <c r="BQ30" i="25"/>
  <c r="I274" i="25"/>
  <c r="I43" i="25"/>
  <c r="J110" i="25"/>
  <c r="N110" i="25" s="1"/>
  <c r="O110" i="25" s="1"/>
  <c r="J265" i="25"/>
  <c r="BI265" i="25" s="1"/>
  <c r="BQ193" i="25"/>
  <c r="J11" i="25"/>
  <c r="L11" i="25" s="1"/>
  <c r="BN202" i="25"/>
  <c r="BQ202" i="25" s="1"/>
  <c r="BQ141" i="25"/>
  <c r="I253" i="25"/>
  <c r="BN186" i="25"/>
  <c r="BQ186" i="25" s="1"/>
  <c r="J129" i="25"/>
  <c r="N129" i="25" s="1"/>
  <c r="O129" i="25" s="1"/>
  <c r="I41" i="24"/>
  <c r="M41" i="24" s="1"/>
  <c r="BN81" i="25"/>
  <c r="BQ81" i="25" s="1"/>
  <c r="I40" i="25"/>
  <c r="I35" i="25"/>
  <c r="I230" i="25"/>
  <c r="I141" i="25"/>
  <c r="J77" i="25"/>
  <c r="BI77" i="25" s="1"/>
  <c r="BN52" i="25"/>
  <c r="I257" i="25"/>
  <c r="BQ224" i="25"/>
  <c r="J258" i="25"/>
  <c r="BI258" i="25" s="1"/>
  <c r="J131" i="25"/>
  <c r="N131" i="25" s="1"/>
  <c r="I290" i="25"/>
  <c r="BQ159" i="25"/>
  <c r="J237" i="25"/>
  <c r="L237" i="25" s="1"/>
  <c r="BO45" i="24"/>
  <c r="BR45" i="24" s="1"/>
  <c r="BN235" i="25"/>
  <c r="I119" i="25"/>
  <c r="BN156" i="25"/>
  <c r="I149" i="25"/>
  <c r="I280" i="25"/>
  <c r="I203" i="25"/>
  <c r="J189" i="25"/>
  <c r="BI189" i="25" s="1"/>
  <c r="BQ53" i="25"/>
  <c r="I164" i="25"/>
  <c r="I8" i="25"/>
  <c r="I241" i="25"/>
  <c r="I125" i="25"/>
  <c r="I87" i="25"/>
  <c r="I55" i="24"/>
  <c r="BK55" i="24" s="1"/>
  <c r="J28" i="25"/>
  <c r="BI28" i="25" s="1"/>
  <c r="I24" i="25"/>
  <c r="I193" i="25"/>
  <c r="J177" i="25"/>
  <c r="N177" i="25" s="1"/>
  <c r="T177" i="25" s="1"/>
  <c r="J280" i="25"/>
  <c r="L280" i="25" s="1"/>
  <c r="I72" i="25"/>
  <c r="I54" i="25"/>
  <c r="I207" i="25"/>
  <c r="BN239" i="25"/>
  <c r="BQ239" i="25" s="1"/>
  <c r="BN95" i="25"/>
  <c r="J104" i="25"/>
  <c r="L104" i="25" s="1"/>
  <c r="I206" i="25"/>
  <c r="I277" i="25"/>
  <c r="I83" i="25"/>
  <c r="J94" i="25"/>
  <c r="BI94" i="25" s="1"/>
  <c r="BO233" i="24"/>
  <c r="BR233" i="24" s="1"/>
  <c r="I160" i="24"/>
  <c r="S160" i="24" s="1"/>
  <c r="T160" i="24" s="1"/>
  <c r="I233" i="25"/>
  <c r="BN276" i="25"/>
  <c r="I171" i="25"/>
  <c r="I18" i="25"/>
  <c r="I79" i="25"/>
  <c r="I135" i="25"/>
  <c r="I153" i="25"/>
  <c r="I123" i="25"/>
  <c r="I57" i="25"/>
  <c r="I91" i="25"/>
  <c r="I48" i="25"/>
  <c r="I205" i="25"/>
  <c r="BN44" i="25"/>
  <c r="BQ44" i="25" s="1"/>
  <c r="I185" i="25"/>
  <c r="I218" i="25"/>
  <c r="BN77" i="25"/>
  <c r="BN13" i="25"/>
  <c r="I269" i="25"/>
  <c r="BM257" i="25"/>
  <c r="BQ257" i="25" s="1"/>
  <c r="I236" i="25"/>
  <c r="BM143" i="25"/>
  <c r="BQ143" i="25" s="1"/>
  <c r="BN131" i="25"/>
  <c r="BN133" i="25"/>
  <c r="BN256" i="25"/>
  <c r="BQ256" i="25" s="1"/>
  <c r="I231" i="25"/>
  <c r="BN287" i="25"/>
  <c r="I130" i="25"/>
  <c r="I197" i="25"/>
  <c r="BN198" i="25"/>
  <c r="BN104" i="25"/>
  <c r="I160" i="25"/>
  <c r="I26" i="25"/>
  <c r="BN245" i="25"/>
  <c r="BN38" i="25"/>
  <c r="BQ38" i="25" s="1"/>
  <c r="BN220" i="25"/>
  <c r="I146" i="25"/>
  <c r="I41" i="25"/>
  <c r="BN36" i="25"/>
  <c r="BN76" i="25"/>
  <c r="BN311" i="25"/>
  <c r="BQ48" i="25"/>
  <c r="I200" i="25"/>
  <c r="I179" i="25"/>
  <c r="I143" i="25"/>
  <c r="I151" i="25"/>
  <c r="BN177" i="25"/>
  <c r="BN270" i="25"/>
  <c r="I23" i="25"/>
  <c r="BN294" i="25"/>
  <c r="I128" i="25"/>
  <c r="I84" i="25"/>
  <c r="BN100" i="25"/>
  <c r="BN259" i="25"/>
  <c r="BQ259" i="25" s="1"/>
  <c r="BN227" i="25"/>
  <c r="I139" i="25"/>
  <c r="I115" i="25"/>
  <c r="I159" i="25"/>
  <c r="BN271" i="25"/>
  <c r="I300" i="25"/>
  <c r="I58" i="25"/>
  <c r="BN302" i="25"/>
  <c r="I67" i="25"/>
  <c r="I51" i="25"/>
  <c r="I68" i="25"/>
  <c r="I46" i="25"/>
  <c r="I196" i="25"/>
  <c r="I127" i="25"/>
  <c r="I140" i="25"/>
  <c r="I22" i="25"/>
  <c r="I98" i="25"/>
  <c r="I20" i="25"/>
  <c r="I85" i="25"/>
  <c r="I312" i="25"/>
  <c r="I315" i="25"/>
  <c r="I70" i="25"/>
  <c r="BN189" i="25"/>
  <c r="BN255" i="25"/>
  <c r="J190" i="25"/>
  <c r="L190" i="25" s="1"/>
  <c r="BN94" i="25"/>
  <c r="BQ277" i="25"/>
  <c r="I183" i="25"/>
  <c r="I273" i="25"/>
  <c r="BM29" i="25"/>
  <c r="BQ29" i="25" s="1"/>
  <c r="BN310" i="25"/>
  <c r="BQ310" i="25" s="1"/>
  <c r="BQ58" i="25"/>
  <c r="I237" i="25"/>
  <c r="BN134" i="25"/>
  <c r="BN283" i="25"/>
  <c r="I116" i="25"/>
  <c r="I118" i="25"/>
  <c r="I21" i="25"/>
  <c r="BQ315" i="25"/>
  <c r="I30" i="25"/>
  <c r="I82" i="25"/>
  <c r="I258" i="25"/>
  <c r="BN248" i="25"/>
  <c r="I282" i="25"/>
  <c r="BN75" i="25"/>
  <c r="BN307" i="25"/>
  <c r="I114" i="25"/>
  <c r="BN265" i="25"/>
  <c r="I266" i="25"/>
  <c r="BK44" i="24"/>
  <c r="S44" i="24"/>
  <c r="T44" i="24" s="1"/>
  <c r="S236" i="24"/>
  <c r="T236" i="24" s="1"/>
  <c r="AL291" i="25"/>
  <c r="CC291" i="25"/>
  <c r="H291" i="25"/>
  <c r="J291" i="25"/>
  <c r="L291" i="25" s="1"/>
  <c r="BM291" i="25"/>
  <c r="BN305" i="25"/>
  <c r="I305" i="25"/>
  <c r="BN275" i="25"/>
  <c r="BN161" i="25"/>
  <c r="K72" i="24"/>
  <c r="AM72" i="24"/>
  <c r="H72" i="24"/>
  <c r="CE72" i="24"/>
  <c r="CF72" i="24"/>
  <c r="I72" i="24"/>
  <c r="M72" i="24" s="1"/>
  <c r="N72" i="24" s="1"/>
  <c r="BO72" i="24"/>
  <c r="BR72" i="24" s="1"/>
  <c r="K30" i="24"/>
  <c r="AM30" i="24"/>
  <c r="H30" i="24"/>
  <c r="I30" i="24"/>
  <c r="M30" i="24" s="1"/>
  <c r="N30" i="24" s="1"/>
  <c r="BO30" i="24"/>
  <c r="BR30" i="24" s="1"/>
  <c r="CE289" i="24"/>
  <c r="CF289" i="24"/>
  <c r="H289" i="24"/>
  <c r="AM289" i="24"/>
  <c r="I289" i="24"/>
  <c r="K289" i="24" s="1"/>
  <c r="BO289" i="24"/>
  <c r="BR289" i="24" s="1"/>
  <c r="I28" i="25"/>
  <c r="BN28" i="25"/>
  <c r="CC154" i="25"/>
  <c r="AL154" i="25"/>
  <c r="H154" i="25"/>
  <c r="J154" i="25"/>
  <c r="L154" i="25" s="1"/>
  <c r="BM154" i="25"/>
  <c r="I267" i="25"/>
  <c r="BN267" i="25"/>
  <c r="AM219" i="24"/>
  <c r="H219" i="24"/>
  <c r="CE219" i="24"/>
  <c r="CF219" i="24"/>
  <c r="I219" i="24"/>
  <c r="M219" i="24" s="1"/>
  <c r="N219" i="24" s="1"/>
  <c r="BO219" i="24"/>
  <c r="BR219" i="24" s="1"/>
  <c r="CF121" i="24"/>
  <c r="AM121" i="24"/>
  <c r="H121" i="24"/>
  <c r="CE121" i="24"/>
  <c r="I121" i="24"/>
  <c r="M121" i="24" s="1"/>
  <c r="N121" i="24" s="1"/>
  <c r="BO121" i="24"/>
  <c r="BR121" i="24" s="1"/>
  <c r="CF9" i="24"/>
  <c r="CE9" i="24"/>
  <c r="AM9" i="24"/>
  <c r="K9" i="24"/>
  <c r="H9" i="24"/>
  <c r="I9" i="24"/>
  <c r="I187" i="25"/>
  <c r="BN187" i="25"/>
  <c r="AL222" i="25"/>
  <c r="H222" i="25"/>
  <c r="CC222" i="25"/>
  <c r="BM222" i="25"/>
  <c r="J222" i="25"/>
  <c r="CE103" i="25"/>
  <c r="H103" i="25"/>
  <c r="CF103" i="25"/>
  <c r="AL103" i="25"/>
  <c r="CC103" i="25"/>
  <c r="J103" i="25"/>
  <c r="CC128" i="25"/>
  <c r="H128" i="25"/>
  <c r="AL128" i="25"/>
  <c r="J128" i="25"/>
  <c r="I148" i="25"/>
  <c r="BN199" i="25"/>
  <c r="CC136" i="25"/>
  <c r="AL136" i="25"/>
  <c r="H136" i="25"/>
  <c r="J136" i="25"/>
  <c r="BM136" i="25"/>
  <c r="H56" i="25"/>
  <c r="AL56" i="25"/>
  <c r="CC56" i="25"/>
  <c r="BM56" i="25"/>
  <c r="J56" i="25"/>
  <c r="L56" i="25" s="1"/>
  <c r="BN293" i="25"/>
  <c r="I293" i="25"/>
  <c r="H252" i="25"/>
  <c r="AL252" i="25"/>
  <c r="CC252" i="25"/>
  <c r="BM252" i="25"/>
  <c r="J252" i="25"/>
  <c r="L252" i="25" s="1"/>
  <c r="I61" i="25"/>
  <c r="H250" i="25"/>
  <c r="CC250" i="25"/>
  <c r="AL250" i="25"/>
  <c r="BM250" i="25"/>
  <c r="J250" i="25"/>
  <c r="L250" i="25" s="1"/>
  <c r="H91" i="24"/>
  <c r="CF91" i="24"/>
  <c r="AM91" i="24"/>
  <c r="CE91" i="24"/>
  <c r="K91" i="24"/>
  <c r="I91" i="24"/>
  <c r="AM207" i="24"/>
  <c r="CF207" i="24"/>
  <c r="CE207" i="24"/>
  <c r="H207" i="24"/>
  <c r="I207" i="24"/>
  <c r="K207" i="24" s="1"/>
  <c r="BO207" i="24"/>
  <c r="BR207" i="24" s="1"/>
  <c r="AM209" i="24"/>
  <c r="H209" i="24"/>
  <c r="I209" i="24"/>
  <c r="K209" i="24" s="1"/>
  <c r="BO209" i="24"/>
  <c r="BR209" i="24" s="1"/>
  <c r="H229" i="24"/>
  <c r="AM229" i="24"/>
  <c r="I229" i="24"/>
  <c r="K229" i="24" s="1"/>
  <c r="BO229" i="24"/>
  <c r="BR229" i="24" s="1"/>
  <c r="CC17" i="25"/>
  <c r="AL17" i="25"/>
  <c r="H17" i="25"/>
  <c r="J17" i="25"/>
  <c r="H303" i="25"/>
  <c r="AL303" i="25"/>
  <c r="CC303" i="25"/>
  <c r="J303" i="25"/>
  <c r="L303" i="25" s="1"/>
  <c r="I7" i="25"/>
  <c r="H191" i="25"/>
  <c r="AL191" i="25"/>
  <c r="CC191" i="25"/>
  <c r="BM191" i="25"/>
  <c r="I299" i="25"/>
  <c r="BN299" i="25"/>
  <c r="BQ299" i="25" s="1"/>
  <c r="AL217" i="25"/>
  <c r="CC217" i="25"/>
  <c r="H217" i="25"/>
  <c r="J217" i="25"/>
  <c r="L217" i="25" s="1"/>
  <c r="BM217" i="25"/>
  <c r="BQ217" i="25" s="1"/>
  <c r="I27" i="25"/>
  <c r="BN27" i="25"/>
  <c r="H284" i="25"/>
  <c r="AL284" i="25"/>
  <c r="CC284" i="25"/>
  <c r="J284" i="25"/>
  <c r="BM284" i="25"/>
  <c r="CF140" i="24"/>
  <c r="CE140" i="24"/>
  <c r="AM140" i="24"/>
  <c r="H140" i="24"/>
  <c r="I140" i="24"/>
  <c r="K140" i="24" s="1"/>
  <c r="BO140" i="24"/>
  <c r="BR140" i="24" s="1"/>
  <c r="AM316" i="24"/>
  <c r="H316" i="24"/>
  <c r="CE316" i="24"/>
  <c r="I316" i="24"/>
  <c r="K316" i="24" s="1"/>
  <c r="CE189" i="24"/>
  <c r="AM189" i="24"/>
  <c r="CF189" i="24"/>
  <c r="H189" i="24"/>
  <c r="I189" i="24"/>
  <c r="BO189" i="24"/>
  <c r="BR189" i="24" s="1"/>
  <c r="H66" i="24"/>
  <c r="AM66" i="24"/>
  <c r="K66" i="24"/>
  <c r="I66" i="24"/>
  <c r="BO66" i="24"/>
  <c r="BR66" i="24" s="1"/>
  <c r="CE124" i="24"/>
  <c r="H124" i="24"/>
  <c r="CF124" i="24"/>
  <c r="AM124" i="24"/>
  <c r="BO124" i="24"/>
  <c r="BR124" i="24" s="1"/>
  <c r="I124" i="24"/>
  <c r="K124" i="24" s="1"/>
  <c r="CC310" i="25"/>
  <c r="H310" i="25"/>
  <c r="AL310" i="25"/>
  <c r="J310" i="25"/>
  <c r="L310" i="25" s="1"/>
  <c r="H29" i="24"/>
  <c r="CF29" i="24"/>
  <c r="CE29" i="24"/>
  <c r="AM29" i="24"/>
  <c r="K29" i="24"/>
  <c r="I29" i="24"/>
  <c r="BO79" i="24"/>
  <c r="BR79" i="24" s="1"/>
  <c r="AM105" i="24"/>
  <c r="K105" i="24"/>
  <c r="H105" i="24"/>
  <c r="I105" i="24"/>
  <c r="H60" i="25"/>
  <c r="CC60" i="25"/>
  <c r="AL60" i="25"/>
  <c r="J60" i="25"/>
  <c r="L60" i="25" s="1"/>
  <c r="BM60" i="25"/>
  <c r="BN238" i="25"/>
  <c r="I209" i="25"/>
  <c r="BN209" i="25"/>
  <c r="BN50" i="25"/>
  <c r="BQ50" i="25" s="1"/>
  <c r="AL19" i="25"/>
  <c r="CC19" i="25"/>
  <c r="CE19" i="25"/>
  <c r="CF19" i="25"/>
  <c r="H19" i="25"/>
  <c r="J19" i="25"/>
  <c r="L19" i="25" s="1"/>
  <c r="BM19" i="25"/>
  <c r="CC231" i="25"/>
  <c r="H231" i="25"/>
  <c r="AL231" i="25"/>
  <c r="BM231" i="25"/>
  <c r="BQ231" i="25" s="1"/>
  <c r="J231" i="25"/>
  <c r="H64" i="25"/>
  <c r="AL64" i="25"/>
  <c r="CC64" i="25"/>
  <c r="J64" i="25"/>
  <c r="BM64" i="25"/>
  <c r="AL84" i="25"/>
  <c r="CC84" i="25"/>
  <c r="CF84" i="25"/>
  <c r="CE84" i="25"/>
  <c r="H84" i="25"/>
  <c r="BM84" i="25"/>
  <c r="BQ84" i="25" s="1"/>
  <c r="J84" i="25"/>
  <c r="CC76" i="25"/>
  <c r="H76" i="25"/>
  <c r="AL76" i="25"/>
  <c r="BM76" i="25"/>
  <c r="J76" i="25"/>
  <c r="L76" i="25" s="1"/>
  <c r="H100" i="25"/>
  <c r="CF100" i="25"/>
  <c r="CE100" i="25"/>
  <c r="AL100" i="25"/>
  <c r="CC100" i="25"/>
  <c r="BM100" i="25"/>
  <c r="J100" i="25"/>
  <c r="L100" i="25" s="1"/>
  <c r="CC253" i="25"/>
  <c r="H253" i="25"/>
  <c r="AL253" i="25"/>
  <c r="BM253" i="25"/>
  <c r="BQ253" i="25" s="1"/>
  <c r="J253" i="25"/>
  <c r="L253" i="25" s="1"/>
  <c r="I268" i="25"/>
  <c r="BN268" i="25"/>
  <c r="AL301" i="25"/>
  <c r="H301" i="25"/>
  <c r="CC301" i="25"/>
  <c r="BM301" i="25"/>
  <c r="J301" i="25"/>
  <c r="L301" i="25" s="1"/>
  <c r="I308" i="25"/>
  <c r="BN308" i="25"/>
  <c r="H288" i="25"/>
  <c r="AL288" i="25"/>
  <c r="CC288" i="25"/>
  <c r="J288" i="25"/>
  <c r="L288" i="25" s="1"/>
  <c r="I286" i="25"/>
  <c r="BN286" i="25"/>
  <c r="H113" i="24"/>
  <c r="CF113" i="24"/>
  <c r="CE113" i="24"/>
  <c r="AM113" i="24"/>
  <c r="I113" i="24"/>
  <c r="K113" i="24" s="1"/>
  <c r="BO113" i="24"/>
  <c r="BR113" i="24" s="1"/>
  <c r="CF155" i="24"/>
  <c r="CE155" i="24"/>
  <c r="AM155" i="24"/>
  <c r="H155" i="24"/>
  <c r="I155" i="24"/>
  <c r="K155" i="24" s="1"/>
  <c r="BO155" i="24"/>
  <c r="BR155" i="24" s="1"/>
  <c r="CE260" i="24"/>
  <c r="H260" i="24"/>
  <c r="CF260" i="24"/>
  <c r="AM260" i="24"/>
  <c r="I260" i="24"/>
  <c r="K260" i="24" s="1"/>
  <c r="BO260" i="24"/>
  <c r="BR260" i="24" s="1"/>
  <c r="AM166" i="24"/>
  <c r="H166" i="24"/>
  <c r="I166" i="24"/>
  <c r="K166" i="24" s="1"/>
  <c r="AM60" i="24"/>
  <c r="H60" i="24"/>
  <c r="CE60" i="24"/>
  <c r="K60" i="24"/>
  <c r="CF60" i="24"/>
  <c r="I60" i="24"/>
  <c r="H148" i="24"/>
  <c r="CF148" i="24"/>
  <c r="AM148" i="24"/>
  <c r="CE148" i="24"/>
  <c r="I148" i="24"/>
  <c r="K148" i="24" s="1"/>
  <c r="H171" i="25"/>
  <c r="AL171" i="25"/>
  <c r="CC171" i="25"/>
  <c r="BM171" i="25"/>
  <c r="BQ171" i="25" s="1"/>
  <c r="AL67" i="25"/>
  <c r="H67" i="25"/>
  <c r="CC67" i="25"/>
  <c r="CE67" i="25"/>
  <c r="CF67" i="25"/>
  <c r="J67" i="25"/>
  <c r="L67" i="25" s="1"/>
  <c r="BM67" i="25"/>
  <c r="BQ67" i="25" s="1"/>
  <c r="H72" i="25"/>
  <c r="CC72" i="25"/>
  <c r="AL72" i="25"/>
  <c r="BM72" i="25"/>
  <c r="BQ72" i="25" s="1"/>
  <c r="J72" i="25"/>
  <c r="L72" i="25" s="1"/>
  <c r="CC51" i="25"/>
  <c r="CF51" i="25"/>
  <c r="CE51" i="25"/>
  <c r="AL51" i="25"/>
  <c r="H51" i="25"/>
  <c r="J51" i="25"/>
  <c r="BM51" i="25"/>
  <c r="BQ51" i="25" s="1"/>
  <c r="H18" i="25"/>
  <c r="AL18" i="25"/>
  <c r="CC18" i="25"/>
  <c r="CE18" i="25"/>
  <c r="CF18" i="25"/>
  <c r="J18" i="25"/>
  <c r="BM18" i="25"/>
  <c r="BQ18" i="25" s="1"/>
  <c r="CC68" i="25"/>
  <c r="CE68" i="25"/>
  <c r="CF68" i="25"/>
  <c r="AL68" i="25"/>
  <c r="H68" i="25"/>
  <c r="BM68" i="25"/>
  <c r="BQ68" i="25" s="1"/>
  <c r="J68" i="25"/>
  <c r="L68" i="25" s="1"/>
  <c r="CC79" i="25"/>
  <c r="AL79" i="25"/>
  <c r="H79" i="25"/>
  <c r="J79" i="25"/>
  <c r="BM79" i="25"/>
  <c r="BQ79" i="25" s="1"/>
  <c r="H46" i="25"/>
  <c r="AL46" i="25"/>
  <c r="CC46" i="25"/>
  <c r="CF46" i="25"/>
  <c r="CE46" i="25"/>
  <c r="J46" i="25"/>
  <c r="L46" i="25" s="1"/>
  <c r="BM46" i="25"/>
  <c r="BQ46" i="25" s="1"/>
  <c r="H156" i="25"/>
  <c r="CC156" i="25"/>
  <c r="AL156" i="25"/>
  <c r="BM156" i="25"/>
  <c r="J156" i="25"/>
  <c r="L156" i="25" s="1"/>
  <c r="AL139" i="25"/>
  <c r="CC139" i="25"/>
  <c r="H139" i="25"/>
  <c r="J139" i="25"/>
  <c r="BM139" i="25"/>
  <c r="BQ139" i="25" s="1"/>
  <c r="CF54" i="25"/>
  <c r="AL54" i="25"/>
  <c r="CC54" i="25"/>
  <c r="CE54" i="25"/>
  <c r="H54" i="25"/>
  <c r="BM54" i="25"/>
  <c r="BQ54" i="25" s="1"/>
  <c r="H40" i="25"/>
  <c r="AL40" i="25"/>
  <c r="CC40" i="25"/>
  <c r="CE40" i="25"/>
  <c r="CF40" i="25"/>
  <c r="J40" i="25"/>
  <c r="L40" i="25" s="1"/>
  <c r="BM40" i="25"/>
  <c r="BQ40" i="25" s="1"/>
  <c r="CE43" i="25"/>
  <c r="AL43" i="25"/>
  <c r="CC43" i="25"/>
  <c r="CF43" i="25"/>
  <c r="H43" i="25"/>
  <c r="BM43" i="25"/>
  <c r="BQ43" i="25" s="1"/>
  <c r="AL312" i="25"/>
  <c r="CC312" i="25"/>
  <c r="H312" i="25"/>
  <c r="BM312" i="25"/>
  <c r="BQ312" i="25" s="1"/>
  <c r="J312" i="25"/>
  <c r="BN297" i="25"/>
  <c r="BN117" i="25"/>
  <c r="CF174" i="24"/>
  <c r="H174" i="24"/>
  <c r="CE174" i="24"/>
  <c r="AM174" i="24"/>
  <c r="I174" i="24"/>
  <c r="K174" i="24" s="1"/>
  <c r="BO174" i="24"/>
  <c r="BR174" i="24" s="1"/>
  <c r="AM151" i="24"/>
  <c r="H151" i="24"/>
  <c r="BO151" i="24"/>
  <c r="BR151" i="24" s="1"/>
  <c r="CE239" i="24"/>
  <c r="CF239" i="24"/>
  <c r="AM239" i="24"/>
  <c r="H239" i="24"/>
  <c r="I239" i="24"/>
  <c r="K239" i="24" s="1"/>
  <c r="BO239" i="24"/>
  <c r="BR239" i="24" s="1"/>
  <c r="BO49" i="24"/>
  <c r="BR49" i="24" s="1"/>
  <c r="CC205" i="25"/>
  <c r="AL205" i="25"/>
  <c r="H205" i="25"/>
  <c r="J205" i="25"/>
  <c r="L205" i="25" s="1"/>
  <c r="BM205" i="25"/>
  <c r="BQ205" i="25" s="1"/>
  <c r="BN96" i="25"/>
  <c r="I96" i="25"/>
  <c r="BN219" i="25"/>
  <c r="H273" i="25"/>
  <c r="AL273" i="25"/>
  <c r="CC273" i="25"/>
  <c r="J273" i="25"/>
  <c r="N273" i="25" s="1"/>
  <c r="BM273" i="25"/>
  <c r="BQ273" i="25" s="1"/>
  <c r="I168" i="25"/>
  <c r="BQ151" i="25"/>
  <c r="BN15" i="25"/>
  <c r="BQ15" i="25" s="1"/>
  <c r="AM52" i="24"/>
  <c r="H52" i="24"/>
  <c r="K52" i="24"/>
  <c r="CE52" i="24"/>
  <c r="CF52" i="24"/>
  <c r="I52" i="24"/>
  <c r="M52" i="24" s="1"/>
  <c r="N52" i="24" s="1"/>
  <c r="BK45" i="24"/>
  <c r="S45" i="24"/>
  <c r="T45" i="24" s="1"/>
  <c r="M45" i="24"/>
  <c r="N45" i="24" s="1"/>
  <c r="K88" i="24"/>
  <c r="AM88" i="24"/>
  <c r="H88" i="24"/>
  <c r="I88" i="24"/>
  <c r="M88" i="24" s="1"/>
  <c r="N88" i="24" s="1"/>
  <c r="BO88" i="24"/>
  <c r="BR88" i="24" s="1"/>
  <c r="BM288" i="25"/>
  <c r="BQ288" i="25" s="1"/>
  <c r="I42" i="25"/>
  <c r="BN42" i="25"/>
  <c r="CE169" i="24"/>
  <c r="AM169" i="24"/>
  <c r="CF169" i="24"/>
  <c r="H169" i="24"/>
  <c r="I169" i="24"/>
  <c r="K169" i="24" s="1"/>
  <c r="BO169" i="24"/>
  <c r="BR169" i="24" s="1"/>
  <c r="I161" i="25"/>
  <c r="BN242" i="25"/>
  <c r="BO180" i="24"/>
  <c r="BR180" i="24" s="1"/>
  <c r="J169" i="25"/>
  <c r="L169" i="25" s="1"/>
  <c r="J54" i="25"/>
  <c r="BM45" i="25"/>
  <c r="J191" i="25"/>
  <c r="I85" i="24"/>
  <c r="H296" i="25"/>
  <c r="AL296" i="25"/>
  <c r="CC296" i="25"/>
  <c r="J296" i="25"/>
  <c r="N296" i="25" s="1"/>
  <c r="BM296" i="25"/>
  <c r="BN225" i="25"/>
  <c r="I225" i="25"/>
  <c r="AL170" i="25"/>
  <c r="CC170" i="25"/>
  <c r="H170" i="25"/>
  <c r="BM170" i="25"/>
  <c r="J170" i="25"/>
  <c r="N170" i="25" s="1"/>
  <c r="I178" i="25"/>
  <c r="BN178" i="25"/>
  <c r="AL155" i="25"/>
  <c r="CC155" i="25"/>
  <c r="H155" i="25"/>
  <c r="J155" i="25"/>
  <c r="L155" i="25" s="1"/>
  <c r="BM155" i="25"/>
  <c r="CC244" i="25"/>
  <c r="H244" i="25"/>
  <c r="AL244" i="25"/>
  <c r="J244" i="25"/>
  <c r="BM244" i="25"/>
  <c r="BN158" i="25"/>
  <c r="AL138" i="25"/>
  <c r="CC138" i="25"/>
  <c r="H138" i="25"/>
  <c r="BM138" i="25"/>
  <c r="J138" i="25"/>
  <c r="L138" i="25" s="1"/>
  <c r="I112" i="25"/>
  <c r="BN112" i="25"/>
  <c r="AL199" i="25"/>
  <c r="CC199" i="25"/>
  <c r="H199" i="25"/>
  <c r="J199" i="25"/>
  <c r="N199" i="25" s="1"/>
  <c r="BM199" i="25"/>
  <c r="H233" i="25"/>
  <c r="AL233" i="25"/>
  <c r="CC233" i="25"/>
  <c r="J233" i="25"/>
  <c r="BM233" i="25"/>
  <c r="BQ233" i="25" s="1"/>
  <c r="H298" i="25"/>
  <c r="AL298" i="25"/>
  <c r="CC298" i="25"/>
  <c r="J298" i="25"/>
  <c r="J216" i="25"/>
  <c r="BN148" i="25"/>
  <c r="BN138" i="25"/>
  <c r="AL243" i="25"/>
  <c r="CC243" i="25"/>
  <c r="H243" i="25"/>
  <c r="BM243" i="25"/>
  <c r="J243" i="25"/>
  <c r="N243" i="25" s="1"/>
  <c r="I121" i="25"/>
  <c r="BN47" i="25"/>
  <c r="I47" i="25"/>
  <c r="H316" i="25"/>
  <c r="AL316" i="25"/>
  <c r="CC316" i="25"/>
  <c r="T322" i="25"/>
  <c r="J316" i="25"/>
  <c r="BM316" i="25"/>
  <c r="H39" i="25"/>
  <c r="CC39" i="25"/>
  <c r="AL39" i="25"/>
  <c r="CE39" i="25"/>
  <c r="CF39" i="25"/>
  <c r="J39" i="25"/>
  <c r="L39" i="25" s="1"/>
  <c r="BM39" i="25"/>
  <c r="AM242" i="24"/>
  <c r="H242" i="24"/>
  <c r="CF242" i="24"/>
  <c r="BO242" i="24"/>
  <c r="BR242" i="24" s="1"/>
  <c r="I242" i="24"/>
  <c r="H173" i="24"/>
  <c r="AM173" i="24"/>
  <c r="BO173" i="24"/>
  <c r="BR173" i="24" s="1"/>
  <c r="I173" i="24"/>
  <c r="K173" i="24" s="1"/>
  <c r="AM135" i="24"/>
  <c r="H135" i="24"/>
  <c r="I135" i="24"/>
  <c r="CF196" i="24"/>
  <c r="CE196" i="24"/>
  <c r="AM196" i="24"/>
  <c r="H196" i="24"/>
  <c r="I196" i="24"/>
  <c r="K196" i="24" s="1"/>
  <c r="BO196" i="24"/>
  <c r="BR196" i="24" s="1"/>
  <c r="H15" i="25"/>
  <c r="AL15" i="25"/>
  <c r="CC15" i="25"/>
  <c r="H309" i="25"/>
  <c r="AL309" i="25"/>
  <c r="CC309" i="25"/>
  <c r="J309" i="25"/>
  <c r="BM309" i="25"/>
  <c r="BN181" i="25"/>
  <c r="H228" i="25"/>
  <c r="AL228" i="25"/>
  <c r="CC228" i="25"/>
  <c r="BM228" i="25"/>
  <c r="J228" i="25"/>
  <c r="I249" i="25"/>
  <c r="BN249" i="25"/>
  <c r="CC33" i="25"/>
  <c r="AL33" i="25"/>
  <c r="CF33" i="25"/>
  <c r="CE33" i="25"/>
  <c r="H33" i="25"/>
  <c r="BM33" i="25"/>
  <c r="J33" i="25"/>
  <c r="AM32" i="24"/>
  <c r="K32" i="24"/>
  <c r="H32" i="24"/>
  <c r="I32" i="24"/>
  <c r="M32" i="24" s="1"/>
  <c r="BO32" i="24"/>
  <c r="BR32" i="24" s="1"/>
  <c r="CF184" i="24"/>
  <c r="H184" i="24"/>
  <c r="AM184" i="24"/>
  <c r="CE184" i="24"/>
  <c r="I184" i="24"/>
  <c r="K184" i="24" s="1"/>
  <c r="BO184" i="24"/>
  <c r="BR184" i="24" s="1"/>
  <c r="K80" i="24"/>
  <c r="H80" i="24"/>
  <c r="AM80" i="24"/>
  <c r="BO80" i="24"/>
  <c r="BR80" i="24" s="1"/>
  <c r="I80" i="24"/>
  <c r="AM210" i="24"/>
  <c r="H210" i="24"/>
  <c r="I210" i="24"/>
  <c r="K210" i="24" s="1"/>
  <c r="BO210" i="24"/>
  <c r="BR210" i="24" s="1"/>
  <c r="AM25" i="24"/>
  <c r="CE25" i="24"/>
  <c r="K25" i="24"/>
  <c r="CF25" i="24"/>
  <c r="H25" i="24"/>
  <c r="BO25" i="24"/>
  <c r="BR25" i="24" s="1"/>
  <c r="H111" i="25"/>
  <c r="AL111" i="25"/>
  <c r="CC111" i="25"/>
  <c r="J111" i="25"/>
  <c r="BM251" i="25"/>
  <c r="CC63" i="25"/>
  <c r="AL63" i="25"/>
  <c r="H63" i="25"/>
  <c r="CF63" i="25"/>
  <c r="CE63" i="25"/>
  <c r="J63" i="25"/>
  <c r="CC95" i="25"/>
  <c r="AL95" i="25"/>
  <c r="H95" i="25"/>
  <c r="CF95" i="25"/>
  <c r="CE95" i="25"/>
  <c r="BM95" i="25"/>
  <c r="J95" i="25"/>
  <c r="N95" i="25" s="1"/>
  <c r="AL75" i="25"/>
  <c r="CF75" i="25"/>
  <c r="CE75" i="25"/>
  <c r="CC75" i="25"/>
  <c r="H75" i="25"/>
  <c r="BM75" i="25"/>
  <c r="J75" i="25"/>
  <c r="L75" i="25" s="1"/>
  <c r="I304" i="25"/>
  <c r="BN304" i="25"/>
  <c r="AL234" i="25"/>
  <c r="H234" i="25"/>
  <c r="CC234" i="25"/>
  <c r="BM234" i="25"/>
  <c r="J234" i="25"/>
  <c r="CC184" i="25"/>
  <c r="AL184" i="25"/>
  <c r="H184" i="25"/>
  <c r="J184" i="25"/>
  <c r="BM184" i="25"/>
  <c r="BN101" i="25"/>
  <c r="I101" i="25"/>
  <c r="I45" i="25"/>
  <c r="BN45" i="25"/>
  <c r="H312" i="24"/>
  <c r="CE312" i="24"/>
  <c r="AM312" i="24"/>
  <c r="I312" i="24"/>
  <c r="M312" i="24" s="1"/>
  <c r="N312" i="24" s="1"/>
  <c r="BO312" i="24"/>
  <c r="BR312" i="24" s="1"/>
  <c r="CF275" i="24"/>
  <c r="AM275" i="24"/>
  <c r="H275" i="24"/>
  <c r="I275" i="24"/>
  <c r="H270" i="24"/>
  <c r="CF270" i="24"/>
  <c r="AM270" i="24"/>
  <c r="I270" i="24"/>
  <c r="M270" i="24" s="1"/>
  <c r="N270" i="24" s="1"/>
  <c r="BO270" i="24"/>
  <c r="BR270" i="24" s="1"/>
  <c r="CF240" i="24"/>
  <c r="H240" i="24"/>
  <c r="AM240" i="24"/>
  <c r="CE240" i="24"/>
  <c r="I240" i="24"/>
  <c r="K240" i="24" s="1"/>
  <c r="BO240" i="24"/>
  <c r="BR240" i="24" s="1"/>
  <c r="BO245" i="24"/>
  <c r="BR245" i="24" s="1"/>
  <c r="H295" i="25"/>
  <c r="AL295" i="25"/>
  <c r="CC295" i="25"/>
  <c r="J295" i="25"/>
  <c r="BM295" i="25"/>
  <c r="BQ295" i="25" s="1"/>
  <c r="AL260" i="25"/>
  <c r="CC260" i="25"/>
  <c r="H260" i="25"/>
  <c r="J260" i="25"/>
  <c r="L260" i="25" s="1"/>
  <c r="BM260" i="25"/>
  <c r="CC278" i="25"/>
  <c r="H278" i="25"/>
  <c r="AL278" i="25"/>
  <c r="BM278" i="25"/>
  <c r="J278" i="25"/>
  <c r="AL221" i="25"/>
  <c r="CC221" i="25"/>
  <c r="H221" i="25"/>
  <c r="BM221" i="25"/>
  <c r="J221" i="25"/>
  <c r="AM299" i="24"/>
  <c r="H299" i="24"/>
  <c r="I299" i="24"/>
  <c r="BO299" i="24"/>
  <c r="BR299" i="24" s="1"/>
  <c r="H120" i="24"/>
  <c r="AM120" i="24"/>
  <c r="I120" i="24"/>
  <c r="M120" i="24" s="1"/>
  <c r="BO120" i="24"/>
  <c r="BR120" i="24" s="1"/>
  <c r="AM290" i="24"/>
  <c r="CF290" i="24"/>
  <c r="H290" i="24"/>
  <c r="I290" i="24"/>
  <c r="M290" i="24" s="1"/>
  <c r="N290" i="24" s="1"/>
  <c r="BO290" i="24"/>
  <c r="BR290" i="24" s="1"/>
  <c r="BO58" i="24"/>
  <c r="BR58" i="24" s="1"/>
  <c r="BN244" i="25"/>
  <c r="H114" i="25"/>
  <c r="AL114" i="25"/>
  <c r="CC114" i="25"/>
  <c r="J114" i="25"/>
  <c r="N114" i="25" s="1"/>
  <c r="BM114" i="25"/>
  <c r="BQ114" i="25" s="1"/>
  <c r="I169" i="25"/>
  <c r="H204" i="25"/>
  <c r="CC204" i="25"/>
  <c r="AL204" i="25"/>
  <c r="BM204" i="25"/>
  <c r="J204" i="25"/>
  <c r="N204" i="25" s="1"/>
  <c r="BQ203" i="25"/>
  <c r="AM171" i="24"/>
  <c r="H171" i="24"/>
  <c r="CE171" i="24"/>
  <c r="CF171" i="24"/>
  <c r="I171" i="24"/>
  <c r="BO171" i="24"/>
  <c r="BR171" i="24" s="1"/>
  <c r="CF230" i="24"/>
  <c r="AM230" i="24"/>
  <c r="H230" i="24"/>
  <c r="CE230" i="24"/>
  <c r="I230" i="24"/>
  <c r="BO230" i="24"/>
  <c r="BR230" i="24" s="1"/>
  <c r="I210" i="25"/>
  <c r="BN210" i="25"/>
  <c r="BK142" i="24"/>
  <c r="S142" i="24"/>
  <c r="T142" i="24" s="1"/>
  <c r="CE254" i="24"/>
  <c r="CF254" i="24"/>
  <c r="H254" i="24"/>
  <c r="AM254" i="24"/>
  <c r="BO254" i="24"/>
  <c r="BR254" i="24" s="1"/>
  <c r="I254" i="24"/>
  <c r="BK132" i="24"/>
  <c r="S132" i="24"/>
  <c r="T132" i="24" s="1"/>
  <c r="M132" i="24"/>
  <c r="N132" i="24" s="1"/>
  <c r="CE134" i="24"/>
  <c r="AM134" i="24"/>
  <c r="H134" i="24"/>
  <c r="CF134" i="24"/>
  <c r="I134" i="24"/>
  <c r="K134" i="24" s="1"/>
  <c r="BO134" i="24"/>
  <c r="BR134" i="24" s="1"/>
  <c r="BK21" i="24"/>
  <c r="S21" i="24"/>
  <c r="T21" i="24" s="1"/>
  <c r="BN121" i="25"/>
  <c r="I247" i="25"/>
  <c r="I78" i="24"/>
  <c r="AL262" i="25"/>
  <c r="H262" i="25"/>
  <c r="CC262" i="25"/>
  <c r="J262" i="25"/>
  <c r="L262" i="25" s="1"/>
  <c r="AL275" i="25"/>
  <c r="CC275" i="25"/>
  <c r="H275" i="25"/>
  <c r="J275" i="25"/>
  <c r="N275" i="25" s="1"/>
  <c r="BM275" i="25"/>
  <c r="I88" i="25"/>
  <c r="BN88" i="25"/>
  <c r="AL305" i="25"/>
  <c r="CC305" i="25"/>
  <c r="H305" i="25"/>
  <c r="BM305" i="25"/>
  <c r="J305" i="25"/>
  <c r="N305" i="25" s="1"/>
  <c r="BN10" i="25"/>
  <c r="BQ10" i="25" s="1"/>
  <c r="CC223" i="25"/>
  <c r="H223" i="25"/>
  <c r="AL223" i="25"/>
  <c r="BM223" i="25"/>
  <c r="J223" i="25"/>
  <c r="I147" i="25"/>
  <c r="BN147" i="25"/>
  <c r="CC302" i="25"/>
  <c r="H302" i="25"/>
  <c r="AL302" i="25"/>
  <c r="J302" i="25"/>
  <c r="L302" i="25" s="1"/>
  <c r="BM302" i="25"/>
  <c r="AL248" i="25"/>
  <c r="CC248" i="25"/>
  <c r="H248" i="25"/>
  <c r="BM248" i="25"/>
  <c r="J248" i="25"/>
  <c r="N248" i="25" s="1"/>
  <c r="I144" i="25"/>
  <c r="I298" i="25"/>
  <c r="BN292" i="25"/>
  <c r="I292" i="25"/>
  <c r="AL124" i="25"/>
  <c r="CC124" i="25"/>
  <c r="H124" i="25"/>
  <c r="J124" i="25"/>
  <c r="L124" i="25" s="1"/>
  <c r="BM124" i="25"/>
  <c r="I110" i="25"/>
  <c r="AL89" i="25"/>
  <c r="CC89" i="25"/>
  <c r="H89" i="25"/>
  <c r="J89" i="25"/>
  <c r="N89" i="25" s="1"/>
  <c r="BM89" i="25"/>
  <c r="H272" i="25"/>
  <c r="CC272" i="25"/>
  <c r="AL272" i="25"/>
  <c r="BM272" i="25"/>
  <c r="J272" i="25"/>
  <c r="L272" i="25" s="1"/>
  <c r="BN66" i="25"/>
  <c r="I66" i="25"/>
  <c r="H248" i="24"/>
  <c r="AM248" i="24"/>
  <c r="CE248" i="24"/>
  <c r="CF248" i="24"/>
  <c r="I248" i="24"/>
  <c r="M248" i="24" s="1"/>
  <c r="CE112" i="24"/>
  <c r="CF112" i="24"/>
  <c r="AM112" i="24"/>
  <c r="H112" i="24"/>
  <c r="BO112" i="24"/>
  <c r="BR112" i="24" s="1"/>
  <c r="H315" i="24"/>
  <c r="CE315" i="24"/>
  <c r="AM315" i="24"/>
  <c r="BO315" i="24"/>
  <c r="BR315" i="24" s="1"/>
  <c r="I315" i="24"/>
  <c r="K315" i="24" s="1"/>
  <c r="H79" i="24"/>
  <c r="AM79" i="24"/>
  <c r="K79" i="24"/>
  <c r="I79" i="24"/>
  <c r="M79" i="24" s="1"/>
  <c r="H172" i="24"/>
  <c r="CF172" i="24"/>
  <c r="CE172" i="24"/>
  <c r="AM172" i="24"/>
  <c r="I172" i="24"/>
  <c r="M172" i="24" s="1"/>
  <c r="N172" i="24" s="1"/>
  <c r="H282" i="25"/>
  <c r="AL282" i="25"/>
  <c r="CC282" i="25"/>
  <c r="BM282" i="25"/>
  <c r="BQ282" i="25" s="1"/>
  <c r="J282" i="25"/>
  <c r="N282" i="25" s="1"/>
  <c r="H78" i="25"/>
  <c r="AL78" i="25"/>
  <c r="CC78" i="25"/>
  <c r="CF78" i="25"/>
  <c r="CE78" i="25"/>
  <c r="BM78" i="25"/>
  <c r="J78" i="25"/>
  <c r="L78" i="25" s="1"/>
  <c r="I173" i="25"/>
  <c r="BN173" i="25"/>
  <c r="AL172" i="25"/>
  <c r="CC172" i="25"/>
  <c r="H172" i="25"/>
  <c r="J172" i="25"/>
  <c r="BM172" i="25"/>
  <c r="I65" i="25"/>
  <c r="BN65" i="25"/>
  <c r="CC261" i="25"/>
  <c r="H261" i="25"/>
  <c r="AL261" i="25"/>
  <c r="BM261" i="25"/>
  <c r="J261" i="25"/>
  <c r="N261" i="25" s="1"/>
  <c r="I251" i="25"/>
  <c r="BN251" i="25"/>
  <c r="H139" i="24"/>
  <c r="AM139" i="24"/>
  <c r="I139" i="24"/>
  <c r="BO139" i="24"/>
  <c r="BR139" i="24" s="1"/>
  <c r="AM93" i="24"/>
  <c r="CF93" i="24"/>
  <c r="CE93" i="24"/>
  <c r="K93" i="24"/>
  <c r="H93" i="24"/>
  <c r="BO93" i="24"/>
  <c r="BR93" i="24" s="1"/>
  <c r="I93" i="24"/>
  <c r="H264" i="24"/>
  <c r="CE264" i="24"/>
  <c r="CF264" i="24"/>
  <c r="AM264" i="24"/>
  <c r="BO264" i="24"/>
  <c r="BR264" i="24" s="1"/>
  <c r="K47" i="24"/>
  <c r="H47" i="24"/>
  <c r="AM47" i="24"/>
  <c r="CF47" i="24"/>
  <c r="CE47" i="24"/>
  <c r="I47" i="24"/>
  <c r="M47" i="24" s="1"/>
  <c r="N47" i="24" s="1"/>
  <c r="BO47" i="24"/>
  <c r="BR47" i="24" s="1"/>
  <c r="K28" i="24"/>
  <c r="AM28" i="24"/>
  <c r="H28" i="24"/>
  <c r="CE28" i="24"/>
  <c r="CF28" i="24"/>
  <c r="I28" i="24"/>
  <c r="AM48" i="24"/>
  <c r="K48" i="24"/>
  <c r="H48" i="24"/>
  <c r="CE48" i="24"/>
  <c r="CF48" i="24"/>
  <c r="I48" i="24"/>
  <c r="M48" i="24" s="1"/>
  <c r="N48" i="24" s="1"/>
  <c r="CC201" i="25"/>
  <c r="AL201" i="25"/>
  <c r="H201" i="25"/>
  <c r="J201" i="25"/>
  <c r="N201" i="25" s="1"/>
  <c r="BM201" i="25"/>
  <c r="BN167" i="25"/>
  <c r="I167" i="25"/>
  <c r="AL166" i="25"/>
  <c r="CC166" i="25"/>
  <c r="H166" i="25"/>
  <c r="J166" i="25"/>
  <c r="BM166" i="25"/>
  <c r="I55" i="25"/>
  <c r="BN55" i="25"/>
  <c r="H285" i="25"/>
  <c r="AL285" i="25"/>
  <c r="CC285" i="25"/>
  <c r="BM285" i="25"/>
  <c r="J285" i="25"/>
  <c r="I306" i="25"/>
  <c r="BN306" i="25"/>
  <c r="AL90" i="25"/>
  <c r="CC90" i="25"/>
  <c r="H90" i="25"/>
  <c r="J90" i="25"/>
  <c r="L90" i="25" s="1"/>
  <c r="BM90" i="25"/>
  <c r="I263" i="25"/>
  <c r="BN263" i="25"/>
  <c r="H314" i="25"/>
  <c r="AL314" i="25"/>
  <c r="CC314" i="25"/>
  <c r="BM314" i="25"/>
  <c r="J314" i="25"/>
  <c r="N314" i="25" s="1"/>
  <c r="AL287" i="25"/>
  <c r="H287" i="25"/>
  <c r="CC287" i="25"/>
  <c r="J287" i="25"/>
  <c r="L287" i="25" s="1"/>
  <c r="BM287" i="25"/>
  <c r="CC259" i="25"/>
  <c r="H259" i="25"/>
  <c r="AL259" i="25"/>
  <c r="J259" i="25"/>
  <c r="N259" i="25" s="1"/>
  <c r="CF128" i="24"/>
  <c r="CE128" i="24"/>
  <c r="AM128" i="24"/>
  <c r="H128" i="24"/>
  <c r="I128" i="24"/>
  <c r="K128" i="24" s="1"/>
  <c r="H180" i="24"/>
  <c r="AM180" i="24"/>
  <c r="I180" i="24"/>
  <c r="M180" i="24" s="1"/>
  <c r="AM90" i="24"/>
  <c r="K90" i="24"/>
  <c r="H90" i="24"/>
  <c r="CF90" i="24"/>
  <c r="CE90" i="24"/>
  <c r="I90" i="24"/>
  <c r="M90" i="24" s="1"/>
  <c r="BO90" i="24"/>
  <c r="BR90" i="24" s="1"/>
  <c r="K17" i="24"/>
  <c r="H17" i="24"/>
  <c r="AM17" i="24"/>
  <c r="I17" i="24"/>
  <c r="BO17" i="24"/>
  <c r="BR17" i="24" s="1"/>
  <c r="K61" i="24"/>
  <c r="H61" i="24"/>
  <c r="AM61" i="24"/>
  <c r="I61" i="24"/>
  <c r="M61" i="24" s="1"/>
  <c r="N61" i="24" s="1"/>
  <c r="BO316" i="24"/>
  <c r="BR316" i="24" s="1"/>
  <c r="CC34" i="25"/>
  <c r="AL34" i="25"/>
  <c r="CF34" i="25"/>
  <c r="H34" i="25"/>
  <c r="CE34" i="25"/>
  <c r="J34" i="25"/>
  <c r="N34" i="25" s="1"/>
  <c r="I295" i="25"/>
  <c r="H227" i="25"/>
  <c r="AL227" i="25"/>
  <c r="CC227" i="25"/>
  <c r="J227" i="25"/>
  <c r="L227" i="25" s="1"/>
  <c r="BM227" i="25"/>
  <c r="BN260" i="25"/>
  <c r="BN278" i="25"/>
  <c r="BN221" i="25"/>
  <c r="AM204" i="24"/>
  <c r="H204" i="24"/>
  <c r="BO204" i="24"/>
  <c r="BR204" i="24" s="1"/>
  <c r="I204" i="24"/>
  <c r="K204" i="24" s="1"/>
  <c r="CE69" i="24"/>
  <c r="K69" i="24"/>
  <c r="H69" i="24"/>
  <c r="AM69" i="24"/>
  <c r="CF69" i="24"/>
  <c r="I69" i="24"/>
  <c r="BO69" i="24"/>
  <c r="BR69" i="24" s="1"/>
  <c r="AM31" i="24"/>
  <c r="K31" i="24"/>
  <c r="H31" i="24"/>
  <c r="I31" i="24"/>
  <c r="BO31" i="24"/>
  <c r="BR31" i="24" s="1"/>
  <c r="BM292" i="25"/>
  <c r="BN223" i="25"/>
  <c r="AL116" i="25"/>
  <c r="H116" i="25"/>
  <c r="CC116" i="25"/>
  <c r="J116" i="25"/>
  <c r="BM116" i="25"/>
  <c r="BQ116" i="25" s="1"/>
  <c r="AL118" i="25"/>
  <c r="CC118" i="25"/>
  <c r="H118" i="25"/>
  <c r="J118" i="25"/>
  <c r="BM118" i="25"/>
  <c r="BQ118" i="25" s="1"/>
  <c r="AL96" i="25"/>
  <c r="CC96" i="25"/>
  <c r="H96" i="25"/>
  <c r="J96" i="25"/>
  <c r="L96" i="25" s="1"/>
  <c r="BM96" i="25"/>
  <c r="CC21" i="25"/>
  <c r="H21" i="25"/>
  <c r="AL21" i="25"/>
  <c r="J21" i="25"/>
  <c r="N21" i="25" s="1"/>
  <c r="BM21" i="25"/>
  <c r="BQ21" i="25" s="1"/>
  <c r="I176" i="25"/>
  <c r="BN176" i="25"/>
  <c r="AL126" i="25"/>
  <c r="CC126" i="25"/>
  <c r="H126" i="25"/>
  <c r="BM126" i="25"/>
  <c r="H174" i="25"/>
  <c r="AL174" i="25"/>
  <c r="CC174" i="25"/>
  <c r="AM201" i="24"/>
  <c r="H201" i="24"/>
  <c r="BO201" i="24"/>
  <c r="BR201" i="24" s="1"/>
  <c r="I201" i="24"/>
  <c r="AM77" i="24"/>
  <c r="CF77" i="24"/>
  <c r="CE77" i="24"/>
  <c r="H77" i="24"/>
  <c r="K77" i="24"/>
  <c r="BO77" i="24"/>
  <c r="BR77" i="24" s="1"/>
  <c r="I77" i="24"/>
  <c r="BQ83" i="25"/>
  <c r="I240" i="25"/>
  <c r="I288" i="25"/>
  <c r="BO52" i="24"/>
  <c r="BR52" i="24" s="1"/>
  <c r="BM298" i="25"/>
  <c r="BQ298" i="25" s="1"/>
  <c r="J43" i="25"/>
  <c r="BK22" i="24"/>
  <c r="S22" i="24"/>
  <c r="T22" i="24" s="1"/>
  <c r="CC178" i="25"/>
  <c r="AL178" i="25"/>
  <c r="H178" i="25"/>
  <c r="BM178" i="25"/>
  <c r="J178" i="25"/>
  <c r="N178" i="25" s="1"/>
  <c r="AL267" i="25"/>
  <c r="CC267" i="25"/>
  <c r="H267" i="25"/>
  <c r="J267" i="25"/>
  <c r="N267" i="25" s="1"/>
  <c r="BM267" i="25"/>
  <c r="CF244" i="24"/>
  <c r="AM244" i="24"/>
  <c r="H244" i="24"/>
  <c r="CE244" i="24"/>
  <c r="I244" i="24"/>
  <c r="BO244" i="24"/>
  <c r="BR244" i="24" s="1"/>
  <c r="H65" i="24"/>
  <c r="CF65" i="24"/>
  <c r="CE65" i="24"/>
  <c r="K65" i="24"/>
  <c r="AM65" i="24"/>
  <c r="I65" i="24"/>
  <c r="AL187" i="25"/>
  <c r="CC187" i="25"/>
  <c r="H187" i="25"/>
  <c r="J187" i="25"/>
  <c r="BM187" i="25"/>
  <c r="H14" i="25"/>
  <c r="CC14" i="25"/>
  <c r="AL14" i="25"/>
  <c r="J14" i="25"/>
  <c r="N14" i="25" s="1"/>
  <c r="BM14" i="25"/>
  <c r="AM89" i="24"/>
  <c r="CE89" i="24"/>
  <c r="CF89" i="24"/>
  <c r="K89" i="24"/>
  <c r="H89" i="24"/>
  <c r="I89" i="24"/>
  <c r="BO89" i="24"/>
  <c r="BR89" i="24" s="1"/>
  <c r="H199" i="24"/>
  <c r="AM199" i="24"/>
  <c r="I199" i="24"/>
  <c r="M199" i="24" s="1"/>
  <c r="N199" i="24" s="1"/>
  <c r="AM313" i="24"/>
  <c r="CE313" i="24"/>
  <c r="CF313" i="24"/>
  <c r="H313" i="24"/>
  <c r="I313" i="24"/>
  <c r="M313" i="24" s="1"/>
  <c r="BO313" i="24"/>
  <c r="BR313" i="24" s="1"/>
  <c r="H15" i="24"/>
  <c r="AM15" i="24"/>
  <c r="CE15" i="24"/>
  <c r="CF15" i="24"/>
  <c r="K15" i="24"/>
  <c r="I15" i="24"/>
  <c r="BO15" i="24"/>
  <c r="BR15" i="24" s="1"/>
  <c r="BO91" i="24"/>
  <c r="BR91" i="24" s="1"/>
  <c r="CF53" i="24"/>
  <c r="AM53" i="24"/>
  <c r="CE53" i="24"/>
  <c r="K53" i="24"/>
  <c r="H53" i="24"/>
  <c r="I53" i="24"/>
  <c r="M53" i="24" s="1"/>
  <c r="N53" i="24" s="1"/>
  <c r="BO154" i="24"/>
  <c r="BR154" i="24" s="1"/>
  <c r="AM127" i="24"/>
  <c r="H127" i="24"/>
  <c r="I127" i="24"/>
  <c r="M127" i="24" s="1"/>
  <c r="N127" i="24" s="1"/>
  <c r="BO199" i="24"/>
  <c r="BR199" i="24" s="1"/>
  <c r="BN97" i="25"/>
  <c r="BQ97" i="25" s="1"/>
  <c r="I97" i="25"/>
  <c r="I150" i="25"/>
  <c r="BN150" i="25"/>
  <c r="CC32" i="25"/>
  <c r="CF32" i="25"/>
  <c r="CE32" i="25"/>
  <c r="H32" i="25"/>
  <c r="AL32" i="25"/>
  <c r="J32" i="25"/>
  <c r="N32" i="25" s="1"/>
  <c r="BM32" i="25"/>
  <c r="BN99" i="25"/>
  <c r="I99" i="25"/>
  <c r="H49" i="25"/>
  <c r="CF49" i="25"/>
  <c r="CE49" i="25"/>
  <c r="CC49" i="25"/>
  <c r="AL49" i="25"/>
  <c r="BM49" i="25"/>
  <c r="J49" i="25"/>
  <c r="L49" i="25" s="1"/>
  <c r="AM23" i="24"/>
  <c r="K23" i="24"/>
  <c r="H23" i="24"/>
  <c r="I23" i="24"/>
  <c r="BO23" i="24"/>
  <c r="BR23" i="24" s="1"/>
  <c r="CF86" i="24"/>
  <c r="K86" i="24"/>
  <c r="H86" i="24"/>
  <c r="AM86" i="24"/>
  <c r="CE86" i="24"/>
  <c r="I86" i="24"/>
  <c r="M86" i="24" s="1"/>
  <c r="N86" i="24" s="1"/>
  <c r="I224" i="25"/>
  <c r="H183" i="25"/>
  <c r="AL183" i="25"/>
  <c r="CC183" i="25"/>
  <c r="BM183" i="25"/>
  <c r="BQ183" i="25" s="1"/>
  <c r="J183" i="25"/>
  <c r="L183" i="25" s="1"/>
  <c r="H179" i="25"/>
  <c r="AL179" i="25"/>
  <c r="CC179" i="25"/>
  <c r="BM179" i="25"/>
  <c r="BQ179" i="25" s="1"/>
  <c r="BQ168" i="25"/>
  <c r="I246" i="25"/>
  <c r="BN246" i="25"/>
  <c r="BQ246" i="25" s="1"/>
  <c r="H59" i="25"/>
  <c r="AL59" i="25"/>
  <c r="CC59" i="25"/>
  <c r="CE59" i="25"/>
  <c r="CF59" i="25"/>
  <c r="BM59" i="25"/>
  <c r="J59" i="25"/>
  <c r="L59" i="25" s="1"/>
  <c r="I232" i="25"/>
  <c r="BN232" i="25"/>
  <c r="BQ232" i="25" s="1"/>
  <c r="I180" i="25"/>
  <c r="BN180" i="25"/>
  <c r="BQ180" i="25" s="1"/>
  <c r="CC255" i="25"/>
  <c r="H255" i="25"/>
  <c r="AL255" i="25"/>
  <c r="J255" i="25"/>
  <c r="N255" i="25" s="1"/>
  <c r="BM255" i="25"/>
  <c r="I162" i="25"/>
  <c r="BN162" i="25"/>
  <c r="BO135" i="24"/>
  <c r="BR135" i="24" s="1"/>
  <c r="J304" i="25"/>
  <c r="L304" i="25" s="1"/>
  <c r="CC88" i="25"/>
  <c r="AL88" i="25"/>
  <c r="H88" i="25"/>
  <c r="J88" i="25"/>
  <c r="BM88" i="25"/>
  <c r="H161" i="24"/>
  <c r="AM161" i="24"/>
  <c r="I161" i="24"/>
  <c r="K161" i="24" s="1"/>
  <c r="AM303" i="24"/>
  <c r="H303" i="24"/>
  <c r="CE303" i="24"/>
  <c r="CF303" i="24"/>
  <c r="I303" i="24"/>
  <c r="M303" i="24" s="1"/>
  <c r="BO303" i="24"/>
  <c r="BR303" i="24" s="1"/>
  <c r="H10" i="24"/>
  <c r="CF10" i="24"/>
  <c r="CE10" i="24"/>
  <c r="K10" i="24"/>
  <c r="AM10" i="24"/>
  <c r="I10" i="24"/>
  <c r="M10" i="24" s="1"/>
  <c r="AL28" i="25"/>
  <c r="H28" i="25"/>
  <c r="CE28" i="25"/>
  <c r="CF28" i="25"/>
  <c r="CC28" i="25"/>
  <c r="BM28" i="25"/>
  <c r="I154" i="25"/>
  <c r="H197" i="24"/>
  <c r="CF197" i="24"/>
  <c r="CE197" i="24"/>
  <c r="AM197" i="24"/>
  <c r="I197" i="24"/>
  <c r="BO197" i="24"/>
  <c r="BR197" i="24" s="1"/>
  <c r="H149" i="24"/>
  <c r="CF149" i="24"/>
  <c r="CE149" i="24"/>
  <c r="AM149" i="24"/>
  <c r="I149" i="24"/>
  <c r="K149" i="24" s="1"/>
  <c r="BO149" i="24"/>
  <c r="BR149" i="24" s="1"/>
  <c r="H264" i="25"/>
  <c r="AL264" i="25"/>
  <c r="CC264" i="25"/>
  <c r="J264" i="25"/>
  <c r="L264" i="25" s="1"/>
  <c r="BM264" i="25"/>
  <c r="BQ264" i="25" s="1"/>
  <c r="AL313" i="25"/>
  <c r="CC313" i="25"/>
  <c r="H313" i="25"/>
  <c r="J313" i="25"/>
  <c r="L313" i="25" s="1"/>
  <c r="I175" i="25"/>
  <c r="BN175" i="25"/>
  <c r="I142" i="25"/>
  <c r="BN142" i="25"/>
  <c r="I12" i="25"/>
  <c r="BN12" i="25"/>
  <c r="CC294" i="25"/>
  <c r="H294" i="25"/>
  <c r="AL294" i="25"/>
  <c r="J294" i="25"/>
  <c r="BM294" i="25"/>
  <c r="CC224" i="25"/>
  <c r="H224" i="25"/>
  <c r="AL224" i="25"/>
  <c r="J224" i="25"/>
  <c r="L224" i="25" s="1"/>
  <c r="BN103" i="25"/>
  <c r="I103" i="25"/>
  <c r="BN254" i="25"/>
  <c r="CC146" i="25"/>
  <c r="H146" i="25"/>
  <c r="AL146" i="25"/>
  <c r="J146" i="25"/>
  <c r="L146" i="25" s="1"/>
  <c r="BM146" i="25"/>
  <c r="BQ146" i="25" s="1"/>
  <c r="BN291" i="25"/>
  <c r="BN296" i="25"/>
  <c r="I113" i="25"/>
  <c r="BN136" i="25"/>
  <c r="I136" i="25"/>
  <c r="BN56" i="25"/>
  <c r="CC293" i="25"/>
  <c r="H293" i="25"/>
  <c r="AL293" i="25"/>
  <c r="BM293" i="25"/>
  <c r="BN252" i="25"/>
  <c r="I252" i="25"/>
  <c r="CF61" i="25"/>
  <c r="H61" i="25"/>
  <c r="AL61" i="25"/>
  <c r="CC61" i="25"/>
  <c r="CE61" i="25"/>
  <c r="J61" i="25"/>
  <c r="BM61" i="25"/>
  <c r="BN250" i="25"/>
  <c r="I250" i="25"/>
  <c r="AM64" i="24"/>
  <c r="CE64" i="24"/>
  <c r="CF64" i="24"/>
  <c r="K64" i="24"/>
  <c r="H64" i="24"/>
  <c r="BO64" i="24"/>
  <c r="BR64" i="24" s="1"/>
  <c r="I64" i="24"/>
  <c r="AM262" i="24"/>
  <c r="CE262" i="24"/>
  <c r="H262" i="24"/>
  <c r="I262" i="24"/>
  <c r="BO262" i="24"/>
  <c r="BR262" i="24" s="1"/>
  <c r="AM249" i="24"/>
  <c r="H249" i="24"/>
  <c r="CE249" i="24"/>
  <c r="CF249" i="24"/>
  <c r="I249" i="24"/>
  <c r="K249" i="24" s="1"/>
  <c r="BO249" i="24"/>
  <c r="BR249" i="24" s="1"/>
  <c r="CE236" i="24"/>
  <c r="H236" i="24"/>
  <c r="AM236" i="24"/>
  <c r="BO236" i="24"/>
  <c r="BR236" i="24" s="1"/>
  <c r="I303" i="25"/>
  <c r="BN303" i="25"/>
  <c r="BQ303" i="25" s="1"/>
  <c r="AL7" i="25"/>
  <c r="CC7" i="25"/>
  <c r="H7" i="25"/>
  <c r="CF7" i="25"/>
  <c r="CE7" i="25"/>
  <c r="J7" i="25"/>
  <c r="L7" i="25" s="1"/>
  <c r="BM7" i="25"/>
  <c r="I191" i="25"/>
  <c r="BN191" i="25"/>
  <c r="AL299" i="25"/>
  <c r="CC299" i="25"/>
  <c r="H299" i="25"/>
  <c r="J299" i="25"/>
  <c r="L299" i="25" s="1"/>
  <c r="H27" i="25"/>
  <c r="AL27" i="25"/>
  <c r="CC27" i="25"/>
  <c r="BM27" i="25"/>
  <c r="J27" i="25"/>
  <c r="I284" i="25"/>
  <c r="BN284" i="25"/>
  <c r="CF235" i="24"/>
  <c r="H235" i="24"/>
  <c r="AM235" i="24"/>
  <c r="CE235" i="24"/>
  <c r="I235" i="24"/>
  <c r="CE288" i="24"/>
  <c r="AM288" i="24"/>
  <c r="H288" i="24"/>
  <c r="I288" i="24"/>
  <c r="K288" i="24" s="1"/>
  <c r="BO288" i="24"/>
  <c r="BR288" i="24" s="1"/>
  <c r="CE57" i="24"/>
  <c r="CF57" i="24"/>
  <c r="K57" i="24"/>
  <c r="H57" i="24"/>
  <c r="AM57" i="24"/>
  <c r="I57" i="24"/>
  <c r="BO57" i="24"/>
  <c r="BR57" i="24" s="1"/>
  <c r="CE278" i="24"/>
  <c r="H278" i="24"/>
  <c r="CF278" i="24"/>
  <c r="AM278" i="24"/>
  <c r="I278" i="24"/>
  <c r="K278" i="24" s="1"/>
  <c r="BO278" i="24"/>
  <c r="BR278" i="24" s="1"/>
  <c r="H69" i="25"/>
  <c r="CE69" i="25"/>
  <c r="AL69" i="25"/>
  <c r="CC69" i="25"/>
  <c r="CF69" i="25"/>
  <c r="J69" i="25"/>
  <c r="L69" i="25" s="1"/>
  <c r="K26" i="24"/>
  <c r="CF26" i="24"/>
  <c r="CE26" i="24"/>
  <c r="AM26" i="24"/>
  <c r="H26" i="24"/>
  <c r="I26" i="24"/>
  <c r="I60" i="25"/>
  <c r="BN60" i="25"/>
  <c r="BN313" i="25"/>
  <c r="AL209" i="25"/>
  <c r="CC209" i="25"/>
  <c r="H209" i="25"/>
  <c r="BM209" i="25"/>
  <c r="J209" i="25"/>
  <c r="L209" i="25" s="1"/>
  <c r="H131" i="25"/>
  <c r="AL131" i="25"/>
  <c r="CC131" i="25"/>
  <c r="BM131" i="25"/>
  <c r="CC119" i="25"/>
  <c r="H119" i="25"/>
  <c r="AL119" i="25"/>
  <c r="J119" i="25"/>
  <c r="BM119" i="25"/>
  <c r="BQ119" i="25" s="1"/>
  <c r="AL133" i="25"/>
  <c r="CC133" i="25"/>
  <c r="H133" i="25"/>
  <c r="BM133" i="25"/>
  <c r="J133" i="25"/>
  <c r="L133" i="25" s="1"/>
  <c r="AL41" i="25"/>
  <c r="H41" i="25"/>
  <c r="CC41" i="25"/>
  <c r="CE41" i="25"/>
  <c r="CF41" i="25"/>
  <c r="J41" i="25"/>
  <c r="BM41" i="25"/>
  <c r="BQ41" i="25" s="1"/>
  <c r="AL256" i="25"/>
  <c r="H256" i="25"/>
  <c r="CC256" i="25"/>
  <c r="J256" i="25"/>
  <c r="I19" i="25"/>
  <c r="AL36" i="25"/>
  <c r="CC36" i="25"/>
  <c r="CF36" i="25"/>
  <c r="CE36" i="25"/>
  <c r="H36" i="25"/>
  <c r="BM36" i="25"/>
  <c r="J36" i="25"/>
  <c r="I64" i="25"/>
  <c r="BN64" i="25"/>
  <c r="AL274" i="25"/>
  <c r="CC274" i="25"/>
  <c r="H274" i="25"/>
  <c r="BM274" i="25"/>
  <c r="BQ274" i="25" s="1"/>
  <c r="J274" i="25"/>
  <c r="L274" i="25" s="1"/>
  <c r="H268" i="25"/>
  <c r="AL268" i="25"/>
  <c r="CC268" i="25"/>
  <c r="J268" i="25"/>
  <c r="L268" i="25" s="1"/>
  <c r="BM268" i="25"/>
  <c r="I301" i="25"/>
  <c r="BN301" i="25"/>
  <c r="H308" i="25"/>
  <c r="AL308" i="25"/>
  <c r="CC308" i="25"/>
  <c r="J308" i="25"/>
  <c r="CC286" i="25"/>
  <c r="H286" i="25"/>
  <c r="AL286" i="25"/>
  <c r="J286" i="25"/>
  <c r="BM286" i="25"/>
  <c r="AM178" i="24"/>
  <c r="H178" i="24"/>
  <c r="I178" i="24"/>
  <c r="H217" i="24"/>
  <c r="AM217" i="24"/>
  <c r="CE217" i="24"/>
  <c r="BO217" i="24"/>
  <c r="BR217" i="24" s="1"/>
  <c r="I217" i="24"/>
  <c r="K217" i="24" s="1"/>
  <c r="H221" i="24"/>
  <c r="CF221" i="24"/>
  <c r="AM221" i="24"/>
  <c r="CE221" i="24"/>
  <c r="I221" i="24"/>
  <c r="K221" i="24" s="1"/>
  <c r="BO221" i="24"/>
  <c r="BR221" i="24" s="1"/>
  <c r="CE293" i="24"/>
  <c r="CF293" i="24"/>
  <c r="H293" i="24"/>
  <c r="AM293" i="24"/>
  <c r="BO293" i="24"/>
  <c r="BR293" i="24" s="1"/>
  <c r="I293" i="24"/>
  <c r="K293" i="24" s="1"/>
  <c r="H135" i="25"/>
  <c r="AL135" i="25"/>
  <c r="CC135" i="25"/>
  <c r="J135" i="25"/>
  <c r="L135" i="25" s="1"/>
  <c r="BM135" i="25"/>
  <c r="BQ135" i="25" s="1"/>
  <c r="AL196" i="25"/>
  <c r="CC196" i="25"/>
  <c r="H196" i="25"/>
  <c r="J196" i="25"/>
  <c r="BM196" i="25"/>
  <c r="BQ196" i="25" s="1"/>
  <c r="CC153" i="25"/>
  <c r="H153" i="25"/>
  <c r="AL153" i="25"/>
  <c r="J153" i="25"/>
  <c r="H127" i="25"/>
  <c r="AL127" i="25"/>
  <c r="CC127" i="25"/>
  <c r="BM127" i="25"/>
  <c r="BQ127" i="25" s="1"/>
  <c r="J127" i="25"/>
  <c r="L127" i="25" s="1"/>
  <c r="AL149" i="25"/>
  <c r="CC149" i="25"/>
  <c r="H149" i="25"/>
  <c r="J149" i="25"/>
  <c r="BM149" i="25"/>
  <c r="BQ149" i="25" s="1"/>
  <c r="AL140" i="25"/>
  <c r="CC140" i="25"/>
  <c r="H140" i="25"/>
  <c r="BM140" i="25"/>
  <c r="BQ140" i="25" s="1"/>
  <c r="J140" i="25"/>
  <c r="L140" i="25" s="1"/>
  <c r="H123" i="25"/>
  <c r="AL123" i="25"/>
  <c r="CC123" i="25"/>
  <c r="J123" i="25"/>
  <c r="BM123" i="25"/>
  <c r="BQ123" i="25" s="1"/>
  <c r="H22" i="25"/>
  <c r="AL22" i="25"/>
  <c r="CC22" i="25"/>
  <c r="J22" i="25"/>
  <c r="L22" i="25" s="1"/>
  <c r="BM22" i="25"/>
  <c r="BQ22" i="25" s="1"/>
  <c r="CE24" i="25"/>
  <c r="AL24" i="25"/>
  <c r="H24" i="25"/>
  <c r="CC24" i="25"/>
  <c r="CF24" i="25"/>
  <c r="J24" i="25"/>
  <c r="BM24" i="25"/>
  <c r="BQ24" i="25" s="1"/>
  <c r="CC98" i="25"/>
  <c r="H98" i="25"/>
  <c r="AL98" i="25"/>
  <c r="BM98" i="25"/>
  <c r="BQ98" i="25" s="1"/>
  <c r="J98" i="25"/>
  <c r="CC57" i="25"/>
  <c r="H57" i="25"/>
  <c r="AL57" i="25"/>
  <c r="BM57" i="25"/>
  <c r="BQ57" i="25" s="1"/>
  <c r="J57" i="25"/>
  <c r="L57" i="25" s="1"/>
  <c r="H20" i="25"/>
  <c r="CF20" i="25"/>
  <c r="CE20" i="25"/>
  <c r="CC20" i="25"/>
  <c r="AL20" i="25"/>
  <c r="J20" i="25"/>
  <c r="L20" i="25" s="1"/>
  <c r="BM20" i="25"/>
  <c r="BQ20" i="25" s="1"/>
  <c r="CC91" i="25"/>
  <c r="AL91" i="25"/>
  <c r="CF91" i="25"/>
  <c r="H91" i="25"/>
  <c r="CE91" i="25"/>
  <c r="J91" i="25"/>
  <c r="CC85" i="25"/>
  <c r="H85" i="25"/>
  <c r="CF85" i="25"/>
  <c r="CE85" i="25"/>
  <c r="AL85" i="25"/>
  <c r="J85" i="25"/>
  <c r="BM85" i="25"/>
  <c r="BQ85" i="25" s="1"/>
  <c r="CF48" i="25"/>
  <c r="CE48" i="25"/>
  <c r="H48" i="25"/>
  <c r="AL48" i="25"/>
  <c r="CC48" i="25"/>
  <c r="J48" i="25"/>
  <c r="CE35" i="25"/>
  <c r="CF35" i="25"/>
  <c r="H35" i="25"/>
  <c r="CC35" i="25"/>
  <c r="AL35" i="25"/>
  <c r="BM35" i="25"/>
  <c r="BQ35" i="25" s="1"/>
  <c r="J35" i="25"/>
  <c r="H175" i="24"/>
  <c r="AM175" i="24"/>
  <c r="I175" i="24"/>
  <c r="K95" i="24"/>
  <c r="H95" i="24"/>
  <c r="AM95" i="24"/>
  <c r="CE95" i="24"/>
  <c r="CF95" i="24"/>
  <c r="I95" i="24"/>
  <c r="BO95" i="24"/>
  <c r="BR95" i="24" s="1"/>
  <c r="CE258" i="24"/>
  <c r="H258" i="24"/>
  <c r="CF258" i="24"/>
  <c r="AM258" i="24"/>
  <c r="I258" i="24"/>
  <c r="BO258" i="24"/>
  <c r="BR258" i="24" s="1"/>
  <c r="BM66" i="25"/>
  <c r="BM92" i="25"/>
  <c r="BN222" i="25"/>
  <c r="CC207" i="25"/>
  <c r="AL207" i="25"/>
  <c r="H207" i="25"/>
  <c r="J207" i="25"/>
  <c r="BM207" i="25"/>
  <c r="BQ207" i="25" s="1"/>
  <c r="CC230" i="25"/>
  <c r="H230" i="25"/>
  <c r="AL230" i="25"/>
  <c r="J230" i="25"/>
  <c r="L230" i="25" s="1"/>
  <c r="BM230" i="25"/>
  <c r="BQ230" i="25" s="1"/>
  <c r="BN74" i="25"/>
  <c r="I74" i="25"/>
  <c r="AL62" i="25"/>
  <c r="CC62" i="25"/>
  <c r="H62" i="25"/>
  <c r="BM62" i="25"/>
  <c r="J62" i="25"/>
  <c r="N62" i="25" s="1"/>
  <c r="CF237" i="24"/>
  <c r="AM237" i="24"/>
  <c r="H237" i="24"/>
  <c r="CE237" i="24"/>
  <c r="BO237" i="24"/>
  <c r="BR237" i="24" s="1"/>
  <c r="I237" i="24"/>
  <c r="M237" i="24" s="1"/>
  <c r="N237" i="24" s="1"/>
  <c r="BK162" i="24"/>
  <c r="S162" i="24"/>
  <c r="T162" i="24" s="1"/>
  <c r="M162" i="24"/>
  <c r="N162" i="24" s="1"/>
  <c r="I16" i="25"/>
  <c r="BN16" i="25"/>
  <c r="BQ16" i="25" s="1"/>
  <c r="I50" i="25"/>
  <c r="BM220" i="25"/>
  <c r="BO166" i="24"/>
  <c r="BR166" i="24" s="1"/>
  <c r="BM91" i="25"/>
  <c r="BQ91" i="25" s="1"/>
  <c r="BM103" i="25"/>
  <c r="J87" i="25"/>
  <c r="N87" i="25" s="1"/>
  <c r="AL113" i="25"/>
  <c r="CC113" i="25"/>
  <c r="H113" i="25"/>
  <c r="J113" i="25"/>
  <c r="N113" i="25" s="1"/>
  <c r="BM113" i="25"/>
  <c r="AL225" i="25"/>
  <c r="CC225" i="25"/>
  <c r="H225" i="25"/>
  <c r="BM225" i="25"/>
  <c r="J225" i="25"/>
  <c r="L225" i="25" s="1"/>
  <c r="CC25" i="25"/>
  <c r="AL25" i="25"/>
  <c r="H25" i="25"/>
  <c r="BM25" i="25"/>
  <c r="J25" i="25"/>
  <c r="L25" i="25" s="1"/>
  <c r="H310" i="24"/>
  <c r="AM310" i="24"/>
  <c r="I310" i="24"/>
  <c r="M310" i="24" s="1"/>
  <c r="BO310" i="24"/>
  <c r="BR310" i="24" s="1"/>
  <c r="CC97" i="25"/>
  <c r="H97" i="25"/>
  <c r="AL97" i="25"/>
  <c r="J97" i="25"/>
  <c r="L97" i="25" s="1"/>
  <c r="I92" i="25"/>
  <c r="BN92" i="25"/>
  <c r="I155" i="25"/>
  <c r="BN155" i="25"/>
  <c r="H305" i="24"/>
  <c r="AM305" i="24"/>
  <c r="CE305" i="24"/>
  <c r="I305" i="24"/>
  <c r="K305" i="24" s="1"/>
  <c r="BO305" i="24"/>
  <c r="BR305" i="24" s="1"/>
  <c r="H158" i="25"/>
  <c r="AL158" i="25"/>
  <c r="CC158" i="25"/>
  <c r="J158" i="25"/>
  <c r="N158" i="25" s="1"/>
  <c r="H112" i="25"/>
  <c r="CC112" i="25"/>
  <c r="AL112" i="25"/>
  <c r="BM112" i="25"/>
  <c r="J112" i="25"/>
  <c r="L112" i="25" s="1"/>
  <c r="H134" i="25"/>
  <c r="AL134" i="25"/>
  <c r="CC134" i="25"/>
  <c r="J134" i="25"/>
  <c r="L134" i="25" s="1"/>
  <c r="BM134" i="25"/>
  <c r="H258" i="25"/>
  <c r="AL258" i="25"/>
  <c r="CC258" i="25"/>
  <c r="BM258" i="25"/>
  <c r="BQ258" i="25" s="1"/>
  <c r="I216" i="25"/>
  <c r="BN113" i="25"/>
  <c r="BN243" i="25"/>
  <c r="I243" i="25"/>
  <c r="H121" i="25"/>
  <c r="AL121" i="25"/>
  <c r="CC121" i="25"/>
  <c r="J121" i="25"/>
  <c r="L121" i="25" s="1"/>
  <c r="BM121" i="25"/>
  <c r="H47" i="25"/>
  <c r="CF47" i="25"/>
  <c r="CE47" i="25"/>
  <c r="AL47" i="25"/>
  <c r="CC47" i="25"/>
  <c r="J47" i="25"/>
  <c r="BM47" i="25"/>
  <c r="BN316" i="25"/>
  <c r="I316" i="25"/>
  <c r="AL242" i="25"/>
  <c r="CC242" i="25"/>
  <c r="H242" i="25"/>
  <c r="BM242" i="25"/>
  <c r="J242" i="25"/>
  <c r="BN39" i="25"/>
  <c r="I39" i="25"/>
  <c r="H301" i="24"/>
  <c r="AM301" i="24"/>
  <c r="CE301" i="24"/>
  <c r="CF301" i="24"/>
  <c r="I301" i="24"/>
  <c r="BO301" i="24"/>
  <c r="BR301" i="24" s="1"/>
  <c r="AM238" i="24"/>
  <c r="H238" i="24"/>
  <c r="I238" i="24"/>
  <c r="M238" i="24" s="1"/>
  <c r="N238" i="24" s="1"/>
  <c r="BO238" i="24"/>
  <c r="BR238" i="24" s="1"/>
  <c r="H193" i="24"/>
  <c r="AM193" i="24"/>
  <c r="I193" i="24"/>
  <c r="M193" i="24" s="1"/>
  <c r="BO193" i="24"/>
  <c r="BR193" i="24" s="1"/>
  <c r="H136" i="24"/>
  <c r="AM136" i="24"/>
  <c r="CF136" i="24"/>
  <c r="CE136" i="24"/>
  <c r="I136" i="24"/>
  <c r="BO136" i="24"/>
  <c r="BR136" i="24" s="1"/>
  <c r="CC50" i="25"/>
  <c r="AL50" i="25"/>
  <c r="H50" i="25"/>
  <c r="CE50" i="25"/>
  <c r="CF50" i="25"/>
  <c r="J50" i="25"/>
  <c r="AL229" i="25"/>
  <c r="CC229" i="25"/>
  <c r="H229" i="25"/>
  <c r="J229" i="25"/>
  <c r="N229" i="25" s="1"/>
  <c r="BM229" i="25"/>
  <c r="BQ229" i="25" s="1"/>
  <c r="I309" i="25"/>
  <c r="BN309" i="25"/>
  <c r="AL181" i="25"/>
  <c r="CC181" i="25"/>
  <c r="H181" i="25"/>
  <c r="BM181" i="25"/>
  <c r="J181" i="25"/>
  <c r="I228" i="25"/>
  <c r="BN228" i="25"/>
  <c r="AL249" i="25"/>
  <c r="CC249" i="25"/>
  <c r="H249" i="25"/>
  <c r="J249" i="25"/>
  <c r="L249" i="25" s="1"/>
  <c r="BM249" i="25"/>
  <c r="BN33" i="25"/>
  <c r="I33" i="25"/>
  <c r="H240" i="25"/>
  <c r="CC240" i="25"/>
  <c r="AL240" i="25"/>
  <c r="J240" i="25"/>
  <c r="N240" i="25" s="1"/>
  <c r="BM240" i="25"/>
  <c r="BQ240" i="25" s="1"/>
  <c r="H203" i="24"/>
  <c r="AM203" i="24"/>
  <c r="I203" i="24"/>
  <c r="K203" i="24" s="1"/>
  <c r="BO203" i="24"/>
  <c r="BR203" i="24" s="1"/>
  <c r="H49" i="24"/>
  <c r="AM49" i="24"/>
  <c r="CF49" i="24"/>
  <c r="CE49" i="24"/>
  <c r="K49" i="24"/>
  <c r="I49" i="24"/>
  <c r="H218" i="24"/>
  <c r="CF218" i="24"/>
  <c r="AM218" i="24"/>
  <c r="I218" i="24"/>
  <c r="M218" i="24" s="1"/>
  <c r="BO218" i="24"/>
  <c r="BR218" i="24" s="1"/>
  <c r="CF227" i="24"/>
  <c r="AM227" i="24"/>
  <c r="CE227" i="24"/>
  <c r="H227" i="24"/>
  <c r="BO227" i="24"/>
  <c r="BR227" i="24" s="1"/>
  <c r="I227" i="24"/>
  <c r="M227" i="24" s="1"/>
  <c r="BM158" i="25"/>
  <c r="AL277" i="25"/>
  <c r="CC277" i="25"/>
  <c r="H277" i="25"/>
  <c r="J277" i="25"/>
  <c r="L277" i="25" s="1"/>
  <c r="H78" i="24"/>
  <c r="AM78" i="24"/>
  <c r="K78" i="24"/>
  <c r="H11" i="24"/>
  <c r="CF11" i="24"/>
  <c r="CE11" i="24"/>
  <c r="AM11" i="24"/>
  <c r="K11" i="24"/>
  <c r="I11" i="24"/>
  <c r="CE183" i="24"/>
  <c r="H183" i="24"/>
  <c r="CF183" i="24"/>
  <c r="AM183" i="24"/>
  <c r="I183" i="24"/>
  <c r="H235" i="25"/>
  <c r="AL235" i="25"/>
  <c r="CC235" i="25"/>
  <c r="J235" i="25"/>
  <c r="L235" i="25" s="1"/>
  <c r="BM235" i="25"/>
  <c r="AL304" i="25"/>
  <c r="CC304" i="25"/>
  <c r="H304" i="25"/>
  <c r="I234" i="25"/>
  <c r="BN234" i="25"/>
  <c r="AL289" i="25"/>
  <c r="CC289" i="25"/>
  <c r="H289" i="25"/>
  <c r="BM289" i="25"/>
  <c r="J289" i="25"/>
  <c r="I184" i="25"/>
  <c r="BN184" i="25"/>
  <c r="AL101" i="25"/>
  <c r="CC101" i="25"/>
  <c r="H101" i="25"/>
  <c r="J101" i="25"/>
  <c r="BM101" i="25"/>
  <c r="H45" i="25"/>
  <c r="AL45" i="25"/>
  <c r="CC45" i="25"/>
  <c r="J45" i="25"/>
  <c r="L45" i="25" s="1"/>
  <c r="H306" i="24"/>
  <c r="AM306" i="24"/>
  <c r="I306" i="24"/>
  <c r="M306" i="24" s="1"/>
  <c r="H220" i="24"/>
  <c r="CE220" i="24"/>
  <c r="CF220" i="24"/>
  <c r="AM220" i="24"/>
  <c r="BO220" i="24"/>
  <c r="BR220" i="24" s="1"/>
  <c r="I220" i="24"/>
  <c r="K220" i="24" s="1"/>
  <c r="AM156" i="24"/>
  <c r="H156" i="24"/>
  <c r="I156" i="24"/>
  <c r="BO156" i="24"/>
  <c r="BR156" i="24" s="1"/>
  <c r="CE300" i="24"/>
  <c r="CF300" i="24"/>
  <c r="H300" i="24"/>
  <c r="AM300" i="24"/>
  <c r="I300" i="24"/>
  <c r="BO300" i="24"/>
  <c r="BR300" i="24" s="1"/>
  <c r="CF42" i="24"/>
  <c r="AM42" i="24"/>
  <c r="CE42" i="24"/>
  <c r="K42" i="24"/>
  <c r="H42" i="24"/>
  <c r="I42" i="24"/>
  <c r="AM311" i="24"/>
  <c r="H311" i="24"/>
  <c r="CE311" i="24"/>
  <c r="I311" i="24"/>
  <c r="K311" i="24" s="1"/>
  <c r="H80" i="25"/>
  <c r="CC80" i="25"/>
  <c r="AL80" i="25"/>
  <c r="J80" i="25"/>
  <c r="L80" i="25" s="1"/>
  <c r="AL311" i="25"/>
  <c r="CC311" i="25"/>
  <c r="H311" i="25"/>
  <c r="J311" i="25"/>
  <c r="L311" i="25" s="1"/>
  <c r="BM311" i="25"/>
  <c r="AL307" i="25"/>
  <c r="CC307" i="25"/>
  <c r="H307" i="25"/>
  <c r="J307" i="25"/>
  <c r="BM307" i="25"/>
  <c r="CE308" i="24"/>
  <c r="AM308" i="24"/>
  <c r="H308" i="24"/>
  <c r="I308" i="24"/>
  <c r="K308" i="24" s="1"/>
  <c r="BO308" i="24"/>
  <c r="BR308" i="24" s="1"/>
  <c r="AM271" i="24"/>
  <c r="H271" i="24"/>
  <c r="CE271" i="24"/>
  <c r="BO271" i="24"/>
  <c r="BR271" i="24" s="1"/>
  <c r="I271" i="24"/>
  <c r="M271" i="24" s="1"/>
  <c r="N271" i="24" s="1"/>
  <c r="AM181" i="24"/>
  <c r="CF181" i="24"/>
  <c r="H181" i="24"/>
  <c r="CE181" i="24"/>
  <c r="I181" i="24"/>
  <c r="M181" i="24" s="1"/>
  <c r="N181" i="24" s="1"/>
  <c r="CE58" i="24"/>
  <c r="K58" i="24"/>
  <c r="H58" i="24"/>
  <c r="AM58" i="24"/>
  <c r="CF58" i="24"/>
  <c r="I58" i="24"/>
  <c r="K84" i="24"/>
  <c r="H84" i="24"/>
  <c r="AM84" i="24"/>
  <c r="BO84" i="24"/>
  <c r="BR84" i="24" s="1"/>
  <c r="I84" i="24"/>
  <c r="K51" i="24"/>
  <c r="AM51" i="24"/>
  <c r="H51" i="24"/>
  <c r="CF51" i="24"/>
  <c r="CE51" i="24"/>
  <c r="I51" i="24"/>
  <c r="BO51" i="24"/>
  <c r="BR51" i="24" s="1"/>
  <c r="K43" i="24"/>
  <c r="H43" i="24"/>
  <c r="AM43" i="24"/>
  <c r="CE43" i="24"/>
  <c r="CF43" i="24"/>
  <c r="I43" i="24"/>
  <c r="M43" i="24" s="1"/>
  <c r="N43" i="24" s="1"/>
  <c r="BO43" i="24"/>
  <c r="BR43" i="24" s="1"/>
  <c r="I158" i="25"/>
  <c r="AL115" i="25"/>
  <c r="H115" i="25"/>
  <c r="CC115" i="25"/>
  <c r="J115" i="25"/>
  <c r="BM115" i="25"/>
  <c r="BQ115" i="25" s="1"/>
  <c r="BN7" i="25"/>
  <c r="CF44" i="24"/>
  <c r="K44" i="24"/>
  <c r="H44" i="24"/>
  <c r="AM44" i="24"/>
  <c r="CE44" i="24"/>
  <c r="M44" i="24"/>
  <c r="N44" i="24" s="1"/>
  <c r="BO44" i="24"/>
  <c r="BR44" i="24" s="1"/>
  <c r="AL31" i="25"/>
  <c r="CC31" i="25"/>
  <c r="H31" i="25"/>
  <c r="J31" i="25"/>
  <c r="N31" i="25" s="1"/>
  <c r="BM31" i="25"/>
  <c r="CF115" i="24"/>
  <c r="CE115" i="24"/>
  <c r="AM115" i="24"/>
  <c r="H115" i="24"/>
  <c r="I115" i="24"/>
  <c r="BO115" i="24"/>
  <c r="BR115" i="24" s="1"/>
  <c r="BK191" i="24"/>
  <c r="S191" i="24"/>
  <c r="T191" i="24" s="1"/>
  <c r="M191" i="24"/>
  <c r="N191" i="24" s="1"/>
  <c r="CE246" i="24"/>
  <c r="CF246" i="24"/>
  <c r="H246" i="24"/>
  <c r="AM246" i="24"/>
  <c r="I246" i="24"/>
  <c r="BO246" i="24"/>
  <c r="BR246" i="24" s="1"/>
  <c r="I229" i="25"/>
  <c r="BK101" i="24"/>
  <c r="S101" i="24"/>
  <c r="T101" i="24" s="1"/>
  <c r="BK292" i="24"/>
  <c r="BN289" i="25"/>
  <c r="BN19" i="25"/>
  <c r="BN154" i="25"/>
  <c r="BN61" i="25"/>
  <c r="BM313" i="25"/>
  <c r="BM308" i="25"/>
  <c r="BM128" i="25"/>
  <c r="BQ128" i="25" s="1"/>
  <c r="BM174" i="25"/>
  <c r="BO128" i="24"/>
  <c r="BR128" i="24" s="1"/>
  <c r="I151" i="24"/>
  <c r="K151" i="24" s="1"/>
  <c r="H102" i="25"/>
  <c r="AL102" i="25"/>
  <c r="CC102" i="25"/>
  <c r="J102" i="25"/>
  <c r="BM102" i="25"/>
  <c r="AL254" i="25"/>
  <c r="CC254" i="25"/>
  <c r="H254" i="25"/>
  <c r="BM254" i="25"/>
  <c r="J254" i="25"/>
  <c r="L254" i="25" s="1"/>
  <c r="H161" i="25"/>
  <c r="AL161" i="25"/>
  <c r="CC161" i="25"/>
  <c r="J161" i="25"/>
  <c r="N161" i="25" s="1"/>
  <c r="BM161" i="25"/>
  <c r="AL86" i="25"/>
  <c r="H86" i="25"/>
  <c r="CC86" i="25"/>
  <c r="BM86" i="25"/>
  <c r="J86" i="25"/>
  <c r="BN170" i="25"/>
  <c r="I170" i="25"/>
  <c r="AM35" i="24"/>
  <c r="CF35" i="24"/>
  <c r="CE35" i="24"/>
  <c r="K35" i="24"/>
  <c r="H35" i="24"/>
  <c r="I35" i="24"/>
  <c r="BO35" i="24"/>
  <c r="BR35" i="24" s="1"/>
  <c r="AL10" i="25"/>
  <c r="H10" i="25"/>
  <c r="CC10" i="25"/>
  <c r="J10" i="25"/>
  <c r="L10" i="25" s="1"/>
  <c r="H147" i="25"/>
  <c r="AL147" i="25"/>
  <c r="CC147" i="25"/>
  <c r="J147" i="25"/>
  <c r="N147" i="25" s="1"/>
  <c r="BM147" i="25"/>
  <c r="AL220" i="25"/>
  <c r="CC220" i="25"/>
  <c r="H220" i="25"/>
  <c r="J220" i="25"/>
  <c r="L220" i="25" s="1"/>
  <c r="CC144" i="25"/>
  <c r="AL144" i="25"/>
  <c r="H144" i="25"/>
  <c r="BM144" i="25"/>
  <c r="J144" i="25"/>
  <c r="AL148" i="25"/>
  <c r="H148" i="25"/>
  <c r="CC148" i="25"/>
  <c r="J148" i="25"/>
  <c r="N148" i="25" s="1"/>
  <c r="BM148" i="25"/>
  <c r="AL292" i="25"/>
  <c r="CC292" i="25"/>
  <c r="H292" i="25"/>
  <c r="J292" i="25"/>
  <c r="N292" i="25" s="1"/>
  <c r="BN124" i="25"/>
  <c r="I124" i="25"/>
  <c r="BN89" i="25"/>
  <c r="I89" i="25"/>
  <c r="H247" i="25"/>
  <c r="AL247" i="25"/>
  <c r="CC247" i="25"/>
  <c r="J247" i="25"/>
  <c r="N247" i="25" s="1"/>
  <c r="BN272" i="25"/>
  <c r="I272" i="25"/>
  <c r="H66" i="25"/>
  <c r="AL66" i="25"/>
  <c r="CC66" i="25"/>
  <c r="CF66" i="25"/>
  <c r="CE66" i="25"/>
  <c r="J66" i="25"/>
  <c r="L66" i="25" s="1"/>
  <c r="CF153" i="24"/>
  <c r="AM153" i="24"/>
  <c r="H153" i="24"/>
  <c r="CE153" i="24"/>
  <c r="I153" i="24"/>
  <c r="K153" i="24" s="1"/>
  <c r="BO153" i="24"/>
  <c r="BR153" i="24" s="1"/>
  <c r="CE234" i="24"/>
  <c r="H234" i="24"/>
  <c r="CF234" i="24"/>
  <c r="AM234" i="24"/>
  <c r="I234" i="24"/>
  <c r="M234" i="24" s="1"/>
  <c r="BO234" i="24"/>
  <c r="BR234" i="24" s="1"/>
  <c r="CE279" i="24"/>
  <c r="AM279" i="24"/>
  <c r="H279" i="24"/>
  <c r="I279" i="24"/>
  <c r="M279" i="24" s="1"/>
  <c r="BO279" i="24"/>
  <c r="BR279" i="24" s="1"/>
  <c r="AM98" i="24"/>
  <c r="K98" i="24"/>
  <c r="H98" i="24"/>
  <c r="I98" i="24"/>
  <c r="AM85" i="24"/>
  <c r="CF85" i="24"/>
  <c r="CE85" i="24"/>
  <c r="K85" i="24"/>
  <c r="H85" i="24"/>
  <c r="BO85" i="24"/>
  <c r="BR85" i="24" s="1"/>
  <c r="K59" i="24"/>
  <c r="AM59" i="24"/>
  <c r="H59" i="24"/>
  <c r="CF59" i="24"/>
  <c r="CE59" i="24"/>
  <c r="I59" i="24"/>
  <c r="I78" i="25"/>
  <c r="BN78" i="25"/>
  <c r="CC173" i="25"/>
  <c r="H173" i="25"/>
  <c r="AL173" i="25"/>
  <c r="J173" i="25"/>
  <c r="N173" i="25" s="1"/>
  <c r="BM173" i="25"/>
  <c r="I172" i="25"/>
  <c r="BN172" i="25"/>
  <c r="H65" i="25"/>
  <c r="AL65" i="25"/>
  <c r="CC65" i="25"/>
  <c r="BM65" i="25"/>
  <c r="J65" i="25"/>
  <c r="L65" i="25" s="1"/>
  <c r="I261" i="25"/>
  <c r="BN261" i="25"/>
  <c r="AL251" i="25"/>
  <c r="CC251" i="25"/>
  <c r="H251" i="25"/>
  <c r="J251" i="25"/>
  <c r="L251" i="25" s="1"/>
  <c r="AM297" i="24"/>
  <c r="H297" i="24"/>
  <c r="I297" i="24"/>
  <c r="BO297" i="24"/>
  <c r="BR297" i="24" s="1"/>
  <c r="AM40" i="24"/>
  <c r="K40" i="24"/>
  <c r="H40" i="24"/>
  <c r="CE40" i="24"/>
  <c r="CF40" i="24"/>
  <c r="BO40" i="24"/>
  <c r="BR40" i="24" s="1"/>
  <c r="I40" i="24"/>
  <c r="M40" i="24" s="1"/>
  <c r="H294" i="24"/>
  <c r="CE294" i="24"/>
  <c r="CF294" i="24"/>
  <c r="AM294" i="24"/>
  <c r="BO294" i="24"/>
  <c r="BR294" i="24" s="1"/>
  <c r="CF287" i="24"/>
  <c r="AM287" i="24"/>
  <c r="H287" i="24"/>
  <c r="I287" i="24"/>
  <c r="M287" i="24" s="1"/>
  <c r="BO287" i="24"/>
  <c r="BR287" i="24" s="1"/>
  <c r="CE226" i="24"/>
  <c r="AM226" i="24"/>
  <c r="H226" i="24"/>
  <c r="I226" i="24"/>
  <c r="M226" i="24" s="1"/>
  <c r="BO226" i="24"/>
  <c r="BR226" i="24" s="1"/>
  <c r="BO10" i="24"/>
  <c r="BR10" i="24" s="1"/>
  <c r="BO9" i="24"/>
  <c r="BR9" i="24" s="1"/>
  <c r="I201" i="25"/>
  <c r="BN201" i="25"/>
  <c r="AL167" i="25"/>
  <c r="CC167" i="25"/>
  <c r="H167" i="25"/>
  <c r="J167" i="25"/>
  <c r="N167" i="25" s="1"/>
  <c r="BM167" i="25"/>
  <c r="I166" i="25"/>
  <c r="BN166" i="25"/>
  <c r="H55" i="25"/>
  <c r="AL55" i="25"/>
  <c r="CC55" i="25"/>
  <c r="J55" i="25"/>
  <c r="BM55" i="25"/>
  <c r="I285" i="25"/>
  <c r="BN285" i="25"/>
  <c r="H306" i="25"/>
  <c r="AL306" i="25"/>
  <c r="CC306" i="25"/>
  <c r="J306" i="25"/>
  <c r="N306" i="25" s="1"/>
  <c r="BM306" i="25"/>
  <c r="I90" i="25"/>
  <c r="BN90" i="25"/>
  <c r="H263" i="25"/>
  <c r="AL263" i="25"/>
  <c r="CC263" i="25"/>
  <c r="J263" i="25"/>
  <c r="BM263" i="25"/>
  <c r="I314" i="25"/>
  <c r="BN314" i="25"/>
  <c r="H283" i="25"/>
  <c r="CC283" i="25"/>
  <c r="AL283" i="25"/>
  <c r="J283" i="25"/>
  <c r="N283" i="25" s="1"/>
  <c r="BM283" i="25"/>
  <c r="AL276" i="25"/>
  <c r="CC276" i="25"/>
  <c r="H276" i="25"/>
  <c r="J276" i="25"/>
  <c r="N276" i="25" s="1"/>
  <c r="BM276" i="25"/>
  <c r="H208" i="24"/>
  <c r="AM208" i="24"/>
  <c r="I208" i="24"/>
  <c r="BO208" i="24"/>
  <c r="BR208" i="24" s="1"/>
  <c r="CE8" i="24"/>
  <c r="H8" i="24"/>
  <c r="CF8" i="24"/>
  <c r="AM8" i="24"/>
  <c r="K8" i="24"/>
  <c r="I8" i="24"/>
  <c r="BO8" i="24"/>
  <c r="BR8" i="24" s="1"/>
  <c r="CE13" i="24"/>
  <c r="AM13" i="24"/>
  <c r="K13" i="24"/>
  <c r="H13" i="24"/>
  <c r="CF13" i="24"/>
  <c r="BO13" i="24"/>
  <c r="BR13" i="24" s="1"/>
  <c r="I13" i="24"/>
  <c r="AM200" i="24"/>
  <c r="H200" i="24"/>
  <c r="I200" i="24"/>
  <c r="M200" i="24" s="1"/>
  <c r="BO200" i="24"/>
  <c r="BR200" i="24" s="1"/>
  <c r="AM81" i="24"/>
  <c r="K81" i="24"/>
  <c r="H81" i="24"/>
  <c r="I81" i="24"/>
  <c r="AM150" i="24"/>
  <c r="H150" i="24"/>
  <c r="I150" i="24"/>
  <c r="M150" i="24" s="1"/>
  <c r="N150" i="24" s="1"/>
  <c r="AM284" i="24"/>
  <c r="H284" i="24"/>
  <c r="I284" i="24"/>
  <c r="H117" i="25"/>
  <c r="AL117" i="25"/>
  <c r="CC117" i="25"/>
  <c r="BM117" i="25"/>
  <c r="CC290" i="25"/>
  <c r="H290" i="25"/>
  <c r="AL290" i="25"/>
  <c r="J290" i="25"/>
  <c r="BM290" i="25"/>
  <c r="BQ290" i="25" s="1"/>
  <c r="K87" i="24"/>
  <c r="H87" i="24"/>
  <c r="AM87" i="24"/>
  <c r="I87" i="24"/>
  <c r="BO87" i="24"/>
  <c r="BR87" i="24" s="1"/>
  <c r="H187" i="24"/>
  <c r="CF187" i="24"/>
  <c r="CE187" i="24"/>
  <c r="AM187" i="24"/>
  <c r="I187" i="24"/>
  <c r="K187" i="24" s="1"/>
  <c r="BO187" i="24"/>
  <c r="BR187" i="24" s="1"/>
  <c r="H200" i="25"/>
  <c r="CC200" i="25"/>
  <c r="AL200" i="25"/>
  <c r="BM200" i="25"/>
  <c r="BQ200" i="25" s="1"/>
  <c r="J200" i="25"/>
  <c r="L200" i="25" s="1"/>
  <c r="AL198" i="25"/>
  <c r="CC198" i="25"/>
  <c r="H198" i="25"/>
  <c r="J198" i="25"/>
  <c r="N198" i="25" s="1"/>
  <c r="BM198" i="25"/>
  <c r="BK119" i="24"/>
  <c r="S119" i="24"/>
  <c r="T119" i="24" s="1"/>
  <c r="M119" i="24"/>
  <c r="N119" i="24" s="1"/>
  <c r="CE159" i="24"/>
  <c r="H159" i="24"/>
  <c r="AM159" i="24"/>
  <c r="CF159" i="24"/>
  <c r="I159" i="24"/>
  <c r="BO159" i="24"/>
  <c r="BR159" i="24" s="1"/>
  <c r="H188" i="24"/>
  <c r="CE188" i="24"/>
  <c r="AM188" i="24"/>
  <c r="CF188" i="24"/>
  <c r="BO188" i="24"/>
  <c r="BR188" i="24" s="1"/>
  <c r="I188" i="24"/>
  <c r="M188" i="24" s="1"/>
  <c r="N188" i="24" s="1"/>
  <c r="BN144" i="25"/>
  <c r="I71" i="25"/>
  <c r="BN71" i="25"/>
  <c r="AM263" i="24"/>
  <c r="CE263" i="24"/>
  <c r="H263" i="24"/>
  <c r="BO263" i="24"/>
  <c r="BR263" i="24" s="1"/>
  <c r="K104" i="24"/>
  <c r="H104" i="24"/>
  <c r="AM104" i="24"/>
  <c r="I104" i="24"/>
  <c r="BO104" i="24"/>
  <c r="BR104" i="24" s="1"/>
  <c r="I10" i="25"/>
  <c r="BN281" i="25"/>
  <c r="I122" i="25"/>
  <c r="BN122" i="25"/>
  <c r="BM304" i="25"/>
  <c r="BM153" i="25"/>
  <c r="BQ153" i="25" s="1"/>
  <c r="BO248" i="24"/>
  <c r="BR248" i="24" s="1"/>
  <c r="J117" i="25"/>
  <c r="L117" i="25" s="1"/>
  <c r="J15" i="25"/>
  <c r="L15" i="25" s="1"/>
  <c r="I25" i="24"/>
  <c r="M25" i="24" s="1"/>
  <c r="N25" i="24" s="1"/>
  <c r="I112" i="24"/>
  <c r="I263" i="24"/>
  <c r="J171" i="25"/>
  <c r="L171" i="25" s="1"/>
  <c r="I102" i="25"/>
  <c r="BN102" i="25"/>
  <c r="I262" i="25"/>
  <c r="BN262" i="25"/>
  <c r="BQ262" i="25" s="1"/>
  <c r="BN86" i="25"/>
  <c r="I86" i="25"/>
  <c r="AL281" i="25"/>
  <c r="CC281" i="25"/>
  <c r="H281" i="25"/>
  <c r="BM281" i="25"/>
  <c r="J281" i="25"/>
  <c r="L281" i="25" s="1"/>
  <c r="BN25" i="25"/>
  <c r="I25" i="25"/>
  <c r="H144" i="24"/>
  <c r="CF144" i="24"/>
  <c r="CE144" i="24"/>
  <c r="AM144" i="24"/>
  <c r="I144" i="24"/>
  <c r="BO144" i="24"/>
  <c r="BR144" i="24" s="1"/>
  <c r="H92" i="25"/>
  <c r="AL92" i="25"/>
  <c r="CC92" i="25"/>
  <c r="J92" i="25"/>
  <c r="N92" i="25" s="1"/>
  <c r="AM222" i="24"/>
  <c r="H222" i="24"/>
  <c r="CE222" i="24"/>
  <c r="CF222" i="24"/>
  <c r="I222" i="24"/>
  <c r="BO222" i="24"/>
  <c r="BR222" i="24" s="1"/>
  <c r="H154" i="24"/>
  <c r="CF154" i="24"/>
  <c r="CE154" i="24"/>
  <c r="AM154" i="24"/>
  <c r="I154" i="24"/>
  <c r="CC238" i="25"/>
  <c r="H238" i="25"/>
  <c r="AL238" i="25"/>
  <c r="J238" i="25"/>
  <c r="N238" i="25" s="1"/>
  <c r="BM238" i="25"/>
  <c r="H175" i="25"/>
  <c r="AL175" i="25"/>
  <c r="CC175" i="25"/>
  <c r="BM175" i="25"/>
  <c r="J175" i="25"/>
  <c r="CC142" i="25"/>
  <c r="H142" i="25"/>
  <c r="AL142" i="25"/>
  <c r="BM142" i="25"/>
  <c r="J142" i="25"/>
  <c r="L142" i="25" s="1"/>
  <c r="I14" i="25"/>
  <c r="BN14" i="25"/>
  <c r="AL12" i="25"/>
  <c r="CC12" i="25"/>
  <c r="H12" i="25"/>
  <c r="CF12" i="25"/>
  <c r="CE12" i="25"/>
  <c r="J12" i="25"/>
  <c r="L12" i="25" s="1"/>
  <c r="BM12" i="25"/>
  <c r="CE231" i="24"/>
  <c r="CF231" i="24"/>
  <c r="H231" i="24"/>
  <c r="AM231" i="24"/>
  <c r="I231" i="24"/>
  <c r="M231" i="24" s="1"/>
  <c r="BO231" i="24"/>
  <c r="BR231" i="24" s="1"/>
  <c r="AM27" i="24"/>
  <c r="CF27" i="24"/>
  <c r="K27" i="24"/>
  <c r="CE27" i="24"/>
  <c r="H27" i="24"/>
  <c r="I27" i="24"/>
  <c r="M27" i="24" s="1"/>
  <c r="N27" i="24" s="1"/>
  <c r="BO27" i="24"/>
  <c r="BR27" i="24" s="1"/>
  <c r="AM245" i="24"/>
  <c r="H245" i="24"/>
  <c r="CE245" i="24"/>
  <c r="I245" i="24"/>
  <c r="AM34" i="24"/>
  <c r="CE34" i="24"/>
  <c r="CF34" i="24"/>
  <c r="K34" i="24"/>
  <c r="H34" i="24"/>
  <c r="BO34" i="24"/>
  <c r="BR34" i="24" s="1"/>
  <c r="I34" i="24"/>
  <c r="AM92" i="24"/>
  <c r="K92" i="24"/>
  <c r="H92" i="24"/>
  <c r="BO92" i="24"/>
  <c r="BR92" i="24" s="1"/>
  <c r="I92" i="24"/>
  <c r="AL87" i="25"/>
  <c r="CF87" i="25"/>
  <c r="CE87" i="25"/>
  <c r="H87" i="25"/>
  <c r="CC87" i="25"/>
  <c r="AL82" i="25"/>
  <c r="CC82" i="25"/>
  <c r="H82" i="25"/>
  <c r="J82" i="25"/>
  <c r="N82" i="25" s="1"/>
  <c r="H150" i="25"/>
  <c r="AL150" i="25"/>
  <c r="CC150" i="25"/>
  <c r="BM150" i="25"/>
  <c r="J150" i="25"/>
  <c r="L150" i="25" s="1"/>
  <c r="BN32" i="25"/>
  <c r="I32" i="25"/>
  <c r="H99" i="25"/>
  <c r="AL99" i="25"/>
  <c r="CC99" i="25"/>
  <c r="CF99" i="25"/>
  <c r="CE99" i="25"/>
  <c r="J99" i="25"/>
  <c r="L99" i="25" s="1"/>
  <c r="BM99" i="25"/>
  <c r="I49" i="25"/>
  <c r="BN49" i="25"/>
  <c r="H297" i="25"/>
  <c r="AL297" i="25"/>
  <c r="CC297" i="25"/>
  <c r="J297" i="25"/>
  <c r="BM297" i="25"/>
  <c r="H269" i="24"/>
  <c r="AM269" i="24"/>
  <c r="CE269" i="24"/>
  <c r="I269" i="24"/>
  <c r="BO269" i="24"/>
  <c r="BR269" i="24" s="1"/>
  <c r="AM182" i="24"/>
  <c r="H182" i="24"/>
  <c r="I182" i="24"/>
  <c r="M182" i="24" s="1"/>
  <c r="N182" i="24" s="1"/>
  <c r="BO182" i="24"/>
  <c r="BR182" i="24" s="1"/>
  <c r="H76" i="24"/>
  <c r="CE76" i="24"/>
  <c r="CF76" i="24"/>
  <c r="AM76" i="24"/>
  <c r="K76" i="24"/>
  <c r="I76" i="24"/>
  <c r="M76" i="24" s="1"/>
  <c r="N76" i="24" s="1"/>
  <c r="BO76" i="24"/>
  <c r="BR76" i="24" s="1"/>
  <c r="K16" i="24"/>
  <c r="H16" i="24"/>
  <c r="AM16" i="24"/>
  <c r="CF16" i="24"/>
  <c r="CE16" i="24"/>
  <c r="I16" i="24"/>
  <c r="M16" i="24" s="1"/>
  <c r="BO16" i="24"/>
  <c r="BR16" i="24" s="1"/>
  <c r="H141" i="24"/>
  <c r="CF141" i="24"/>
  <c r="CE141" i="24"/>
  <c r="AM141" i="24"/>
  <c r="I141" i="24"/>
  <c r="K141" i="24" s="1"/>
  <c r="BO141" i="24"/>
  <c r="BR141" i="24" s="1"/>
  <c r="CF164" i="24"/>
  <c r="CE164" i="24"/>
  <c r="AM164" i="24"/>
  <c r="H164" i="24"/>
  <c r="I164" i="24"/>
  <c r="K164" i="24" s="1"/>
  <c r="K73" i="24"/>
  <c r="H73" i="24"/>
  <c r="AM73" i="24"/>
  <c r="I73" i="24"/>
  <c r="BO73" i="24"/>
  <c r="BR73" i="24" s="1"/>
  <c r="BM247" i="25"/>
  <c r="BQ247" i="25" s="1"/>
  <c r="CC130" i="25"/>
  <c r="AL130" i="25"/>
  <c r="H130" i="25"/>
  <c r="J130" i="25"/>
  <c r="L130" i="25" s="1"/>
  <c r="BM130" i="25"/>
  <c r="BQ130" i="25" s="1"/>
  <c r="H197" i="25"/>
  <c r="AL197" i="25"/>
  <c r="CC197" i="25"/>
  <c r="J197" i="25"/>
  <c r="BM197" i="25"/>
  <c r="BQ197" i="25" s="1"/>
  <c r="H104" i="25"/>
  <c r="AL104" i="25"/>
  <c r="CC104" i="25"/>
  <c r="BM104" i="25"/>
  <c r="H219" i="25"/>
  <c r="AL219" i="25"/>
  <c r="CC219" i="25"/>
  <c r="J219" i="25"/>
  <c r="L219" i="25" s="1"/>
  <c r="BM219" i="25"/>
  <c r="BN73" i="25"/>
  <c r="I73" i="25"/>
  <c r="AL271" i="25"/>
  <c r="H271" i="25"/>
  <c r="CC271" i="25"/>
  <c r="BM271" i="25"/>
  <c r="J271" i="25"/>
  <c r="L271" i="25" s="1"/>
  <c r="H137" i="24"/>
  <c r="AM137" i="24"/>
  <c r="BO137" i="24"/>
  <c r="BR137" i="24" s="1"/>
  <c r="I137" i="24"/>
  <c r="K137" i="24" s="1"/>
  <c r="H265" i="25"/>
  <c r="AL265" i="25"/>
  <c r="CC265" i="25"/>
  <c r="BM265" i="25"/>
  <c r="BK7" i="24"/>
  <c r="S7" i="24"/>
  <c r="T7" i="24" s="1"/>
  <c r="BK190" i="24"/>
  <c r="S190" i="24"/>
  <c r="T190" i="24" s="1"/>
  <c r="BO161" i="24"/>
  <c r="BR161" i="24" s="1"/>
  <c r="I226" i="25"/>
  <c r="BN226" i="25"/>
  <c r="I217" i="25"/>
  <c r="CF253" i="24"/>
  <c r="AM253" i="24"/>
  <c r="H253" i="24"/>
  <c r="CE253" i="24"/>
  <c r="I253" i="24"/>
  <c r="K253" i="24" s="1"/>
  <c r="BO253" i="24"/>
  <c r="BR253" i="24" s="1"/>
  <c r="H157" i="24"/>
  <c r="AM157" i="24"/>
  <c r="I157" i="24"/>
  <c r="K157" i="24" s="1"/>
  <c r="BO157" i="24"/>
  <c r="BR157" i="24" s="1"/>
  <c r="I264" i="25"/>
  <c r="BO306" i="24"/>
  <c r="BR306" i="24" s="1"/>
  <c r="J126" i="25"/>
  <c r="J174" i="25"/>
  <c r="N174" i="25" s="1"/>
  <c r="J73" i="25"/>
  <c r="L73" i="25" s="1"/>
  <c r="AM179" i="24"/>
  <c r="H179" i="24"/>
  <c r="H309" i="24"/>
  <c r="CE309" i="24"/>
  <c r="AM309" i="24"/>
  <c r="I309" i="24"/>
  <c r="K309" i="24" s="1"/>
  <c r="H232" i="24"/>
  <c r="AM232" i="24"/>
  <c r="CE232" i="24"/>
  <c r="I232" i="24"/>
  <c r="K232" i="24" s="1"/>
  <c r="CF304" i="24"/>
  <c r="AM304" i="24"/>
  <c r="H304" i="24"/>
  <c r="I304" i="24"/>
  <c r="K304" i="24" s="1"/>
  <c r="AL30" i="25"/>
  <c r="CC30" i="25"/>
  <c r="H30" i="25"/>
  <c r="J30" i="25"/>
  <c r="N30" i="25" s="1"/>
  <c r="H300" i="25"/>
  <c r="CC300" i="25"/>
  <c r="AL300" i="25"/>
  <c r="H266" i="25"/>
  <c r="AL266" i="25"/>
  <c r="CC266" i="25"/>
  <c r="CF176" i="24"/>
  <c r="CE176" i="24"/>
  <c r="AM176" i="24"/>
  <c r="H176" i="24"/>
  <c r="AM118" i="24"/>
  <c r="H118" i="24"/>
  <c r="H117" i="24"/>
  <c r="AM117" i="24"/>
  <c r="I117" i="24"/>
  <c r="AM12" i="24"/>
  <c r="K12" i="24"/>
  <c r="CE12" i="24"/>
  <c r="H12" i="24"/>
  <c r="CF12" i="24"/>
  <c r="CE266" i="24"/>
  <c r="CF266" i="24"/>
  <c r="H266" i="24"/>
  <c r="AM266" i="24"/>
  <c r="I266" i="24"/>
  <c r="K266" i="24" s="1"/>
  <c r="H225" i="24"/>
  <c r="AM225" i="24"/>
  <c r="I225" i="24"/>
  <c r="M225" i="24" s="1"/>
  <c r="N225" i="24" s="1"/>
  <c r="AM286" i="24"/>
  <c r="H286" i="24"/>
  <c r="CE286" i="24"/>
  <c r="I286" i="24"/>
  <c r="K286" i="24" s="1"/>
  <c r="AM41" i="24"/>
  <c r="CF41" i="24"/>
  <c r="CE41" i="24"/>
  <c r="K41" i="24"/>
  <c r="H41" i="24"/>
  <c r="BN34" i="25"/>
  <c r="BQ34" i="25" s="1"/>
  <c r="I34" i="25"/>
  <c r="H129" i="25"/>
  <c r="AL129" i="25"/>
  <c r="CC129" i="25"/>
  <c r="CC245" i="25"/>
  <c r="AL245" i="25"/>
  <c r="H245" i="25"/>
  <c r="CC105" i="25"/>
  <c r="AL105" i="25"/>
  <c r="H105" i="25"/>
  <c r="AL236" i="25"/>
  <c r="CC236" i="25"/>
  <c r="H236" i="25"/>
  <c r="J236" i="25"/>
  <c r="L236" i="25" s="1"/>
  <c r="CC145" i="25"/>
  <c r="H145" i="25"/>
  <c r="AL145" i="25"/>
  <c r="K22" i="24"/>
  <c r="H22" i="24"/>
  <c r="AM22" i="24"/>
  <c r="CE224" i="24"/>
  <c r="AM224" i="24"/>
  <c r="H224" i="24"/>
  <c r="AM143" i="24"/>
  <c r="H143" i="24"/>
  <c r="CE143" i="24"/>
  <c r="CF143" i="24"/>
  <c r="BN93" i="25"/>
  <c r="BQ93" i="25" s="1"/>
  <c r="I93" i="25"/>
  <c r="BN63" i="25"/>
  <c r="BQ63" i="25" s="1"/>
  <c r="I63" i="25"/>
  <c r="BN192" i="25"/>
  <c r="I192" i="25"/>
  <c r="J71" i="25"/>
  <c r="N71" i="25" s="1"/>
  <c r="BO12" i="24"/>
  <c r="BR12" i="24" s="1"/>
  <c r="BM94" i="25"/>
  <c r="BM162" i="25"/>
  <c r="BM169" i="25"/>
  <c r="BQ169" i="25" s="1"/>
  <c r="BO162" i="24"/>
  <c r="BR162" i="24" s="1"/>
  <c r="J125" i="25"/>
  <c r="L125" i="25" s="1"/>
  <c r="J203" i="25"/>
  <c r="L203" i="25" s="1"/>
  <c r="J13" i="25"/>
  <c r="N13" i="25" s="1"/>
  <c r="I147" i="24"/>
  <c r="M147" i="24" s="1"/>
  <c r="N147" i="24" s="1"/>
  <c r="I130" i="24"/>
  <c r="M130" i="24" s="1"/>
  <c r="BM13" i="25"/>
  <c r="BO119" i="24"/>
  <c r="BR119" i="24" s="1"/>
  <c r="BO33" i="24"/>
  <c r="BR33" i="24" s="1"/>
  <c r="BO19" i="24"/>
  <c r="BR19" i="24" s="1"/>
  <c r="BM8" i="25"/>
  <c r="BQ8" i="25" s="1"/>
  <c r="BM129" i="25"/>
  <c r="BO256" i="24"/>
  <c r="BR256" i="24" s="1"/>
  <c r="BO82" i="24"/>
  <c r="BR82" i="24" s="1"/>
  <c r="BO116" i="24"/>
  <c r="BR116" i="24" s="1"/>
  <c r="BO280" i="24"/>
  <c r="BR280" i="24" s="1"/>
  <c r="BO247" i="24"/>
  <c r="BR247" i="24" s="1"/>
  <c r="BM270" i="25"/>
  <c r="BM71" i="25"/>
  <c r="BM206" i="25"/>
  <c r="BQ206" i="25" s="1"/>
  <c r="I205" i="24"/>
  <c r="M205" i="24" s="1"/>
  <c r="N205" i="24" s="1"/>
  <c r="I116" i="24"/>
  <c r="M116" i="24" s="1"/>
  <c r="I97" i="24"/>
  <c r="M97" i="24" s="1"/>
  <c r="I194" i="24"/>
  <c r="K194" i="24" s="1"/>
  <c r="AM282" i="24"/>
  <c r="CE282" i="24"/>
  <c r="CF282" i="24"/>
  <c r="H282" i="24"/>
  <c r="I282" i="24"/>
  <c r="K282" i="24" s="1"/>
  <c r="AM126" i="24"/>
  <c r="H126" i="24"/>
  <c r="I126" i="24"/>
  <c r="AM102" i="24"/>
  <c r="K102" i="24"/>
  <c r="H102" i="24"/>
  <c r="I102" i="24"/>
  <c r="AL218" i="25"/>
  <c r="CC218" i="25"/>
  <c r="H218" i="25"/>
  <c r="J218" i="25"/>
  <c r="L218" i="25" s="1"/>
  <c r="CC176" i="25"/>
  <c r="AL176" i="25"/>
  <c r="H176" i="25"/>
  <c r="I126" i="25"/>
  <c r="BN126" i="25"/>
  <c r="H74" i="25"/>
  <c r="CC74" i="25"/>
  <c r="AL74" i="25"/>
  <c r="BN204" i="25"/>
  <c r="BN62" i="25"/>
  <c r="H120" i="25"/>
  <c r="AL120" i="25"/>
  <c r="CC120" i="25"/>
  <c r="J120" i="25"/>
  <c r="L120" i="25" s="1"/>
  <c r="CC194" i="25"/>
  <c r="AL194" i="25"/>
  <c r="H194" i="25"/>
  <c r="AL132" i="25"/>
  <c r="CC132" i="25"/>
  <c r="H132" i="25"/>
  <c r="CC208" i="25"/>
  <c r="AL208" i="25"/>
  <c r="H208" i="25"/>
  <c r="J208" i="25"/>
  <c r="L208" i="25" s="1"/>
  <c r="H55" i="24"/>
  <c r="K55" i="24"/>
  <c r="AM55" i="24"/>
  <c r="H63" i="24"/>
  <c r="K63" i="24"/>
  <c r="AM63" i="24"/>
  <c r="CF63" i="24"/>
  <c r="CE63" i="24"/>
  <c r="I63" i="24"/>
  <c r="K103" i="24"/>
  <c r="H103" i="24"/>
  <c r="AM103" i="24"/>
  <c r="I103" i="24"/>
  <c r="CF131" i="24"/>
  <c r="H131" i="24"/>
  <c r="AM131" i="24"/>
  <c r="CE131" i="24"/>
  <c r="I131" i="24"/>
  <c r="K131" i="24" s="1"/>
  <c r="H188" i="25"/>
  <c r="AL188" i="25"/>
  <c r="CC188" i="25"/>
  <c r="J188" i="25"/>
  <c r="L188" i="25" s="1"/>
  <c r="BN59" i="25"/>
  <c r="BN31" i="25"/>
  <c r="I6" i="25"/>
  <c r="BN6" i="25"/>
  <c r="BQ6" i="25" s="1"/>
  <c r="BN165" i="25"/>
  <c r="I165" i="25"/>
  <c r="CF198" i="24"/>
  <c r="AM198" i="24"/>
  <c r="CE198" i="24"/>
  <c r="H198" i="24"/>
  <c r="CE267" i="24"/>
  <c r="H267" i="24"/>
  <c r="AM267" i="24"/>
  <c r="H146" i="24"/>
  <c r="CF146" i="24"/>
  <c r="CE146" i="24"/>
  <c r="AM146" i="24"/>
  <c r="AM100" i="24"/>
  <c r="CE100" i="24"/>
  <c r="CF100" i="24"/>
  <c r="H100" i="24"/>
  <c r="K100" i="24"/>
  <c r="I100" i="24"/>
  <c r="H314" i="24"/>
  <c r="CF314" i="24"/>
  <c r="AM314" i="24"/>
  <c r="CE314" i="24"/>
  <c r="I314" i="24"/>
  <c r="H186" i="24"/>
  <c r="AM186" i="24"/>
  <c r="H99" i="24"/>
  <c r="AM99" i="24"/>
  <c r="CF99" i="24"/>
  <c r="K99" i="24"/>
  <c r="CE99" i="24"/>
  <c r="I99" i="24"/>
  <c r="CF125" i="24"/>
  <c r="CE125" i="24"/>
  <c r="AM125" i="24"/>
  <c r="H125" i="24"/>
  <c r="CE39" i="24"/>
  <c r="K39" i="24"/>
  <c r="AM39" i="24"/>
  <c r="H39" i="24"/>
  <c r="CF39" i="24"/>
  <c r="H296" i="24"/>
  <c r="AM296" i="24"/>
  <c r="CE296" i="24"/>
  <c r="CF296" i="24"/>
  <c r="AM75" i="24"/>
  <c r="K75" i="24"/>
  <c r="H75" i="24"/>
  <c r="CE75" i="24"/>
  <c r="CF75" i="24"/>
  <c r="CF38" i="24"/>
  <c r="CE38" i="24"/>
  <c r="K38" i="24"/>
  <c r="H38" i="24"/>
  <c r="AM38" i="24"/>
  <c r="I38" i="24"/>
  <c r="CF259" i="24"/>
  <c r="AM259" i="24"/>
  <c r="H259" i="24"/>
  <c r="CE259" i="24"/>
  <c r="I259" i="24"/>
  <c r="K259" i="24" s="1"/>
  <c r="AM261" i="24"/>
  <c r="H261" i="24"/>
  <c r="CE261" i="24"/>
  <c r="CF261" i="24"/>
  <c r="K74" i="24"/>
  <c r="AM74" i="24"/>
  <c r="H74" i="24"/>
  <c r="H277" i="24"/>
  <c r="CF277" i="24"/>
  <c r="AM277" i="24"/>
  <c r="I277" i="24"/>
  <c r="AL53" i="25"/>
  <c r="CC53" i="25"/>
  <c r="CE53" i="25"/>
  <c r="CF53" i="25"/>
  <c r="H53" i="25"/>
  <c r="J53" i="25"/>
  <c r="L53" i="25" s="1"/>
  <c r="CE11" i="25"/>
  <c r="AL11" i="25"/>
  <c r="CC11" i="25"/>
  <c r="H11" i="25"/>
  <c r="CF11" i="25"/>
  <c r="CC279" i="25"/>
  <c r="H279" i="25"/>
  <c r="AL279" i="25"/>
  <c r="I195" i="25"/>
  <c r="BN195" i="25"/>
  <c r="H157" i="25"/>
  <c r="AL157" i="25"/>
  <c r="CC157" i="25"/>
  <c r="AL163" i="25"/>
  <c r="CC163" i="25"/>
  <c r="H163" i="25"/>
  <c r="H190" i="25"/>
  <c r="AL190" i="25"/>
  <c r="CC190" i="25"/>
  <c r="I53" i="25"/>
  <c r="AM241" i="24"/>
  <c r="H241" i="24"/>
  <c r="CE241" i="24"/>
  <c r="I241" i="24"/>
  <c r="AL137" i="25"/>
  <c r="CC137" i="25"/>
  <c r="H137" i="25"/>
  <c r="BO170" i="24"/>
  <c r="BR170" i="24" s="1"/>
  <c r="BO190" i="24"/>
  <c r="BR190" i="24" s="1"/>
  <c r="J145" i="25"/>
  <c r="J165" i="25"/>
  <c r="L165" i="25" s="1"/>
  <c r="BO102" i="24"/>
  <c r="BR102" i="24" s="1"/>
  <c r="BO142" i="24"/>
  <c r="BR142" i="24" s="1"/>
  <c r="BM26" i="25"/>
  <c r="BQ26" i="25" s="1"/>
  <c r="BM11" i="25"/>
  <c r="BO179" i="24"/>
  <c r="BR179" i="24" s="1"/>
  <c r="BO143" i="24"/>
  <c r="BR143" i="24" s="1"/>
  <c r="J246" i="25"/>
  <c r="N246" i="25" s="1"/>
  <c r="I71" i="24"/>
  <c r="J210" i="25"/>
  <c r="L210" i="25" s="1"/>
  <c r="I74" i="24"/>
  <c r="I39" i="24"/>
  <c r="I179" i="24"/>
  <c r="I206" i="24"/>
  <c r="K206" i="24" s="1"/>
  <c r="I146" i="24"/>
  <c r="K146" i="24" s="1"/>
  <c r="I198" i="24"/>
  <c r="K198" i="24" s="1"/>
  <c r="I176" i="24"/>
  <c r="I12" i="24"/>
  <c r="CE247" i="24"/>
  <c r="CF247" i="24"/>
  <c r="H247" i="24"/>
  <c r="AM247" i="24"/>
  <c r="I247" i="24"/>
  <c r="K247" i="24" s="1"/>
  <c r="CF20" i="24"/>
  <c r="K20" i="24"/>
  <c r="H20" i="24"/>
  <c r="AM20" i="24"/>
  <c r="CE20" i="24"/>
  <c r="CF195" i="24"/>
  <c r="AM195" i="24"/>
  <c r="CE195" i="24"/>
  <c r="H195" i="24"/>
  <c r="AL177" i="25"/>
  <c r="H177" i="25"/>
  <c r="CC177" i="25"/>
  <c r="CE295" i="24"/>
  <c r="CF295" i="24"/>
  <c r="AM295" i="24"/>
  <c r="H295" i="24"/>
  <c r="I295" i="24"/>
  <c r="K295" i="24" s="1"/>
  <c r="AM122" i="24"/>
  <c r="CF122" i="24"/>
  <c r="CE122" i="24"/>
  <c r="H122" i="24"/>
  <c r="CF255" i="24"/>
  <c r="AM255" i="24"/>
  <c r="CE255" i="24"/>
  <c r="H255" i="24"/>
  <c r="I255" i="24"/>
  <c r="K255" i="24" s="1"/>
  <c r="AM19" i="24"/>
  <c r="CF19" i="24"/>
  <c r="CE19" i="24"/>
  <c r="K19" i="24"/>
  <c r="H19" i="24"/>
  <c r="I19" i="24"/>
  <c r="M19" i="24" s="1"/>
  <c r="H307" i="24"/>
  <c r="AM307" i="24"/>
  <c r="I307" i="24"/>
  <c r="M307" i="24" s="1"/>
  <c r="N307" i="24" s="1"/>
  <c r="AM167" i="24"/>
  <c r="CF167" i="24"/>
  <c r="CE167" i="24"/>
  <c r="H167" i="24"/>
  <c r="I167" i="24"/>
  <c r="K167" i="24" s="1"/>
  <c r="CC70" i="25"/>
  <c r="AL70" i="25"/>
  <c r="CE70" i="25"/>
  <c r="CF70" i="25"/>
  <c r="H70" i="25"/>
  <c r="CE37" i="25"/>
  <c r="CF37" i="25"/>
  <c r="CC37" i="25"/>
  <c r="AL37" i="25"/>
  <c r="H37" i="25"/>
  <c r="J37" i="25"/>
  <c r="BN152" i="25"/>
  <c r="BQ152" i="25" s="1"/>
  <c r="I152" i="25"/>
  <c r="CC182" i="25"/>
  <c r="H182" i="25"/>
  <c r="AL182" i="25"/>
  <c r="CE276" i="24"/>
  <c r="AM276" i="24"/>
  <c r="H276" i="24"/>
  <c r="I276" i="24"/>
  <c r="K276" i="24" s="1"/>
  <c r="CF280" i="24"/>
  <c r="H280" i="24"/>
  <c r="AM280" i="24"/>
  <c r="CE280" i="24"/>
  <c r="I280" i="24"/>
  <c r="AM191" i="24"/>
  <c r="K191" i="24"/>
  <c r="H191" i="24"/>
  <c r="CE133" i="24"/>
  <c r="H133" i="24"/>
  <c r="CF133" i="24"/>
  <c r="AM133" i="24"/>
  <c r="I133" i="24"/>
  <c r="M133" i="24" s="1"/>
  <c r="N133" i="24" s="1"/>
  <c r="CF251" i="24"/>
  <c r="H251" i="24"/>
  <c r="AM251" i="24"/>
  <c r="I251" i="24"/>
  <c r="K251" i="24" s="1"/>
  <c r="CF192" i="24"/>
  <c r="CE192" i="24"/>
  <c r="AM192" i="24"/>
  <c r="H192" i="24"/>
  <c r="I192" i="24"/>
  <c r="H129" i="24"/>
  <c r="CF129" i="24"/>
  <c r="CE129" i="24"/>
  <c r="AM129" i="24"/>
  <c r="K6" i="24"/>
  <c r="H6" i="24"/>
  <c r="AM6" i="24"/>
  <c r="I6" i="24"/>
  <c r="M6" i="24" s="1"/>
  <c r="N6" i="24" s="1"/>
  <c r="M21" i="24"/>
  <c r="N21" i="24" s="1"/>
  <c r="CF190" i="24"/>
  <c r="CE190" i="24"/>
  <c r="K190" i="24"/>
  <c r="AM190" i="24"/>
  <c r="H190" i="24"/>
  <c r="BO232" i="24"/>
  <c r="BR232" i="24" s="1"/>
  <c r="BN279" i="25"/>
  <c r="BQ279" i="25" s="1"/>
  <c r="CF58" i="25"/>
  <c r="CE58" i="25"/>
  <c r="AL58" i="25"/>
  <c r="CC58" i="25"/>
  <c r="H58" i="25"/>
  <c r="J58" i="25"/>
  <c r="H241" i="25"/>
  <c r="AL241" i="25"/>
  <c r="CC241" i="25"/>
  <c r="H9" i="25"/>
  <c r="CE9" i="25"/>
  <c r="CF9" i="25"/>
  <c r="AL9" i="25"/>
  <c r="CC9" i="25"/>
  <c r="H125" i="25"/>
  <c r="AL125" i="25"/>
  <c r="CC125" i="25"/>
  <c r="I29" i="25"/>
  <c r="M22" i="24"/>
  <c r="N22" i="24" s="1"/>
  <c r="H223" i="24"/>
  <c r="CE223" i="24"/>
  <c r="CF223" i="24"/>
  <c r="AM223" i="24"/>
  <c r="I223" i="24"/>
  <c r="K223" i="24" s="1"/>
  <c r="AM111" i="24"/>
  <c r="H111" i="24"/>
  <c r="J315" i="25"/>
  <c r="L315" i="25" s="1"/>
  <c r="J44" i="25"/>
  <c r="L44" i="25" s="1"/>
  <c r="BO286" i="24"/>
  <c r="BR286" i="24" s="1"/>
  <c r="I285" i="24"/>
  <c r="K285" i="24" s="1"/>
  <c r="J182" i="25"/>
  <c r="J279" i="25"/>
  <c r="J241" i="25"/>
  <c r="BM23" i="25"/>
  <c r="BQ23" i="25" s="1"/>
  <c r="J157" i="25"/>
  <c r="J81" i="25"/>
  <c r="L81" i="25" s="1"/>
  <c r="BO99" i="24"/>
  <c r="BR99" i="24" s="1"/>
  <c r="BM160" i="25"/>
  <c r="BQ160" i="25" s="1"/>
  <c r="J105" i="25"/>
  <c r="L105" i="25" s="1"/>
  <c r="J176" i="25"/>
  <c r="BO132" i="24"/>
  <c r="BR132" i="24" s="1"/>
  <c r="BM105" i="25"/>
  <c r="BO103" i="24"/>
  <c r="BR103" i="24" s="1"/>
  <c r="BO133" i="24"/>
  <c r="BR133" i="24" s="1"/>
  <c r="BO38" i="24"/>
  <c r="BR38" i="24" s="1"/>
  <c r="BM300" i="25"/>
  <c r="BQ300" i="25" s="1"/>
  <c r="BM194" i="25"/>
  <c r="I118" i="24"/>
  <c r="K118" i="24" s="1"/>
  <c r="BM9" i="25"/>
  <c r="BO191" i="24"/>
  <c r="BR191" i="24" s="1"/>
  <c r="BO276" i="24"/>
  <c r="BR276" i="24" s="1"/>
  <c r="BO266" i="24"/>
  <c r="BR266" i="24" s="1"/>
  <c r="BO224" i="24"/>
  <c r="BR224" i="24" s="1"/>
  <c r="I129" i="24"/>
  <c r="M129" i="24" s="1"/>
  <c r="N129" i="24" s="1"/>
  <c r="AL73" i="25"/>
  <c r="H73" i="25"/>
  <c r="CF73" i="25"/>
  <c r="CE73" i="25"/>
  <c r="CC73" i="25"/>
  <c r="AL246" i="25"/>
  <c r="CC246" i="25"/>
  <c r="H246" i="25"/>
  <c r="BN120" i="25"/>
  <c r="BN194" i="25"/>
  <c r="BN132" i="25"/>
  <c r="BN208" i="25"/>
  <c r="H116" i="24"/>
  <c r="CF116" i="24"/>
  <c r="AM116" i="24"/>
  <c r="CE116" i="24"/>
  <c r="CE256" i="24"/>
  <c r="H256" i="24"/>
  <c r="AM256" i="24"/>
  <c r="I256" i="24"/>
  <c r="AM205" i="24"/>
  <c r="H205" i="24"/>
  <c r="CC232" i="25"/>
  <c r="H232" i="25"/>
  <c r="AL232" i="25"/>
  <c r="J232" i="25"/>
  <c r="N232" i="25" s="1"/>
  <c r="CC180" i="25"/>
  <c r="H180" i="25"/>
  <c r="AL180" i="25"/>
  <c r="CC210" i="25"/>
  <c r="AL210" i="25"/>
  <c r="H210" i="25"/>
  <c r="H163" i="24"/>
  <c r="AM163" i="24"/>
  <c r="I163" i="24"/>
  <c r="M163" i="24" s="1"/>
  <c r="N163" i="24" s="1"/>
  <c r="CF302" i="24"/>
  <c r="AM302" i="24"/>
  <c r="H302" i="24"/>
  <c r="I302" i="24"/>
  <c r="K302" i="24" s="1"/>
  <c r="K50" i="24"/>
  <c r="H50" i="24"/>
  <c r="AM50" i="24"/>
  <c r="CF50" i="24"/>
  <c r="CE50" i="24"/>
  <c r="AM162" i="24"/>
  <c r="K162" i="24"/>
  <c r="H162" i="24"/>
  <c r="H56" i="24"/>
  <c r="AM56" i="24"/>
  <c r="K56" i="24"/>
  <c r="H21" i="24"/>
  <c r="K21" i="24"/>
  <c r="AM21" i="24"/>
  <c r="BM177" i="25"/>
  <c r="BM266" i="25"/>
  <c r="BQ266" i="25" s="1"/>
  <c r="AL226" i="25"/>
  <c r="CC226" i="25"/>
  <c r="H226" i="25"/>
  <c r="BN157" i="25"/>
  <c r="BN163" i="25"/>
  <c r="CC162" i="25"/>
  <c r="AL162" i="25"/>
  <c r="H162" i="25"/>
  <c r="BN190" i="25"/>
  <c r="AL16" i="25"/>
  <c r="CC16" i="25"/>
  <c r="H16" i="25"/>
  <c r="CF16" i="25"/>
  <c r="CE16" i="25"/>
  <c r="AL71" i="25"/>
  <c r="H71" i="25"/>
  <c r="CC71" i="25"/>
  <c r="H42" i="25"/>
  <c r="AL42" i="25"/>
  <c r="CC42" i="25"/>
  <c r="CE42" i="25"/>
  <c r="CF42" i="25"/>
  <c r="K96" i="24"/>
  <c r="H96" i="24"/>
  <c r="AM96" i="24"/>
  <c r="CF96" i="24"/>
  <c r="CE96" i="24"/>
  <c r="AM97" i="24"/>
  <c r="H97" i="24"/>
  <c r="K97" i="24"/>
  <c r="CF145" i="24"/>
  <c r="CE145" i="24"/>
  <c r="AM145" i="24"/>
  <c r="H145" i="24"/>
  <c r="I145" i="24"/>
  <c r="H138" i="24"/>
  <c r="CF138" i="24"/>
  <c r="AM138" i="24"/>
  <c r="CE138" i="24"/>
  <c r="AL122" i="25"/>
  <c r="CC122" i="25"/>
  <c r="H122" i="25"/>
  <c r="J122" i="25"/>
  <c r="L122" i="25" s="1"/>
  <c r="BM73" i="25"/>
  <c r="BO21" i="24"/>
  <c r="BR21" i="24" s="1"/>
  <c r="BO39" i="24"/>
  <c r="BR39" i="24" s="1"/>
  <c r="BO225" i="24"/>
  <c r="BR225" i="24" s="1"/>
  <c r="BM195" i="25"/>
  <c r="BO295" i="24"/>
  <c r="BR295" i="24" s="1"/>
  <c r="BO309" i="24"/>
  <c r="BR309" i="24" s="1"/>
  <c r="J300" i="25"/>
  <c r="L300" i="25" s="1"/>
  <c r="J245" i="25"/>
  <c r="J137" i="25"/>
  <c r="J6" i="25"/>
  <c r="N6" i="25" s="1"/>
  <c r="T6" i="25" s="1"/>
  <c r="BM52" i="25"/>
  <c r="BO186" i="24"/>
  <c r="BR186" i="24" s="1"/>
  <c r="BO176" i="24"/>
  <c r="BR176" i="24" s="1"/>
  <c r="J23" i="25"/>
  <c r="L23" i="25" s="1"/>
  <c r="I20" i="24"/>
  <c r="I111" i="24"/>
  <c r="J163" i="25"/>
  <c r="J180" i="25"/>
  <c r="J132" i="25"/>
  <c r="J74" i="25"/>
  <c r="L74" i="25" s="1"/>
  <c r="I195" i="24"/>
  <c r="K195" i="24" s="1"/>
  <c r="J206" i="25"/>
  <c r="N206" i="25" s="1"/>
  <c r="H291" i="24"/>
  <c r="AM291" i="24"/>
  <c r="CE291" i="24"/>
  <c r="I291" i="24"/>
  <c r="K291" i="24" s="1"/>
  <c r="H169" i="25"/>
  <c r="AL169" i="25"/>
  <c r="CC169" i="25"/>
  <c r="CC143" i="25"/>
  <c r="AL143" i="25"/>
  <c r="H143" i="25"/>
  <c r="AL193" i="25"/>
  <c r="H193" i="25"/>
  <c r="CC193" i="25"/>
  <c r="CC168" i="25"/>
  <c r="AL168" i="25"/>
  <c r="H168" i="25"/>
  <c r="AL151" i="25"/>
  <c r="H151" i="25"/>
  <c r="CC151" i="25"/>
  <c r="CC141" i="25"/>
  <c r="H141" i="25"/>
  <c r="AL141" i="25"/>
  <c r="AL185" i="25"/>
  <c r="CC185" i="25"/>
  <c r="H185" i="25"/>
  <c r="AL159" i="25"/>
  <c r="CC159" i="25"/>
  <c r="H159" i="25"/>
  <c r="BN174" i="25"/>
  <c r="I174" i="25"/>
  <c r="CF265" i="24"/>
  <c r="AM265" i="24"/>
  <c r="H265" i="24"/>
  <c r="CE265" i="24"/>
  <c r="I265" i="24"/>
  <c r="CF273" i="24"/>
  <c r="AM273" i="24"/>
  <c r="CE273" i="24"/>
  <c r="H273" i="24"/>
  <c r="I273" i="24"/>
  <c r="H202" i="24"/>
  <c r="AM202" i="24"/>
  <c r="AM37" i="24"/>
  <c r="CF37" i="24"/>
  <c r="CE37" i="24"/>
  <c r="K37" i="24"/>
  <c r="H37" i="24"/>
  <c r="AM123" i="24"/>
  <c r="H123" i="24"/>
  <c r="I123" i="24"/>
  <c r="AL269" i="25"/>
  <c r="CC269" i="25"/>
  <c r="H269" i="25"/>
  <c r="J269" i="25"/>
  <c r="L269" i="25" s="1"/>
  <c r="K142" i="24"/>
  <c r="H142" i="24"/>
  <c r="CF142" i="24"/>
  <c r="CE142" i="24"/>
  <c r="AM142" i="24"/>
  <c r="H18" i="24"/>
  <c r="AM18" i="24"/>
  <c r="CF18" i="24"/>
  <c r="CE18" i="24"/>
  <c r="K18" i="24"/>
  <c r="I18" i="24"/>
  <c r="M18" i="24" s="1"/>
  <c r="N18" i="24" s="1"/>
  <c r="CF228" i="24"/>
  <c r="H228" i="24"/>
  <c r="AM228" i="24"/>
  <c r="CE228" i="24"/>
  <c r="M7" i="24"/>
  <c r="N7" i="24" s="1"/>
  <c r="CE24" i="24"/>
  <c r="CF24" i="24"/>
  <c r="K24" i="24"/>
  <c r="AM24" i="24"/>
  <c r="H24" i="24"/>
  <c r="I24" i="24"/>
  <c r="M24" i="24" s="1"/>
  <c r="N24" i="24" s="1"/>
  <c r="M190" i="24"/>
  <c r="N190" i="24" s="1"/>
  <c r="H147" i="24"/>
  <c r="CE147" i="24"/>
  <c r="AM147" i="24"/>
  <c r="CF147" i="24"/>
  <c r="H257" i="25"/>
  <c r="AL257" i="25"/>
  <c r="CC257" i="25"/>
  <c r="AL270" i="25"/>
  <c r="CC270" i="25"/>
  <c r="H270" i="25"/>
  <c r="BN129" i="25"/>
  <c r="I129" i="25"/>
  <c r="I111" i="25"/>
  <c r="BN111" i="25"/>
  <c r="BQ111" i="25" s="1"/>
  <c r="AL83" i="25"/>
  <c r="H83" i="25"/>
  <c r="CC83" i="25"/>
  <c r="CF83" i="25"/>
  <c r="CE83" i="25"/>
  <c r="J83" i="25"/>
  <c r="L83" i="25" s="1"/>
  <c r="I105" i="25"/>
  <c r="BN105" i="25"/>
  <c r="I145" i="25"/>
  <c r="BN145" i="25"/>
  <c r="AM14" i="24"/>
  <c r="K14" i="24"/>
  <c r="H14" i="24"/>
  <c r="I14" i="24"/>
  <c r="M14" i="24" s="1"/>
  <c r="N14" i="24" s="1"/>
  <c r="AM101" i="24"/>
  <c r="K101" i="24"/>
  <c r="H101" i="24"/>
  <c r="CF252" i="24"/>
  <c r="H252" i="24"/>
  <c r="AM252" i="24"/>
  <c r="CE252" i="24"/>
  <c r="K62" i="24"/>
  <c r="H62" i="24"/>
  <c r="AM62" i="24"/>
  <c r="I62" i="24"/>
  <c r="M62" i="24" s="1"/>
  <c r="N62" i="24" s="1"/>
  <c r="CE160" i="24"/>
  <c r="AM160" i="24"/>
  <c r="H160" i="24"/>
  <c r="CF160" i="24"/>
  <c r="CE272" i="24"/>
  <c r="AM272" i="24"/>
  <c r="H272" i="24"/>
  <c r="I272" i="24"/>
  <c r="M272" i="24" s="1"/>
  <c r="N272" i="24" s="1"/>
  <c r="CC93" i="25"/>
  <c r="AL93" i="25"/>
  <c r="CF93" i="25"/>
  <c r="H93" i="25"/>
  <c r="CE93" i="25"/>
  <c r="J93" i="25"/>
  <c r="L93" i="25" s="1"/>
  <c r="AL192" i="25"/>
  <c r="CC192" i="25"/>
  <c r="H192" i="25"/>
  <c r="J192" i="25"/>
  <c r="N192" i="25" s="1"/>
  <c r="T192" i="25" s="1"/>
  <c r="J194" i="25"/>
  <c r="L194" i="25" s="1"/>
  <c r="J193" i="25"/>
  <c r="L193" i="25" s="1"/>
  <c r="BO272" i="24"/>
  <c r="BR272" i="24" s="1"/>
  <c r="BM157" i="25"/>
  <c r="BM132" i="25"/>
  <c r="BO68" i="24"/>
  <c r="BR68" i="24" s="1"/>
  <c r="BO41" i="24"/>
  <c r="BR41" i="24" s="1"/>
  <c r="BO205" i="24"/>
  <c r="BR205" i="24" s="1"/>
  <c r="BM210" i="25"/>
  <c r="BM125" i="25"/>
  <c r="BQ125" i="25" s="1"/>
  <c r="BM190" i="25"/>
  <c r="BO96" i="24"/>
  <c r="BR96" i="24" s="1"/>
  <c r="BO101" i="24"/>
  <c r="BR101" i="24" s="1"/>
  <c r="BO255" i="24"/>
  <c r="BR255" i="24" s="1"/>
  <c r="BO314" i="24"/>
  <c r="BR314" i="24" s="1"/>
  <c r="BO20" i="24"/>
  <c r="BR20" i="24" s="1"/>
  <c r="BO62" i="24"/>
  <c r="BR62" i="24" s="1"/>
  <c r="BM42" i="25"/>
  <c r="BO138" i="24"/>
  <c r="BR138" i="24" s="1"/>
  <c r="BO117" i="24"/>
  <c r="BR117" i="24" s="1"/>
  <c r="I50" i="24"/>
  <c r="BM163" i="25"/>
  <c r="BO282" i="24"/>
  <c r="BR282" i="24" s="1"/>
  <c r="BO122" i="24"/>
  <c r="BR122" i="24" s="1"/>
  <c r="BM192" i="25"/>
  <c r="BO123" i="24"/>
  <c r="BR123" i="24" s="1"/>
  <c r="BO267" i="24"/>
  <c r="BR267" i="24" s="1"/>
  <c r="BM145" i="25"/>
  <c r="BO7" i="24"/>
  <c r="BR7" i="24" s="1"/>
  <c r="I75" i="24"/>
  <c r="I122" i="24"/>
  <c r="K122" i="24" s="1"/>
  <c r="I261" i="24"/>
  <c r="I228" i="24"/>
  <c r="K228" i="24" s="1"/>
  <c r="I138" i="24"/>
  <c r="K138" i="24" s="1"/>
  <c r="I296" i="24"/>
  <c r="I267" i="24"/>
  <c r="I202" i="24"/>
  <c r="I252" i="24"/>
  <c r="K252" i="24" s="1"/>
  <c r="H160" i="25"/>
  <c r="AL160" i="25"/>
  <c r="CC160" i="25"/>
  <c r="J160" i="25"/>
  <c r="H206" i="25"/>
  <c r="CC206" i="25"/>
  <c r="AL206" i="25"/>
  <c r="H203" i="25"/>
  <c r="AL203" i="25"/>
  <c r="CC203" i="25"/>
  <c r="AL77" i="25"/>
  <c r="CC77" i="25"/>
  <c r="H77" i="25"/>
  <c r="CC26" i="25"/>
  <c r="AL26" i="25"/>
  <c r="CE26" i="25"/>
  <c r="CF26" i="25"/>
  <c r="H26" i="25"/>
  <c r="J26" i="25"/>
  <c r="L26" i="25" s="1"/>
  <c r="H13" i="25"/>
  <c r="CC13" i="25"/>
  <c r="AL13" i="25"/>
  <c r="CE13" i="25"/>
  <c r="CF13" i="25"/>
  <c r="AM82" i="24"/>
  <c r="CF82" i="24"/>
  <c r="CE82" i="24"/>
  <c r="K82" i="24"/>
  <c r="H82" i="24"/>
  <c r="I82" i="24"/>
  <c r="CE285" i="24"/>
  <c r="H285" i="24"/>
  <c r="AM285" i="24"/>
  <c r="AM170" i="24"/>
  <c r="H170" i="24"/>
  <c r="AM83" i="24"/>
  <c r="CF83" i="24"/>
  <c r="CE83" i="24"/>
  <c r="H83" i="24"/>
  <c r="K83" i="24"/>
  <c r="I83" i="24"/>
  <c r="M83" i="24" s="1"/>
  <c r="BN188" i="25"/>
  <c r="I188" i="25"/>
  <c r="H6" i="25"/>
  <c r="CC6" i="25"/>
  <c r="AL6" i="25"/>
  <c r="AL165" i="25"/>
  <c r="H165" i="25"/>
  <c r="CC165" i="25"/>
  <c r="AM68" i="24"/>
  <c r="CE68" i="24"/>
  <c r="CF68" i="24"/>
  <c r="K68" i="24"/>
  <c r="H68" i="24"/>
  <c r="I68" i="24"/>
  <c r="M68" i="24" s="1"/>
  <c r="N68" i="24" s="1"/>
  <c r="AM33" i="24"/>
  <c r="CE33" i="24"/>
  <c r="CF33" i="24"/>
  <c r="K33" i="24"/>
  <c r="H33" i="24"/>
  <c r="CE177" i="24"/>
  <c r="H177" i="24"/>
  <c r="AM177" i="24"/>
  <c r="CF177" i="24"/>
  <c r="I177" i="24"/>
  <c r="K177" i="24" s="1"/>
  <c r="AM54" i="24"/>
  <c r="K54" i="24"/>
  <c r="H54" i="24"/>
  <c r="I54" i="24"/>
  <c r="CE243" i="24"/>
  <c r="H243" i="24"/>
  <c r="AM243" i="24"/>
  <c r="H194" i="24"/>
  <c r="CE194" i="24"/>
  <c r="AM194" i="24"/>
  <c r="CF194" i="24"/>
  <c r="CF7" i="24"/>
  <c r="K7" i="24"/>
  <c r="AM7" i="24"/>
  <c r="H7" i="24"/>
  <c r="CE7" i="24"/>
  <c r="AM71" i="24"/>
  <c r="CE71" i="24"/>
  <c r="CF71" i="24"/>
  <c r="K71" i="24"/>
  <c r="H71" i="24"/>
  <c r="AM130" i="24"/>
  <c r="H130" i="24"/>
  <c r="AM268" i="24"/>
  <c r="CE268" i="24"/>
  <c r="H268" i="24"/>
  <c r="I268" i="24"/>
  <c r="M268" i="24" s="1"/>
  <c r="N268" i="24" s="1"/>
  <c r="BO202" i="24"/>
  <c r="BR202" i="24" s="1"/>
  <c r="H52" i="25"/>
  <c r="AL52" i="25"/>
  <c r="CC52" i="25"/>
  <c r="H23" i="25"/>
  <c r="CC23" i="25"/>
  <c r="AL23" i="25"/>
  <c r="CF23" i="25"/>
  <c r="CE23" i="25"/>
  <c r="BN11" i="25"/>
  <c r="I11" i="25"/>
  <c r="H195" i="25"/>
  <c r="AL195" i="25"/>
  <c r="CC195" i="25"/>
  <c r="J195" i="25"/>
  <c r="CC202" i="25"/>
  <c r="AL202" i="25"/>
  <c r="H202" i="25"/>
  <c r="J202" i="25"/>
  <c r="L202" i="25" s="1"/>
  <c r="H164" i="25"/>
  <c r="AL164" i="25"/>
  <c r="CC164" i="25"/>
  <c r="J164" i="25"/>
  <c r="L164" i="25" s="1"/>
  <c r="H186" i="25"/>
  <c r="AL186" i="25"/>
  <c r="CC186" i="25"/>
  <c r="H8" i="25"/>
  <c r="CC8" i="25"/>
  <c r="AL8" i="25"/>
  <c r="CF8" i="25"/>
  <c r="CE8" i="25"/>
  <c r="J8" i="25"/>
  <c r="L8" i="25" s="1"/>
  <c r="H237" i="25"/>
  <c r="AL237" i="25"/>
  <c r="CC237" i="25"/>
  <c r="H233" i="24"/>
  <c r="AM233" i="24"/>
  <c r="CF250" i="24"/>
  <c r="H250" i="24"/>
  <c r="AM250" i="24"/>
  <c r="I250" i="24"/>
  <c r="AM114" i="24"/>
  <c r="H114" i="24"/>
  <c r="CF114" i="24"/>
  <c r="CE114" i="24"/>
  <c r="I114" i="24"/>
  <c r="CF67" i="24"/>
  <c r="CE67" i="24"/>
  <c r="AM67" i="24"/>
  <c r="K67" i="24"/>
  <c r="H67" i="24"/>
  <c r="I67" i="24"/>
  <c r="CF158" i="24"/>
  <c r="CE158" i="24"/>
  <c r="AM158" i="24"/>
  <c r="H158" i="24"/>
  <c r="I158" i="24"/>
  <c r="K158" i="24" s="1"/>
  <c r="BN80" i="25"/>
  <c r="BQ80" i="25" s="1"/>
  <c r="I80" i="25"/>
  <c r="BN137" i="25"/>
  <c r="I137" i="25"/>
  <c r="BO265" i="24"/>
  <c r="BR265" i="24" s="1"/>
  <c r="BM269" i="25"/>
  <c r="BQ269" i="25" s="1"/>
  <c r="BO130" i="24"/>
  <c r="BR130" i="24" s="1"/>
  <c r="BO97" i="24"/>
  <c r="BR97" i="24" s="1"/>
  <c r="BO111" i="24"/>
  <c r="BR111" i="24" s="1"/>
  <c r="BM208" i="25"/>
  <c r="BO261" i="24"/>
  <c r="BR261" i="24" s="1"/>
  <c r="J270" i="25"/>
  <c r="I170" i="24"/>
  <c r="K170" i="24" s="1"/>
  <c r="J266" i="25"/>
  <c r="J16" i="25"/>
  <c r="BM226" i="25"/>
  <c r="BO118" i="24"/>
  <c r="BR118" i="24" s="1"/>
  <c r="J185" i="25"/>
  <c r="J186" i="25"/>
  <c r="N186" i="25" s="1"/>
  <c r="J52" i="25"/>
  <c r="J70" i="25"/>
  <c r="I96" i="24"/>
  <c r="J151" i="25"/>
  <c r="I224" i="24"/>
  <c r="I125" i="24"/>
  <c r="K125" i="24" s="1"/>
  <c r="I33" i="24"/>
  <c r="J159" i="25"/>
  <c r="I143" i="24"/>
  <c r="H185" i="24"/>
  <c r="AM185" i="24"/>
  <c r="I185" i="24"/>
  <c r="K185" i="24" s="1"/>
  <c r="CE283" i="24"/>
  <c r="CF283" i="24"/>
  <c r="H283" i="24"/>
  <c r="AM283" i="24"/>
  <c r="I283" i="24"/>
  <c r="H257" i="24"/>
  <c r="AM257" i="24"/>
  <c r="CE257" i="24"/>
  <c r="H168" i="24"/>
  <c r="AM168" i="24"/>
  <c r="AL81" i="25"/>
  <c r="CC81" i="25"/>
  <c r="H81" i="25"/>
  <c r="H44" i="25"/>
  <c r="CE44" i="25"/>
  <c r="CC44" i="25"/>
  <c r="AL44" i="25"/>
  <c r="CF44" i="25"/>
  <c r="AL239" i="25"/>
  <c r="CC239" i="25"/>
  <c r="H239" i="25"/>
  <c r="J239" i="25"/>
  <c r="L239" i="25" s="1"/>
  <c r="H315" i="25"/>
  <c r="AL315" i="25"/>
  <c r="CC315" i="25"/>
  <c r="H280" i="25"/>
  <c r="AL280" i="25"/>
  <c r="CC280" i="25"/>
  <c r="K119" i="24"/>
  <c r="H119" i="24"/>
  <c r="AM119" i="24"/>
  <c r="CF152" i="24"/>
  <c r="CE152" i="24"/>
  <c r="AM152" i="24"/>
  <c r="H152" i="24"/>
  <c r="K70" i="24"/>
  <c r="AM70" i="24"/>
  <c r="H70" i="24"/>
  <c r="CE70" i="24"/>
  <c r="CF70" i="24"/>
  <c r="I70" i="24"/>
  <c r="AL189" i="25"/>
  <c r="CC189" i="25"/>
  <c r="H189" i="25"/>
  <c r="BN37" i="25"/>
  <c r="I37" i="25"/>
  <c r="CC152" i="25"/>
  <c r="AL152" i="25"/>
  <c r="H152" i="25"/>
  <c r="J152" i="25"/>
  <c r="L152" i="25" s="1"/>
  <c r="BN182" i="25"/>
  <c r="I182" i="25"/>
  <c r="M142" i="24"/>
  <c r="AM46" i="24"/>
  <c r="CE46" i="24"/>
  <c r="CF46" i="24"/>
  <c r="K46" i="24"/>
  <c r="H46" i="24"/>
  <c r="I46" i="24"/>
  <c r="H36" i="24"/>
  <c r="CE36" i="24"/>
  <c r="CF36" i="24"/>
  <c r="AM36" i="24"/>
  <c r="K36" i="24"/>
  <c r="I36" i="24"/>
  <c r="AM45" i="24"/>
  <c r="K45" i="24"/>
  <c r="H45" i="24"/>
  <c r="CE281" i="24"/>
  <c r="AM281" i="24"/>
  <c r="H281" i="24"/>
  <c r="I281" i="24"/>
  <c r="K94" i="24"/>
  <c r="AM94" i="24"/>
  <c r="H94" i="24"/>
  <c r="CF94" i="24"/>
  <c r="CE94" i="24"/>
  <c r="I94" i="24"/>
  <c r="AM206" i="24"/>
  <c r="H206" i="24"/>
  <c r="AM132" i="24"/>
  <c r="K132" i="24"/>
  <c r="H132" i="24"/>
  <c r="CE274" i="24"/>
  <c r="H274" i="24"/>
  <c r="AM274" i="24"/>
  <c r="I274" i="24"/>
  <c r="K274" i="24" s="1"/>
  <c r="BO268" i="24"/>
  <c r="BR268" i="24" s="1"/>
  <c r="CF29" i="25"/>
  <c r="H29" i="25"/>
  <c r="AL29" i="25"/>
  <c r="CC29" i="25"/>
  <c r="CE29" i="25"/>
  <c r="BN9" i="25"/>
  <c r="I9" i="25"/>
  <c r="AL38" i="25"/>
  <c r="CC38" i="25"/>
  <c r="CE38" i="25"/>
  <c r="CF38" i="25"/>
  <c r="H38" i="25"/>
  <c r="J38" i="25"/>
  <c r="L38" i="25" s="1"/>
  <c r="CF94" i="25"/>
  <c r="AL94" i="25"/>
  <c r="CC94" i="25"/>
  <c r="CE94" i="25"/>
  <c r="H94" i="25"/>
  <c r="CF298" i="24"/>
  <c r="H298" i="24"/>
  <c r="AM298" i="24"/>
  <c r="I298" i="24"/>
  <c r="K298" i="24" s="1"/>
  <c r="H165" i="24"/>
  <c r="AM165" i="24"/>
  <c r="I165" i="24"/>
  <c r="M101" i="24"/>
  <c r="CE292" i="24"/>
  <c r="AM292" i="24"/>
  <c r="H292" i="24"/>
  <c r="K292" i="24"/>
  <c r="BN17" i="25"/>
  <c r="BQ17" i="25" s="1"/>
  <c r="I17" i="25"/>
  <c r="I243" i="24"/>
  <c r="BM280" i="25"/>
  <c r="BQ280" i="25" s="1"/>
  <c r="BM122" i="25"/>
  <c r="BM165" i="25"/>
  <c r="BM164" i="25"/>
  <c r="BQ164" i="25" s="1"/>
  <c r="BO165" i="24"/>
  <c r="BR165" i="24" s="1"/>
  <c r="BM185" i="25"/>
  <c r="BQ185" i="25" s="1"/>
  <c r="I186" i="24"/>
  <c r="J42" i="25"/>
  <c r="J141" i="25"/>
  <c r="J9" i="25"/>
  <c r="BO46" i="24"/>
  <c r="BR46" i="24" s="1"/>
  <c r="BM189" i="25"/>
  <c r="BM70" i="25"/>
  <c r="BQ70" i="25" s="1"/>
  <c r="BO18" i="24"/>
  <c r="BR18" i="24" s="1"/>
  <c r="BO56" i="24"/>
  <c r="BR56" i="24" s="1"/>
  <c r="BM241" i="25"/>
  <c r="BQ241" i="25" s="1"/>
  <c r="BO146" i="24"/>
  <c r="BR146" i="24" s="1"/>
  <c r="BM237" i="25"/>
  <c r="BQ237" i="25" s="1"/>
  <c r="BO71" i="24"/>
  <c r="BR71" i="24" s="1"/>
  <c r="BO37" i="24"/>
  <c r="BR37" i="24" s="1"/>
  <c r="BM188" i="25"/>
  <c r="BM176" i="25"/>
  <c r="J226" i="25"/>
  <c r="I152" i="24"/>
  <c r="K152" i="24" s="1"/>
  <c r="I37" i="24"/>
  <c r="J162" i="25"/>
  <c r="BO54" i="24"/>
  <c r="BR54" i="24" s="1"/>
  <c r="BM245" i="25"/>
  <c r="BM74" i="25"/>
  <c r="BO63" i="24"/>
  <c r="BR63" i="24" s="1"/>
  <c r="BO273" i="24"/>
  <c r="BR273" i="24" s="1"/>
  <c r="BM182" i="25"/>
  <c r="BM236" i="25"/>
  <c r="BQ236" i="25" s="1"/>
  <c r="BM137" i="25"/>
  <c r="BO252" i="24"/>
  <c r="BR252" i="24" s="1"/>
  <c r="BO257" i="24"/>
  <c r="BR257" i="24" s="1"/>
  <c r="BO22" i="24"/>
  <c r="BR22" i="24" s="1"/>
  <c r="BO296" i="24"/>
  <c r="BR296" i="24" s="1"/>
  <c r="BM77" i="25"/>
  <c r="BO304" i="24"/>
  <c r="BR304" i="24" s="1"/>
  <c r="BM37" i="25"/>
  <c r="BO114" i="24"/>
  <c r="BR114" i="24" s="1"/>
  <c r="BO292" i="24"/>
  <c r="BR292" i="24" s="1"/>
  <c r="BO67" i="24"/>
  <c r="BR67" i="24" s="1"/>
  <c r="BM120" i="25"/>
  <c r="I168" i="24"/>
  <c r="I56" i="24"/>
  <c r="J168" i="25"/>
  <c r="M292" i="24" l="1"/>
  <c r="N292" i="24" s="1"/>
  <c r="AP292" i="24" s="1"/>
  <c r="BK233" i="24"/>
  <c r="M236" i="24"/>
  <c r="N236" i="24" s="1"/>
  <c r="K236" i="24"/>
  <c r="M233" i="24"/>
  <c r="N233" i="24" s="1"/>
  <c r="K294" i="24"/>
  <c r="K233" i="24"/>
  <c r="BK294" i="24"/>
  <c r="M294" i="24"/>
  <c r="N294" i="24" s="1"/>
  <c r="AP294" i="24" s="1"/>
  <c r="BK264" i="24"/>
  <c r="M264" i="24"/>
  <c r="N264" i="24" s="1"/>
  <c r="P264" i="24" s="1"/>
  <c r="U237" i="24"/>
  <c r="S257" i="24"/>
  <c r="T257" i="24" s="1"/>
  <c r="J257" i="24" s="1"/>
  <c r="U219" i="24"/>
  <c r="BK257" i="24"/>
  <c r="S264" i="24"/>
  <c r="T264" i="24" s="1"/>
  <c r="J264" i="24" s="1"/>
  <c r="Q257" i="24"/>
  <c r="K257" i="24"/>
  <c r="U290" i="24"/>
  <c r="U268" i="24"/>
  <c r="U279" i="24"/>
  <c r="U312" i="24"/>
  <c r="U310" i="24"/>
  <c r="U248" i="24"/>
  <c r="U313" i="24"/>
  <c r="U292" i="24"/>
  <c r="V292" i="24" s="1"/>
  <c r="U271" i="24"/>
  <c r="U287" i="24"/>
  <c r="U306" i="24"/>
  <c r="U226" i="24"/>
  <c r="U257" i="24"/>
  <c r="V257" i="24" s="1"/>
  <c r="U218" i="24"/>
  <c r="U225" i="24"/>
  <c r="V225" i="24" s="1"/>
  <c r="U234" i="24"/>
  <c r="U303" i="24"/>
  <c r="U270" i="24"/>
  <c r="U272" i="24"/>
  <c r="U238" i="24"/>
  <c r="U307" i="24"/>
  <c r="U236" i="24"/>
  <c r="V236" i="24" s="1"/>
  <c r="U231" i="24"/>
  <c r="U227" i="24"/>
  <c r="BQ227" i="25"/>
  <c r="N190" i="25"/>
  <c r="T190" i="25" s="1"/>
  <c r="U190" i="25" s="1"/>
  <c r="BI190" i="25"/>
  <c r="L94" i="25"/>
  <c r="K160" i="24"/>
  <c r="BK160" i="24"/>
  <c r="L29" i="25"/>
  <c r="BI257" i="25"/>
  <c r="BQ177" i="25"/>
  <c r="N94" i="25"/>
  <c r="T94" i="25" s="1"/>
  <c r="U94" i="25" s="1"/>
  <c r="BQ104" i="25"/>
  <c r="M55" i="24"/>
  <c r="N55" i="24" s="1"/>
  <c r="AP55" i="24" s="1"/>
  <c r="BQ270" i="25"/>
  <c r="S55" i="24"/>
  <c r="T55" i="24" s="1"/>
  <c r="J55" i="24" s="1"/>
  <c r="L257" i="25"/>
  <c r="BQ161" i="25"/>
  <c r="N262" i="25"/>
  <c r="T262" i="25" s="1"/>
  <c r="M160" i="24"/>
  <c r="N160" i="24" s="1"/>
  <c r="P160" i="24" s="1"/>
  <c r="U45" i="24"/>
  <c r="V45" i="24" s="1"/>
  <c r="BQ225" i="25"/>
  <c r="BK41" i="24"/>
  <c r="BQ42" i="25"/>
  <c r="BQ308" i="25"/>
  <c r="S41" i="24"/>
  <c r="T41" i="24" s="1"/>
  <c r="J41" i="24" s="1"/>
  <c r="BQ242" i="25"/>
  <c r="N155" i="25"/>
  <c r="T155" i="25" s="1"/>
  <c r="BQ297" i="25"/>
  <c r="N11" i="25"/>
  <c r="T11" i="25" s="1"/>
  <c r="U11" i="25" s="1"/>
  <c r="BI280" i="25"/>
  <c r="BI11" i="25"/>
  <c r="N280" i="25"/>
  <c r="T280" i="25" s="1"/>
  <c r="U280" i="25" s="1"/>
  <c r="U119" i="24"/>
  <c r="V119" i="24" s="1"/>
  <c r="U162" i="24"/>
  <c r="V162" i="24" s="1"/>
  <c r="K130" i="24"/>
  <c r="U132" i="24"/>
  <c r="V132" i="24" s="1"/>
  <c r="BQ162" i="25"/>
  <c r="BQ37" i="25"/>
  <c r="K116" i="24"/>
  <c r="M289" i="24"/>
  <c r="BI143" i="25"/>
  <c r="L177" i="25"/>
  <c r="L143" i="25"/>
  <c r="BQ88" i="25"/>
  <c r="N189" i="25"/>
  <c r="T189" i="25" s="1"/>
  <c r="U189" i="25" s="1"/>
  <c r="BI237" i="25"/>
  <c r="N29" i="25"/>
  <c r="T29" i="25" s="1"/>
  <c r="U29" i="25" s="1"/>
  <c r="N237" i="25"/>
  <c r="T237" i="25" s="1"/>
  <c r="U237" i="25" s="1"/>
  <c r="BQ263" i="25"/>
  <c r="BQ189" i="25"/>
  <c r="L258" i="25"/>
  <c r="N258" i="25"/>
  <c r="P258" i="25" s="1"/>
  <c r="BQ73" i="25"/>
  <c r="T13" i="25"/>
  <c r="U13" i="25" s="1"/>
  <c r="BQ74" i="25"/>
  <c r="BQ148" i="25"/>
  <c r="BQ302" i="25"/>
  <c r="BQ255" i="25"/>
  <c r="BI293" i="25"/>
  <c r="BQ265" i="25"/>
  <c r="M223" i="24"/>
  <c r="U223" i="24" s="1"/>
  <c r="BQ219" i="25"/>
  <c r="L87" i="25"/>
  <c r="K225" i="24"/>
  <c r="BQ55" i="25"/>
  <c r="L293" i="25"/>
  <c r="BQ120" i="25"/>
  <c r="BQ167" i="25"/>
  <c r="BQ187" i="25"/>
  <c r="BQ293" i="25"/>
  <c r="T143" i="25"/>
  <c r="U143" i="25" s="1"/>
  <c r="BI177" i="25"/>
  <c r="BQ117" i="25"/>
  <c r="BQ96" i="25"/>
  <c r="N179" i="25"/>
  <c r="P179" i="25" s="1"/>
  <c r="BQ220" i="25"/>
  <c r="BQ275" i="25"/>
  <c r="N265" i="25"/>
  <c r="T265" i="25" s="1"/>
  <c r="U265" i="25" s="1"/>
  <c r="BQ313" i="25"/>
  <c r="L265" i="25"/>
  <c r="L179" i="25"/>
  <c r="BQ165" i="25"/>
  <c r="BQ137" i="25"/>
  <c r="K147" i="24"/>
  <c r="BQ122" i="25"/>
  <c r="BQ66" i="25"/>
  <c r="BI129" i="25"/>
  <c r="L206" i="25"/>
  <c r="U191" i="24"/>
  <c r="V191" i="24" s="1"/>
  <c r="BQ294" i="25"/>
  <c r="BQ103" i="25"/>
  <c r="O143" i="25"/>
  <c r="AO143" i="25" s="1"/>
  <c r="N97" i="25"/>
  <c r="T97" i="25" s="1"/>
  <c r="BQ77" i="25"/>
  <c r="L189" i="25"/>
  <c r="BQ306" i="25"/>
  <c r="L110" i="25"/>
  <c r="BQ112" i="25"/>
  <c r="N28" i="25"/>
  <c r="T28" i="25" s="1"/>
  <c r="U28" i="25" s="1"/>
  <c r="T110" i="25"/>
  <c r="U110" i="25" s="1"/>
  <c r="P110" i="25"/>
  <c r="BZ110" i="25" s="1"/>
  <c r="BQ176" i="25"/>
  <c r="BQ13" i="25"/>
  <c r="L129" i="25"/>
  <c r="BQ158" i="25"/>
  <c r="L28" i="25"/>
  <c r="N291" i="25"/>
  <c r="T291" i="25" s="1"/>
  <c r="BQ95" i="25"/>
  <c r="N77" i="25"/>
  <c r="L77" i="25"/>
  <c r="BQ94" i="25"/>
  <c r="BQ283" i="25"/>
  <c r="BQ311" i="25"/>
  <c r="BQ134" i="25"/>
  <c r="BQ292" i="25"/>
  <c r="BI110" i="25"/>
  <c r="BQ245" i="25"/>
  <c r="BQ304" i="25"/>
  <c r="P129" i="25"/>
  <c r="BZ129" i="25" s="1"/>
  <c r="T129" i="25"/>
  <c r="U129" i="25" s="1"/>
  <c r="BQ52" i="25"/>
  <c r="BQ47" i="25"/>
  <c r="BQ133" i="25"/>
  <c r="BQ76" i="25"/>
  <c r="BQ121" i="25"/>
  <c r="K188" i="24"/>
  <c r="M251" i="24"/>
  <c r="N251" i="24" s="1"/>
  <c r="AP251" i="24" s="1"/>
  <c r="M137" i="24"/>
  <c r="N137" i="24" s="1"/>
  <c r="K127" i="24"/>
  <c r="BQ100" i="25"/>
  <c r="BQ195" i="25"/>
  <c r="BQ156" i="25"/>
  <c r="M167" i="24"/>
  <c r="N167" i="24" s="1"/>
  <c r="P167" i="24" s="1"/>
  <c r="BQ192" i="25"/>
  <c r="BQ178" i="25"/>
  <c r="BQ99" i="25"/>
  <c r="BQ267" i="25"/>
  <c r="BQ157" i="25"/>
  <c r="BQ150" i="25"/>
  <c r="BQ181" i="25"/>
  <c r="BQ305" i="25"/>
  <c r="BQ226" i="25"/>
  <c r="N104" i="25"/>
  <c r="T104" i="25" s="1"/>
  <c r="U104" i="25" s="1"/>
  <c r="BI131" i="25"/>
  <c r="N154" i="25"/>
  <c r="P154" i="25" s="1"/>
  <c r="BQ238" i="25"/>
  <c r="L173" i="25"/>
  <c r="BQ307" i="25"/>
  <c r="BQ147" i="25"/>
  <c r="T131" i="25"/>
  <c r="U131" i="25" s="1"/>
  <c r="BQ210" i="25"/>
  <c r="BQ198" i="25"/>
  <c r="L131" i="25"/>
  <c r="BQ199" i="25"/>
  <c r="BQ12" i="25"/>
  <c r="L199" i="25"/>
  <c r="BQ145" i="25"/>
  <c r="BQ190" i="25"/>
  <c r="N41" i="24"/>
  <c r="AP41" i="24" s="1"/>
  <c r="U41" i="24"/>
  <c r="V41" i="24" s="1"/>
  <c r="BQ194" i="25"/>
  <c r="K200" i="24"/>
  <c r="K193" i="24"/>
  <c r="K237" i="24"/>
  <c r="K306" i="24"/>
  <c r="K313" i="24"/>
  <c r="M77" i="24"/>
  <c r="N77" i="24" s="1"/>
  <c r="AP77" i="24" s="1"/>
  <c r="N96" i="25"/>
  <c r="T96" i="25" s="1"/>
  <c r="U96" i="25" s="1"/>
  <c r="K248" i="24"/>
  <c r="K279" i="24"/>
  <c r="K234" i="24"/>
  <c r="BQ182" i="25"/>
  <c r="L6" i="25"/>
  <c r="M285" i="24"/>
  <c r="K205" i="24"/>
  <c r="K307" i="24"/>
  <c r="BQ71" i="25"/>
  <c r="K182" i="24"/>
  <c r="L167" i="25"/>
  <c r="BQ254" i="25"/>
  <c r="K246" i="24"/>
  <c r="M84" i="24"/>
  <c r="N84" i="24" s="1"/>
  <c r="BQ235" i="25"/>
  <c r="K227" i="24"/>
  <c r="BQ268" i="25"/>
  <c r="K303" i="24"/>
  <c r="M134" i="24"/>
  <c r="N134" i="24" s="1"/>
  <c r="AP134" i="24" s="1"/>
  <c r="U88" i="24"/>
  <c r="V88" i="24" s="1"/>
  <c r="BI104" i="25"/>
  <c r="K272" i="24"/>
  <c r="K226" i="24"/>
  <c r="K310" i="24"/>
  <c r="BQ209" i="25"/>
  <c r="BQ27" i="25"/>
  <c r="BQ287" i="25"/>
  <c r="L71" i="25"/>
  <c r="T232" i="25"/>
  <c r="U232" i="25" s="1"/>
  <c r="BQ276" i="25"/>
  <c r="BQ188" i="25"/>
  <c r="M252" i="24"/>
  <c r="N252" i="24" s="1"/>
  <c r="P252" i="24" s="1"/>
  <c r="K290" i="24"/>
  <c r="L13" i="25"/>
  <c r="BQ175" i="25"/>
  <c r="BQ173" i="25"/>
  <c r="M246" i="24"/>
  <c r="N246" i="24" s="1"/>
  <c r="AP246" i="24" s="1"/>
  <c r="M286" i="24"/>
  <c r="N286" i="24" s="1"/>
  <c r="U7" i="24"/>
  <c r="V7" i="24" s="1"/>
  <c r="M276" i="24"/>
  <c r="N276" i="24" s="1"/>
  <c r="AP276" i="24" s="1"/>
  <c r="M157" i="24"/>
  <c r="N157" i="24" s="1"/>
  <c r="AP157" i="24" s="1"/>
  <c r="K218" i="24"/>
  <c r="N59" i="25"/>
  <c r="T59" i="25" s="1"/>
  <c r="BQ248" i="25"/>
  <c r="BQ142" i="25"/>
  <c r="L306" i="25"/>
  <c r="BQ86" i="25"/>
  <c r="L161" i="25"/>
  <c r="BQ249" i="25"/>
  <c r="BQ113" i="25"/>
  <c r="BQ131" i="25"/>
  <c r="T255" i="25"/>
  <c r="U255" i="25" s="1"/>
  <c r="L32" i="25"/>
  <c r="L95" i="25"/>
  <c r="T296" i="25"/>
  <c r="U296" i="25" s="1"/>
  <c r="L273" i="25"/>
  <c r="BQ208" i="25"/>
  <c r="L198" i="25"/>
  <c r="BQ65" i="25"/>
  <c r="BQ286" i="25"/>
  <c r="L14" i="25"/>
  <c r="L114" i="25"/>
  <c r="BQ251" i="25"/>
  <c r="L147" i="25"/>
  <c r="L229" i="25"/>
  <c r="BQ28" i="25"/>
  <c r="L248" i="25"/>
  <c r="BQ271" i="25"/>
  <c r="L276" i="25"/>
  <c r="L247" i="25"/>
  <c r="L158" i="25"/>
  <c r="BQ36" i="25"/>
  <c r="L261" i="25"/>
  <c r="L186" i="25"/>
  <c r="L292" i="25"/>
  <c r="L148" i="25"/>
  <c r="BQ101" i="25"/>
  <c r="L113" i="25"/>
  <c r="L255" i="25"/>
  <c r="L243" i="25"/>
  <c r="L240" i="25"/>
  <c r="BQ75" i="25"/>
  <c r="T186" i="25"/>
  <c r="U186" i="25" s="1"/>
  <c r="L192" i="25"/>
  <c r="L283" i="25"/>
  <c r="U192" i="25"/>
  <c r="Q6" i="24"/>
  <c r="R6" i="24" s="1"/>
  <c r="P6" i="24"/>
  <c r="U257" i="25"/>
  <c r="BK165" i="24"/>
  <c r="S165" i="24"/>
  <c r="T165" i="24" s="1"/>
  <c r="M165" i="24"/>
  <c r="N165" i="24" s="1"/>
  <c r="BK33" i="24"/>
  <c r="S33" i="24"/>
  <c r="T33" i="24" s="1"/>
  <c r="M33" i="24"/>
  <c r="N33" i="24" s="1"/>
  <c r="AP33" i="24" s="1"/>
  <c r="BI162" i="25"/>
  <c r="N162" i="25"/>
  <c r="T162" i="25" s="1"/>
  <c r="BI9" i="25"/>
  <c r="N9" i="25"/>
  <c r="T9" i="25" s="1"/>
  <c r="L9" i="25"/>
  <c r="AP45" i="24"/>
  <c r="AH239" i="25"/>
  <c r="BK224" i="24"/>
  <c r="S224" i="24"/>
  <c r="T224" i="24" s="1"/>
  <c r="K224" i="24"/>
  <c r="AP233" i="24"/>
  <c r="U18" i="24"/>
  <c r="BK111" i="24"/>
  <c r="S111" i="24"/>
  <c r="T111" i="24" s="1"/>
  <c r="K111" i="24"/>
  <c r="M111" i="24"/>
  <c r="N111" i="24" s="1"/>
  <c r="BI245" i="25"/>
  <c r="N245" i="25"/>
  <c r="T245" i="25" s="1"/>
  <c r="L245" i="25"/>
  <c r="N97" i="24"/>
  <c r="U97" i="24"/>
  <c r="P82" i="25"/>
  <c r="O82" i="25"/>
  <c r="P27" i="24"/>
  <c r="Q27" i="24"/>
  <c r="R27" i="24" s="1"/>
  <c r="P148" i="25"/>
  <c r="O148" i="25"/>
  <c r="T148" i="25"/>
  <c r="P147" i="25"/>
  <c r="O147" i="25"/>
  <c r="AO147" i="25" s="1"/>
  <c r="P240" i="25"/>
  <c r="O240" i="25"/>
  <c r="AO240" i="25" s="1"/>
  <c r="T240" i="25"/>
  <c r="P113" i="25"/>
  <c r="O113" i="25"/>
  <c r="AO113" i="25" s="1"/>
  <c r="T113" i="25"/>
  <c r="P237" i="24"/>
  <c r="Q237" i="24"/>
  <c r="N303" i="24"/>
  <c r="AP303" i="24" s="1"/>
  <c r="P267" i="25"/>
  <c r="O267" i="25"/>
  <c r="AO267" i="25" s="1"/>
  <c r="N90" i="24"/>
  <c r="AP90" i="24" s="1"/>
  <c r="U90" i="24"/>
  <c r="N79" i="24"/>
  <c r="AP79" i="24" s="1"/>
  <c r="U79" i="24"/>
  <c r="BK281" i="24"/>
  <c r="S281" i="24"/>
  <c r="T281" i="24" s="1"/>
  <c r="M281" i="24"/>
  <c r="N281" i="24" s="1"/>
  <c r="AH81" i="25"/>
  <c r="BI168" i="25"/>
  <c r="N168" i="25"/>
  <c r="T168" i="25" s="1"/>
  <c r="L168" i="25"/>
  <c r="U147" i="24"/>
  <c r="BK37" i="24"/>
  <c r="S37" i="24"/>
  <c r="T37" i="24" s="1"/>
  <c r="M37" i="24"/>
  <c r="N37" i="24" s="1"/>
  <c r="AP37" i="24" s="1"/>
  <c r="BI141" i="25"/>
  <c r="N141" i="25"/>
  <c r="T141" i="25" s="1"/>
  <c r="L141" i="25"/>
  <c r="AH38" i="25"/>
  <c r="BK94" i="24"/>
  <c r="S94" i="24"/>
  <c r="T94" i="24" s="1"/>
  <c r="M94" i="24"/>
  <c r="AH315" i="25"/>
  <c r="AH44" i="25"/>
  <c r="S283" i="24"/>
  <c r="T283" i="24" s="1"/>
  <c r="BK283" i="24"/>
  <c r="M283" i="24"/>
  <c r="N283" i="24" s="1"/>
  <c r="AP283" i="24" s="1"/>
  <c r="K283" i="24"/>
  <c r="BI151" i="25"/>
  <c r="N151" i="25"/>
  <c r="T151" i="25" s="1"/>
  <c r="L151" i="25"/>
  <c r="BI16" i="25"/>
  <c r="L16" i="25"/>
  <c r="N16" i="25"/>
  <c r="T16" i="25" s="1"/>
  <c r="AH8" i="25"/>
  <c r="N83" i="24"/>
  <c r="AP83" i="24" s="1"/>
  <c r="U83" i="24"/>
  <c r="BI160" i="25"/>
  <c r="N160" i="25"/>
  <c r="BK261" i="24"/>
  <c r="S261" i="24"/>
  <c r="T261" i="24" s="1"/>
  <c r="M261" i="24"/>
  <c r="N261" i="24" s="1"/>
  <c r="AP261" i="24" s="1"/>
  <c r="K261" i="24"/>
  <c r="Q129" i="24"/>
  <c r="P129" i="24"/>
  <c r="M224" i="24"/>
  <c r="N224" i="24" s="1"/>
  <c r="N116" i="24"/>
  <c r="AP116" i="24" s="1"/>
  <c r="U116" i="24"/>
  <c r="N130" i="24"/>
  <c r="U130" i="24"/>
  <c r="P92" i="25"/>
  <c r="O92" i="25"/>
  <c r="T92" i="25"/>
  <c r="Q238" i="24"/>
  <c r="P238" i="24"/>
  <c r="N10" i="24"/>
  <c r="AP10" i="24" s="1"/>
  <c r="U10" i="24"/>
  <c r="P259" i="25"/>
  <c r="O259" i="25"/>
  <c r="T259" i="25"/>
  <c r="P89" i="25"/>
  <c r="O89" i="25"/>
  <c r="T89" i="25"/>
  <c r="N32" i="24"/>
  <c r="U32" i="24"/>
  <c r="P243" i="25"/>
  <c r="O243" i="25"/>
  <c r="AO243" i="25" s="1"/>
  <c r="T243" i="25"/>
  <c r="BK243" i="24"/>
  <c r="S243" i="24"/>
  <c r="T243" i="24" s="1"/>
  <c r="BK67" i="24"/>
  <c r="S67" i="24"/>
  <c r="T67" i="24" s="1"/>
  <c r="M67" i="24"/>
  <c r="N67" i="24" s="1"/>
  <c r="AP67" i="24" s="1"/>
  <c r="AP268" i="24"/>
  <c r="P192" i="25"/>
  <c r="O192" i="25"/>
  <c r="P307" i="24"/>
  <c r="Q307" i="24"/>
  <c r="P206" i="25"/>
  <c r="O206" i="25"/>
  <c r="T206" i="25"/>
  <c r="P246" i="25"/>
  <c r="O246" i="25"/>
  <c r="AO246" i="25" s="1"/>
  <c r="Q205" i="24"/>
  <c r="P205" i="24"/>
  <c r="P238" i="25"/>
  <c r="O238" i="25"/>
  <c r="AO238" i="25" s="1"/>
  <c r="T238" i="25"/>
  <c r="P292" i="25"/>
  <c r="O292" i="25"/>
  <c r="AO292" i="25" s="1"/>
  <c r="T292" i="25"/>
  <c r="N193" i="24"/>
  <c r="U193" i="24"/>
  <c r="P32" i="25"/>
  <c r="O32" i="25"/>
  <c r="AO32" i="25" s="1"/>
  <c r="T32" i="25"/>
  <c r="Q199" i="24"/>
  <c r="P199" i="24"/>
  <c r="P201" i="25"/>
  <c r="O201" i="25"/>
  <c r="AO201" i="25" s="1"/>
  <c r="T201" i="25"/>
  <c r="N248" i="24"/>
  <c r="AP248" i="24" s="1"/>
  <c r="P95" i="25"/>
  <c r="O95" i="25"/>
  <c r="AO95" i="25" s="1"/>
  <c r="T95" i="25"/>
  <c r="BK56" i="24"/>
  <c r="S56" i="24"/>
  <c r="T56" i="24" s="1"/>
  <c r="M56" i="24"/>
  <c r="N56" i="24" s="1"/>
  <c r="BI42" i="25"/>
  <c r="N42" i="25"/>
  <c r="T42" i="25" s="1"/>
  <c r="L42" i="25"/>
  <c r="N142" i="24"/>
  <c r="AP142" i="24" s="1"/>
  <c r="U142" i="24"/>
  <c r="BK250" i="24"/>
  <c r="S250" i="24"/>
  <c r="T250" i="24" s="1"/>
  <c r="M250" i="24"/>
  <c r="N250" i="24" s="1"/>
  <c r="AP250" i="24" s="1"/>
  <c r="K165" i="24"/>
  <c r="AP132" i="24"/>
  <c r="AH189" i="25"/>
  <c r="BI70" i="25"/>
  <c r="L70" i="25"/>
  <c r="N70" i="25"/>
  <c r="BK170" i="24"/>
  <c r="S170" i="24"/>
  <c r="T170" i="24" s="1"/>
  <c r="M170" i="24"/>
  <c r="N170" i="24" s="1"/>
  <c r="BI8" i="25"/>
  <c r="N8" i="25"/>
  <c r="T8" i="25" s="1"/>
  <c r="BI164" i="25"/>
  <c r="N164" i="25"/>
  <c r="T164" i="25" s="1"/>
  <c r="BI202" i="25"/>
  <c r="N202" i="25"/>
  <c r="BI195" i="25"/>
  <c r="L195" i="25"/>
  <c r="N195" i="25"/>
  <c r="T195" i="25" s="1"/>
  <c r="AP7" i="24"/>
  <c r="K243" i="24"/>
  <c r="BK82" i="24"/>
  <c r="S82" i="24"/>
  <c r="T82" i="24" s="1"/>
  <c r="M82" i="24"/>
  <c r="N82" i="24" s="1"/>
  <c r="AP82" i="24" s="1"/>
  <c r="P163" i="24"/>
  <c r="Q163" i="24"/>
  <c r="BI81" i="25"/>
  <c r="N81" i="25"/>
  <c r="BI44" i="25"/>
  <c r="N44" i="25"/>
  <c r="AP191" i="24"/>
  <c r="P13" i="25"/>
  <c r="O13" i="25"/>
  <c r="AO13" i="25" s="1"/>
  <c r="O71" i="25"/>
  <c r="P71" i="25"/>
  <c r="T71" i="25"/>
  <c r="N200" i="24"/>
  <c r="U200" i="24"/>
  <c r="P306" i="25"/>
  <c r="O306" i="25"/>
  <c r="T306" i="25"/>
  <c r="N40" i="24"/>
  <c r="AP40" i="24" s="1"/>
  <c r="U40" i="24"/>
  <c r="P173" i="25"/>
  <c r="O173" i="25"/>
  <c r="AO173" i="25" s="1"/>
  <c r="T173" i="25"/>
  <c r="P31" i="25"/>
  <c r="O31" i="25"/>
  <c r="N227" i="24"/>
  <c r="AP227" i="24" s="1"/>
  <c r="N218" i="24"/>
  <c r="AP218" i="24" s="1"/>
  <c r="N310" i="24"/>
  <c r="P314" i="25"/>
  <c r="O314" i="25"/>
  <c r="AO314" i="25" s="1"/>
  <c r="P47" i="24"/>
  <c r="Q47" i="24"/>
  <c r="R47" i="24" s="1"/>
  <c r="N120" i="24"/>
  <c r="U120" i="24"/>
  <c r="P270" i="24"/>
  <c r="Q270" i="24"/>
  <c r="P273" i="25"/>
  <c r="O273" i="25"/>
  <c r="AO273" i="25" s="1"/>
  <c r="T273" i="25"/>
  <c r="BK152" i="24"/>
  <c r="S152" i="24"/>
  <c r="T152" i="24" s="1"/>
  <c r="M152" i="24"/>
  <c r="N152" i="24" s="1"/>
  <c r="AP152" i="24" s="1"/>
  <c r="P147" i="24"/>
  <c r="Q147" i="24"/>
  <c r="BK70" i="24"/>
  <c r="S70" i="24"/>
  <c r="T70" i="24" s="1"/>
  <c r="M70" i="24"/>
  <c r="N70" i="24" s="1"/>
  <c r="AP70" i="24" s="1"/>
  <c r="BK186" i="24"/>
  <c r="S186" i="24"/>
  <c r="T186" i="24" s="1"/>
  <c r="M186" i="24"/>
  <c r="N186" i="24" s="1"/>
  <c r="K186" i="24"/>
  <c r="Q24" i="24"/>
  <c r="R24" i="24" s="1"/>
  <c r="P24" i="24"/>
  <c r="BK168" i="24"/>
  <c r="S168" i="24"/>
  <c r="T168" i="24" s="1"/>
  <c r="M168" i="24"/>
  <c r="N168" i="24" s="1"/>
  <c r="AP168" i="24" s="1"/>
  <c r="BK298" i="24"/>
  <c r="S298" i="24"/>
  <c r="T298" i="24" s="1"/>
  <c r="M298" i="24"/>
  <c r="U298" i="24" s="1"/>
  <c r="AH94" i="25"/>
  <c r="BK274" i="24"/>
  <c r="S274" i="24"/>
  <c r="T274" i="24" s="1"/>
  <c r="M274" i="24"/>
  <c r="N274" i="24" s="1"/>
  <c r="K281" i="24"/>
  <c r="Q18" i="24"/>
  <c r="R18" i="24" s="1"/>
  <c r="P18" i="24"/>
  <c r="AP119" i="24"/>
  <c r="K168" i="24"/>
  <c r="BK143" i="24"/>
  <c r="S143" i="24"/>
  <c r="T143" i="24" s="1"/>
  <c r="M143" i="24"/>
  <c r="N143" i="24" s="1"/>
  <c r="AP143" i="24" s="1"/>
  <c r="K143" i="24"/>
  <c r="U6" i="25"/>
  <c r="BK202" i="24"/>
  <c r="S202" i="24"/>
  <c r="T202" i="24" s="1"/>
  <c r="M202" i="24"/>
  <c r="N202" i="24" s="1"/>
  <c r="K202" i="24"/>
  <c r="BK50" i="24"/>
  <c r="S50" i="24"/>
  <c r="T50" i="24" s="1"/>
  <c r="M50" i="24"/>
  <c r="N50" i="24" s="1"/>
  <c r="AP50" i="24" s="1"/>
  <c r="BQ132" i="25"/>
  <c r="U14" i="24"/>
  <c r="AH257" i="25"/>
  <c r="AH141" i="25"/>
  <c r="AH168" i="25"/>
  <c r="P283" i="25"/>
  <c r="O283" i="25"/>
  <c r="AO283" i="25" s="1"/>
  <c r="T283" i="25"/>
  <c r="P167" i="25"/>
  <c r="O167" i="25"/>
  <c r="AO167" i="25" s="1"/>
  <c r="T167" i="25"/>
  <c r="N313" i="24"/>
  <c r="AP313" i="24" s="1"/>
  <c r="P178" i="25"/>
  <c r="O178" i="25"/>
  <c r="AO178" i="25" s="1"/>
  <c r="T178" i="25"/>
  <c r="P248" i="25"/>
  <c r="O248" i="25"/>
  <c r="AO248" i="25" s="1"/>
  <c r="T248" i="25"/>
  <c r="P114" i="25"/>
  <c r="O114" i="25"/>
  <c r="AO114" i="25" s="1"/>
  <c r="T114" i="25"/>
  <c r="Q290" i="24"/>
  <c r="P290" i="24"/>
  <c r="P199" i="25"/>
  <c r="O199" i="25"/>
  <c r="AO199" i="25" s="1"/>
  <c r="AH186" i="25"/>
  <c r="BI226" i="25"/>
  <c r="L226" i="25"/>
  <c r="N226" i="25"/>
  <c r="Q14" i="24"/>
  <c r="R14" i="24" s="1"/>
  <c r="P14" i="24"/>
  <c r="AH29" i="25"/>
  <c r="BK185" i="24"/>
  <c r="S185" i="24"/>
  <c r="T185" i="24" s="1"/>
  <c r="M185" i="24"/>
  <c r="N185" i="24" s="1"/>
  <c r="N101" i="24"/>
  <c r="U101" i="24"/>
  <c r="BI38" i="25"/>
  <c r="N38" i="25"/>
  <c r="P257" i="25"/>
  <c r="O257" i="25"/>
  <c r="AO257" i="25" s="1"/>
  <c r="BK46" i="24"/>
  <c r="S46" i="24"/>
  <c r="T46" i="24" s="1"/>
  <c r="M46" i="24"/>
  <c r="AH152" i="25"/>
  <c r="BI239" i="25"/>
  <c r="N239" i="25"/>
  <c r="P186" i="25"/>
  <c r="O186" i="25"/>
  <c r="AO186" i="25" s="1"/>
  <c r="K250" i="24"/>
  <c r="L160" i="25"/>
  <c r="AH270" i="25"/>
  <c r="BK265" i="24"/>
  <c r="S265" i="24"/>
  <c r="T265" i="24" s="1"/>
  <c r="M265" i="24"/>
  <c r="N265" i="24" s="1"/>
  <c r="AP265" i="24" s="1"/>
  <c r="K265" i="24"/>
  <c r="BI132" i="25"/>
  <c r="N132" i="25"/>
  <c r="T132" i="25" s="1"/>
  <c r="L132" i="25"/>
  <c r="L162" i="25"/>
  <c r="N19" i="24"/>
  <c r="AP19" i="24" s="1"/>
  <c r="U19" i="24"/>
  <c r="P174" i="25"/>
  <c r="O174" i="25"/>
  <c r="AO174" i="25" s="1"/>
  <c r="P87" i="25"/>
  <c r="O87" i="25"/>
  <c r="T87" i="25"/>
  <c r="AH280" i="25"/>
  <c r="N185" i="25"/>
  <c r="T185" i="25" s="1"/>
  <c r="BI185" i="25"/>
  <c r="AH23" i="25"/>
  <c r="BK296" i="24"/>
  <c r="M296" i="24"/>
  <c r="N296" i="24" s="1"/>
  <c r="AP296" i="24" s="1"/>
  <c r="S296" i="24"/>
  <c r="T296" i="24" s="1"/>
  <c r="K296" i="24"/>
  <c r="U62" i="24"/>
  <c r="M243" i="24"/>
  <c r="N243" i="24" s="1"/>
  <c r="L185" i="25"/>
  <c r="AP163" i="24"/>
  <c r="BQ9" i="25"/>
  <c r="N241" i="25"/>
  <c r="T241" i="25" s="1"/>
  <c r="BI241" i="25"/>
  <c r="L241" i="25"/>
  <c r="BI58" i="25"/>
  <c r="N58" i="25"/>
  <c r="T58" i="25" s="1"/>
  <c r="L58" i="25"/>
  <c r="AH182" i="25"/>
  <c r="Q76" i="24"/>
  <c r="R76" i="24" s="1"/>
  <c r="P76" i="24"/>
  <c r="P25" i="24"/>
  <c r="Q25" i="24"/>
  <c r="R25" i="24" s="1"/>
  <c r="P276" i="25"/>
  <c r="O276" i="25"/>
  <c r="AO276" i="25" s="1"/>
  <c r="N226" i="24"/>
  <c r="N287" i="24"/>
  <c r="AP287" i="24" s="1"/>
  <c r="P247" i="25"/>
  <c r="O247" i="25"/>
  <c r="AO247" i="25" s="1"/>
  <c r="P161" i="25"/>
  <c r="O161" i="25"/>
  <c r="AO161" i="25" s="1"/>
  <c r="N306" i="24"/>
  <c r="P158" i="25"/>
  <c r="O158" i="25"/>
  <c r="AO158" i="25" s="1"/>
  <c r="T158" i="25"/>
  <c r="P21" i="25"/>
  <c r="O21" i="25"/>
  <c r="T21" i="25"/>
  <c r="N180" i="24"/>
  <c r="U180" i="24"/>
  <c r="P282" i="25"/>
  <c r="O282" i="25"/>
  <c r="AO282" i="25" s="1"/>
  <c r="T282" i="25"/>
  <c r="Q312" i="24"/>
  <c r="P312" i="24"/>
  <c r="Q272" i="24"/>
  <c r="P272" i="24"/>
  <c r="BI152" i="25"/>
  <c r="N152" i="25"/>
  <c r="T152" i="25" s="1"/>
  <c r="Q62" i="24"/>
  <c r="R62" i="24" s="1"/>
  <c r="P62" i="24"/>
  <c r="BK36" i="24"/>
  <c r="S36" i="24"/>
  <c r="T36" i="24" s="1"/>
  <c r="M36" i="24"/>
  <c r="N36" i="24" s="1"/>
  <c r="AP36" i="24" s="1"/>
  <c r="Q268" i="24"/>
  <c r="P268" i="24"/>
  <c r="BK138" i="24"/>
  <c r="S138" i="24"/>
  <c r="T138" i="24" s="1"/>
  <c r="M138" i="24"/>
  <c r="N138" i="24" s="1"/>
  <c r="AP138" i="24" s="1"/>
  <c r="BI193" i="25"/>
  <c r="N193" i="25"/>
  <c r="T193" i="25" s="1"/>
  <c r="BK273" i="24"/>
  <c r="S273" i="24"/>
  <c r="T273" i="24" s="1"/>
  <c r="M273" i="24"/>
  <c r="N273" i="24" s="1"/>
  <c r="AP273" i="24" s="1"/>
  <c r="K273" i="24"/>
  <c r="P232" i="25"/>
  <c r="O232" i="25"/>
  <c r="BK6" i="24"/>
  <c r="S6" i="24"/>
  <c r="T6" i="24" s="1"/>
  <c r="U6" i="24"/>
  <c r="N16" i="24"/>
  <c r="AP16" i="24" s="1"/>
  <c r="U16" i="24"/>
  <c r="N231" i="24"/>
  <c r="AP231" i="24" s="1"/>
  <c r="P150" i="24"/>
  <c r="Q150" i="24"/>
  <c r="N279" i="24"/>
  <c r="AP279" i="24" s="1"/>
  <c r="N234" i="24"/>
  <c r="AP234" i="24" s="1"/>
  <c r="P271" i="24"/>
  <c r="Q271" i="24"/>
  <c r="P229" i="25"/>
  <c r="O229" i="25"/>
  <c r="AO229" i="25" s="1"/>
  <c r="T229" i="25"/>
  <c r="P14" i="25"/>
  <c r="O14" i="25"/>
  <c r="T14" i="25"/>
  <c r="P261" i="25"/>
  <c r="O261" i="25"/>
  <c r="T261" i="25"/>
  <c r="P30" i="25"/>
  <c r="O30" i="25"/>
  <c r="BK12" i="24"/>
  <c r="S12" i="24"/>
  <c r="T12" i="24" s="1"/>
  <c r="M12" i="24"/>
  <c r="N12" i="24" s="1"/>
  <c r="AP12" i="24" s="1"/>
  <c r="BK74" i="24"/>
  <c r="S74" i="24"/>
  <c r="T74" i="24" s="1"/>
  <c r="M74" i="24"/>
  <c r="N74" i="24" s="1"/>
  <c r="AP74" i="24" s="1"/>
  <c r="AH208" i="25"/>
  <c r="AH74" i="25"/>
  <c r="BI203" i="25"/>
  <c r="BI30" i="25"/>
  <c r="L30" i="25"/>
  <c r="BI73" i="25"/>
  <c r="AH130" i="25"/>
  <c r="P182" i="24"/>
  <c r="Q182" i="24"/>
  <c r="AP182" i="24"/>
  <c r="BK269" i="24"/>
  <c r="S269" i="24"/>
  <c r="T269" i="24" s="1"/>
  <c r="M269" i="24"/>
  <c r="N269" i="24" s="1"/>
  <c r="BK245" i="24"/>
  <c r="S245" i="24"/>
  <c r="T245" i="24" s="1"/>
  <c r="BI175" i="25"/>
  <c r="AH238" i="25"/>
  <c r="BK222" i="24"/>
  <c r="S222" i="24"/>
  <c r="T222" i="24" s="1"/>
  <c r="Q119" i="24"/>
  <c r="P119" i="24"/>
  <c r="Q43" i="24"/>
  <c r="R43" i="24" s="1"/>
  <c r="P43" i="24"/>
  <c r="BK87" i="24"/>
  <c r="S87" i="24"/>
  <c r="T87" i="24" s="1"/>
  <c r="M87" i="24"/>
  <c r="N87" i="24" s="1"/>
  <c r="BI290" i="25"/>
  <c r="N290" i="25"/>
  <c r="T290" i="25" s="1"/>
  <c r="L290" i="25"/>
  <c r="BK284" i="24"/>
  <c r="S284" i="24"/>
  <c r="T284" i="24" s="1"/>
  <c r="BK81" i="24"/>
  <c r="S81" i="24"/>
  <c r="T81" i="24" s="1"/>
  <c r="BK208" i="24"/>
  <c r="S208" i="24"/>
  <c r="T208" i="24" s="1"/>
  <c r="BI263" i="25"/>
  <c r="BK297" i="24"/>
  <c r="S297" i="24"/>
  <c r="T297" i="24" s="1"/>
  <c r="K297" i="24"/>
  <c r="AH65" i="25"/>
  <c r="BK98" i="24"/>
  <c r="S98" i="24"/>
  <c r="T98" i="24" s="1"/>
  <c r="BI144" i="25"/>
  <c r="L144" i="25"/>
  <c r="P275" i="25"/>
  <c r="O275" i="25"/>
  <c r="AO275" i="25" s="1"/>
  <c r="BK35" i="24"/>
  <c r="S35" i="24"/>
  <c r="T35" i="24" s="1"/>
  <c r="BI102" i="25"/>
  <c r="BQ174" i="25"/>
  <c r="AH115" i="25"/>
  <c r="BK43" i="24"/>
  <c r="S43" i="24"/>
  <c r="T43" i="24" s="1"/>
  <c r="Q181" i="24"/>
  <c r="P181" i="24"/>
  <c r="AP271" i="24"/>
  <c r="BI101" i="25"/>
  <c r="BI289" i="25"/>
  <c r="BI50" i="25"/>
  <c r="N50" i="25"/>
  <c r="T50" i="25" s="1"/>
  <c r="BK136" i="24"/>
  <c r="S136" i="24"/>
  <c r="T136" i="24" s="1"/>
  <c r="BI47" i="25"/>
  <c r="AH258" i="25"/>
  <c r="AH134" i="25"/>
  <c r="AH207" i="25"/>
  <c r="BK258" i="24"/>
  <c r="S258" i="24"/>
  <c r="T258" i="24" s="1"/>
  <c r="M258" i="24"/>
  <c r="N258" i="24" s="1"/>
  <c r="AP258" i="24" s="1"/>
  <c r="BI35" i="25"/>
  <c r="N35" i="25"/>
  <c r="T35" i="25" s="1"/>
  <c r="BI91" i="25"/>
  <c r="N91" i="25"/>
  <c r="T91" i="25" s="1"/>
  <c r="AH57" i="25"/>
  <c r="BI24" i="25"/>
  <c r="N24" i="25"/>
  <c r="T24" i="25" s="1"/>
  <c r="L24" i="25"/>
  <c r="BI149" i="25"/>
  <c r="N149" i="25"/>
  <c r="T149" i="25" s="1"/>
  <c r="BK178" i="24"/>
  <c r="S178" i="24"/>
  <c r="T178" i="24" s="1"/>
  <c r="M178" i="24"/>
  <c r="N178" i="24" s="1"/>
  <c r="BI36" i="25"/>
  <c r="N36" i="25"/>
  <c r="T36" i="25" s="1"/>
  <c r="BI256" i="25"/>
  <c r="N256" i="25"/>
  <c r="T256" i="25" s="1"/>
  <c r="BI119" i="25"/>
  <c r="N119" i="25"/>
  <c r="T119" i="25" s="1"/>
  <c r="AH131" i="25"/>
  <c r="N61" i="25"/>
  <c r="T61" i="25" s="1"/>
  <c r="BI61" i="25"/>
  <c r="AH61" i="25"/>
  <c r="U293" i="25"/>
  <c r="AH146" i="25"/>
  <c r="AH294" i="25"/>
  <c r="AH264" i="25"/>
  <c r="BI88" i="25"/>
  <c r="BQ59" i="25"/>
  <c r="AH179" i="25"/>
  <c r="Q86" i="24"/>
  <c r="R86" i="24" s="1"/>
  <c r="P86" i="24"/>
  <c r="BK23" i="24"/>
  <c r="S23" i="24"/>
  <c r="T23" i="24" s="1"/>
  <c r="BK15" i="24"/>
  <c r="S15" i="24"/>
  <c r="T15" i="24" s="1"/>
  <c r="BK244" i="24"/>
  <c r="S244" i="24"/>
  <c r="T244" i="24" s="1"/>
  <c r="O22" i="24"/>
  <c r="BZ22" i="24" s="1"/>
  <c r="J22" i="24"/>
  <c r="BK201" i="24"/>
  <c r="S201" i="24"/>
  <c r="T201" i="24" s="1"/>
  <c r="T174" i="25"/>
  <c r="AH21" i="25"/>
  <c r="AH96" i="25"/>
  <c r="AH116" i="25"/>
  <c r="AH314" i="25"/>
  <c r="AH166" i="25"/>
  <c r="AH201" i="25"/>
  <c r="BK28" i="24"/>
  <c r="S28" i="24"/>
  <c r="T28" i="24" s="1"/>
  <c r="BQ261" i="25"/>
  <c r="BI172" i="25"/>
  <c r="BK172" i="24"/>
  <c r="S172" i="24"/>
  <c r="T172" i="24" s="1"/>
  <c r="AH272" i="25"/>
  <c r="AH89" i="25"/>
  <c r="AH110" i="25"/>
  <c r="BI305" i="25"/>
  <c r="BI275" i="25"/>
  <c r="AH275" i="25"/>
  <c r="AH262" i="25"/>
  <c r="BK254" i="24"/>
  <c r="S254" i="24"/>
  <c r="T254" i="24" s="1"/>
  <c r="BK230" i="24"/>
  <c r="S230" i="24"/>
  <c r="T230" i="24" s="1"/>
  <c r="BK171" i="24"/>
  <c r="S171" i="24"/>
  <c r="T171" i="24" s="1"/>
  <c r="K171" i="24"/>
  <c r="P204" i="25"/>
  <c r="O204" i="25"/>
  <c r="AO204" i="25" s="1"/>
  <c r="AH295" i="25"/>
  <c r="BK275" i="24"/>
  <c r="S275" i="24"/>
  <c r="T275" i="24" s="1"/>
  <c r="BI234" i="25"/>
  <c r="BK135" i="24"/>
  <c r="S135" i="24"/>
  <c r="T135" i="24" s="1"/>
  <c r="BI316" i="25"/>
  <c r="BI298" i="25"/>
  <c r="BI244" i="25"/>
  <c r="AH244" i="25"/>
  <c r="BK85" i="24"/>
  <c r="S85" i="24"/>
  <c r="T85" i="24" s="1"/>
  <c r="AH43" i="25"/>
  <c r="AH54" i="25"/>
  <c r="AH46" i="25"/>
  <c r="BI51" i="25"/>
  <c r="N51" i="25"/>
  <c r="T51" i="25" s="1"/>
  <c r="AH72" i="25"/>
  <c r="AH171" i="25"/>
  <c r="M81" i="24"/>
  <c r="N81" i="24" s="1"/>
  <c r="BQ301" i="25"/>
  <c r="BQ60" i="25"/>
  <c r="AH217" i="25"/>
  <c r="BI17" i="25"/>
  <c r="N17" i="25"/>
  <c r="T17" i="25" s="1"/>
  <c r="BK91" i="24"/>
  <c r="S91" i="24"/>
  <c r="T91" i="24" s="1"/>
  <c r="M91" i="24"/>
  <c r="N91" i="24" s="1"/>
  <c r="AP91" i="24" s="1"/>
  <c r="BI136" i="25"/>
  <c r="N136" i="25"/>
  <c r="T136" i="25" s="1"/>
  <c r="L136" i="25"/>
  <c r="BI128" i="25"/>
  <c r="N128" i="25"/>
  <c r="T128" i="25" s="1"/>
  <c r="L128" i="25"/>
  <c r="AH222" i="25"/>
  <c r="BK9" i="24"/>
  <c r="S9" i="24"/>
  <c r="T9" i="24" s="1"/>
  <c r="AH154" i="25"/>
  <c r="M15" i="24"/>
  <c r="N15" i="24" s="1"/>
  <c r="AP15" i="24" s="1"/>
  <c r="N75" i="25"/>
  <c r="M208" i="24"/>
  <c r="N208" i="24" s="1"/>
  <c r="M305" i="24"/>
  <c r="N305" i="24" s="1"/>
  <c r="M85" i="24"/>
  <c r="M34" i="24"/>
  <c r="N34" i="24" s="1"/>
  <c r="AP34" i="24" s="1"/>
  <c r="P131" i="25"/>
  <c r="O131" i="25"/>
  <c r="N144" i="25"/>
  <c r="T144" i="25" s="1"/>
  <c r="BI159" i="25"/>
  <c r="N159" i="25"/>
  <c r="BI52" i="25"/>
  <c r="BI270" i="25"/>
  <c r="N270" i="25"/>
  <c r="T270" i="25" s="1"/>
  <c r="BK114" i="24"/>
  <c r="S114" i="24"/>
  <c r="T114" i="24" s="1"/>
  <c r="M114" i="24"/>
  <c r="K114" i="24"/>
  <c r="BK68" i="24"/>
  <c r="S68" i="24"/>
  <c r="T68" i="24" s="1"/>
  <c r="AH13" i="25"/>
  <c r="AH160" i="25"/>
  <c r="BK122" i="24"/>
  <c r="S122" i="24"/>
  <c r="T122" i="24" s="1"/>
  <c r="AP18" i="24"/>
  <c r="P6" i="25"/>
  <c r="O6" i="25"/>
  <c r="AH193" i="25"/>
  <c r="BI180" i="25"/>
  <c r="BI6" i="25"/>
  <c r="AH122" i="25"/>
  <c r="AH16" i="25"/>
  <c r="AH162" i="25"/>
  <c r="AH226" i="25"/>
  <c r="BK302" i="24"/>
  <c r="S302" i="24"/>
  <c r="T302" i="24" s="1"/>
  <c r="M302" i="24"/>
  <c r="N302" i="24" s="1"/>
  <c r="BK256" i="24"/>
  <c r="S256" i="24"/>
  <c r="T256" i="24" s="1"/>
  <c r="AH246" i="25"/>
  <c r="AH73" i="25"/>
  <c r="BI157" i="25"/>
  <c r="N157" i="25"/>
  <c r="BI315" i="25"/>
  <c r="N315" i="25"/>
  <c r="AH125" i="25"/>
  <c r="AH241" i="25"/>
  <c r="AP6" i="24"/>
  <c r="K129" i="24"/>
  <c r="AP129" i="24"/>
  <c r="M118" i="24"/>
  <c r="N118" i="24" s="1"/>
  <c r="L182" i="25"/>
  <c r="BI37" i="25"/>
  <c r="AH70" i="25"/>
  <c r="BK307" i="24"/>
  <c r="S307" i="24"/>
  <c r="T307" i="24" s="1"/>
  <c r="BI210" i="25"/>
  <c r="K241" i="24"/>
  <c r="L157" i="25"/>
  <c r="AH53" i="25"/>
  <c r="BK99" i="24"/>
  <c r="S99" i="24"/>
  <c r="T99" i="24" s="1"/>
  <c r="M99" i="24"/>
  <c r="N99" i="24" s="1"/>
  <c r="AP99" i="24" s="1"/>
  <c r="BK314" i="24"/>
  <c r="M314" i="24"/>
  <c r="N314" i="24" s="1"/>
  <c r="AP314" i="24" s="1"/>
  <c r="S314" i="24"/>
  <c r="T314" i="24" s="1"/>
  <c r="K314" i="24"/>
  <c r="BK103" i="24"/>
  <c r="S103" i="24"/>
  <c r="T103" i="24" s="1"/>
  <c r="M103" i="24"/>
  <c r="AH194" i="25"/>
  <c r="BI120" i="25"/>
  <c r="N120" i="25"/>
  <c r="T120" i="25" s="1"/>
  <c r="BI125" i="25"/>
  <c r="U22" i="24"/>
  <c r="BK117" i="24"/>
  <c r="S117" i="24"/>
  <c r="T117" i="24" s="1"/>
  <c r="M117" i="24"/>
  <c r="T30" i="25"/>
  <c r="BI271" i="25"/>
  <c r="K269" i="24"/>
  <c r="L82" i="25"/>
  <c r="K222" i="24"/>
  <c r="L92" i="25"/>
  <c r="AH92" i="25"/>
  <c r="AH281" i="25"/>
  <c r="K159" i="24"/>
  <c r="O119" i="24"/>
  <c r="BZ119" i="24" s="1"/>
  <c r="J119" i="24"/>
  <c r="K150" i="24"/>
  <c r="AH263" i="25"/>
  <c r="BK40" i="24"/>
  <c r="S40" i="24"/>
  <c r="T40" i="24" s="1"/>
  <c r="BI66" i="25"/>
  <c r="BI247" i="25"/>
  <c r="AH148" i="25"/>
  <c r="BQ144" i="25"/>
  <c r="P296" i="25"/>
  <c r="O296" i="25"/>
  <c r="AO296" i="25" s="1"/>
  <c r="AH254" i="25"/>
  <c r="BK246" i="24"/>
  <c r="S246" i="24"/>
  <c r="T246" i="24" s="1"/>
  <c r="M115" i="24"/>
  <c r="N115" i="24" s="1"/>
  <c r="AP115" i="24" s="1"/>
  <c r="BQ31" i="25"/>
  <c r="L31" i="25"/>
  <c r="U44" i="24"/>
  <c r="AP44" i="24"/>
  <c r="BI115" i="25"/>
  <c r="U43" i="24"/>
  <c r="BI80" i="25"/>
  <c r="N80" i="25"/>
  <c r="T80" i="25" s="1"/>
  <c r="Q53" i="24"/>
  <c r="R53" i="24" s="1"/>
  <c r="P53" i="24"/>
  <c r="BK156" i="24"/>
  <c r="S156" i="24"/>
  <c r="T156" i="24" s="1"/>
  <c r="K156" i="24"/>
  <c r="BI45" i="25"/>
  <c r="BQ289" i="25"/>
  <c r="AH304" i="25"/>
  <c r="BI235" i="25"/>
  <c r="BK11" i="24"/>
  <c r="S11" i="24"/>
  <c r="T11" i="24" s="1"/>
  <c r="M11" i="24"/>
  <c r="N11" i="24" s="1"/>
  <c r="AP11" i="24" s="1"/>
  <c r="AH181" i="25"/>
  <c r="BK301" i="24"/>
  <c r="S301" i="24"/>
  <c r="T301" i="24" s="1"/>
  <c r="BI242" i="25"/>
  <c r="L242" i="25"/>
  <c r="AH121" i="25"/>
  <c r="BI112" i="25"/>
  <c r="BI97" i="25"/>
  <c r="AH25" i="25"/>
  <c r="L91" i="25"/>
  <c r="BI98" i="25"/>
  <c r="N98" i="25"/>
  <c r="AH98" i="25"/>
  <c r="BI140" i="25"/>
  <c r="N140" i="25"/>
  <c r="AH140" i="25"/>
  <c r="BI196" i="25"/>
  <c r="N196" i="25"/>
  <c r="L196" i="25"/>
  <c r="K178" i="24"/>
  <c r="BI308" i="25"/>
  <c r="N308" i="25"/>
  <c r="T308" i="25" s="1"/>
  <c r="AH308" i="25"/>
  <c r="AH268" i="25"/>
  <c r="BI133" i="25"/>
  <c r="N133" i="25"/>
  <c r="T133" i="25" s="1"/>
  <c r="AH133" i="25"/>
  <c r="P48" i="24"/>
  <c r="Q48" i="24"/>
  <c r="R48" i="24" s="1"/>
  <c r="BK278" i="24"/>
  <c r="S278" i="24"/>
  <c r="T278" i="24" s="1"/>
  <c r="M278" i="24"/>
  <c r="N278" i="24" s="1"/>
  <c r="AP278" i="24" s="1"/>
  <c r="K235" i="24"/>
  <c r="BI27" i="25"/>
  <c r="N27" i="25"/>
  <c r="AP236" i="24"/>
  <c r="BI294" i="25"/>
  <c r="N294" i="25"/>
  <c r="T294" i="25" s="1"/>
  <c r="BI183" i="25"/>
  <c r="N183" i="25"/>
  <c r="U86" i="24"/>
  <c r="BK53" i="24"/>
  <c r="S53" i="24"/>
  <c r="T53" i="24" s="1"/>
  <c r="AH187" i="25"/>
  <c r="BI178" i="25"/>
  <c r="AH126" i="25"/>
  <c r="AH118" i="25"/>
  <c r="BI116" i="25"/>
  <c r="BI227" i="25"/>
  <c r="N227" i="25"/>
  <c r="T227" i="25" s="1"/>
  <c r="BK17" i="24"/>
  <c r="S17" i="24"/>
  <c r="T17" i="24" s="1"/>
  <c r="BK90" i="24"/>
  <c r="S90" i="24"/>
  <c r="T90" i="24" s="1"/>
  <c r="K180" i="24"/>
  <c r="BK128" i="24"/>
  <c r="S128" i="24"/>
  <c r="T128" i="24" s="1"/>
  <c r="AP47" i="24"/>
  <c r="BK93" i="24"/>
  <c r="S93" i="24"/>
  <c r="T93" i="24" s="1"/>
  <c r="BK139" i="24"/>
  <c r="S139" i="24"/>
  <c r="T139" i="24" s="1"/>
  <c r="AH261" i="25"/>
  <c r="L172" i="25"/>
  <c r="L282" i="25"/>
  <c r="U172" i="24"/>
  <c r="BQ89" i="25"/>
  <c r="L305" i="25"/>
  <c r="T275" i="25"/>
  <c r="M254" i="24"/>
  <c r="N254" i="24" s="1"/>
  <c r="AP254" i="24" s="1"/>
  <c r="BQ204" i="25"/>
  <c r="K120" i="24"/>
  <c r="BI221" i="25"/>
  <c r="BQ260" i="25"/>
  <c r="K312" i="24"/>
  <c r="BQ234" i="25"/>
  <c r="L234" i="25"/>
  <c r="BI111" i="25"/>
  <c r="N111" i="25"/>
  <c r="T111" i="25" s="1"/>
  <c r="AP25" i="24"/>
  <c r="BK184" i="24"/>
  <c r="S184" i="24"/>
  <c r="T184" i="24" s="1"/>
  <c r="AH33" i="25"/>
  <c r="AH15" i="25"/>
  <c r="BQ39" i="25"/>
  <c r="BI243" i="25"/>
  <c r="AH243" i="25"/>
  <c r="BI199" i="25"/>
  <c r="BQ138" i="25"/>
  <c r="L244" i="25"/>
  <c r="BI191" i="25"/>
  <c r="N191" i="25"/>
  <c r="T191" i="25" s="1"/>
  <c r="M169" i="24"/>
  <c r="N169" i="24" s="1"/>
  <c r="AP169" i="24" s="1"/>
  <c r="AH312" i="25"/>
  <c r="AH40" i="25"/>
  <c r="BI68" i="25"/>
  <c r="N68" i="25"/>
  <c r="BI18" i="25"/>
  <c r="N18" i="25"/>
  <c r="AH51" i="25"/>
  <c r="BK166" i="24"/>
  <c r="S166" i="24"/>
  <c r="T166" i="24" s="1"/>
  <c r="M166" i="24"/>
  <c r="N166" i="24" s="1"/>
  <c r="AH301" i="25"/>
  <c r="BI100" i="25"/>
  <c r="N100" i="25"/>
  <c r="AH84" i="25"/>
  <c r="BI231" i="25"/>
  <c r="N231" i="25"/>
  <c r="L231" i="25"/>
  <c r="N60" i="25"/>
  <c r="T60" i="25" s="1"/>
  <c r="BI60" i="25"/>
  <c r="BI310" i="25"/>
  <c r="N310" i="25"/>
  <c r="T310" i="25" s="1"/>
  <c r="BK189" i="24"/>
  <c r="S189" i="24"/>
  <c r="T189" i="24" s="1"/>
  <c r="M189" i="24"/>
  <c r="N189" i="24" s="1"/>
  <c r="AP189" i="24" s="1"/>
  <c r="BQ284" i="25"/>
  <c r="N217" i="25"/>
  <c r="BI217" i="25"/>
  <c r="BI56" i="25"/>
  <c r="N56" i="25"/>
  <c r="BI222" i="25"/>
  <c r="N222" i="25"/>
  <c r="L222" i="25"/>
  <c r="BK72" i="24"/>
  <c r="S72" i="24"/>
  <c r="T72" i="24" s="1"/>
  <c r="M210" i="24"/>
  <c r="N244" i="25"/>
  <c r="T244" i="25" s="1"/>
  <c r="N235" i="25"/>
  <c r="T235" i="25" s="1"/>
  <c r="M297" i="24"/>
  <c r="M244" i="24"/>
  <c r="N244" i="24" s="1"/>
  <c r="AP244" i="24" s="1"/>
  <c r="N124" i="25"/>
  <c r="T124" i="25" s="1"/>
  <c r="M245" i="24"/>
  <c r="N245" i="24" s="1"/>
  <c r="P293" i="25"/>
  <c r="O293" i="25"/>
  <c r="N220" i="25"/>
  <c r="M275" i="24"/>
  <c r="N254" i="25"/>
  <c r="T254" i="25" s="1"/>
  <c r="BI186" i="25"/>
  <c r="L52" i="25"/>
  <c r="AH52" i="25"/>
  <c r="BK177" i="24"/>
  <c r="S177" i="24"/>
  <c r="T177" i="24" s="1"/>
  <c r="AH6" i="25"/>
  <c r="AH77" i="25"/>
  <c r="AH206" i="25"/>
  <c r="BK252" i="24"/>
  <c r="S252" i="24"/>
  <c r="T252" i="24" s="1"/>
  <c r="BK75" i="24"/>
  <c r="S75" i="24"/>
  <c r="T75" i="24" s="1"/>
  <c r="M75" i="24"/>
  <c r="N75" i="24" s="1"/>
  <c r="BQ163" i="25"/>
  <c r="BI192" i="25"/>
  <c r="AH93" i="25"/>
  <c r="BK272" i="24"/>
  <c r="S272" i="24"/>
  <c r="T272" i="24" s="1"/>
  <c r="BK14" i="24"/>
  <c r="S14" i="24"/>
  <c r="T14" i="24" s="1"/>
  <c r="AP24" i="24"/>
  <c r="Q133" i="24"/>
  <c r="P133" i="24"/>
  <c r="AH143" i="25"/>
  <c r="BI163" i="25"/>
  <c r="N163" i="25"/>
  <c r="T163" i="25" s="1"/>
  <c r="BI137" i="25"/>
  <c r="N137" i="25"/>
  <c r="T137" i="25" s="1"/>
  <c r="AH42" i="25"/>
  <c r="U21" i="24"/>
  <c r="AH232" i="25"/>
  <c r="AP205" i="24"/>
  <c r="BQ105" i="25"/>
  <c r="AH177" i="25"/>
  <c r="BK247" i="24"/>
  <c r="S247" i="24"/>
  <c r="T247" i="24" s="1"/>
  <c r="BK176" i="24"/>
  <c r="S176" i="24"/>
  <c r="T176" i="24" s="1"/>
  <c r="M176" i="24"/>
  <c r="N176" i="24" s="1"/>
  <c r="AP176" i="24" s="1"/>
  <c r="BK71" i="24"/>
  <c r="S71" i="24"/>
  <c r="T71" i="24" s="1"/>
  <c r="BI165" i="25"/>
  <c r="AH190" i="25"/>
  <c r="L163" i="25"/>
  <c r="AH279" i="25"/>
  <c r="BK277" i="24"/>
  <c r="S277" i="24"/>
  <c r="T277" i="24" s="1"/>
  <c r="M277" i="24"/>
  <c r="U277" i="24" s="1"/>
  <c r="K277" i="24"/>
  <c r="M195" i="24"/>
  <c r="AH145" i="25"/>
  <c r="BK225" i="24"/>
  <c r="S225" i="24"/>
  <c r="T225" i="24" s="1"/>
  <c r="K117" i="24"/>
  <c r="BK232" i="24"/>
  <c r="S232" i="24"/>
  <c r="T232" i="24" s="1"/>
  <c r="M232" i="24"/>
  <c r="U232" i="24" s="1"/>
  <c r="BI174" i="25"/>
  <c r="M253" i="24"/>
  <c r="BK137" i="24"/>
  <c r="S137" i="24"/>
  <c r="T137" i="24" s="1"/>
  <c r="N219" i="25"/>
  <c r="BK182" i="24"/>
  <c r="S182" i="24"/>
  <c r="T182" i="24" s="1"/>
  <c r="AH150" i="25"/>
  <c r="K231" i="24"/>
  <c r="BI12" i="25"/>
  <c r="BI142" i="25"/>
  <c r="AH142" i="25"/>
  <c r="AH175" i="25"/>
  <c r="BK263" i="24"/>
  <c r="S263" i="24"/>
  <c r="T263" i="24" s="1"/>
  <c r="M263" i="24"/>
  <c r="U263" i="24" s="1"/>
  <c r="M159" i="24"/>
  <c r="N159" i="24" s="1"/>
  <c r="AP159" i="24" s="1"/>
  <c r="AH198" i="25"/>
  <c r="BI200" i="25"/>
  <c r="N200" i="25"/>
  <c r="BK187" i="24"/>
  <c r="S187" i="24"/>
  <c r="T187" i="24" s="1"/>
  <c r="M187" i="24"/>
  <c r="BK8" i="24"/>
  <c r="S8" i="24"/>
  <c r="T8" i="24" s="1"/>
  <c r="AH276" i="25"/>
  <c r="BI283" i="25"/>
  <c r="AH283" i="25"/>
  <c r="AH167" i="25"/>
  <c r="K287" i="24"/>
  <c r="AH66" i="25"/>
  <c r="T247" i="25"/>
  <c r="BI10" i="25"/>
  <c r="AH161" i="25"/>
  <c r="P292" i="24"/>
  <c r="Q292" i="24"/>
  <c r="L115" i="25"/>
  <c r="U181" i="24"/>
  <c r="BI307" i="25"/>
  <c r="AH311" i="25"/>
  <c r="AH80" i="25"/>
  <c r="AH235" i="25"/>
  <c r="N277" i="25"/>
  <c r="BI277" i="25"/>
  <c r="BK203" i="24"/>
  <c r="S203" i="24"/>
  <c r="T203" i="24" s="1"/>
  <c r="AH229" i="25"/>
  <c r="L50" i="25"/>
  <c r="AH97" i="25"/>
  <c r="BI225" i="25"/>
  <c r="AH225" i="25"/>
  <c r="P162" i="24"/>
  <c r="Q162" i="24"/>
  <c r="AP237" i="24"/>
  <c r="AH62" i="25"/>
  <c r="BI230" i="25"/>
  <c r="N230" i="25"/>
  <c r="AH20" i="25"/>
  <c r="AH22" i="25"/>
  <c r="AH123" i="25"/>
  <c r="AH135" i="25"/>
  <c r="BK217" i="24"/>
  <c r="S217" i="24"/>
  <c r="T217" i="24" s="1"/>
  <c r="M217" i="24"/>
  <c r="N217" i="24" s="1"/>
  <c r="BI274" i="25"/>
  <c r="N274" i="25"/>
  <c r="AH41" i="25"/>
  <c r="AH119" i="25"/>
  <c r="BI209" i="25"/>
  <c r="N209" i="25"/>
  <c r="M28" i="24"/>
  <c r="N28" i="24" s="1"/>
  <c r="AP28" i="24" s="1"/>
  <c r="AH27" i="25"/>
  <c r="BK262" i="24"/>
  <c r="S262" i="24"/>
  <c r="T262" i="24" s="1"/>
  <c r="M262" i="24"/>
  <c r="U262" i="24" s="1"/>
  <c r="L61" i="25"/>
  <c r="L294" i="25"/>
  <c r="BI264" i="25"/>
  <c r="BK161" i="24"/>
  <c r="S161" i="24"/>
  <c r="T161" i="24" s="1"/>
  <c r="J160" i="24"/>
  <c r="O160" i="24"/>
  <c r="BZ160" i="24" s="1"/>
  <c r="N52" i="25"/>
  <c r="T52" i="25" s="1"/>
  <c r="BK86" i="24"/>
  <c r="S86" i="24"/>
  <c r="T86" i="24" s="1"/>
  <c r="AP86" i="24"/>
  <c r="AH49" i="25"/>
  <c r="U53" i="24"/>
  <c r="BK89" i="24"/>
  <c r="S89" i="24"/>
  <c r="T89" i="24" s="1"/>
  <c r="M201" i="24"/>
  <c r="N201" i="24" s="1"/>
  <c r="L174" i="25"/>
  <c r="L21" i="25"/>
  <c r="L116" i="25"/>
  <c r="AH34" i="25"/>
  <c r="BI287" i="25"/>
  <c r="BQ166" i="25"/>
  <c r="L201" i="25"/>
  <c r="BK315" i="24"/>
  <c r="S315" i="24"/>
  <c r="T315" i="24" s="1"/>
  <c r="BI89" i="25"/>
  <c r="L89" i="25"/>
  <c r="BQ124" i="25"/>
  <c r="AH302" i="25"/>
  <c r="BI223" i="25"/>
  <c r="T305" i="25"/>
  <c r="O21" i="24"/>
  <c r="BZ21" i="24" s="1"/>
  <c r="J21" i="24"/>
  <c r="K230" i="24"/>
  <c r="T204" i="25"/>
  <c r="M247" i="24"/>
  <c r="U247" i="24" s="1"/>
  <c r="BQ221" i="25"/>
  <c r="AH278" i="25"/>
  <c r="BI260" i="25"/>
  <c r="AP312" i="24"/>
  <c r="BQ184" i="25"/>
  <c r="AH184" i="25"/>
  <c r="AH75" i="25"/>
  <c r="BK80" i="24"/>
  <c r="S80" i="24"/>
  <c r="T80" i="24" s="1"/>
  <c r="BQ309" i="25"/>
  <c r="BI39" i="25"/>
  <c r="AH39" i="25"/>
  <c r="AH316" i="25"/>
  <c r="BQ243" i="25"/>
  <c r="AH199" i="25"/>
  <c r="AH155" i="25"/>
  <c r="BQ45" i="25"/>
  <c r="BK239" i="24"/>
  <c r="S239" i="24"/>
  <c r="T239" i="24" s="1"/>
  <c r="M239" i="24"/>
  <c r="U239" i="24" s="1"/>
  <c r="BI139" i="25"/>
  <c r="N139" i="25"/>
  <c r="AH18" i="25"/>
  <c r="BI67" i="25"/>
  <c r="N67" i="25"/>
  <c r="AH67" i="25"/>
  <c r="BI288" i="25"/>
  <c r="N288" i="25"/>
  <c r="AH64" i="25"/>
  <c r="AH310" i="25"/>
  <c r="AH17" i="25"/>
  <c r="BQ56" i="25"/>
  <c r="BQ222" i="25"/>
  <c r="AH291" i="25"/>
  <c r="M80" i="24"/>
  <c r="P236" i="24"/>
  <c r="Q236" i="24"/>
  <c r="AO110" i="25"/>
  <c r="R110" i="25"/>
  <c r="S110" i="25"/>
  <c r="K110" i="25" s="1"/>
  <c r="Q110" i="25"/>
  <c r="N45" i="25"/>
  <c r="T45" i="25" s="1"/>
  <c r="N115" i="25"/>
  <c r="N142" i="25"/>
  <c r="N251" i="25"/>
  <c r="N39" i="25"/>
  <c r="M128" i="24"/>
  <c r="N128" i="24" s="1"/>
  <c r="AP128" i="24" s="1"/>
  <c r="M35" i="24"/>
  <c r="N35" i="24" s="1"/>
  <c r="M301" i="24"/>
  <c r="M315" i="24"/>
  <c r="U315" i="24" s="1"/>
  <c r="N223" i="25"/>
  <c r="AP190" i="24"/>
  <c r="BK192" i="24"/>
  <c r="S192" i="24"/>
  <c r="T192" i="24" s="1"/>
  <c r="M192" i="24"/>
  <c r="N192" i="24" s="1"/>
  <c r="AP192" i="24" s="1"/>
  <c r="BK198" i="24"/>
  <c r="S198" i="24"/>
  <c r="T198" i="24" s="1"/>
  <c r="M198" i="24"/>
  <c r="N198" i="24" s="1"/>
  <c r="AP198" i="24" s="1"/>
  <c r="BI246" i="25"/>
  <c r="BI145" i="25"/>
  <c r="N145" i="25"/>
  <c r="T145" i="25" s="1"/>
  <c r="BK241" i="24"/>
  <c r="S241" i="24"/>
  <c r="T241" i="24" s="1"/>
  <c r="M241" i="24"/>
  <c r="N241" i="24" s="1"/>
  <c r="AH120" i="25"/>
  <c r="AH176" i="25"/>
  <c r="AH218" i="25"/>
  <c r="BK102" i="24"/>
  <c r="S102" i="24"/>
  <c r="T102" i="24" s="1"/>
  <c r="M102" i="24"/>
  <c r="N102" i="24" s="1"/>
  <c r="BK194" i="24"/>
  <c r="S194" i="24"/>
  <c r="T194" i="24" s="1"/>
  <c r="M194" i="24"/>
  <c r="BI236" i="25"/>
  <c r="N236" i="25"/>
  <c r="T236" i="25" s="1"/>
  <c r="AH245" i="25"/>
  <c r="AO129" i="25"/>
  <c r="AH129" i="25"/>
  <c r="BI126" i="25"/>
  <c r="AH219" i="25"/>
  <c r="AH104" i="25"/>
  <c r="BK73" i="24"/>
  <c r="S73" i="24"/>
  <c r="T73" i="24" s="1"/>
  <c r="M73" i="24"/>
  <c r="N73" i="24" s="1"/>
  <c r="BK76" i="24"/>
  <c r="S76" i="24"/>
  <c r="T76" i="24" s="1"/>
  <c r="U182" i="24"/>
  <c r="BI82" i="25"/>
  <c r="BK34" i="24"/>
  <c r="S34" i="24"/>
  <c r="T34" i="24" s="1"/>
  <c r="BK154" i="24"/>
  <c r="S154" i="24"/>
  <c r="T154" i="24" s="1"/>
  <c r="BK144" i="24"/>
  <c r="S144" i="24"/>
  <c r="T144" i="24" s="1"/>
  <c r="BI281" i="25"/>
  <c r="BK112" i="24"/>
  <c r="S112" i="24"/>
  <c r="T112" i="24" s="1"/>
  <c r="Q188" i="24"/>
  <c r="P188" i="24"/>
  <c r="P198" i="25"/>
  <c r="O198" i="25"/>
  <c r="AH290" i="25"/>
  <c r="BK150" i="24"/>
  <c r="S150" i="24"/>
  <c r="T150" i="24" s="1"/>
  <c r="BK13" i="24"/>
  <c r="S13" i="24"/>
  <c r="T13" i="24" s="1"/>
  <c r="AH306" i="25"/>
  <c r="P219" i="24"/>
  <c r="Q219" i="24"/>
  <c r="BI65" i="25"/>
  <c r="P305" i="25"/>
  <c r="O305" i="25"/>
  <c r="AO305" i="25" s="1"/>
  <c r="BI147" i="25"/>
  <c r="BI254" i="25"/>
  <c r="AH102" i="25"/>
  <c r="BK115" i="24"/>
  <c r="S115" i="24"/>
  <c r="T115" i="24" s="1"/>
  <c r="BI31" i="25"/>
  <c r="Q44" i="24"/>
  <c r="R44" i="24" s="1"/>
  <c r="P44" i="24"/>
  <c r="AP43" i="24"/>
  <c r="P127" i="24"/>
  <c r="Q127" i="24"/>
  <c r="BK300" i="24"/>
  <c r="S300" i="24"/>
  <c r="T300" i="24" s="1"/>
  <c r="BK49" i="24"/>
  <c r="S49" i="24"/>
  <c r="T49" i="24" s="1"/>
  <c r="BI181" i="25"/>
  <c r="L181" i="25"/>
  <c r="K136" i="24"/>
  <c r="M98" i="24"/>
  <c r="N98" i="24" s="1"/>
  <c r="BK238" i="24"/>
  <c r="S238" i="24"/>
  <c r="T238" i="24" s="1"/>
  <c r="P177" i="25"/>
  <c r="O177" i="25"/>
  <c r="J162" i="24"/>
  <c r="O162" i="24"/>
  <c r="BZ162" i="24" s="1"/>
  <c r="BK237" i="24"/>
  <c r="S237" i="24"/>
  <c r="T237" i="24" s="1"/>
  <c r="BK175" i="24"/>
  <c r="S175" i="24"/>
  <c r="T175" i="24" s="1"/>
  <c r="M175" i="24"/>
  <c r="N175" i="24" s="1"/>
  <c r="BI85" i="25"/>
  <c r="N85" i="25"/>
  <c r="T85" i="25" s="1"/>
  <c r="BI57" i="25"/>
  <c r="N57" i="25"/>
  <c r="T57" i="25" s="1"/>
  <c r="BI153" i="25"/>
  <c r="N153" i="25"/>
  <c r="T153" i="25" s="1"/>
  <c r="AH286" i="25"/>
  <c r="L119" i="25"/>
  <c r="BI69" i="25"/>
  <c r="N69" i="25"/>
  <c r="T69" i="25" s="1"/>
  <c r="BK235" i="24"/>
  <c r="S235" i="24"/>
  <c r="T235" i="24" s="1"/>
  <c r="M235" i="24"/>
  <c r="N235" i="24" s="1"/>
  <c r="AP235" i="24" s="1"/>
  <c r="AH299" i="25"/>
  <c r="BI146" i="25"/>
  <c r="N146" i="25"/>
  <c r="T146" i="25" s="1"/>
  <c r="AH224" i="25"/>
  <c r="BK197" i="24"/>
  <c r="S197" i="24"/>
  <c r="T197" i="24" s="1"/>
  <c r="BK127" i="24"/>
  <c r="S127" i="24"/>
  <c r="T127" i="24" s="1"/>
  <c r="BK199" i="24"/>
  <c r="S199" i="24"/>
  <c r="T199" i="24" s="1"/>
  <c r="AH14" i="25"/>
  <c r="L187" i="25"/>
  <c r="BK65" i="24"/>
  <c r="S65" i="24"/>
  <c r="T65" i="24" s="1"/>
  <c r="L267" i="25"/>
  <c r="BI43" i="25"/>
  <c r="N43" i="25"/>
  <c r="T43" i="25" s="1"/>
  <c r="BI118" i="25"/>
  <c r="L118" i="25"/>
  <c r="BK69" i="24"/>
  <c r="S69" i="24"/>
  <c r="T69" i="24" s="1"/>
  <c r="M69" i="24"/>
  <c r="N69" i="24" s="1"/>
  <c r="AP69" i="24" s="1"/>
  <c r="AH227" i="25"/>
  <c r="U61" i="24"/>
  <c r="AH259" i="25"/>
  <c r="AH287" i="25"/>
  <c r="BQ90" i="25"/>
  <c r="BI285" i="25"/>
  <c r="BI166" i="25"/>
  <c r="BK48" i="24"/>
  <c r="S48" i="24"/>
  <c r="T48" i="24" s="1"/>
  <c r="M65" i="24"/>
  <c r="N65" i="24" s="1"/>
  <c r="AP65" i="24" s="1"/>
  <c r="BI124" i="25"/>
  <c r="AH248" i="25"/>
  <c r="BQ223" i="25"/>
  <c r="AH223" i="25"/>
  <c r="BK270" i="24"/>
  <c r="S270" i="24"/>
  <c r="T270" i="24" s="1"/>
  <c r="BI184" i="25"/>
  <c r="L184" i="25"/>
  <c r="BI63" i="25"/>
  <c r="N63" i="25"/>
  <c r="BI309" i="25"/>
  <c r="AH309" i="25"/>
  <c r="BK196" i="24"/>
  <c r="S196" i="24"/>
  <c r="T196" i="24" s="1"/>
  <c r="BK242" i="24"/>
  <c r="S242" i="24"/>
  <c r="T242" i="24" s="1"/>
  <c r="L316" i="25"/>
  <c r="L298" i="25"/>
  <c r="BI233" i="25"/>
  <c r="AH233" i="25"/>
  <c r="BQ155" i="25"/>
  <c r="BI54" i="25"/>
  <c r="N54" i="25"/>
  <c r="T54" i="25" s="1"/>
  <c r="BK169" i="24"/>
  <c r="S169" i="24"/>
  <c r="T169" i="24" s="1"/>
  <c r="AP88" i="24"/>
  <c r="M295" i="24"/>
  <c r="N295" i="24" s="1"/>
  <c r="L54" i="25"/>
  <c r="AH156" i="25"/>
  <c r="AH79" i="25"/>
  <c r="L51" i="25"/>
  <c r="BK60" i="24"/>
  <c r="S60" i="24"/>
  <c r="T60" i="24" s="1"/>
  <c r="M60" i="24"/>
  <c r="N60" i="24" s="1"/>
  <c r="BQ64" i="25"/>
  <c r="AH231" i="25"/>
  <c r="AH19" i="25"/>
  <c r="BK66" i="24"/>
  <c r="S66" i="24"/>
  <c r="T66" i="24" s="1"/>
  <c r="M66" i="24"/>
  <c r="N66" i="24" s="1"/>
  <c r="BI284" i="25"/>
  <c r="N284" i="25"/>
  <c r="T284" i="25" s="1"/>
  <c r="AH284" i="25"/>
  <c r="BK207" i="24"/>
  <c r="S207" i="24"/>
  <c r="T207" i="24" s="1"/>
  <c r="M207" i="24"/>
  <c r="N207" i="24" s="1"/>
  <c r="AP207" i="24" s="1"/>
  <c r="BI252" i="25"/>
  <c r="N252" i="25"/>
  <c r="T252" i="25" s="1"/>
  <c r="BQ154" i="25"/>
  <c r="U30" i="24"/>
  <c r="AP30" i="24"/>
  <c r="U72" i="24"/>
  <c r="BQ291" i="25"/>
  <c r="M89" i="24"/>
  <c r="M184" i="24"/>
  <c r="O236" i="24"/>
  <c r="BZ236" i="24" s="1"/>
  <c r="J236" i="24"/>
  <c r="M299" i="24"/>
  <c r="N299" i="24" s="1"/>
  <c r="N316" i="25"/>
  <c r="T316" i="25" s="1"/>
  <c r="N12" i="25"/>
  <c r="N88" i="25"/>
  <c r="T88" i="25" s="1"/>
  <c r="M23" i="24"/>
  <c r="N23" i="24" s="1"/>
  <c r="M49" i="24"/>
  <c r="N49" i="24" s="1"/>
  <c r="AP49" i="24" s="1"/>
  <c r="M112" i="24"/>
  <c r="N112" i="24" s="1"/>
  <c r="AP112" i="24" s="1"/>
  <c r="AP257" i="24"/>
  <c r="BK125" i="24"/>
  <c r="S125" i="24"/>
  <c r="T125" i="24" s="1"/>
  <c r="M125" i="24"/>
  <c r="N125" i="24" s="1"/>
  <c r="AP125" i="24" s="1"/>
  <c r="AH164" i="25"/>
  <c r="AH202" i="25"/>
  <c r="BK268" i="24"/>
  <c r="S268" i="24"/>
  <c r="T268" i="24" s="1"/>
  <c r="BK54" i="24"/>
  <c r="S54" i="24"/>
  <c r="T54" i="24" s="1"/>
  <c r="M54" i="24"/>
  <c r="AP68" i="24"/>
  <c r="AH165" i="25"/>
  <c r="BI26" i="25"/>
  <c r="BK267" i="24"/>
  <c r="S267" i="24"/>
  <c r="T267" i="24" s="1"/>
  <c r="M267" i="24"/>
  <c r="N267" i="24" s="1"/>
  <c r="AP62" i="24"/>
  <c r="AH83" i="25"/>
  <c r="AP147" i="24"/>
  <c r="M177" i="24"/>
  <c r="N177" i="24" s="1"/>
  <c r="AP177" i="24" s="1"/>
  <c r="N203" i="25"/>
  <c r="AH159" i="25"/>
  <c r="AH185" i="25"/>
  <c r="BI206" i="25"/>
  <c r="BK20" i="24"/>
  <c r="S20" i="24"/>
  <c r="T20" i="24" s="1"/>
  <c r="BI300" i="25"/>
  <c r="N300" i="25"/>
  <c r="T300" i="25" s="1"/>
  <c r="BI122" i="25"/>
  <c r="AP21" i="24"/>
  <c r="K163" i="24"/>
  <c r="L246" i="25"/>
  <c r="U190" i="24"/>
  <c r="BK118" i="24"/>
  <c r="S118" i="24"/>
  <c r="T118" i="24" s="1"/>
  <c r="N176" i="25"/>
  <c r="T176" i="25" s="1"/>
  <c r="BI176" i="25"/>
  <c r="BI279" i="25"/>
  <c r="N279" i="25"/>
  <c r="T279" i="25" s="1"/>
  <c r="Q22" i="24"/>
  <c r="R22" i="24" s="1"/>
  <c r="P22" i="24"/>
  <c r="BK133" i="24"/>
  <c r="S133" i="24"/>
  <c r="T133" i="24" s="1"/>
  <c r="BK167" i="24"/>
  <c r="S167" i="24"/>
  <c r="T167" i="24" s="1"/>
  <c r="BK255" i="24"/>
  <c r="S255" i="24"/>
  <c r="T255" i="24" s="1"/>
  <c r="BK146" i="24"/>
  <c r="S146" i="24"/>
  <c r="T146" i="24" s="1"/>
  <c r="M146" i="24"/>
  <c r="AH137" i="25"/>
  <c r="BK38" i="24"/>
  <c r="S38" i="24"/>
  <c r="T38" i="24" s="1"/>
  <c r="M38" i="24"/>
  <c r="K267" i="24"/>
  <c r="BK131" i="24"/>
  <c r="M131" i="24"/>
  <c r="S131" i="24"/>
  <c r="T131" i="24" s="1"/>
  <c r="BK282" i="24"/>
  <c r="S282" i="24"/>
  <c r="T282" i="24" s="1"/>
  <c r="M282" i="24"/>
  <c r="U282" i="24" s="1"/>
  <c r="BK97" i="24"/>
  <c r="S97" i="24"/>
  <c r="T97" i="24" s="1"/>
  <c r="K176" i="24"/>
  <c r="K179" i="24"/>
  <c r="O190" i="24"/>
  <c r="BZ190" i="24" s="1"/>
  <c r="J190" i="24"/>
  <c r="N271" i="25"/>
  <c r="T271" i="25" s="1"/>
  <c r="AH271" i="25"/>
  <c r="BI219" i="25"/>
  <c r="BK16" i="24"/>
  <c r="S16" i="24"/>
  <c r="T16" i="24" s="1"/>
  <c r="T82" i="25"/>
  <c r="BK231" i="24"/>
  <c r="S231" i="24"/>
  <c r="T231" i="24" s="1"/>
  <c r="L175" i="25"/>
  <c r="BQ281" i="25"/>
  <c r="BK25" i="24"/>
  <c r="S25" i="24"/>
  <c r="T25" i="24" s="1"/>
  <c r="M104" i="24"/>
  <c r="N104" i="24" s="1"/>
  <c r="BK188" i="24"/>
  <c r="S188" i="24"/>
  <c r="T188" i="24" s="1"/>
  <c r="U150" i="24"/>
  <c r="K208" i="24"/>
  <c r="L263" i="25"/>
  <c r="BI167" i="25"/>
  <c r="Q121" i="24"/>
  <c r="P121" i="24"/>
  <c r="Q72" i="24"/>
  <c r="R72" i="24" s="1"/>
  <c r="P72" i="24"/>
  <c r="BK153" i="24"/>
  <c r="S153" i="24"/>
  <c r="T153" i="24" s="1"/>
  <c r="BI148" i="25"/>
  <c r="AH144" i="25"/>
  <c r="T147" i="25"/>
  <c r="J292" i="24"/>
  <c r="O292" i="24"/>
  <c r="BZ292" i="24" s="1"/>
  <c r="T31" i="25"/>
  <c r="BK84" i="24"/>
  <c r="S84" i="24"/>
  <c r="T84" i="24" s="1"/>
  <c r="BK58" i="24"/>
  <c r="S58" i="24"/>
  <c r="T58" i="24" s="1"/>
  <c r="BK308" i="24"/>
  <c r="S308" i="24"/>
  <c r="T308" i="24" s="1"/>
  <c r="BK42" i="24"/>
  <c r="S42" i="24"/>
  <c r="T42" i="24" s="1"/>
  <c r="M42" i="24"/>
  <c r="BK306" i="24"/>
  <c r="S306" i="24"/>
  <c r="T306" i="24" s="1"/>
  <c r="AH45" i="25"/>
  <c r="AH101" i="25"/>
  <c r="BK183" i="24"/>
  <c r="S183" i="24"/>
  <c r="T183" i="24" s="1"/>
  <c r="M183" i="24"/>
  <c r="BI229" i="25"/>
  <c r="K301" i="24"/>
  <c r="AH47" i="25"/>
  <c r="AH112" i="25"/>
  <c r="N10" i="25"/>
  <c r="BI25" i="25"/>
  <c r="BI87" i="25"/>
  <c r="BI62" i="25"/>
  <c r="L62" i="25"/>
  <c r="AH48" i="25"/>
  <c r="AH85" i="25"/>
  <c r="L98" i="25"/>
  <c r="BI123" i="25"/>
  <c r="N123" i="25"/>
  <c r="L123" i="25"/>
  <c r="AH149" i="25"/>
  <c r="AH127" i="25"/>
  <c r="P34" i="25"/>
  <c r="O34" i="25"/>
  <c r="L308" i="25"/>
  <c r="AH36" i="25"/>
  <c r="L256" i="25"/>
  <c r="BI41" i="25"/>
  <c r="N41" i="25"/>
  <c r="BK26" i="24"/>
  <c r="S26" i="24"/>
  <c r="T26" i="24" s="1"/>
  <c r="M26" i="24"/>
  <c r="L27" i="25"/>
  <c r="BK249" i="24"/>
  <c r="S249" i="24"/>
  <c r="T249" i="24" s="1"/>
  <c r="M249" i="24"/>
  <c r="U249" i="24" s="1"/>
  <c r="AH28" i="25"/>
  <c r="AH255" i="25"/>
  <c r="U199" i="24"/>
  <c r="K244" i="24"/>
  <c r="AH267" i="25"/>
  <c r="P233" i="24"/>
  <c r="Q233" i="24"/>
  <c r="M71" i="24"/>
  <c r="BQ126" i="25"/>
  <c r="BI96" i="25"/>
  <c r="BK61" i="24"/>
  <c r="S61" i="24"/>
  <c r="T61" i="24" s="1"/>
  <c r="AP61" i="24"/>
  <c r="BK180" i="24"/>
  <c r="S180" i="24"/>
  <c r="T180" i="24" s="1"/>
  <c r="L314" i="25"/>
  <c r="BI90" i="25"/>
  <c r="BQ285" i="25"/>
  <c r="AH285" i="25"/>
  <c r="L166" i="25"/>
  <c r="BQ201" i="25"/>
  <c r="AP48" i="24"/>
  <c r="BI282" i="25"/>
  <c r="K172" i="24"/>
  <c r="AP172" i="24"/>
  <c r="BI302" i="25"/>
  <c r="BI262" i="25"/>
  <c r="J233" i="24"/>
  <c r="O233" i="24"/>
  <c r="BZ233" i="24" s="1"/>
  <c r="P132" i="24"/>
  <c r="Q132" i="24"/>
  <c r="M255" i="24"/>
  <c r="U255" i="24" s="1"/>
  <c r="N26" i="25"/>
  <c r="AP290" i="24"/>
  <c r="L221" i="25"/>
  <c r="K275" i="24"/>
  <c r="BI95" i="25"/>
  <c r="L63" i="25"/>
  <c r="BK210" i="24"/>
  <c r="S210" i="24"/>
  <c r="T210" i="24" s="1"/>
  <c r="BI33" i="25"/>
  <c r="L33" i="25"/>
  <c r="BI228" i="25"/>
  <c r="AH228" i="25"/>
  <c r="L233" i="25"/>
  <c r="AH138" i="25"/>
  <c r="BI155" i="25"/>
  <c r="BI170" i="25"/>
  <c r="AH170" i="25"/>
  <c r="BQ296" i="25"/>
  <c r="BI169" i="25"/>
  <c r="N169" i="25"/>
  <c r="P45" i="24"/>
  <c r="Q45" i="24"/>
  <c r="R45" i="24" s="1"/>
  <c r="BK52" i="24"/>
  <c r="S52" i="24"/>
  <c r="T52" i="24" s="1"/>
  <c r="AP52" i="24"/>
  <c r="BI273" i="25"/>
  <c r="AH273" i="25"/>
  <c r="BI79" i="25"/>
  <c r="N79" i="25"/>
  <c r="L79" i="25"/>
  <c r="L18" i="25"/>
  <c r="BI72" i="25"/>
  <c r="N72" i="25"/>
  <c r="M284" i="24"/>
  <c r="BK113" i="24"/>
  <c r="S113" i="24"/>
  <c r="T113" i="24" s="1"/>
  <c r="M113" i="24"/>
  <c r="AH288" i="25"/>
  <c r="AH253" i="25"/>
  <c r="BI64" i="25"/>
  <c r="N64" i="25"/>
  <c r="T64" i="25" s="1"/>
  <c r="L64" i="25"/>
  <c r="BK29" i="24"/>
  <c r="S29" i="24"/>
  <c r="T29" i="24" s="1"/>
  <c r="M29" i="24"/>
  <c r="BK124" i="24"/>
  <c r="S124" i="24"/>
  <c r="T124" i="24" s="1"/>
  <c r="M124" i="24"/>
  <c r="N124" i="24" s="1"/>
  <c r="BK140" i="24"/>
  <c r="S140" i="24"/>
  <c r="T140" i="24" s="1"/>
  <c r="M140" i="24"/>
  <c r="BQ252" i="25"/>
  <c r="BK219" i="24"/>
  <c r="S219" i="24"/>
  <c r="T219" i="24" s="1"/>
  <c r="BI154" i="25"/>
  <c r="BK30" i="24"/>
  <c r="S30" i="24"/>
  <c r="T30" i="24" s="1"/>
  <c r="BI291" i="25"/>
  <c r="N233" i="25"/>
  <c r="T233" i="25" s="1"/>
  <c r="N307" i="25"/>
  <c r="M196" i="24"/>
  <c r="N196" i="24" s="1"/>
  <c r="M153" i="24"/>
  <c r="N260" i="25"/>
  <c r="N65" i="25"/>
  <c r="T65" i="25" s="1"/>
  <c r="N263" i="25"/>
  <c r="T263" i="25" s="1"/>
  <c r="M161" i="24"/>
  <c r="N166" i="25"/>
  <c r="T166" i="25" s="1"/>
  <c r="M203" i="24"/>
  <c r="M308" i="24"/>
  <c r="U308" i="24" s="1"/>
  <c r="N264" i="25"/>
  <c r="N116" i="25"/>
  <c r="AH192" i="25"/>
  <c r="BI93" i="25"/>
  <c r="N93" i="25"/>
  <c r="BK62" i="24"/>
  <c r="S62" i="24"/>
  <c r="T62" i="24" s="1"/>
  <c r="Q190" i="24"/>
  <c r="P190" i="24"/>
  <c r="P7" i="24"/>
  <c r="Q7" i="24"/>
  <c r="R7" i="24" s="1"/>
  <c r="P68" i="24"/>
  <c r="Q68" i="24"/>
  <c r="R68" i="24" s="1"/>
  <c r="BK123" i="24"/>
  <c r="S123" i="24"/>
  <c r="T123" i="24" s="1"/>
  <c r="M123" i="24"/>
  <c r="AH169" i="25"/>
  <c r="BI23" i="25"/>
  <c r="BK145" i="24"/>
  <c r="S145" i="24"/>
  <c r="T145" i="24" s="1"/>
  <c r="M145" i="24"/>
  <c r="BI232" i="25"/>
  <c r="L232" i="25"/>
  <c r="BI105" i="25"/>
  <c r="N105" i="25"/>
  <c r="BI182" i="25"/>
  <c r="BK223" i="24"/>
  <c r="S223" i="24"/>
  <c r="T223" i="24" s="1"/>
  <c r="AH9" i="25"/>
  <c r="Q225" i="24"/>
  <c r="P225" i="24"/>
  <c r="U133" i="24"/>
  <c r="AP133" i="24"/>
  <c r="BK276" i="24"/>
  <c r="S276" i="24"/>
  <c r="T276" i="24" s="1"/>
  <c r="AH37" i="25"/>
  <c r="AP307" i="24"/>
  <c r="BK295" i="24"/>
  <c r="S295" i="24"/>
  <c r="T295" i="24" s="1"/>
  <c r="BK206" i="24"/>
  <c r="S206" i="24"/>
  <c r="T206" i="24" s="1"/>
  <c r="M206" i="24"/>
  <c r="AH11" i="25"/>
  <c r="L176" i="25"/>
  <c r="BK116" i="24"/>
  <c r="S116" i="24"/>
  <c r="T116" i="24" s="1"/>
  <c r="BK130" i="24"/>
  <c r="S130" i="24"/>
  <c r="T130" i="24" s="1"/>
  <c r="BK286" i="24"/>
  <c r="S286" i="24"/>
  <c r="T286" i="24" s="1"/>
  <c r="AP225" i="24"/>
  <c r="AH30" i="25"/>
  <c r="BK157" i="24"/>
  <c r="S157" i="24"/>
  <c r="T157" i="24" s="1"/>
  <c r="BK253" i="24"/>
  <c r="S253" i="24"/>
  <c r="T253" i="24" s="1"/>
  <c r="N37" i="25"/>
  <c r="T37" i="25" s="1"/>
  <c r="AH265" i="25"/>
  <c r="BI197" i="25"/>
  <c r="N197" i="25"/>
  <c r="AH197" i="25"/>
  <c r="BI130" i="25"/>
  <c r="N130" i="25"/>
  <c r="T130" i="25" s="1"/>
  <c r="BK141" i="24"/>
  <c r="S141" i="24"/>
  <c r="T141" i="24" s="1"/>
  <c r="M141" i="24"/>
  <c r="U76" i="24"/>
  <c r="AH297" i="25"/>
  <c r="BI150" i="25"/>
  <c r="N150" i="25"/>
  <c r="T150" i="25" s="1"/>
  <c r="BK92" i="24"/>
  <c r="S92" i="24"/>
  <c r="T92" i="24" s="1"/>
  <c r="BI92" i="25"/>
  <c r="K144" i="24"/>
  <c r="BI15" i="25"/>
  <c r="N15" i="25"/>
  <c r="T15" i="25" s="1"/>
  <c r="BK159" i="24"/>
  <c r="S159" i="24"/>
  <c r="T159" i="24" s="1"/>
  <c r="BI198" i="25"/>
  <c r="AH117" i="25"/>
  <c r="BI55" i="25"/>
  <c r="AH55" i="25"/>
  <c r="BI251" i="25"/>
  <c r="AH251" i="25"/>
  <c r="BK59" i="24"/>
  <c r="S59" i="24"/>
  <c r="T59" i="24" s="1"/>
  <c r="P30" i="24"/>
  <c r="Q30" i="24"/>
  <c r="R30" i="24" s="1"/>
  <c r="AH292" i="25"/>
  <c r="AH220" i="25"/>
  <c r="AH147" i="25"/>
  <c r="AH86" i="25"/>
  <c r="R129" i="25"/>
  <c r="S129" i="25"/>
  <c r="K129" i="25" s="1"/>
  <c r="Q129" i="25"/>
  <c r="P191" i="24"/>
  <c r="Q191" i="24"/>
  <c r="AH31" i="25"/>
  <c r="AP181" i="24"/>
  <c r="BK271" i="24"/>
  <c r="S271" i="24"/>
  <c r="T271" i="24" s="1"/>
  <c r="AH307" i="25"/>
  <c r="BK218" i="24"/>
  <c r="S218" i="24"/>
  <c r="T218" i="24" s="1"/>
  <c r="BK193" i="24"/>
  <c r="S193" i="24"/>
  <c r="T193" i="24" s="1"/>
  <c r="BI134" i="25"/>
  <c r="BQ25" i="25"/>
  <c r="BQ62" i="25"/>
  <c r="BQ92" i="25"/>
  <c r="L85" i="25"/>
  <c r="BI127" i="25"/>
  <c r="N127" i="25"/>
  <c r="T127" i="25" s="1"/>
  <c r="AH153" i="25"/>
  <c r="AH196" i="25"/>
  <c r="P61" i="24"/>
  <c r="Q61" i="24"/>
  <c r="R61" i="24" s="1"/>
  <c r="BK288" i="24"/>
  <c r="S288" i="24"/>
  <c r="T288" i="24" s="1"/>
  <c r="M288" i="24"/>
  <c r="U288" i="24" s="1"/>
  <c r="BQ7" i="25"/>
  <c r="Q172" i="24"/>
  <c r="P172" i="24"/>
  <c r="AH293" i="25"/>
  <c r="BI224" i="25"/>
  <c r="N224" i="25"/>
  <c r="BI313" i="25"/>
  <c r="AH313" i="25"/>
  <c r="BK149" i="24"/>
  <c r="S149" i="24"/>
  <c r="T149" i="24" s="1"/>
  <c r="BK303" i="24"/>
  <c r="S303" i="24"/>
  <c r="T303" i="24" s="1"/>
  <c r="AH59" i="25"/>
  <c r="AH183" i="25"/>
  <c r="BI49" i="25"/>
  <c r="AH32" i="25"/>
  <c r="U127" i="24"/>
  <c r="AP53" i="24"/>
  <c r="BK77" i="24"/>
  <c r="S77" i="24"/>
  <c r="T77" i="24" s="1"/>
  <c r="N210" i="25"/>
  <c r="N126" i="25"/>
  <c r="T126" i="25" s="1"/>
  <c r="L126" i="25"/>
  <c r="BK31" i="24"/>
  <c r="S31" i="24"/>
  <c r="T31" i="24" s="1"/>
  <c r="M31" i="24"/>
  <c r="N31" i="24" s="1"/>
  <c r="BI34" i="25"/>
  <c r="L34" i="25"/>
  <c r="BI314" i="25"/>
  <c r="BI201" i="25"/>
  <c r="U48" i="24"/>
  <c r="AH282" i="25"/>
  <c r="BK79" i="24"/>
  <c r="S79" i="24"/>
  <c r="T79" i="24" s="1"/>
  <c r="BK248" i="24"/>
  <c r="S248" i="24"/>
  <c r="T248" i="24" s="1"/>
  <c r="BI272" i="25"/>
  <c r="AH305" i="25"/>
  <c r="J132" i="24"/>
  <c r="O132" i="24"/>
  <c r="BZ132" i="24" s="1"/>
  <c r="M230" i="24"/>
  <c r="N230" i="24" s="1"/>
  <c r="AP230" i="24" s="1"/>
  <c r="AH204" i="25"/>
  <c r="BK120" i="24"/>
  <c r="S120" i="24"/>
  <c r="T120" i="24" s="1"/>
  <c r="BK299" i="24"/>
  <c r="S299" i="24"/>
  <c r="T299" i="24" s="1"/>
  <c r="K299" i="24"/>
  <c r="BI278" i="25"/>
  <c r="BK240" i="24"/>
  <c r="S240" i="24"/>
  <c r="T240" i="24" s="1"/>
  <c r="AH95" i="25"/>
  <c r="AH111" i="25"/>
  <c r="BQ33" i="25"/>
  <c r="BQ228" i="25"/>
  <c r="L309" i="25"/>
  <c r="K135" i="24"/>
  <c r="BK173" i="24"/>
  <c r="S173" i="24"/>
  <c r="T173" i="24" s="1"/>
  <c r="K242" i="24"/>
  <c r="BQ170" i="25"/>
  <c r="AH296" i="25"/>
  <c r="Q52" i="24"/>
  <c r="R52" i="24" s="1"/>
  <c r="P52" i="24"/>
  <c r="BI205" i="25"/>
  <c r="N205" i="25"/>
  <c r="BI312" i="25"/>
  <c r="N312" i="25"/>
  <c r="T312" i="25" s="1"/>
  <c r="AH139" i="25"/>
  <c r="BK148" i="24"/>
  <c r="S148" i="24"/>
  <c r="T148" i="24" s="1"/>
  <c r="M148" i="24"/>
  <c r="BK155" i="24"/>
  <c r="S155" i="24"/>
  <c r="T155" i="24" s="1"/>
  <c r="M155" i="24"/>
  <c r="N155" i="24" s="1"/>
  <c r="AP155" i="24" s="1"/>
  <c r="N253" i="25"/>
  <c r="T253" i="25" s="1"/>
  <c r="BI253" i="25"/>
  <c r="AH100" i="25"/>
  <c r="BI84" i="25"/>
  <c r="N84" i="25"/>
  <c r="L84" i="25"/>
  <c r="BQ19" i="25"/>
  <c r="AH60" i="25"/>
  <c r="AH191" i="25"/>
  <c r="BI303" i="25"/>
  <c r="N303" i="25"/>
  <c r="L17" i="25"/>
  <c r="M59" i="24"/>
  <c r="BK209" i="24"/>
  <c r="S209" i="24"/>
  <c r="T209" i="24" s="1"/>
  <c r="M209" i="24"/>
  <c r="BI250" i="25"/>
  <c r="N250" i="25"/>
  <c r="T250" i="25" s="1"/>
  <c r="AH252" i="25"/>
  <c r="AH136" i="25"/>
  <c r="AH103" i="25"/>
  <c r="AP121" i="24"/>
  <c r="K219" i="24"/>
  <c r="BK289" i="24"/>
  <c r="S289" i="24"/>
  <c r="T289" i="24" s="1"/>
  <c r="N175" i="25"/>
  <c r="N278" i="25"/>
  <c r="M135" i="24"/>
  <c r="N135" i="24" s="1"/>
  <c r="N242" i="25"/>
  <c r="M300" i="24"/>
  <c r="N313" i="25"/>
  <c r="N172" i="25"/>
  <c r="T172" i="25" s="1"/>
  <c r="N33" i="25"/>
  <c r="T33" i="25" s="1"/>
  <c r="M144" i="24"/>
  <c r="N144" i="24" s="1"/>
  <c r="N221" i="25"/>
  <c r="N184" i="25"/>
  <c r="T184" i="25" s="1"/>
  <c r="N302" i="25"/>
  <c r="N90" i="25"/>
  <c r="M93" i="24"/>
  <c r="N118" i="25"/>
  <c r="N49" i="25"/>
  <c r="T49" i="25" s="1"/>
  <c r="N25" i="25"/>
  <c r="M13" i="24"/>
  <c r="N13" i="24" s="1"/>
  <c r="BI83" i="25"/>
  <c r="N83" i="25"/>
  <c r="T83" i="25" s="1"/>
  <c r="BK24" i="24"/>
  <c r="S24" i="24"/>
  <c r="T24" i="24" s="1"/>
  <c r="AH269" i="25"/>
  <c r="L159" i="25"/>
  <c r="AH151" i="25"/>
  <c r="BK291" i="24"/>
  <c r="S291" i="24"/>
  <c r="T291" i="24" s="1"/>
  <c r="M291" i="24"/>
  <c r="N291" i="24" s="1"/>
  <c r="BK195" i="24"/>
  <c r="S195" i="24"/>
  <c r="T195" i="24" s="1"/>
  <c r="AP162" i="24"/>
  <c r="BK163" i="24"/>
  <c r="S163" i="24"/>
  <c r="T163" i="24" s="1"/>
  <c r="AH210" i="25"/>
  <c r="AH180" i="25"/>
  <c r="T246" i="25"/>
  <c r="BK129" i="24"/>
  <c r="S129" i="24"/>
  <c r="T129" i="24" s="1"/>
  <c r="BK285" i="24"/>
  <c r="S285" i="24"/>
  <c r="T285" i="24" s="1"/>
  <c r="P21" i="24"/>
  <c r="Q21" i="24"/>
  <c r="R21" i="24" s="1"/>
  <c r="U129" i="24"/>
  <c r="K192" i="24"/>
  <c r="N180" i="25"/>
  <c r="T180" i="25" s="1"/>
  <c r="U177" i="25"/>
  <c r="BK179" i="24"/>
  <c r="S179" i="24"/>
  <c r="T179" i="24" s="1"/>
  <c r="M179" i="24"/>
  <c r="N179" i="24" s="1"/>
  <c r="BQ11" i="25"/>
  <c r="L137" i="25"/>
  <c r="N53" i="25"/>
  <c r="BI53" i="25"/>
  <c r="AH188" i="25"/>
  <c r="AH132" i="25"/>
  <c r="BK205" i="24"/>
  <c r="S205" i="24"/>
  <c r="T205" i="24" s="1"/>
  <c r="U205" i="24"/>
  <c r="BK147" i="24"/>
  <c r="S147" i="24"/>
  <c r="T147" i="24" s="1"/>
  <c r="AP22" i="24"/>
  <c r="AH236" i="25"/>
  <c r="AH266" i="25"/>
  <c r="AH300" i="25"/>
  <c r="BK304" i="24"/>
  <c r="S304" i="24"/>
  <c r="T304" i="24" s="1"/>
  <c r="M304" i="24"/>
  <c r="N304" i="24" s="1"/>
  <c r="AP304" i="24" s="1"/>
  <c r="BI99" i="25"/>
  <c r="N99" i="25"/>
  <c r="K245" i="24"/>
  <c r="BK27" i="24"/>
  <c r="S27" i="24"/>
  <c r="T27" i="24" s="1"/>
  <c r="AP27" i="24"/>
  <c r="K154" i="24"/>
  <c r="BK104" i="24"/>
  <c r="S104" i="24"/>
  <c r="T104" i="24" s="1"/>
  <c r="U188" i="24"/>
  <c r="M122" i="24"/>
  <c r="T198" i="25"/>
  <c r="K284" i="24"/>
  <c r="AP150" i="24"/>
  <c r="BI276" i="25"/>
  <c r="BK287" i="24"/>
  <c r="S287" i="24"/>
  <c r="T287" i="24" s="1"/>
  <c r="BK234" i="24"/>
  <c r="S234" i="24"/>
  <c r="T234" i="24" s="1"/>
  <c r="P170" i="25"/>
  <c r="O170" i="25"/>
  <c r="BI220" i="25"/>
  <c r="AH10" i="25"/>
  <c r="BI161" i="25"/>
  <c r="L102" i="25"/>
  <c r="BK151" i="24"/>
  <c r="S151" i="24"/>
  <c r="T151" i="24" s="1"/>
  <c r="J101" i="24"/>
  <c r="O101" i="24"/>
  <c r="BZ101" i="24" s="1"/>
  <c r="J191" i="24"/>
  <c r="O191" i="24"/>
  <c r="BZ191" i="24" s="1"/>
  <c r="BK51" i="24"/>
  <c r="S51" i="24"/>
  <c r="T51" i="24" s="1"/>
  <c r="BI311" i="25"/>
  <c r="BK311" i="24"/>
  <c r="S311" i="24"/>
  <c r="T311" i="24" s="1"/>
  <c r="M311" i="24"/>
  <c r="N311" i="24" s="1"/>
  <c r="BK220" i="24"/>
  <c r="S220" i="24"/>
  <c r="T220" i="24" s="1"/>
  <c r="L101" i="25"/>
  <c r="AH289" i="25"/>
  <c r="AH277" i="25"/>
  <c r="BK227" i="24"/>
  <c r="S227" i="24"/>
  <c r="T227" i="24" s="1"/>
  <c r="AH240" i="25"/>
  <c r="BI249" i="25"/>
  <c r="AH249" i="25"/>
  <c r="AH50" i="25"/>
  <c r="L47" i="25"/>
  <c r="BI121" i="25"/>
  <c r="AH216" i="25"/>
  <c r="BK305" i="24"/>
  <c r="S305" i="24"/>
  <c r="T305" i="24" s="1"/>
  <c r="AH113" i="25"/>
  <c r="U68" i="24"/>
  <c r="P62" i="25"/>
  <c r="O62" i="25"/>
  <c r="AH230" i="25"/>
  <c r="BK95" i="24"/>
  <c r="S95" i="24"/>
  <c r="T95" i="24" s="1"/>
  <c r="M95" i="24"/>
  <c r="AH35" i="25"/>
  <c r="BI48" i="25"/>
  <c r="N48" i="25"/>
  <c r="T48" i="25" s="1"/>
  <c r="AH91" i="25"/>
  <c r="BI20" i="25"/>
  <c r="N20" i="25"/>
  <c r="T20" i="25" s="1"/>
  <c r="L149" i="25"/>
  <c r="BK293" i="24"/>
  <c r="S293" i="24"/>
  <c r="T293" i="24" s="1"/>
  <c r="M293" i="24"/>
  <c r="N293" i="24" s="1"/>
  <c r="BK221" i="24"/>
  <c r="S221" i="24"/>
  <c r="T221" i="24" s="1"/>
  <c r="M221" i="24"/>
  <c r="N221" i="24" s="1"/>
  <c r="AP221" i="24" s="1"/>
  <c r="AH274" i="25"/>
  <c r="AH209" i="25"/>
  <c r="BI7" i="25"/>
  <c r="N7" i="25"/>
  <c r="T7" i="25" s="1"/>
  <c r="AH88" i="25"/>
  <c r="BI304" i="25"/>
  <c r="N125" i="25"/>
  <c r="P255" i="25"/>
  <c r="O255" i="25"/>
  <c r="M20" i="24"/>
  <c r="N20" i="24" s="1"/>
  <c r="BQ49" i="25"/>
  <c r="BQ32" i="25"/>
  <c r="BQ14" i="25"/>
  <c r="BI187" i="25"/>
  <c r="BI267" i="25"/>
  <c r="AH178" i="25"/>
  <c r="N165" i="25"/>
  <c r="AH174" i="25"/>
  <c r="BI21" i="25"/>
  <c r="T34" i="25"/>
  <c r="BI259" i="25"/>
  <c r="L259" i="25"/>
  <c r="BQ314" i="25"/>
  <c r="BK47" i="24"/>
  <c r="S47" i="24"/>
  <c r="T47" i="24" s="1"/>
  <c r="BQ172" i="25"/>
  <c r="BI78" i="25"/>
  <c r="K112" i="24"/>
  <c r="BQ272" i="25"/>
  <c r="L275" i="25"/>
  <c r="M171" i="24"/>
  <c r="N171" i="24" s="1"/>
  <c r="AP171" i="24" s="1"/>
  <c r="N73" i="25"/>
  <c r="BK290" i="24"/>
  <c r="S290" i="24"/>
  <c r="T290" i="24" s="1"/>
  <c r="BQ278" i="25"/>
  <c r="AH260" i="25"/>
  <c r="BI295" i="25"/>
  <c r="L295" i="25"/>
  <c r="K270" i="24"/>
  <c r="BK312" i="24"/>
  <c r="S312" i="24"/>
  <c r="T312" i="24" s="1"/>
  <c r="BI75" i="25"/>
  <c r="BI296" i="25"/>
  <c r="Q88" i="24"/>
  <c r="R88" i="24" s="1"/>
  <c r="P88" i="24"/>
  <c r="O45" i="24"/>
  <c r="BZ45" i="24" s="1"/>
  <c r="J45" i="24"/>
  <c r="BI46" i="25"/>
  <c r="N46" i="25"/>
  <c r="T46" i="25" s="1"/>
  <c r="AH68" i="25"/>
  <c r="BI19" i="25"/>
  <c r="N19" i="25"/>
  <c r="T19" i="25" s="1"/>
  <c r="BK105" i="24"/>
  <c r="S105" i="24"/>
  <c r="T105" i="24" s="1"/>
  <c r="M105" i="24"/>
  <c r="N105" i="24" s="1"/>
  <c r="BK316" i="24"/>
  <c r="S316" i="24"/>
  <c r="T316" i="24" s="1"/>
  <c r="M316" i="24"/>
  <c r="U316" i="24" s="1"/>
  <c r="L284" i="25"/>
  <c r="BQ191" i="25"/>
  <c r="BQ250" i="25"/>
  <c r="AH250" i="25"/>
  <c r="AH56" i="25"/>
  <c r="AH128" i="25"/>
  <c r="BI103" i="25"/>
  <c r="N103" i="25"/>
  <c r="L103" i="25"/>
  <c r="BK121" i="24"/>
  <c r="S121" i="24"/>
  <c r="T121" i="24" s="1"/>
  <c r="K121" i="24"/>
  <c r="AP219" i="24"/>
  <c r="N234" i="25"/>
  <c r="N66" i="25"/>
  <c r="N112" i="25"/>
  <c r="O44" i="24"/>
  <c r="BZ44" i="24" s="1"/>
  <c r="J44" i="24"/>
  <c r="O294" i="24"/>
  <c r="BZ294" i="24" s="1"/>
  <c r="J294" i="24"/>
  <c r="M173" i="24"/>
  <c r="N173" i="24" s="1"/>
  <c r="AP173" i="24" s="1"/>
  <c r="N47" i="25"/>
  <c r="M156" i="24"/>
  <c r="N156" i="24" s="1"/>
  <c r="M149" i="24"/>
  <c r="N228" i="25"/>
  <c r="N289" i="25"/>
  <c r="N249" i="25"/>
  <c r="N102" i="25"/>
  <c r="T102" i="25" s="1"/>
  <c r="N187" i="25"/>
  <c r="M139" i="24"/>
  <c r="N225" i="25"/>
  <c r="M58" i="24"/>
  <c r="N311" i="25"/>
  <c r="T311" i="25" s="1"/>
  <c r="M154" i="24"/>
  <c r="N154" i="24" s="1"/>
  <c r="N281" i="25"/>
  <c r="N55" i="25"/>
  <c r="BK96" i="24"/>
  <c r="S96" i="24"/>
  <c r="T96" i="24" s="1"/>
  <c r="M96" i="24"/>
  <c r="N96" i="24" s="1"/>
  <c r="AP96" i="24" s="1"/>
  <c r="BI266" i="25"/>
  <c r="N266" i="25"/>
  <c r="BK158" i="24"/>
  <c r="S158" i="24"/>
  <c r="T158" i="24" s="1"/>
  <c r="M158" i="24"/>
  <c r="AH237" i="25"/>
  <c r="AH195" i="25"/>
  <c r="K268" i="24"/>
  <c r="BK83" i="24"/>
  <c r="S83" i="24"/>
  <c r="T83" i="24" s="1"/>
  <c r="AH26" i="25"/>
  <c r="AH203" i="25"/>
  <c r="BK228" i="24"/>
  <c r="S228" i="24"/>
  <c r="T228" i="24" s="1"/>
  <c r="M228" i="24"/>
  <c r="U228" i="24" s="1"/>
  <c r="BI194" i="25"/>
  <c r="N194" i="25"/>
  <c r="AP272" i="24"/>
  <c r="AP14" i="24"/>
  <c r="L270" i="25"/>
  <c r="U24" i="24"/>
  <c r="BK18" i="24"/>
  <c r="S18" i="24"/>
  <c r="T18" i="24" s="1"/>
  <c r="BI269" i="25"/>
  <c r="N269" i="25"/>
  <c r="T269" i="25" s="1"/>
  <c r="K123" i="24"/>
  <c r="BI74" i="25"/>
  <c r="N74" i="25"/>
  <c r="K145" i="24"/>
  <c r="AH71" i="25"/>
  <c r="U163" i="24"/>
  <c r="L180" i="25"/>
  <c r="K256" i="24"/>
  <c r="AH58" i="25"/>
  <c r="BK251" i="24"/>
  <c r="S251" i="24"/>
  <c r="T251" i="24" s="1"/>
  <c r="K133" i="24"/>
  <c r="BK280" i="24"/>
  <c r="S280" i="24"/>
  <c r="T280" i="24" s="1"/>
  <c r="K280" i="24"/>
  <c r="L37" i="25"/>
  <c r="BK19" i="24"/>
  <c r="S19" i="24"/>
  <c r="T19" i="24" s="1"/>
  <c r="BK39" i="24"/>
  <c r="S39" i="24"/>
  <c r="T39" i="24" s="1"/>
  <c r="M39" i="24"/>
  <c r="AH163" i="25"/>
  <c r="AH157" i="25"/>
  <c r="L279" i="25"/>
  <c r="BK259" i="24"/>
  <c r="S259" i="24"/>
  <c r="T259" i="24" s="1"/>
  <c r="M259" i="24"/>
  <c r="U259" i="24" s="1"/>
  <c r="BK100" i="24"/>
  <c r="S100" i="24"/>
  <c r="T100" i="24" s="1"/>
  <c r="M100" i="24"/>
  <c r="BI188" i="25"/>
  <c r="N188" i="25"/>
  <c r="BK63" i="24"/>
  <c r="S63" i="24"/>
  <c r="T63" i="24" s="1"/>
  <c r="M63" i="24"/>
  <c r="BI208" i="25"/>
  <c r="N208" i="25"/>
  <c r="BI218" i="25"/>
  <c r="N218" i="25"/>
  <c r="BK126" i="24"/>
  <c r="S126" i="24"/>
  <c r="T126" i="24" s="1"/>
  <c r="M126" i="24"/>
  <c r="K126" i="24"/>
  <c r="BQ129" i="25"/>
  <c r="BI13" i="25"/>
  <c r="BI71" i="25"/>
  <c r="L145" i="25"/>
  <c r="AH105" i="25"/>
  <c r="BK266" i="24"/>
  <c r="S266" i="24"/>
  <c r="T266" i="24" s="1"/>
  <c r="M266" i="24"/>
  <c r="U266" i="24" s="1"/>
  <c r="L266" i="25"/>
  <c r="BK309" i="24"/>
  <c r="S309" i="24"/>
  <c r="T309" i="24" s="1"/>
  <c r="M309" i="24"/>
  <c r="U309" i="24" s="1"/>
  <c r="N122" i="25"/>
  <c r="N23" i="25"/>
  <c r="J7" i="24"/>
  <c r="O7" i="24"/>
  <c r="BZ7" i="24" s="1"/>
  <c r="L197" i="25"/>
  <c r="BK164" i="24"/>
  <c r="S164" i="24"/>
  <c r="T164" i="24" s="1"/>
  <c r="M164" i="24"/>
  <c r="AP76" i="24"/>
  <c r="BI297" i="25"/>
  <c r="N297" i="25"/>
  <c r="L297" i="25"/>
  <c r="AH99" i="25"/>
  <c r="AH82" i="25"/>
  <c r="AH87" i="25"/>
  <c r="U27" i="24"/>
  <c r="AH12" i="25"/>
  <c r="BI238" i="25"/>
  <c r="L238" i="25"/>
  <c r="BI171" i="25"/>
  <c r="N171" i="25"/>
  <c r="BI117" i="25"/>
  <c r="N117" i="25"/>
  <c r="T117" i="25" s="1"/>
  <c r="K263" i="24"/>
  <c r="AP188" i="24"/>
  <c r="AH200" i="25"/>
  <c r="BK200" i="24"/>
  <c r="S200" i="24"/>
  <c r="T200" i="24" s="1"/>
  <c r="T276" i="25"/>
  <c r="BI306" i="25"/>
  <c r="L55" i="25"/>
  <c r="BK226" i="24"/>
  <c r="S226" i="24"/>
  <c r="T226" i="24" s="1"/>
  <c r="BI173" i="25"/>
  <c r="AH173" i="25"/>
  <c r="BK279" i="24"/>
  <c r="S279" i="24"/>
  <c r="T279" i="24" s="1"/>
  <c r="AH247" i="25"/>
  <c r="BI292" i="25"/>
  <c r="BI86" i="25"/>
  <c r="L86" i="25"/>
  <c r="T161" i="25"/>
  <c r="BQ102" i="25"/>
  <c r="K115" i="24"/>
  <c r="N182" i="25"/>
  <c r="T182" i="25" s="1"/>
  <c r="M51" i="24"/>
  <c r="N51" i="24" s="1"/>
  <c r="BK181" i="24"/>
  <c r="S181" i="24"/>
  <c r="T181" i="24" s="1"/>
  <c r="K181" i="24"/>
  <c r="K271" i="24"/>
  <c r="L307" i="25"/>
  <c r="K300" i="24"/>
  <c r="L289" i="25"/>
  <c r="K183" i="24"/>
  <c r="BI240" i="25"/>
  <c r="AP238" i="24"/>
  <c r="K238" i="24"/>
  <c r="AH242" i="25"/>
  <c r="BI158" i="25"/>
  <c r="AH158" i="25"/>
  <c r="BK310" i="24"/>
  <c r="S310" i="24"/>
  <c r="T310" i="24" s="1"/>
  <c r="BI113" i="25"/>
  <c r="M280" i="24"/>
  <c r="U280" i="24" s="1"/>
  <c r="T62" i="25"/>
  <c r="BI207" i="25"/>
  <c r="N207" i="25"/>
  <c r="L207" i="25"/>
  <c r="K258" i="24"/>
  <c r="K175" i="24"/>
  <c r="L35" i="25"/>
  <c r="L48" i="25"/>
  <c r="AH24" i="25"/>
  <c r="BI22" i="25"/>
  <c r="N22" i="25"/>
  <c r="L153" i="25"/>
  <c r="BI135" i="25"/>
  <c r="N135" i="25"/>
  <c r="BI286" i="25"/>
  <c r="N286" i="25"/>
  <c r="L286" i="25"/>
  <c r="BI268" i="25"/>
  <c r="N268" i="25"/>
  <c r="L36" i="25"/>
  <c r="AH256" i="25"/>
  <c r="L41" i="25"/>
  <c r="AH69" i="25"/>
  <c r="BK57" i="24"/>
  <c r="S57" i="24"/>
  <c r="T57" i="24" s="1"/>
  <c r="M57" i="24"/>
  <c r="BI299" i="25"/>
  <c r="N299" i="25"/>
  <c r="AH7" i="25"/>
  <c r="K262" i="24"/>
  <c r="BK64" i="24"/>
  <c r="S64" i="24"/>
  <c r="T64" i="24" s="1"/>
  <c r="M64" i="24"/>
  <c r="BQ61" i="25"/>
  <c r="K197" i="24"/>
  <c r="BK10" i="24"/>
  <c r="S10" i="24"/>
  <c r="T10" i="24" s="1"/>
  <c r="L88" i="25"/>
  <c r="BI255" i="25"/>
  <c r="BI59" i="25"/>
  <c r="BI32" i="25"/>
  <c r="AP127" i="24"/>
  <c r="BK313" i="24"/>
  <c r="S313" i="24"/>
  <c r="T313" i="24" s="1"/>
  <c r="K199" i="24"/>
  <c r="AP199" i="24"/>
  <c r="BI14" i="25"/>
  <c r="T267" i="25"/>
  <c r="L178" i="25"/>
  <c r="K201" i="24"/>
  <c r="M256" i="24"/>
  <c r="N256" i="24" s="1"/>
  <c r="BK204" i="24"/>
  <c r="S204" i="24"/>
  <c r="T204" i="24" s="1"/>
  <c r="M204" i="24"/>
  <c r="T314" i="25"/>
  <c r="AH90" i="25"/>
  <c r="L285" i="25"/>
  <c r="U47" i="24"/>
  <c r="K139" i="24"/>
  <c r="BI261" i="25"/>
  <c r="AH172" i="25"/>
  <c r="BQ78" i="25"/>
  <c r="AH78" i="25"/>
  <c r="AH124" i="25"/>
  <c r="BI248" i="25"/>
  <c r="L223" i="25"/>
  <c r="BK78" i="24"/>
  <c r="S78" i="24"/>
  <c r="T78" i="24" s="1"/>
  <c r="M78" i="24"/>
  <c r="BK134" i="24"/>
  <c r="S134" i="24"/>
  <c r="T134" i="24" s="1"/>
  <c r="K254" i="24"/>
  <c r="J142" i="24"/>
  <c r="O142" i="24"/>
  <c r="BZ142" i="24" s="1"/>
  <c r="BI204" i="25"/>
  <c r="L204" i="25"/>
  <c r="BI114" i="25"/>
  <c r="AH114" i="25"/>
  <c r="AH221" i="25"/>
  <c r="L278" i="25"/>
  <c r="AP270" i="24"/>
  <c r="AH234" i="25"/>
  <c r="AH63" i="25"/>
  <c r="M9" i="24"/>
  <c r="N9" i="24" s="1"/>
  <c r="AP9" i="24" s="1"/>
  <c r="L111" i="25"/>
  <c r="U25" i="24"/>
  <c r="BK32" i="24"/>
  <c r="S32" i="24"/>
  <c r="T32" i="24" s="1"/>
  <c r="L228" i="25"/>
  <c r="BQ316" i="25"/>
  <c r="L216" i="25"/>
  <c r="BI216" i="25"/>
  <c r="N216" i="25"/>
  <c r="AH298" i="25"/>
  <c r="T199" i="25"/>
  <c r="BI138" i="25"/>
  <c r="BQ244" i="25"/>
  <c r="T170" i="25"/>
  <c r="L170" i="25"/>
  <c r="L296" i="25"/>
  <c r="BK88" i="24"/>
  <c r="S88" i="24"/>
  <c r="T88" i="24" s="1"/>
  <c r="U52" i="24"/>
  <c r="AH205" i="25"/>
  <c r="M151" i="24"/>
  <c r="N151" i="24" s="1"/>
  <c r="BK174" i="24"/>
  <c r="S174" i="24"/>
  <c r="T174" i="24" s="1"/>
  <c r="M174" i="24"/>
  <c r="L312" i="25"/>
  <c r="L43" i="25"/>
  <c r="BI40" i="25"/>
  <c r="N40" i="25"/>
  <c r="L139" i="25"/>
  <c r="BI156" i="25"/>
  <c r="N156" i="25"/>
  <c r="BK260" i="24"/>
  <c r="S260" i="24"/>
  <c r="T260" i="24" s="1"/>
  <c r="M260" i="24"/>
  <c r="U260" i="24" s="1"/>
  <c r="BI301" i="25"/>
  <c r="N301" i="25"/>
  <c r="BI76" i="25"/>
  <c r="N76" i="25"/>
  <c r="AH76" i="25"/>
  <c r="K189" i="24"/>
  <c r="L191" i="25"/>
  <c r="AH303" i="25"/>
  <c r="BK229" i="24"/>
  <c r="S229" i="24"/>
  <c r="T229" i="24" s="1"/>
  <c r="M229" i="24"/>
  <c r="U229" i="24" s="1"/>
  <c r="BQ136" i="25"/>
  <c r="U121" i="24"/>
  <c r="AP72" i="24"/>
  <c r="N295" i="25"/>
  <c r="N272" i="25"/>
  <c r="N138" i="25"/>
  <c r="N101" i="25"/>
  <c r="M242" i="24"/>
  <c r="N242" i="24" s="1"/>
  <c r="N298" i="25"/>
  <c r="M220" i="24"/>
  <c r="U220" i="24" s="1"/>
  <c r="M197" i="24"/>
  <c r="N197" i="24" s="1"/>
  <c r="AP197" i="24" s="1"/>
  <c r="N78" i="25"/>
  <c r="N285" i="25"/>
  <c r="T285" i="25" s="1"/>
  <c r="M17" i="24"/>
  <c r="N17" i="24" s="1"/>
  <c r="N309" i="25"/>
  <c r="T309" i="25" s="1"/>
  <c r="M92" i="24"/>
  <c r="N92" i="24" s="1"/>
  <c r="N304" i="25"/>
  <c r="N181" i="25"/>
  <c r="M8" i="24"/>
  <c r="M136" i="24"/>
  <c r="N136" i="24" s="1"/>
  <c r="N86" i="25"/>
  <c r="N287" i="25"/>
  <c r="M240" i="24"/>
  <c r="N240" i="24" s="1"/>
  <c r="M222" i="24"/>
  <c r="N121" i="25"/>
  <c r="N134" i="25"/>
  <c r="T134" i="25" s="1"/>
  <c r="AP120" i="24" l="1"/>
  <c r="AP226" i="24"/>
  <c r="AP31" i="24"/>
  <c r="AO31" i="25"/>
  <c r="AP130" i="24"/>
  <c r="AP32" i="24"/>
  <c r="AP264" i="24"/>
  <c r="U233" i="24"/>
  <c r="V233" i="24" s="1"/>
  <c r="W257" i="24"/>
  <c r="P294" i="24"/>
  <c r="P190" i="25"/>
  <c r="Q294" i="24"/>
  <c r="AP175" i="24"/>
  <c r="Q264" i="24"/>
  <c r="Q84" i="24"/>
  <c r="R84" i="24" s="1"/>
  <c r="AP281" i="24"/>
  <c r="U264" i="24"/>
  <c r="V264" i="24" s="1"/>
  <c r="O190" i="25"/>
  <c r="S190" i="25" s="1"/>
  <c r="K190" i="25" s="1"/>
  <c r="P262" i="25"/>
  <c r="O264" i="24"/>
  <c r="BZ264" i="24" s="1"/>
  <c r="U294" i="24"/>
  <c r="V294" i="24" s="1"/>
  <c r="O257" i="24"/>
  <c r="BZ257" i="24" s="1"/>
  <c r="U241" i="24"/>
  <c r="U276" i="24"/>
  <c r="V276" i="24" s="1"/>
  <c r="N301" i="24"/>
  <c r="AP301" i="24" s="1"/>
  <c r="U301" i="24"/>
  <c r="U295" i="24"/>
  <c r="U258" i="24"/>
  <c r="V258" i="24" s="1"/>
  <c r="U243" i="24"/>
  <c r="N284" i="24"/>
  <c r="P284" i="24" s="1"/>
  <c r="U284" i="24"/>
  <c r="V284" i="24" s="1"/>
  <c r="U251" i="24"/>
  <c r="V251" i="24" s="1"/>
  <c r="U244" i="24"/>
  <c r="U217" i="24"/>
  <c r="V217" i="24" s="1"/>
  <c r="U240" i="24"/>
  <c r="U256" i="24"/>
  <c r="U265" i="24"/>
  <c r="V265" i="24" s="1"/>
  <c r="N222" i="24"/>
  <c r="Q222" i="24" s="1"/>
  <c r="U222" i="24"/>
  <c r="N253" i="24"/>
  <c r="AP253" i="24" s="1"/>
  <c r="U253" i="24"/>
  <c r="V253" i="24" s="1"/>
  <c r="N275" i="24"/>
  <c r="AP275" i="24" s="1"/>
  <c r="U275" i="24"/>
  <c r="U291" i="24"/>
  <c r="U250" i="24"/>
  <c r="U246" i="24"/>
  <c r="V246" i="24" s="1"/>
  <c r="U286" i="24"/>
  <c r="V286" i="24" s="1"/>
  <c r="U304" i="24"/>
  <c r="U281" i="24"/>
  <c r="V281" i="24" s="1"/>
  <c r="U269" i="24"/>
  <c r="V269" i="24" s="1"/>
  <c r="N300" i="24"/>
  <c r="P300" i="24" s="1"/>
  <c r="U300" i="24"/>
  <c r="N285" i="24"/>
  <c r="AP285" i="24" s="1"/>
  <c r="U285" i="24"/>
  <c r="V285" i="24" s="1"/>
  <c r="U311" i="24"/>
  <c r="V311" i="24" s="1"/>
  <c r="U299" i="24"/>
  <c r="U224" i="24"/>
  <c r="V224" i="24" s="1"/>
  <c r="U254" i="24"/>
  <c r="V254" i="24" s="1"/>
  <c r="U283" i="24"/>
  <c r="U221" i="24"/>
  <c r="U267" i="24"/>
  <c r="V267" i="24" s="1"/>
  <c r="U278" i="24"/>
  <c r="V278" i="24" s="1"/>
  <c r="U305" i="24"/>
  <c r="V305" i="24" s="1"/>
  <c r="U261" i="24"/>
  <c r="U314" i="24"/>
  <c r="V314" i="24" s="1"/>
  <c r="U252" i="24"/>
  <c r="V252" i="24" s="1"/>
  <c r="U302" i="24"/>
  <c r="V302" i="24" s="1"/>
  <c r="U242" i="24"/>
  <c r="U230" i="24"/>
  <c r="V230" i="24" s="1"/>
  <c r="U296" i="24"/>
  <c r="V296" i="24" s="1"/>
  <c r="N297" i="24"/>
  <c r="AP297" i="24" s="1"/>
  <c r="U297" i="24"/>
  <c r="N289" i="24"/>
  <c r="P289" i="24" s="1"/>
  <c r="U289" i="24"/>
  <c r="V289" i="24" s="1"/>
  <c r="U274" i="24"/>
  <c r="V274" i="24" s="1"/>
  <c r="U293" i="24"/>
  <c r="U273" i="24"/>
  <c r="V273" i="24" s="1"/>
  <c r="U235" i="24"/>
  <c r="U245" i="24"/>
  <c r="AP224" i="24"/>
  <c r="AP118" i="24"/>
  <c r="AO30" i="25"/>
  <c r="AO21" i="25"/>
  <c r="AP23" i="24"/>
  <c r="Q137" i="24"/>
  <c r="AO14" i="25"/>
  <c r="AP66" i="24"/>
  <c r="AP111" i="24"/>
  <c r="AP217" i="24"/>
  <c r="AO6" i="25"/>
  <c r="AP87" i="24"/>
  <c r="AP269" i="24"/>
  <c r="AP165" i="24"/>
  <c r="AP97" i="24"/>
  <c r="AP305" i="24"/>
  <c r="O55" i="24"/>
  <c r="BZ55" i="24" s="1"/>
  <c r="AP267" i="24"/>
  <c r="AP56" i="24"/>
  <c r="O262" i="25"/>
  <c r="AO262" i="25" s="1"/>
  <c r="AP208" i="24"/>
  <c r="AP193" i="24"/>
  <c r="AP299" i="24"/>
  <c r="O94" i="25"/>
  <c r="S94" i="25" s="1"/>
  <c r="K94" i="25" s="1"/>
  <c r="AP101" i="24"/>
  <c r="AP202" i="24"/>
  <c r="P55" i="24"/>
  <c r="Q55" i="24"/>
  <c r="R55" i="24" s="1"/>
  <c r="U55" i="24"/>
  <c r="V55" i="24" s="1"/>
  <c r="P94" i="25"/>
  <c r="Q160" i="24"/>
  <c r="AP286" i="24"/>
  <c r="AP81" i="24"/>
  <c r="AP180" i="24"/>
  <c r="AP310" i="24"/>
  <c r="AP98" i="24"/>
  <c r="AP306" i="24"/>
  <c r="AP200" i="24"/>
  <c r="AP160" i="24"/>
  <c r="W45" i="24"/>
  <c r="Y45" i="24" s="1"/>
  <c r="AO71" i="25"/>
  <c r="Y257" i="24"/>
  <c r="U105" i="24"/>
  <c r="V105" i="24" s="1"/>
  <c r="P11" i="25"/>
  <c r="U160" i="24"/>
  <c r="V160" i="24" s="1"/>
  <c r="O11" i="25"/>
  <c r="AO11" i="25" s="1"/>
  <c r="AP252" i="24"/>
  <c r="O41" i="24"/>
  <c r="BZ41" i="24" s="1"/>
  <c r="AP186" i="24"/>
  <c r="P280" i="25"/>
  <c r="O280" i="25"/>
  <c r="Q280" i="25" s="1"/>
  <c r="AP245" i="24"/>
  <c r="BZ273" i="25"/>
  <c r="BZ306" i="25"/>
  <c r="BZ31" i="25"/>
  <c r="AO306" i="25"/>
  <c r="O155" i="25"/>
  <c r="AO155" i="25" s="1"/>
  <c r="P155" i="25"/>
  <c r="AP241" i="24"/>
  <c r="AP178" i="24"/>
  <c r="U87" i="24"/>
  <c r="V87" i="24" s="1"/>
  <c r="W233" i="24"/>
  <c r="Y233" i="24" s="1"/>
  <c r="O96" i="25"/>
  <c r="P96" i="25"/>
  <c r="T154" i="25"/>
  <c r="U154" i="25" s="1"/>
  <c r="Q286" i="24"/>
  <c r="P286" i="24"/>
  <c r="Q252" i="24"/>
  <c r="P77" i="24"/>
  <c r="Q77" i="24"/>
  <c r="R77" i="24" s="1"/>
  <c r="P137" i="24"/>
  <c r="P246" i="24"/>
  <c r="AP137" i="24"/>
  <c r="AP84" i="24"/>
  <c r="Q246" i="24"/>
  <c r="U137" i="24"/>
  <c r="V137" i="24" s="1"/>
  <c r="P84" i="24"/>
  <c r="U74" i="24"/>
  <c r="V74" i="24" s="1"/>
  <c r="BZ147" i="25"/>
  <c r="O154" i="25"/>
  <c r="AO154" i="25" s="1"/>
  <c r="U118" i="24"/>
  <c r="V118" i="24" s="1"/>
  <c r="P276" i="24"/>
  <c r="P189" i="25"/>
  <c r="Q276" i="24"/>
  <c r="Q143" i="25"/>
  <c r="N223" i="24"/>
  <c r="AP223" i="24" s="1"/>
  <c r="U12" i="24"/>
  <c r="V12" i="24" s="1"/>
  <c r="AP170" i="24"/>
  <c r="BZ114" i="25"/>
  <c r="U35" i="24"/>
  <c r="V35" i="24" s="1"/>
  <c r="U60" i="24"/>
  <c r="V60" i="24" s="1"/>
  <c r="O97" i="25"/>
  <c r="AP166" i="24"/>
  <c r="Q157" i="24"/>
  <c r="P157" i="24"/>
  <c r="O29" i="25"/>
  <c r="R29" i="25" s="1"/>
  <c r="P251" i="24"/>
  <c r="U152" i="24"/>
  <c r="V152" i="24" s="1"/>
  <c r="AO92" i="25"/>
  <c r="P29" i="25"/>
  <c r="P134" i="24"/>
  <c r="U157" i="24"/>
  <c r="V157" i="24" s="1"/>
  <c r="Q251" i="24"/>
  <c r="BZ174" i="25"/>
  <c r="Q134" i="24"/>
  <c r="U178" i="24"/>
  <c r="V178" i="24" s="1"/>
  <c r="AP274" i="24"/>
  <c r="R143" i="25"/>
  <c r="S143" i="25"/>
  <c r="K143" i="25" s="1"/>
  <c r="V143" i="25" s="1"/>
  <c r="X143" i="25" s="1"/>
  <c r="BZ143" i="25"/>
  <c r="BZ267" i="25"/>
  <c r="O189" i="25"/>
  <c r="AO189" i="25" s="1"/>
  <c r="BZ292" i="25"/>
  <c r="P97" i="25"/>
  <c r="U81" i="24"/>
  <c r="V81" i="24" s="1"/>
  <c r="O265" i="25"/>
  <c r="AO265" i="25" s="1"/>
  <c r="U207" i="24"/>
  <c r="V207" i="24" s="1"/>
  <c r="AP167" i="24"/>
  <c r="P265" i="25"/>
  <c r="Q167" i="24"/>
  <c r="U91" i="24"/>
  <c r="V91" i="24" s="1"/>
  <c r="U166" i="24"/>
  <c r="V166" i="24" s="1"/>
  <c r="U67" i="24"/>
  <c r="V67" i="24" s="1"/>
  <c r="BZ161" i="25"/>
  <c r="BZ71" i="25"/>
  <c r="P237" i="25"/>
  <c r="BZ247" i="25"/>
  <c r="O179" i="25"/>
  <c r="R179" i="25" s="1"/>
  <c r="T179" i="25"/>
  <c r="U179" i="25" s="1"/>
  <c r="T258" i="25"/>
  <c r="U258" i="25" s="1"/>
  <c r="O237" i="25"/>
  <c r="R237" i="25" s="1"/>
  <c r="O258" i="25"/>
  <c r="BZ258" i="25" s="1"/>
  <c r="BZ167" i="25"/>
  <c r="U66" i="24"/>
  <c r="V66" i="24" s="1"/>
  <c r="BZ82" i="25"/>
  <c r="U99" i="24"/>
  <c r="V99" i="24" s="1"/>
  <c r="BZ30" i="25"/>
  <c r="BZ238" i="25"/>
  <c r="BZ32" i="25"/>
  <c r="BZ13" i="25"/>
  <c r="AO82" i="25"/>
  <c r="O104" i="25"/>
  <c r="BZ199" i="25"/>
  <c r="BZ248" i="25"/>
  <c r="P104" i="25"/>
  <c r="O291" i="25"/>
  <c r="AO291" i="25" s="1"/>
  <c r="P291" i="25"/>
  <c r="P59" i="25"/>
  <c r="O59" i="25"/>
  <c r="S59" i="25" s="1"/>
  <c r="K59" i="25" s="1"/>
  <c r="V59" i="25" s="1"/>
  <c r="O28" i="25"/>
  <c r="AO28" i="25" s="1"/>
  <c r="BZ14" i="25"/>
  <c r="P28" i="25"/>
  <c r="BZ276" i="25"/>
  <c r="BZ305" i="25"/>
  <c r="BZ178" i="25"/>
  <c r="BZ283" i="25"/>
  <c r="BZ95" i="25"/>
  <c r="BZ204" i="25"/>
  <c r="BZ206" i="25"/>
  <c r="BZ259" i="25"/>
  <c r="BZ92" i="25"/>
  <c r="BZ229" i="25"/>
  <c r="AO259" i="25"/>
  <c r="BZ243" i="25"/>
  <c r="AO206" i="25"/>
  <c r="BZ240" i="25"/>
  <c r="V129" i="25"/>
  <c r="X129" i="25" s="1"/>
  <c r="FI212" i="25"/>
  <c r="FJ212" i="25"/>
  <c r="BZ293" i="25"/>
  <c r="U11" i="24"/>
  <c r="V11" i="24" s="1"/>
  <c r="U173" i="24"/>
  <c r="V173" i="24" s="1"/>
  <c r="U20" i="24"/>
  <c r="V20" i="24" s="1"/>
  <c r="U49" i="24"/>
  <c r="V49" i="24" s="1"/>
  <c r="U125" i="24"/>
  <c r="V125" i="24" s="1"/>
  <c r="U167" i="24"/>
  <c r="V167" i="24" s="1"/>
  <c r="U175" i="24"/>
  <c r="V175" i="24" s="1"/>
  <c r="U82" i="24"/>
  <c r="V82" i="24" s="1"/>
  <c r="BZ173" i="25"/>
  <c r="BZ21" i="25"/>
  <c r="BZ201" i="25"/>
  <c r="BZ192" i="25"/>
  <c r="BZ89" i="25"/>
  <c r="P77" i="25"/>
  <c r="O77" i="25"/>
  <c r="T77" i="25"/>
  <c r="U77" i="25" s="1"/>
  <c r="AO293" i="25"/>
  <c r="BZ314" i="25"/>
  <c r="U208" i="24"/>
  <c r="V208" i="24" s="1"/>
  <c r="U13" i="24"/>
  <c r="V13" i="24" s="1"/>
  <c r="U201" i="24"/>
  <c r="V201" i="24" s="1"/>
  <c r="U155" i="24"/>
  <c r="V155" i="24" s="1"/>
  <c r="BZ87" i="25"/>
  <c r="BZ261" i="25"/>
  <c r="BZ232" i="25"/>
  <c r="BZ148" i="25"/>
  <c r="BZ296" i="25"/>
  <c r="BZ6" i="25"/>
  <c r="U124" i="24"/>
  <c r="AO87" i="25"/>
  <c r="U169" i="24"/>
  <c r="V169" i="24" s="1"/>
  <c r="U165" i="24"/>
  <c r="V165" i="24" s="1"/>
  <c r="BZ158" i="25"/>
  <c r="AO232" i="25"/>
  <c r="AO261" i="25"/>
  <c r="U202" i="24"/>
  <c r="V202" i="24" s="1"/>
  <c r="U70" i="24"/>
  <c r="V70" i="24" s="1"/>
  <c r="U189" i="24"/>
  <c r="V189" i="24" s="1"/>
  <c r="W236" i="24"/>
  <c r="Y236" i="24" s="1"/>
  <c r="BZ282" i="25"/>
  <c r="BZ246" i="25"/>
  <c r="BZ113" i="25"/>
  <c r="AO148" i="25"/>
  <c r="U198" i="24"/>
  <c r="V198" i="24" s="1"/>
  <c r="AO192" i="25"/>
  <c r="AO89" i="25"/>
  <c r="U15" i="24"/>
  <c r="V15" i="24" s="1"/>
  <c r="BZ34" i="25"/>
  <c r="U37" i="24"/>
  <c r="P41" i="24"/>
  <c r="Q41" i="24"/>
  <c r="R41" i="24" s="1"/>
  <c r="U77" i="24"/>
  <c r="V77" i="24" s="1"/>
  <c r="U50" i="24"/>
  <c r="V50" i="24" s="1"/>
  <c r="U128" i="24"/>
  <c r="V128" i="24" s="1"/>
  <c r="BZ275" i="25"/>
  <c r="U84" i="24"/>
  <c r="V84" i="24" s="1"/>
  <c r="U56" i="24"/>
  <c r="V56" i="24" s="1"/>
  <c r="U134" i="24"/>
  <c r="V134" i="24" s="1"/>
  <c r="BZ186" i="25"/>
  <c r="U193" i="25"/>
  <c r="U151" i="25"/>
  <c r="U245" i="25"/>
  <c r="U102" i="25"/>
  <c r="U271" i="25"/>
  <c r="U263" i="25"/>
  <c r="U284" i="25"/>
  <c r="U164" i="25"/>
  <c r="U309" i="25"/>
  <c r="U17" i="25"/>
  <c r="U311" i="25"/>
  <c r="U48" i="25"/>
  <c r="U236" i="25"/>
  <c r="U60" i="25"/>
  <c r="U152" i="25"/>
  <c r="U241" i="25"/>
  <c r="U269" i="25"/>
  <c r="U8" i="25"/>
  <c r="U16" i="25"/>
  <c r="U88" i="25"/>
  <c r="U132" i="25"/>
  <c r="U117" i="25"/>
  <c r="U182" i="25"/>
  <c r="U83" i="25"/>
  <c r="U130" i="25"/>
  <c r="U37" i="25"/>
  <c r="U141" i="25"/>
  <c r="U134" i="25"/>
  <c r="U166" i="25"/>
  <c r="U43" i="25"/>
  <c r="N220" i="24"/>
  <c r="J88" i="24"/>
  <c r="O88" i="24"/>
  <c r="BZ88" i="24" s="1"/>
  <c r="U7" i="25"/>
  <c r="U20" i="25"/>
  <c r="U180" i="25"/>
  <c r="P240" i="24"/>
  <c r="Q240" i="24"/>
  <c r="Q256" i="24"/>
  <c r="P256" i="24"/>
  <c r="J19" i="24"/>
  <c r="W19" i="24" s="1"/>
  <c r="O19" i="24"/>
  <c r="BZ19" i="24" s="1"/>
  <c r="P138" i="25"/>
  <c r="O138" i="25"/>
  <c r="T138" i="25"/>
  <c r="N229" i="24"/>
  <c r="U312" i="25"/>
  <c r="V312" i="24"/>
  <c r="V290" i="24"/>
  <c r="N78" i="24"/>
  <c r="U78" i="24"/>
  <c r="J204" i="24"/>
  <c r="O204" i="24"/>
  <c r="BZ204" i="24" s="1"/>
  <c r="J64" i="24"/>
  <c r="O64" i="24"/>
  <c r="BZ64" i="24" s="1"/>
  <c r="P135" i="25"/>
  <c r="O135" i="25"/>
  <c r="T135" i="25"/>
  <c r="U150" i="25"/>
  <c r="N164" i="24"/>
  <c r="U164" i="24"/>
  <c r="AE7" i="24"/>
  <c r="AI7" i="24"/>
  <c r="X7" i="24"/>
  <c r="AA7" i="24" s="1"/>
  <c r="AB7" i="24" s="1"/>
  <c r="AC7" i="24" s="1"/>
  <c r="N266" i="24"/>
  <c r="P218" i="25"/>
  <c r="O218" i="25"/>
  <c r="T218" i="25"/>
  <c r="P188" i="25"/>
  <c r="O188" i="25"/>
  <c r="T188" i="25"/>
  <c r="N100" i="24"/>
  <c r="U100" i="24"/>
  <c r="N39" i="24"/>
  <c r="U39" i="24"/>
  <c r="J251" i="24"/>
  <c r="O251" i="24"/>
  <c r="BZ251" i="24" s="1"/>
  <c r="J158" i="24"/>
  <c r="O158" i="24"/>
  <c r="BZ158" i="24" s="1"/>
  <c r="O96" i="24"/>
  <c r="BZ96" i="24" s="1"/>
  <c r="J96" i="24"/>
  <c r="P225" i="25"/>
  <c r="O225" i="25"/>
  <c r="T225" i="25"/>
  <c r="Q156" i="24"/>
  <c r="P156" i="24"/>
  <c r="P66" i="25"/>
  <c r="O66" i="25"/>
  <c r="Q105" i="24"/>
  <c r="R105" i="24" s="1"/>
  <c r="P105" i="24"/>
  <c r="J290" i="24"/>
  <c r="W290" i="24" s="1"/>
  <c r="O290" i="24"/>
  <c r="BZ290" i="24" s="1"/>
  <c r="Q293" i="24"/>
  <c r="P293" i="24"/>
  <c r="J234" i="24"/>
  <c r="W234" i="24" s="1"/>
  <c r="O234" i="24"/>
  <c r="BZ234" i="24" s="1"/>
  <c r="O205" i="24"/>
  <c r="BZ205" i="24" s="1"/>
  <c r="J205" i="24"/>
  <c r="W205" i="24" s="1"/>
  <c r="O179" i="24"/>
  <c r="BZ179" i="24" s="1"/>
  <c r="J179" i="24"/>
  <c r="U246" i="25"/>
  <c r="P302" i="25"/>
  <c r="O302" i="25"/>
  <c r="T302" i="25"/>
  <c r="P242" i="25"/>
  <c r="O242" i="25"/>
  <c r="T242" i="25"/>
  <c r="N209" i="24"/>
  <c r="U209" i="24"/>
  <c r="P253" i="25"/>
  <c r="O253" i="25"/>
  <c r="J248" i="24"/>
  <c r="W248" i="24" s="1"/>
  <c r="O248" i="24"/>
  <c r="BZ248" i="24" s="1"/>
  <c r="J79" i="24"/>
  <c r="O79" i="24"/>
  <c r="BZ79" i="24" s="1"/>
  <c r="O77" i="24"/>
  <c r="BZ77" i="24" s="1"/>
  <c r="J77" i="24"/>
  <c r="N288" i="24"/>
  <c r="O276" i="24"/>
  <c r="BZ276" i="24" s="1"/>
  <c r="J276" i="24"/>
  <c r="J123" i="24"/>
  <c r="O123" i="24"/>
  <c r="BZ123" i="24" s="1"/>
  <c r="P93" i="25"/>
  <c r="O93" i="25"/>
  <c r="T93" i="25"/>
  <c r="P116" i="25"/>
  <c r="O116" i="25"/>
  <c r="T116" i="25"/>
  <c r="P65" i="25"/>
  <c r="O65" i="25"/>
  <c r="J30" i="24"/>
  <c r="W30" i="24" s="1"/>
  <c r="O30" i="24"/>
  <c r="BZ30" i="24" s="1"/>
  <c r="J124" i="24"/>
  <c r="O124" i="24"/>
  <c r="BZ124" i="24" s="1"/>
  <c r="P72" i="25"/>
  <c r="O72" i="25"/>
  <c r="T72" i="25"/>
  <c r="O52" i="24"/>
  <c r="BZ52" i="24" s="1"/>
  <c r="J52" i="24"/>
  <c r="W52" i="24" s="1"/>
  <c r="J61" i="24"/>
  <c r="W61" i="24" s="1"/>
  <c r="O61" i="24"/>
  <c r="BZ61" i="24" s="1"/>
  <c r="V199" i="24"/>
  <c r="O26" i="24"/>
  <c r="BZ26" i="24" s="1"/>
  <c r="J26" i="24"/>
  <c r="J183" i="24"/>
  <c r="O183" i="24"/>
  <c r="BZ183" i="24" s="1"/>
  <c r="AP154" i="24"/>
  <c r="J97" i="24"/>
  <c r="W97" i="24" s="1"/>
  <c r="O97" i="24"/>
  <c r="BZ97" i="24" s="1"/>
  <c r="W190" i="24"/>
  <c r="V190" i="24"/>
  <c r="N54" i="24"/>
  <c r="U54" i="24"/>
  <c r="P125" i="24"/>
  <c r="Q125" i="24"/>
  <c r="Q112" i="24"/>
  <c r="P112" i="24"/>
  <c r="Q299" i="24"/>
  <c r="P299" i="24"/>
  <c r="P54" i="25"/>
  <c r="O54" i="25"/>
  <c r="J196" i="24"/>
  <c r="O196" i="24"/>
  <c r="BZ196" i="24" s="1"/>
  <c r="V61" i="24"/>
  <c r="O237" i="24"/>
  <c r="BZ237" i="24" s="1"/>
  <c r="J237" i="24"/>
  <c r="W237" i="24" s="1"/>
  <c r="J238" i="24"/>
  <c r="W238" i="24" s="1"/>
  <c r="O238" i="24"/>
  <c r="BZ238" i="24" s="1"/>
  <c r="Q102" i="24"/>
  <c r="R102" i="24" s="1"/>
  <c r="P102" i="24"/>
  <c r="FJ110" i="25"/>
  <c r="FJ209" i="25"/>
  <c r="FI207" i="25"/>
  <c r="FI176" i="25"/>
  <c r="FJ164" i="25"/>
  <c r="FI113" i="25"/>
  <c r="FI204" i="25"/>
  <c r="FJ129" i="25"/>
  <c r="FI151" i="25"/>
  <c r="FI126" i="25"/>
  <c r="FI187" i="25"/>
  <c r="FI137" i="25"/>
  <c r="FJ189" i="25"/>
  <c r="FJ170" i="25"/>
  <c r="FI142" i="25"/>
  <c r="FJ158" i="25"/>
  <c r="FJ172" i="25"/>
  <c r="FI135" i="25"/>
  <c r="FI183" i="25"/>
  <c r="FJ123" i="25"/>
  <c r="FI168" i="25"/>
  <c r="FI157" i="25"/>
  <c r="FJ182" i="25"/>
  <c r="FI110" i="25"/>
  <c r="FJ141" i="25"/>
  <c r="F212" i="25"/>
  <c r="FI123" i="25"/>
  <c r="FI122" i="25"/>
  <c r="FI125" i="25"/>
  <c r="FJ190" i="25"/>
  <c r="FJ111" i="25"/>
  <c r="FJ148" i="25"/>
  <c r="FI166" i="25"/>
  <c r="FI201" i="25"/>
  <c r="FJ208" i="25"/>
  <c r="FJ203" i="25"/>
  <c r="FI190" i="25"/>
  <c r="FI174" i="25"/>
  <c r="FJ120" i="25"/>
  <c r="FI194" i="25"/>
  <c r="FJ142" i="25"/>
  <c r="FJ124" i="25"/>
  <c r="FI170" i="25"/>
  <c r="FJ121" i="25"/>
  <c r="FJ185" i="25"/>
  <c r="FJ153" i="25"/>
  <c r="FI156" i="25"/>
  <c r="FI143" i="25"/>
  <c r="FI121" i="25"/>
  <c r="FI119" i="25"/>
  <c r="FJ174" i="25"/>
  <c r="FI193" i="25"/>
  <c r="FI162" i="25"/>
  <c r="FI165" i="25"/>
  <c r="FJ161" i="25"/>
  <c r="FJ160" i="25"/>
  <c r="FJ191" i="25"/>
  <c r="FJ193" i="25"/>
  <c r="FJ207" i="25"/>
  <c r="FJ152" i="25"/>
  <c r="FJ177" i="25"/>
  <c r="FJ184" i="25"/>
  <c r="FI173" i="25"/>
  <c r="FI148" i="25"/>
  <c r="FI127" i="25"/>
  <c r="FI158" i="25"/>
  <c r="FI208" i="25"/>
  <c r="FJ130" i="25"/>
  <c r="FI167" i="25"/>
  <c r="FJ187" i="25"/>
  <c r="FI199" i="25"/>
  <c r="FJ195" i="25"/>
  <c r="FI180" i="25"/>
  <c r="FJ150" i="25"/>
  <c r="FJ127" i="25"/>
  <c r="FI131" i="25"/>
  <c r="FJ134" i="25"/>
  <c r="G212" i="25"/>
  <c r="FJ112" i="25"/>
  <c r="FI154" i="25"/>
  <c r="FI205" i="25"/>
  <c r="FJ167" i="25"/>
  <c r="FI140" i="25"/>
  <c r="FJ176" i="25"/>
  <c r="FI178" i="25"/>
  <c r="FI163" i="25"/>
  <c r="FJ114" i="25"/>
  <c r="FJ145" i="25"/>
  <c r="FI195" i="25"/>
  <c r="FJ186" i="25"/>
  <c r="FI197" i="25"/>
  <c r="FI116" i="25"/>
  <c r="FJ205" i="25"/>
  <c r="FI179" i="25"/>
  <c r="FI182" i="25"/>
  <c r="FI169" i="25"/>
  <c r="FI111" i="25"/>
  <c r="FJ157" i="25"/>
  <c r="FJ149" i="25"/>
  <c r="FJ175" i="25"/>
  <c r="FI206" i="25"/>
  <c r="FI115" i="25"/>
  <c r="FI185" i="25"/>
  <c r="FJ143" i="25"/>
  <c r="FI172" i="25"/>
  <c r="FI192" i="25"/>
  <c r="FJ173" i="25"/>
  <c r="FJ171" i="25"/>
  <c r="FJ116" i="25"/>
  <c r="FI129" i="25"/>
  <c r="FJ180" i="25"/>
  <c r="FJ163" i="25"/>
  <c r="FI198" i="25"/>
  <c r="FJ118" i="25"/>
  <c r="CE110" i="25"/>
  <c r="FI112" i="25"/>
  <c r="FI133" i="25"/>
  <c r="FJ137" i="25"/>
  <c r="FI124" i="25"/>
  <c r="FJ168" i="25"/>
  <c r="FJ178" i="25"/>
  <c r="FI164" i="25"/>
  <c r="FI175" i="25"/>
  <c r="FI186" i="25"/>
  <c r="FJ159" i="25"/>
  <c r="FI150" i="25"/>
  <c r="FI144" i="25"/>
  <c r="FJ169" i="25"/>
  <c r="FJ166" i="25"/>
  <c r="FJ181" i="25"/>
  <c r="FJ126" i="25"/>
  <c r="FJ131" i="25"/>
  <c r="FJ201" i="25"/>
  <c r="FJ128" i="25"/>
  <c r="FJ144" i="25"/>
  <c r="FI146" i="25"/>
  <c r="FI177" i="25"/>
  <c r="FI149" i="25"/>
  <c r="FJ200" i="25"/>
  <c r="FI196" i="25"/>
  <c r="FJ202" i="25"/>
  <c r="FJ198" i="25"/>
  <c r="FJ136" i="25"/>
  <c r="FI139" i="25"/>
  <c r="FI202" i="25"/>
  <c r="FJ155" i="25"/>
  <c r="FI188" i="25"/>
  <c r="FJ125" i="25"/>
  <c r="FJ117" i="25"/>
  <c r="FJ156" i="25"/>
  <c r="FJ132" i="25"/>
  <c r="FJ188" i="25"/>
  <c r="FI209" i="25"/>
  <c r="FJ140" i="25"/>
  <c r="FJ135" i="25"/>
  <c r="FI117" i="25"/>
  <c r="FJ179" i="25"/>
  <c r="FJ154" i="25"/>
  <c r="FJ194" i="25"/>
  <c r="FJ119" i="25"/>
  <c r="FJ133" i="25"/>
  <c r="FI210" i="25"/>
  <c r="FI134" i="25"/>
  <c r="FI153" i="25"/>
  <c r="FJ197" i="25"/>
  <c r="FI152" i="25"/>
  <c r="FI160" i="25"/>
  <c r="FJ204" i="25"/>
  <c r="FJ162" i="25"/>
  <c r="FI118" i="25"/>
  <c r="FI189" i="25"/>
  <c r="FI128" i="25"/>
  <c r="FI155" i="25"/>
  <c r="FI161" i="25"/>
  <c r="FJ115" i="25"/>
  <c r="FI159" i="25"/>
  <c r="FJ138" i="25"/>
  <c r="FJ183" i="25"/>
  <c r="FJ199" i="25"/>
  <c r="FJ192" i="25"/>
  <c r="FJ196" i="25"/>
  <c r="FI141" i="25"/>
  <c r="FI171" i="25"/>
  <c r="FI181" i="25"/>
  <c r="FJ147" i="25"/>
  <c r="FI114" i="25"/>
  <c r="FJ165" i="25"/>
  <c r="FI120" i="25"/>
  <c r="FI184" i="25"/>
  <c r="FJ151" i="25"/>
  <c r="FI136" i="25"/>
  <c r="FJ206" i="25"/>
  <c r="FI130" i="25"/>
  <c r="FJ210" i="25"/>
  <c r="FJ146" i="25"/>
  <c r="FI200" i="25"/>
  <c r="FI138" i="25"/>
  <c r="FJ139" i="25"/>
  <c r="FI203" i="25"/>
  <c r="FI191" i="25"/>
  <c r="FJ122" i="25"/>
  <c r="FI145" i="25"/>
  <c r="FI132" i="25"/>
  <c r="FJ113" i="25"/>
  <c r="FI147" i="25"/>
  <c r="CF110" i="25"/>
  <c r="CF128" i="25"/>
  <c r="CE136" i="25"/>
  <c r="CF126" i="25"/>
  <c r="CF123" i="25"/>
  <c r="CF142" i="25"/>
  <c r="CF150" i="25"/>
  <c r="CE141" i="25"/>
  <c r="CE114" i="25"/>
  <c r="CF133" i="25"/>
  <c r="CE140" i="25"/>
  <c r="CF158" i="25"/>
  <c r="CE167" i="25"/>
  <c r="CE150" i="25"/>
  <c r="CF157" i="25"/>
  <c r="CE128" i="25"/>
  <c r="CE124" i="25"/>
  <c r="CF178" i="25"/>
  <c r="CE146" i="25"/>
  <c r="CE133" i="25"/>
  <c r="CF127" i="25"/>
  <c r="CF140" i="25"/>
  <c r="CE123" i="25"/>
  <c r="CE158" i="25"/>
  <c r="CF188" i="25"/>
  <c r="CE157" i="25"/>
  <c r="CF136" i="25"/>
  <c r="CE155" i="25"/>
  <c r="CE178" i="25"/>
  <c r="CF131" i="25"/>
  <c r="CE149" i="25"/>
  <c r="CE197" i="25"/>
  <c r="CE188" i="25"/>
  <c r="CE139" i="25"/>
  <c r="CF146" i="25"/>
  <c r="CE127" i="25"/>
  <c r="CF149" i="25"/>
  <c r="CE134" i="25"/>
  <c r="CE131" i="25"/>
  <c r="CF134" i="25"/>
  <c r="CE144" i="25"/>
  <c r="CF148" i="25"/>
  <c r="CE143" i="25"/>
  <c r="CF139" i="25"/>
  <c r="CF155" i="25"/>
  <c r="CF124" i="25"/>
  <c r="CE187" i="25"/>
  <c r="CF144" i="25"/>
  <c r="CF129" i="25"/>
  <c r="CF145" i="25"/>
  <c r="CF120" i="25"/>
  <c r="CE137" i="25"/>
  <c r="CF143" i="25"/>
  <c r="CF141" i="25"/>
  <c r="CF114" i="25"/>
  <c r="CE126" i="25"/>
  <c r="CF187" i="25"/>
  <c r="CE148" i="25"/>
  <c r="CF167" i="25"/>
  <c r="CE142" i="25"/>
  <c r="CF197" i="25"/>
  <c r="CE129" i="25"/>
  <c r="CE145" i="25"/>
  <c r="CE120" i="25"/>
  <c r="CF137" i="25"/>
  <c r="CF195" i="25"/>
  <c r="CE195" i="25"/>
  <c r="AO34" i="25"/>
  <c r="P52" i="25"/>
  <c r="O52" i="25"/>
  <c r="U308" i="25"/>
  <c r="BZ62" i="25"/>
  <c r="U80" i="25"/>
  <c r="AP35" i="24"/>
  <c r="P200" i="25"/>
  <c r="O200" i="25"/>
  <c r="T200" i="25"/>
  <c r="BZ177" i="25"/>
  <c r="V21" i="24"/>
  <c r="W21" i="24"/>
  <c r="O177" i="24"/>
  <c r="BZ177" i="24" s="1"/>
  <c r="J177" i="24"/>
  <c r="P235" i="25"/>
  <c r="O235" i="25"/>
  <c r="P222" i="25"/>
  <c r="O222" i="25"/>
  <c r="T222" i="25"/>
  <c r="P310" i="25"/>
  <c r="O310" i="25"/>
  <c r="P166" i="24"/>
  <c r="Q166" i="24"/>
  <c r="U28" i="24"/>
  <c r="P133" i="25"/>
  <c r="O133" i="25"/>
  <c r="P98" i="25"/>
  <c r="O98" i="25"/>
  <c r="T98" i="25"/>
  <c r="P80" i="25"/>
  <c r="O80" i="25"/>
  <c r="O246" i="24"/>
  <c r="BZ246" i="24" s="1"/>
  <c r="J246" i="24"/>
  <c r="P118" i="24"/>
  <c r="Q118" i="24"/>
  <c r="P315" i="25"/>
  <c r="O315" i="25"/>
  <c r="T315" i="25"/>
  <c r="Q34" i="24"/>
  <c r="R34" i="24" s="1"/>
  <c r="P34" i="24"/>
  <c r="Q15" i="24"/>
  <c r="R15" i="24" s="1"/>
  <c r="P15" i="24"/>
  <c r="O85" i="24"/>
  <c r="BZ85" i="24" s="1"/>
  <c r="J85" i="24"/>
  <c r="J135" i="24"/>
  <c r="O135" i="24"/>
  <c r="BZ135" i="24" s="1"/>
  <c r="S204" i="25"/>
  <c r="K204" i="25" s="1"/>
  <c r="V204" i="25" s="1"/>
  <c r="R204" i="25"/>
  <c r="Q204" i="25"/>
  <c r="U174" i="25"/>
  <c r="S275" i="25"/>
  <c r="K275" i="25" s="1"/>
  <c r="V275" i="25" s="1"/>
  <c r="R275" i="25"/>
  <c r="Q275" i="25"/>
  <c r="J208" i="24"/>
  <c r="O208" i="24"/>
  <c r="BZ208" i="24" s="1"/>
  <c r="P74" i="24"/>
  <c r="Q74" i="24"/>
  <c r="R74" i="24" s="1"/>
  <c r="R14" i="25"/>
  <c r="S14" i="25"/>
  <c r="K14" i="25" s="1"/>
  <c r="V14" i="25" s="1"/>
  <c r="Q14" i="25"/>
  <c r="Q16" i="24"/>
  <c r="R16" i="24" s="1"/>
  <c r="P16" i="24"/>
  <c r="Q138" i="24"/>
  <c r="P138" i="24"/>
  <c r="V180" i="24"/>
  <c r="U158" i="25"/>
  <c r="V62" i="24"/>
  <c r="P185" i="25"/>
  <c r="O185" i="25"/>
  <c r="U87" i="25"/>
  <c r="U192" i="24"/>
  <c r="P239" i="25"/>
  <c r="O239" i="25"/>
  <c r="T239" i="25"/>
  <c r="N46" i="24"/>
  <c r="U46" i="24"/>
  <c r="S248" i="25"/>
  <c r="K248" i="25" s="1"/>
  <c r="V248" i="25" s="1"/>
  <c r="R248" i="25"/>
  <c r="Q248" i="25"/>
  <c r="V272" i="24"/>
  <c r="O168" i="24"/>
  <c r="BZ168" i="24" s="1"/>
  <c r="J168" i="24"/>
  <c r="O186" i="24"/>
  <c r="BZ186" i="24" s="1"/>
  <c r="J186" i="24"/>
  <c r="Q310" i="24"/>
  <c r="P310" i="24"/>
  <c r="U306" i="25"/>
  <c r="U73" i="24"/>
  <c r="Q142" i="24"/>
  <c r="P142" i="24"/>
  <c r="V193" i="24"/>
  <c r="U243" i="25"/>
  <c r="U89" i="25"/>
  <c r="Q130" i="24"/>
  <c r="P130" i="24"/>
  <c r="N94" i="24"/>
  <c r="U94" i="24"/>
  <c r="P168" i="25"/>
  <c r="O168" i="25"/>
  <c r="V79" i="24"/>
  <c r="P97" i="24"/>
  <c r="Q97" i="24"/>
  <c r="R97" i="24" s="1"/>
  <c r="P165" i="24"/>
  <c r="Q165" i="24"/>
  <c r="N8" i="24"/>
  <c r="U8" i="24"/>
  <c r="P121" i="25"/>
  <c r="O121" i="25"/>
  <c r="P242" i="24"/>
  <c r="Q242" i="24"/>
  <c r="P268" i="25"/>
  <c r="O268" i="25"/>
  <c r="T268" i="25"/>
  <c r="Q51" i="24"/>
  <c r="R51" i="24" s="1"/>
  <c r="P51" i="24"/>
  <c r="V27" i="24"/>
  <c r="U300" i="25"/>
  <c r="P289" i="25"/>
  <c r="O289" i="25"/>
  <c r="U199" i="25"/>
  <c r="N64" i="24"/>
  <c r="U64" i="24"/>
  <c r="J126" i="24"/>
  <c r="O126" i="24"/>
  <c r="BZ126" i="24" s="1"/>
  <c r="P86" i="25"/>
  <c r="O86" i="25"/>
  <c r="T86" i="25"/>
  <c r="P285" i="25"/>
  <c r="O285" i="25"/>
  <c r="V121" i="24"/>
  <c r="P136" i="24"/>
  <c r="Q136" i="24"/>
  <c r="P78" i="25"/>
  <c r="O78" i="25"/>
  <c r="T78" i="25"/>
  <c r="P272" i="25"/>
  <c r="O272" i="25"/>
  <c r="T272" i="25"/>
  <c r="U128" i="25"/>
  <c r="U191" i="25"/>
  <c r="U19" i="25"/>
  <c r="J260" i="24"/>
  <c r="O260" i="24"/>
  <c r="BZ260" i="24" s="1"/>
  <c r="O32" i="24"/>
  <c r="BZ32" i="24" s="1"/>
  <c r="J32" i="24"/>
  <c r="W32" i="24" s="1"/>
  <c r="J78" i="24"/>
  <c r="O78" i="24"/>
  <c r="BZ78" i="24" s="1"/>
  <c r="U314" i="25"/>
  <c r="U267" i="25"/>
  <c r="N57" i="24"/>
  <c r="U57" i="24"/>
  <c r="P286" i="25"/>
  <c r="O286" i="25"/>
  <c r="T286" i="25"/>
  <c r="O207" i="25"/>
  <c r="P207" i="25"/>
  <c r="T207" i="25"/>
  <c r="AE55" i="24"/>
  <c r="AI55" i="24"/>
  <c r="X55" i="24"/>
  <c r="AA55" i="24" s="1"/>
  <c r="AB55" i="24" s="1"/>
  <c r="AC55" i="24" s="1"/>
  <c r="U136" i="24"/>
  <c r="U276" i="25"/>
  <c r="P23" i="25"/>
  <c r="O23" i="25"/>
  <c r="T23" i="25"/>
  <c r="J266" i="24"/>
  <c r="O266" i="24"/>
  <c r="BZ266" i="24" s="1"/>
  <c r="N63" i="24"/>
  <c r="U63" i="24"/>
  <c r="O100" i="24"/>
  <c r="BZ100" i="24" s="1"/>
  <c r="J100" i="24"/>
  <c r="J259" i="24"/>
  <c r="O259" i="24"/>
  <c r="BZ259" i="24" s="1"/>
  <c r="P194" i="25"/>
  <c r="O194" i="25"/>
  <c r="T194" i="25"/>
  <c r="N139" i="24"/>
  <c r="U139" i="24"/>
  <c r="P47" i="25"/>
  <c r="O47" i="25"/>
  <c r="P234" i="25"/>
  <c r="O234" i="25"/>
  <c r="O105" i="24"/>
  <c r="BZ105" i="24" s="1"/>
  <c r="J105" i="24"/>
  <c r="AE45" i="24"/>
  <c r="X45" i="24"/>
  <c r="AA45" i="24" s="1"/>
  <c r="AB45" i="24" s="1"/>
  <c r="AC45" i="24" s="1"/>
  <c r="AI45" i="24"/>
  <c r="O293" i="24"/>
  <c r="BZ293" i="24" s="1"/>
  <c r="J293" i="24"/>
  <c r="P311" i="24"/>
  <c r="Q311" i="24"/>
  <c r="R170" i="25"/>
  <c r="S170" i="25"/>
  <c r="K170" i="25" s="1"/>
  <c r="V170" i="25" s="1"/>
  <c r="Q170" i="25"/>
  <c r="U198" i="25"/>
  <c r="P53" i="25"/>
  <c r="O53" i="25"/>
  <c r="P184" i="25"/>
  <c r="O184" i="25"/>
  <c r="Q135" i="24"/>
  <c r="P135" i="24"/>
  <c r="V219" i="24"/>
  <c r="P230" i="24"/>
  <c r="Q230" i="24"/>
  <c r="U262" i="25"/>
  <c r="V127" i="24"/>
  <c r="J303" i="24"/>
  <c r="W303" i="24" s="1"/>
  <c r="O303" i="24"/>
  <c r="BZ303" i="24" s="1"/>
  <c r="U57" i="25"/>
  <c r="P15" i="25"/>
  <c r="O15" i="25"/>
  <c r="O157" i="24"/>
  <c r="BZ157" i="24" s="1"/>
  <c r="J157" i="24"/>
  <c r="J286" i="24"/>
  <c r="O286" i="24"/>
  <c r="BZ286" i="24" s="1"/>
  <c r="O116" i="24"/>
  <c r="BZ116" i="24" s="1"/>
  <c r="J116" i="24"/>
  <c r="J223" i="24"/>
  <c r="W223" i="24" s="1"/>
  <c r="O223" i="24"/>
  <c r="BZ223" i="24" s="1"/>
  <c r="P264" i="25"/>
  <c r="O264" i="25"/>
  <c r="T264" i="25"/>
  <c r="P260" i="25"/>
  <c r="O260" i="25"/>
  <c r="T260" i="25"/>
  <c r="N113" i="24"/>
  <c r="U113" i="24"/>
  <c r="BZ255" i="25"/>
  <c r="V238" i="24"/>
  <c r="U31" i="25"/>
  <c r="N38" i="24"/>
  <c r="U38" i="24"/>
  <c r="J167" i="24"/>
  <c r="O167" i="24"/>
  <c r="BZ167" i="24" s="1"/>
  <c r="Q267" i="24"/>
  <c r="P267" i="24"/>
  <c r="O54" i="24"/>
  <c r="BZ54" i="24" s="1"/>
  <c r="J54" i="24"/>
  <c r="J268" i="24"/>
  <c r="W268" i="24" s="1"/>
  <c r="O268" i="24"/>
  <c r="BZ268" i="24" s="1"/>
  <c r="U35" i="25"/>
  <c r="Q69" i="24"/>
  <c r="R69" i="24" s="1"/>
  <c r="P69" i="24"/>
  <c r="P235" i="24"/>
  <c r="Q235" i="24"/>
  <c r="P69" i="25"/>
  <c r="O69" i="25"/>
  <c r="P153" i="25"/>
  <c r="O153" i="25"/>
  <c r="P85" i="25"/>
  <c r="O85" i="25"/>
  <c r="R198" i="25"/>
  <c r="S198" i="25"/>
  <c r="K198" i="25" s="1"/>
  <c r="Q198" i="25"/>
  <c r="O198" i="24"/>
  <c r="BZ198" i="24" s="1"/>
  <c r="J198" i="24"/>
  <c r="N239" i="24"/>
  <c r="O89" i="24"/>
  <c r="BZ89" i="24" s="1"/>
  <c r="J89" i="24"/>
  <c r="N262" i="24"/>
  <c r="Q217" i="24"/>
  <c r="P217" i="24"/>
  <c r="N277" i="24"/>
  <c r="P176" i="24"/>
  <c r="Q176" i="24"/>
  <c r="AP291" i="24"/>
  <c r="P220" i="25"/>
  <c r="O220" i="25"/>
  <c r="T220" i="25"/>
  <c r="P244" i="25"/>
  <c r="O244" i="25"/>
  <c r="P100" i="25"/>
  <c r="O100" i="25"/>
  <c r="T100" i="25"/>
  <c r="O166" i="24"/>
  <c r="BZ166" i="24" s="1"/>
  <c r="J166" i="24"/>
  <c r="P68" i="25"/>
  <c r="O68" i="25"/>
  <c r="T68" i="25"/>
  <c r="J184" i="24"/>
  <c r="O184" i="24"/>
  <c r="BZ184" i="24" s="1"/>
  <c r="P111" i="25"/>
  <c r="O111" i="25"/>
  <c r="O93" i="24"/>
  <c r="BZ93" i="24" s="1"/>
  <c r="J93" i="24"/>
  <c r="U119" i="25"/>
  <c r="U149" i="25"/>
  <c r="W22" i="24"/>
  <c r="V22" i="24"/>
  <c r="P99" i="24"/>
  <c r="Q99" i="24"/>
  <c r="R99" i="24" s="1"/>
  <c r="P302" i="24"/>
  <c r="Q302" i="24"/>
  <c r="N114" i="24"/>
  <c r="U114" i="24"/>
  <c r="Q81" i="24"/>
  <c r="R81" i="24" s="1"/>
  <c r="P81" i="24"/>
  <c r="O254" i="24"/>
  <c r="BZ254" i="24" s="1"/>
  <c r="J254" i="24"/>
  <c r="P61" i="25"/>
  <c r="O61" i="25"/>
  <c r="AO131" i="25"/>
  <c r="P178" i="24"/>
  <c r="Q178" i="24"/>
  <c r="J74" i="24"/>
  <c r="O74" i="24"/>
  <c r="BZ74" i="24" s="1"/>
  <c r="V6" i="24"/>
  <c r="P180" i="24"/>
  <c r="Q180" i="24"/>
  <c r="R158" i="25"/>
  <c r="S158" i="25"/>
  <c r="K158" i="25" s="1"/>
  <c r="V158" i="25" s="1"/>
  <c r="Q158" i="25"/>
  <c r="V287" i="24"/>
  <c r="U154" i="24"/>
  <c r="S87" i="25"/>
  <c r="K87" i="25" s="1"/>
  <c r="V87" i="25" s="1"/>
  <c r="R87" i="25"/>
  <c r="Q87" i="25"/>
  <c r="S174" i="25"/>
  <c r="K174" i="25" s="1"/>
  <c r="R174" i="25"/>
  <c r="Q174" i="25"/>
  <c r="J46" i="24"/>
  <c r="O46" i="24"/>
  <c r="BZ46" i="24" s="1"/>
  <c r="W101" i="24"/>
  <c r="V101" i="24"/>
  <c r="P226" i="25"/>
  <c r="O226" i="25"/>
  <c r="U92" i="24"/>
  <c r="V120" i="24"/>
  <c r="R306" i="25"/>
  <c r="S306" i="25"/>
  <c r="K306" i="25" s="1"/>
  <c r="Q306" i="25"/>
  <c r="P202" i="25"/>
  <c r="O202" i="25"/>
  <c r="P70" i="25"/>
  <c r="O70" i="25"/>
  <c r="U32" i="25"/>
  <c r="P193" i="24"/>
  <c r="Q193" i="24"/>
  <c r="R243" i="25"/>
  <c r="S243" i="25"/>
  <c r="K243" i="25" s="1"/>
  <c r="V243" i="25" s="1"/>
  <c r="Q243" i="25"/>
  <c r="R89" i="25"/>
  <c r="S89" i="25"/>
  <c r="K89" i="25" s="1"/>
  <c r="V89" i="25" s="1"/>
  <c r="Q89" i="25"/>
  <c r="V116" i="24"/>
  <c r="O160" i="25"/>
  <c r="P160" i="25"/>
  <c r="T160" i="25"/>
  <c r="Q283" i="24"/>
  <c r="P283" i="24"/>
  <c r="J94" i="24"/>
  <c r="O94" i="24"/>
  <c r="BZ94" i="24" s="1"/>
  <c r="Q37" i="24"/>
  <c r="R37" i="24" s="1"/>
  <c r="P37" i="24"/>
  <c r="Q281" i="24"/>
  <c r="P281" i="24"/>
  <c r="Q79" i="24"/>
  <c r="R79" i="24" s="1"/>
  <c r="P79" i="24"/>
  <c r="J111" i="24"/>
  <c r="O111" i="24"/>
  <c r="BZ111" i="24" s="1"/>
  <c r="P9" i="25"/>
  <c r="O9" i="25"/>
  <c r="J165" i="24"/>
  <c r="O165" i="24"/>
  <c r="BZ165" i="24" s="1"/>
  <c r="P295" i="25"/>
  <c r="O295" i="25"/>
  <c r="J229" i="24"/>
  <c r="O229" i="24"/>
  <c r="BZ229" i="24" s="1"/>
  <c r="U253" i="25"/>
  <c r="N174" i="24"/>
  <c r="U174" i="24"/>
  <c r="U170" i="25"/>
  <c r="T295" i="25"/>
  <c r="AE142" i="24"/>
  <c r="AI142" i="24"/>
  <c r="X142" i="24"/>
  <c r="AA142" i="24" s="1"/>
  <c r="AB142" i="24" s="1"/>
  <c r="AC142" i="24" s="1"/>
  <c r="V47" i="24"/>
  <c r="U50" i="25"/>
  <c r="U161" i="25"/>
  <c r="P171" i="25"/>
  <c r="O171" i="25"/>
  <c r="O164" i="24"/>
  <c r="BZ164" i="24" s="1"/>
  <c r="J164" i="24"/>
  <c r="P122" i="25"/>
  <c r="O122" i="25"/>
  <c r="T122" i="25"/>
  <c r="J63" i="24"/>
  <c r="O63" i="24"/>
  <c r="BZ63" i="24" s="1"/>
  <c r="J39" i="24"/>
  <c r="O39" i="24"/>
  <c r="BZ39" i="24" s="1"/>
  <c r="P269" i="25"/>
  <c r="O269" i="25"/>
  <c r="P187" i="25"/>
  <c r="O187" i="25"/>
  <c r="P173" i="24"/>
  <c r="Q173" i="24"/>
  <c r="J121" i="24"/>
  <c r="W121" i="24" s="1"/>
  <c r="O121" i="24"/>
  <c r="BZ121" i="24" s="1"/>
  <c r="P73" i="25"/>
  <c r="O73" i="25"/>
  <c r="T73" i="25"/>
  <c r="J47" i="24"/>
  <c r="O47" i="24"/>
  <c r="BZ47" i="24" s="1"/>
  <c r="N95" i="24"/>
  <c r="U95" i="24"/>
  <c r="J51" i="24"/>
  <c r="O51" i="24"/>
  <c r="BZ51" i="24" s="1"/>
  <c r="AE101" i="24"/>
  <c r="X101" i="24"/>
  <c r="AA101" i="24" s="1"/>
  <c r="AB101" i="24" s="1"/>
  <c r="AC101" i="24" s="1"/>
  <c r="AI101" i="24"/>
  <c r="N122" i="24"/>
  <c r="U122" i="24"/>
  <c r="P304" i="24"/>
  <c r="Q304" i="24"/>
  <c r="Q13" i="24"/>
  <c r="R13" i="24" s="1"/>
  <c r="P13" i="24"/>
  <c r="P221" i="25"/>
  <c r="O221" i="25"/>
  <c r="T221" i="25"/>
  <c r="P278" i="25"/>
  <c r="O278" i="25"/>
  <c r="T278" i="25"/>
  <c r="J209" i="24"/>
  <c r="O209" i="24"/>
  <c r="BZ209" i="24" s="1"/>
  <c r="O288" i="24"/>
  <c r="BZ288" i="24" s="1"/>
  <c r="J288" i="24"/>
  <c r="O92" i="24"/>
  <c r="BZ92" i="24" s="1"/>
  <c r="J92" i="24"/>
  <c r="O295" i="24"/>
  <c r="BZ295" i="24" s="1"/>
  <c r="J295" i="24"/>
  <c r="N145" i="24"/>
  <c r="U145" i="24"/>
  <c r="N308" i="24"/>
  <c r="N153" i="24"/>
  <c r="U153" i="24"/>
  <c r="N29" i="24"/>
  <c r="U29" i="24"/>
  <c r="P64" i="25"/>
  <c r="O64" i="25"/>
  <c r="J113" i="24"/>
  <c r="O113" i="24"/>
  <c r="BZ113" i="24" s="1"/>
  <c r="AP151" i="24"/>
  <c r="U124" i="25"/>
  <c r="J180" i="24"/>
  <c r="O180" i="24"/>
  <c r="BZ180" i="24" s="1"/>
  <c r="N71" i="24"/>
  <c r="U71" i="24"/>
  <c r="U197" i="24"/>
  <c r="O306" i="24"/>
  <c r="BZ306" i="24" s="1"/>
  <c r="J306" i="24"/>
  <c r="W306" i="24" s="1"/>
  <c r="O16" i="24"/>
  <c r="BZ16" i="24" s="1"/>
  <c r="J16" i="24"/>
  <c r="W16" i="24" s="1"/>
  <c r="U163" i="25"/>
  <c r="N146" i="24"/>
  <c r="U146" i="24"/>
  <c r="P203" i="25"/>
  <c r="O203" i="25"/>
  <c r="T203" i="25"/>
  <c r="J125" i="24"/>
  <c r="O125" i="24"/>
  <c r="BZ125" i="24" s="1"/>
  <c r="AE264" i="24"/>
  <c r="AI264" i="24"/>
  <c r="X264" i="24"/>
  <c r="AA264" i="24" s="1"/>
  <c r="AB264" i="24" s="1"/>
  <c r="AC264" i="24" s="1"/>
  <c r="AE236" i="24"/>
  <c r="AI236" i="24"/>
  <c r="X236" i="24"/>
  <c r="AA236" i="24" s="1"/>
  <c r="AB236" i="24" s="1"/>
  <c r="AC236" i="24" s="1"/>
  <c r="P252" i="25"/>
  <c r="O252" i="25"/>
  <c r="P63" i="25"/>
  <c r="O63" i="25"/>
  <c r="O270" i="24"/>
  <c r="BZ270" i="24" s="1"/>
  <c r="J270" i="24"/>
  <c r="W270" i="24" s="1"/>
  <c r="P65" i="24"/>
  <c r="Q65" i="24"/>
  <c r="R65" i="24" s="1"/>
  <c r="J69" i="24"/>
  <c r="O69" i="24"/>
  <c r="BZ69" i="24" s="1"/>
  <c r="O65" i="24"/>
  <c r="BZ65" i="24" s="1"/>
  <c r="J65" i="24"/>
  <c r="P146" i="25"/>
  <c r="O146" i="25"/>
  <c r="O112" i="24"/>
  <c r="BZ112" i="24" s="1"/>
  <c r="J112" i="24"/>
  <c r="O154" i="24"/>
  <c r="BZ154" i="24" s="1"/>
  <c r="J154" i="24"/>
  <c r="P73" i="24"/>
  <c r="Q73" i="24"/>
  <c r="R73" i="24" s="1"/>
  <c r="J102" i="24"/>
  <c r="O102" i="24"/>
  <c r="BZ102" i="24" s="1"/>
  <c r="O145" i="25"/>
  <c r="P145" i="25"/>
  <c r="AD110" i="25"/>
  <c r="W110" i="25"/>
  <c r="Z110" i="25" s="1"/>
  <c r="AA110" i="25" s="1"/>
  <c r="AB110" i="25" s="1"/>
  <c r="AI110" i="25" s="1"/>
  <c r="AP60" i="24"/>
  <c r="O239" i="24"/>
  <c r="BZ239" i="24" s="1"/>
  <c r="J239" i="24"/>
  <c r="J80" i="24"/>
  <c r="O80" i="24"/>
  <c r="BZ80" i="24" s="1"/>
  <c r="U227" i="25"/>
  <c r="AE160" i="24"/>
  <c r="AI160" i="24"/>
  <c r="X160" i="24"/>
  <c r="AA160" i="24" s="1"/>
  <c r="AB160" i="24" s="1"/>
  <c r="AC160" i="24" s="1"/>
  <c r="O262" i="24"/>
  <c r="BZ262" i="24" s="1"/>
  <c r="J262" i="24"/>
  <c r="U36" i="25"/>
  <c r="AP73" i="24"/>
  <c r="O277" i="24"/>
  <c r="BZ277" i="24" s="1"/>
  <c r="J277" i="24"/>
  <c r="J176" i="24"/>
  <c r="O176" i="24"/>
  <c r="BZ176" i="24" s="1"/>
  <c r="P137" i="25"/>
  <c r="O137" i="25"/>
  <c r="O252" i="24"/>
  <c r="BZ252" i="24" s="1"/>
  <c r="J252" i="24"/>
  <c r="R293" i="25"/>
  <c r="S293" i="25"/>
  <c r="K293" i="25" s="1"/>
  <c r="Q293" i="25"/>
  <c r="N210" i="24"/>
  <c r="U210" i="24"/>
  <c r="U244" i="25"/>
  <c r="Q254" i="24"/>
  <c r="P254" i="24"/>
  <c r="V172" i="24"/>
  <c r="O139" i="24"/>
  <c r="BZ139" i="24" s="1"/>
  <c r="J139" i="24"/>
  <c r="J53" i="24"/>
  <c r="W53" i="24" s="1"/>
  <c r="O53" i="24"/>
  <c r="BZ53" i="24" s="1"/>
  <c r="U256" i="25"/>
  <c r="U24" i="25"/>
  <c r="O156" i="24"/>
  <c r="BZ156" i="24" s="1"/>
  <c r="J156" i="24"/>
  <c r="S296" i="25"/>
  <c r="K296" i="25" s="1"/>
  <c r="R296" i="25"/>
  <c r="Q296" i="25"/>
  <c r="O40" i="24"/>
  <c r="BZ40" i="24" s="1"/>
  <c r="J40" i="24"/>
  <c r="W40" i="24" s="1"/>
  <c r="AP92" i="24"/>
  <c r="O99" i="24"/>
  <c r="BZ99" i="24" s="1"/>
  <c r="J99" i="24"/>
  <c r="P157" i="25"/>
  <c r="O157" i="25"/>
  <c r="O122" i="24"/>
  <c r="BZ122" i="24" s="1"/>
  <c r="J122" i="24"/>
  <c r="P159" i="25"/>
  <c r="O159" i="25"/>
  <c r="T159" i="25"/>
  <c r="Q91" i="24"/>
  <c r="R91" i="24" s="1"/>
  <c r="P91" i="24"/>
  <c r="J201" i="24"/>
  <c r="O201" i="24"/>
  <c r="BZ201" i="24" s="1"/>
  <c r="O244" i="24"/>
  <c r="BZ244" i="24" s="1"/>
  <c r="J244" i="24"/>
  <c r="O23" i="24"/>
  <c r="BZ23" i="24" s="1"/>
  <c r="J23" i="24"/>
  <c r="P36" i="25"/>
  <c r="O36" i="25"/>
  <c r="J178" i="24"/>
  <c r="O178" i="24"/>
  <c r="BZ178" i="24" s="1"/>
  <c r="O136" i="24"/>
  <c r="BZ136" i="24" s="1"/>
  <c r="J136" i="24"/>
  <c r="J43" i="24"/>
  <c r="W43" i="24" s="1"/>
  <c r="O43" i="24"/>
  <c r="BZ43" i="24" s="1"/>
  <c r="O6" i="24"/>
  <c r="BZ6" i="24" s="1"/>
  <c r="J6" i="24"/>
  <c r="Q273" i="24"/>
  <c r="P273" i="24"/>
  <c r="J138" i="24"/>
  <c r="O138" i="24"/>
  <c r="BZ138" i="24" s="1"/>
  <c r="U21" i="25"/>
  <c r="P287" i="24"/>
  <c r="Q287" i="24"/>
  <c r="P101" i="24"/>
  <c r="Q101" i="24"/>
  <c r="R101" i="24" s="1"/>
  <c r="T226" i="25"/>
  <c r="U69" i="24"/>
  <c r="U51" i="24"/>
  <c r="Q202" i="24"/>
  <c r="P202" i="24"/>
  <c r="U273" i="25"/>
  <c r="P120" i="24"/>
  <c r="Q120" i="24"/>
  <c r="U65" i="24"/>
  <c r="V218" i="24"/>
  <c r="U173" i="25"/>
  <c r="P81" i="25"/>
  <c r="O81" i="25"/>
  <c r="T81" i="25"/>
  <c r="Q82" i="24"/>
  <c r="R82" i="24" s="1"/>
  <c r="P82" i="24"/>
  <c r="T202" i="25"/>
  <c r="Q250" i="24"/>
  <c r="P250" i="24"/>
  <c r="V248" i="24"/>
  <c r="S32" i="25"/>
  <c r="K32" i="25" s="1"/>
  <c r="V32" i="25" s="1"/>
  <c r="R32" i="25"/>
  <c r="Q32" i="25"/>
  <c r="U238" i="25"/>
  <c r="U206" i="25"/>
  <c r="U177" i="24"/>
  <c r="P67" i="24"/>
  <c r="Q67" i="24"/>
  <c r="R67" i="24" s="1"/>
  <c r="Q116" i="24"/>
  <c r="P116" i="24"/>
  <c r="O281" i="24"/>
  <c r="BZ281" i="24" s="1"/>
  <c r="J281" i="24"/>
  <c r="V90" i="24"/>
  <c r="O245" i="25"/>
  <c r="P245" i="25"/>
  <c r="Q33" i="24"/>
  <c r="R33" i="24" s="1"/>
  <c r="P33" i="24"/>
  <c r="U36" i="24"/>
  <c r="P181" i="25"/>
  <c r="O181" i="25"/>
  <c r="U250" i="25"/>
  <c r="O174" i="24"/>
  <c r="BZ174" i="24" s="1"/>
  <c r="J174" i="24"/>
  <c r="V52" i="24"/>
  <c r="P216" i="25"/>
  <c r="O216" i="25"/>
  <c r="T216" i="25"/>
  <c r="O10" i="24"/>
  <c r="BZ10" i="24" s="1"/>
  <c r="J10" i="24"/>
  <c r="W10" i="24" s="1"/>
  <c r="J57" i="24"/>
  <c r="O57" i="24"/>
  <c r="BZ57" i="24" s="1"/>
  <c r="J226" i="24"/>
  <c r="W226" i="24" s="1"/>
  <c r="O226" i="24"/>
  <c r="BZ226" i="24" s="1"/>
  <c r="N309" i="24"/>
  <c r="U176" i="25"/>
  <c r="J280" i="24"/>
  <c r="O280" i="24"/>
  <c r="BZ280" i="24" s="1"/>
  <c r="P266" i="25"/>
  <c r="O266" i="25"/>
  <c r="P55" i="25"/>
  <c r="O55" i="25"/>
  <c r="P102" i="25"/>
  <c r="O102" i="25"/>
  <c r="AE294" i="24"/>
  <c r="X294" i="24"/>
  <c r="AA294" i="24" s="1"/>
  <c r="AB294" i="24" s="1"/>
  <c r="AC294" i="24" s="1"/>
  <c r="AI294" i="24"/>
  <c r="N316" i="24"/>
  <c r="AP242" i="24"/>
  <c r="P171" i="24"/>
  <c r="Q171" i="24"/>
  <c r="P165" i="25"/>
  <c r="O165" i="25"/>
  <c r="T165" i="25"/>
  <c r="P221" i="24"/>
  <c r="Q221" i="24"/>
  <c r="J95" i="24"/>
  <c r="O95" i="24"/>
  <c r="BZ95" i="24" s="1"/>
  <c r="R62" i="25"/>
  <c r="S62" i="25"/>
  <c r="K62" i="25" s="1"/>
  <c r="V62" i="25" s="1"/>
  <c r="Q62" i="25"/>
  <c r="O311" i="24"/>
  <c r="BZ311" i="24" s="1"/>
  <c r="J311" i="24"/>
  <c r="J151" i="24"/>
  <c r="O151" i="24"/>
  <c r="BZ151" i="24" s="1"/>
  <c r="V188" i="24"/>
  <c r="J285" i="24"/>
  <c r="O285" i="24"/>
  <c r="BZ285" i="24" s="1"/>
  <c r="O195" i="24"/>
  <c r="BZ195" i="24" s="1"/>
  <c r="J195" i="24"/>
  <c r="P25" i="25"/>
  <c r="O25" i="25"/>
  <c r="T25" i="25"/>
  <c r="Q144" i="24"/>
  <c r="P144" i="24"/>
  <c r="Q155" i="24"/>
  <c r="P155" i="24"/>
  <c r="O205" i="25"/>
  <c r="P205" i="25"/>
  <c r="T205" i="25"/>
  <c r="U184" i="25"/>
  <c r="J299" i="24"/>
  <c r="O299" i="24"/>
  <c r="BZ299" i="24" s="1"/>
  <c r="AE132" i="24"/>
  <c r="X132" i="24"/>
  <c r="AA132" i="24" s="1"/>
  <c r="AB132" i="24" s="1"/>
  <c r="AC132" i="24" s="1"/>
  <c r="AI132" i="24"/>
  <c r="J193" i="24"/>
  <c r="O193" i="24"/>
  <c r="BZ193" i="24" s="1"/>
  <c r="U65" i="25"/>
  <c r="P130" i="25"/>
  <c r="O130" i="25"/>
  <c r="P197" i="25"/>
  <c r="O197" i="25"/>
  <c r="T197" i="25"/>
  <c r="O145" i="24"/>
  <c r="BZ145" i="24" s="1"/>
  <c r="J145" i="24"/>
  <c r="P196" i="24"/>
  <c r="Q196" i="24"/>
  <c r="V270" i="24"/>
  <c r="AE233" i="24"/>
  <c r="X233" i="24"/>
  <c r="AA233" i="24" s="1"/>
  <c r="AB233" i="24" s="1"/>
  <c r="AC233" i="24" s="1"/>
  <c r="AI233" i="24"/>
  <c r="AO255" i="25"/>
  <c r="U146" i="25"/>
  <c r="AP311" i="24"/>
  <c r="J308" i="24"/>
  <c r="O308" i="24"/>
  <c r="BZ308" i="24" s="1"/>
  <c r="J84" i="24"/>
  <c r="O84" i="24"/>
  <c r="BZ84" i="24" s="1"/>
  <c r="AE292" i="24"/>
  <c r="X292" i="24"/>
  <c r="AA292" i="24" s="1"/>
  <c r="AB292" i="24" s="1"/>
  <c r="AC292" i="24" s="1"/>
  <c r="AI292" i="24"/>
  <c r="O188" i="24"/>
  <c r="BZ188" i="24" s="1"/>
  <c r="J188" i="24"/>
  <c r="N282" i="24"/>
  <c r="J38" i="24"/>
  <c r="O38" i="24"/>
  <c r="BZ38" i="24" s="1"/>
  <c r="P176" i="25"/>
  <c r="O176" i="25"/>
  <c r="J20" i="24"/>
  <c r="O20" i="24"/>
  <c r="BZ20" i="24" s="1"/>
  <c r="J267" i="24"/>
  <c r="O267" i="24"/>
  <c r="BZ267" i="24" s="1"/>
  <c r="Q49" i="24"/>
  <c r="R49" i="24" s="1"/>
  <c r="P49" i="24"/>
  <c r="P284" i="25"/>
  <c r="O284" i="25"/>
  <c r="J127" i="24"/>
  <c r="O127" i="24"/>
  <c r="BZ127" i="24" s="1"/>
  <c r="J235" i="24"/>
  <c r="O235" i="24"/>
  <c r="BZ235" i="24" s="1"/>
  <c r="J115" i="24"/>
  <c r="O115" i="24"/>
  <c r="BZ115" i="24" s="1"/>
  <c r="J13" i="24"/>
  <c r="O13" i="24"/>
  <c r="BZ13" i="24" s="1"/>
  <c r="V182" i="24"/>
  <c r="J73" i="24"/>
  <c r="O73" i="24"/>
  <c r="BZ73" i="24" s="1"/>
  <c r="Q192" i="24"/>
  <c r="P192" i="24"/>
  <c r="P223" i="25"/>
  <c r="O223" i="25"/>
  <c r="T223" i="25"/>
  <c r="P39" i="25"/>
  <c r="O39" i="25"/>
  <c r="T39" i="25"/>
  <c r="P67" i="25"/>
  <c r="O67" i="25"/>
  <c r="T67" i="25"/>
  <c r="AE21" i="24"/>
  <c r="AI21" i="24"/>
  <c r="X21" i="24"/>
  <c r="AA21" i="24" s="1"/>
  <c r="AB21" i="24" s="1"/>
  <c r="AC21" i="24" s="1"/>
  <c r="O315" i="24"/>
  <c r="BZ315" i="24" s="1"/>
  <c r="J315" i="24"/>
  <c r="Q28" i="24"/>
  <c r="R28" i="24" s="1"/>
  <c r="P28" i="24"/>
  <c r="P274" i="25"/>
  <c r="O274" i="25"/>
  <c r="T274" i="25"/>
  <c r="O217" i="24"/>
  <c r="BZ217" i="24" s="1"/>
  <c r="J217" i="24"/>
  <c r="P230" i="25"/>
  <c r="O230" i="25"/>
  <c r="T230" i="25"/>
  <c r="T47" i="25"/>
  <c r="U235" i="25"/>
  <c r="J263" i="24"/>
  <c r="O263" i="24"/>
  <c r="BZ263" i="24" s="1"/>
  <c r="N232" i="24"/>
  <c r="N195" i="24"/>
  <c r="U195" i="24"/>
  <c r="AO177" i="25"/>
  <c r="J272" i="24"/>
  <c r="W272" i="24" s="1"/>
  <c r="O272" i="24"/>
  <c r="BZ272" i="24" s="1"/>
  <c r="U136" i="25"/>
  <c r="U275" i="25"/>
  <c r="J17" i="24"/>
  <c r="O17" i="24"/>
  <c r="BZ17" i="24" s="1"/>
  <c r="P294" i="25"/>
  <c r="O294" i="25"/>
  <c r="P27" i="25"/>
  <c r="O27" i="25"/>
  <c r="T27" i="25"/>
  <c r="P278" i="24"/>
  <c r="Q278" i="24"/>
  <c r="P308" i="25"/>
  <c r="O308" i="25"/>
  <c r="O301" i="24"/>
  <c r="BZ301" i="24" s="1"/>
  <c r="J301" i="24"/>
  <c r="P11" i="24"/>
  <c r="Q11" i="24"/>
  <c r="R11" i="24" s="1"/>
  <c r="AE119" i="24"/>
  <c r="X119" i="24"/>
  <c r="AA119" i="24" s="1"/>
  <c r="AB119" i="24" s="1"/>
  <c r="AC119" i="24" s="1"/>
  <c r="AI119" i="24"/>
  <c r="U30" i="25"/>
  <c r="J302" i="24"/>
  <c r="O302" i="24"/>
  <c r="BZ302" i="24" s="1"/>
  <c r="J68" i="24"/>
  <c r="W68" i="24" s="1"/>
  <c r="O68" i="24"/>
  <c r="BZ68" i="24" s="1"/>
  <c r="J114" i="24"/>
  <c r="O114" i="24"/>
  <c r="BZ114" i="24" s="1"/>
  <c r="N85" i="24"/>
  <c r="U85" i="24"/>
  <c r="P136" i="25"/>
  <c r="O136" i="25"/>
  <c r="P24" i="25"/>
  <c r="O24" i="25"/>
  <c r="P91" i="25"/>
  <c r="O91" i="25"/>
  <c r="O35" i="24"/>
  <c r="BZ35" i="24" s="1"/>
  <c r="J35" i="24"/>
  <c r="P290" i="25"/>
  <c r="O290" i="25"/>
  <c r="O222" i="24"/>
  <c r="BZ222" i="24" s="1"/>
  <c r="J222" i="24"/>
  <c r="R30" i="25"/>
  <c r="S30" i="25"/>
  <c r="K30" i="25" s="1"/>
  <c r="V30" i="25" s="1"/>
  <c r="Q30" i="25"/>
  <c r="U261" i="25"/>
  <c r="V234" i="24"/>
  <c r="Q36" i="24"/>
  <c r="R36" i="24" s="1"/>
  <c r="P36" i="24"/>
  <c r="S21" i="25"/>
  <c r="K21" i="25" s="1"/>
  <c r="V21" i="25" s="1"/>
  <c r="R21" i="25"/>
  <c r="Q21" i="25"/>
  <c r="V306" i="24"/>
  <c r="V226" i="24"/>
  <c r="Q243" i="24"/>
  <c r="P243" i="24"/>
  <c r="O296" i="24"/>
  <c r="BZ296" i="24" s="1"/>
  <c r="J296" i="24"/>
  <c r="U31" i="24"/>
  <c r="U185" i="24"/>
  <c r="T266" i="25"/>
  <c r="U178" i="25"/>
  <c r="U167" i="25"/>
  <c r="V14" i="24"/>
  <c r="Q50" i="24"/>
  <c r="R50" i="24" s="1"/>
  <c r="P50" i="24"/>
  <c r="J202" i="24"/>
  <c r="O202" i="24"/>
  <c r="BZ202" i="24" s="1"/>
  <c r="U143" i="24"/>
  <c r="Q274" i="24"/>
  <c r="P274" i="24"/>
  <c r="Q70" i="24"/>
  <c r="R70" i="24" s="1"/>
  <c r="P70" i="24"/>
  <c r="S273" i="25"/>
  <c r="K273" i="25" s="1"/>
  <c r="V273" i="25" s="1"/>
  <c r="R273" i="25"/>
  <c r="Q273" i="25"/>
  <c r="Q218" i="24"/>
  <c r="P218" i="24"/>
  <c r="S173" i="25"/>
  <c r="K173" i="25" s="1"/>
  <c r="V173" i="25" s="1"/>
  <c r="R173" i="25"/>
  <c r="Q173" i="25"/>
  <c r="V200" i="24"/>
  <c r="U71" i="25"/>
  <c r="U168" i="25"/>
  <c r="J82" i="24"/>
  <c r="O82" i="24"/>
  <c r="BZ82" i="24" s="1"/>
  <c r="T70" i="25"/>
  <c r="P56" i="24"/>
  <c r="Q56" i="24"/>
  <c r="R56" i="24" s="1"/>
  <c r="P248" i="24"/>
  <c r="Q248" i="24"/>
  <c r="S238" i="25"/>
  <c r="K238" i="25" s="1"/>
  <c r="V238" i="25" s="1"/>
  <c r="R238" i="25"/>
  <c r="Q238" i="25"/>
  <c r="R206" i="25"/>
  <c r="S206" i="25"/>
  <c r="K206" i="25" s="1"/>
  <c r="Q206" i="25"/>
  <c r="W132" i="24"/>
  <c r="Y132" i="24" s="1"/>
  <c r="U259" i="25"/>
  <c r="U104" i="24"/>
  <c r="U176" i="24"/>
  <c r="J37" i="24"/>
  <c r="O37" i="24"/>
  <c r="BZ37" i="24" s="1"/>
  <c r="Q90" i="24"/>
  <c r="R90" i="24" s="1"/>
  <c r="P90" i="24"/>
  <c r="U113" i="25"/>
  <c r="R147" i="25"/>
  <c r="S147" i="25"/>
  <c r="K147" i="25" s="1"/>
  <c r="V147" i="25" s="1"/>
  <c r="Q147" i="25"/>
  <c r="V18" i="24"/>
  <c r="U33" i="24"/>
  <c r="P134" i="25"/>
  <c r="O134" i="25"/>
  <c r="P298" i="25"/>
  <c r="O298" i="25"/>
  <c r="V25" i="24"/>
  <c r="U172" i="25"/>
  <c r="J313" i="24"/>
  <c r="W313" i="24" s="1"/>
  <c r="O313" i="24"/>
  <c r="BZ313" i="24" s="1"/>
  <c r="U49" i="25"/>
  <c r="U127" i="25"/>
  <c r="U62" i="25"/>
  <c r="J310" i="24"/>
  <c r="W310" i="24" s="1"/>
  <c r="O310" i="24"/>
  <c r="BZ310" i="24" s="1"/>
  <c r="V271" i="24"/>
  <c r="U290" i="25"/>
  <c r="O309" i="24"/>
  <c r="BZ309" i="24" s="1"/>
  <c r="J309" i="24"/>
  <c r="N126" i="24"/>
  <c r="U126" i="24"/>
  <c r="P208" i="25"/>
  <c r="O208" i="25"/>
  <c r="T208" i="25"/>
  <c r="N228" i="24"/>
  <c r="P281" i="25"/>
  <c r="O281" i="25"/>
  <c r="P249" i="25"/>
  <c r="O249" i="25"/>
  <c r="T249" i="25"/>
  <c r="J316" i="24"/>
  <c r="O316" i="24"/>
  <c r="BZ316" i="24" s="1"/>
  <c r="P46" i="25"/>
  <c r="O46" i="25"/>
  <c r="J312" i="24"/>
  <c r="W312" i="24" s="1"/>
  <c r="O312" i="24"/>
  <c r="BZ312" i="24" s="1"/>
  <c r="Q20" i="24"/>
  <c r="R20" i="24" s="1"/>
  <c r="P20" i="24"/>
  <c r="O305" i="24"/>
  <c r="BZ305" i="24" s="1"/>
  <c r="J305" i="24"/>
  <c r="O287" i="24"/>
  <c r="BZ287" i="24" s="1"/>
  <c r="J287" i="24"/>
  <c r="J104" i="24"/>
  <c r="O104" i="24"/>
  <c r="BZ104" i="24" s="1"/>
  <c r="P99" i="25"/>
  <c r="O99" i="25"/>
  <c r="J304" i="24"/>
  <c r="O304" i="24"/>
  <c r="BZ304" i="24" s="1"/>
  <c r="O147" i="24"/>
  <c r="BZ147" i="24" s="1"/>
  <c r="J147" i="24"/>
  <c r="W147" i="24" s="1"/>
  <c r="U137" i="25"/>
  <c r="J24" i="24"/>
  <c r="W24" i="24" s="1"/>
  <c r="O24" i="24"/>
  <c r="BZ24" i="24" s="1"/>
  <c r="P49" i="25"/>
  <c r="O49" i="25"/>
  <c r="P33" i="25"/>
  <c r="O33" i="25"/>
  <c r="P175" i="25"/>
  <c r="O175" i="25"/>
  <c r="U252" i="25"/>
  <c r="N59" i="24"/>
  <c r="U59" i="24"/>
  <c r="U64" i="25"/>
  <c r="N148" i="24"/>
  <c r="U148" i="24"/>
  <c r="O173" i="24"/>
  <c r="BZ173" i="24" s="1"/>
  <c r="J173" i="24"/>
  <c r="O149" i="24"/>
  <c r="BZ149" i="24" s="1"/>
  <c r="J149" i="24"/>
  <c r="P224" i="25"/>
  <c r="O224" i="25"/>
  <c r="T224" i="25"/>
  <c r="U69" i="25"/>
  <c r="O271" i="24"/>
  <c r="BZ271" i="24" s="1"/>
  <c r="J271" i="24"/>
  <c r="W271" i="24" s="1"/>
  <c r="AD129" i="25"/>
  <c r="W129" i="25"/>
  <c r="Z129" i="25" s="1"/>
  <c r="AA129" i="25" s="1"/>
  <c r="AB129" i="25" s="1"/>
  <c r="AI129" i="25" s="1"/>
  <c r="T281" i="25"/>
  <c r="V76" i="24"/>
  <c r="U145" i="25"/>
  <c r="N203" i="24"/>
  <c r="U203" i="24"/>
  <c r="P307" i="25"/>
  <c r="O307" i="25"/>
  <c r="T307" i="25"/>
  <c r="J29" i="24"/>
  <c r="O29" i="24"/>
  <c r="BZ29" i="24" s="1"/>
  <c r="N249" i="24"/>
  <c r="P41" i="25"/>
  <c r="O41" i="25"/>
  <c r="T41" i="25"/>
  <c r="P123" i="25"/>
  <c r="O123" i="25"/>
  <c r="T123" i="25"/>
  <c r="U147" i="25"/>
  <c r="O153" i="24"/>
  <c r="BZ153" i="24" s="1"/>
  <c r="J153" i="24"/>
  <c r="J282" i="24"/>
  <c r="O282" i="24"/>
  <c r="BZ282" i="24" s="1"/>
  <c r="J146" i="24"/>
  <c r="O146" i="24"/>
  <c r="BZ146" i="24" s="1"/>
  <c r="O255" i="24"/>
  <c r="BZ255" i="24" s="1"/>
  <c r="J255" i="24"/>
  <c r="Q23" i="24"/>
  <c r="R23" i="24" s="1"/>
  <c r="P23" i="24"/>
  <c r="N184" i="24"/>
  <c r="U184" i="24"/>
  <c r="V30" i="24"/>
  <c r="P295" i="24"/>
  <c r="Q295" i="24"/>
  <c r="O48" i="24"/>
  <c r="BZ48" i="24" s="1"/>
  <c r="J48" i="24"/>
  <c r="W48" i="24" s="1"/>
  <c r="O197" i="24"/>
  <c r="BZ197" i="24" s="1"/>
  <c r="J197" i="24"/>
  <c r="P175" i="24"/>
  <c r="Q175" i="24"/>
  <c r="AE162" i="24"/>
  <c r="X162" i="24"/>
  <c r="AA162" i="24" s="1"/>
  <c r="AB162" i="24" s="1"/>
  <c r="AC162" i="24" s="1"/>
  <c r="AI162" i="24"/>
  <c r="P98" i="24"/>
  <c r="Q98" i="24"/>
  <c r="R98" i="24" s="1"/>
  <c r="T175" i="25"/>
  <c r="N194" i="24"/>
  <c r="U194" i="24"/>
  <c r="AP20" i="24"/>
  <c r="N315" i="24"/>
  <c r="P251" i="25"/>
  <c r="O251" i="25"/>
  <c r="T251" i="25"/>
  <c r="U316" i="25"/>
  <c r="N247" i="24"/>
  <c r="U17" i="24"/>
  <c r="J86" i="24"/>
  <c r="W86" i="24" s="1"/>
  <c r="O86" i="24"/>
  <c r="BZ86" i="24" s="1"/>
  <c r="O161" i="24"/>
  <c r="BZ161" i="24" s="1"/>
  <c r="J161" i="24"/>
  <c r="P209" i="25"/>
  <c r="O209" i="25"/>
  <c r="T209" i="25"/>
  <c r="U133" i="25"/>
  <c r="P277" i="25"/>
  <c r="O277" i="25"/>
  <c r="T277" i="25"/>
  <c r="T289" i="25"/>
  <c r="N187" i="24"/>
  <c r="U187" i="24"/>
  <c r="P219" i="25"/>
  <c r="O219" i="25"/>
  <c r="T219" i="25"/>
  <c r="J232" i="24"/>
  <c r="O232" i="24"/>
  <c r="BZ232" i="24" s="1"/>
  <c r="U120" i="25"/>
  <c r="P245" i="24"/>
  <c r="Q245" i="24"/>
  <c r="O72" i="24"/>
  <c r="BZ72" i="24" s="1"/>
  <c r="J72" i="24"/>
  <c r="W72" i="24" s="1"/>
  <c r="P56" i="25"/>
  <c r="O56" i="25"/>
  <c r="T56" i="25"/>
  <c r="Q189" i="24"/>
  <c r="P189" i="24"/>
  <c r="P60" i="25"/>
  <c r="O60" i="25"/>
  <c r="U151" i="24"/>
  <c r="J128" i="24"/>
  <c r="O128" i="24"/>
  <c r="BZ128" i="24" s="1"/>
  <c r="O278" i="24"/>
  <c r="BZ278" i="24" s="1"/>
  <c r="J278" i="24"/>
  <c r="U91" i="25"/>
  <c r="V44" i="24"/>
  <c r="W44" i="24"/>
  <c r="N117" i="24"/>
  <c r="U117" i="24"/>
  <c r="J314" i="24"/>
  <c r="O314" i="24"/>
  <c r="BZ314" i="24" s="1"/>
  <c r="J307" i="24"/>
  <c r="W307" i="24" s="1"/>
  <c r="O307" i="24"/>
  <c r="BZ307" i="24" s="1"/>
  <c r="P305" i="24"/>
  <c r="Q305" i="24"/>
  <c r="J91" i="24"/>
  <c r="O91" i="24"/>
  <c r="BZ91" i="24" s="1"/>
  <c r="P17" i="25"/>
  <c r="O17" i="25"/>
  <c r="AP196" i="24"/>
  <c r="J171" i="24"/>
  <c r="O171" i="24"/>
  <c r="BZ171" i="24" s="1"/>
  <c r="P119" i="25"/>
  <c r="O119" i="25"/>
  <c r="P50" i="25"/>
  <c r="O50" i="25"/>
  <c r="J98" i="24"/>
  <c r="O98" i="24"/>
  <c r="BZ98" i="24" s="1"/>
  <c r="J81" i="24"/>
  <c r="O81" i="24"/>
  <c r="BZ81" i="24" s="1"/>
  <c r="J245" i="24"/>
  <c r="O245" i="24"/>
  <c r="BZ245" i="24" s="1"/>
  <c r="Q12" i="24"/>
  <c r="R12" i="24" s="1"/>
  <c r="P12" i="24"/>
  <c r="S261" i="25"/>
  <c r="K261" i="25" s="1"/>
  <c r="R261" i="25"/>
  <c r="Q261" i="25"/>
  <c r="U229" i="25"/>
  <c r="P234" i="24"/>
  <c r="Q234" i="24"/>
  <c r="J273" i="24"/>
  <c r="O273" i="24"/>
  <c r="BZ273" i="24" s="1"/>
  <c r="P193" i="25"/>
  <c r="O193" i="25"/>
  <c r="O152" i="25"/>
  <c r="P152" i="25"/>
  <c r="P306" i="24"/>
  <c r="Q306" i="24"/>
  <c r="P226" i="24"/>
  <c r="Q226" i="24"/>
  <c r="U102" i="24"/>
  <c r="P296" i="24"/>
  <c r="Q296" i="24"/>
  <c r="T53" i="25"/>
  <c r="P132" i="25"/>
  <c r="O132" i="25"/>
  <c r="P265" i="24"/>
  <c r="Q265" i="24"/>
  <c r="R257" i="25"/>
  <c r="S257" i="25"/>
  <c r="K257" i="25" s="1"/>
  <c r="Q257" i="25"/>
  <c r="Q185" i="24"/>
  <c r="P185" i="24"/>
  <c r="U114" i="25"/>
  <c r="S178" i="25"/>
  <c r="K178" i="25" s="1"/>
  <c r="V178" i="25" s="1"/>
  <c r="R178" i="25"/>
  <c r="Q178" i="25"/>
  <c r="S167" i="25"/>
  <c r="K167" i="25" s="1"/>
  <c r="R167" i="25"/>
  <c r="Q167" i="25"/>
  <c r="J274" i="24"/>
  <c r="O274" i="24"/>
  <c r="BZ274" i="24" s="1"/>
  <c r="N298" i="24"/>
  <c r="J70" i="24"/>
  <c r="O70" i="24"/>
  <c r="BZ70" i="24" s="1"/>
  <c r="P152" i="24"/>
  <c r="Q152" i="24"/>
  <c r="V227" i="24"/>
  <c r="P200" i="24"/>
  <c r="Q200" i="24"/>
  <c r="P195" i="25"/>
  <c r="O195" i="25"/>
  <c r="P8" i="25"/>
  <c r="O8" i="25"/>
  <c r="U170" i="24"/>
  <c r="J250" i="24"/>
  <c r="O250" i="24"/>
  <c r="BZ250" i="24" s="1"/>
  <c r="O56" i="24"/>
  <c r="BZ56" i="24" s="1"/>
  <c r="J56" i="24"/>
  <c r="T63" i="25"/>
  <c r="U201" i="25"/>
  <c r="U292" i="25"/>
  <c r="S246" i="25"/>
  <c r="K246" i="25" s="1"/>
  <c r="R246" i="25"/>
  <c r="Q246" i="25"/>
  <c r="J67" i="24"/>
  <c r="O67" i="24"/>
  <c r="BZ67" i="24" s="1"/>
  <c r="R259" i="25"/>
  <c r="S259" i="25"/>
  <c r="K259" i="25" s="1"/>
  <c r="Q259" i="25"/>
  <c r="U92" i="25"/>
  <c r="Q224" i="24"/>
  <c r="P224" i="24"/>
  <c r="V83" i="24"/>
  <c r="P151" i="25"/>
  <c r="O151" i="25"/>
  <c r="O283" i="24"/>
  <c r="BZ283" i="24" s="1"/>
  <c r="J283" i="24"/>
  <c r="R267" i="25"/>
  <c r="S267" i="25"/>
  <c r="K267" i="25" s="1"/>
  <c r="V267" i="25" s="1"/>
  <c r="Q267" i="25"/>
  <c r="R113" i="25"/>
  <c r="S113" i="25"/>
  <c r="K113" i="25" s="1"/>
  <c r="V113" i="25" s="1"/>
  <c r="Q113" i="25"/>
  <c r="AP302" i="24"/>
  <c r="O162" i="25"/>
  <c r="P162" i="25"/>
  <c r="O33" i="24"/>
  <c r="BZ33" i="24" s="1"/>
  <c r="J33" i="24"/>
  <c r="Q197" i="24"/>
  <c r="P197" i="24"/>
  <c r="P304" i="25"/>
  <c r="O304" i="25"/>
  <c r="T304" i="25"/>
  <c r="P151" i="24"/>
  <c r="Q151" i="24"/>
  <c r="P74" i="25"/>
  <c r="O74" i="25"/>
  <c r="T74" i="25"/>
  <c r="P103" i="25"/>
  <c r="O103" i="25"/>
  <c r="U285" i="25"/>
  <c r="U126" i="25"/>
  <c r="R255" i="25"/>
  <c r="S255" i="25"/>
  <c r="K255" i="25" s="1"/>
  <c r="Q255" i="25"/>
  <c r="P7" i="25"/>
  <c r="O7" i="25"/>
  <c r="J221" i="24"/>
  <c r="O221" i="24"/>
  <c r="BZ221" i="24" s="1"/>
  <c r="V68" i="24"/>
  <c r="V129" i="24"/>
  <c r="J129" i="24"/>
  <c r="O129" i="24"/>
  <c r="BZ129" i="24" s="1"/>
  <c r="P291" i="24"/>
  <c r="Q291" i="24"/>
  <c r="P118" i="25"/>
  <c r="O118" i="25"/>
  <c r="P172" i="25"/>
  <c r="O172" i="25"/>
  <c r="U291" i="25"/>
  <c r="J289" i="24"/>
  <c r="O289" i="24"/>
  <c r="BZ289" i="24" s="1"/>
  <c r="P250" i="25"/>
  <c r="O250" i="25"/>
  <c r="J155" i="24"/>
  <c r="O155" i="24"/>
  <c r="BZ155" i="24" s="1"/>
  <c r="U54" i="25"/>
  <c r="U155" i="25"/>
  <c r="J240" i="24"/>
  <c r="O240" i="24"/>
  <c r="BZ240" i="24" s="1"/>
  <c r="Q31" i="24"/>
  <c r="R31" i="24" s="1"/>
  <c r="P31" i="24"/>
  <c r="P126" i="25"/>
  <c r="O126" i="25"/>
  <c r="U153" i="25"/>
  <c r="V237" i="24"/>
  <c r="T181" i="25"/>
  <c r="P150" i="25"/>
  <c r="O150" i="25"/>
  <c r="N141" i="24"/>
  <c r="U141" i="24"/>
  <c r="O105" i="25"/>
  <c r="P105" i="25"/>
  <c r="O62" i="24"/>
  <c r="BZ62" i="24" s="1"/>
  <c r="J62" i="24"/>
  <c r="W62" i="24" s="1"/>
  <c r="P166" i="25"/>
  <c r="O166" i="25"/>
  <c r="P233" i="25"/>
  <c r="O233" i="25"/>
  <c r="N140" i="24"/>
  <c r="U140" i="24"/>
  <c r="P79" i="25"/>
  <c r="O79" i="25"/>
  <c r="T79" i="25"/>
  <c r="BZ170" i="25"/>
  <c r="P26" i="25"/>
  <c r="O26" i="25"/>
  <c r="T26" i="25"/>
  <c r="U85" i="25"/>
  <c r="P10" i="25"/>
  <c r="O10" i="25"/>
  <c r="T10" i="25"/>
  <c r="V150" i="24"/>
  <c r="Q104" i="24"/>
  <c r="R104" i="24" s="1"/>
  <c r="P104" i="24"/>
  <c r="AP144" i="24"/>
  <c r="J231" i="24"/>
  <c r="W231" i="24" s="1"/>
  <c r="O231" i="24"/>
  <c r="BZ231" i="24" s="1"/>
  <c r="J131" i="24"/>
  <c r="O131" i="24"/>
  <c r="BZ131" i="24" s="1"/>
  <c r="J133" i="24"/>
  <c r="W133" i="24" s="1"/>
  <c r="O133" i="24"/>
  <c r="BZ133" i="24" s="1"/>
  <c r="P88" i="25"/>
  <c r="O88" i="25"/>
  <c r="N89" i="24"/>
  <c r="U89" i="24"/>
  <c r="P207" i="24"/>
  <c r="Q207" i="24"/>
  <c r="Q60" i="24"/>
  <c r="R60" i="24" s="1"/>
  <c r="P60" i="24"/>
  <c r="J242" i="24"/>
  <c r="O242" i="24"/>
  <c r="BZ242" i="24" s="1"/>
  <c r="T234" i="25"/>
  <c r="AP17" i="24"/>
  <c r="J199" i="24"/>
  <c r="W199" i="24" s="1"/>
  <c r="O199" i="24"/>
  <c r="BZ199" i="24" s="1"/>
  <c r="J175" i="24"/>
  <c r="O175" i="24"/>
  <c r="BZ175" i="24" s="1"/>
  <c r="S177" i="25"/>
  <c r="K177" i="25" s="1"/>
  <c r="R177" i="25"/>
  <c r="Q177" i="25"/>
  <c r="O34" i="24"/>
  <c r="BZ34" i="24" s="1"/>
  <c r="J34" i="24"/>
  <c r="J76" i="24"/>
  <c r="O76" i="24"/>
  <c r="BZ76" i="24" s="1"/>
  <c r="O236" i="25"/>
  <c r="P236" i="25"/>
  <c r="O192" i="24"/>
  <c r="BZ192" i="24" s="1"/>
  <c r="J192" i="24"/>
  <c r="P142" i="25"/>
  <c r="O142" i="25"/>
  <c r="T142" i="25"/>
  <c r="O139" i="25"/>
  <c r="P139" i="25"/>
  <c r="T139" i="25"/>
  <c r="U111" i="25"/>
  <c r="U204" i="25"/>
  <c r="U305" i="25"/>
  <c r="U294" i="25"/>
  <c r="AP136" i="24"/>
  <c r="U45" i="25"/>
  <c r="T66" i="25"/>
  <c r="P159" i="24"/>
  <c r="Q159" i="24"/>
  <c r="J225" i="24"/>
  <c r="O225" i="24"/>
  <c r="BZ225" i="24" s="1"/>
  <c r="V307" i="24"/>
  <c r="P163" i="25"/>
  <c r="O163" i="25"/>
  <c r="Q75" i="24"/>
  <c r="R75" i="24" s="1"/>
  <c r="P75" i="24"/>
  <c r="P124" i="25"/>
  <c r="O124" i="25"/>
  <c r="P217" i="25"/>
  <c r="O217" i="25"/>
  <c r="T217" i="25"/>
  <c r="O189" i="24"/>
  <c r="BZ189" i="24" s="1"/>
  <c r="J189" i="24"/>
  <c r="P18" i="25"/>
  <c r="O18" i="25"/>
  <c r="T18" i="25"/>
  <c r="P169" i="24"/>
  <c r="Q169" i="24"/>
  <c r="U135" i="24"/>
  <c r="V110" i="25"/>
  <c r="X110" i="25" s="1"/>
  <c r="AE257" i="24"/>
  <c r="X257" i="24"/>
  <c r="AA257" i="24" s="1"/>
  <c r="AB257" i="24" s="1"/>
  <c r="AC257" i="24" s="1"/>
  <c r="AI257" i="24"/>
  <c r="U23" i="24"/>
  <c r="J11" i="24"/>
  <c r="O11" i="24"/>
  <c r="BZ11" i="24" s="1"/>
  <c r="V43" i="24"/>
  <c r="Q314" i="24"/>
  <c r="P314" i="24"/>
  <c r="S6" i="25"/>
  <c r="K6" i="25" s="1"/>
  <c r="R6" i="25"/>
  <c r="Q6" i="25"/>
  <c r="P270" i="25"/>
  <c r="O270" i="25"/>
  <c r="O144" i="25"/>
  <c r="P144" i="25"/>
  <c r="P208" i="24"/>
  <c r="Q208" i="24"/>
  <c r="AP105" i="24"/>
  <c r="P51" i="25"/>
  <c r="O51" i="25"/>
  <c r="J15" i="24"/>
  <c r="O15" i="24"/>
  <c r="BZ15" i="24" s="1"/>
  <c r="Q258" i="24"/>
  <c r="P258" i="24"/>
  <c r="AP51" i="24"/>
  <c r="P269" i="24"/>
  <c r="Q269" i="24"/>
  <c r="J12" i="24"/>
  <c r="O12" i="24"/>
  <c r="BZ12" i="24" s="1"/>
  <c r="R229" i="25"/>
  <c r="S229" i="25"/>
  <c r="K229" i="25" s="1"/>
  <c r="V229" i="25" s="1"/>
  <c r="Q229" i="25"/>
  <c r="V279" i="24"/>
  <c r="V231" i="24"/>
  <c r="AP256" i="24"/>
  <c r="J36" i="24"/>
  <c r="O36" i="24"/>
  <c r="BZ36" i="24" s="1"/>
  <c r="U282" i="25"/>
  <c r="S161" i="25"/>
  <c r="K161" i="25" s="1"/>
  <c r="V161" i="25" s="1"/>
  <c r="R161" i="25"/>
  <c r="Q161" i="25"/>
  <c r="S276" i="25"/>
  <c r="K276" i="25" s="1"/>
  <c r="V276" i="25" s="1"/>
  <c r="R276" i="25"/>
  <c r="Q276" i="25"/>
  <c r="P241" i="25"/>
  <c r="O241" i="25"/>
  <c r="U115" i="24"/>
  <c r="U179" i="24"/>
  <c r="J265" i="24"/>
  <c r="O265" i="24"/>
  <c r="BZ265" i="24" s="1"/>
  <c r="S186" i="25"/>
  <c r="K186" i="25" s="1"/>
  <c r="R186" i="25"/>
  <c r="Q186" i="25"/>
  <c r="S114" i="25"/>
  <c r="K114" i="25" s="1"/>
  <c r="R114" i="25"/>
  <c r="Q114" i="25"/>
  <c r="J50" i="24"/>
  <c r="O50" i="24"/>
  <c r="BZ50" i="24" s="1"/>
  <c r="P143" i="24"/>
  <c r="Q143" i="24"/>
  <c r="J298" i="24"/>
  <c r="O298" i="24"/>
  <c r="BZ298" i="24" s="1"/>
  <c r="U186" i="24"/>
  <c r="P227" i="24"/>
  <c r="Q227" i="24"/>
  <c r="V40" i="24"/>
  <c r="U34" i="24"/>
  <c r="S71" i="25"/>
  <c r="K71" i="25" s="1"/>
  <c r="R71" i="25"/>
  <c r="Q71" i="25"/>
  <c r="P170" i="24"/>
  <c r="Q170" i="24"/>
  <c r="U42" i="25"/>
  <c r="U95" i="25"/>
  <c r="R201" i="25"/>
  <c r="S201" i="25"/>
  <c r="K201" i="25" s="1"/>
  <c r="V201" i="25" s="1"/>
  <c r="Q201" i="25"/>
  <c r="S292" i="25"/>
  <c r="K292" i="25" s="1"/>
  <c r="V292" i="25" s="1"/>
  <c r="R292" i="25"/>
  <c r="Q292" i="25"/>
  <c r="T99" i="25"/>
  <c r="V32" i="24"/>
  <c r="R92" i="25"/>
  <c r="S92" i="25"/>
  <c r="K92" i="25" s="1"/>
  <c r="Q92" i="25"/>
  <c r="Q261" i="24"/>
  <c r="P261" i="24"/>
  <c r="Q83" i="24"/>
  <c r="R83" i="24" s="1"/>
  <c r="P83" i="24"/>
  <c r="U148" i="25"/>
  <c r="R82" i="25"/>
  <c r="S82" i="25"/>
  <c r="K82" i="25" s="1"/>
  <c r="V82" i="25" s="1"/>
  <c r="Q82" i="25"/>
  <c r="U111" i="24"/>
  <c r="U162" i="25"/>
  <c r="P301" i="25"/>
  <c r="O301" i="25"/>
  <c r="T301" i="25"/>
  <c r="N280" i="24"/>
  <c r="J18" i="24"/>
  <c r="O18" i="24"/>
  <c r="BZ18" i="24" s="1"/>
  <c r="Q154" i="24"/>
  <c r="P154" i="24"/>
  <c r="AE44" i="24"/>
  <c r="X44" i="24"/>
  <c r="AA44" i="24" s="1"/>
  <c r="AB44" i="24" s="1"/>
  <c r="AC44" i="24" s="1"/>
  <c r="AI44" i="24"/>
  <c r="U46" i="25"/>
  <c r="Q9" i="24"/>
  <c r="R9" i="24" s="1"/>
  <c r="P9" i="24"/>
  <c r="P299" i="25"/>
  <c r="O299" i="25"/>
  <c r="T299" i="25"/>
  <c r="O181" i="24"/>
  <c r="BZ181" i="24" s="1"/>
  <c r="J181" i="24"/>
  <c r="W181" i="24" s="1"/>
  <c r="V163" i="24"/>
  <c r="P228" i="25"/>
  <c r="O228" i="25"/>
  <c r="T228" i="25"/>
  <c r="O19" i="25"/>
  <c r="P19" i="25"/>
  <c r="T298" i="25"/>
  <c r="U34" i="25"/>
  <c r="AE41" i="24"/>
  <c r="X41" i="24"/>
  <c r="AA41" i="24" s="1"/>
  <c r="AB41" i="24" s="1"/>
  <c r="AC41" i="24" s="1"/>
  <c r="AI41" i="24"/>
  <c r="P20" i="25"/>
  <c r="O20" i="25"/>
  <c r="P48" i="25"/>
  <c r="O48" i="25"/>
  <c r="O227" i="24"/>
  <c r="BZ227" i="24" s="1"/>
  <c r="J227" i="24"/>
  <c r="W227" i="24" s="1"/>
  <c r="AE191" i="24"/>
  <c r="AI191" i="24"/>
  <c r="X191" i="24"/>
  <c r="AA191" i="24" s="1"/>
  <c r="AB191" i="24" s="1"/>
  <c r="AC191" i="24" s="1"/>
  <c r="V205" i="24"/>
  <c r="Q179" i="24"/>
  <c r="P179" i="24"/>
  <c r="P180" i="25"/>
  <c r="O180" i="25"/>
  <c r="J163" i="24"/>
  <c r="W163" i="24" s="1"/>
  <c r="O163" i="24"/>
  <c r="BZ163" i="24" s="1"/>
  <c r="O291" i="24"/>
  <c r="BZ291" i="24" s="1"/>
  <c r="J291" i="24"/>
  <c r="N93" i="24"/>
  <c r="U93" i="24"/>
  <c r="P313" i="25"/>
  <c r="O313" i="25"/>
  <c r="T313" i="25"/>
  <c r="P303" i="25"/>
  <c r="O303" i="25"/>
  <c r="T303" i="25"/>
  <c r="P84" i="25"/>
  <c r="O84" i="25"/>
  <c r="T84" i="25"/>
  <c r="J148" i="24"/>
  <c r="O148" i="24"/>
  <c r="BZ148" i="24" s="1"/>
  <c r="P312" i="25"/>
  <c r="O312" i="25"/>
  <c r="U233" i="25"/>
  <c r="O120" i="24"/>
  <c r="BZ120" i="24" s="1"/>
  <c r="J120" i="24"/>
  <c r="B83" i="2"/>
  <c r="D83" i="2" s="1"/>
  <c r="O210" i="25"/>
  <c r="P210" i="25"/>
  <c r="T210" i="25"/>
  <c r="P127" i="25"/>
  <c r="O127" i="25"/>
  <c r="J218" i="24"/>
  <c r="O218" i="24"/>
  <c r="BZ218" i="24" s="1"/>
  <c r="O159" i="24"/>
  <c r="BZ159" i="24" s="1"/>
  <c r="J159" i="24"/>
  <c r="U144" i="24"/>
  <c r="O141" i="24"/>
  <c r="BZ141" i="24" s="1"/>
  <c r="J141" i="24"/>
  <c r="J253" i="24"/>
  <c r="O253" i="24"/>
  <c r="BZ253" i="24" s="1"/>
  <c r="O130" i="24"/>
  <c r="BZ130" i="24" s="1"/>
  <c r="J130" i="24"/>
  <c r="W130" i="24" s="1"/>
  <c r="N206" i="24"/>
  <c r="U206" i="24"/>
  <c r="V133" i="24"/>
  <c r="N123" i="24"/>
  <c r="U123" i="24"/>
  <c r="N161" i="24"/>
  <c r="U161" i="24"/>
  <c r="Q124" i="24"/>
  <c r="P124" i="24"/>
  <c r="N255" i="24"/>
  <c r="T118" i="25"/>
  <c r="J249" i="24"/>
  <c r="O249" i="24"/>
  <c r="BZ249" i="24" s="1"/>
  <c r="N42" i="24"/>
  <c r="U42" i="24"/>
  <c r="P271" i="25"/>
  <c r="O271" i="25"/>
  <c r="N131" i="24"/>
  <c r="U131" i="24"/>
  <c r="J118" i="24"/>
  <c r="O118" i="24"/>
  <c r="BZ118" i="24" s="1"/>
  <c r="P12" i="25"/>
  <c r="O12" i="25"/>
  <c r="T12" i="25"/>
  <c r="O207" i="24"/>
  <c r="BZ207" i="24" s="1"/>
  <c r="J207" i="24"/>
  <c r="Q66" i="24"/>
  <c r="R66" i="24" s="1"/>
  <c r="P66" i="24"/>
  <c r="O169" i="24"/>
  <c r="BZ169" i="24" s="1"/>
  <c r="J169" i="24"/>
  <c r="P43" i="25"/>
  <c r="O43" i="25"/>
  <c r="P57" i="25"/>
  <c r="O57" i="25"/>
  <c r="O49" i="24"/>
  <c r="BZ49" i="24" s="1"/>
  <c r="J49" i="24"/>
  <c r="J300" i="24"/>
  <c r="O300" i="24"/>
  <c r="BZ300" i="24" s="1"/>
  <c r="S305" i="25"/>
  <c r="K305" i="25" s="1"/>
  <c r="V305" i="25" s="1"/>
  <c r="R305" i="25"/>
  <c r="Q305" i="25"/>
  <c r="O150" i="24"/>
  <c r="BZ150" i="24" s="1"/>
  <c r="J150" i="24"/>
  <c r="AP179" i="24"/>
  <c r="J194" i="24"/>
  <c r="O194" i="24"/>
  <c r="BZ194" i="24" s="1"/>
  <c r="Q241" i="24"/>
  <c r="P241" i="24"/>
  <c r="Q35" i="24"/>
  <c r="R35" i="24" s="1"/>
  <c r="P35" i="24"/>
  <c r="P115" i="25"/>
  <c r="O115" i="25"/>
  <c r="T115" i="25"/>
  <c r="U9" i="24"/>
  <c r="P288" i="25"/>
  <c r="O288" i="25"/>
  <c r="T288" i="25"/>
  <c r="U97" i="25"/>
  <c r="U156" i="24"/>
  <c r="U144" i="25"/>
  <c r="U98" i="24"/>
  <c r="J187" i="24"/>
  <c r="O187" i="24"/>
  <c r="BZ187" i="24" s="1"/>
  <c r="BZ198" i="25"/>
  <c r="N263" i="24"/>
  <c r="J182" i="24"/>
  <c r="W182" i="24" s="1"/>
  <c r="O182" i="24"/>
  <c r="BZ182" i="24" s="1"/>
  <c r="U270" i="25"/>
  <c r="J71" i="24"/>
  <c r="O71" i="24"/>
  <c r="BZ71" i="24" s="1"/>
  <c r="J247" i="24"/>
  <c r="O247" i="24"/>
  <c r="BZ247" i="24" s="1"/>
  <c r="AP295" i="24"/>
  <c r="W162" i="24"/>
  <c r="Y162" i="24" s="1"/>
  <c r="J14" i="24"/>
  <c r="O14" i="24"/>
  <c r="BZ14" i="24" s="1"/>
  <c r="P244" i="24"/>
  <c r="Q244" i="24"/>
  <c r="P191" i="25"/>
  <c r="O191" i="25"/>
  <c r="V86" i="24"/>
  <c r="U61" i="25"/>
  <c r="P196" i="25"/>
  <c r="O196" i="25"/>
  <c r="T196" i="25"/>
  <c r="O117" i="24"/>
  <c r="BZ117" i="24" s="1"/>
  <c r="J117" i="24"/>
  <c r="P120" i="25"/>
  <c r="O120" i="25"/>
  <c r="N103" i="24"/>
  <c r="U103" i="24"/>
  <c r="O256" i="24"/>
  <c r="BZ256" i="24" s="1"/>
  <c r="J256" i="24"/>
  <c r="S131" i="25"/>
  <c r="K131" i="25" s="1"/>
  <c r="R131" i="25"/>
  <c r="Q131" i="25"/>
  <c r="P75" i="25"/>
  <c r="O75" i="25"/>
  <c r="T75" i="25"/>
  <c r="J9" i="24"/>
  <c r="O9" i="24"/>
  <c r="BZ9" i="24" s="1"/>
  <c r="J275" i="24"/>
  <c r="O275" i="24"/>
  <c r="BZ275" i="24" s="1"/>
  <c r="J230" i="24"/>
  <c r="O230" i="24"/>
  <c r="BZ230" i="24" s="1"/>
  <c r="O28" i="24"/>
  <c r="BZ28" i="24" s="1"/>
  <c r="J28" i="24"/>
  <c r="P35" i="25"/>
  <c r="O35" i="25"/>
  <c r="AP156" i="24"/>
  <c r="O297" i="24"/>
  <c r="BZ297" i="24" s="1"/>
  <c r="J297" i="24"/>
  <c r="Q87" i="24"/>
  <c r="R87" i="24" s="1"/>
  <c r="P87" i="24"/>
  <c r="T187" i="25"/>
  <c r="Q279" i="24"/>
  <c r="P279" i="24"/>
  <c r="P231" i="24"/>
  <c r="Q231" i="24"/>
  <c r="R232" i="25"/>
  <c r="S232" i="25"/>
  <c r="K232" i="25" s="1"/>
  <c r="Q232" i="25"/>
  <c r="R282" i="25"/>
  <c r="S282" i="25"/>
  <c r="K282" i="25" s="1"/>
  <c r="V282" i="25" s="1"/>
  <c r="Q282" i="25"/>
  <c r="U58" i="25"/>
  <c r="U185" i="25"/>
  <c r="U112" i="24"/>
  <c r="V19" i="24"/>
  <c r="O185" i="24"/>
  <c r="BZ185" i="24" s="1"/>
  <c r="J185" i="24"/>
  <c r="S199" i="25"/>
  <c r="K199" i="25" s="1"/>
  <c r="V199" i="25" s="1"/>
  <c r="R199" i="25"/>
  <c r="Q199" i="25"/>
  <c r="V313" i="24"/>
  <c r="U283" i="25"/>
  <c r="V223" i="24"/>
  <c r="J143" i="24"/>
  <c r="O143" i="24"/>
  <c r="BZ143" i="24" s="1"/>
  <c r="Q168" i="24"/>
  <c r="P168" i="24"/>
  <c r="P186" i="24"/>
  <c r="Q186" i="24"/>
  <c r="O152" i="24"/>
  <c r="BZ152" i="24" s="1"/>
  <c r="J152" i="24"/>
  <c r="S31" i="25"/>
  <c r="K31" i="25" s="1"/>
  <c r="R31" i="25"/>
  <c r="Q31" i="25"/>
  <c r="Q40" i="24"/>
  <c r="R40" i="24" s="1"/>
  <c r="P40" i="24"/>
  <c r="R13" i="25"/>
  <c r="S13" i="25"/>
  <c r="K13" i="25" s="1"/>
  <c r="Q13" i="25"/>
  <c r="U9" i="25"/>
  <c r="U195" i="25"/>
  <c r="P164" i="25"/>
  <c r="O164" i="25"/>
  <c r="U96" i="24"/>
  <c r="S95" i="25"/>
  <c r="K95" i="25" s="1"/>
  <c r="V95" i="25" s="1"/>
  <c r="R95" i="25"/>
  <c r="Q95" i="25"/>
  <c r="S192" i="25"/>
  <c r="K192" i="25" s="1"/>
  <c r="R192" i="25"/>
  <c r="Q192" i="25"/>
  <c r="J243" i="24"/>
  <c r="O243" i="24"/>
  <c r="BZ243" i="24" s="1"/>
  <c r="P32" i="24"/>
  <c r="Q32" i="24"/>
  <c r="R32" i="24" s="1"/>
  <c r="V10" i="24"/>
  <c r="W7" i="24"/>
  <c r="Y7" i="24" s="1"/>
  <c r="P16" i="25"/>
  <c r="O16" i="25"/>
  <c r="P141" i="25"/>
  <c r="O141" i="25"/>
  <c r="V147" i="24"/>
  <c r="T103" i="25"/>
  <c r="V303" i="24"/>
  <c r="U240" i="25"/>
  <c r="S148" i="25"/>
  <c r="K148" i="25" s="1"/>
  <c r="V148" i="25" s="1"/>
  <c r="R148" i="25"/>
  <c r="Q148" i="25"/>
  <c r="P111" i="24"/>
  <c r="Q111" i="24"/>
  <c r="J224" i="24"/>
  <c r="O224" i="24"/>
  <c r="BZ224" i="24" s="1"/>
  <c r="P40" i="25"/>
  <c r="O40" i="25"/>
  <c r="T40" i="25"/>
  <c r="P92" i="24"/>
  <c r="Q92" i="24"/>
  <c r="R92" i="24" s="1"/>
  <c r="U51" i="25"/>
  <c r="U15" i="25"/>
  <c r="P22" i="25"/>
  <c r="O22" i="25"/>
  <c r="T22" i="25"/>
  <c r="U279" i="25"/>
  <c r="V24" i="24"/>
  <c r="P309" i="25"/>
  <c r="O309" i="25"/>
  <c r="J134" i="24"/>
  <c r="O134" i="24"/>
  <c r="BZ134" i="24" s="1"/>
  <c r="N204" i="24"/>
  <c r="U204" i="24"/>
  <c r="P182" i="25"/>
  <c r="O182" i="25"/>
  <c r="J228" i="24"/>
  <c r="O228" i="24"/>
  <c r="BZ228" i="24" s="1"/>
  <c r="P311" i="25"/>
  <c r="O311" i="25"/>
  <c r="P287" i="25"/>
  <c r="O287" i="25"/>
  <c r="T287" i="25"/>
  <c r="Q17" i="24"/>
  <c r="R17" i="24" s="1"/>
  <c r="P17" i="24"/>
  <c r="P101" i="25"/>
  <c r="O101" i="25"/>
  <c r="P76" i="25"/>
  <c r="O76" i="25"/>
  <c r="T76" i="25"/>
  <c r="N260" i="24"/>
  <c r="P156" i="25"/>
  <c r="O156" i="25"/>
  <c r="T156" i="25"/>
  <c r="U33" i="25"/>
  <c r="AP240" i="24"/>
  <c r="U171" i="24"/>
  <c r="T121" i="25"/>
  <c r="J279" i="24"/>
  <c r="W279" i="24" s="1"/>
  <c r="O279" i="24"/>
  <c r="BZ279" i="24" s="1"/>
  <c r="O200" i="24"/>
  <c r="BZ200" i="24" s="1"/>
  <c r="J200" i="24"/>
  <c r="W200" i="24" s="1"/>
  <c r="P117" i="25"/>
  <c r="O117" i="25"/>
  <c r="P297" i="25"/>
  <c r="O297" i="25"/>
  <c r="T297" i="25"/>
  <c r="N259" i="24"/>
  <c r="J83" i="24"/>
  <c r="W83" i="24" s="1"/>
  <c r="O83" i="24"/>
  <c r="BZ83" i="24" s="1"/>
  <c r="U52" i="25"/>
  <c r="N158" i="24"/>
  <c r="U158" i="24"/>
  <c r="Q96" i="24"/>
  <c r="R96" i="24" s="1"/>
  <c r="P96" i="24"/>
  <c r="N58" i="24"/>
  <c r="U58" i="24"/>
  <c r="N149" i="24"/>
  <c r="U149" i="24"/>
  <c r="O112" i="25"/>
  <c r="P112" i="25"/>
  <c r="T112" i="25"/>
  <c r="P125" i="25"/>
  <c r="O125" i="25"/>
  <c r="T125" i="25"/>
  <c r="J220" i="24"/>
  <c r="O220" i="24"/>
  <c r="BZ220" i="24" s="1"/>
  <c r="U254" i="25"/>
  <c r="J27" i="24"/>
  <c r="O27" i="24"/>
  <c r="BZ27" i="24" s="1"/>
  <c r="P83" i="25"/>
  <c r="O83" i="25"/>
  <c r="P90" i="25"/>
  <c r="O90" i="25"/>
  <c r="T90" i="25"/>
  <c r="U196" i="24"/>
  <c r="V48" i="24"/>
  <c r="O31" i="24"/>
  <c r="BZ31" i="24" s="1"/>
  <c r="J31" i="24"/>
  <c r="AP293" i="24"/>
  <c r="J59" i="24"/>
  <c r="O59" i="24"/>
  <c r="BZ59" i="24" s="1"/>
  <c r="P37" i="25"/>
  <c r="O37" i="25"/>
  <c r="O206" i="24"/>
  <c r="BZ206" i="24" s="1"/>
  <c r="J206" i="24"/>
  <c r="P263" i="25"/>
  <c r="O263" i="25"/>
  <c r="O219" i="24"/>
  <c r="BZ219" i="24" s="1"/>
  <c r="J219" i="24"/>
  <c r="W219" i="24" s="1"/>
  <c r="J140" i="24"/>
  <c r="O140" i="24"/>
  <c r="BZ140" i="24" s="1"/>
  <c r="O169" i="25"/>
  <c r="P169" i="25"/>
  <c r="T169" i="25"/>
  <c r="AO170" i="25"/>
  <c r="AP135" i="24"/>
  <c r="O210" i="24"/>
  <c r="BZ210" i="24" s="1"/>
  <c r="J210" i="24"/>
  <c r="N26" i="24"/>
  <c r="U26" i="24"/>
  <c r="R34" i="25"/>
  <c r="S34" i="25"/>
  <c r="K34" i="25" s="1"/>
  <c r="Q34" i="25"/>
  <c r="N183" i="24"/>
  <c r="U183" i="24"/>
  <c r="O42" i="24"/>
  <c r="BZ42" i="24" s="1"/>
  <c r="J42" i="24"/>
  <c r="J58" i="24"/>
  <c r="O58" i="24"/>
  <c r="BZ58" i="24" s="1"/>
  <c r="O25" i="24"/>
  <c r="BZ25" i="24" s="1"/>
  <c r="J25" i="24"/>
  <c r="W25" i="24" s="1"/>
  <c r="U82" i="25"/>
  <c r="AE190" i="24"/>
  <c r="X190" i="24"/>
  <c r="AA190" i="24" s="1"/>
  <c r="AB190" i="24" s="1"/>
  <c r="AC190" i="24" s="1"/>
  <c r="AI190" i="24"/>
  <c r="P279" i="25"/>
  <c r="O279" i="25"/>
  <c r="P300" i="25"/>
  <c r="O300" i="25"/>
  <c r="Q177" i="24"/>
  <c r="P177" i="24"/>
  <c r="P316" i="25"/>
  <c r="O316" i="25"/>
  <c r="B86" i="2"/>
  <c r="V72" i="24"/>
  <c r="J66" i="24"/>
  <c r="O66" i="24"/>
  <c r="BZ66" i="24" s="1"/>
  <c r="J60" i="24"/>
  <c r="O60" i="24"/>
  <c r="BZ60" i="24" s="1"/>
  <c r="AP13" i="24"/>
  <c r="J144" i="24"/>
  <c r="O144" i="24"/>
  <c r="BZ144" i="24" s="1"/>
  <c r="O241" i="24"/>
  <c r="BZ241" i="24" s="1"/>
  <c r="J241" i="24"/>
  <c r="P198" i="24"/>
  <c r="Q198" i="24"/>
  <c r="P128" i="24"/>
  <c r="Q128" i="24"/>
  <c r="P45" i="25"/>
  <c r="O45" i="25"/>
  <c r="N80" i="24"/>
  <c r="U80" i="24"/>
  <c r="AP124" i="24"/>
  <c r="U310" i="25"/>
  <c r="Q201" i="24"/>
  <c r="P201" i="24"/>
  <c r="V53" i="24"/>
  <c r="U59" i="25"/>
  <c r="AO62" i="25"/>
  <c r="J203" i="24"/>
  <c r="O203" i="24"/>
  <c r="BZ203" i="24" s="1"/>
  <c r="V181" i="24"/>
  <c r="U247" i="25"/>
  <c r="O8" i="24"/>
  <c r="BZ8" i="24" s="1"/>
  <c r="J8" i="24"/>
  <c r="AO198" i="25"/>
  <c r="AP104" i="24"/>
  <c r="O137" i="24"/>
  <c r="BZ137" i="24" s="1"/>
  <c r="J137" i="24"/>
  <c r="W41" i="24"/>
  <c r="Y41" i="24" s="1"/>
  <c r="AP102" i="24"/>
  <c r="U75" i="24"/>
  <c r="W191" i="24"/>
  <c r="Y191" i="24" s="1"/>
  <c r="O75" i="24"/>
  <c r="BZ75" i="24" s="1"/>
  <c r="J75" i="24"/>
  <c r="P254" i="25"/>
  <c r="O254" i="25"/>
  <c r="P231" i="25"/>
  <c r="O231" i="25"/>
  <c r="T231" i="25"/>
  <c r="O90" i="24"/>
  <c r="BZ90" i="24" s="1"/>
  <c r="J90" i="24"/>
  <c r="P227" i="25"/>
  <c r="O227" i="25"/>
  <c r="AP201" i="24"/>
  <c r="P183" i="25"/>
  <c r="O183" i="25"/>
  <c r="T183" i="25"/>
  <c r="P140" i="25"/>
  <c r="O140" i="25"/>
  <c r="T140" i="25"/>
  <c r="T101" i="25"/>
  <c r="P115" i="24"/>
  <c r="Q115" i="24"/>
  <c r="J103" i="24"/>
  <c r="O103" i="24"/>
  <c r="BZ103" i="24" s="1"/>
  <c r="AP75" i="24"/>
  <c r="T157" i="25"/>
  <c r="P128" i="25"/>
  <c r="O128" i="25"/>
  <c r="T171" i="25"/>
  <c r="J172" i="24"/>
  <c r="O172" i="24"/>
  <c r="BZ172" i="24" s="1"/>
  <c r="AE22" i="24"/>
  <c r="X22" i="24"/>
  <c r="AA22" i="24" s="1"/>
  <c r="AB22" i="24" s="1"/>
  <c r="AC22" i="24" s="1"/>
  <c r="AI22" i="24"/>
  <c r="BZ131" i="25"/>
  <c r="P256" i="25"/>
  <c r="O256" i="25"/>
  <c r="P149" i="25"/>
  <c r="O149" i="25"/>
  <c r="O258" i="24"/>
  <c r="BZ258" i="24" s="1"/>
  <c r="J258" i="24"/>
  <c r="O284" i="24"/>
  <c r="BZ284" i="24" s="1"/>
  <c r="J284" i="24"/>
  <c r="O87" i="24"/>
  <c r="BZ87" i="24" s="1"/>
  <c r="J87" i="24"/>
  <c r="O269" i="24"/>
  <c r="BZ269" i="24" s="1"/>
  <c r="J269" i="24"/>
  <c r="U14" i="25"/>
  <c r="V16" i="24"/>
  <c r="U138" i="24"/>
  <c r="R247" i="25"/>
  <c r="S247" i="25"/>
  <c r="K247" i="25" s="1"/>
  <c r="V247" i="25" s="1"/>
  <c r="Q247" i="25"/>
  <c r="P58" i="25"/>
  <c r="O58" i="25"/>
  <c r="Q19" i="24"/>
  <c r="R19" i="24" s="1"/>
  <c r="P19" i="24"/>
  <c r="U168" i="24"/>
  <c r="P38" i="25"/>
  <c r="O38" i="25"/>
  <c r="T38" i="25"/>
  <c r="U248" i="25"/>
  <c r="Q313" i="24"/>
  <c r="P313" i="24"/>
  <c r="S283" i="25"/>
  <c r="K283" i="25" s="1"/>
  <c r="V283" i="25" s="1"/>
  <c r="R283" i="25"/>
  <c r="Q283" i="25"/>
  <c r="BZ257" i="25"/>
  <c r="AP243" i="24"/>
  <c r="AP185" i="24"/>
  <c r="S314" i="25"/>
  <c r="K314" i="25" s="1"/>
  <c r="V314" i="25" s="1"/>
  <c r="R314" i="25"/>
  <c r="Q314" i="25"/>
  <c r="V310" i="24"/>
  <c r="T55" i="25"/>
  <c r="P44" i="25"/>
  <c r="O44" i="25"/>
  <c r="T44" i="25"/>
  <c r="J170" i="24"/>
  <c r="O170" i="24"/>
  <c r="BZ170" i="24" s="1"/>
  <c r="W119" i="24"/>
  <c r="Y119" i="24" s="1"/>
  <c r="V142" i="24"/>
  <c r="W142" i="24"/>
  <c r="P42" i="25"/>
  <c r="O42" i="25"/>
  <c r="U159" i="24"/>
  <c r="P10" i="24"/>
  <c r="Q10" i="24"/>
  <c r="R10" i="24" s="1"/>
  <c r="V130" i="24"/>
  <c r="V268" i="24"/>
  <c r="J261" i="24"/>
  <c r="O261" i="24"/>
  <c r="BZ261" i="24" s="1"/>
  <c r="Q303" i="24"/>
  <c r="P303" i="24"/>
  <c r="R240" i="25"/>
  <c r="S240" i="25"/>
  <c r="K240" i="25" s="1"/>
  <c r="V240" i="25" s="1"/>
  <c r="Q240" i="25"/>
  <c r="V97" i="24"/>
  <c r="T105" i="25"/>
  <c r="W292" i="24"/>
  <c r="Y292" i="24" s="1"/>
  <c r="AO190" i="25" l="1"/>
  <c r="Q300" i="24"/>
  <c r="BZ190" i="25"/>
  <c r="AP284" i="24"/>
  <c r="Q190" i="25"/>
  <c r="R190" i="25"/>
  <c r="W294" i="24"/>
  <c r="Y294" i="24" s="1"/>
  <c r="Q301" i="24"/>
  <c r="P301" i="24"/>
  <c r="W264" i="24"/>
  <c r="Y264" i="24" s="1"/>
  <c r="AP300" i="24"/>
  <c r="AP289" i="24"/>
  <c r="P222" i="24"/>
  <c r="AP222" i="24"/>
  <c r="Q284" i="24"/>
  <c r="Q275" i="24"/>
  <c r="P275" i="24"/>
  <c r="P253" i="24"/>
  <c r="Q253" i="24"/>
  <c r="Q297" i="24"/>
  <c r="P297" i="24"/>
  <c r="Q289" i="24"/>
  <c r="Q285" i="24"/>
  <c r="P285" i="24"/>
  <c r="R262" i="25"/>
  <c r="Q262" i="25"/>
  <c r="S262" i="25"/>
  <c r="K262" i="25" s="1"/>
  <c r="V262" i="25" s="1"/>
  <c r="X262" i="25" s="1"/>
  <c r="BZ262" i="25"/>
  <c r="X170" i="25"/>
  <c r="AO96" i="25"/>
  <c r="Q94" i="25"/>
  <c r="BZ94" i="25"/>
  <c r="R94" i="25"/>
  <c r="AO94" i="25"/>
  <c r="Y270" i="24"/>
  <c r="W55" i="24"/>
  <c r="Y55" i="24" s="1"/>
  <c r="Y268" i="24"/>
  <c r="Y97" i="24"/>
  <c r="Y61" i="24"/>
  <c r="Y205" i="24"/>
  <c r="Y248" i="24"/>
  <c r="Y238" i="24"/>
  <c r="Y313" i="24"/>
  <c r="Y237" i="24"/>
  <c r="Y303" i="24"/>
  <c r="Y133" i="24"/>
  <c r="X62" i="25"/>
  <c r="Y130" i="24"/>
  <c r="Y52" i="24"/>
  <c r="Y32" i="24"/>
  <c r="Y24" i="24"/>
  <c r="Y30" i="24"/>
  <c r="X248" i="25"/>
  <c r="Y142" i="24"/>
  <c r="Y310" i="24"/>
  <c r="Y68" i="24"/>
  <c r="Y48" i="24"/>
  <c r="Y306" i="24"/>
  <c r="Y223" i="24"/>
  <c r="Y226" i="24"/>
  <c r="Y231" i="24"/>
  <c r="X204" i="25"/>
  <c r="Y16" i="24"/>
  <c r="Y234" i="24"/>
  <c r="Y43" i="24"/>
  <c r="X147" i="25"/>
  <c r="X82" i="25"/>
  <c r="AO104" i="25"/>
  <c r="Y147" i="24"/>
  <c r="Y307" i="24"/>
  <c r="Y181" i="24"/>
  <c r="X59" i="25"/>
  <c r="X275" i="25"/>
  <c r="X14" i="25"/>
  <c r="X229" i="25"/>
  <c r="Y182" i="24"/>
  <c r="Y272" i="24"/>
  <c r="Y271" i="24"/>
  <c r="Y190" i="24"/>
  <c r="Y219" i="24"/>
  <c r="X89" i="25"/>
  <c r="Y199" i="24"/>
  <c r="Y227" i="24"/>
  <c r="Y121" i="24"/>
  <c r="X283" i="25"/>
  <c r="X161" i="25"/>
  <c r="Y279" i="24"/>
  <c r="Y290" i="24"/>
  <c r="Y163" i="24"/>
  <c r="Y200" i="24"/>
  <c r="Y312" i="24"/>
  <c r="X292" i="25"/>
  <c r="X113" i="25"/>
  <c r="X199" i="25"/>
  <c r="X201" i="25"/>
  <c r="X238" i="25"/>
  <c r="X158" i="25"/>
  <c r="X32" i="25"/>
  <c r="X267" i="25"/>
  <c r="X282" i="25"/>
  <c r="X273" i="25"/>
  <c r="X314" i="25"/>
  <c r="X247" i="25"/>
  <c r="X178" i="25"/>
  <c r="X21" i="25"/>
  <c r="X276" i="25"/>
  <c r="X87" i="25"/>
  <c r="X240" i="25"/>
  <c r="X148" i="25"/>
  <c r="X95" i="25"/>
  <c r="X305" i="25"/>
  <c r="X30" i="25"/>
  <c r="X173" i="25"/>
  <c r="X243" i="25"/>
  <c r="Y86" i="24"/>
  <c r="Y19" i="24"/>
  <c r="Y22" i="24"/>
  <c r="Y72" i="24"/>
  <c r="Y44" i="24"/>
  <c r="Y53" i="24"/>
  <c r="Y10" i="24"/>
  <c r="Y40" i="24"/>
  <c r="Y83" i="24"/>
  <c r="Y21" i="24"/>
  <c r="Y25" i="24"/>
  <c r="Y101" i="24"/>
  <c r="Y62" i="24"/>
  <c r="W160" i="24"/>
  <c r="Y160" i="24" s="1"/>
  <c r="S11" i="25"/>
  <c r="K11" i="25" s="1"/>
  <c r="V11" i="25" s="1"/>
  <c r="X11" i="25" s="1"/>
  <c r="R11" i="25"/>
  <c r="Q11" i="25"/>
  <c r="R280" i="25"/>
  <c r="S280" i="25"/>
  <c r="K280" i="25" s="1"/>
  <c r="V280" i="25" s="1"/>
  <c r="X280" i="25" s="1"/>
  <c r="BZ11" i="25"/>
  <c r="AO280" i="25"/>
  <c r="BZ280" i="25"/>
  <c r="W305" i="24"/>
  <c r="Y305" i="24" s="1"/>
  <c r="S155" i="25"/>
  <c r="K155" i="25" s="1"/>
  <c r="W155" i="25" s="1"/>
  <c r="Z155" i="25" s="1"/>
  <c r="AA155" i="25" s="1"/>
  <c r="AB155" i="25" s="1"/>
  <c r="AI155" i="25" s="1"/>
  <c r="R155" i="25"/>
  <c r="W267" i="24"/>
  <c r="Y267" i="24" s="1"/>
  <c r="AJ191" i="24"/>
  <c r="AT191" i="24" s="1"/>
  <c r="Q155" i="25"/>
  <c r="W252" i="24"/>
  <c r="Y252" i="24" s="1"/>
  <c r="AJ190" i="24"/>
  <c r="AT190" i="24" s="1"/>
  <c r="W152" i="24"/>
  <c r="Y152" i="24" s="1"/>
  <c r="Q96" i="25"/>
  <c r="W12" i="24"/>
  <c r="Y12" i="24" s="1"/>
  <c r="R96" i="25"/>
  <c r="S96" i="25"/>
  <c r="K96" i="25" s="1"/>
  <c r="AD96" i="25" s="1"/>
  <c r="W178" i="24"/>
  <c r="Y178" i="24" s="1"/>
  <c r="W128" i="24"/>
  <c r="Y128" i="24" s="1"/>
  <c r="BZ155" i="25"/>
  <c r="W87" i="24"/>
  <c r="Y87" i="24" s="1"/>
  <c r="BZ96" i="25"/>
  <c r="W137" i="24"/>
  <c r="Y137" i="24" s="1"/>
  <c r="W276" i="24"/>
  <c r="Y276" i="24" s="1"/>
  <c r="W74" i="24"/>
  <c r="Y74" i="24" s="1"/>
  <c r="W286" i="24"/>
  <c r="Y286" i="24" s="1"/>
  <c r="W254" i="24"/>
  <c r="Y254" i="24" s="1"/>
  <c r="W60" i="24"/>
  <c r="Y60" i="24" s="1"/>
  <c r="W143" i="25"/>
  <c r="Z143" i="25" s="1"/>
  <c r="AA143" i="25" s="1"/>
  <c r="AB143" i="25" s="1"/>
  <c r="AI143" i="25" s="1"/>
  <c r="AS143" i="25" s="1"/>
  <c r="Q265" i="25"/>
  <c r="AD143" i="25"/>
  <c r="AE143" i="25" s="1"/>
  <c r="AJ162" i="24"/>
  <c r="AT162" i="24" s="1"/>
  <c r="AJ160" i="24"/>
  <c r="AT160" i="24" s="1"/>
  <c r="Q154" i="25"/>
  <c r="S154" i="25"/>
  <c r="K154" i="25" s="1"/>
  <c r="V154" i="25" s="1"/>
  <c r="X154" i="25" s="1"/>
  <c r="R154" i="25"/>
  <c r="W296" i="24"/>
  <c r="Y296" i="24" s="1"/>
  <c r="BZ154" i="25"/>
  <c r="W314" i="24"/>
  <c r="Y314" i="24" s="1"/>
  <c r="AJ101" i="24"/>
  <c r="W165" i="24"/>
  <c r="Y165" i="24" s="1"/>
  <c r="W157" i="24"/>
  <c r="Y157" i="24" s="1"/>
  <c r="W217" i="24"/>
  <c r="Y217" i="24" s="1"/>
  <c r="W91" i="24"/>
  <c r="Y91" i="24" s="1"/>
  <c r="P223" i="24"/>
  <c r="Q223" i="24"/>
  <c r="BZ97" i="25"/>
  <c r="W230" i="24"/>
  <c r="Y230" i="24" s="1"/>
  <c r="Q97" i="25"/>
  <c r="R97" i="25"/>
  <c r="S97" i="25"/>
  <c r="K97" i="25" s="1"/>
  <c r="V97" i="25" s="1"/>
  <c r="X97" i="25" s="1"/>
  <c r="AO97" i="25"/>
  <c r="Q258" i="25"/>
  <c r="S258" i="25"/>
  <c r="K258" i="25" s="1"/>
  <c r="V258" i="25" s="1"/>
  <c r="X258" i="25" s="1"/>
  <c r="W302" i="24"/>
  <c r="Y302" i="24" s="1"/>
  <c r="R258" i="25"/>
  <c r="AO258" i="25"/>
  <c r="W208" i="24"/>
  <c r="Y208" i="24" s="1"/>
  <c r="W49" i="24"/>
  <c r="Y49" i="24" s="1"/>
  <c r="S265" i="25"/>
  <c r="K265" i="25" s="1"/>
  <c r="AD265" i="25" s="1"/>
  <c r="BZ29" i="25"/>
  <c r="R265" i="25"/>
  <c r="Q291" i="25"/>
  <c r="AO29" i="25"/>
  <c r="R291" i="25"/>
  <c r="Q29" i="25"/>
  <c r="S291" i="25"/>
  <c r="K291" i="25" s="1"/>
  <c r="V291" i="25" s="1"/>
  <c r="X291" i="25" s="1"/>
  <c r="S29" i="25"/>
  <c r="K29" i="25" s="1"/>
  <c r="AD29" i="25" s="1"/>
  <c r="BZ265" i="25"/>
  <c r="R59" i="25"/>
  <c r="Q189" i="25"/>
  <c r="W37" i="24"/>
  <c r="S189" i="25"/>
  <c r="K189" i="25" s="1"/>
  <c r="W189" i="25" s="1"/>
  <c r="Z189" i="25" s="1"/>
  <c r="AA189" i="25" s="1"/>
  <c r="AB189" i="25" s="1"/>
  <c r="AI189" i="25" s="1"/>
  <c r="R189" i="25"/>
  <c r="BZ189" i="25"/>
  <c r="AO179" i="25"/>
  <c r="BZ179" i="25"/>
  <c r="Q179" i="25"/>
  <c r="S179" i="25"/>
  <c r="K179" i="25" s="1"/>
  <c r="V179" i="25" s="1"/>
  <c r="X179" i="25" s="1"/>
  <c r="BZ291" i="25"/>
  <c r="V37" i="24"/>
  <c r="W125" i="24"/>
  <c r="Y125" i="24" s="1"/>
  <c r="R28" i="25"/>
  <c r="W50" i="24"/>
  <c r="Y50" i="24" s="1"/>
  <c r="W265" i="24"/>
  <c r="Y265" i="24" s="1"/>
  <c r="W11" i="24"/>
  <c r="Y11" i="24" s="1"/>
  <c r="W175" i="24"/>
  <c r="Y175" i="24" s="1"/>
  <c r="W201" i="24"/>
  <c r="Y201" i="24" s="1"/>
  <c r="Q104" i="25"/>
  <c r="Q28" i="25"/>
  <c r="S28" i="25"/>
  <c r="K28" i="25" s="1"/>
  <c r="AD28" i="25" s="1"/>
  <c r="W253" i="24"/>
  <c r="Y253" i="24" s="1"/>
  <c r="Q59" i="25"/>
  <c r="R104" i="25"/>
  <c r="S104" i="25"/>
  <c r="K104" i="25" s="1"/>
  <c r="W104" i="25" s="1"/>
  <c r="Z104" i="25" s="1"/>
  <c r="AA104" i="25" s="1"/>
  <c r="AB104" i="25" s="1"/>
  <c r="AI104" i="25" s="1"/>
  <c r="Q237" i="25"/>
  <c r="BZ237" i="25"/>
  <c r="AO237" i="25"/>
  <c r="S237" i="25"/>
  <c r="K237" i="25" s="1"/>
  <c r="V237" i="25" s="1"/>
  <c r="X237" i="25" s="1"/>
  <c r="BZ104" i="25"/>
  <c r="BZ28" i="25"/>
  <c r="BZ59" i="25"/>
  <c r="AO59" i="25"/>
  <c r="W274" i="24"/>
  <c r="Y274" i="24" s="1"/>
  <c r="W20" i="24"/>
  <c r="Y20" i="24" s="1"/>
  <c r="W70" i="24"/>
  <c r="Y70" i="24" s="1"/>
  <c r="BN212" i="25"/>
  <c r="I212" i="25"/>
  <c r="CC212" i="25"/>
  <c r="BM212" i="25"/>
  <c r="AL212" i="25"/>
  <c r="J212" i="25"/>
  <c r="L212" i="25" s="1"/>
  <c r="AJ21" i="24"/>
  <c r="W124" i="24"/>
  <c r="AJ45" i="24"/>
  <c r="W224" i="24"/>
  <c r="Y224" i="24" s="1"/>
  <c r="W198" i="24"/>
  <c r="Y198" i="24" s="1"/>
  <c r="V124" i="24"/>
  <c r="W56" i="24"/>
  <c r="Y56" i="24" s="1"/>
  <c r="W169" i="24"/>
  <c r="Y169" i="24" s="1"/>
  <c r="AO77" i="25"/>
  <c r="S77" i="25"/>
  <c r="K77" i="25" s="1"/>
  <c r="BZ77" i="25"/>
  <c r="R77" i="25"/>
  <c r="Q77" i="25"/>
  <c r="AJ44" i="24"/>
  <c r="AJ55" i="24"/>
  <c r="AJ294" i="24"/>
  <c r="AT294" i="24" s="1"/>
  <c r="AJ41" i="24"/>
  <c r="AJ257" i="24"/>
  <c r="AT257" i="24" s="1"/>
  <c r="AJ119" i="24"/>
  <c r="AT119" i="24" s="1"/>
  <c r="AJ7" i="24"/>
  <c r="AJ233" i="24"/>
  <c r="AT233" i="24" s="1"/>
  <c r="AE284" i="24"/>
  <c r="AI284" i="24"/>
  <c r="X284" i="24"/>
  <c r="AA284" i="24" s="1"/>
  <c r="AB284" i="24" s="1"/>
  <c r="AC284" i="24" s="1"/>
  <c r="AE210" i="24"/>
  <c r="AI210" i="24"/>
  <c r="X210" i="24"/>
  <c r="AA210" i="24" s="1"/>
  <c r="AB210" i="24" s="1"/>
  <c r="AC210" i="24" s="1"/>
  <c r="U288" i="25"/>
  <c r="AE120" i="24"/>
  <c r="AI120" i="24"/>
  <c r="X120" i="24"/>
  <c r="AA120" i="24" s="1"/>
  <c r="AB120" i="24" s="1"/>
  <c r="AC120" i="24" s="1"/>
  <c r="U303" i="25"/>
  <c r="AD114" i="25"/>
  <c r="W114" i="25"/>
  <c r="Z114" i="25" s="1"/>
  <c r="AA114" i="25" s="1"/>
  <c r="AB114" i="25" s="1"/>
  <c r="AI114" i="25" s="1"/>
  <c r="V295" i="24"/>
  <c r="W295" i="24"/>
  <c r="S18" i="25"/>
  <c r="K18" i="25" s="1"/>
  <c r="V18" i="25" s="1"/>
  <c r="R18" i="25"/>
  <c r="Q18" i="25"/>
  <c r="AO18" i="25"/>
  <c r="BZ18" i="25"/>
  <c r="S88" i="25"/>
  <c r="K88" i="25" s="1"/>
  <c r="R88" i="25"/>
  <c r="Q88" i="25"/>
  <c r="AO88" i="25"/>
  <c r="BZ88" i="25"/>
  <c r="AE155" i="24"/>
  <c r="AI155" i="24"/>
  <c r="X155" i="24"/>
  <c r="AA155" i="24" s="1"/>
  <c r="AB155" i="24" s="1"/>
  <c r="AC155" i="24" s="1"/>
  <c r="AE250" i="24"/>
  <c r="AI250" i="24"/>
  <c r="X250" i="24"/>
  <c r="AA250" i="24" s="1"/>
  <c r="AB250" i="24" s="1"/>
  <c r="AC250" i="24" s="1"/>
  <c r="W298" i="24"/>
  <c r="V298" i="24"/>
  <c r="AD167" i="25"/>
  <c r="W167" i="25"/>
  <c r="Z167" i="25" s="1"/>
  <c r="AA167" i="25" s="1"/>
  <c r="AB167" i="25" s="1"/>
  <c r="AI167" i="25" s="1"/>
  <c r="AE81" i="24"/>
  <c r="AI81" i="24"/>
  <c r="X81" i="24"/>
  <c r="AA81" i="24" s="1"/>
  <c r="AB81" i="24" s="1"/>
  <c r="AC81" i="24" s="1"/>
  <c r="Q117" i="24"/>
  <c r="P117" i="24"/>
  <c r="AP117" i="24"/>
  <c r="AE278" i="24"/>
  <c r="AI278" i="24"/>
  <c r="X278" i="24"/>
  <c r="AA278" i="24" s="1"/>
  <c r="AB278" i="24" s="1"/>
  <c r="AC278" i="24" s="1"/>
  <c r="S56" i="25"/>
  <c r="K56" i="25" s="1"/>
  <c r="V56" i="25" s="1"/>
  <c r="R56" i="25"/>
  <c r="Q56" i="25"/>
  <c r="BZ56" i="25"/>
  <c r="AO56" i="25"/>
  <c r="AE232" i="24"/>
  <c r="AI232" i="24"/>
  <c r="X232" i="24"/>
  <c r="AA232" i="24" s="1"/>
  <c r="AB232" i="24" s="1"/>
  <c r="AC232" i="24" s="1"/>
  <c r="Q187" i="24"/>
  <c r="P187" i="24"/>
  <c r="AP187" i="24"/>
  <c r="W17" i="24"/>
  <c r="V17" i="24"/>
  <c r="R251" i="25"/>
  <c r="S251" i="25"/>
  <c r="K251" i="25" s="1"/>
  <c r="V251" i="25" s="1"/>
  <c r="Q251" i="25"/>
  <c r="AO251" i="25"/>
  <c r="BZ251" i="25"/>
  <c r="AG162" i="24"/>
  <c r="AF162" i="24"/>
  <c r="AE282" i="24"/>
  <c r="AI282" i="24"/>
  <c r="X282" i="24"/>
  <c r="AA282" i="24" s="1"/>
  <c r="AB282" i="24" s="1"/>
  <c r="AC282" i="24" s="1"/>
  <c r="V59" i="24"/>
  <c r="W59" i="24"/>
  <c r="R49" i="25"/>
  <c r="S49" i="25"/>
  <c r="K49" i="25" s="1"/>
  <c r="Q49" i="25"/>
  <c r="AO49" i="25"/>
  <c r="BZ49" i="25"/>
  <c r="AE305" i="24"/>
  <c r="AI305" i="24"/>
  <c r="X305" i="24"/>
  <c r="AA305" i="24" s="1"/>
  <c r="AB305" i="24" s="1"/>
  <c r="AC305" i="24" s="1"/>
  <c r="R249" i="25"/>
  <c r="S249" i="25"/>
  <c r="K249" i="25" s="1"/>
  <c r="V249" i="25" s="1"/>
  <c r="Q249" i="25"/>
  <c r="AO249" i="25"/>
  <c r="BZ249" i="25"/>
  <c r="V126" i="24"/>
  <c r="W126" i="24"/>
  <c r="AD206" i="25"/>
  <c r="W206" i="25"/>
  <c r="Z206" i="25" s="1"/>
  <c r="AA206" i="25" s="1"/>
  <c r="AB206" i="25" s="1"/>
  <c r="AI206" i="25" s="1"/>
  <c r="V31" i="24"/>
  <c r="W31" i="24"/>
  <c r="AE114" i="24"/>
  <c r="AI114" i="24"/>
  <c r="X114" i="24"/>
  <c r="AA114" i="24" s="1"/>
  <c r="AB114" i="24" s="1"/>
  <c r="AC114" i="24" s="1"/>
  <c r="S294" i="25"/>
  <c r="K294" i="25" s="1"/>
  <c r="R294" i="25"/>
  <c r="Q294" i="25"/>
  <c r="BZ294" i="25"/>
  <c r="AO294" i="25"/>
  <c r="W81" i="24"/>
  <c r="Y81" i="24" s="1"/>
  <c r="U230" i="25"/>
  <c r="AG21" i="24"/>
  <c r="AF21" i="24"/>
  <c r="AE73" i="24"/>
  <c r="AI73" i="24"/>
  <c r="X73" i="24"/>
  <c r="AA73" i="24" s="1"/>
  <c r="AB73" i="24" s="1"/>
  <c r="AC73" i="24" s="1"/>
  <c r="AE115" i="24"/>
  <c r="AI115" i="24"/>
  <c r="X115" i="24"/>
  <c r="AA115" i="24" s="1"/>
  <c r="AB115" i="24" s="1"/>
  <c r="AC115" i="24" s="1"/>
  <c r="AE38" i="24"/>
  <c r="AI38" i="24"/>
  <c r="X38" i="24"/>
  <c r="AA38" i="24" s="1"/>
  <c r="AB38" i="24" s="1"/>
  <c r="AC38" i="24" s="1"/>
  <c r="AE188" i="24"/>
  <c r="AI188" i="24"/>
  <c r="X188" i="24"/>
  <c r="AA188" i="24" s="1"/>
  <c r="AB188" i="24" s="1"/>
  <c r="AC188" i="24" s="1"/>
  <c r="AE308" i="24"/>
  <c r="AI308" i="24"/>
  <c r="X308" i="24"/>
  <c r="AA308" i="24" s="1"/>
  <c r="AB308" i="24" s="1"/>
  <c r="AC308" i="24" s="1"/>
  <c r="U197" i="25"/>
  <c r="AG132" i="24"/>
  <c r="AF132" i="24"/>
  <c r="R25" i="25"/>
  <c r="S25" i="25"/>
  <c r="K25" i="25" s="1"/>
  <c r="V25" i="25" s="1"/>
  <c r="Q25" i="25"/>
  <c r="BZ25" i="25"/>
  <c r="AO25" i="25"/>
  <c r="AE151" i="24"/>
  <c r="AI151" i="24"/>
  <c r="X151" i="24"/>
  <c r="AA151" i="24" s="1"/>
  <c r="AB151" i="24" s="1"/>
  <c r="AC151" i="24" s="1"/>
  <c r="AE280" i="24"/>
  <c r="AI280" i="24"/>
  <c r="X280" i="24"/>
  <c r="AA280" i="24" s="1"/>
  <c r="AB280" i="24" s="1"/>
  <c r="AC280" i="24" s="1"/>
  <c r="V244" i="24"/>
  <c r="W244" i="24"/>
  <c r="AG160" i="24"/>
  <c r="AF160" i="24"/>
  <c r="AE65" i="24"/>
  <c r="AI65" i="24"/>
  <c r="X65" i="24"/>
  <c r="AA65" i="24" s="1"/>
  <c r="AB65" i="24" s="1"/>
  <c r="AC65" i="24" s="1"/>
  <c r="Q146" i="24"/>
  <c r="P146" i="24"/>
  <c r="AP146" i="24"/>
  <c r="P71" i="24"/>
  <c r="Q71" i="24"/>
  <c r="R71" i="24" s="1"/>
  <c r="AP71" i="24"/>
  <c r="AE113" i="24"/>
  <c r="AI113" i="24"/>
  <c r="X113" i="24"/>
  <c r="AA113" i="24" s="1"/>
  <c r="AB113" i="24" s="1"/>
  <c r="AC113" i="24" s="1"/>
  <c r="Q153" i="24"/>
  <c r="P153" i="24"/>
  <c r="AP153" i="24"/>
  <c r="U122" i="25"/>
  <c r="AE165" i="24"/>
  <c r="AI165" i="24"/>
  <c r="X165" i="24"/>
  <c r="AA165" i="24" s="1"/>
  <c r="AB165" i="24" s="1"/>
  <c r="AC165" i="24" s="1"/>
  <c r="AD306" i="25"/>
  <c r="W306" i="25"/>
  <c r="Z306" i="25" s="1"/>
  <c r="AA306" i="25" s="1"/>
  <c r="AB306" i="25" s="1"/>
  <c r="AI306" i="25" s="1"/>
  <c r="AE254" i="24"/>
  <c r="AI254" i="24"/>
  <c r="X254" i="24"/>
  <c r="AA254" i="24" s="1"/>
  <c r="AB254" i="24" s="1"/>
  <c r="AC254" i="24" s="1"/>
  <c r="AE166" i="24"/>
  <c r="AI166" i="24"/>
  <c r="X166" i="24"/>
  <c r="AA166" i="24" s="1"/>
  <c r="AB166" i="24" s="1"/>
  <c r="AC166" i="24" s="1"/>
  <c r="S220" i="25"/>
  <c r="K220" i="25" s="1"/>
  <c r="V220" i="25" s="1"/>
  <c r="R220" i="25"/>
  <c r="Q220" i="25"/>
  <c r="AO220" i="25"/>
  <c r="BZ220" i="25"/>
  <c r="R260" i="25"/>
  <c r="S260" i="25"/>
  <c r="K260" i="25" s="1"/>
  <c r="V260" i="25" s="1"/>
  <c r="Q260" i="25"/>
  <c r="BZ260" i="25"/>
  <c r="AO260" i="25"/>
  <c r="R15" i="25"/>
  <c r="S15" i="25"/>
  <c r="K15" i="25" s="1"/>
  <c r="Q15" i="25"/>
  <c r="BZ15" i="25"/>
  <c r="AO15" i="25"/>
  <c r="AE105" i="24"/>
  <c r="AI105" i="24"/>
  <c r="X105" i="24"/>
  <c r="AA105" i="24" s="1"/>
  <c r="AB105" i="24" s="1"/>
  <c r="AC105" i="24" s="1"/>
  <c r="Q63" i="24"/>
  <c r="R63" i="24" s="1"/>
  <c r="P63" i="24"/>
  <c r="AP63" i="24"/>
  <c r="S207" i="25"/>
  <c r="K207" i="25" s="1"/>
  <c r="V207" i="25" s="1"/>
  <c r="R207" i="25"/>
  <c r="Q207" i="25"/>
  <c r="AO207" i="25"/>
  <c r="BZ207" i="25"/>
  <c r="AE32" i="24"/>
  <c r="AI32" i="24"/>
  <c r="X32" i="24"/>
  <c r="AA32" i="24" s="1"/>
  <c r="AB32" i="24" s="1"/>
  <c r="AC32" i="24" s="1"/>
  <c r="R78" i="25"/>
  <c r="S78" i="25"/>
  <c r="K78" i="25" s="1"/>
  <c r="V78" i="25" s="1"/>
  <c r="Q78" i="25"/>
  <c r="AO78" i="25"/>
  <c r="BZ78" i="25"/>
  <c r="U86" i="25"/>
  <c r="R239" i="25"/>
  <c r="S239" i="25"/>
  <c r="K239" i="25" s="1"/>
  <c r="V239" i="25" s="1"/>
  <c r="Q239" i="25"/>
  <c r="BZ239" i="25"/>
  <c r="AO239" i="25"/>
  <c r="AD14" i="25"/>
  <c r="W14" i="25"/>
  <c r="Z14" i="25" s="1"/>
  <c r="AA14" i="25" s="1"/>
  <c r="AB14" i="25" s="1"/>
  <c r="AI14" i="25" s="1"/>
  <c r="U315" i="25"/>
  <c r="AE276" i="24"/>
  <c r="AI276" i="24"/>
  <c r="X276" i="24"/>
  <c r="AA276" i="24" s="1"/>
  <c r="AB276" i="24" s="1"/>
  <c r="AC276" i="24" s="1"/>
  <c r="AE79" i="24"/>
  <c r="AI79" i="24"/>
  <c r="X79" i="24"/>
  <c r="AA79" i="24" s="1"/>
  <c r="AB79" i="24" s="1"/>
  <c r="AC79" i="24" s="1"/>
  <c r="U302" i="25"/>
  <c r="AE179" i="24"/>
  <c r="AI179" i="24"/>
  <c r="X179" i="24"/>
  <c r="AA179" i="24" s="1"/>
  <c r="AB179" i="24" s="1"/>
  <c r="AC179" i="24" s="1"/>
  <c r="S66" i="25"/>
  <c r="K66" i="25" s="1"/>
  <c r="V66" i="25" s="1"/>
  <c r="R66" i="25"/>
  <c r="Q66" i="25"/>
  <c r="AO66" i="25"/>
  <c r="BZ66" i="25"/>
  <c r="AE251" i="24"/>
  <c r="AI251" i="24"/>
  <c r="X251" i="24"/>
  <c r="AA251" i="24" s="1"/>
  <c r="AB251" i="24" s="1"/>
  <c r="AC251" i="24" s="1"/>
  <c r="W251" i="24"/>
  <c r="Y251" i="24" s="1"/>
  <c r="AG7" i="24"/>
  <c r="AF7" i="24"/>
  <c r="W78" i="24"/>
  <c r="V78" i="24"/>
  <c r="W105" i="24"/>
  <c r="Y105" i="24" s="1"/>
  <c r="AE172" i="24"/>
  <c r="AI172" i="24"/>
  <c r="X172" i="24"/>
  <c r="AA172" i="24" s="1"/>
  <c r="AB172" i="24" s="1"/>
  <c r="AC172" i="24" s="1"/>
  <c r="V75" i="24"/>
  <c r="W75" i="24"/>
  <c r="S169" i="25"/>
  <c r="K169" i="25" s="1"/>
  <c r="V169" i="25" s="1"/>
  <c r="R169" i="25"/>
  <c r="Q169" i="25"/>
  <c r="BZ169" i="25"/>
  <c r="AO169" i="25"/>
  <c r="R112" i="25"/>
  <c r="S112" i="25"/>
  <c r="K112" i="25" s="1"/>
  <c r="V112" i="25" s="1"/>
  <c r="Q112" i="25"/>
  <c r="BZ112" i="25"/>
  <c r="AO112" i="25"/>
  <c r="V204" i="24"/>
  <c r="W204" i="24"/>
  <c r="AD232" i="25"/>
  <c r="V232" i="25"/>
  <c r="X232" i="25" s="1"/>
  <c r="W232" i="25"/>
  <c r="Z232" i="25" s="1"/>
  <c r="AA232" i="25" s="1"/>
  <c r="AB232" i="25" s="1"/>
  <c r="AI232" i="25" s="1"/>
  <c r="AE118" i="24"/>
  <c r="AI118" i="24"/>
  <c r="X118" i="24"/>
  <c r="AA118" i="24" s="1"/>
  <c r="AB118" i="24" s="1"/>
  <c r="AC118" i="24" s="1"/>
  <c r="AE141" i="24"/>
  <c r="AI141" i="24"/>
  <c r="X141" i="24"/>
  <c r="AA141" i="24" s="1"/>
  <c r="AB141" i="24" s="1"/>
  <c r="AC141" i="24" s="1"/>
  <c r="R312" i="25"/>
  <c r="S312" i="25"/>
  <c r="K312" i="25" s="1"/>
  <c r="Q312" i="25"/>
  <c r="AO312" i="25"/>
  <c r="BZ312" i="25"/>
  <c r="Q93" i="24"/>
  <c r="R93" i="24" s="1"/>
  <c r="P93" i="24"/>
  <c r="AP93" i="24"/>
  <c r="U99" i="25"/>
  <c r="AE298" i="24"/>
  <c r="AI298" i="24"/>
  <c r="X298" i="24"/>
  <c r="AA298" i="24" s="1"/>
  <c r="AB298" i="24" s="1"/>
  <c r="AC298" i="24" s="1"/>
  <c r="AE265" i="24"/>
  <c r="AI265" i="24"/>
  <c r="X265" i="24"/>
  <c r="AA265" i="24" s="1"/>
  <c r="AB265" i="24" s="1"/>
  <c r="AC265" i="24" s="1"/>
  <c r="AE131" i="24"/>
  <c r="AI131" i="24"/>
  <c r="X131" i="24"/>
  <c r="AA131" i="24" s="1"/>
  <c r="AB131" i="24" s="1"/>
  <c r="AC131" i="24" s="1"/>
  <c r="V140" i="24"/>
  <c r="W140" i="24"/>
  <c r="AE289" i="24"/>
  <c r="AI289" i="24"/>
  <c r="X289" i="24"/>
  <c r="AA289" i="24" s="1"/>
  <c r="AB289" i="24" s="1"/>
  <c r="AC289" i="24" s="1"/>
  <c r="AD259" i="25"/>
  <c r="W259" i="25"/>
  <c r="Z259" i="25" s="1"/>
  <c r="AA259" i="25" s="1"/>
  <c r="AB259" i="25" s="1"/>
  <c r="AI259" i="25" s="1"/>
  <c r="U101" i="25"/>
  <c r="S183" i="25"/>
  <c r="K183" i="25" s="1"/>
  <c r="V183" i="25" s="1"/>
  <c r="R183" i="25"/>
  <c r="Q183" i="25"/>
  <c r="AO183" i="25"/>
  <c r="BZ183" i="25"/>
  <c r="U231" i="25"/>
  <c r="R279" i="25"/>
  <c r="S279" i="25"/>
  <c r="K279" i="25" s="1"/>
  <c r="Q279" i="25"/>
  <c r="AO279" i="25"/>
  <c r="BZ279" i="25"/>
  <c r="AE31" i="24"/>
  <c r="AI31" i="24"/>
  <c r="X31" i="24"/>
  <c r="AA31" i="24" s="1"/>
  <c r="AB31" i="24" s="1"/>
  <c r="AC31" i="24" s="1"/>
  <c r="V149" i="24"/>
  <c r="W149" i="24"/>
  <c r="U156" i="25"/>
  <c r="U287" i="25"/>
  <c r="Q204" i="24"/>
  <c r="P204" i="24"/>
  <c r="AP204" i="24"/>
  <c r="AD148" i="25"/>
  <c r="W148" i="25"/>
  <c r="Z148" i="25" s="1"/>
  <c r="AA148" i="25" s="1"/>
  <c r="AB148" i="25" s="1"/>
  <c r="AI148" i="25" s="1"/>
  <c r="R141" i="25"/>
  <c r="S141" i="25"/>
  <c r="K141" i="25" s="1"/>
  <c r="Q141" i="25"/>
  <c r="AO141" i="25"/>
  <c r="BZ141" i="25"/>
  <c r="AE28" i="24"/>
  <c r="AI28" i="24"/>
  <c r="X28" i="24"/>
  <c r="AA28" i="24" s="1"/>
  <c r="AB28" i="24" s="1"/>
  <c r="AC28" i="24" s="1"/>
  <c r="R120" i="25"/>
  <c r="S120" i="25"/>
  <c r="K120" i="25" s="1"/>
  <c r="Q120" i="25"/>
  <c r="AO120" i="25"/>
  <c r="BZ120" i="25"/>
  <c r="R191" i="25"/>
  <c r="S191" i="25"/>
  <c r="K191" i="25" s="1"/>
  <c r="Q191" i="25"/>
  <c r="BZ191" i="25"/>
  <c r="AO191" i="25"/>
  <c r="AE14" i="24"/>
  <c r="AI14" i="24"/>
  <c r="X14" i="24"/>
  <c r="AA14" i="24" s="1"/>
  <c r="AB14" i="24" s="1"/>
  <c r="AC14" i="24" s="1"/>
  <c r="R288" i="25"/>
  <c r="S288" i="25"/>
  <c r="K288" i="25" s="1"/>
  <c r="V288" i="25" s="1"/>
  <c r="Q288" i="25"/>
  <c r="BZ288" i="25"/>
  <c r="AO288" i="25"/>
  <c r="AE49" i="24"/>
  <c r="AI49" i="24"/>
  <c r="X49" i="24"/>
  <c r="AA49" i="24" s="1"/>
  <c r="AB49" i="24" s="1"/>
  <c r="AC49" i="24" s="1"/>
  <c r="V206" i="24"/>
  <c r="W206" i="24"/>
  <c r="AE218" i="24"/>
  <c r="AI218" i="24"/>
  <c r="X218" i="24"/>
  <c r="AA218" i="24" s="1"/>
  <c r="AB218" i="24" s="1"/>
  <c r="AC218" i="24" s="1"/>
  <c r="S303" i="25"/>
  <c r="K303" i="25" s="1"/>
  <c r="V303" i="25" s="1"/>
  <c r="R303" i="25"/>
  <c r="Q303" i="25"/>
  <c r="BZ303" i="25"/>
  <c r="AO303" i="25"/>
  <c r="AG191" i="24"/>
  <c r="AF191" i="24"/>
  <c r="V179" i="24"/>
  <c r="W179" i="24"/>
  <c r="AD59" i="25"/>
  <c r="W59" i="25"/>
  <c r="Z59" i="25" s="1"/>
  <c r="AA59" i="25" s="1"/>
  <c r="AB59" i="25" s="1"/>
  <c r="AI59" i="25" s="1"/>
  <c r="AE76" i="24"/>
  <c r="AI76" i="24"/>
  <c r="X76" i="24"/>
  <c r="AA76" i="24" s="1"/>
  <c r="AB76" i="24" s="1"/>
  <c r="AC76" i="24" s="1"/>
  <c r="AE199" i="24"/>
  <c r="AI199" i="24"/>
  <c r="X199" i="24"/>
  <c r="AA199" i="24" s="1"/>
  <c r="AB199" i="24" s="1"/>
  <c r="AC199" i="24" s="1"/>
  <c r="U79" i="25"/>
  <c r="Q140" i="24"/>
  <c r="P140" i="24"/>
  <c r="AP140" i="24"/>
  <c r="R105" i="25"/>
  <c r="S105" i="25"/>
  <c r="K105" i="25" s="1"/>
  <c r="V105" i="25" s="1"/>
  <c r="Q105" i="25"/>
  <c r="AO105" i="25"/>
  <c r="BZ105" i="25"/>
  <c r="AE240" i="24"/>
  <c r="AI240" i="24"/>
  <c r="X240" i="24"/>
  <c r="AA240" i="24" s="1"/>
  <c r="AB240" i="24" s="1"/>
  <c r="AC240" i="24" s="1"/>
  <c r="AE221" i="24"/>
  <c r="AI221" i="24"/>
  <c r="X221" i="24"/>
  <c r="AA221" i="24" s="1"/>
  <c r="AB221" i="24" s="1"/>
  <c r="AC221" i="24" s="1"/>
  <c r="W170" i="24"/>
  <c r="V170" i="24"/>
  <c r="Q298" i="24"/>
  <c r="P298" i="24"/>
  <c r="AP298" i="24"/>
  <c r="R132" i="25"/>
  <c r="S132" i="25"/>
  <c r="K132" i="25" s="1"/>
  <c r="Q132" i="25"/>
  <c r="AO132" i="25"/>
  <c r="BZ132" i="25"/>
  <c r="AE273" i="24"/>
  <c r="AI273" i="24"/>
  <c r="X273" i="24"/>
  <c r="AA273" i="24" s="1"/>
  <c r="AB273" i="24" s="1"/>
  <c r="AC273" i="24" s="1"/>
  <c r="AD261" i="25"/>
  <c r="W261" i="25"/>
  <c r="Z261" i="25" s="1"/>
  <c r="AA261" i="25" s="1"/>
  <c r="AB261" i="25" s="1"/>
  <c r="AI261" i="25" s="1"/>
  <c r="R119" i="25"/>
  <c r="S119" i="25"/>
  <c r="K119" i="25" s="1"/>
  <c r="Q119" i="25"/>
  <c r="AO119" i="25"/>
  <c r="BZ119" i="25"/>
  <c r="S17" i="25"/>
  <c r="K17" i="25" s="1"/>
  <c r="R17" i="25"/>
  <c r="Q17" i="25"/>
  <c r="AO17" i="25"/>
  <c r="BZ17" i="25"/>
  <c r="AE161" i="24"/>
  <c r="AI161" i="24"/>
  <c r="X161" i="24"/>
  <c r="AA161" i="24" s="1"/>
  <c r="AB161" i="24" s="1"/>
  <c r="AC161" i="24" s="1"/>
  <c r="U175" i="25"/>
  <c r="W249" i="24"/>
  <c r="V249" i="24"/>
  <c r="P59" i="24"/>
  <c r="Q59" i="24"/>
  <c r="R59" i="24" s="1"/>
  <c r="AP59" i="24"/>
  <c r="AE104" i="24"/>
  <c r="AI104" i="24"/>
  <c r="X104" i="24"/>
  <c r="AA104" i="24" s="1"/>
  <c r="AB104" i="24" s="1"/>
  <c r="AC104" i="24" s="1"/>
  <c r="S46" i="25"/>
  <c r="K46" i="25" s="1"/>
  <c r="R46" i="25"/>
  <c r="Q46" i="25"/>
  <c r="BZ46" i="25"/>
  <c r="AO46" i="25"/>
  <c r="P126" i="24"/>
  <c r="Q126" i="24"/>
  <c r="AP126" i="24"/>
  <c r="V261" i="24"/>
  <c r="W261" i="24"/>
  <c r="U70" i="25"/>
  <c r="AD273" i="25"/>
  <c r="W273" i="25"/>
  <c r="Z273" i="25" s="1"/>
  <c r="AA273" i="25" s="1"/>
  <c r="AB273" i="25" s="1"/>
  <c r="AI273" i="25" s="1"/>
  <c r="AE202" i="24"/>
  <c r="AI202" i="24"/>
  <c r="X202" i="24"/>
  <c r="AA202" i="24" s="1"/>
  <c r="AB202" i="24" s="1"/>
  <c r="AC202" i="24" s="1"/>
  <c r="AE296" i="24"/>
  <c r="AI296" i="24"/>
  <c r="X296" i="24"/>
  <c r="AA296" i="24" s="1"/>
  <c r="AB296" i="24" s="1"/>
  <c r="AC296" i="24" s="1"/>
  <c r="AE222" i="24"/>
  <c r="AI222" i="24"/>
  <c r="X222" i="24"/>
  <c r="AA222" i="24" s="1"/>
  <c r="AB222" i="24" s="1"/>
  <c r="AC222" i="24" s="1"/>
  <c r="S308" i="25"/>
  <c r="K308" i="25" s="1"/>
  <c r="R308" i="25"/>
  <c r="Q308" i="25"/>
  <c r="BZ308" i="25"/>
  <c r="AO308" i="25"/>
  <c r="V195" i="24"/>
  <c r="W195" i="24"/>
  <c r="S230" i="25"/>
  <c r="K230" i="25" s="1"/>
  <c r="R230" i="25"/>
  <c r="Q230" i="25"/>
  <c r="BZ230" i="25"/>
  <c r="AO230" i="25"/>
  <c r="U223" i="25"/>
  <c r="AE267" i="24"/>
  <c r="AI267" i="24"/>
  <c r="X267" i="24"/>
  <c r="AA267" i="24" s="1"/>
  <c r="AB267" i="24" s="1"/>
  <c r="AC267" i="24" s="1"/>
  <c r="R197" i="25"/>
  <c r="S197" i="25"/>
  <c r="K197" i="25" s="1"/>
  <c r="V197" i="25" s="1"/>
  <c r="Q197" i="25"/>
  <c r="AO197" i="25"/>
  <c r="BZ197" i="25"/>
  <c r="AE311" i="24"/>
  <c r="AI311" i="24"/>
  <c r="X311" i="24"/>
  <c r="AA311" i="24" s="1"/>
  <c r="AB311" i="24" s="1"/>
  <c r="AC311" i="24" s="1"/>
  <c r="V316" i="24"/>
  <c r="W316" i="24"/>
  <c r="S55" i="25"/>
  <c r="K55" i="25" s="1"/>
  <c r="V55" i="25" s="1"/>
  <c r="R55" i="25"/>
  <c r="Q55" i="25"/>
  <c r="AO55" i="25"/>
  <c r="BZ55" i="25"/>
  <c r="V309" i="24"/>
  <c r="W309" i="24"/>
  <c r="W36" i="24"/>
  <c r="V36" i="24"/>
  <c r="AE281" i="24"/>
  <c r="AI281" i="24"/>
  <c r="X281" i="24"/>
  <c r="AA281" i="24" s="1"/>
  <c r="AB281" i="24" s="1"/>
  <c r="AC281" i="24" s="1"/>
  <c r="AD32" i="25"/>
  <c r="W32" i="25"/>
  <c r="Z32" i="25" s="1"/>
  <c r="AA32" i="25" s="1"/>
  <c r="AB32" i="25" s="1"/>
  <c r="AI32" i="25" s="1"/>
  <c r="AE99" i="24"/>
  <c r="AI99" i="24"/>
  <c r="X99" i="24"/>
  <c r="AA99" i="24" s="1"/>
  <c r="AB99" i="24" s="1"/>
  <c r="AC99" i="24" s="1"/>
  <c r="AE277" i="24"/>
  <c r="AI277" i="24"/>
  <c r="X277" i="24"/>
  <c r="AA277" i="24" s="1"/>
  <c r="AB277" i="24" s="1"/>
  <c r="AC277" i="24" s="1"/>
  <c r="AS110" i="25"/>
  <c r="AE102" i="24"/>
  <c r="AI102" i="24"/>
  <c r="X102" i="24"/>
  <c r="AA102" i="24" s="1"/>
  <c r="AB102" i="24" s="1"/>
  <c r="AC102" i="24" s="1"/>
  <c r="AE270" i="24"/>
  <c r="AI270" i="24"/>
  <c r="X270" i="24"/>
  <c r="AA270" i="24" s="1"/>
  <c r="AB270" i="24" s="1"/>
  <c r="AC270" i="24" s="1"/>
  <c r="AG264" i="24"/>
  <c r="AF264" i="24"/>
  <c r="R64" i="25"/>
  <c r="S64" i="25"/>
  <c r="K64" i="25" s="1"/>
  <c r="Q64" i="25"/>
  <c r="AO64" i="25"/>
  <c r="BZ64" i="25"/>
  <c r="W308" i="24"/>
  <c r="V308" i="24"/>
  <c r="AE288" i="24"/>
  <c r="AI288" i="24"/>
  <c r="X288" i="24"/>
  <c r="AA288" i="24" s="1"/>
  <c r="AB288" i="24" s="1"/>
  <c r="AC288" i="24" s="1"/>
  <c r="AE209" i="24"/>
  <c r="AI209" i="24"/>
  <c r="X209" i="24"/>
  <c r="AA209" i="24" s="1"/>
  <c r="AB209" i="24" s="1"/>
  <c r="AC209" i="24" s="1"/>
  <c r="AE121" i="24"/>
  <c r="AI121" i="24"/>
  <c r="X121" i="24"/>
  <c r="AA121" i="24" s="1"/>
  <c r="AB121" i="24" s="1"/>
  <c r="AC121" i="24" s="1"/>
  <c r="S122" i="25"/>
  <c r="K122" i="25" s="1"/>
  <c r="V122" i="25" s="1"/>
  <c r="R122" i="25"/>
  <c r="Q122" i="25"/>
  <c r="BZ122" i="25"/>
  <c r="AO122" i="25"/>
  <c r="S9" i="25"/>
  <c r="K9" i="25" s="1"/>
  <c r="R9" i="25"/>
  <c r="Q9" i="25"/>
  <c r="BZ9" i="25"/>
  <c r="AO9" i="25"/>
  <c r="U160" i="25"/>
  <c r="V154" i="24"/>
  <c r="W154" i="24"/>
  <c r="W114" i="24"/>
  <c r="V114" i="24"/>
  <c r="S85" i="25"/>
  <c r="K85" i="25" s="1"/>
  <c r="R85" i="25"/>
  <c r="Q85" i="25"/>
  <c r="BZ85" i="25"/>
  <c r="AO85" i="25"/>
  <c r="S53" i="25"/>
  <c r="K53" i="25" s="1"/>
  <c r="V53" i="25" s="1"/>
  <c r="R53" i="25"/>
  <c r="Q53" i="25"/>
  <c r="AO53" i="25"/>
  <c r="BZ53" i="25"/>
  <c r="U286" i="25"/>
  <c r="R86" i="25"/>
  <c r="S86" i="25"/>
  <c r="K86" i="25" s="1"/>
  <c r="Q86" i="25"/>
  <c r="BZ86" i="25"/>
  <c r="AO86" i="25"/>
  <c r="W8" i="24"/>
  <c r="V8" i="24"/>
  <c r="V94" i="24"/>
  <c r="W94" i="24"/>
  <c r="AE168" i="24"/>
  <c r="AI168" i="24"/>
  <c r="X168" i="24"/>
  <c r="AA168" i="24" s="1"/>
  <c r="AB168" i="24" s="1"/>
  <c r="AC168" i="24" s="1"/>
  <c r="AD275" i="25"/>
  <c r="W275" i="25"/>
  <c r="Z275" i="25" s="1"/>
  <c r="AA275" i="25" s="1"/>
  <c r="AB275" i="25" s="1"/>
  <c r="AI275" i="25" s="1"/>
  <c r="S315" i="25"/>
  <c r="K315" i="25" s="1"/>
  <c r="R315" i="25"/>
  <c r="Q315" i="25"/>
  <c r="AO315" i="25"/>
  <c r="BZ315" i="25"/>
  <c r="V297" i="24"/>
  <c r="W297" i="24"/>
  <c r="V28" i="24"/>
  <c r="W28" i="24"/>
  <c r="S235" i="25"/>
  <c r="K235" i="25" s="1"/>
  <c r="R235" i="25"/>
  <c r="Q235" i="25"/>
  <c r="AO235" i="25"/>
  <c r="BZ235" i="25"/>
  <c r="W99" i="24"/>
  <c r="Y99" i="24" s="1"/>
  <c r="AD94" i="25"/>
  <c r="W94" i="25"/>
  <c r="Z94" i="25" s="1"/>
  <c r="AA94" i="25" s="1"/>
  <c r="AB94" i="25" s="1"/>
  <c r="AI94" i="25" s="1"/>
  <c r="V94" i="25"/>
  <c r="X94" i="25" s="1"/>
  <c r="AE52" i="24"/>
  <c r="AI52" i="24"/>
  <c r="X52" i="24"/>
  <c r="AA52" i="24" s="1"/>
  <c r="AB52" i="24" s="1"/>
  <c r="AC52" i="24" s="1"/>
  <c r="U93" i="25"/>
  <c r="W288" i="24"/>
  <c r="V288" i="24"/>
  <c r="V209" i="24"/>
  <c r="W209" i="24"/>
  <c r="R302" i="25"/>
  <c r="S302" i="25"/>
  <c r="K302" i="25" s="1"/>
  <c r="V302" i="25" s="1"/>
  <c r="Q302" i="25"/>
  <c r="AO302" i="25"/>
  <c r="BZ302" i="25"/>
  <c r="U218" i="25"/>
  <c r="W164" i="24"/>
  <c r="V164" i="24"/>
  <c r="P78" i="24"/>
  <c r="Q78" i="24"/>
  <c r="R78" i="24" s="1"/>
  <c r="AP78" i="24"/>
  <c r="AE19" i="24"/>
  <c r="AI19" i="24"/>
  <c r="X19" i="24"/>
  <c r="AA19" i="24" s="1"/>
  <c r="AB19" i="24" s="1"/>
  <c r="AC19" i="24" s="1"/>
  <c r="W275" i="24"/>
  <c r="V275" i="24"/>
  <c r="AE25" i="24"/>
  <c r="AI25" i="24"/>
  <c r="X25" i="24"/>
  <c r="AA25" i="24" s="1"/>
  <c r="AB25" i="24" s="1"/>
  <c r="AC25" i="24" s="1"/>
  <c r="AE206" i="24"/>
  <c r="AI206" i="24"/>
  <c r="X206" i="24"/>
  <c r="AA206" i="24" s="1"/>
  <c r="AB206" i="24" s="1"/>
  <c r="AC206" i="24" s="1"/>
  <c r="S117" i="25"/>
  <c r="K117" i="25" s="1"/>
  <c r="R117" i="25"/>
  <c r="Q117" i="25"/>
  <c r="AO117" i="25"/>
  <c r="BZ117" i="25"/>
  <c r="R40" i="25"/>
  <c r="S40" i="25"/>
  <c r="K40" i="25" s="1"/>
  <c r="V40" i="25" s="1"/>
  <c r="Q40" i="25"/>
  <c r="AO40" i="25"/>
  <c r="BZ40" i="25"/>
  <c r="S164" i="25"/>
  <c r="K164" i="25" s="1"/>
  <c r="R164" i="25"/>
  <c r="Q164" i="25"/>
  <c r="AO164" i="25"/>
  <c r="BZ164" i="25"/>
  <c r="P255" i="24"/>
  <c r="Q255" i="24"/>
  <c r="AP255" i="24"/>
  <c r="R58" i="25"/>
  <c r="S58" i="25"/>
  <c r="K58" i="25" s="1"/>
  <c r="Q58" i="25"/>
  <c r="BZ58" i="25"/>
  <c r="AO58" i="25"/>
  <c r="AE103" i="24"/>
  <c r="AI103" i="24"/>
  <c r="X103" i="24"/>
  <c r="AA103" i="24" s="1"/>
  <c r="AB103" i="24" s="1"/>
  <c r="AC103" i="24" s="1"/>
  <c r="R231" i="25"/>
  <c r="S231" i="25"/>
  <c r="K231" i="25" s="1"/>
  <c r="V231" i="25" s="1"/>
  <c r="Q231" i="25"/>
  <c r="BZ231" i="25"/>
  <c r="AO231" i="25"/>
  <c r="R316" i="25"/>
  <c r="S316" i="25"/>
  <c r="K316" i="25" s="1"/>
  <c r="Q316" i="25"/>
  <c r="BZ316" i="25"/>
  <c r="AO316" i="25"/>
  <c r="AE140" i="24"/>
  <c r="AI140" i="24"/>
  <c r="X140" i="24"/>
  <c r="AA140" i="24" s="1"/>
  <c r="AB140" i="24" s="1"/>
  <c r="AC140" i="24" s="1"/>
  <c r="P149" i="24"/>
  <c r="Q149" i="24"/>
  <c r="AP149" i="24"/>
  <c r="AE200" i="24"/>
  <c r="AI200" i="24"/>
  <c r="X200" i="24"/>
  <c r="AA200" i="24" s="1"/>
  <c r="AB200" i="24" s="1"/>
  <c r="AC200" i="24" s="1"/>
  <c r="U121" i="25"/>
  <c r="W171" i="24"/>
  <c r="V171" i="24"/>
  <c r="R156" i="25"/>
  <c r="S156" i="25"/>
  <c r="K156" i="25" s="1"/>
  <c r="Q156" i="25"/>
  <c r="AO156" i="25"/>
  <c r="BZ156" i="25"/>
  <c r="S287" i="25"/>
  <c r="K287" i="25" s="1"/>
  <c r="V287" i="25" s="1"/>
  <c r="R287" i="25"/>
  <c r="Q287" i="25"/>
  <c r="BZ287" i="25"/>
  <c r="AO287" i="25"/>
  <c r="AD95" i="25"/>
  <c r="W95" i="25"/>
  <c r="Z95" i="25" s="1"/>
  <c r="AA95" i="25" s="1"/>
  <c r="AB95" i="25" s="1"/>
  <c r="AI95" i="25" s="1"/>
  <c r="AD131" i="25"/>
  <c r="W131" i="25"/>
  <c r="Z131" i="25" s="1"/>
  <c r="AA131" i="25" s="1"/>
  <c r="AB131" i="25" s="1"/>
  <c r="AI131" i="25" s="1"/>
  <c r="V131" i="25"/>
  <c r="X131" i="25" s="1"/>
  <c r="AE187" i="24"/>
  <c r="AI187" i="24"/>
  <c r="X187" i="24"/>
  <c r="AA187" i="24" s="1"/>
  <c r="AB187" i="24" s="1"/>
  <c r="AC187" i="24" s="1"/>
  <c r="AE150" i="24"/>
  <c r="AI150" i="24"/>
  <c r="X150" i="24"/>
  <c r="AA150" i="24" s="1"/>
  <c r="AB150" i="24" s="1"/>
  <c r="AC150" i="24" s="1"/>
  <c r="R43" i="25"/>
  <c r="S43" i="25"/>
  <c r="K43" i="25" s="1"/>
  <c r="Q43" i="25"/>
  <c r="BZ43" i="25"/>
  <c r="AO43" i="25"/>
  <c r="AE207" i="24"/>
  <c r="AI207" i="24"/>
  <c r="X207" i="24"/>
  <c r="AA207" i="24" s="1"/>
  <c r="AB207" i="24" s="1"/>
  <c r="AC207" i="24" s="1"/>
  <c r="V161" i="24"/>
  <c r="W161" i="24"/>
  <c r="P206" i="24"/>
  <c r="Q206" i="24"/>
  <c r="AP206" i="24"/>
  <c r="V144" i="24"/>
  <c r="W144" i="24"/>
  <c r="R127" i="25"/>
  <c r="S127" i="25"/>
  <c r="K127" i="25" s="1"/>
  <c r="Q127" i="25"/>
  <c r="AO127" i="25"/>
  <c r="BZ127" i="25"/>
  <c r="AE291" i="24"/>
  <c r="AI291" i="24"/>
  <c r="X291" i="24"/>
  <c r="AA291" i="24" s="1"/>
  <c r="AB291" i="24" s="1"/>
  <c r="AC291" i="24" s="1"/>
  <c r="AE227" i="24"/>
  <c r="AI227" i="24"/>
  <c r="X227" i="24"/>
  <c r="AA227" i="24" s="1"/>
  <c r="AB227" i="24" s="1"/>
  <c r="AC227" i="24" s="1"/>
  <c r="AD92" i="25"/>
  <c r="W92" i="25"/>
  <c r="Z92" i="25" s="1"/>
  <c r="AA92" i="25" s="1"/>
  <c r="AB92" i="25" s="1"/>
  <c r="AI92" i="25" s="1"/>
  <c r="V115" i="24"/>
  <c r="W115" i="24"/>
  <c r="AE36" i="24"/>
  <c r="AI36" i="24"/>
  <c r="X36" i="24"/>
  <c r="AA36" i="24" s="1"/>
  <c r="AB36" i="24" s="1"/>
  <c r="AC36" i="24" s="1"/>
  <c r="AE11" i="24"/>
  <c r="AI11" i="24"/>
  <c r="X11" i="24"/>
  <c r="AA11" i="24" s="1"/>
  <c r="AB11" i="24" s="1"/>
  <c r="AC11" i="24" s="1"/>
  <c r="AE189" i="24"/>
  <c r="AI189" i="24"/>
  <c r="X189" i="24"/>
  <c r="AA189" i="24" s="1"/>
  <c r="AB189" i="24" s="1"/>
  <c r="AC189" i="24" s="1"/>
  <c r="AE34" i="24"/>
  <c r="AI34" i="24"/>
  <c r="X34" i="24"/>
  <c r="AA34" i="24" s="1"/>
  <c r="AB34" i="24" s="1"/>
  <c r="AC34" i="24" s="1"/>
  <c r="S79" i="25"/>
  <c r="K79" i="25" s="1"/>
  <c r="V79" i="25" s="1"/>
  <c r="R79" i="25"/>
  <c r="Q79" i="25"/>
  <c r="BZ79" i="25"/>
  <c r="AO79" i="25"/>
  <c r="S233" i="25"/>
  <c r="K233" i="25" s="1"/>
  <c r="R233" i="25"/>
  <c r="Q233" i="25"/>
  <c r="AO233" i="25"/>
  <c r="BZ233" i="25"/>
  <c r="AE129" i="24"/>
  <c r="AI129" i="24"/>
  <c r="X129" i="24"/>
  <c r="AA129" i="24" s="1"/>
  <c r="AB129" i="24" s="1"/>
  <c r="AC129" i="24" s="1"/>
  <c r="R7" i="25"/>
  <c r="S7" i="25"/>
  <c r="K7" i="25" s="1"/>
  <c r="Q7" i="25"/>
  <c r="AO7" i="25"/>
  <c r="BZ7" i="25"/>
  <c r="S8" i="25"/>
  <c r="K8" i="25" s="1"/>
  <c r="R8" i="25"/>
  <c r="Q8" i="25"/>
  <c r="AO8" i="25"/>
  <c r="BZ8" i="25"/>
  <c r="AE307" i="24"/>
  <c r="AI307" i="24"/>
  <c r="X307" i="24"/>
  <c r="AA307" i="24" s="1"/>
  <c r="AB307" i="24" s="1"/>
  <c r="AC307" i="24" s="1"/>
  <c r="W151" i="24"/>
  <c r="V151" i="24"/>
  <c r="AE72" i="24"/>
  <c r="AI72" i="24"/>
  <c r="X72" i="24"/>
  <c r="AA72" i="24" s="1"/>
  <c r="AB72" i="24" s="1"/>
  <c r="AC72" i="24" s="1"/>
  <c r="W256" i="24"/>
  <c r="V256" i="24"/>
  <c r="W247" i="24"/>
  <c r="V247" i="24"/>
  <c r="W315" i="24"/>
  <c r="V315" i="24"/>
  <c r="AE255" i="24"/>
  <c r="AI255" i="24"/>
  <c r="X255" i="24"/>
  <c r="AA255" i="24" s="1"/>
  <c r="AB255" i="24" s="1"/>
  <c r="AC255" i="24" s="1"/>
  <c r="V300" i="24"/>
  <c r="W300" i="24"/>
  <c r="P249" i="24"/>
  <c r="Q249" i="24"/>
  <c r="AP249" i="24"/>
  <c r="AE29" i="24"/>
  <c r="AI29" i="24"/>
  <c r="X29" i="24"/>
  <c r="AA29" i="24" s="1"/>
  <c r="AB29" i="24" s="1"/>
  <c r="AC29" i="24" s="1"/>
  <c r="U224" i="25"/>
  <c r="AE173" i="24"/>
  <c r="AI173" i="24"/>
  <c r="X173" i="24"/>
  <c r="AA173" i="24" s="1"/>
  <c r="AB173" i="24" s="1"/>
  <c r="AC173" i="24" s="1"/>
  <c r="AE147" i="24"/>
  <c r="AI147" i="24"/>
  <c r="X147" i="24"/>
  <c r="AA147" i="24" s="1"/>
  <c r="AB147" i="24" s="1"/>
  <c r="AC147" i="24" s="1"/>
  <c r="AE287" i="24"/>
  <c r="AI287" i="24"/>
  <c r="X287" i="24"/>
  <c r="AA287" i="24" s="1"/>
  <c r="AB287" i="24" s="1"/>
  <c r="AC287" i="24" s="1"/>
  <c r="R281" i="25"/>
  <c r="S281" i="25"/>
  <c r="K281" i="25" s="1"/>
  <c r="V281" i="25" s="1"/>
  <c r="Q281" i="25"/>
  <c r="BZ281" i="25"/>
  <c r="AO281" i="25"/>
  <c r="AE309" i="24"/>
  <c r="AI309" i="24"/>
  <c r="X309" i="24"/>
  <c r="AA309" i="24" s="1"/>
  <c r="AB309" i="24" s="1"/>
  <c r="AC309" i="24" s="1"/>
  <c r="V33" i="24"/>
  <c r="W33" i="24"/>
  <c r="W176" i="24"/>
  <c r="V176" i="24"/>
  <c r="U266" i="25"/>
  <c r="S91" i="25"/>
  <c r="K91" i="25" s="1"/>
  <c r="R91" i="25"/>
  <c r="Q91" i="25"/>
  <c r="AO91" i="25"/>
  <c r="BZ91" i="25"/>
  <c r="AE68" i="24"/>
  <c r="AI68" i="24"/>
  <c r="X68" i="24"/>
  <c r="AA68" i="24" s="1"/>
  <c r="AB68" i="24" s="1"/>
  <c r="AC68" i="24" s="1"/>
  <c r="P195" i="24"/>
  <c r="Q195" i="24"/>
  <c r="AP195" i="24"/>
  <c r="U67" i="25"/>
  <c r="S223" i="25"/>
  <c r="K223" i="25" s="1"/>
  <c r="V223" i="25" s="1"/>
  <c r="R223" i="25"/>
  <c r="Q223" i="25"/>
  <c r="BZ223" i="25"/>
  <c r="AO223" i="25"/>
  <c r="AE235" i="24"/>
  <c r="AI235" i="24"/>
  <c r="X235" i="24"/>
  <c r="AA235" i="24" s="1"/>
  <c r="AB235" i="24" s="1"/>
  <c r="AC235" i="24" s="1"/>
  <c r="S284" i="25"/>
  <c r="K284" i="25" s="1"/>
  <c r="R284" i="25"/>
  <c r="Q284" i="25"/>
  <c r="BZ284" i="25"/>
  <c r="AO284" i="25"/>
  <c r="W282" i="24"/>
  <c r="V282" i="24"/>
  <c r="AE299" i="24"/>
  <c r="AI299" i="24"/>
  <c r="X299" i="24"/>
  <c r="AA299" i="24" s="1"/>
  <c r="AB299" i="24" s="1"/>
  <c r="AC299" i="24" s="1"/>
  <c r="AE195" i="24"/>
  <c r="AI195" i="24"/>
  <c r="X195" i="24"/>
  <c r="AA195" i="24" s="1"/>
  <c r="AB195" i="24" s="1"/>
  <c r="AC195" i="24" s="1"/>
  <c r="U165" i="25"/>
  <c r="P316" i="24"/>
  <c r="Q316" i="24"/>
  <c r="AP316" i="24"/>
  <c r="P309" i="24"/>
  <c r="Q309" i="24"/>
  <c r="AP309" i="24"/>
  <c r="AE57" i="24"/>
  <c r="AI57" i="24"/>
  <c r="X57" i="24"/>
  <c r="AA57" i="24" s="1"/>
  <c r="AB57" i="24" s="1"/>
  <c r="AC57" i="24" s="1"/>
  <c r="W177" i="24"/>
  <c r="V177" i="24"/>
  <c r="V51" i="24"/>
  <c r="W51" i="24"/>
  <c r="AE6" i="24"/>
  <c r="AI6" i="24"/>
  <c r="X6" i="24"/>
  <c r="AA6" i="24" s="1"/>
  <c r="AB6" i="24" s="1"/>
  <c r="AC6" i="24" s="1"/>
  <c r="AE23" i="24"/>
  <c r="AI23" i="24"/>
  <c r="X23" i="24"/>
  <c r="AA23" i="24" s="1"/>
  <c r="AB23" i="24" s="1"/>
  <c r="AC23" i="24" s="1"/>
  <c r="U159" i="25"/>
  <c r="AE139" i="24"/>
  <c r="AI139" i="24"/>
  <c r="X139" i="24"/>
  <c r="AA139" i="24" s="1"/>
  <c r="AB139" i="24" s="1"/>
  <c r="AC139" i="24" s="1"/>
  <c r="AE252" i="24"/>
  <c r="AI252" i="24"/>
  <c r="X252" i="24"/>
  <c r="AA252" i="24" s="1"/>
  <c r="AB252" i="24" s="1"/>
  <c r="AC252" i="24" s="1"/>
  <c r="W278" i="24"/>
  <c r="Y278" i="24" s="1"/>
  <c r="AF110" i="25"/>
  <c r="AE110" i="25"/>
  <c r="S146" i="25"/>
  <c r="K146" i="25" s="1"/>
  <c r="R146" i="25"/>
  <c r="Q146" i="25"/>
  <c r="BZ146" i="25"/>
  <c r="AO146" i="25"/>
  <c r="R252" i="25"/>
  <c r="S252" i="25"/>
  <c r="K252" i="25" s="1"/>
  <c r="Q252" i="25"/>
  <c r="BZ252" i="25"/>
  <c r="AO252" i="25"/>
  <c r="AE180" i="24"/>
  <c r="AI180" i="24"/>
  <c r="X180" i="24"/>
  <c r="AA180" i="24" s="1"/>
  <c r="AB180" i="24" s="1"/>
  <c r="AC180" i="24" s="1"/>
  <c r="Q308" i="24"/>
  <c r="P308" i="24"/>
  <c r="AP308" i="24"/>
  <c r="U278" i="25"/>
  <c r="AG101" i="24"/>
  <c r="AF101" i="24"/>
  <c r="AE47" i="24"/>
  <c r="AI47" i="24"/>
  <c r="X47" i="24"/>
  <c r="AA47" i="24" s="1"/>
  <c r="AB47" i="24" s="1"/>
  <c r="AC47" i="24" s="1"/>
  <c r="W47" i="24"/>
  <c r="Y47" i="24" s="1"/>
  <c r="W174" i="24"/>
  <c r="V174" i="24"/>
  <c r="AD243" i="25"/>
  <c r="W243" i="25"/>
  <c r="Z243" i="25" s="1"/>
  <c r="AA243" i="25" s="1"/>
  <c r="AB243" i="25" s="1"/>
  <c r="AI243" i="25" s="1"/>
  <c r="R70" i="25"/>
  <c r="S70" i="25"/>
  <c r="K70" i="25" s="1"/>
  <c r="Q70" i="25"/>
  <c r="BZ70" i="25"/>
  <c r="AO70" i="25"/>
  <c r="W120" i="24"/>
  <c r="Y120" i="24" s="1"/>
  <c r="W273" i="24"/>
  <c r="Y273" i="24" s="1"/>
  <c r="Q114" i="24"/>
  <c r="P114" i="24"/>
  <c r="AP114" i="24"/>
  <c r="AE184" i="24"/>
  <c r="AI184" i="24"/>
  <c r="X184" i="24"/>
  <c r="AA184" i="24" s="1"/>
  <c r="AB184" i="24" s="1"/>
  <c r="AC184" i="24" s="1"/>
  <c r="U100" i="25"/>
  <c r="AE268" i="24"/>
  <c r="AI268" i="24"/>
  <c r="X268" i="24"/>
  <c r="AA268" i="24" s="1"/>
  <c r="AB268" i="24" s="1"/>
  <c r="AC268" i="24" s="1"/>
  <c r="W113" i="24"/>
  <c r="V113" i="24"/>
  <c r="U264" i="25"/>
  <c r="AE116" i="24"/>
  <c r="AI116" i="24"/>
  <c r="X116" i="24"/>
  <c r="AA116" i="24" s="1"/>
  <c r="AB116" i="24" s="1"/>
  <c r="AC116" i="24" s="1"/>
  <c r="AD170" i="25"/>
  <c r="W170" i="25"/>
  <c r="Z170" i="25" s="1"/>
  <c r="AA170" i="25" s="1"/>
  <c r="AB170" i="25" s="1"/>
  <c r="AI170" i="25" s="1"/>
  <c r="R234" i="25"/>
  <c r="S234" i="25"/>
  <c r="K234" i="25" s="1"/>
  <c r="V234" i="25" s="1"/>
  <c r="Q234" i="25"/>
  <c r="AO234" i="25"/>
  <c r="BZ234" i="25"/>
  <c r="U194" i="25"/>
  <c r="AE266" i="24"/>
  <c r="AI266" i="24"/>
  <c r="X266" i="24"/>
  <c r="AA266" i="24" s="1"/>
  <c r="AB266" i="24" s="1"/>
  <c r="AC266" i="24" s="1"/>
  <c r="V136" i="24"/>
  <c r="W136" i="24"/>
  <c r="R286" i="25"/>
  <c r="S286" i="25"/>
  <c r="K286" i="25" s="1"/>
  <c r="Q286" i="25"/>
  <c r="AO286" i="25"/>
  <c r="BZ286" i="25"/>
  <c r="U268" i="25"/>
  <c r="P8" i="24"/>
  <c r="Q8" i="24"/>
  <c r="R8" i="24" s="1"/>
  <c r="AP8" i="24"/>
  <c r="Q94" i="24"/>
  <c r="R94" i="24" s="1"/>
  <c r="P94" i="24"/>
  <c r="AP94" i="24"/>
  <c r="V73" i="24"/>
  <c r="W73" i="24"/>
  <c r="W192" i="24"/>
  <c r="V192" i="24"/>
  <c r="AE246" i="24"/>
  <c r="AI246" i="24"/>
  <c r="W246" i="24"/>
  <c r="Y246" i="24" s="1"/>
  <c r="X246" i="24"/>
  <c r="AA246" i="24" s="1"/>
  <c r="AB246" i="24" s="1"/>
  <c r="AC246" i="24" s="1"/>
  <c r="U98" i="25"/>
  <c r="S52" i="25"/>
  <c r="K52" i="25" s="1"/>
  <c r="R52" i="25"/>
  <c r="Q52" i="25"/>
  <c r="BZ52" i="25"/>
  <c r="AO52" i="25"/>
  <c r="H212" i="25"/>
  <c r="AE238" i="24"/>
  <c r="AI238" i="24"/>
  <c r="X238" i="24"/>
  <c r="AA238" i="24" s="1"/>
  <c r="AB238" i="24" s="1"/>
  <c r="AC238" i="24" s="1"/>
  <c r="AE183" i="24"/>
  <c r="AI183" i="24"/>
  <c r="X183" i="24"/>
  <c r="AA183" i="24" s="1"/>
  <c r="AB183" i="24" s="1"/>
  <c r="AC183" i="24" s="1"/>
  <c r="AE61" i="24"/>
  <c r="AI61" i="24"/>
  <c r="X61" i="24"/>
  <c r="AA61" i="24" s="1"/>
  <c r="AB61" i="24" s="1"/>
  <c r="AC61" i="24" s="1"/>
  <c r="R93" i="25"/>
  <c r="S93" i="25"/>
  <c r="K93" i="25" s="1"/>
  <c r="Q93" i="25"/>
  <c r="AO93" i="25"/>
  <c r="BZ93" i="25"/>
  <c r="Q288" i="24"/>
  <c r="P288" i="24"/>
  <c r="AP288" i="24"/>
  <c r="AE248" i="24"/>
  <c r="AI248" i="24"/>
  <c r="X248" i="24"/>
  <c r="AA248" i="24" s="1"/>
  <c r="AB248" i="24" s="1"/>
  <c r="AC248" i="24" s="1"/>
  <c r="P209" i="24"/>
  <c r="Q209" i="24"/>
  <c r="AP209" i="24"/>
  <c r="AE205" i="24"/>
  <c r="AI205" i="24"/>
  <c r="X205" i="24"/>
  <c r="AA205" i="24" s="1"/>
  <c r="AB205" i="24" s="1"/>
  <c r="AC205" i="24" s="1"/>
  <c r="AE158" i="24"/>
  <c r="AI158" i="24"/>
  <c r="X158" i="24"/>
  <c r="AA158" i="24" s="1"/>
  <c r="AB158" i="24" s="1"/>
  <c r="AC158" i="24" s="1"/>
  <c r="V39" i="24"/>
  <c r="W39" i="24"/>
  <c r="S218" i="25"/>
  <c r="K218" i="25" s="1"/>
  <c r="V218" i="25" s="1"/>
  <c r="R218" i="25"/>
  <c r="Q218" i="25"/>
  <c r="AO218" i="25"/>
  <c r="BZ218" i="25"/>
  <c r="P164" i="24"/>
  <c r="Q164" i="24"/>
  <c r="AP164" i="24"/>
  <c r="W311" i="24"/>
  <c r="Y311" i="24" s="1"/>
  <c r="S44" i="25"/>
  <c r="K44" i="25" s="1"/>
  <c r="V44" i="25" s="1"/>
  <c r="R44" i="25"/>
  <c r="Q44" i="25"/>
  <c r="AO44" i="25"/>
  <c r="BZ44" i="25"/>
  <c r="R256" i="25"/>
  <c r="S256" i="25"/>
  <c r="K256" i="25" s="1"/>
  <c r="Q256" i="25"/>
  <c r="AO256" i="25"/>
  <c r="BZ256" i="25"/>
  <c r="Q26" i="24"/>
  <c r="R26" i="24" s="1"/>
  <c r="P26" i="24"/>
  <c r="AP26" i="24"/>
  <c r="Q158" i="24"/>
  <c r="P158" i="24"/>
  <c r="AP158" i="24"/>
  <c r="Q103" i="24"/>
  <c r="R103" i="24" s="1"/>
  <c r="P103" i="24"/>
  <c r="AP103" i="24"/>
  <c r="S271" i="25"/>
  <c r="K271" i="25" s="1"/>
  <c r="R271" i="25"/>
  <c r="Q271" i="25"/>
  <c r="AO271" i="25"/>
  <c r="BZ271" i="25"/>
  <c r="U55" i="25"/>
  <c r="U105" i="25"/>
  <c r="W138" i="24"/>
  <c r="V138" i="24"/>
  <c r="AE258" i="24"/>
  <c r="AI258" i="24"/>
  <c r="X258" i="24"/>
  <c r="AA258" i="24" s="1"/>
  <c r="AB258" i="24" s="1"/>
  <c r="AC258" i="24" s="1"/>
  <c r="U171" i="25"/>
  <c r="R254" i="25"/>
  <c r="S254" i="25"/>
  <c r="K254" i="25" s="1"/>
  <c r="Q254" i="25"/>
  <c r="BZ254" i="25"/>
  <c r="AO254" i="25"/>
  <c r="AE60" i="24"/>
  <c r="AI60" i="24"/>
  <c r="X60" i="24"/>
  <c r="AA60" i="24" s="1"/>
  <c r="AB60" i="24" s="1"/>
  <c r="AC60" i="24" s="1"/>
  <c r="AD34" i="25"/>
  <c r="W34" i="25"/>
  <c r="Z34" i="25" s="1"/>
  <c r="AA34" i="25" s="1"/>
  <c r="AB34" i="25" s="1"/>
  <c r="AI34" i="25" s="1"/>
  <c r="R182" i="25"/>
  <c r="S182" i="25"/>
  <c r="K182" i="25" s="1"/>
  <c r="Q182" i="25"/>
  <c r="AO182" i="25"/>
  <c r="BZ182" i="25"/>
  <c r="AE243" i="24"/>
  <c r="AI243" i="24"/>
  <c r="X243" i="24"/>
  <c r="AA243" i="24" s="1"/>
  <c r="AB243" i="24" s="1"/>
  <c r="AC243" i="24" s="1"/>
  <c r="AE256" i="24"/>
  <c r="AI256" i="24"/>
  <c r="X256" i="24"/>
  <c r="AA256" i="24" s="1"/>
  <c r="AB256" i="24" s="1"/>
  <c r="AC256" i="24" s="1"/>
  <c r="AE117" i="24"/>
  <c r="AI117" i="24"/>
  <c r="X117" i="24"/>
  <c r="AA117" i="24" s="1"/>
  <c r="AB117" i="24" s="1"/>
  <c r="AC117" i="24" s="1"/>
  <c r="W98" i="24"/>
  <c r="V98" i="24"/>
  <c r="S57" i="25"/>
  <c r="K57" i="25" s="1"/>
  <c r="R57" i="25"/>
  <c r="Q57" i="25"/>
  <c r="BZ57" i="25"/>
  <c r="AO57" i="25"/>
  <c r="Q161" i="24"/>
  <c r="P161" i="24"/>
  <c r="AP161" i="24"/>
  <c r="AE130" i="24"/>
  <c r="AI130" i="24"/>
  <c r="X130" i="24"/>
  <c r="AA130" i="24" s="1"/>
  <c r="AB130" i="24" s="1"/>
  <c r="AC130" i="24" s="1"/>
  <c r="AE159" i="24"/>
  <c r="AI159" i="24"/>
  <c r="X159" i="24"/>
  <c r="AA159" i="24" s="1"/>
  <c r="AB159" i="24" s="1"/>
  <c r="AC159" i="24" s="1"/>
  <c r="AE148" i="24"/>
  <c r="AI148" i="24"/>
  <c r="X148" i="24"/>
  <c r="AA148" i="24" s="1"/>
  <c r="AB148" i="24" s="1"/>
  <c r="AC148" i="24" s="1"/>
  <c r="R19" i="25"/>
  <c r="S19" i="25"/>
  <c r="K19" i="25" s="1"/>
  <c r="Q19" i="25"/>
  <c r="AO19" i="25"/>
  <c r="BZ19" i="25"/>
  <c r="AE18" i="24"/>
  <c r="AI18" i="24"/>
  <c r="X18" i="24"/>
  <c r="AA18" i="24" s="1"/>
  <c r="AB18" i="24" s="1"/>
  <c r="AC18" i="24" s="1"/>
  <c r="U301" i="25"/>
  <c r="AD292" i="25"/>
  <c r="W292" i="25"/>
  <c r="Z292" i="25" s="1"/>
  <c r="AA292" i="25" s="1"/>
  <c r="AB292" i="25" s="1"/>
  <c r="AI292" i="25" s="1"/>
  <c r="AD276" i="25"/>
  <c r="W276" i="25"/>
  <c r="Z276" i="25" s="1"/>
  <c r="AA276" i="25" s="1"/>
  <c r="AB276" i="25" s="1"/>
  <c r="AI276" i="25" s="1"/>
  <c r="AE15" i="24"/>
  <c r="AI15" i="24"/>
  <c r="X15" i="24"/>
  <c r="AA15" i="24" s="1"/>
  <c r="AB15" i="24" s="1"/>
  <c r="AC15" i="24" s="1"/>
  <c r="AD6" i="25"/>
  <c r="V6" i="25"/>
  <c r="X6" i="25" s="1"/>
  <c r="W6" i="25"/>
  <c r="Z6" i="25" s="1"/>
  <c r="AA6" i="25" s="1"/>
  <c r="AB6" i="25" s="1"/>
  <c r="AI6" i="25" s="1"/>
  <c r="W23" i="24"/>
  <c r="V23" i="24"/>
  <c r="S163" i="25"/>
  <c r="K163" i="25" s="1"/>
  <c r="R163" i="25"/>
  <c r="Q163" i="25"/>
  <c r="BZ163" i="25"/>
  <c r="AO163" i="25"/>
  <c r="AE225" i="24"/>
  <c r="AI225" i="24"/>
  <c r="W225" i="24"/>
  <c r="Y225" i="24" s="1"/>
  <c r="X225" i="24"/>
  <c r="AA225" i="24" s="1"/>
  <c r="AB225" i="24" s="1"/>
  <c r="AC225" i="24" s="1"/>
  <c r="U139" i="25"/>
  <c r="AE192" i="24"/>
  <c r="AI192" i="24"/>
  <c r="X192" i="24"/>
  <c r="AA192" i="24" s="1"/>
  <c r="AB192" i="24" s="1"/>
  <c r="AC192" i="24" s="1"/>
  <c r="AD177" i="25"/>
  <c r="W177" i="25"/>
  <c r="Z177" i="25" s="1"/>
  <c r="AA177" i="25" s="1"/>
  <c r="AB177" i="25" s="1"/>
  <c r="AI177" i="25" s="1"/>
  <c r="V177" i="25"/>
  <c r="X177" i="25" s="1"/>
  <c r="AE231" i="24"/>
  <c r="AI231" i="24"/>
  <c r="X231" i="24"/>
  <c r="AA231" i="24" s="1"/>
  <c r="AB231" i="24" s="1"/>
  <c r="AC231" i="24" s="1"/>
  <c r="U10" i="25"/>
  <c r="S126" i="25"/>
  <c r="K126" i="25" s="1"/>
  <c r="R126" i="25"/>
  <c r="Q126" i="25"/>
  <c r="BZ126" i="25"/>
  <c r="AO126" i="25"/>
  <c r="S172" i="25"/>
  <c r="K172" i="25" s="1"/>
  <c r="R172" i="25"/>
  <c r="Q172" i="25"/>
  <c r="BZ172" i="25"/>
  <c r="AO172" i="25"/>
  <c r="W129" i="24"/>
  <c r="Y129" i="24" s="1"/>
  <c r="S103" i="25"/>
  <c r="K103" i="25" s="1"/>
  <c r="V103" i="25" s="1"/>
  <c r="R103" i="25"/>
  <c r="Q103" i="25"/>
  <c r="BZ103" i="25"/>
  <c r="AO103" i="25"/>
  <c r="AE283" i="24"/>
  <c r="AI283" i="24"/>
  <c r="X283" i="24"/>
  <c r="AA283" i="24" s="1"/>
  <c r="AB283" i="24" s="1"/>
  <c r="AC283" i="24" s="1"/>
  <c r="AE274" i="24"/>
  <c r="AI274" i="24"/>
  <c r="X274" i="24"/>
  <c r="AA274" i="24" s="1"/>
  <c r="AB274" i="24" s="1"/>
  <c r="AC274" i="24" s="1"/>
  <c r="AD178" i="25"/>
  <c r="W178" i="25"/>
  <c r="Z178" i="25" s="1"/>
  <c r="AA178" i="25" s="1"/>
  <c r="AB178" i="25" s="1"/>
  <c r="AI178" i="25" s="1"/>
  <c r="AD257" i="25"/>
  <c r="W257" i="25"/>
  <c r="Z257" i="25" s="1"/>
  <c r="AA257" i="25" s="1"/>
  <c r="AB257" i="25" s="1"/>
  <c r="AI257" i="25" s="1"/>
  <c r="V257" i="25"/>
  <c r="X257" i="25" s="1"/>
  <c r="U53" i="25"/>
  <c r="AE128" i="24"/>
  <c r="AI128" i="24"/>
  <c r="X128" i="24"/>
  <c r="AA128" i="24" s="1"/>
  <c r="AB128" i="24" s="1"/>
  <c r="AC128" i="24" s="1"/>
  <c r="S60" i="25"/>
  <c r="K60" i="25" s="1"/>
  <c r="R60" i="25"/>
  <c r="Q60" i="25"/>
  <c r="AO60" i="25"/>
  <c r="BZ60" i="25"/>
  <c r="U219" i="25"/>
  <c r="U289" i="25"/>
  <c r="U209" i="25"/>
  <c r="P247" i="24"/>
  <c r="Q247" i="24"/>
  <c r="AP247" i="24"/>
  <c r="Q315" i="24"/>
  <c r="P315" i="24"/>
  <c r="AP315" i="24"/>
  <c r="U123" i="25"/>
  <c r="U307" i="25"/>
  <c r="AS129" i="25"/>
  <c r="S224" i="25"/>
  <c r="K224" i="25" s="1"/>
  <c r="R224" i="25"/>
  <c r="Q224" i="25"/>
  <c r="AO224" i="25"/>
  <c r="BZ224" i="25"/>
  <c r="AE24" i="24"/>
  <c r="AI24" i="24"/>
  <c r="X24" i="24"/>
  <c r="AA24" i="24" s="1"/>
  <c r="AB24" i="24" s="1"/>
  <c r="AC24" i="24" s="1"/>
  <c r="AE313" i="24"/>
  <c r="AI313" i="24"/>
  <c r="X313" i="24"/>
  <c r="AA313" i="24" s="1"/>
  <c r="AB313" i="24" s="1"/>
  <c r="AC313" i="24" s="1"/>
  <c r="W173" i="24"/>
  <c r="Y173" i="24" s="1"/>
  <c r="W18" i="24"/>
  <c r="Y18" i="24" s="1"/>
  <c r="W104" i="24"/>
  <c r="V104" i="24"/>
  <c r="AE82" i="24"/>
  <c r="AI82" i="24"/>
  <c r="X82" i="24"/>
  <c r="AA82" i="24" s="1"/>
  <c r="AB82" i="24" s="1"/>
  <c r="AC82" i="24" s="1"/>
  <c r="V261" i="25"/>
  <c r="X261" i="25" s="1"/>
  <c r="R290" i="25"/>
  <c r="S290" i="25"/>
  <c r="K290" i="25" s="1"/>
  <c r="Q290" i="25"/>
  <c r="BZ290" i="25"/>
  <c r="AO290" i="25"/>
  <c r="S136" i="25"/>
  <c r="K136" i="25" s="1"/>
  <c r="Q136" i="25"/>
  <c r="R136" i="25"/>
  <c r="AO136" i="25"/>
  <c r="BZ136" i="25"/>
  <c r="W232" i="24"/>
  <c r="V232" i="24"/>
  <c r="AE217" i="24"/>
  <c r="AI217" i="24"/>
  <c r="X217" i="24"/>
  <c r="AA217" i="24" s="1"/>
  <c r="AB217" i="24" s="1"/>
  <c r="AC217" i="24" s="1"/>
  <c r="S67" i="25"/>
  <c r="K67" i="25" s="1"/>
  <c r="R67" i="25"/>
  <c r="Q67" i="25"/>
  <c r="BZ67" i="25"/>
  <c r="AO67" i="25"/>
  <c r="AE20" i="24"/>
  <c r="AI20" i="24"/>
  <c r="X20" i="24"/>
  <c r="AA20" i="24" s="1"/>
  <c r="AB20" i="24" s="1"/>
  <c r="AC20" i="24" s="1"/>
  <c r="P282" i="24"/>
  <c r="Q282" i="24"/>
  <c r="AP282" i="24"/>
  <c r="AJ292" i="24"/>
  <c r="AE145" i="24"/>
  <c r="AI145" i="24"/>
  <c r="X145" i="24"/>
  <c r="AA145" i="24" s="1"/>
  <c r="AB145" i="24" s="1"/>
  <c r="AC145" i="24" s="1"/>
  <c r="R130" i="25"/>
  <c r="S130" i="25"/>
  <c r="K130" i="25" s="1"/>
  <c r="Q130" i="25"/>
  <c r="BZ130" i="25"/>
  <c r="AO130" i="25"/>
  <c r="R165" i="25"/>
  <c r="S165" i="25"/>
  <c r="K165" i="25" s="1"/>
  <c r="V165" i="25" s="1"/>
  <c r="Q165" i="25"/>
  <c r="BZ165" i="25"/>
  <c r="AO165" i="25"/>
  <c r="S266" i="25"/>
  <c r="K266" i="25" s="1"/>
  <c r="V266" i="25" s="1"/>
  <c r="R266" i="25"/>
  <c r="Q266" i="25"/>
  <c r="AO266" i="25"/>
  <c r="BZ266" i="25"/>
  <c r="AE174" i="24"/>
  <c r="AI174" i="24"/>
  <c r="X174" i="24"/>
  <c r="AA174" i="24" s="1"/>
  <c r="AB174" i="24" s="1"/>
  <c r="AC174" i="24" s="1"/>
  <c r="U202" i="25"/>
  <c r="W69" i="24"/>
  <c r="V69" i="24"/>
  <c r="AE178" i="24"/>
  <c r="AI178" i="24"/>
  <c r="X178" i="24"/>
  <c r="AA178" i="24" s="1"/>
  <c r="AB178" i="24" s="1"/>
  <c r="AC178" i="24" s="1"/>
  <c r="S159" i="25"/>
  <c r="K159" i="25" s="1"/>
  <c r="V159" i="25" s="1"/>
  <c r="R159" i="25"/>
  <c r="Q159" i="25"/>
  <c r="AO159" i="25"/>
  <c r="BZ159" i="25"/>
  <c r="V210" i="24"/>
  <c r="W210" i="24"/>
  <c r="AE69" i="24"/>
  <c r="AI69" i="24"/>
  <c r="X69" i="24"/>
  <c r="AA69" i="24" s="1"/>
  <c r="AB69" i="24" s="1"/>
  <c r="AC69" i="24" s="1"/>
  <c r="S63" i="25"/>
  <c r="K63" i="25" s="1"/>
  <c r="V63" i="25" s="1"/>
  <c r="R63" i="25"/>
  <c r="Q63" i="25"/>
  <c r="AO63" i="25"/>
  <c r="BZ63" i="25"/>
  <c r="AE125" i="24"/>
  <c r="AI125" i="24"/>
  <c r="X125" i="24"/>
  <c r="AA125" i="24" s="1"/>
  <c r="AB125" i="24" s="1"/>
  <c r="AC125" i="24" s="1"/>
  <c r="W29" i="24"/>
  <c r="V29" i="24"/>
  <c r="V145" i="24"/>
  <c r="W145" i="24"/>
  <c r="R278" i="25"/>
  <c r="S278" i="25"/>
  <c r="K278" i="25" s="1"/>
  <c r="Q278" i="25"/>
  <c r="BZ278" i="25"/>
  <c r="AO278" i="25"/>
  <c r="U73" i="25"/>
  <c r="AE164" i="24"/>
  <c r="AI164" i="24"/>
  <c r="X164" i="24"/>
  <c r="AA164" i="24" s="1"/>
  <c r="AB164" i="24" s="1"/>
  <c r="AC164" i="24" s="1"/>
  <c r="P174" i="24"/>
  <c r="Q174" i="24"/>
  <c r="AP174" i="24"/>
  <c r="R160" i="25"/>
  <c r="S160" i="25"/>
  <c r="K160" i="25" s="1"/>
  <c r="V160" i="25" s="1"/>
  <c r="Q160" i="25"/>
  <c r="AO160" i="25"/>
  <c r="BZ160" i="25"/>
  <c r="W202" i="24"/>
  <c r="Y202" i="24" s="1"/>
  <c r="AD174" i="25"/>
  <c r="W174" i="25"/>
  <c r="Z174" i="25" s="1"/>
  <c r="AA174" i="25" s="1"/>
  <c r="AB174" i="25" s="1"/>
  <c r="AI174" i="25" s="1"/>
  <c r="W287" i="24"/>
  <c r="Y287" i="24" s="1"/>
  <c r="R61" i="25"/>
  <c r="S61" i="25"/>
  <c r="K61" i="25" s="1"/>
  <c r="Q61" i="25"/>
  <c r="BZ61" i="25"/>
  <c r="AO61" i="25"/>
  <c r="S100" i="25"/>
  <c r="K100" i="25" s="1"/>
  <c r="R100" i="25"/>
  <c r="Q100" i="25"/>
  <c r="AO100" i="25"/>
  <c r="BZ100" i="25"/>
  <c r="V239" i="24"/>
  <c r="W239" i="24"/>
  <c r="R153" i="25"/>
  <c r="S153" i="25"/>
  <c r="K153" i="25" s="1"/>
  <c r="Q153" i="25"/>
  <c r="AO153" i="25"/>
  <c r="BZ153" i="25"/>
  <c r="AE54" i="24"/>
  <c r="AI54" i="24"/>
  <c r="X54" i="24"/>
  <c r="AA54" i="24" s="1"/>
  <c r="AB54" i="24" s="1"/>
  <c r="AC54" i="24" s="1"/>
  <c r="AE167" i="24"/>
  <c r="AI167" i="24"/>
  <c r="W167" i="24"/>
  <c r="Y167" i="24" s="1"/>
  <c r="X167" i="24"/>
  <c r="AA167" i="24" s="1"/>
  <c r="AB167" i="24" s="1"/>
  <c r="AC167" i="24" s="1"/>
  <c r="Q113" i="24"/>
  <c r="P113" i="24"/>
  <c r="AP113" i="24"/>
  <c r="R264" i="25"/>
  <c r="S264" i="25"/>
  <c r="K264" i="25" s="1"/>
  <c r="Q264" i="25"/>
  <c r="BZ264" i="25"/>
  <c r="AO264" i="25"/>
  <c r="R194" i="25"/>
  <c r="S194" i="25"/>
  <c r="K194" i="25" s="1"/>
  <c r="V194" i="25" s="1"/>
  <c r="Q194" i="25"/>
  <c r="AO194" i="25"/>
  <c r="BZ194" i="25"/>
  <c r="U23" i="25"/>
  <c r="R268" i="25"/>
  <c r="S268" i="25"/>
  <c r="K268" i="25" s="1"/>
  <c r="Q268" i="25"/>
  <c r="AO268" i="25"/>
  <c r="BZ268" i="25"/>
  <c r="V283" i="24"/>
  <c r="W283" i="24"/>
  <c r="V306" i="25"/>
  <c r="X306" i="25" s="1"/>
  <c r="W180" i="24"/>
  <c r="Y180" i="24" s="1"/>
  <c r="R98" i="25"/>
  <c r="S98" i="25"/>
  <c r="K98" i="25" s="1"/>
  <c r="Q98" i="25"/>
  <c r="AO98" i="25"/>
  <c r="BZ98" i="25"/>
  <c r="AE237" i="24"/>
  <c r="AI237" i="24"/>
  <c r="X237" i="24"/>
  <c r="AA237" i="24" s="1"/>
  <c r="AB237" i="24" s="1"/>
  <c r="AC237" i="24" s="1"/>
  <c r="AE196" i="24"/>
  <c r="AI196" i="24"/>
  <c r="X196" i="24"/>
  <c r="AA196" i="24" s="1"/>
  <c r="AB196" i="24" s="1"/>
  <c r="AC196" i="24" s="1"/>
  <c r="U72" i="25"/>
  <c r="AE30" i="24"/>
  <c r="AI30" i="24"/>
  <c r="X30" i="24"/>
  <c r="AA30" i="24" s="1"/>
  <c r="AB30" i="24" s="1"/>
  <c r="AC30" i="24" s="1"/>
  <c r="W118" i="24"/>
  <c r="Y118" i="24" s="1"/>
  <c r="AE234" i="24"/>
  <c r="AI234" i="24"/>
  <c r="X234" i="24"/>
  <c r="AA234" i="24" s="1"/>
  <c r="AB234" i="24" s="1"/>
  <c r="AC234" i="24" s="1"/>
  <c r="AE290" i="24"/>
  <c r="AI290" i="24"/>
  <c r="X290" i="24"/>
  <c r="AA290" i="24" s="1"/>
  <c r="AB290" i="24" s="1"/>
  <c r="AC290" i="24" s="1"/>
  <c r="Q39" i="24"/>
  <c r="R39" i="24" s="1"/>
  <c r="P39" i="24"/>
  <c r="AP39" i="24"/>
  <c r="AE64" i="24"/>
  <c r="AI64" i="24"/>
  <c r="X64" i="24"/>
  <c r="AA64" i="24" s="1"/>
  <c r="AB64" i="24" s="1"/>
  <c r="AC64" i="24" s="1"/>
  <c r="V229" i="24"/>
  <c r="W229" i="24"/>
  <c r="W155" i="24"/>
  <c r="Y155" i="24" s="1"/>
  <c r="U183" i="25"/>
  <c r="S83" i="25"/>
  <c r="K83" i="25" s="1"/>
  <c r="R83" i="25"/>
  <c r="Q83" i="25"/>
  <c r="BZ83" i="25"/>
  <c r="AO83" i="25"/>
  <c r="AE185" i="24"/>
  <c r="AI185" i="24"/>
  <c r="X185" i="24"/>
  <c r="AA185" i="24" s="1"/>
  <c r="AB185" i="24" s="1"/>
  <c r="AC185" i="24" s="1"/>
  <c r="AE300" i="24"/>
  <c r="AI300" i="24"/>
  <c r="X300" i="24"/>
  <c r="AA300" i="24" s="1"/>
  <c r="AB300" i="24" s="1"/>
  <c r="AC300" i="24" s="1"/>
  <c r="V299" i="24"/>
  <c r="W299" i="24"/>
  <c r="AE261" i="24"/>
  <c r="AI261" i="24"/>
  <c r="X261" i="24"/>
  <c r="AA261" i="24" s="1"/>
  <c r="AB261" i="24" s="1"/>
  <c r="AC261" i="24" s="1"/>
  <c r="U38" i="25"/>
  <c r="AE269" i="24"/>
  <c r="AI269" i="24"/>
  <c r="X269" i="24"/>
  <c r="AA269" i="24" s="1"/>
  <c r="AB269" i="24" s="1"/>
  <c r="AC269" i="24" s="1"/>
  <c r="U140" i="25"/>
  <c r="AE144" i="24"/>
  <c r="AI144" i="24"/>
  <c r="X144" i="24"/>
  <c r="AA144" i="24" s="1"/>
  <c r="AB144" i="24" s="1"/>
  <c r="AC144" i="24" s="1"/>
  <c r="AE58" i="24"/>
  <c r="AI58" i="24"/>
  <c r="X58" i="24"/>
  <c r="AA58" i="24" s="1"/>
  <c r="AB58" i="24" s="1"/>
  <c r="AC58" i="24" s="1"/>
  <c r="AE219" i="24"/>
  <c r="AI219" i="24"/>
  <c r="X219" i="24"/>
  <c r="AA219" i="24" s="1"/>
  <c r="AB219" i="24" s="1"/>
  <c r="AC219" i="24" s="1"/>
  <c r="V58" i="24"/>
  <c r="W58" i="24"/>
  <c r="AE134" i="24"/>
  <c r="AI134" i="24"/>
  <c r="W134" i="24"/>
  <c r="Y134" i="24" s="1"/>
  <c r="X134" i="24"/>
  <c r="AA134" i="24" s="1"/>
  <c r="AB134" i="24" s="1"/>
  <c r="AC134" i="24" s="1"/>
  <c r="S16" i="25"/>
  <c r="K16" i="25" s="1"/>
  <c r="R16" i="25"/>
  <c r="Q16" i="25"/>
  <c r="BZ16" i="25"/>
  <c r="AO16" i="25"/>
  <c r="W159" i="24"/>
  <c r="V159" i="24"/>
  <c r="AD283" i="25"/>
  <c r="W283" i="25"/>
  <c r="Z283" i="25" s="1"/>
  <c r="AA283" i="25" s="1"/>
  <c r="AB283" i="25" s="1"/>
  <c r="AI283" i="25" s="1"/>
  <c r="S38" i="25"/>
  <c r="K38" i="25" s="1"/>
  <c r="V38" i="25" s="1"/>
  <c r="R38" i="25"/>
  <c r="Q38" i="25"/>
  <c r="BZ38" i="25"/>
  <c r="AO38" i="25"/>
  <c r="AJ22" i="24"/>
  <c r="R128" i="25"/>
  <c r="S128" i="25"/>
  <c r="K128" i="25" s="1"/>
  <c r="Q128" i="25"/>
  <c r="AO128" i="25"/>
  <c r="BZ128" i="25"/>
  <c r="W245" i="24"/>
  <c r="V245" i="24"/>
  <c r="R140" i="25"/>
  <c r="S140" i="25"/>
  <c r="K140" i="25" s="1"/>
  <c r="V140" i="25" s="1"/>
  <c r="Q140" i="25"/>
  <c r="BZ140" i="25"/>
  <c r="AO140" i="25"/>
  <c r="S227" i="25"/>
  <c r="K227" i="25" s="1"/>
  <c r="R227" i="25"/>
  <c r="Q227" i="25"/>
  <c r="AO227" i="25"/>
  <c r="BZ227" i="25"/>
  <c r="AE42" i="24"/>
  <c r="AI42" i="24"/>
  <c r="X42" i="24"/>
  <c r="AA42" i="24" s="1"/>
  <c r="AB42" i="24" s="1"/>
  <c r="AC42" i="24" s="1"/>
  <c r="R37" i="25"/>
  <c r="S37" i="25"/>
  <c r="K37" i="25" s="1"/>
  <c r="Q37" i="25"/>
  <c r="AO37" i="25"/>
  <c r="BZ37" i="25"/>
  <c r="AE220" i="24"/>
  <c r="AI220" i="24"/>
  <c r="X220" i="24"/>
  <c r="AA220" i="24" s="1"/>
  <c r="AB220" i="24" s="1"/>
  <c r="AC220" i="24" s="1"/>
  <c r="Q58" i="24"/>
  <c r="R58" i="24" s="1"/>
  <c r="P58" i="24"/>
  <c r="AP58" i="24"/>
  <c r="AE83" i="24"/>
  <c r="AI83" i="24"/>
  <c r="X83" i="24"/>
  <c r="AA83" i="24" s="1"/>
  <c r="AB83" i="24" s="1"/>
  <c r="AC83" i="24" s="1"/>
  <c r="V260" i="24"/>
  <c r="W260" i="24"/>
  <c r="W289" i="24"/>
  <c r="Y289" i="24" s="1"/>
  <c r="R311" i="25"/>
  <c r="S311" i="25"/>
  <c r="K311" i="25" s="1"/>
  <c r="Q311" i="25"/>
  <c r="BZ311" i="25"/>
  <c r="AO311" i="25"/>
  <c r="R309" i="25"/>
  <c r="S309" i="25"/>
  <c r="K309" i="25" s="1"/>
  <c r="Q309" i="25"/>
  <c r="BZ309" i="25"/>
  <c r="AO309" i="25"/>
  <c r="AE224" i="24"/>
  <c r="AI224" i="24"/>
  <c r="X224" i="24"/>
  <c r="AA224" i="24" s="1"/>
  <c r="AB224" i="24" s="1"/>
  <c r="AC224" i="24" s="1"/>
  <c r="AD282" i="25"/>
  <c r="W282" i="25"/>
  <c r="Z282" i="25" s="1"/>
  <c r="AA282" i="25" s="1"/>
  <c r="AB282" i="25" s="1"/>
  <c r="AI282" i="25" s="1"/>
  <c r="R35" i="25"/>
  <c r="S35" i="25"/>
  <c r="K35" i="25" s="1"/>
  <c r="Q35" i="25"/>
  <c r="BZ35" i="25"/>
  <c r="AO35" i="25"/>
  <c r="AE9" i="24"/>
  <c r="AI9" i="24"/>
  <c r="X9" i="24"/>
  <c r="AA9" i="24" s="1"/>
  <c r="AB9" i="24" s="1"/>
  <c r="AC9" i="24" s="1"/>
  <c r="W189" i="24"/>
  <c r="Y189" i="24" s="1"/>
  <c r="U12" i="25"/>
  <c r="W42" i="24"/>
  <c r="V42" i="24"/>
  <c r="B117" i="2"/>
  <c r="U210" i="25"/>
  <c r="U313" i="25"/>
  <c r="AG41" i="24"/>
  <c r="AF41" i="24"/>
  <c r="AE181" i="24"/>
  <c r="AI181" i="24"/>
  <c r="X181" i="24"/>
  <c r="AA181" i="24" s="1"/>
  <c r="AB181" i="24" s="1"/>
  <c r="AC181" i="24" s="1"/>
  <c r="S301" i="25"/>
  <c r="K301" i="25" s="1"/>
  <c r="R301" i="25"/>
  <c r="Q301" i="25"/>
  <c r="AO301" i="25"/>
  <c r="BZ301" i="25"/>
  <c r="W111" i="24"/>
  <c r="V111" i="24"/>
  <c r="W186" i="24"/>
  <c r="V186" i="24"/>
  <c r="AD186" i="25"/>
  <c r="W186" i="25"/>
  <c r="Z186" i="25" s="1"/>
  <c r="AA186" i="25" s="1"/>
  <c r="AB186" i="25" s="1"/>
  <c r="AI186" i="25" s="1"/>
  <c r="V186" i="25"/>
  <c r="X186" i="25" s="1"/>
  <c r="S241" i="25"/>
  <c r="K241" i="25" s="1"/>
  <c r="R241" i="25"/>
  <c r="Q241" i="25"/>
  <c r="BZ241" i="25"/>
  <c r="AO241" i="25"/>
  <c r="AD229" i="25"/>
  <c r="W229" i="25"/>
  <c r="Z229" i="25" s="1"/>
  <c r="AA229" i="25" s="1"/>
  <c r="AB229" i="25" s="1"/>
  <c r="AI229" i="25" s="1"/>
  <c r="W258" i="24"/>
  <c r="Y258" i="24" s="1"/>
  <c r="W135" i="24"/>
  <c r="V135" i="24"/>
  <c r="U217" i="25"/>
  <c r="AE133" i="24"/>
  <c r="AI133" i="24"/>
  <c r="X133" i="24"/>
  <c r="AA133" i="24" s="1"/>
  <c r="AB133" i="24" s="1"/>
  <c r="AC133" i="24" s="1"/>
  <c r="R10" i="25"/>
  <c r="S10" i="25"/>
  <c r="K10" i="25" s="1"/>
  <c r="V10" i="25" s="1"/>
  <c r="Q10" i="25"/>
  <c r="AO10" i="25"/>
  <c r="BZ10" i="25"/>
  <c r="R166" i="25"/>
  <c r="S166" i="25"/>
  <c r="K166" i="25" s="1"/>
  <c r="Q166" i="25"/>
  <c r="BZ166" i="25"/>
  <c r="AO166" i="25"/>
  <c r="U181" i="25"/>
  <c r="AE33" i="24"/>
  <c r="AI33" i="24"/>
  <c r="X33" i="24"/>
  <c r="AA33" i="24" s="1"/>
  <c r="AB33" i="24" s="1"/>
  <c r="AC33" i="24" s="1"/>
  <c r="AD113" i="25"/>
  <c r="W113" i="25"/>
  <c r="Z113" i="25" s="1"/>
  <c r="AA113" i="25" s="1"/>
  <c r="AB113" i="25" s="1"/>
  <c r="AI113" i="25" s="1"/>
  <c r="AE67" i="24"/>
  <c r="AI67" i="24"/>
  <c r="X67" i="24"/>
  <c r="AA67" i="24" s="1"/>
  <c r="AB67" i="24" s="1"/>
  <c r="AC67" i="24" s="1"/>
  <c r="U63" i="25"/>
  <c r="R195" i="25"/>
  <c r="S195" i="25"/>
  <c r="K195" i="25" s="1"/>
  <c r="Q195" i="25"/>
  <c r="AO195" i="25"/>
  <c r="BZ195" i="25"/>
  <c r="V114" i="25"/>
  <c r="X114" i="25" s="1"/>
  <c r="AE98" i="24"/>
  <c r="AI98" i="24"/>
  <c r="X98" i="24"/>
  <c r="AA98" i="24" s="1"/>
  <c r="AB98" i="24" s="1"/>
  <c r="AC98" i="24" s="1"/>
  <c r="AE91" i="24"/>
  <c r="AI91" i="24"/>
  <c r="X91" i="24"/>
  <c r="AA91" i="24" s="1"/>
  <c r="AB91" i="24" s="1"/>
  <c r="AC91" i="24" s="1"/>
  <c r="R219" i="25"/>
  <c r="S219" i="25"/>
  <c r="K219" i="25" s="1"/>
  <c r="Q219" i="25"/>
  <c r="AO219" i="25"/>
  <c r="BZ219" i="25"/>
  <c r="U277" i="25"/>
  <c r="S209" i="25"/>
  <c r="K209" i="25" s="1"/>
  <c r="V209" i="25" s="1"/>
  <c r="R209" i="25"/>
  <c r="Q209" i="25"/>
  <c r="BZ209" i="25"/>
  <c r="AO209" i="25"/>
  <c r="AE86" i="24"/>
  <c r="AI86" i="24"/>
  <c r="X86" i="24"/>
  <c r="AA86" i="24" s="1"/>
  <c r="AB86" i="24" s="1"/>
  <c r="AC86" i="24" s="1"/>
  <c r="AE197" i="24"/>
  <c r="AI197" i="24"/>
  <c r="X197" i="24"/>
  <c r="AA197" i="24" s="1"/>
  <c r="AB197" i="24" s="1"/>
  <c r="AC197" i="24" s="1"/>
  <c r="V184" i="24"/>
  <c r="W184" i="24"/>
  <c r="R123" i="25"/>
  <c r="S123" i="25"/>
  <c r="K123" i="25" s="1"/>
  <c r="V123" i="25" s="1"/>
  <c r="Q123" i="25"/>
  <c r="AO123" i="25"/>
  <c r="BZ123" i="25"/>
  <c r="R307" i="25"/>
  <c r="S307" i="25"/>
  <c r="K307" i="25" s="1"/>
  <c r="V307" i="25" s="1"/>
  <c r="Q307" i="25"/>
  <c r="BZ307" i="25"/>
  <c r="AO307" i="25"/>
  <c r="W76" i="24"/>
  <c r="Y76" i="24" s="1"/>
  <c r="AF129" i="25"/>
  <c r="AE129" i="25"/>
  <c r="V148" i="24"/>
  <c r="W148" i="24"/>
  <c r="R175" i="25"/>
  <c r="S175" i="25"/>
  <c r="K175" i="25" s="1"/>
  <c r="V175" i="25" s="1"/>
  <c r="Q175" i="25"/>
  <c r="BZ175" i="25"/>
  <c r="AO175" i="25"/>
  <c r="AE316" i="24"/>
  <c r="AI316" i="24"/>
  <c r="X316" i="24"/>
  <c r="AA316" i="24" s="1"/>
  <c r="AB316" i="24" s="1"/>
  <c r="AC316" i="24" s="1"/>
  <c r="W228" i="24"/>
  <c r="V228" i="24"/>
  <c r="V259" i="25"/>
  <c r="X259" i="25" s="1"/>
  <c r="AD238" i="25"/>
  <c r="W238" i="25"/>
  <c r="Z238" i="25" s="1"/>
  <c r="AA238" i="25" s="1"/>
  <c r="AB238" i="25" s="1"/>
  <c r="AI238" i="25" s="1"/>
  <c r="AD173" i="25"/>
  <c r="W173" i="25"/>
  <c r="Z173" i="25" s="1"/>
  <c r="AA173" i="25" s="1"/>
  <c r="AB173" i="25" s="1"/>
  <c r="AI173" i="25" s="1"/>
  <c r="W14" i="24"/>
  <c r="Y14" i="24" s="1"/>
  <c r="S24" i="25"/>
  <c r="K24" i="25" s="1"/>
  <c r="R24" i="25"/>
  <c r="Q24" i="25"/>
  <c r="BZ24" i="25"/>
  <c r="AO24" i="25"/>
  <c r="AE301" i="24"/>
  <c r="AI301" i="24"/>
  <c r="X301" i="24"/>
  <c r="AA301" i="24" s="1"/>
  <c r="AB301" i="24" s="1"/>
  <c r="AC301" i="24" s="1"/>
  <c r="AE17" i="24"/>
  <c r="AI17" i="24"/>
  <c r="X17" i="24"/>
  <c r="AA17" i="24" s="1"/>
  <c r="AB17" i="24" s="1"/>
  <c r="AC17" i="24" s="1"/>
  <c r="P232" i="24"/>
  <c r="Q232" i="24"/>
  <c r="AP232" i="24"/>
  <c r="AE315" i="24"/>
  <c r="AI315" i="24"/>
  <c r="X315" i="24"/>
  <c r="AA315" i="24" s="1"/>
  <c r="AB315" i="24" s="1"/>
  <c r="AC315" i="24" s="1"/>
  <c r="AE127" i="24"/>
  <c r="AI127" i="24"/>
  <c r="X127" i="24"/>
  <c r="AA127" i="24" s="1"/>
  <c r="AB127" i="24" s="1"/>
  <c r="AC127" i="24" s="1"/>
  <c r="R176" i="25"/>
  <c r="S176" i="25"/>
  <c r="K176" i="25" s="1"/>
  <c r="Q176" i="25"/>
  <c r="AO176" i="25"/>
  <c r="BZ176" i="25"/>
  <c r="AG292" i="24"/>
  <c r="AF292" i="24"/>
  <c r="AE193" i="24"/>
  <c r="AI193" i="24"/>
  <c r="X193" i="24"/>
  <c r="AA193" i="24" s="1"/>
  <c r="AB193" i="24" s="1"/>
  <c r="AC193" i="24" s="1"/>
  <c r="W188" i="24"/>
  <c r="Y188" i="24" s="1"/>
  <c r="AD62" i="25"/>
  <c r="W62" i="25"/>
  <c r="Z62" i="25" s="1"/>
  <c r="AA62" i="25" s="1"/>
  <c r="AB62" i="25" s="1"/>
  <c r="AI62" i="25" s="1"/>
  <c r="W284" i="24"/>
  <c r="Y284" i="24" s="1"/>
  <c r="V206" i="25"/>
  <c r="X206" i="25" s="1"/>
  <c r="W218" i="24"/>
  <c r="Y218" i="24" s="1"/>
  <c r="U226" i="25"/>
  <c r="R36" i="25"/>
  <c r="S36" i="25"/>
  <c r="K36" i="25" s="1"/>
  <c r="Q36" i="25"/>
  <c r="AO36" i="25"/>
  <c r="BZ36" i="25"/>
  <c r="AE244" i="24"/>
  <c r="AI244" i="24"/>
  <c r="X244" i="24"/>
  <c r="AA244" i="24" s="1"/>
  <c r="AB244" i="24" s="1"/>
  <c r="AC244" i="24" s="1"/>
  <c r="W269" i="24"/>
  <c r="Y269" i="24" s="1"/>
  <c r="AD296" i="25"/>
  <c r="W296" i="25"/>
  <c r="Z296" i="25" s="1"/>
  <c r="AA296" i="25" s="1"/>
  <c r="AB296" i="25" s="1"/>
  <c r="AI296" i="25" s="1"/>
  <c r="V296" i="25"/>
  <c r="X296" i="25" s="1"/>
  <c r="W172" i="24"/>
  <c r="Y172" i="24" s="1"/>
  <c r="Q210" i="24"/>
  <c r="P210" i="24"/>
  <c r="AP210" i="24"/>
  <c r="R137" i="25"/>
  <c r="S137" i="25"/>
  <c r="K137" i="25" s="1"/>
  <c r="Q137" i="25"/>
  <c r="AO137" i="25"/>
  <c r="BZ137" i="25"/>
  <c r="V222" i="24"/>
  <c r="W222" i="24"/>
  <c r="AE262" i="24"/>
  <c r="AI262" i="24"/>
  <c r="X262" i="24"/>
  <c r="AA262" i="24" s="1"/>
  <c r="AB262" i="24" s="1"/>
  <c r="AC262" i="24" s="1"/>
  <c r="AE80" i="24"/>
  <c r="AI80" i="24"/>
  <c r="X80" i="24"/>
  <c r="AA80" i="24" s="1"/>
  <c r="AB80" i="24" s="1"/>
  <c r="AC80" i="24" s="1"/>
  <c r="AJ236" i="24"/>
  <c r="U203" i="25"/>
  <c r="AE306" i="24"/>
  <c r="AI306" i="24"/>
  <c r="X306" i="24"/>
  <c r="AA306" i="24" s="1"/>
  <c r="AB306" i="24" s="1"/>
  <c r="AC306" i="24" s="1"/>
  <c r="P29" i="24"/>
  <c r="Q29" i="24"/>
  <c r="R29" i="24" s="1"/>
  <c r="AP29" i="24"/>
  <c r="P145" i="24"/>
  <c r="Q145" i="24"/>
  <c r="AP145" i="24"/>
  <c r="AE92" i="24"/>
  <c r="AI92" i="24"/>
  <c r="X92" i="24"/>
  <c r="AA92" i="24" s="1"/>
  <c r="AB92" i="24" s="1"/>
  <c r="AC92" i="24" s="1"/>
  <c r="AE51" i="24"/>
  <c r="AI51" i="24"/>
  <c r="X51" i="24"/>
  <c r="AA51" i="24" s="1"/>
  <c r="AB51" i="24" s="1"/>
  <c r="AC51" i="24" s="1"/>
  <c r="R73" i="25"/>
  <c r="S73" i="25"/>
  <c r="K73" i="25" s="1"/>
  <c r="V73" i="25" s="1"/>
  <c r="Q73" i="25"/>
  <c r="AO73" i="25"/>
  <c r="BZ73" i="25"/>
  <c r="R187" i="25"/>
  <c r="S187" i="25"/>
  <c r="K187" i="25" s="1"/>
  <c r="V187" i="25" s="1"/>
  <c r="Q187" i="25"/>
  <c r="BZ187" i="25"/>
  <c r="AO187" i="25"/>
  <c r="AE39" i="24"/>
  <c r="AI39" i="24"/>
  <c r="X39" i="24"/>
  <c r="AA39" i="24" s="1"/>
  <c r="AB39" i="24" s="1"/>
  <c r="AC39" i="24" s="1"/>
  <c r="AJ142" i="24"/>
  <c r="AE229" i="24"/>
  <c r="AI229" i="24"/>
  <c r="X229" i="24"/>
  <c r="AA229" i="24" s="1"/>
  <c r="AB229" i="24" s="1"/>
  <c r="AC229" i="24" s="1"/>
  <c r="AE111" i="24"/>
  <c r="AI111" i="24"/>
  <c r="X111" i="24"/>
  <c r="AA111" i="24" s="1"/>
  <c r="AB111" i="24" s="1"/>
  <c r="AC111" i="24" s="1"/>
  <c r="W116" i="24"/>
  <c r="Y116" i="24" s="1"/>
  <c r="W67" i="24"/>
  <c r="Y67" i="24" s="1"/>
  <c r="W92" i="24"/>
  <c r="V92" i="24"/>
  <c r="AE46" i="24"/>
  <c r="AI46" i="24"/>
  <c r="X46" i="24"/>
  <c r="AA46" i="24" s="1"/>
  <c r="AB46" i="24" s="1"/>
  <c r="AC46" i="24" s="1"/>
  <c r="W6" i="24"/>
  <c r="Y6" i="24" s="1"/>
  <c r="W277" i="24"/>
  <c r="V277" i="24"/>
  <c r="Q239" i="24"/>
  <c r="P239" i="24"/>
  <c r="AP239" i="24"/>
  <c r="W38" i="24"/>
  <c r="V38" i="24"/>
  <c r="R47" i="25"/>
  <c r="S47" i="25"/>
  <c r="K47" i="25" s="1"/>
  <c r="V47" i="25" s="1"/>
  <c r="Q47" i="25"/>
  <c r="AO47" i="25"/>
  <c r="BZ47" i="25"/>
  <c r="AE259" i="24"/>
  <c r="AI259" i="24"/>
  <c r="X259" i="24"/>
  <c r="AA259" i="24" s="1"/>
  <c r="AB259" i="24" s="1"/>
  <c r="AC259" i="24" s="1"/>
  <c r="S23" i="25"/>
  <c r="K23" i="25" s="1"/>
  <c r="R23" i="25"/>
  <c r="Q23" i="25"/>
  <c r="AO23" i="25"/>
  <c r="BZ23" i="25"/>
  <c r="V57" i="24"/>
  <c r="W57" i="24"/>
  <c r="U272" i="25"/>
  <c r="AE126" i="24"/>
  <c r="AI126" i="24"/>
  <c r="X126" i="24"/>
  <c r="AA126" i="24" s="1"/>
  <c r="AB126" i="24" s="1"/>
  <c r="AC126" i="24" s="1"/>
  <c r="V235" i="24"/>
  <c r="W235" i="24"/>
  <c r="W193" i="24"/>
  <c r="Y193" i="24" s="1"/>
  <c r="AD248" i="25"/>
  <c r="W248" i="25"/>
  <c r="Z248" i="25" s="1"/>
  <c r="AA248" i="25" s="1"/>
  <c r="AB248" i="25" s="1"/>
  <c r="AI248" i="25" s="1"/>
  <c r="V174" i="25"/>
  <c r="X174" i="25" s="1"/>
  <c r="AD204" i="25"/>
  <c r="W204" i="25"/>
  <c r="Z204" i="25" s="1"/>
  <c r="AA204" i="25" s="1"/>
  <c r="AB204" i="25" s="1"/>
  <c r="AI204" i="25" s="1"/>
  <c r="S80" i="25"/>
  <c r="K80" i="25" s="1"/>
  <c r="R80" i="25"/>
  <c r="Q80" i="25"/>
  <c r="AO80" i="25"/>
  <c r="BZ80" i="25"/>
  <c r="R310" i="25"/>
  <c r="S310" i="25"/>
  <c r="K310" i="25" s="1"/>
  <c r="Q310" i="25"/>
  <c r="AO310" i="25"/>
  <c r="BZ310" i="25"/>
  <c r="FJ211" i="25"/>
  <c r="R54" i="25"/>
  <c r="S54" i="25"/>
  <c r="K54" i="25" s="1"/>
  <c r="Q54" i="25"/>
  <c r="BZ54" i="25"/>
  <c r="AO54" i="25"/>
  <c r="S72" i="25"/>
  <c r="K72" i="25" s="1"/>
  <c r="R72" i="25"/>
  <c r="Q72" i="25"/>
  <c r="AO72" i="25"/>
  <c r="BZ72" i="25"/>
  <c r="R65" i="25"/>
  <c r="S65" i="25"/>
  <c r="K65" i="25" s="1"/>
  <c r="Q65" i="25"/>
  <c r="BZ65" i="25"/>
  <c r="AO65" i="25"/>
  <c r="U225" i="25"/>
  <c r="W291" i="24"/>
  <c r="V291" i="24"/>
  <c r="V100" i="24"/>
  <c r="W100" i="24"/>
  <c r="W266" i="24"/>
  <c r="V266" i="24"/>
  <c r="Q229" i="24"/>
  <c r="P229" i="24"/>
  <c r="AP229" i="24"/>
  <c r="AE88" i="24"/>
  <c r="AI88" i="24"/>
  <c r="W88" i="24"/>
  <c r="Y88" i="24" s="1"/>
  <c r="X88" i="24"/>
  <c r="AA88" i="24" s="1"/>
  <c r="AB88" i="24" s="1"/>
  <c r="AC88" i="24" s="1"/>
  <c r="AE170" i="24"/>
  <c r="AI170" i="24"/>
  <c r="X170" i="24"/>
  <c r="AA170" i="24" s="1"/>
  <c r="AB170" i="24" s="1"/>
  <c r="AC170" i="24" s="1"/>
  <c r="AD247" i="25"/>
  <c r="W247" i="25"/>
  <c r="Z247" i="25" s="1"/>
  <c r="AA247" i="25" s="1"/>
  <c r="AB247" i="25" s="1"/>
  <c r="AI247" i="25" s="1"/>
  <c r="R149" i="25"/>
  <c r="S149" i="25"/>
  <c r="K149" i="25" s="1"/>
  <c r="Q149" i="25"/>
  <c r="AO149" i="25"/>
  <c r="BZ149" i="25"/>
  <c r="AG22" i="24"/>
  <c r="AF22" i="24"/>
  <c r="W80" i="24"/>
  <c r="V80" i="24"/>
  <c r="AE241" i="24"/>
  <c r="AI241" i="24"/>
  <c r="X241" i="24"/>
  <c r="AA241" i="24" s="1"/>
  <c r="AB241" i="24" s="1"/>
  <c r="AC241" i="24" s="1"/>
  <c r="AE66" i="24"/>
  <c r="AI66" i="24"/>
  <c r="X66" i="24"/>
  <c r="AA66" i="24" s="1"/>
  <c r="AB66" i="24" s="1"/>
  <c r="AC66" i="24" s="1"/>
  <c r="AG190" i="24"/>
  <c r="AF190" i="24"/>
  <c r="R263" i="25"/>
  <c r="S263" i="25"/>
  <c r="K263" i="25" s="1"/>
  <c r="Q263" i="25"/>
  <c r="AO263" i="25"/>
  <c r="BZ263" i="25"/>
  <c r="U90" i="25"/>
  <c r="U125" i="25"/>
  <c r="U297" i="25"/>
  <c r="AE279" i="24"/>
  <c r="AI279" i="24"/>
  <c r="X279" i="24"/>
  <c r="AA279" i="24" s="1"/>
  <c r="AB279" i="24" s="1"/>
  <c r="AC279" i="24" s="1"/>
  <c r="P260" i="24"/>
  <c r="Q260" i="24"/>
  <c r="AP260" i="24"/>
  <c r="S101" i="25"/>
  <c r="K101" i="25" s="1"/>
  <c r="V101" i="25" s="1"/>
  <c r="R101" i="25"/>
  <c r="Q101" i="25"/>
  <c r="AO101" i="25"/>
  <c r="BZ101" i="25"/>
  <c r="AD31" i="25"/>
  <c r="W31" i="25"/>
  <c r="Z31" i="25" s="1"/>
  <c r="AA31" i="25" s="1"/>
  <c r="AB31" i="25" s="1"/>
  <c r="AI31" i="25" s="1"/>
  <c r="V112" i="24"/>
  <c r="W112" i="24"/>
  <c r="AE230" i="24"/>
  <c r="AI230" i="24"/>
  <c r="X230" i="24"/>
  <c r="AA230" i="24" s="1"/>
  <c r="AB230" i="24" s="1"/>
  <c r="AC230" i="24" s="1"/>
  <c r="U75" i="25"/>
  <c r="AE247" i="24"/>
  <c r="AI247" i="24"/>
  <c r="X247" i="24"/>
  <c r="AA247" i="24" s="1"/>
  <c r="AB247" i="24" s="1"/>
  <c r="AC247" i="24" s="1"/>
  <c r="AE182" i="24"/>
  <c r="AI182" i="24"/>
  <c r="X182" i="24"/>
  <c r="AA182" i="24" s="1"/>
  <c r="AB182" i="24" s="1"/>
  <c r="AC182" i="24" s="1"/>
  <c r="V9" i="24"/>
  <c r="W9" i="24"/>
  <c r="S12" i="25"/>
  <c r="K12" i="25" s="1"/>
  <c r="R12" i="25"/>
  <c r="Q12" i="25"/>
  <c r="AO12" i="25"/>
  <c r="BZ12" i="25"/>
  <c r="W131" i="24"/>
  <c r="V131" i="24"/>
  <c r="P42" i="24"/>
  <c r="Q42" i="24"/>
  <c r="R42" i="24" s="1"/>
  <c r="AP42" i="24"/>
  <c r="AE249" i="24"/>
  <c r="AI249" i="24"/>
  <c r="X249" i="24"/>
  <c r="AA249" i="24" s="1"/>
  <c r="AB249" i="24" s="1"/>
  <c r="AC249" i="24" s="1"/>
  <c r="V123" i="24"/>
  <c r="W123" i="24"/>
  <c r="U84" i="25"/>
  <c r="S313" i="25"/>
  <c r="K313" i="25" s="1"/>
  <c r="R313" i="25"/>
  <c r="Q313" i="25"/>
  <c r="AO313" i="25"/>
  <c r="BZ313" i="25"/>
  <c r="AE163" i="24"/>
  <c r="AI163" i="24"/>
  <c r="X163" i="24"/>
  <c r="AA163" i="24" s="1"/>
  <c r="AB163" i="24" s="1"/>
  <c r="AC163" i="24" s="1"/>
  <c r="S48" i="25"/>
  <c r="K48" i="25" s="1"/>
  <c r="R48" i="25"/>
  <c r="Q48" i="25"/>
  <c r="BZ48" i="25"/>
  <c r="AO48" i="25"/>
  <c r="V34" i="25"/>
  <c r="X34" i="25" s="1"/>
  <c r="U228" i="25"/>
  <c r="W280" i="24"/>
  <c r="V280" i="24"/>
  <c r="AD201" i="25"/>
  <c r="W201" i="25"/>
  <c r="Z201" i="25" s="1"/>
  <c r="AA201" i="25" s="1"/>
  <c r="AB201" i="25" s="1"/>
  <c r="AI201" i="25" s="1"/>
  <c r="AE50" i="24"/>
  <c r="AI50" i="24"/>
  <c r="X50" i="24"/>
  <c r="AA50" i="24" s="1"/>
  <c r="AB50" i="24" s="1"/>
  <c r="AC50" i="24" s="1"/>
  <c r="S144" i="25"/>
  <c r="K144" i="25" s="1"/>
  <c r="R144" i="25"/>
  <c r="Q144" i="25"/>
  <c r="AO144" i="25"/>
  <c r="BZ144" i="25"/>
  <c r="S217" i="25"/>
  <c r="K217" i="25" s="1"/>
  <c r="V217" i="25" s="1"/>
  <c r="R217" i="25"/>
  <c r="Q217" i="25"/>
  <c r="AO217" i="25"/>
  <c r="BZ217" i="25"/>
  <c r="R139" i="25"/>
  <c r="S139" i="25"/>
  <c r="K139" i="25" s="1"/>
  <c r="V139" i="25" s="1"/>
  <c r="Q139" i="25"/>
  <c r="AO139" i="25"/>
  <c r="BZ139" i="25"/>
  <c r="AE175" i="24"/>
  <c r="AI175" i="24"/>
  <c r="X175" i="24"/>
  <c r="AA175" i="24" s="1"/>
  <c r="AB175" i="24" s="1"/>
  <c r="AC175" i="24" s="1"/>
  <c r="U234" i="25"/>
  <c r="U26" i="25"/>
  <c r="W141" i="24"/>
  <c r="V141" i="24"/>
  <c r="S250" i="25"/>
  <c r="K250" i="25" s="1"/>
  <c r="R250" i="25"/>
  <c r="Q250" i="25"/>
  <c r="AO250" i="25"/>
  <c r="BZ250" i="25"/>
  <c r="R118" i="25"/>
  <c r="S118" i="25"/>
  <c r="K118" i="25" s="1"/>
  <c r="V118" i="25" s="1"/>
  <c r="Q118" i="25"/>
  <c r="AO118" i="25"/>
  <c r="BZ118" i="25"/>
  <c r="AD255" i="25"/>
  <c r="W255" i="25"/>
  <c r="Z255" i="25" s="1"/>
  <c r="AA255" i="25" s="1"/>
  <c r="AB255" i="25" s="1"/>
  <c r="AI255" i="25" s="1"/>
  <c r="V255" i="25"/>
  <c r="X255" i="25" s="1"/>
  <c r="U74" i="25"/>
  <c r="R151" i="25"/>
  <c r="S151" i="25"/>
  <c r="K151" i="25" s="1"/>
  <c r="Q151" i="25"/>
  <c r="AO151" i="25"/>
  <c r="BZ151" i="25"/>
  <c r="V92" i="25"/>
  <c r="X92" i="25" s="1"/>
  <c r="AE56" i="24"/>
  <c r="AI56" i="24"/>
  <c r="X56" i="24"/>
  <c r="AA56" i="24" s="1"/>
  <c r="AB56" i="24" s="1"/>
  <c r="AC56" i="24" s="1"/>
  <c r="AE70" i="24"/>
  <c r="AI70" i="24"/>
  <c r="X70" i="24"/>
  <c r="AA70" i="24" s="1"/>
  <c r="AB70" i="24" s="1"/>
  <c r="AC70" i="24" s="1"/>
  <c r="S152" i="25"/>
  <c r="K152" i="25" s="1"/>
  <c r="R152" i="25"/>
  <c r="Q152" i="25"/>
  <c r="AO152" i="25"/>
  <c r="BZ152" i="25"/>
  <c r="S50" i="25"/>
  <c r="K50" i="25" s="1"/>
  <c r="R50" i="25"/>
  <c r="Q50" i="25"/>
  <c r="AO50" i="25"/>
  <c r="BZ50" i="25"/>
  <c r="S277" i="25"/>
  <c r="K277" i="25" s="1"/>
  <c r="R277" i="25"/>
  <c r="Q277" i="25"/>
  <c r="AO277" i="25"/>
  <c r="BZ277" i="25"/>
  <c r="P184" i="24"/>
  <c r="Q184" i="24"/>
  <c r="AP184" i="24"/>
  <c r="AE146" i="24"/>
  <c r="AI146" i="24"/>
  <c r="X146" i="24"/>
  <c r="AA146" i="24" s="1"/>
  <c r="AB146" i="24" s="1"/>
  <c r="AC146" i="24" s="1"/>
  <c r="AE153" i="24"/>
  <c r="AI153" i="24"/>
  <c r="X153" i="24"/>
  <c r="AA153" i="24" s="1"/>
  <c r="AB153" i="24" s="1"/>
  <c r="AC153" i="24" s="1"/>
  <c r="AE271" i="24"/>
  <c r="AI271" i="24"/>
  <c r="X271" i="24"/>
  <c r="AA271" i="24" s="1"/>
  <c r="AB271" i="24" s="1"/>
  <c r="AC271" i="24" s="1"/>
  <c r="AE149" i="24"/>
  <c r="AI149" i="24"/>
  <c r="X149" i="24"/>
  <c r="AA149" i="24" s="1"/>
  <c r="AB149" i="24" s="1"/>
  <c r="AC149" i="24" s="1"/>
  <c r="P148" i="24"/>
  <c r="Q148" i="24"/>
  <c r="AP148" i="24"/>
  <c r="AE304" i="24"/>
  <c r="AI304" i="24"/>
  <c r="X304" i="24"/>
  <c r="AA304" i="24" s="1"/>
  <c r="AB304" i="24" s="1"/>
  <c r="AC304" i="24" s="1"/>
  <c r="Q228" i="24"/>
  <c r="P228" i="24"/>
  <c r="AP228" i="24"/>
  <c r="U208" i="25"/>
  <c r="R298" i="25"/>
  <c r="S298" i="25"/>
  <c r="K298" i="25" s="1"/>
  <c r="V298" i="25" s="1"/>
  <c r="Q298" i="25"/>
  <c r="BZ298" i="25"/>
  <c r="AO298" i="25"/>
  <c r="W241" i="24"/>
  <c r="V241" i="24"/>
  <c r="V185" i="24"/>
  <c r="W185" i="24"/>
  <c r="AD21" i="25"/>
  <c r="W21" i="25"/>
  <c r="Z21" i="25" s="1"/>
  <c r="AA21" i="25" s="1"/>
  <c r="AB21" i="25" s="1"/>
  <c r="AI21" i="25" s="1"/>
  <c r="AE35" i="24"/>
  <c r="AI35" i="24"/>
  <c r="X35" i="24"/>
  <c r="AA35" i="24" s="1"/>
  <c r="AB35" i="24" s="1"/>
  <c r="AC35" i="24" s="1"/>
  <c r="W85" i="24"/>
  <c r="V85" i="24"/>
  <c r="U27" i="25"/>
  <c r="U274" i="25"/>
  <c r="U205" i="25"/>
  <c r="AE10" i="24"/>
  <c r="AI10" i="24"/>
  <c r="X10" i="24"/>
  <c r="AA10" i="24" s="1"/>
  <c r="AB10" i="24" s="1"/>
  <c r="AC10" i="24" s="1"/>
  <c r="W65" i="24"/>
  <c r="V65" i="24"/>
  <c r="W82" i="24"/>
  <c r="Y82" i="24" s="1"/>
  <c r="AE43" i="24"/>
  <c r="AI43" i="24"/>
  <c r="X43" i="24"/>
  <c r="AA43" i="24" s="1"/>
  <c r="AB43" i="24" s="1"/>
  <c r="AC43" i="24" s="1"/>
  <c r="AE122" i="24"/>
  <c r="AI122" i="24"/>
  <c r="X122" i="24"/>
  <c r="AA122" i="24" s="1"/>
  <c r="AB122" i="24" s="1"/>
  <c r="AC122" i="24" s="1"/>
  <c r="AE40" i="24"/>
  <c r="AI40" i="24"/>
  <c r="X40" i="24"/>
  <c r="AA40" i="24" s="1"/>
  <c r="AB40" i="24" s="1"/>
  <c r="AC40" i="24" s="1"/>
  <c r="AE239" i="24"/>
  <c r="AI239" i="24"/>
  <c r="X239" i="24"/>
  <c r="AA239" i="24" s="1"/>
  <c r="AB239" i="24" s="1"/>
  <c r="AC239" i="24" s="1"/>
  <c r="AE154" i="24"/>
  <c r="AI154" i="24"/>
  <c r="X154" i="24"/>
  <c r="AA154" i="24" s="1"/>
  <c r="AB154" i="24" s="1"/>
  <c r="AC154" i="24" s="1"/>
  <c r="R203" i="25"/>
  <c r="S203" i="25"/>
  <c r="K203" i="25" s="1"/>
  <c r="V203" i="25" s="1"/>
  <c r="Q203" i="25"/>
  <c r="AO203" i="25"/>
  <c r="BZ203" i="25"/>
  <c r="V197" i="24"/>
  <c r="W197" i="24"/>
  <c r="W207" i="24"/>
  <c r="Y207" i="24" s="1"/>
  <c r="U221" i="25"/>
  <c r="V95" i="24"/>
  <c r="W95" i="24"/>
  <c r="S171" i="25"/>
  <c r="K171" i="25" s="1"/>
  <c r="V171" i="25" s="1"/>
  <c r="R171" i="25"/>
  <c r="Q171" i="25"/>
  <c r="AO171" i="25"/>
  <c r="BZ171" i="25"/>
  <c r="R295" i="25"/>
  <c r="S295" i="25"/>
  <c r="K295" i="25" s="1"/>
  <c r="V295" i="25" s="1"/>
  <c r="Q295" i="25"/>
  <c r="AO295" i="25"/>
  <c r="BZ295" i="25"/>
  <c r="R202" i="25"/>
  <c r="S202" i="25"/>
  <c r="K202" i="25" s="1"/>
  <c r="V202" i="25" s="1"/>
  <c r="Q202" i="25"/>
  <c r="AO202" i="25"/>
  <c r="BZ202" i="25"/>
  <c r="R226" i="25"/>
  <c r="S226" i="25"/>
  <c r="K226" i="25" s="1"/>
  <c r="Q226" i="25"/>
  <c r="AO226" i="25"/>
  <c r="BZ226" i="25"/>
  <c r="AD158" i="25"/>
  <c r="W158" i="25"/>
  <c r="Z158" i="25" s="1"/>
  <c r="AA158" i="25" s="1"/>
  <c r="AB158" i="25" s="1"/>
  <c r="AI158" i="25" s="1"/>
  <c r="AE93" i="24"/>
  <c r="AI93" i="24"/>
  <c r="X93" i="24"/>
  <c r="AA93" i="24" s="1"/>
  <c r="AB93" i="24" s="1"/>
  <c r="AC93" i="24" s="1"/>
  <c r="U68" i="25"/>
  <c r="S244" i="25"/>
  <c r="K244" i="25" s="1"/>
  <c r="R244" i="25"/>
  <c r="Q244" i="25"/>
  <c r="AO244" i="25"/>
  <c r="BZ244" i="25"/>
  <c r="P277" i="24"/>
  <c r="Q277" i="24"/>
  <c r="AP277" i="24"/>
  <c r="W262" i="24"/>
  <c r="V262" i="24"/>
  <c r="W166" i="24"/>
  <c r="Y166" i="24" s="1"/>
  <c r="S69" i="25"/>
  <c r="K69" i="25" s="1"/>
  <c r="R69" i="25"/>
  <c r="Q69" i="25"/>
  <c r="BZ69" i="25"/>
  <c r="AO69" i="25"/>
  <c r="Q38" i="24"/>
  <c r="R38" i="24" s="1"/>
  <c r="P38" i="24"/>
  <c r="AP38" i="24"/>
  <c r="V31" i="25"/>
  <c r="X31" i="25" s="1"/>
  <c r="AE286" i="24"/>
  <c r="AI286" i="24"/>
  <c r="X286" i="24"/>
  <c r="AA286" i="24" s="1"/>
  <c r="AB286" i="24" s="1"/>
  <c r="AC286" i="24" s="1"/>
  <c r="AE100" i="24"/>
  <c r="AI100" i="24"/>
  <c r="X100" i="24"/>
  <c r="AA100" i="24" s="1"/>
  <c r="AB100" i="24" s="1"/>
  <c r="AC100" i="24" s="1"/>
  <c r="AG55" i="24"/>
  <c r="AF55" i="24"/>
  <c r="Q57" i="24"/>
  <c r="R57" i="24" s="1"/>
  <c r="P57" i="24"/>
  <c r="AP57" i="24"/>
  <c r="AE260" i="24"/>
  <c r="AI260" i="24"/>
  <c r="X260" i="24"/>
  <c r="AA260" i="24" s="1"/>
  <c r="AB260" i="24" s="1"/>
  <c r="AC260" i="24" s="1"/>
  <c r="S272" i="25"/>
  <c r="K272" i="25" s="1"/>
  <c r="V272" i="25" s="1"/>
  <c r="R272" i="25"/>
  <c r="Q272" i="25"/>
  <c r="AO272" i="25"/>
  <c r="BZ272" i="25"/>
  <c r="V64" i="24"/>
  <c r="W64" i="24"/>
  <c r="W79" i="24"/>
  <c r="Y79" i="24" s="1"/>
  <c r="V46" i="24"/>
  <c r="W46" i="24"/>
  <c r="R185" i="25"/>
  <c r="S185" i="25"/>
  <c r="K185" i="25" s="1"/>
  <c r="Q185" i="25"/>
  <c r="AO185" i="25"/>
  <c r="BZ185" i="25"/>
  <c r="W281" i="24"/>
  <c r="Y281" i="24" s="1"/>
  <c r="R133" i="25"/>
  <c r="S133" i="25"/>
  <c r="K133" i="25" s="1"/>
  <c r="Q133" i="25"/>
  <c r="BZ133" i="25"/>
  <c r="AO133" i="25"/>
  <c r="U200" i="25"/>
  <c r="AE26" i="24"/>
  <c r="AI26" i="24"/>
  <c r="X26" i="24"/>
  <c r="AA26" i="24" s="1"/>
  <c r="AB26" i="24" s="1"/>
  <c r="AC26" i="24" s="1"/>
  <c r="AE123" i="24"/>
  <c r="AI123" i="24"/>
  <c r="X123" i="24"/>
  <c r="AA123" i="24" s="1"/>
  <c r="AB123" i="24" s="1"/>
  <c r="AC123" i="24" s="1"/>
  <c r="AE77" i="24"/>
  <c r="AI77" i="24"/>
  <c r="X77" i="24"/>
  <c r="AA77" i="24" s="1"/>
  <c r="AB77" i="24" s="1"/>
  <c r="AC77" i="24" s="1"/>
  <c r="W77" i="24"/>
  <c r="Y77" i="24" s="1"/>
  <c r="U242" i="25"/>
  <c r="S225" i="25"/>
  <c r="K225" i="25" s="1"/>
  <c r="V225" i="25" s="1"/>
  <c r="R225" i="25"/>
  <c r="Q225" i="25"/>
  <c r="AO225" i="25"/>
  <c r="BZ225" i="25"/>
  <c r="Q100" i="24"/>
  <c r="R100" i="24" s="1"/>
  <c r="P100" i="24"/>
  <c r="AP100" i="24"/>
  <c r="P266" i="24"/>
  <c r="Q266" i="24"/>
  <c r="AP266" i="24"/>
  <c r="U135" i="25"/>
  <c r="U138" i="25"/>
  <c r="W250" i="24"/>
  <c r="V250" i="24"/>
  <c r="W168" i="24"/>
  <c r="V168" i="24"/>
  <c r="AE87" i="24"/>
  <c r="AI87" i="24"/>
  <c r="X87" i="24"/>
  <c r="AA87" i="24" s="1"/>
  <c r="AB87" i="24" s="1"/>
  <c r="AC87" i="24" s="1"/>
  <c r="U157" i="25"/>
  <c r="AE90" i="24"/>
  <c r="AI90" i="24"/>
  <c r="X90" i="24"/>
  <c r="AA90" i="24" s="1"/>
  <c r="AB90" i="24" s="1"/>
  <c r="AC90" i="24" s="1"/>
  <c r="AE75" i="24"/>
  <c r="AI75" i="24"/>
  <c r="X75" i="24"/>
  <c r="AA75" i="24" s="1"/>
  <c r="AB75" i="24" s="1"/>
  <c r="AC75" i="24" s="1"/>
  <c r="AE8" i="24"/>
  <c r="AI8" i="24"/>
  <c r="X8" i="24"/>
  <c r="AA8" i="24" s="1"/>
  <c r="AB8" i="24" s="1"/>
  <c r="AC8" i="24" s="1"/>
  <c r="AE203" i="24"/>
  <c r="AI203" i="24"/>
  <c r="X203" i="24"/>
  <c r="AA203" i="24" s="1"/>
  <c r="AB203" i="24" s="1"/>
  <c r="AC203" i="24" s="1"/>
  <c r="P80" i="24"/>
  <c r="Q80" i="24"/>
  <c r="R80" i="24" s="1"/>
  <c r="AP80" i="24"/>
  <c r="S300" i="25"/>
  <c r="K300" i="25" s="1"/>
  <c r="R300" i="25"/>
  <c r="Q300" i="25"/>
  <c r="BZ300" i="25"/>
  <c r="AO300" i="25"/>
  <c r="V183" i="24"/>
  <c r="W183" i="24"/>
  <c r="U169" i="25"/>
  <c r="R90" i="25"/>
  <c r="S90" i="25"/>
  <c r="K90" i="25" s="1"/>
  <c r="V90" i="25" s="1"/>
  <c r="Q90" i="25"/>
  <c r="BZ90" i="25"/>
  <c r="AO90" i="25"/>
  <c r="R125" i="25"/>
  <c r="S125" i="25"/>
  <c r="K125" i="25" s="1"/>
  <c r="Q125" i="25"/>
  <c r="BZ125" i="25"/>
  <c r="AO125" i="25"/>
  <c r="U112" i="25"/>
  <c r="V259" i="24"/>
  <c r="W259" i="24"/>
  <c r="R297" i="25"/>
  <c r="S297" i="25"/>
  <c r="K297" i="25" s="1"/>
  <c r="Q297" i="25"/>
  <c r="AO297" i="25"/>
  <c r="BZ297" i="25"/>
  <c r="U76" i="25"/>
  <c r="U22" i="25"/>
  <c r="U103" i="25"/>
  <c r="W96" i="24"/>
  <c r="V96" i="24"/>
  <c r="AE152" i="24"/>
  <c r="AI152" i="24"/>
  <c r="X152" i="24"/>
  <c r="AA152" i="24" s="1"/>
  <c r="AB152" i="24" s="1"/>
  <c r="AC152" i="24" s="1"/>
  <c r="AE143" i="24"/>
  <c r="AI143" i="24"/>
  <c r="X143" i="24"/>
  <c r="AA143" i="24" s="1"/>
  <c r="AB143" i="24" s="1"/>
  <c r="AC143" i="24" s="1"/>
  <c r="U187" i="25"/>
  <c r="AE297" i="24"/>
  <c r="AI297" i="24"/>
  <c r="X297" i="24"/>
  <c r="AA297" i="24" s="1"/>
  <c r="AB297" i="24" s="1"/>
  <c r="AC297" i="24" s="1"/>
  <c r="R75" i="25"/>
  <c r="S75" i="25"/>
  <c r="K75" i="25" s="1"/>
  <c r="Q75" i="25"/>
  <c r="BZ75" i="25"/>
  <c r="AO75" i="25"/>
  <c r="U196" i="25"/>
  <c r="V263" i="24"/>
  <c r="W263" i="24"/>
  <c r="V156" i="24"/>
  <c r="W156" i="24"/>
  <c r="U115" i="25"/>
  <c r="AD305" i="25"/>
  <c r="W305" i="25"/>
  <c r="Z305" i="25" s="1"/>
  <c r="AA305" i="25" s="1"/>
  <c r="AB305" i="25" s="1"/>
  <c r="AI305" i="25" s="1"/>
  <c r="AE169" i="24"/>
  <c r="AI169" i="24"/>
  <c r="X169" i="24"/>
  <c r="AA169" i="24" s="1"/>
  <c r="AB169" i="24" s="1"/>
  <c r="AC169" i="24" s="1"/>
  <c r="Q131" i="24"/>
  <c r="P131" i="24"/>
  <c r="AP131" i="24"/>
  <c r="U118" i="25"/>
  <c r="Q123" i="24"/>
  <c r="P123" i="24"/>
  <c r="AP123" i="24"/>
  <c r="AE253" i="24"/>
  <c r="AI253" i="24"/>
  <c r="X253" i="24"/>
  <c r="AA253" i="24" s="1"/>
  <c r="AB253" i="24" s="1"/>
  <c r="AC253" i="24" s="1"/>
  <c r="S210" i="25"/>
  <c r="K210" i="25" s="1"/>
  <c r="R210" i="25"/>
  <c r="Q210" i="25"/>
  <c r="AO210" i="25"/>
  <c r="BZ210" i="25"/>
  <c r="S84" i="25"/>
  <c r="K84" i="25" s="1"/>
  <c r="V84" i="25" s="1"/>
  <c r="R84" i="25"/>
  <c r="Q84" i="25"/>
  <c r="AO84" i="25"/>
  <c r="BZ84" i="25"/>
  <c r="S180" i="25"/>
  <c r="K180" i="25" s="1"/>
  <c r="R180" i="25"/>
  <c r="Q180" i="25"/>
  <c r="AO180" i="25"/>
  <c r="BZ180" i="25"/>
  <c r="S228" i="25"/>
  <c r="K228" i="25" s="1"/>
  <c r="V228" i="25" s="1"/>
  <c r="R228" i="25"/>
  <c r="Q228" i="25"/>
  <c r="AO228" i="25"/>
  <c r="BZ228" i="25"/>
  <c r="U299" i="25"/>
  <c r="P280" i="24"/>
  <c r="Q280" i="24"/>
  <c r="AP280" i="24"/>
  <c r="V243" i="24"/>
  <c r="W243" i="24"/>
  <c r="AD71" i="25"/>
  <c r="W71" i="25"/>
  <c r="Z71" i="25" s="1"/>
  <c r="AA71" i="25" s="1"/>
  <c r="AB71" i="25" s="1"/>
  <c r="AI71" i="25" s="1"/>
  <c r="AD161" i="25"/>
  <c r="W161" i="25"/>
  <c r="Z161" i="25" s="1"/>
  <c r="AA161" i="25" s="1"/>
  <c r="AB161" i="25" s="1"/>
  <c r="AI161" i="25" s="1"/>
  <c r="S270" i="25"/>
  <c r="K270" i="25" s="1"/>
  <c r="Q270" i="25"/>
  <c r="R270" i="25"/>
  <c r="AO270" i="25"/>
  <c r="BZ270" i="25"/>
  <c r="AG257" i="24"/>
  <c r="AF257" i="24"/>
  <c r="U142" i="25"/>
  <c r="AD190" i="25"/>
  <c r="W190" i="25"/>
  <c r="Z190" i="25" s="1"/>
  <c r="AA190" i="25" s="1"/>
  <c r="AB190" i="25" s="1"/>
  <c r="AI190" i="25" s="1"/>
  <c r="V190" i="25"/>
  <c r="X190" i="25" s="1"/>
  <c r="W89" i="24"/>
  <c r="V89" i="24"/>
  <c r="S26" i="25"/>
  <c r="K26" i="25" s="1"/>
  <c r="V26" i="25" s="1"/>
  <c r="R26" i="25"/>
  <c r="Q26" i="25"/>
  <c r="AO26" i="25"/>
  <c r="BZ26" i="25"/>
  <c r="W66" i="24"/>
  <c r="Y66" i="24" s="1"/>
  <c r="AE62" i="24"/>
  <c r="AI62" i="24"/>
  <c r="X62" i="24"/>
  <c r="AA62" i="24" s="1"/>
  <c r="AB62" i="24" s="1"/>
  <c r="AC62" i="24" s="1"/>
  <c r="Q141" i="24"/>
  <c r="P141" i="24"/>
  <c r="AP141" i="24"/>
  <c r="S74" i="25"/>
  <c r="K74" i="25" s="1"/>
  <c r="V74" i="25" s="1"/>
  <c r="R74" i="25"/>
  <c r="Q74" i="25"/>
  <c r="BZ74" i="25"/>
  <c r="AO74" i="25"/>
  <c r="U304" i="25"/>
  <c r="S193" i="25"/>
  <c r="K193" i="25" s="1"/>
  <c r="R193" i="25"/>
  <c r="Q193" i="25"/>
  <c r="AO193" i="25"/>
  <c r="BZ193" i="25"/>
  <c r="AE245" i="24"/>
  <c r="AI245" i="24"/>
  <c r="X245" i="24"/>
  <c r="AA245" i="24" s="1"/>
  <c r="AB245" i="24" s="1"/>
  <c r="AC245" i="24" s="1"/>
  <c r="AE171" i="24"/>
  <c r="AI171" i="24"/>
  <c r="X171" i="24"/>
  <c r="AA171" i="24" s="1"/>
  <c r="AB171" i="24" s="1"/>
  <c r="AC171" i="24" s="1"/>
  <c r="AE314" i="24"/>
  <c r="AI314" i="24"/>
  <c r="X314" i="24"/>
  <c r="AA314" i="24" s="1"/>
  <c r="AB314" i="24" s="1"/>
  <c r="AC314" i="24" s="1"/>
  <c r="V194" i="24"/>
  <c r="W194" i="24"/>
  <c r="AE48" i="24"/>
  <c r="AI48" i="24"/>
  <c r="X48" i="24"/>
  <c r="AA48" i="24" s="1"/>
  <c r="AB48" i="24" s="1"/>
  <c r="AC48" i="24" s="1"/>
  <c r="U41" i="25"/>
  <c r="V203" i="24"/>
  <c r="W203" i="24"/>
  <c r="S33" i="25"/>
  <c r="K33" i="25" s="1"/>
  <c r="R33" i="25"/>
  <c r="Q33" i="25"/>
  <c r="AO33" i="25"/>
  <c r="BZ33" i="25"/>
  <c r="S99" i="25"/>
  <c r="K99" i="25" s="1"/>
  <c r="V99" i="25" s="1"/>
  <c r="R99" i="25"/>
  <c r="Q99" i="25"/>
  <c r="BZ99" i="25"/>
  <c r="AO99" i="25"/>
  <c r="R208" i="25"/>
  <c r="S208" i="25"/>
  <c r="K208" i="25" s="1"/>
  <c r="V208" i="25" s="1"/>
  <c r="Q208" i="25"/>
  <c r="AO208" i="25"/>
  <c r="BZ208" i="25"/>
  <c r="V143" i="24"/>
  <c r="W143" i="24"/>
  <c r="AD30" i="25"/>
  <c r="W30" i="25"/>
  <c r="Z30" i="25" s="1"/>
  <c r="AA30" i="25" s="1"/>
  <c r="AB30" i="25" s="1"/>
  <c r="AI30" i="25" s="1"/>
  <c r="Q85" i="24"/>
  <c r="R85" i="24" s="1"/>
  <c r="P85" i="24"/>
  <c r="AP85" i="24"/>
  <c r="AE302" i="24"/>
  <c r="AI302" i="24"/>
  <c r="X302" i="24"/>
  <c r="AA302" i="24" s="1"/>
  <c r="AB302" i="24" s="1"/>
  <c r="AC302" i="24" s="1"/>
  <c r="AG119" i="24"/>
  <c r="AF119" i="24"/>
  <c r="R27" i="25"/>
  <c r="S27" i="25"/>
  <c r="K27" i="25" s="1"/>
  <c r="V27" i="25" s="1"/>
  <c r="Q27" i="25"/>
  <c r="AO27" i="25"/>
  <c r="BZ27" i="25"/>
  <c r="AE263" i="24"/>
  <c r="AI263" i="24"/>
  <c r="X263" i="24"/>
  <c r="AA263" i="24" s="1"/>
  <c r="AB263" i="24" s="1"/>
  <c r="AC263" i="24" s="1"/>
  <c r="U47" i="25"/>
  <c r="S274" i="25"/>
  <c r="K274" i="25" s="1"/>
  <c r="R274" i="25"/>
  <c r="Q274" i="25"/>
  <c r="AO274" i="25"/>
  <c r="BZ274" i="25"/>
  <c r="U39" i="25"/>
  <c r="AE13" i="24"/>
  <c r="AI13" i="24"/>
  <c r="X13" i="24"/>
  <c r="AA13" i="24" s="1"/>
  <c r="AB13" i="24" s="1"/>
  <c r="AC13" i="24" s="1"/>
  <c r="AE84" i="24"/>
  <c r="AI84" i="24"/>
  <c r="X84" i="24"/>
  <c r="AA84" i="24" s="1"/>
  <c r="AB84" i="24" s="1"/>
  <c r="AC84" i="24" s="1"/>
  <c r="W84" i="24"/>
  <c r="Y84" i="24" s="1"/>
  <c r="AE285" i="24"/>
  <c r="AI285" i="24"/>
  <c r="W285" i="24"/>
  <c r="Y285" i="24" s="1"/>
  <c r="X285" i="24"/>
  <c r="AA285" i="24" s="1"/>
  <c r="AB285" i="24" s="1"/>
  <c r="AC285" i="24" s="1"/>
  <c r="W13" i="24"/>
  <c r="Y13" i="24" s="1"/>
  <c r="AG294" i="24"/>
  <c r="AF294" i="24"/>
  <c r="U216" i="25"/>
  <c r="R245" i="25"/>
  <c r="S245" i="25"/>
  <c r="K245" i="25" s="1"/>
  <c r="Q245" i="25"/>
  <c r="AO245" i="25"/>
  <c r="BZ245" i="25"/>
  <c r="U81" i="25"/>
  <c r="AE136" i="24"/>
  <c r="AI136" i="24"/>
  <c r="X136" i="24"/>
  <c r="AA136" i="24" s="1"/>
  <c r="AB136" i="24" s="1"/>
  <c r="AC136" i="24" s="1"/>
  <c r="AE156" i="24"/>
  <c r="AI156" i="24"/>
  <c r="X156" i="24"/>
  <c r="AA156" i="24" s="1"/>
  <c r="AB156" i="24" s="1"/>
  <c r="AC156" i="24" s="1"/>
  <c r="AD293" i="25"/>
  <c r="W293" i="25"/>
  <c r="Z293" i="25" s="1"/>
  <c r="AA293" i="25" s="1"/>
  <c r="AB293" i="25" s="1"/>
  <c r="AI293" i="25" s="1"/>
  <c r="V293" i="25"/>
  <c r="X293" i="25" s="1"/>
  <c r="AG236" i="24"/>
  <c r="AF236" i="24"/>
  <c r="AE295" i="24"/>
  <c r="AI295" i="24"/>
  <c r="X295" i="24"/>
  <c r="AA295" i="24" s="1"/>
  <c r="AB295" i="24" s="1"/>
  <c r="AC295" i="24" s="1"/>
  <c r="S221" i="25"/>
  <c r="K221" i="25" s="1"/>
  <c r="V221" i="25" s="1"/>
  <c r="R221" i="25"/>
  <c r="Q221" i="25"/>
  <c r="BZ221" i="25"/>
  <c r="AO221" i="25"/>
  <c r="W122" i="24"/>
  <c r="V122" i="24"/>
  <c r="Q95" i="24"/>
  <c r="R95" i="24" s="1"/>
  <c r="P95" i="24"/>
  <c r="AP95" i="24"/>
  <c r="AG142" i="24"/>
  <c r="AF142" i="24"/>
  <c r="AE94" i="24"/>
  <c r="AI94" i="24"/>
  <c r="X94" i="24"/>
  <c r="AA94" i="24" s="1"/>
  <c r="AB94" i="24" s="1"/>
  <c r="AC94" i="24" s="1"/>
  <c r="AD87" i="25"/>
  <c r="W87" i="25"/>
  <c r="Z87" i="25" s="1"/>
  <c r="AA87" i="25" s="1"/>
  <c r="AB87" i="25" s="1"/>
  <c r="AI87" i="25" s="1"/>
  <c r="AE74" i="24"/>
  <c r="AI74" i="24"/>
  <c r="X74" i="24"/>
  <c r="AA74" i="24" s="1"/>
  <c r="AB74" i="24" s="1"/>
  <c r="AC74" i="24" s="1"/>
  <c r="S68" i="25"/>
  <c r="K68" i="25" s="1"/>
  <c r="R68" i="25"/>
  <c r="Q68" i="25"/>
  <c r="AO68" i="25"/>
  <c r="BZ68" i="25"/>
  <c r="Q262" i="24"/>
  <c r="P262" i="24"/>
  <c r="AP262" i="24"/>
  <c r="AD198" i="25"/>
  <c r="W198" i="25"/>
  <c r="Z198" i="25" s="1"/>
  <c r="AA198" i="25" s="1"/>
  <c r="AB198" i="25" s="1"/>
  <c r="AI198" i="25" s="1"/>
  <c r="AE157" i="24"/>
  <c r="AI157" i="24"/>
  <c r="X157" i="24"/>
  <c r="AA157" i="24" s="1"/>
  <c r="AB157" i="24" s="1"/>
  <c r="AC157" i="24" s="1"/>
  <c r="AE303" i="24"/>
  <c r="AI303" i="24"/>
  <c r="X303" i="24"/>
  <c r="AA303" i="24" s="1"/>
  <c r="AB303" i="24" s="1"/>
  <c r="AC303" i="24" s="1"/>
  <c r="R184" i="25"/>
  <c r="S184" i="25"/>
  <c r="K184" i="25" s="1"/>
  <c r="Q184" i="25"/>
  <c r="BZ184" i="25"/>
  <c r="AO184" i="25"/>
  <c r="V198" i="25"/>
  <c r="X198" i="25" s="1"/>
  <c r="AE293" i="24"/>
  <c r="AI293" i="24"/>
  <c r="X293" i="24"/>
  <c r="AA293" i="24" s="1"/>
  <c r="AB293" i="24" s="1"/>
  <c r="AC293" i="24" s="1"/>
  <c r="W139" i="24"/>
  <c r="V139" i="24"/>
  <c r="U207" i="25"/>
  <c r="AE78" i="24"/>
  <c r="AI78" i="24"/>
  <c r="X78" i="24"/>
  <c r="AA78" i="24" s="1"/>
  <c r="AB78" i="24" s="1"/>
  <c r="AC78" i="24" s="1"/>
  <c r="R285" i="25"/>
  <c r="S285" i="25"/>
  <c r="K285" i="25" s="1"/>
  <c r="Q285" i="25"/>
  <c r="AO285" i="25"/>
  <c r="BZ285" i="25"/>
  <c r="P64" i="24"/>
  <c r="Q64" i="24"/>
  <c r="R64" i="24" s="1"/>
  <c r="AP64" i="24"/>
  <c r="S289" i="25"/>
  <c r="K289" i="25" s="1"/>
  <c r="R289" i="25"/>
  <c r="Q289" i="25"/>
  <c r="AO289" i="25"/>
  <c r="BZ289" i="25"/>
  <c r="P46" i="24"/>
  <c r="Q46" i="24"/>
  <c r="R46" i="24" s="1"/>
  <c r="AP46" i="24"/>
  <c r="AE208" i="24"/>
  <c r="AI208" i="24"/>
  <c r="X208" i="24"/>
  <c r="AA208" i="24" s="1"/>
  <c r="AB208" i="24" s="1"/>
  <c r="AC208" i="24" s="1"/>
  <c r="AE135" i="24"/>
  <c r="AI135" i="24"/>
  <c r="X135" i="24"/>
  <c r="AA135" i="24" s="1"/>
  <c r="AB135" i="24" s="1"/>
  <c r="AC135" i="24" s="1"/>
  <c r="U222" i="25"/>
  <c r="R200" i="25"/>
  <c r="S200" i="25"/>
  <c r="K200" i="25" s="1"/>
  <c r="Q200" i="25"/>
  <c r="BZ200" i="25"/>
  <c r="AO200" i="25"/>
  <c r="W54" i="24"/>
  <c r="V54" i="24"/>
  <c r="AE97" i="24"/>
  <c r="AI97" i="24"/>
  <c r="X97" i="24"/>
  <c r="AA97" i="24" s="1"/>
  <c r="AB97" i="24" s="1"/>
  <c r="AC97" i="24" s="1"/>
  <c r="U116" i="25"/>
  <c r="S242" i="25"/>
  <c r="K242" i="25" s="1"/>
  <c r="V242" i="25" s="1"/>
  <c r="R242" i="25"/>
  <c r="Q242" i="25"/>
  <c r="BZ242" i="25"/>
  <c r="AO242" i="25"/>
  <c r="U188" i="25"/>
  <c r="W35" i="24"/>
  <c r="Y35" i="24" s="1"/>
  <c r="R135" i="25"/>
  <c r="S135" i="25"/>
  <c r="K135" i="25" s="1"/>
  <c r="Q135" i="25"/>
  <c r="BZ135" i="25"/>
  <c r="AO135" i="25"/>
  <c r="R138" i="25"/>
  <c r="S138" i="25"/>
  <c r="K138" i="25" s="1"/>
  <c r="V138" i="25" s="1"/>
  <c r="Q138" i="25"/>
  <c r="BZ138" i="25"/>
  <c r="AO138" i="25"/>
  <c r="V220" i="24"/>
  <c r="W220" i="24"/>
  <c r="R42" i="25"/>
  <c r="S42" i="25"/>
  <c r="K42" i="25" s="1"/>
  <c r="Q42" i="25"/>
  <c r="AO42" i="25"/>
  <c r="BZ42" i="25"/>
  <c r="AD240" i="25"/>
  <c r="W240" i="25"/>
  <c r="Z240" i="25" s="1"/>
  <c r="AA240" i="25" s="1"/>
  <c r="AB240" i="25" s="1"/>
  <c r="AI240" i="25" s="1"/>
  <c r="U44" i="25"/>
  <c r="AD314" i="25"/>
  <c r="W314" i="25"/>
  <c r="Z314" i="25" s="1"/>
  <c r="AA314" i="25" s="1"/>
  <c r="AB314" i="25" s="1"/>
  <c r="AI314" i="25" s="1"/>
  <c r="W221" i="24"/>
  <c r="V221" i="24"/>
  <c r="AE137" i="24"/>
  <c r="AI137" i="24"/>
  <c r="X137" i="24"/>
  <c r="AA137" i="24" s="1"/>
  <c r="AB137" i="24" s="1"/>
  <c r="AC137" i="24" s="1"/>
  <c r="S45" i="25"/>
  <c r="K45" i="25" s="1"/>
  <c r="R45" i="25"/>
  <c r="Q45" i="25"/>
  <c r="AO45" i="25"/>
  <c r="BZ45" i="25"/>
  <c r="P183" i="24"/>
  <c r="Q183" i="24"/>
  <c r="AP183" i="24"/>
  <c r="W26" i="24"/>
  <c r="V26" i="24"/>
  <c r="AE59" i="24"/>
  <c r="AI59" i="24"/>
  <c r="X59" i="24"/>
  <c r="AA59" i="24" s="1"/>
  <c r="AB59" i="24" s="1"/>
  <c r="AC59" i="24" s="1"/>
  <c r="W196" i="24"/>
  <c r="V196" i="24"/>
  <c r="AE27" i="24"/>
  <c r="AI27" i="24"/>
  <c r="X27" i="24"/>
  <c r="AA27" i="24" s="1"/>
  <c r="AB27" i="24" s="1"/>
  <c r="AC27" i="24" s="1"/>
  <c r="W158" i="24"/>
  <c r="V158" i="24"/>
  <c r="Q259" i="24"/>
  <c r="P259" i="24"/>
  <c r="AP259" i="24"/>
  <c r="S76" i="25"/>
  <c r="K76" i="25" s="1"/>
  <c r="R76" i="25"/>
  <c r="Q76" i="25"/>
  <c r="BZ76" i="25"/>
  <c r="AO76" i="25"/>
  <c r="AE228" i="24"/>
  <c r="AI228" i="24"/>
  <c r="X228" i="24"/>
  <c r="AA228" i="24" s="1"/>
  <c r="AB228" i="24" s="1"/>
  <c r="AC228" i="24" s="1"/>
  <c r="S22" i="25"/>
  <c r="K22" i="25" s="1"/>
  <c r="V22" i="25" s="1"/>
  <c r="R22" i="25"/>
  <c r="Q22" i="25"/>
  <c r="BZ22" i="25"/>
  <c r="AO22" i="25"/>
  <c r="U40" i="25"/>
  <c r="AD192" i="25"/>
  <c r="V192" i="25"/>
  <c r="X192" i="25" s="1"/>
  <c r="W192" i="25"/>
  <c r="Z192" i="25" s="1"/>
  <c r="AA192" i="25" s="1"/>
  <c r="AB192" i="25" s="1"/>
  <c r="AI192" i="25" s="1"/>
  <c r="AD13" i="25"/>
  <c r="V13" i="25"/>
  <c r="X13" i="25" s="1"/>
  <c r="W13" i="25"/>
  <c r="Z13" i="25" s="1"/>
  <c r="AA13" i="25" s="1"/>
  <c r="AB13" i="25" s="1"/>
  <c r="AI13" i="25" s="1"/>
  <c r="AD199" i="25"/>
  <c r="W199" i="25"/>
  <c r="Z199" i="25" s="1"/>
  <c r="AA199" i="25" s="1"/>
  <c r="AB199" i="25" s="1"/>
  <c r="AI199" i="25" s="1"/>
  <c r="AE275" i="24"/>
  <c r="AI275" i="24"/>
  <c r="X275" i="24"/>
  <c r="AA275" i="24" s="1"/>
  <c r="AB275" i="24" s="1"/>
  <c r="AC275" i="24" s="1"/>
  <c r="V103" i="24"/>
  <c r="W103" i="24"/>
  <c r="R196" i="25"/>
  <c r="S196" i="25"/>
  <c r="K196" i="25" s="1"/>
  <c r="V196" i="25" s="1"/>
  <c r="Q196" i="25"/>
  <c r="BZ196" i="25"/>
  <c r="AO196" i="25"/>
  <c r="AE71" i="24"/>
  <c r="AI71" i="24"/>
  <c r="X71" i="24"/>
  <c r="AA71" i="24" s="1"/>
  <c r="AB71" i="24" s="1"/>
  <c r="AC71" i="24" s="1"/>
  <c r="P263" i="24"/>
  <c r="Q263" i="24"/>
  <c r="AP263" i="24"/>
  <c r="R115" i="25"/>
  <c r="S115" i="25"/>
  <c r="K115" i="25" s="1"/>
  <c r="Q115" i="25"/>
  <c r="AO115" i="25"/>
  <c r="BZ115" i="25"/>
  <c r="AE194" i="24"/>
  <c r="AI194" i="24"/>
  <c r="X194" i="24"/>
  <c r="AA194" i="24" s="1"/>
  <c r="AB194" i="24" s="1"/>
  <c r="AC194" i="24" s="1"/>
  <c r="V255" i="24"/>
  <c r="W255" i="24"/>
  <c r="V93" i="24"/>
  <c r="W93" i="24"/>
  <c r="S20" i="25"/>
  <c r="K20" i="25" s="1"/>
  <c r="R20" i="25"/>
  <c r="Q20" i="25"/>
  <c r="AO20" i="25"/>
  <c r="BZ20" i="25"/>
  <c r="U298" i="25"/>
  <c r="R299" i="25"/>
  <c r="S299" i="25"/>
  <c r="K299" i="25" s="1"/>
  <c r="Q299" i="25"/>
  <c r="AO299" i="25"/>
  <c r="BZ299" i="25"/>
  <c r="AG44" i="24"/>
  <c r="AF44" i="24"/>
  <c r="AD82" i="25"/>
  <c r="W82" i="25"/>
  <c r="Z82" i="25" s="1"/>
  <c r="AA82" i="25" s="1"/>
  <c r="AB82" i="25" s="1"/>
  <c r="AI82" i="25" s="1"/>
  <c r="V34" i="24"/>
  <c r="W34" i="24"/>
  <c r="AE12" i="24"/>
  <c r="AI12" i="24"/>
  <c r="X12" i="24"/>
  <c r="AA12" i="24" s="1"/>
  <c r="AB12" i="24" s="1"/>
  <c r="AC12" i="24" s="1"/>
  <c r="R51" i="25"/>
  <c r="S51" i="25"/>
  <c r="K51" i="25" s="1"/>
  <c r="Q51" i="25"/>
  <c r="AO51" i="25"/>
  <c r="BZ51" i="25"/>
  <c r="U18" i="25"/>
  <c r="S124" i="25"/>
  <c r="K124" i="25" s="1"/>
  <c r="R124" i="25"/>
  <c r="Q124" i="25"/>
  <c r="BZ124" i="25"/>
  <c r="AO124" i="25"/>
  <c r="U66" i="25"/>
  <c r="R142" i="25"/>
  <c r="S142" i="25"/>
  <c r="K142" i="25" s="1"/>
  <c r="Q142" i="25"/>
  <c r="AO142" i="25"/>
  <c r="BZ142" i="25"/>
  <c r="S236" i="25"/>
  <c r="K236" i="25" s="1"/>
  <c r="R236" i="25"/>
  <c r="Q236" i="25"/>
  <c r="AO236" i="25"/>
  <c r="BZ236" i="25"/>
  <c r="AE242" i="24"/>
  <c r="AI242" i="24"/>
  <c r="X242" i="24"/>
  <c r="AA242" i="24" s="1"/>
  <c r="AB242" i="24" s="1"/>
  <c r="AC242" i="24" s="1"/>
  <c r="P89" i="24"/>
  <c r="Q89" i="24"/>
  <c r="R89" i="24" s="1"/>
  <c r="AP89" i="24"/>
  <c r="W150" i="24"/>
  <c r="Y150" i="24" s="1"/>
  <c r="R150" i="25"/>
  <c r="S150" i="25"/>
  <c r="K150" i="25" s="1"/>
  <c r="Q150" i="25"/>
  <c r="AO150" i="25"/>
  <c r="BZ150" i="25"/>
  <c r="R304" i="25"/>
  <c r="S304" i="25"/>
  <c r="K304" i="25" s="1"/>
  <c r="Q304" i="25"/>
  <c r="AO304" i="25"/>
  <c r="BZ304" i="25"/>
  <c r="S162" i="25"/>
  <c r="K162" i="25" s="1"/>
  <c r="R162" i="25"/>
  <c r="Q162" i="25"/>
  <c r="AO162" i="25"/>
  <c r="BZ162" i="25"/>
  <c r="AD267" i="25"/>
  <c r="W267" i="25"/>
  <c r="Z267" i="25" s="1"/>
  <c r="AA267" i="25" s="1"/>
  <c r="AB267" i="25" s="1"/>
  <c r="AI267" i="25" s="1"/>
  <c r="AD246" i="25"/>
  <c r="W246" i="25"/>
  <c r="Z246" i="25" s="1"/>
  <c r="AA246" i="25" s="1"/>
  <c r="AB246" i="25" s="1"/>
  <c r="AI246" i="25" s="1"/>
  <c r="W102" i="24"/>
  <c r="V102" i="24"/>
  <c r="W117" i="24"/>
  <c r="V117" i="24"/>
  <c r="W293" i="24"/>
  <c r="V293" i="24"/>
  <c r="U56" i="25"/>
  <c r="V187" i="24"/>
  <c r="W187" i="24"/>
  <c r="V301" i="24"/>
  <c r="W301" i="24"/>
  <c r="U251" i="25"/>
  <c r="P194" i="24"/>
  <c r="Q194" i="24"/>
  <c r="AP194" i="24"/>
  <c r="S41" i="25"/>
  <c r="K41" i="25" s="1"/>
  <c r="V41" i="25" s="1"/>
  <c r="R41" i="25"/>
  <c r="Q41" i="25"/>
  <c r="AO41" i="25"/>
  <c r="BZ41" i="25"/>
  <c r="P203" i="24"/>
  <c r="Q203" i="24"/>
  <c r="AP203" i="24"/>
  <c r="U281" i="25"/>
  <c r="AE312" i="24"/>
  <c r="AI312" i="24"/>
  <c r="X312" i="24"/>
  <c r="AA312" i="24" s="1"/>
  <c r="AB312" i="24" s="1"/>
  <c r="AC312" i="24" s="1"/>
  <c r="U249" i="25"/>
  <c r="AE310" i="24"/>
  <c r="AI310" i="24"/>
  <c r="X310" i="24"/>
  <c r="AA310" i="24" s="1"/>
  <c r="AB310" i="24" s="1"/>
  <c r="AC310" i="24" s="1"/>
  <c r="S134" i="25"/>
  <c r="K134" i="25" s="1"/>
  <c r="R134" i="25"/>
  <c r="Q134" i="25"/>
  <c r="BZ134" i="25"/>
  <c r="AO134" i="25"/>
  <c r="AD147" i="25"/>
  <c r="W147" i="25"/>
  <c r="Z147" i="25" s="1"/>
  <c r="AA147" i="25" s="1"/>
  <c r="AB147" i="25" s="1"/>
  <c r="AI147" i="25" s="1"/>
  <c r="AE37" i="24"/>
  <c r="AI37" i="24"/>
  <c r="X37" i="24"/>
  <c r="AA37" i="24" s="1"/>
  <c r="AB37" i="24" s="1"/>
  <c r="AC37" i="24" s="1"/>
  <c r="V71" i="25"/>
  <c r="X71" i="25" s="1"/>
  <c r="V167" i="25"/>
  <c r="X167" i="25" s="1"/>
  <c r="V304" i="24"/>
  <c r="W304" i="24"/>
  <c r="AE272" i="24"/>
  <c r="AI272" i="24"/>
  <c r="X272" i="24"/>
  <c r="AA272" i="24" s="1"/>
  <c r="AB272" i="24" s="1"/>
  <c r="AC272" i="24" s="1"/>
  <c r="R39" i="25"/>
  <c r="S39" i="25"/>
  <c r="K39" i="25" s="1"/>
  <c r="Q39" i="25"/>
  <c r="AO39" i="25"/>
  <c r="BZ39" i="25"/>
  <c r="AG233" i="24"/>
  <c r="AF233" i="24"/>
  <c r="AJ132" i="24"/>
  <c r="S205" i="25"/>
  <c r="K205" i="25" s="1"/>
  <c r="V205" i="25" s="1"/>
  <c r="R205" i="25"/>
  <c r="Q205" i="25"/>
  <c r="AO205" i="25"/>
  <c r="BZ205" i="25"/>
  <c r="U25" i="25"/>
  <c r="AE95" i="24"/>
  <c r="AI95" i="24"/>
  <c r="X95" i="24"/>
  <c r="AA95" i="24" s="1"/>
  <c r="AB95" i="24" s="1"/>
  <c r="AC95" i="24" s="1"/>
  <c r="R102" i="25"/>
  <c r="S102" i="25"/>
  <c r="K102" i="25" s="1"/>
  <c r="Q102" i="25"/>
  <c r="AO102" i="25"/>
  <c r="BZ102" i="25"/>
  <c r="AE226" i="24"/>
  <c r="AI226" i="24"/>
  <c r="X226" i="24"/>
  <c r="AA226" i="24" s="1"/>
  <c r="AB226" i="24" s="1"/>
  <c r="AC226" i="24" s="1"/>
  <c r="S216" i="25"/>
  <c r="K216" i="25" s="1"/>
  <c r="R216" i="25"/>
  <c r="AO216" i="25"/>
  <c r="Q216" i="25"/>
  <c r="BZ216" i="25"/>
  <c r="S181" i="25"/>
  <c r="K181" i="25" s="1"/>
  <c r="R181" i="25"/>
  <c r="Q181" i="25"/>
  <c r="BZ181" i="25"/>
  <c r="AO181" i="25"/>
  <c r="W90" i="24"/>
  <c r="Y90" i="24" s="1"/>
  <c r="S81" i="25"/>
  <c r="K81" i="25" s="1"/>
  <c r="R81" i="25"/>
  <c r="Q81" i="25"/>
  <c r="AO81" i="25"/>
  <c r="BZ81" i="25"/>
  <c r="AE138" i="24"/>
  <c r="AI138" i="24"/>
  <c r="X138" i="24"/>
  <c r="AA138" i="24" s="1"/>
  <c r="AB138" i="24" s="1"/>
  <c r="AC138" i="24" s="1"/>
  <c r="AE201" i="24"/>
  <c r="AI201" i="24"/>
  <c r="X201" i="24"/>
  <c r="AA201" i="24" s="1"/>
  <c r="AB201" i="24" s="1"/>
  <c r="AC201" i="24" s="1"/>
  <c r="S157" i="25"/>
  <c r="K157" i="25" s="1"/>
  <c r="R157" i="25"/>
  <c r="Q157" i="25"/>
  <c r="BZ157" i="25"/>
  <c r="AO157" i="25"/>
  <c r="AE53" i="24"/>
  <c r="AI53" i="24"/>
  <c r="X53" i="24"/>
  <c r="AA53" i="24" s="1"/>
  <c r="AB53" i="24" s="1"/>
  <c r="AC53" i="24" s="1"/>
  <c r="AE176" i="24"/>
  <c r="AI176" i="24"/>
  <c r="X176" i="24"/>
  <c r="AA176" i="24" s="1"/>
  <c r="AB176" i="24" s="1"/>
  <c r="AC176" i="24" s="1"/>
  <c r="S145" i="25"/>
  <c r="K145" i="25" s="1"/>
  <c r="R145" i="25"/>
  <c r="Q145" i="25"/>
  <c r="AO145" i="25"/>
  <c r="BZ145" i="25"/>
  <c r="AE112" i="24"/>
  <c r="AI112" i="24"/>
  <c r="X112" i="24"/>
  <c r="AA112" i="24" s="1"/>
  <c r="AB112" i="24" s="1"/>
  <c r="AC112" i="24" s="1"/>
  <c r="AJ264" i="24"/>
  <c r="V146" i="24"/>
  <c r="W146" i="24"/>
  <c r="AE16" i="24"/>
  <c r="AI16" i="24"/>
  <c r="X16" i="24"/>
  <c r="AA16" i="24" s="1"/>
  <c r="AB16" i="24" s="1"/>
  <c r="AC16" i="24" s="1"/>
  <c r="W71" i="24"/>
  <c r="V71" i="24"/>
  <c r="V153" i="24"/>
  <c r="W153" i="24"/>
  <c r="V242" i="24"/>
  <c r="W242" i="24"/>
  <c r="Q122" i="24"/>
  <c r="P122" i="24"/>
  <c r="AP122" i="24"/>
  <c r="R269" i="25"/>
  <c r="S269" i="25"/>
  <c r="K269" i="25" s="1"/>
  <c r="Q269" i="25"/>
  <c r="AO269" i="25"/>
  <c r="BZ269" i="25"/>
  <c r="AE63" i="24"/>
  <c r="AI63" i="24"/>
  <c r="X63" i="24"/>
  <c r="AA63" i="24" s="1"/>
  <c r="AB63" i="24" s="1"/>
  <c r="AC63" i="24" s="1"/>
  <c r="U295" i="25"/>
  <c r="AD89" i="25"/>
  <c r="W89" i="25"/>
  <c r="Z89" i="25" s="1"/>
  <c r="AA89" i="25" s="1"/>
  <c r="AB89" i="25" s="1"/>
  <c r="AI89" i="25" s="1"/>
  <c r="S111" i="25"/>
  <c r="K111" i="25" s="1"/>
  <c r="R111" i="25"/>
  <c r="Q111" i="25"/>
  <c r="AO111" i="25"/>
  <c r="BZ111" i="25"/>
  <c r="U220" i="25"/>
  <c r="AE89" i="24"/>
  <c r="AI89" i="24"/>
  <c r="X89" i="24"/>
  <c r="AA89" i="24" s="1"/>
  <c r="AB89" i="24" s="1"/>
  <c r="AC89" i="24" s="1"/>
  <c r="AE198" i="24"/>
  <c r="AI198" i="24"/>
  <c r="X198" i="24"/>
  <c r="AA198" i="24" s="1"/>
  <c r="AB198" i="24" s="1"/>
  <c r="AC198" i="24" s="1"/>
  <c r="U260" i="25"/>
  <c r="AE223" i="24"/>
  <c r="AI223" i="24"/>
  <c r="X223" i="24"/>
  <c r="AA223" i="24" s="1"/>
  <c r="AB223" i="24" s="1"/>
  <c r="AC223" i="24" s="1"/>
  <c r="W127" i="24"/>
  <c r="Y127" i="24" s="1"/>
  <c r="AG45" i="24"/>
  <c r="AF45" i="24"/>
  <c r="P139" i="24"/>
  <c r="Q139" i="24"/>
  <c r="AP139" i="24"/>
  <c r="V63" i="24"/>
  <c r="W63" i="24"/>
  <c r="V240" i="24"/>
  <c r="W240" i="24"/>
  <c r="U78" i="25"/>
  <c r="W27" i="24"/>
  <c r="Y27" i="24" s="1"/>
  <c r="R121" i="25"/>
  <c r="S121" i="25"/>
  <c r="K121" i="25" s="1"/>
  <c r="Q121" i="25"/>
  <c r="BZ121" i="25"/>
  <c r="AO121" i="25"/>
  <c r="S168" i="25"/>
  <c r="K168" i="25" s="1"/>
  <c r="R168" i="25"/>
  <c r="Q168" i="25"/>
  <c r="AO168" i="25"/>
  <c r="BZ168" i="25"/>
  <c r="AE186" i="24"/>
  <c r="AI186" i="24"/>
  <c r="X186" i="24"/>
  <c r="AA186" i="24" s="1"/>
  <c r="AB186" i="24" s="1"/>
  <c r="AC186" i="24" s="1"/>
  <c r="U239" i="25"/>
  <c r="AE85" i="24"/>
  <c r="AI85" i="24"/>
  <c r="X85" i="24"/>
  <c r="AA85" i="24" s="1"/>
  <c r="AB85" i="24" s="1"/>
  <c r="AC85" i="24" s="1"/>
  <c r="W15" i="24"/>
  <c r="Y15" i="24" s="1"/>
  <c r="R222" i="25"/>
  <c r="S222" i="25"/>
  <c r="K222" i="25" s="1"/>
  <c r="Q222" i="25"/>
  <c r="AO222" i="25"/>
  <c r="BZ222" i="25"/>
  <c r="AE177" i="24"/>
  <c r="AI177" i="24"/>
  <c r="X177" i="24"/>
  <c r="AA177" i="24" s="1"/>
  <c r="AB177" i="24" s="1"/>
  <c r="AC177" i="24" s="1"/>
  <c r="P54" i="24"/>
  <c r="Q54" i="24"/>
  <c r="R54" i="24" s="1"/>
  <c r="AP54" i="24"/>
  <c r="AD262" i="25"/>
  <c r="W262" i="25"/>
  <c r="Z262" i="25" s="1"/>
  <c r="AA262" i="25" s="1"/>
  <c r="AB262" i="25" s="1"/>
  <c r="AI262" i="25" s="1"/>
  <c r="AE124" i="24"/>
  <c r="AI124" i="24"/>
  <c r="X124" i="24"/>
  <c r="AA124" i="24" s="1"/>
  <c r="AB124" i="24" s="1"/>
  <c r="AC124" i="24" s="1"/>
  <c r="S116" i="25"/>
  <c r="K116" i="25" s="1"/>
  <c r="V116" i="25" s="1"/>
  <c r="R116" i="25"/>
  <c r="Q116" i="25"/>
  <c r="AO116" i="25"/>
  <c r="BZ116" i="25"/>
  <c r="S253" i="25"/>
  <c r="K253" i="25" s="1"/>
  <c r="R253" i="25"/>
  <c r="Q253" i="25"/>
  <c r="BZ253" i="25"/>
  <c r="AO253" i="25"/>
  <c r="V246" i="25"/>
  <c r="X246" i="25" s="1"/>
  <c r="AE96" i="24"/>
  <c r="AI96" i="24"/>
  <c r="X96" i="24"/>
  <c r="AA96" i="24" s="1"/>
  <c r="AB96" i="24" s="1"/>
  <c r="AC96" i="24" s="1"/>
  <c r="R188" i="25"/>
  <c r="S188" i="25"/>
  <c r="K188" i="25" s="1"/>
  <c r="V188" i="25" s="1"/>
  <c r="Q188" i="25"/>
  <c r="AO188" i="25"/>
  <c r="BZ188" i="25"/>
  <c r="AE204" i="24"/>
  <c r="AI204" i="24"/>
  <c r="X204" i="24"/>
  <c r="AA204" i="24" s="1"/>
  <c r="AB204" i="24" s="1"/>
  <c r="AC204" i="24" s="1"/>
  <c r="Q220" i="24"/>
  <c r="P220" i="24"/>
  <c r="AP220" i="24"/>
  <c r="AD280" i="25" l="1"/>
  <c r="AE280" i="25" s="1"/>
  <c r="X187" i="25"/>
  <c r="X63" i="25"/>
  <c r="W280" i="25"/>
  <c r="Z280" i="25" s="1"/>
  <c r="AA280" i="25" s="1"/>
  <c r="AB280" i="25" s="1"/>
  <c r="AI280" i="25" s="1"/>
  <c r="AS280" i="25" s="1"/>
  <c r="X281" i="25"/>
  <c r="X251" i="25"/>
  <c r="Y124" i="24"/>
  <c r="Y221" i="24"/>
  <c r="Y243" i="24"/>
  <c r="Y141" i="24"/>
  <c r="Y291" i="24"/>
  <c r="Y177" i="24"/>
  <c r="X260" i="25"/>
  <c r="X105" i="25"/>
  <c r="W11" i="25"/>
  <c r="Z11" i="25" s="1"/>
  <c r="AA11" i="25" s="1"/>
  <c r="AB11" i="25" s="1"/>
  <c r="AI11" i="25" s="1"/>
  <c r="AS11" i="25" s="1"/>
  <c r="X78" i="25"/>
  <c r="X53" i="25"/>
  <c r="X18" i="25"/>
  <c r="X118" i="25"/>
  <c r="X249" i="25"/>
  <c r="X112" i="25"/>
  <c r="Y185" i="24"/>
  <c r="Y184" i="24"/>
  <c r="Y161" i="24"/>
  <c r="Y153" i="24"/>
  <c r="Y197" i="24"/>
  <c r="Y136" i="24"/>
  <c r="X234" i="25"/>
  <c r="Y280" i="24"/>
  <c r="Y156" i="24"/>
  <c r="Y297" i="24"/>
  <c r="X25" i="25"/>
  <c r="Y293" i="24"/>
  <c r="X183" i="25"/>
  <c r="Y174" i="24"/>
  <c r="Y282" i="24"/>
  <c r="Y179" i="24"/>
  <c r="Y288" i="24"/>
  <c r="Y145" i="24"/>
  <c r="Y154" i="24"/>
  <c r="Y245" i="24"/>
  <c r="Y256" i="24"/>
  <c r="X220" i="25"/>
  <c r="X169" i="25"/>
  <c r="X40" i="25"/>
  <c r="Y159" i="24"/>
  <c r="Y315" i="24"/>
  <c r="Y235" i="24"/>
  <c r="Y209" i="24"/>
  <c r="Y309" i="24"/>
  <c r="Y204" i="24"/>
  <c r="Y126" i="24"/>
  <c r="Y123" i="24"/>
  <c r="Y308" i="24"/>
  <c r="Y111" i="24"/>
  <c r="Y228" i="24"/>
  <c r="Y203" i="24"/>
  <c r="Y259" i="24"/>
  <c r="Y301" i="24"/>
  <c r="Y299" i="24"/>
  <c r="Y255" i="24"/>
  <c r="Y263" i="24"/>
  <c r="Y36" i="24"/>
  <c r="Y261" i="24"/>
  <c r="Y149" i="24"/>
  <c r="X239" i="25"/>
  <c r="X103" i="25"/>
  <c r="X44" i="25"/>
  <c r="X56" i="25"/>
  <c r="X298" i="25"/>
  <c r="X295" i="25"/>
  <c r="Y187" i="24"/>
  <c r="Y194" i="24"/>
  <c r="Y222" i="24"/>
  <c r="X55" i="25"/>
  <c r="Y151" i="24"/>
  <c r="Y144" i="24"/>
  <c r="Y295" i="24"/>
  <c r="Y158" i="24"/>
  <c r="Y143" i="24"/>
  <c r="Y183" i="24"/>
  <c r="Y266" i="24"/>
  <c r="Y135" i="24"/>
  <c r="X38" i="25"/>
  <c r="Y247" i="24"/>
  <c r="Y115" i="24"/>
  <c r="Y275" i="24"/>
  <c r="Y164" i="24"/>
  <c r="Y316" i="24"/>
  <c r="Y206" i="24"/>
  <c r="Y168" i="24"/>
  <c r="Y131" i="24"/>
  <c r="Y277" i="24"/>
  <c r="Y242" i="24"/>
  <c r="Y300" i="24"/>
  <c r="Y171" i="24"/>
  <c r="Y170" i="24"/>
  <c r="Y244" i="24"/>
  <c r="Y146" i="24"/>
  <c r="Y304" i="24"/>
  <c r="Y117" i="24"/>
  <c r="X66" i="25"/>
  <c r="X207" i="25"/>
  <c r="Y250" i="24"/>
  <c r="Y262" i="24"/>
  <c r="Y241" i="24"/>
  <c r="Y148" i="24"/>
  <c r="Y260" i="24"/>
  <c r="Y192" i="24"/>
  <c r="Y114" i="24"/>
  <c r="Y195" i="24"/>
  <c r="Y220" i="24"/>
  <c r="Y139" i="24"/>
  <c r="Y122" i="24"/>
  <c r="X47" i="25"/>
  <c r="Y229" i="24"/>
  <c r="Y283" i="24"/>
  <c r="Y138" i="24"/>
  <c r="Y113" i="24"/>
  <c r="Y140" i="24"/>
  <c r="Y298" i="24"/>
  <c r="Y240" i="24"/>
  <c r="Y196" i="24"/>
  <c r="Y112" i="24"/>
  <c r="Y186" i="24"/>
  <c r="Y239" i="24"/>
  <c r="Y210" i="24"/>
  <c r="Y232" i="24"/>
  <c r="Y176" i="24"/>
  <c r="Y249" i="24"/>
  <c r="X272" i="25"/>
  <c r="X140" i="25"/>
  <c r="X10" i="25"/>
  <c r="X266" i="25"/>
  <c r="X223" i="25"/>
  <c r="X138" i="25"/>
  <c r="X90" i="25"/>
  <c r="X307" i="25"/>
  <c r="X209" i="25"/>
  <c r="X101" i="25"/>
  <c r="X116" i="25"/>
  <c r="X74" i="25"/>
  <c r="X26" i="25"/>
  <c r="X225" i="25"/>
  <c r="X203" i="25"/>
  <c r="X123" i="25"/>
  <c r="X139" i="25"/>
  <c r="X99" i="25"/>
  <c r="X288" i="25"/>
  <c r="X196" i="25"/>
  <c r="X205" i="25"/>
  <c r="X217" i="25"/>
  <c r="X73" i="25"/>
  <c r="X165" i="25"/>
  <c r="X160" i="25"/>
  <c r="X175" i="25"/>
  <c r="X231" i="25"/>
  <c r="X122" i="25"/>
  <c r="X188" i="25"/>
  <c r="X84" i="25"/>
  <c r="X202" i="25"/>
  <c r="X171" i="25"/>
  <c r="X194" i="25"/>
  <c r="X197" i="25"/>
  <c r="X221" i="25"/>
  <c r="X27" i="25"/>
  <c r="X228" i="25"/>
  <c r="X41" i="25"/>
  <c r="X22" i="25"/>
  <c r="X242" i="25"/>
  <c r="X208" i="25"/>
  <c r="X218" i="25"/>
  <c r="X79" i="25"/>
  <c r="X302" i="25"/>
  <c r="X303" i="25"/>
  <c r="X159" i="25"/>
  <c r="X287" i="25"/>
  <c r="Y78" i="24"/>
  <c r="Y33" i="24"/>
  <c r="Y102" i="24"/>
  <c r="Y26" i="24"/>
  <c r="Y89" i="24"/>
  <c r="Y93" i="24"/>
  <c r="Y65" i="24"/>
  <c r="Y28" i="24"/>
  <c r="Y31" i="24"/>
  <c r="Y69" i="24"/>
  <c r="Y34" i="24"/>
  <c r="Y95" i="24"/>
  <c r="Y9" i="24"/>
  <c r="Y58" i="24"/>
  <c r="Y64" i="24"/>
  <c r="Y54" i="24"/>
  <c r="Y38" i="24"/>
  <c r="Y29" i="24"/>
  <c r="Y104" i="24"/>
  <c r="Y94" i="24"/>
  <c r="Y63" i="24"/>
  <c r="Y73" i="24"/>
  <c r="Y51" i="24"/>
  <c r="Y71" i="24"/>
  <c r="Y80" i="24"/>
  <c r="Y23" i="24"/>
  <c r="Y17" i="24"/>
  <c r="Y100" i="24"/>
  <c r="Y96" i="24"/>
  <c r="Y103" i="24"/>
  <c r="Y39" i="24"/>
  <c r="Y46" i="24"/>
  <c r="Y85" i="24"/>
  <c r="Y57" i="24"/>
  <c r="Y42" i="24"/>
  <c r="Y75" i="24"/>
  <c r="Y59" i="24"/>
  <c r="Y92" i="24"/>
  <c r="Y98" i="24"/>
  <c r="Y8" i="24"/>
  <c r="Y37" i="24"/>
  <c r="AD11" i="25"/>
  <c r="AE11" i="25" s="1"/>
  <c r="V155" i="25"/>
  <c r="X155" i="25" s="1"/>
  <c r="AJ194" i="24"/>
  <c r="AT194" i="24" s="1"/>
  <c r="AJ208" i="24"/>
  <c r="AT208" i="24" s="1"/>
  <c r="AJ205" i="24"/>
  <c r="AT205" i="24" s="1"/>
  <c r="AJ186" i="24"/>
  <c r="AT186" i="24" s="1"/>
  <c r="AJ192" i="24"/>
  <c r="AT192" i="24" s="1"/>
  <c r="AJ209" i="24"/>
  <c r="AT209" i="24" s="1"/>
  <c r="AJ201" i="24"/>
  <c r="AT201" i="24" s="1"/>
  <c r="AJ195" i="24"/>
  <c r="AT195" i="24" s="1"/>
  <c r="AJ189" i="24"/>
  <c r="AT189" i="24" s="1"/>
  <c r="AJ207" i="24"/>
  <c r="AT207" i="24" s="1"/>
  <c r="AJ202" i="24"/>
  <c r="AT202" i="24" s="1"/>
  <c r="AJ199" i="24"/>
  <c r="AT199" i="24" s="1"/>
  <c r="AD155" i="25"/>
  <c r="AF155" i="25" s="1"/>
  <c r="AV45" i="24"/>
  <c r="AV41" i="24"/>
  <c r="AT21" i="24"/>
  <c r="BA21" i="24" s="1"/>
  <c r="AV101" i="24"/>
  <c r="AV55" i="24"/>
  <c r="AT44" i="24"/>
  <c r="BA44" i="24" s="1"/>
  <c r="AV7" i="24"/>
  <c r="AJ204" i="24"/>
  <c r="AT204" i="24" s="1"/>
  <c r="AJ198" i="24"/>
  <c r="AT198" i="24" s="1"/>
  <c r="AJ203" i="24"/>
  <c r="AT203" i="24" s="1"/>
  <c r="AJ196" i="24"/>
  <c r="AT196" i="24" s="1"/>
  <c r="AJ206" i="24"/>
  <c r="AT206" i="24" s="1"/>
  <c r="AJ200" i="24"/>
  <c r="AT200" i="24" s="1"/>
  <c r="AJ185" i="24"/>
  <c r="AT185" i="24" s="1"/>
  <c r="AJ197" i="24"/>
  <c r="AT197" i="24" s="1"/>
  <c r="AJ188" i="24"/>
  <c r="AT188" i="24" s="1"/>
  <c r="AJ210" i="24"/>
  <c r="AT210" i="24" s="1"/>
  <c r="AJ187" i="24"/>
  <c r="AT187" i="24" s="1"/>
  <c r="AJ193" i="24"/>
  <c r="AT193" i="24" s="1"/>
  <c r="AJ184" i="24"/>
  <c r="AT184" i="24" s="1"/>
  <c r="V96" i="25"/>
  <c r="X96" i="25" s="1"/>
  <c r="W96" i="25"/>
  <c r="Z96" i="25" s="1"/>
  <c r="AA96" i="25" s="1"/>
  <c r="AB96" i="25" s="1"/>
  <c r="AI96" i="25" s="1"/>
  <c r="AS96" i="25" s="1"/>
  <c r="AJ178" i="24"/>
  <c r="AT178" i="24" s="1"/>
  <c r="AJ174" i="24"/>
  <c r="AT174" i="24" s="1"/>
  <c r="AJ173" i="24"/>
  <c r="AT173" i="24" s="1"/>
  <c r="AJ181" i="24"/>
  <c r="AT181" i="24" s="1"/>
  <c r="AJ171" i="24"/>
  <c r="AT171" i="24" s="1"/>
  <c r="AJ175" i="24"/>
  <c r="AT175" i="24" s="1"/>
  <c r="AJ180" i="24"/>
  <c r="AT180" i="24" s="1"/>
  <c r="AJ177" i="24"/>
  <c r="AT177" i="24" s="1"/>
  <c r="AJ103" i="24"/>
  <c r="AJ105" i="24"/>
  <c r="AJ96" i="24"/>
  <c r="AJ94" i="24"/>
  <c r="AJ99" i="24"/>
  <c r="W258" i="25"/>
  <c r="Z258" i="25" s="1"/>
  <c r="AA258" i="25" s="1"/>
  <c r="AB258" i="25" s="1"/>
  <c r="AI258" i="25" s="1"/>
  <c r="AS258" i="25" s="1"/>
  <c r="AD258" i="25"/>
  <c r="AE258" i="25" s="1"/>
  <c r="AV44" i="24"/>
  <c r="AF143" i="25"/>
  <c r="AM143" i="25" s="1"/>
  <c r="BG143" i="25" s="1"/>
  <c r="AJ170" i="24"/>
  <c r="AT170" i="24" s="1"/>
  <c r="AJ161" i="24"/>
  <c r="AT161" i="24" s="1"/>
  <c r="AJ85" i="24"/>
  <c r="AJ89" i="24"/>
  <c r="AJ165" i="24"/>
  <c r="AT165" i="24" s="1"/>
  <c r="W154" i="25"/>
  <c r="Z154" i="25" s="1"/>
  <c r="AA154" i="25" s="1"/>
  <c r="AB154" i="25" s="1"/>
  <c r="AI154" i="25" s="1"/>
  <c r="AS154" i="25" s="1"/>
  <c r="AD154" i="25"/>
  <c r="AJ176" i="24"/>
  <c r="AT176" i="24" s="1"/>
  <c r="AJ91" i="24"/>
  <c r="AJ158" i="24"/>
  <c r="AT158" i="24" s="1"/>
  <c r="AJ168" i="24"/>
  <c r="AT168" i="24" s="1"/>
  <c r="AT101" i="24"/>
  <c r="BA101" i="24" s="1"/>
  <c r="AJ163" i="24"/>
  <c r="AT163" i="24" s="1"/>
  <c r="AJ169" i="24"/>
  <c r="AT169" i="24" s="1"/>
  <c r="AJ167" i="24"/>
  <c r="AT167" i="24" s="1"/>
  <c r="AJ182" i="24"/>
  <c r="AT182" i="24" s="1"/>
  <c r="AJ183" i="24"/>
  <c r="AT183" i="24" s="1"/>
  <c r="AJ172" i="24"/>
  <c r="AT172" i="24" s="1"/>
  <c r="AJ164" i="24"/>
  <c r="AT164" i="24" s="1"/>
  <c r="AJ179" i="24"/>
  <c r="AT179" i="24" s="1"/>
  <c r="AD189" i="25"/>
  <c r="AF189" i="25" s="1"/>
  <c r="AT41" i="24"/>
  <c r="BA41" i="24" s="1"/>
  <c r="AJ69" i="24"/>
  <c r="AJ66" i="24"/>
  <c r="W97" i="25"/>
  <c r="Z97" i="25" s="1"/>
  <c r="AA97" i="25" s="1"/>
  <c r="AB97" i="25" s="1"/>
  <c r="AI97" i="25" s="1"/>
  <c r="AS97" i="25" s="1"/>
  <c r="AD97" i="25"/>
  <c r="AE97" i="25" s="1"/>
  <c r="AJ75" i="24"/>
  <c r="AJ93" i="24"/>
  <c r="AJ95" i="24"/>
  <c r="AJ84" i="24"/>
  <c r="AJ62" i="24"/>
  <c r="AJ157" i="24"/>
  <c r="AT157" i="24" s="1"/>
  <c r="AJ102" i="24"/>
  <c r="AJ90" i="24"/>
  <c r="AJ97" i="24"/>
  <c r="AJ74" i="24"/>
  <c r="AT7" i="24"/>
  <c r="BA7" i="24" s="1"/>
  <c r="AJ100" i="24"/>
  <c r="AJ98" i="24"/>
  <c r="AJ104" i="24"/>
  <c r="AJ81" i="24"/>
  <c r="AJ67" i="24"/>
  <c r="AJ79" i="24"/>
  <c r="AJ73" i="24"/>
  <c r="AJ92" i="24"/>
  <c r="AJ80" i="24"/>
  <c r="AJ86" i="24"/>
  <c r="AJ65" i="24"/>
  <c r="AJ70" i="24"/>
  <c r="AJ87" i="24"/>
  <c r="AJ88" i="24"/>
  <c r="AJ82" i="24"/>
  <c r="AJ68" i="24"/>
  <c r="AJ83" i="24"/>
  <c r="AJ72" i="24"/>
  <c r="AJ316" i="24"/>
  <c r="AT316" i="24" s="1"/>
  <c r="AT55" i="24"/>
  <c r="BA55" i="24" s="1"/>
  <c r="W179" i="25"/>
  <c r="Z179" i="25" s="1"/>
  <c r="AA179" i="25" s="1"/>
  <c r="AB179" i="25" s="1"/>
  <c r="AI179" i="25" s="1"/>
  <c r="AS179" i="25" s="1"/>
  <c r="AD179" i="25"/>
  <c r="AE179" i="25" s="1"/>
  <c r="V29" i="25"/>
  <c r="X29" i="25" s="1"/>
  <c r="W29" i="25"/>
  <c r="Z29" i="25" s="1"/>
  <c r="AA29" i="25" s="1"/>
  <c r="AB29" i="25" s="1"/>
  <c r="AI29" i="25" s="1"/>
  <c r="AS29" i="25" s="1"/>
  <c r="V28" i="25"/>
  <c r="X28" i="25" s="1"/>
  <c r="W291" i="25"/>
  <c r="Z291" i="25" s="1"/>
  <c r="AA291" i="25" s="1"/>
  <c r="AB291" i="25" s="1"/>
  <c r="AI291" i="25" s="1"/>
  <c r="AS291" i="25" s="1"/>
  <c r="W28" i="25"/>
  <c r="Z28" i="25" s="1"/>
  <c r="AA28" i="25" s="1"/>
  <c r="AB28" i="25" s="1"/>
  <c r="AI28" i="25" s="1"/>
  <c r="AS28" i="25" s="1"/>
  <c r="AD291" i="25"/>
  <c r="AE291" i="25" s="1"/>
  <c r="V265" i="25"/>
  <c r="X265" i="25" s="1"/>
  <c r="W265" i="25"/>
  <c r="Z265" i="25" s="1"/>
  <c r="AA265" i="25" s="1"/>
  <c r="AB265" i="25" s="1"/>
  <c r="AI265" i="25" s="1"/>
  <c r="AS265" i="25" s="1"/>
  <c r="AT45" i="24"/>
  <c r="BA45" i="24" s="1"/>
  <c r="AJ314" i="24"/>
  <c r="AT314" i="24" s="1"/>
  <c r="AV21" i="24"/>
  <c r="V189" i="25"/>
  <c r="X189" i="25" s="1"/>
  <c r="V104" i="25"/>
  <c r="X104" i="25" s="1"/>
  <c r="AD104" i="25"/>
  <c r="AF104" i="25" s="1"/>
  <c r="AJ311" i="24"/>
  <c r="AT311" i="24" s="1"/>
  <c r="AJ309" i="24"/>
  <c r="AT309" i="24" s="1"/>
  <c r="AJ307" i="24"/>
  <c r="AT307" i="24" s="1"/>
  <c r="AJ308" i="24"/>
  <c r="AT308" i="24" s="1"/>
  <c r="AJ156" i="24"/>
  <c r="AT156" i="24" s="1"/>
  <c r="AJ159" i="24"/>
  <c r="AT159" i="24" s="1"/>
  <c r="AJ76" i="24"/>
  <c r="AJ166" i="24"/>
  <c r="AT166" i="24" s="1"/>
  <c r="AJ312" i="24"/>
  <c r="AT312" i="24" s="1"/>
  <c r="AJ71" i="24"/>
  <c r="AJ315" i="24"/>
  <c r="AT315" i="24" s="1"/>
  <c r="AJ310" i="24"/>
  <c r="AT310" i="24" s="1"/>
  <c r="AJ78" i="24"/>
  <c r="AJ77" i="24"/>
  <c r="AJ64" i="24"/>
  <c r="AJ313" i="24"/>
  <c r="AT313" i="24" s="1"/>
  <c r="AD237" i="25"/>
  <c r="AE237" i="25" s="1"/>
  <c r="W237" i="25"/>
  <c r="Z237" i="25" s="1"/>
  <c r="AA237" i="25" s="1"/>
  <c r="AB237" i="25" s="1"/>
  <c r="AI237" i="25" s="1"/>
  <c r="AS237" i="25" s="1"/>
  <c r="AJ63" i="24"/>
  <c r="AJ61" i="24"/>
  <c r="AJ116" i="24"/>
  <c r="AT116" i="24" s="1"/>
  <c r="N212" i="25"/>
  <c r="BI212" i="25"/>
  <c r="AH212" i="25"/>
  <c r="BQ212" i="25"/>
  <c r="AJ252" i="24"/>
  <c r="AT252" i="24" s="1"/>
  <c r="AJ151" i="24"/>
  <c r="AT151" i="24" s="1"/>
  <c r="AJ115" i="24"/>
  <c r="AT115" i="24" s="1"/>
  <c r="AJ303" i="24"/>
  <c r="AT303" i="24" s="1"/>
  <c r="AJ275" i="24"/>
  <c r="AT275" i="24" s="1"/>
  <c r="AJ53" i="24"/>
  <c r="AJ47" i="24"/>
  <c r="AJ289" i="24"/>
  <c r="AT289" i="24" s="1"/>
  <c r="AJ254" i="24"/>
  <c r="AT254" i="24" s="1"/>
  <c r="AJ268" i="24"/>
  <c r="AT268" i="24" s="1"/>
  <c r="AJ141" i="24"/>
  <c r="AT141" i="24" s="1"/>
  <c r="AJ251" i="24"/>
  <c r="AT251" i="24" s="1"/>
  <c r="AJ60" i="24"/>
  <c r="V77" i="25"/>
  <c r="X77" i="25" s="1"/>
  <c r="AD77" i="25"/>
  <c r="W77" i="25"/>
  <c r="Z77" i="25" s="1"/>
  <c r="AA77" i="25" s="1"/>
  <c r="AB77" i="25" s="1"/>
  <c r="AI77" i="25" s="1"/>
  <c r="AS77" i="25" s="1"/>
  <c r="AW77" i="25" s="1"/>
  <c r="AJ272" i="24"/>
  <c r="AT272" i="24" s="1"/>
  <c r="AJ288" i="24"/>
  <c r="AT288" i="24" s="1"/>
  <c r="AJ40" i="24"/>
  <c r="AJ23" i="24"/>
  <c r="AJ276" i="24"/>
  <c r="AT276" i="24" s="1"/>
  <c r="AJ42" i="24"/>
  <c r="AJ286" i="24"/>
  <c r="AT286" i="24" s="1"/>
  <c r="AJ231" i="24"/>
  <c r="AT231" i="24" s="1"/>
  <c r="AJ143" i="24"/>
  <c r="AT143" i="24" s="1"/>
  <c r="AJ139" i="24"/>
  <c r="AT139" i="24" s="1"/>
  <c r="AJ11" i="24"/>
  <c r="AJ52" i="24"/>
  <c r="AJ144" i="24"/>
  <c r="AT144" i="24" s="1"/>
  <c r="AJ39" i="24"/>
  <c r="AJ127" i="24"/>
  <c r="AT127" i="24" s="1"/>
  <c r="AJ36" i="24"/>
  <c r="AJ137" i="24"/>
  <c r="AT137" i="24" s="1"/>
  <c r="AJ245" i="24"/>
  <c r="AT245" i="24" s="1"/>
  <c r="AJ149" i="24"/>
  <c r="AT149" i="24" s="1"/>
  <c r="AJ140" i="24"/>
  <c r="AT140" i="24" s="1"/>
  <c r="AJ285" i="24"/>
  <c r="AT285" i="24" s="1"/>
  <c r="AJ223" i="24"/>
  <c r="AT223" i="24" s="1"/>
  <c r="AJ13" i="24"/>
  <c r="AJ239" i="24"/>
  <c r="AT239" i="24" s="1"/>
  <c r="AJ262" i="24"/>
  <c r="AT262" i="24" s="1"/>
  <c r="AJ291" i="24"/>
  <c r="AT291" i="24" s="1"/>
  <c r="AJ277" i="24"/>
  <c r="AT277" i="24" s="1"/>
  <c r="AJ234" i="24"/>
  <c r="AT234" i="24" s="1"/>
  <c r="AJ217" i="24"/>
  <c r="AT217" i="24" s="1"/>
  <c r="AJ31" i="24"/>
  <c r="AJ293" i="24"/>
  <c r="AT293" i="24" s="1"/>
  <c r="AJ154" i="24"/>
  <c r="AT154" i="24" s="1"/>
  <c r="AJ50" i="24"/>
  <c r="AJ306" i="24"/>
  <c r="AT306" i="24" s="1"/>
  <c r="AJ49" i="24"/>
  <c r="AJ230" i="24"/>
  <c r="AT230" i="24" s="1"/>
  <c r="AJ241" i="24"/>
  <c r="AT241" i="24" s="1"/>
  <c r="AJ46" i="24"/>
  <c r="AJ150" i="24"/>
  <c r="AT150" i="24" s="1"/>
  <c r="AJ38" i="24"/>
  <c r="AJ226" i="24"/>
  <c r="AT226" i="24" s="1"/>
  <c r="AJ302" i="24"/>
  <c r="AT302" i="24" s="1"/>
  <c r="AJ122" i="24"/>
  <c r="AT122" i="24" s="1"/>
  <c r="AJ229" i="24"/>
  <c r="AT229" i="24" s="1"/>
  <c r="AJ244" i="24"/>
  <c r="AT244" i="24" s="1"/>
  <c r="AJ15" i="24"/>
  <c r="AJ256" i="24"/>
  <c r="AT256" i="24" s="1"/>
  <c r="AJ287" i="24"/>
  <c r="AT287" i="24" s="1"/>
  <c r="AJ270" i="24"/>
  <c r="AT270" i="24" s="1"/>
  <c r="AJ304" i="24"/>
  <c r="AT304" i="24" s="1"/>
  <c r="AJ146" i="24"/>
  <c r="AT146" i="24" s="1"/>
  <c r="AJ134" i="24"/>
  <c r="AT134" i="24" s="1"/>
  <c r="AJ138" i="24"/>
  <c r="AT138" i="24" s="1"/>
  <c r="AJ27" i="24"/>
  <c r="AJ136" i="24"/>
  <c r="AT136" i="24" s="1"/>
  <c r="AJ43" i="24"/>
  <c r="AJ10" i="24"/>
  <c r="AJ300" i="24"/>
  <c r="AT300" i="24" s="1"/>
  <c r="AJ29" i="24"/>
  <c r="AJ255" i="24"/>
  <c r="AT255" i="24" s="1"/>
  <c r="AJ278" i="24"/>
  <c r="AT278" i="24" s="1"/>
  <c r="AJ246" i="24"/>
  <c r="AT246" i="24" s="1"/>
  <c r="AJ250" i="24"/>
  <c r="AT250" i="24" s="1"/>
  <c r="AJ16" i="24"/>
  <c r="AJ227" i="24"/>
  <c r="AT227" i="24" s="1"/>
  <c r="AJ222" i="24"/>
  <c r="AT222" i="24" s="1"/>
  <c r="AJ124" i="24"/>
  <c r="AT124" i="24" s="1"/>
  <c r="AJ14" i="24"/>
  <c r="AJ118" i="24"/>
  <c r="AT118" i="24" s="1"/>
  <c r="AJ113" i="24"/>
  <c r="AT113" i="24" s="1"/>
  <c r="AJ220" i="24"/>
  <c r="AT220" i="24" s="1"/>
  <c r="AJ131" i="24"/>
  <c r="AT131" i="24" s="1"/>
  <c r="AJ25" i="24"/>
  <c r="AJ221" i="24"/>
  <c r="AT221" i="24" s="1"/>
  <c r="AD253" i="25"/>
  <c r="W253" i="25"/>
  <c r="Z253" i="25" s="1"/>
  <c r="AA253" i="25" s="1"/>
  <c r="AB253" i="25" s="1"/>
  <c r="AI253" i="25" s="1"/>
  <c r="V253" i="25"/>
  <c r="X253" i="25" s="1"/>
  <c r="AG223" i="24"/>
  <c r="AF223" i="24"/>
  <c r="AD102" i="25"/>
  <c r="W102" i="25"/>
  <c r="Z102" i="25" s="1"/>
  <c r="AA102" i="25" s="1"/>
  <c r="AB102" i="25" s="1"/>
  <c r="AI102" i="25" s="1"/>
  <c r="V102" i="25"/>
  <c r="X102" i="25" s="1"/>
  <c r="AF192" i="25"/>
  <c r="AE192" i="25"/>
  <c r="AG124" i="24"/>
  <c r="AF124" i="24"/>
  <c r="AD222" i="25"/>
  <c r="W222" i="25"/>
  <c r="Z222" i="25" s="1"/>
  <c r="AA222" i="25" s="1"/>
  <c r="AB222" i="25" s="1"/>
  <c r="AI222" i="25" s="1"/>
  <c r="AN45" i="24"/>
  <c r="AK45" i="24"/>
  <c r="AG89" i="24"/>
  <c r="AF89" i="24"/>
  <c r="AD111" i="25"/>
  <c r="W111" i="25"/>
  <c r="Z111" i="25" s="1"/>
  <c r="AA111" i="25" s="1"/>
  <c r="AB111" i="25" s="1"/>
  <c r="AI111" i="25" s="1"/>
  <c r="V111" i="25"/>
  <c r="X111" i="25" s="1"/>
  <c r="AD157" i="25"/>
  <c r="W157" i="25"/>
  <c r="Z157" i="25" s="1"/>
  <c r="AA157" i="25" s="1"/>
  <c r="AB157" i="25" s="1"/>
  <c r="AI157" i="25" s="1"/>
  <c r="AD181" i="25"/>
  <c r="W181" i="25"/>
  <c r="Z181" i="25" s="1"/>
  <c r="AA181" i="25" s="1"/>
  <c r="AB181" i="25" s="1"/>
  <c r="AI181" i="25" s="1"/>
  <c r="AG37" i="24"/>
  <c r="AF37" i="24"/>
  <c r="AD134" i="25"/>
  <c r="W134" i="25"/>
  <c r="Z134" i="25" s="1"/>
  <c r="AA134" i="25" s="1"/>
  <c r="AB134" i="25" s="1"/>
  <c r="AI134" i="25" s="1"/>
  <c r="V134" i="25"/>
  <c r="X134" i="25" s="1"/>
  <c r="AG312" i="24"/>
  <c r="AF312" i="24"/>
  <c r="AS267" i="25"/>
  <c r="AG242" i="24"/>
  <c r="AF242" i="24"/>
  <c r="AG12" i="24"/>
  <c r="AF12" i="24"/>
  <c r="AS82" i="25"/>
  <c r="AD299" i="25"/>
  <c r="W299" i="25"/>
  <c r="Z299" i="25" s="1"/>
  <c r="AA299" i="25" s="1"/>
  <c r="AB299" i="25" s="1"/>
  <c r="AI299" i="25" s="1"/>
  <c r="AF199" i="25"/>
  <c r="AE199" i="25"/>
  <c r="AJ228" i="24"/>
  <c r="AD76" i="25"/>
  <c r="W76" i="25"/>
  <c r="Z76" i="25" s="1"/>
  <c r="AA76" i="25" s="1"/>
  <c r="AB76" i="25" s="1"/>
  <c r="AI76" i="25" s="1"/>
  <c r="AF314" i="25"/>
  <c r="AE314" i="25"/>
  <c r="AJ135" i="24"/>
  <c r="AG78" i="24"/>
  <c r="AF78" i="24"/>
  <c r="AK142" i="24"/>
  <c r="AN142" i="24"/>
  <c r="AG295" i="24"/>
  <c r="AF295" i="24"/>
  <c r="AK119" i="24"/>
  <c r="AN119" i="24"/>
  <c r="AK257" i="24"/>
  <c r="AN257" i="24"/>
  <c r="BI257" i="24" s="1"/>
  <c r="AS161" i="25"/>
  <c r="AG253" i="24"/>
  <c r="AF253" i="24"/>
  <c r="AE28" i="25"/>
  <c r="AG152" i="24"/>
  <c r="AF152" i="24"/>
  <c r="AD125" i="25"/>
  <c r="W125" i="25"/>
  <c r="Z125" i="25" s="1"/>
  <c r="AA125" i="25" s="1"/>
  <c r="AB125" i="25" s="1"/>
  <c r="AI125" i="25" s="1"/>
  <c r="AJ26" i="24"/>
  <c r="AG100" i="24"/>
  <c r="AF100" i="24"/>
  <c r="AD295" i="25"/>
  <c r="W295" i="25"/>
  <c r="Z295" i="25" s="1"/>
  <c r="AA295" i="25" s="1"/>
  <c r="AB295" i="25" s="1"/>
  <c r="AI295" i="25" s="1"/>
  <c r="BA119" i="24"/>
  <c r="AJ35" i="24"/>
  <c r="AD298" i="25"/>
  <c r="W298" i="25"/>
  <c r="Z298" i="25" s="1"/>
  <c r="AA298" i="25" s="1"/>
  <c r="AB298" i="25" s="1"/>
  <c r="AI298" i="25" s="1"/>
  <c r="AJ153" i="24"/>
  <c r="AD277" i="25"/>
  <c r="W277" i="25"/>
  <c r="Z277" i="25" s="1"/>
  <c r="AA277" i="25" s="1"/>
  <c r="AB277" i="25" s="1"/>
  <c r="AI277" i="25" s="1"/>
  <c r="AD152" i="25"/>
  <c r="W152" i="25"/>
  <c r="Z152" i="25" s="1"/>
  <c r="AA152" i="25" s="1"/>
  <c r="AB152" i="25" s="1"/>
  <c r="AI152" i="25" s="1"/>
  <c r="V152" i="25"/>
  <c r="X152" i="25" s="1"/>
  <c r="AD250" i="25"/>
  <c r="W250" i="25"/>
  <c r="Z250" i="25" s="1"/>
  <c r="AA250" i="25" s="1"/>
  <c r="AB250" i="25" s="1"/>
  <c r="AI250" i="25" s="1"/>
  <c r="V250" i="25"/>
  <c r="X250" i="25" s="1"/>
  <c r="AD48" i="25"/>
  <c r="W48" i="25"/>
  <c r="Z48" i="25" s="1"/>
  <c r="AA48" i="25" s="1"/>
  <c r="AB48" i="25" s="1"/>
  <c r="AI48" i="25" s="1"/>
  <c r="V48" i="25"/>
  <c r="X48" i="25" s="1"/>
  <c r="AJ249" i="24"/>
  <c r="AF31" i="25"/>
  <c r="AE31" i="25"/>
  <c r="AG66" i="24"/>
  <c r="AF66" i="24"/>
  <c r="AS247" i="25"/>
  <c r="AF204" i="25"/>
  <c r="AE204" i="25"/>
  <c r="AJ111" i="24"/>
  <c r="AD187" i="25"/>
  <c r="W187" i="25"/>
  <c r="Z187" i="25" s="1"/>
  <c r="AA187" i="25" s="1"/>
  <c r="AB187" i="25" s="1"/>
  <c r="AI187" i="25" s="1"/>
  <c r="AJ51" i="24"/>
  <c r="AG306" i="24"/>
  <c r="AF306" i="24"/>
  <c r="AG80" i="24"/>
  <c r="AF80" i="24"/>
  <c r="AG244" i="24"/>
  <c r="AF244" i="24"/>
  <c r="AS62" i="25"/>
  <c r="AJ301" i="24"/>
  <c r="AD24" i="25"/>
  <c r="W24" i="25"/>
  <c r="Z24" i="25" s="1"/>
  <c r="AA24" i="25" s="1"/>
  <c r="AB24" i="25" s="1"/>
  <c r="AI24" i="25" s="1"/>
  <c r="V24" i="25"/>
  <c r="X24" i="25" s="1"/>
  <c r="AJ129" i="25"/>
  <c r="AM129" i="25"/>
  <c r="BG129" i="25" s="1"/>
  <c r="AG91" i="24"/>
  <c r="AF91" i="24"/>
  <c r="AG67" i="24"/>
  <c r="AF67" i="24"/>
  <c r="AD166" i="25"/>
  <c r="W166" i="25"/>
  <c r="Z166" i="25" s="1"/>
  <c r="AA166" i="25" s="1"/>
  <c r="AB166" i="25" s="1"/>
  <c r="AI166" i="25" s="1"/>
  <c r="V166" i="25"/>
  <c r="X166" i="25" s="1"/>
  <c r="AJ133" i="24"/>
  <c r="AN41" i="24"/>
  <c r="AK41" i="24"/>
  <c r="AF282" i="25"/>
  <c r="AE282" i="25"/>
  <c r="AD37" i="25"/>
  <c r="W37" i="25"/>
  <c r="Z37" i="25" s="1"/>
  <c r="AA37" i="25" s="1"/>
  <c r="AB37" i="25" s="1"/>
  <c r="AI37" i="25" s="1"/>
  <c r="V37" i="25"/>
  <c r="X37" i="25" s="1"/>
  <c r="AJ58" i="24"/>
  <c r="AJ269" i="24"/>
  <c r="AJ54" i="24"/>
  <c r="AD278" i="25"/>
  <c r="W278" i="25"/>
  <c r="Z278" i="25" s="1"/>
  <c r="AA278" i="25" s="1"/>
  <c r="AB278" i="25" s="1"/>
  <c r="AI278" i="25" s="1"/>
  <c r="AJ125" i="24"/>
  <c r="AD63" i="25"/>
  <c r="W63" i="25"/>
  <c r="Z63" i="25" s="1"/>
  <c r="AA63" i="25" s="1"/>
  <c r="AB63" i="25" s="1"/>
  <c r="AI63" i="25" s="1"/>
  <c r="AJ24" i="24"/>
  <c r="AF178" i="25"/>
  <c r="AE178" i="25"/>
  <c r="AG231" i="24"/>
  <c r="AF231" i="24"/>
  <c r="AG192" i="24"/>
  <c r="AF192" i="24"/>
  <c r="AS6" i="25"/>
  <c r="AS292" i="25"/>
  <c r="AJ148" i="24"/>
  <c r="AG130" i="24"/>
  <c r="AF130" i="24"/>
  <c r="AJ117" i="24"/>
  <c r="AG243" i="24"/>
  <c r="AF243" i="24"/>
  <c r="AG60" i="24"/>
  <c r="AF60" i="24"/>
  <c r="AD271" i="25"/>
  <c r="W271" i="25"/>
  <c r="Z271" i="25" s="1"/>
  <c r="AA271" i="25" s="1"/>
  <c r="AB271" i="25" s="1"/>
  <c r="AI271" i="25" s="1"/>
  <c r="V271" i="25"/>
  <c r="X271" i="25" s="1"/>
  <c r="AD44" i="25"/>
  <c r="W44" i="25"/>
  <c r="Z44" i="25" s="1"/>
  <c r="AA44" i="25" s="1"/>
  <c r="AB44" i="25" s="1"/>
  <c r="AI44" i="25" s="1"/>
  <c r="AG248" i="24"/>
  <c r="AF248" i="24"/>
  <c r="AD286" i="25"/>
  <c r="W286" i="25"/>
  <c r="Z286" i="25" s="1"/>
  <c r="AA286" i="25" s="1"/>
  <c r="AB286" i="25" s="1"/>
  <c r="AI286" i="25" s="1"/>
  <c r="AF170" i="25"/>
  <c r="AE170" i="25"/>
  <c r="AD70" i="25"/>
  <c r="W70" i="25"/>
  <c r="Z70" i="25" s="1"/>
  <c r="AA70" i="25" s="1"/>
  <c r="AB70" i="25" s="1"/>
  <c r="AI70" i="25" s="1"/>
  <c r="AM110" i="25"/>
  <c r="BG110" i="25" s="1"/>
  <c r="AJ110" i="25"/>
  <c r="AG139" i="24"/>
  <c r="AF139" i="24"/>
  <c r="AG23" i="24"/>
  <c r="AF23" i="24"/>
  <c r="AG147" i="24"/>
  <c r="AF147" i="24"/>
  <c r="AG103" i="24"/>
  <c r="AF103" i="24"/>
  <c r="AS94" i="25"/>
  <c r="AD235" i="25"/>
  <c r="W235" i="25"/>
  <c r="Z235" i="25" s="1"/>
  <c r="AA235" i="25" s="1"/>
  <c r="AB235" i="25" s="1"/>
  <c r="AI235" i="25" s="1"/>
  <c r="V235" i="25"/>
  <c r="X235" i="25" s="1"/>
  <c r="AG168" i="24"/>
  <c r="AF168" i="24"/>
  <c r="AD85" i="25"/>
  <c r="W85" i="25"/>
  <c r="Z85" i="25" s="1"/>
  <c r="AA85" i="25" s="1"/>
  <c r="AB85" i="25" s="1"/>
  <c r="AI85" i="25" s="1"/>
  <c r="V85" i="25"/>
  <c r="X85" i="25" s="1"/>
  <c r="AJ121" i="24"/>
  <c r="AG102" i="24"/>
  <c r="AF102" i="24"/>
  <c r="AG99" i="24"/>
  <c r="AF99" i="24"/>
  <c r="AJ281" i="24"/>
  <c r="AD230" i="25"/>
  <c r="W230" i="25"/>
  <c r="Z230" i="25" s="1"/>
  <c r="AA230" i="25" s="1"/>
  <c r="AB230" i="25" s="1"/>
  <c r="AI230" i="25" s="1"/>
  <c r="AD308" i="25"/>
  <c r="W308" i="25"/>
  <c r="Z308" i="25" s="1"/>
  <c r="AA308" i="25" s="1"/>
  <c r="AB308" i="25" s="1"/>
  <c r="AI308" i="25" s="1"/>
  <c r="V308" i="25"/>
  <c r="X308" i="25" s="1"/>
  <c r="AJ296" i="24"/>
  <c r="AG273" i="24"/>
  <c r="AF273" i="24"/>
  <c r="AG76" i="24"/>
  <c r="AF76" i="24"/>
  <c r="AK191" i="24"/>
  <c r="AN191" i="24"/>
  <c r="AJ218" i="24"/>
  <c r="AD191" i="25"/>
  <c r="W191" i="25"/>
  <c r="Z191" i="25" s="1"/>
  <c r="AA191" i="25" s="1"/>
  <c r="AB191" i="25" s="1"/>
  <c r="AI191" i="25" s="1"/>
  <c r="V191" i="25"/>
  <c r="X191" i="25" s="1"/>
  <c r="AJ28" i="24"/>
  <c r="AD141" i="25"/>
  <c r="W141" i="25"/>
  <c r="Z141" i="25" s="1"/>
  <c r="AA141" i="25" s="1"/>
  <c r="AB141" i="25" s="1"/>
  <c r="AI141" i="25" s="1"/>
  <c r="V141" i="25"/>
  <c r="X141" i="25" s="1"/>
  <c r="AS259" i="25"/>
  <c r="AJ298" i="24"/>
  <c r="AF232" i="25"/>
  <c r="AE232" i="25"/>
  <c r="AD66" i="25"/>
  <c r="W66" i="25"/>
  <c r="Z66" i="25" s="1"/>
  <c r="AA66" i="25" s="1"/>
  <c r="AB66" i="25" s="1"/>
  <c r="AI66" i="25" s="1"/>
  <c r="AG79" i="24"/>
  <c r="AF79" i="24"/>
  <c r="AG165" i="24"/>
  <c r="AF165" i="24"/>
  <c r="AJ280" i="24"/>
  <c r="AG73" i="24"/>
  <c r="AF73" i="24"/>
  <c r="AJ305" i="24"/>
  <c r="AG232" i="24"/>
  <c r="AF232" i="24"/>
  <c r="AD88" i="25"/>
  <c r="W88" i="25"/>
  <c r="Z88" i="25" s="1"/>
  <c r="AA88" i="25" s="1"/>
  <c r="AB88" i="25" s="1"/>
  <c r="AI88" i="25" s="1"/>
  <c r="V88" i="25"/>
  <c r="X88" i="25" s="1"/>
  <c r="AG16" i="24"/>
  <c r="AF16" i="24"/>
  <c r="AD81" i="25"/>
  <c r="W81" i="25"/>
  <c r="Z81" i="25" s="1"/>
  <c r="AA81" i="25" s="1"/>
  <c r="AB81" i="25" s="1"/>
  <c r="AI81" i="25" s="1"/>
  <c r="AN233" i="24"/>
  <c r="AK233" i="24"/>
  <c r="AS147" i="25"/>
  <c r="AF267" i="25"/>
  <c r="AE267" i="25"/>
  <c r="AF82" i="25"/>
  <c r="AE82" i="25"/>
  <c r="AD20" i="25"/>
  <c r="W20" i="25"/>
  <c r="Z20" i="25" s="1"/>
  <c r="AA20" i="25" s="1"/>
  <c r="AB20" i="25" s="1"/>
  <c r="AI20" i="25" s="1"/>
  <c r="V20" i="25"/>
  <c r="X20" i="25" s="1"/>
  <c r="AD115" i="25"/>
  <c r="W115" i="25"/>
  <c r="Z115" i="25" s="1"/>
  <c r="AA115" i="25" s="1"/>
  <c r="AB115" i="25" s="1"/>
  <c r="AI115" i="25" s="1"/>
  <c r="AG71" i="24"/>
  <c r="AF71" i="24"/>
  <c r="AG27" i="24"/>
  <c r="AF27" i="24"/>
  <c r="AG293" i="24"/>
  <c r="AF293" i="24"/>
  <c r="AS198" i="25"/>
  <c r="AG74" i="24"/>
  <c r="AF74" i="24"/>
  <c r="AG13" i="24"/>
  <c r="AF13" i="24"/>
  <c r="AS30" i="25"/>
  <c r="AG171" i="24"/>
  <c r="AF171" i="24"/>
  <c r="AF161" i="25"/>
  <c r="AE161" i="25"/>
  <c r="AD180" i="25"/>
  <c r="W180" i="25"/>
  <c r="Z180" i="25" s="1"/>
  <c r="AA180" i="25" s="1"/>
  <c r="AB180" i="25" s="1"/>
  <c r="AI180" i="25" s="1"/>
  <c r="V180" i="25"/>
  <c r="X180" i="25" s="1"/>
  <c r="AS305" i="25"/>
  <c r="V76" i="25"/>
  <c r="X76" i="25" s="1"/>
  <c r="AG75" i="24"/>
  <c r="AF75" i="24"/>
  <c r="AG87" i="24"/>
  <c r="AF87" i="24"/>
  <c r="AG93" i="24"/>
  <c r="AF93" i="24"/>
  <c r="AD226" i="25"/>
  <c r="W226" i="25"/>
  <c r="Z226" i="25" s="1"/>
  <c r="AA226" i="25" s="1"/>
  <c r="AB226" i="25" s="1"/>
  <c r="AI226" i="25" s="1"/>
  <c r="AG154" i="24"/>
  <c r="AF154" i="24"/>
  <c r="AG40" i="24"/>
  <c r="AF40" i="24"/>
  <c r="AG43" i="24"/>
  <c r="AF43" i="24"/>
  <c r="BA294" i="24"/>
  <c r="AD50" i="25"/>
  <c r="W50" i="25"/>
  <c r="Z50" i="25" s="1"/>
  <c r="AA50" i="25" s="1"/>
  <c r="AB50" i="25" s="1"/>
  <c r="AI50" i="25" s="1"/>
  <c r="V50" i="25"/>
  <c r="X50" i="25" s="1"/>
  <c r="AD118" i="25"/>
  <c r="W118" i="25"/>
  <c r="Z118" i="25" s="1"/>
  <c r="AA118" i="25" s="1"/>
  <c r="AB118" i="25" s="1"/>
  <c r="AI118" i="25" s="1"/>
  <c r="AG175" i="24"/>
  <c r="AF175" i="24"/>
  <c r="AG50" i="24"/>
  <c r="AF50" i="24"/>
  <c r="AD313" i="25"/>
  <c r="W313" i="25"/>
  <c r="Z313" i="25" s="1"/>
  <c r="AA313" i="25" s="1"/>
  <c r="AB313" i="25" s="1"/>
  <c r="AI313" i="25" s="1"/>
  <c r="V125" i="25"/>
  <c r="X125" i="25" s="1"/>
  <c r="AD263" i="25"/>
  <c r="W263" i="25"/>
  <c r="Z263" i="25" s="1"/>
  <c r="AA263" i="25" s="1"/>
  <c r="AB263" i="25" s="1"/>
  <c r="AI263" i="25" s="1"/>
  <c r="V263" i="25"/>
  <c r="X263" i="25" s="1"/>
  <c r="AK22" i="24"/>
  <c r="AN22" i="24"/>
  <c r="BI22" i="24" s="1"/>
  <c r="AF247" i="25"/>
  <c r="AE247" i="25"/>
  <c r="AF62" i="25"/>
  <c r="AE62" i="25"/>
  <c r="AD311" i="25"/>
  <c r="W311" i="25"/>
  <c r="Z311" i="25" s="1"/>
  <c r="AA311" i="25" s="1"/>
  <c r="AB311" i="25" s="1"/>
  <c r="AI311" i="25" s="1"/>
  <c r="V311" i="25"/>
  <c r="X311" i="25" s="1"/>
  <c r="AG220" i="24"/>
  <c r="AF220" i="24"/>
  <c r="BA190" i="24"/>
  <c r="AG134" i="24"/>
  <c r="AF134" i="24"/>
  <c r="AG185" i="24"/>
  <c r="AF185" i="24"/>
  <c r="AG234" i="24"/>
  <c r="AF234" i="24"/>
  <c r="AD268" i="25"/>
  <c r="W268" i="25"/>
  <c r="Z268" i="25" s="1"/>
  <c r="AA268" i="25" s="1"/>
  <c r="AB268" i="25" s="1"/>
  <c r="AI268" i="25" s="1"/>
  <c r="AD100" i="25"/>
  <c r="W100" i="25"/>
  <c r="Z100" i="25" s="1"/>
  <c r="AA100" i="25" s="1"/>
  <c r="AB100" i="25" s="1"/>
  <c r="AI100" i="25" s="1"/>
  <c r="AD165" i="25"/>
  <c r="W165" i="25"/>
  <c r="Z165" i="25" s="1"/>
  <c r="AA165" i="25" s="1"/>
  <c r="AB165" i="25" s="1"/>
  <c r="AI165" i="25" s="1"/>
  <c r="AG217" i="24"/>
  <c r="AF217" i="24"/>
  <c r="AD224" i="25"/>
  <c r="W224" i="25"/>
  <c r="Z224" i="25" s="1"/>
  <c r="AA224" i="25" s="1"/>
  <c r="AB224" i="25" s="1"/>
  <c r="AI224" i="25" s="1"/>
  <c r="AJ274" i="24"/>
  <c r="AF292" i="25"/>
  <c r="AE292" i="25"/>
  <c r="AJ258" i="24"/>
  <c r="AD256" i="25"/>
  <c r="W256" i="25"/>
  <c r="Z256" i="25" s="1"/>
  <c r="AA256" i="25" s="1"/>
  <c r="AB256" i="25" s="1"/>
  <c r="AI256" i="25" s="1"/>
  <c r="V256" i="25"/>
  <c r="X256" i="25" s="1"/>
  <c r="AG205" i="24"/>
  <c r="AF205" i="24"/>
  <c r="AD93" i="25"/>
  <c r="W93" i="25"/>
  <c r="Z93" i="25" s="1"/>
  <c r="AA93" i="25" s="1"/>
  <c r="AB93" i="25" s="1"/>
  <c r="AI93" i="25" s="1"/>
  <c r="V268" i="25"/>
  <c r="X268" i="25" s="1"/>
  <c r="AG184" i="24"/>
  <c r="AF184" i="24"/>
  <c r="AG47" i="24"/>
  <c r="AF47" i="24"/>
  <c r="AD281" i="25"/>
  <c r="W281" i="25"/>
  <c r="Z281" i="25" s="1"/>
  <c r="AA281" i="25" s="1"/>
  <c r="AB281" i="25" s="1"/>
  <c r="AI281" i="25" s="1"/>
  <c r="AG36" i="24"/>
  <c r="AF36" i="24"/>
  <c r="AG227" i="24"/>
  <c r="AF227" i="24"/>
  <c r="AG150" i="24"/>
  <c r="AF150" i="24"/>
  <c r="AG206" i="24"/>
  <c r="AF206" i="24"/>
  <c r="AF94" i="25"/>
  <c r="AE94" i="25"/>
  <c r="AD9" i="25"/>
  <c r="W9" i="25"/>
  <c r="Z9" i="25" s="1"/>
  <c r="AA9" i="25" s="1"/>
  <c r="AB9" i="25" s="1"/>
  <c r="AI9" i="25" s="1"/>
  <c r="V9" i="25"/>
  <c r="X9" i="25" s="1"/>
  <c r="AN264" i="24"/>
  <c r="AK264" i="24"/>
  <c r="AD197" i="25"/>
  <c r="W197" i="25"/>
  <c r="Z197" i="25" s="1"/>
  <c r="AA197" i="25" s="1"/>
  <c r="AB197" i="25" s="1"/>
  <c r="AI197" i="25" s="1"/>
  <c r="V70" i="25"/>
  <c r="X70" i="25" s="1"/>
  <c r="AG221" i="24"/>
  <c r="AF221" i="24"/>
  <c r="AG49" i="24"/>
  <c r="AF49" i="24"/>
  <c r="AD183" i="25"/>
  <c r="W183" i="25"/>
  <c r="Z183" i="25" s="1"/>
  <c r="AA183" i="25" s="1"/>
  <c r="AB183" i="25" s="1"/>
  <c r="AI183" i="25" s="1"/>
  <c r="AF259" i="25"/>
  <c r="AE259" i="25"/>
  <c r="AG141" i="24"/>
  <c r="AF141" i="24"/>
  <c r="AG251" i="24"/>
  <c r="AF251" i="24"/>
  <c r="AD239" i="25"/>
  <c r="W239" i="25"/>
  <c r="Z239" i="25" s="1"/>
  <c r="AA239" i="25" s="1"/>
  <c r="AB239" i="25" s="1"/>
  <c r="AI239" i="25" s="1"/>
  <c r="AD260" i="25"/>
  <c r="W260" i="25"/>
  <c r="Z260" i="25" s="1"/>
  <c r="AA260" i="25" s="1"/>
  <c r="AB260" i="25" s="1"/>
  <c r="AI260" i="25" s="1"/>
  <c r="AG38" i="24"/>
  <c r="AF38" i="24"/>
  <c r="AD49" i="25"/>
  <c r="W49" i="25"/>
  <c r="Z49" i="25" s="1"/>
  <c r="AA49" i="25" s="1"/>
  <c r="AB49" i="25" s="1"/>
  <c r="AI49" i="25" s="1"/>
  <c r="V49" i="25"/>
  <c r="X49" i="25" s="1"/>
  <c r="AK162" i="24"/>
  <c r="AN162" i="24"/>
  <c r="AG278" i="24"/>
  <c r="AF278" i="24"/>
  <c r="AS114" i="25"/>
  <c r="AS262" i="25"/>
  <c r="AG226" i="24"/>
  <c r="AF226" i="24"/>
  <c r="AT264" i="24"/>
  <c r="FI285" i="25"/>
  <c r="FI232" i="25"/>
  <c r="FI256" i="25"/>
  <c r="FI286" i="25"/>
  <c r="FI227" i="25"/>
  <c r="FI216" i="25"/>
  <c r="FI295" i="25"/>
  <c r="FI218" i="25"/>
  <c r="FI294" i="25"/>
  <c r="FI258" i="25"/>
  <c r="FI301" i="25"/>
  <c r="FI220" i="25"/>
  <c r="FI308" i="25"/>
  <c r="FI272" i="25"/>
  <c r="FI278" i="25"/>
  <c r="FI221" i="25"/>
  <c r="FI290" i="25"/>
  <c r="FI228" i="25"/>
  <c r="FI257" i="25"/>
  <c r="FI245" i="25"/>
  <c r="FI303" i="25"/>
  <c r="FI283" i="25"/>
  <c r="FI316" i="25"/>
  <c r="FI289" i="25"/>
  <c r="FI274" i="25"/>
  <c r="FI266" i="25"/>
  <c r="FI267" i="25"/>
  <c r="FI293" i="25"/>
  <c r="FI299" i="25"/>
  <c r="FI311" i="25"/>
  <c r="FI234" i="25"/>
  <c r="FI281" i="25"/>
  <c r="FI304" i="25"/>
  <c r="FI279" i="25"/>
  <c r="FI246" i="25"/>
  <c r="FI244" i="25"/>
  <c r="FI312" i="25"/>
  <c r="FI260" i="25"/>
  <c r="FI248" i="25"/>
  <c r="FI261" i="25"/>
  <c r="FI314" i="25"/>
  <c r="FI309" i="25"/>
  <c r="FI302" i="25"/>
  <c r="FI264" i="25"/>
  <c r="FI230" i="25"/>
  <c r="FI238" i="25"/>
  <c r="FI268" i="25"/>
  <c r="FI287" i="25"/>
  <c r="FI313" i="25"/>
  <c r="FI222" i="25"/>
  <c r="FI307" i="25"/>
  <c r="FI305" i="25"/>
  <c r="FI291" i="25"/>
  <c r="FI225" i="25"/>
  <c r="FI237" i="25"/>
  <c r="FI249" i="25"/>
  <c r="FI300" i="25"/>
  <c r="FI296" i="25"/>
  <c r="FI288" i="25"/>
  <c r="FI240" i="25"/>
  <c r="FI276" i="25"/>
  <c r="FI235" i="25"/>
  <c r="FI251" i="25"/>
  <c r="FI275" i="25"/>
  <c r="FI253" i="25"/>
  <c r="FI223" i="25"/>
  <c r="FI226" i="25"/>
  <c r="FI297" i="25"/>
  <c r="FI306" i="25"/>
  <c r="CE216" i="25"/>
  <c r="FI310" i="25"/>
  <c r="FI265" i="25"/>
  <c r="FI241" i="25"/>
  <c r="FI239" i="25"/>
  <c r="FI242" i="25"/>
  <c r="FI315" i="25"/>
  <c r="FI262" i="25"/>
  <c r="FI284" i="25"/>
  <c r="FI243" i="25"/>
  <c r="FI298" i="25"/>
  <c r="FI252" i="25"/>
  <c r="FI270" i="25"/>
  <c r="FI277" i="25"/>
  <c r="FI273" i="25"/>
  <c r="FI224" i="25"/>
  <c r="FI236" i="25"/>
  <c r="FI263" i="25"/>
  <c r="FI231" i="25"/>
  <c r="FI217" i="25"/>
  <c r="FI254" i="25"/>
  <c r="FI271" i="25"/>
  <c r="FI250" i="25"/>
  <c r="FI282" i="25"/>
  <c r="FI247" i="25"/>
  <c r="FI219" i="25"/>
  <c r="FI229" i="25"/>
  <c r="FI255" i="25"/>
  <c r="FI280" i="25"/>
  <c r="FI269" i="25"/>
  <c r="FI259" i="25"/>
  <c r="FI292" i="25"/>
  <c r="FI233" i="25"/>
  <c r="CE252" i="25"/>
  <c r="CE231" i="25"/>
  <c r="CE243" i="25"/>
  <c r="CE260" i="25"/>
  <c r="CE314" i="25"/>
  <c r="CE299" i="25"/>
  <c r="CE258" i="25"/>
  <c r="CE265" i="25"/>
  <c r="CE241" i="25"/>
  <c r="CE222" i="25"/>
  <c r="CE217" i="25"/>
  <c r="CE278" i="25"/>
  <c r="CE248" i="25"/>
  <c r="CE261" i="25"/>
  <c r="CE304" i="25"/>
  <c r="CE271" i="25"/>
  <c r="CE257" i="25"/>
  <c r="CE253" i="25"/>
  <c r="CE301" i="25"/>
  <c r="CE244" i="25"/>
  <c r="CE262" i="25"/>
  <c r="CE255" i="25"/>
  <c r="CE256" i="25"/>
  <c r="CE225" i="25"/>
  <c r="CE254" i="25"/>
  <c r="CE276" i="25"/>
  <c r="CE290" i="25"/>
  <c r="CE236" i="25"/>
  <c r="CE298" i="25"/>
  <c r="CE275" i="25"/>
  <c r="CE282" i="25"/>
  <c r="CE224" i="25"/>
  <c r="CE249" i="25"/>
  <c r="CE240" i="25"/>
  <c r="CE277" i="25"/>
  <c r="CE238" i="25"/>
  <c r="CE266" i="25"/>
  <c r="CE296" i="25"/>
  <c r="CE234" i="25"/>
  <c r="CE285" i="25"/>
  <c r="CE264" i="25"/>
  <c r="CE289" i="25"/>
  <c r="CE297" i="25"/>
  <c r="CE273" i="25"/>
  <c r="CE259" i="25"/>
  <c r="CE263" i="25"/>
  <c r="CE291" i="25"/>
  <c r="CE227" i="25"/>
  <c r="CE230" i="25"/>
  <c r="CE247" i="25"/>
  <c r="CE251" i="25"/>
  <c r="CE288" i="25"/>
  <c r="CE312" i="25"/>
  <c r="CE233" i="25"/>
  <c r="CE308" i="25"/>
  <c r="CE220" i="25"/>
  <c r="CE281" i="25"/>
  <c r="CE246" i="25"/>
  <c r="CE239" i="25"/>
  <c r="CE315" i="25"/>
  <c r="AD39" i="25"/>
  <c r="W39" i="25"/>
  <c r="Z39" i="25" s="1"/>
  <c r="AA39" i="25" s="1"/>
  <c r="AB39" i="25" s="1"/>
  <c r="AI39" i="25" s="1"/>
  <c r="AF147" i="25"/>
  <c r="AE147" i="25"/>
  <c r="AS13" i="25"/>
  <c r="AG228" i="24"/>
  <c r="AF228" i="24"/>
  <c r="AD42" i="25"/>
  <c r="W42" i="25"/>
  <c r="Z42" i="25" s="1"/>
  <c r="AA42" i="25" s="1"/>
  <c r="AB42" i="25" s="1"/>
  <c r="AI42" i="25" s="1"/>
  <c r="V42" i="25"/>
  <c r="X42" i="25" s="1"/>
  <c r="AD242" i="25"/>
  <c r="W242" i="25"/>
  <c r="Z242" i="25" s="1"/>
  <c r="AA242" i="25" s="1"/>
  <c r="AB242" i="25" s="1"/>
  <c r="AI242" i="25" s="1"/>
  <c r="AG97" i="24"/>
  <c r="AF97" i="24"/>
  <c r="AG135" i="24"/>
  <c r="AF135" i="24"/>
  <c r="AD289" i="25"/>
  <c r="W289" i="25"/>
  <c r="Z289" i="25" s="1"/>
  <c r="AA289" i="25" s="1"/>
  <c r="AB289" i="25" s="1"/>
  <c r="AI289" i="25" s="1"/>
  <c r="AF198" i="25"/>
  <c r="AE198" i="25"/>
  <c r="AS87" i="25"/>
  <c r="AS293" i="25"/>
  <c r="AG285" i="24"/>
  <c r="AF285" i="24"/>
  <c r="V39" i="25"/>
  <c r="X39" i="25" s="1"/>
  <c r="AD274" i="25"/>
  <c r="W274" i="25"/>
  <c r="Z274" i="25" s="1"/>
  <c r="AA274" i="25" s="1"/>
  <c r="AB274" i="25" s="1"/>
  <c r="AI274" i="25" s="1"/>
  <c r="AF30" i="25"/>
  <c r="AE30" i="25"/>
  <c r="AD193" i="25"/>
  <c r="W193" i="25"/>
  <c r="Z193" i="25" s="1"/>
  <c r="AA193" i="25" s="1"/>
  <c r="AB193" i="25" s="1"/>
  <c r="AI193" i="25" s="1"/>
  <c r="V193" i="25"/>
  <c r="X193" i="25" s="1"/>
  <c r="AS190" i="25"/>
  <c r="AS71" i="25"/>
  <c r="AD228" i="25"/>
  <c r="W228" i="25"/>
  <c r="Z228" i="25" s="1"/>
  <c r="AA228" i="25" s="1"/>
  <c r="AB228" i="25" s="1"/>
  <c r="AI228" i="25" s="1"/>
  <c r="AF305" i="25"/>
  <c r="AE305" i="25"/>
  <c r="AD75" i="25"/>
  <c r="W75" i="25"/>
  <c r="Z75" i="25" s="1"/>
  <c r="AA75" i="25" s="1"/>
  <c r="AB75" i="25" s="1"/>
  <c r="AI75" i="25" s="1"/>
  <c r="AE29" i="25"/>
  <c r="AG26" i="24"/>
  <c r="AF26" i="24"/>
  <c r="AG35" i="24"/>
  <c r="AF35" i="24"/>
  <c r="AG153" i="24"/>
  <c r="AF153" i="24"/>
  <c r="AS201" i="25"/>
  <c r="AG249" i="24"/>
  <c r="AF249" i="24"/>
  <c r="AD72" i="25"/>
  <c r="W72" i="25"/>
  <c r="Z72" i="25" s="1"/>
  <c r="AA72" i="25" s="1"/>
  <c r="AB72" i="25" s="1"/>
  <c r="AI72" i="25" s="1"/>
  <c r="AG111" i="24"/>
  <c r="AF111" i="24"/>
  <c r="AG51" i="24"/>
  <c r="AF51" i="24"/>
  <c r="AD137" i="25"/>
  <c r="W137" i="25"/>
  <c r="Z137" i="25" s="1"/>
  <c r="AA137" i="25" s="1"/>
  <c r="AB137" i="25" s="1"/>
  <c r="AI137" i="25" s="1"/>
  <c r="V137" i="25"/>
  <c r="X137" i="25" s="1"/>
  <c r="V226" i="25"/>
  <c r="X226" i="25" s="1"/>
  <c r="AK292" i="24"/>
  <c r="AN292" i="24"/>
  <c r="AG301" i="24"/>
  <c r="AF301" i="24"/>
  <c r="AD195" i="25"/>
  <c r="W195" i="25"/>
  <c r="Z195" i="25" s="1"/>
  <c r="AA195" i="25" s="1"/>
  <c r="AB195" i="25" s="1"/>
  <c r="AI195" i="25" s="1"/>
  <c r="V195" i="25"/>
  <c r="X195" i="25" s="1"/>
  <c r="AS113" i="25"/>
  <c r="V181" i="25"/>
  <c r="X181" i="25" s="1"/>
  <c r="AG133" i="24"/>
  <c r="AF133" i="24"/>
  <c r="AD301" i="25"/>
  <c r="W301" i="25"/>
  <c r="Z301" i="25" s="1"/>
  <c r="AA301" i="25" s="1"/>
  <c r="AB301" i="25" s="1"/>
  <c r="AI301" i="25" s="1"/>
  <c r="V313" i="25"/>
  <c r="X313" i="25" s="1"/>
  <c r="AG83" i="24"/>
  <c r="AF83" i="24"/>
  <c r="AD140" i="25"/>
  <c r="W140" i="25"/>
  <c r="Z140" i="25" s="1"/>
  <c r="AA140" i="25" s="1"/>
  <c r="AB140" i="25" s="1"/>
  <c r="AI140" i="25" s="1"/>
  <c r="AD128" i="25"/>
  <c r="W128" i="25"/>
  <c r="Z128" i="25" s="1"/>
  <c r="AA128" i="25" s="1"/>
  <c r="AB128" i="25" s="1"/>
  <c r="AI128" i="25" s="1"/>
  <c r="V128" i="25"/>
  <c r="X128" i="25" s="1"/>
  <c r="AG58" i="24"/>
  <c r="AF58" i="24"/>
  <c r="AG269" i="24"/>
  <c r="AF269" i="24"/>
  <c r="AG54" i="24"/>
  <c r="AF54" i="24"/>
  <c r="AG125" i="24"/>
  <c r="AF125" i="24"/>
  <c r="AG178" i="24"/>
  <c r="AF178" i="24"/>
  <c r="AD130" i="25"/>
  <c r="W130" i="25"/>
  <c r="Z130" i="25" s="1"/>
  <c r="AA130" i="25" s="1"/>
  <c r="AB130" i="25" s="1"/>
  <c r="AI130" i="25" s="1"/>
  <c r="V130" i="25"/>
  <c r="X130" i="25" s="1"/>
  <c r="AD136" i="25"/>
  <c r="W136" i="25"/>
  <c r="Z136" i="25" s="1"/>
  <c r="AA136" i="25" s="1"/>
  <c r="AB136" i="25" s="1"/>
  <c r="AI136" i="25" s="1"/>
  <c r="V136" i="25"/>
  <c r="X136" i="25" s="1"/>
  <c r="AG24" i="24"/>
  <c r="AF24" i="24"/>
  <c r="V289" i="25"/>
  <c r="X289" i="25" s="1"/>
  <c r="AF6" i="25"/>
  <c r="AE6" i="25"/>
  <c r="V301" i="25"/>
  <c r="X301" i="25" s="1"/>
  <c r="AG148" i="24"/>
  <c r="AF148" i="24"/>
  <c r="AG117" i="24"/>
  <c r="AF117" i="24"/>
  <c r="AG183" i="24"/>
  <c r="AF183" i="24"/>
  <c r="AG246" i="24"/>
  <c r="AF246" i="24"/>
  <c r="AS243" i="25"/>
  <c r="AD7" i="25"/>
  <c r="W7" i="25"/>
  <c r="Z7" i="25" s="1"/>
  <c r="AA7" i="25" s="1"/>
  <c r="AB7" i="25" s="1"/>
  <c r="AI7" i="25" s="1"/>
  <c r="V7" i="25"/>
  <c r="X7" i="25" s="1"/>
  <c r="AD79" i="25"/>
  <c r="W79" i="25"/>
  <c r="Z79" i="25" s="1"/>
  <c r="AA79" i="25" s="1"/>
  <c r="AB79" i="25" s="1"/>
  <c r="AI79" i="25" s="1"/>
  <c r="AG189" i="24"/>
  <c r="AF189" i="24"/>
  <c r="AD156" i="25"/>
  <c r="W156" i="25"/>
  <c r="Z156" i="25" s="1"/>
  <c r="AA156" i="25" s="1"/>
  <c r="AB156" i="25" s="1"/>
  <c r="AI156" i="25" s="1"/>
  <c r="AG200" i="24"/>
  <c r="AF200" i="24"/>
  <c r="AD316" i="25"/>
  <c r="W316" i="25"/>
  <c r="Z316" i="25" s="1"/>
  <c r="AA316" i="25" s="1"/>
  <c r="AB316" i="25" s="1"/>
  <c r="AI316" i="25" s="1"/>
  <c r="V316" i="25"/>
  <c r="X316" i="25" s="1"/>
  <c r="AD164" i="25"/>
  <c r="W164" i="25"/>
  <c r="Z164" i="25" s="1"/>
  <c r="AA164" i="25" s="1"/>
  <c r="AB164" i="25" s="1"/>
  <c r="AI164" i="25" s="1"/>
  <c r="V164" i="25"/>
  <c r="X164" i="25" s="1"/>
  <c r="AD315" i="25"/>
  <c r="W315" i="25"/>
  <c r="Z315" i="25" s="1"/>
  <c r="AA315" i="25" s="1"/>
  <c r="AB315" i="25" s="1"/>
  <c r="AI315" i="25" s="1"/>
  <c r="AD86" i="25"/>
  <c r="W86" i="25"/>
  <c r="Z86" i="25" s="1"/>
  <c r="AA86" i="25" s="1"/>
  <c r="AB86" i="25" s="1"/>
  <c r="AI86" i="25" s="1"/>
  <c r="AG121" i="24"/>
  <c r="AF121" i="24"/>
  <c r="AE96" i="25"/>
  <c r="AG281" i="24"/>
  <c r="AF281" i="24"/>
  <c r="AG296" i="24"/>
  <c r="AF296" i="24"/>
  <c r="AS189" i="25"/>
  <c r="AD119" i="25"/>
  <c r="W119" i="25"/>
  <c r="Z119" i="25" s="1"/>
  <c r="AA119" i="25" s="1"/>
  <c r="AB119" i="25" s="1"/>
  <c r="AI119" i="25" s="1"/>
  <c r="V119" i="25"/>
  <c r="X119" i="25" s="1"/>
  <c r="AG218" i="24"/>
  <c r="AF218" i="24"/>
  <c r="AG28" i="24"/>
  <c r="AF28" i="24"/>
  <c r="AS148" i="25"/>
  <c r="AG298" i="24"/>
  <c r="AF298" i="24"/>
  <c r="AD220" i="25"/>
  <c r="W220" i="25"/>
  <c r="Z220" i="25" s="1"/>
  <c r="AA220" i="25" s="1"/>
  <c r="AB220" i="25" s="1"/>
  <c r="AI220" i="25" s="1"/>
  <c r="AG280" i="24"/>
  <c r="AF280" i="24"/>
  <c r="AD25" i="25"/>
  <c r="W25" i="25"/>
  <c r="Z25" i="25" s="1"/>
  <c r="AA25" i="25" s="1"/>
  <c r="AB25" i="25" s="1"/>
  <c r="AI25" i="25" s="1"/>
  <c r="AN21" i="24"/>
  <c r="BI21" i="24" s="1"/>
  <c r="AK21" i="24"/>
  <c r="AG305" i="24"/>
  <c r="AF305" i="24"/>
  <c r="AF114" i="25"/>
  <c r="AE114" i="25"/>
  <c r="AG96" i="24"/>
  <c r="AF96" i="24"/>
  <c r="AG53" i="24"/>
  <c r="AF53" i="24"/>
  <c r="AS89" i="25"/>
  <c r="AG177" i="24"/>
  <c r="AF177" i="24"/>
  <c r="AF89" i="25"/>
  <c r="AE89" i="25"/>
  <c r="AJ112" i="24"/>
  <c r="AD145" i="25"/>
  <c r="W145" i="25"/>
  <c r="Z145" i="25" s="1"/>
  <c r="AA145" i="25" s="1"/>
  <c r="AB145" i="25" s="1"/>
  <c r="AI145" i="25" s="1"/>
  <c r="V145" i="25"/>
  <c r="X145" i="25" s="1"/>
  <c r="AG201" i="24"/>
  <c r="AF201" i="24"/>
  <c r="AG95" i="24"/>
  <c r="AF95" i="24"/>
  <c r="AG310" i="24"/>
  <c r="AF310" i="24"/>
  <c r="BA162" i="24"/>
  <c r="AD142" i="25"/>
  <c r="W142" i="25"/>
  <c r="Z142" i="25" s="1"/>
  <c r="AA142" i="25" s="1"/>
  <c r="AB142" i="25" s="1"/>
  <c r="AI142" i="25" s="1"/>
  <c r="AK44" i="24"/>
  <c r="AN44" i="24"/>
  <c r="AD45" i="25"/>
  <c r="W45" i="25"/>
  <c r="Z45" i="25" s="1"/>
  <c r="AA45" i="25" s="1"/>
  <c r="AB45" i="25" s="1"/>
  <c r="AI45" i="25" s="1"/>
  <c r="V45" i="25"/>
  <c r="X45" i="25" s="1"/>
  <c r="AD285" i="25"/>
  <c r="W285" i="25"/>
  <c r="Z285" i="25" s="1"/>
  <c r="AA285" i="25" s="1"/>
  <c r="AB285" i="25" s="1"/>
  <c r="AI285" i="25" s="1"/>
  <c r="V285" i="25"/>
  <c r="X285" i="25" s="1"/>
  <c r="AG303" i="24"/>
  <c r="AF303" i="24"/>
  <c r="AF87" i="25"/>
  <c r="AE87" i="25"/>
  <c r="AK236" i="24"/>
  <c r="AN236" i="24"/>
  <c r="BA160" i="24"/>
  <c r="AF293" i="25"/>
  <c r="AE293" i="25"/>
  <c r="AG302" i="24"/>
  <c r="AF302" i="24"/>
  <c r="AF190" i="25"/>
  <c r="AE190" i="25"/>
  <c r="AF71" i="25"/>
  <c r="AE71" i="25"/>
  <c r="V299" i="25"/>
  <c r="X299" i="25" s="1"/>
  <c r="AD300" i="25"/>
  <c r="W300" i="25"/>
  <c r="Z300" i="25" s="1"/>
  <c r="AA300" i="25" s="1"/>
  <c r="AB300" i="25" s="1"/>
  <c r="AI300" i="25" s="1"/>
  <c r="V300" i="25"/>
  <c r="X300" i="25" s="1"/>
  <c r="AG203" i="24"/>
  <c r="AF203" i="24"/>
  <c r="AD272" i="25"/>
  <c r="W272" i="25"/>
  <c r="Z272" i="25" s="1"/>
  <c r="AA272" i="25" s="1"/>
  <c r="AB272" i="25" s="1"/>
  <c r="AI272" i="25" s="1"/>
  <c r="AS158" i="25"/>
  <c r="AG10" i="24"/>
  <c r="AF10" i="24"/>
  <c r="AS21" i="25"/>
  <c r="AG149" i="24"/>
  <c r="AF149" i="24"/>
  <c r="AS255" i="25"/>
  <c r="AF201" i="25"/>
  <c r="AE201" i="25"/>
  <c r="AG163" i="24"/>
  <c r="AF163" i="24"/>
  <c r="AG182" i="24"/>
  <c r="AF182" i="24"/>
  <c r="AG230" i="24"/>
  <c r="AF230" i="24"/>
  <c r="AG241" i="24"/>
  <c r="AF241" i="24"/>
  <c r="AD65" i="25"/>
  <c r="W65" i="25"/>
  <c r="Z65" i="25" s="1"/>
  <c r="AA65" i="25" s="1"/>
  <c r="AB65" i="25" s="1"/>
  <c r="AI65" i="25" s="1"/>
  <c r="V65" i="25"/>
  <c r="X65" i="25" s="1"/>
  <c r="AS248" i="25"/>
  <c r="AE265" i="25"/>
  <c r="AD23" i="25"/>
  <c r="W23" i="25"/>
  <c r="Z23" i="25" s="1"/>
  <c r="AA23" i="25" s="1"/>
  <c r="AB23" i="25" s="1"/>
  <c r="AI23" i="25" s="1"/>
  <c r="AD47" i="25"/>
  <c r="W47" i="25"/>
  <c r="Z47" i="25" s="1"/>
  <c r="AA47" i="25" s="1"/>
  <c r="AB47" i="25" s="1"/>
  <c r="AI47" i="25" s="1"/>
  <c r="AG46" i="24"/>
  <c r="AF46" i="24"/>
  <c r="AG39" i="24"/>
  <c r="AF39" i="24"/>
  <c r="AT236" i="24"/>
  <c r="AG262" i="24"/>
  <c r="AF262" i="24"/>
  <c r="AS296" i="25"/>
  <c r="AG127" i="24"/>
  <c r="AF127" i="24"/>
  <c r="AS173" i="25"/>
  <c r="AD175" i="25"/>
  <c r="W175" i="25"/>
  <c r="Z175" i="25" s="1"/>
  <c r="AA175" i="25" s="1"/>
  <c r="AB175" i="25" s="1"/>
  <c r="AI175" i="25" s="1"/>
  <c r="AG197" i="24"/>
  <c r="AF197" i="24"/>
  <c r="AD219" i="25"/>
  <c r="W219" i="25"/>
  <c r="Z219" i="25" s="1"/>
  <c r="AA219" i="25" s="1"/>
  <c r="AB219" i="25" s="1"/>
  <c r="AI219" i="25" s="1"/>
  <c r="AG98" i="24"/>
  <c r="AF98" i="24"/>
  <c r="AF113" i="25"/>
  <c r="AE113" i="25"/>
  <c r="AD241" i="25"/>
  <c r="W241" i="25"/>
  <c r="Z241" i="25" s="1"/>
  <c r="AA241" i="25" s="1"/>
  <c r="AB241" i="25" s="1"/>
  <c r="AI241" i="25" s="1"/>
  <c r="V241" i="25"/>
  <c r="X241" i="25" s="1"/>
  <c r="AD309" i="25"/>
  <c r="W309" i="25"/>
  <c r="Z309" i="25" s="1"/>
  <c r="AA309" i="25" s="1"/>
  <c r="AB309" i="25" s="1"/>
  <c r="AI309" i="25" s="1"/>
  <c r="V309" i="25"/>
  <c r="X309" i="25" s="1"/>
  <c r="AG196" i="24"/>
  <c r="AF196" i="24"/>
  <c r="AS174" i="25"/>
  <c r="AG69" i="24"/>
  <c r="AF69" i="24"/>
  <c r="AG313" i="24"/>
  <c r="AF313" i="24"/>
  <c r="AG274" i="24"/>
  <c r="AF274" i="24"/>
  <c r="AD126" i="25"/>
  <c r="W126" i="25"/>
  <c r="Z126" i="25" s="1"/>
  <c r="AA126" i="25" s="1"/>
  <c r="AB126" i="25" s="1"/>
  <c r="AI126" i="25" s="1"/>
  <c r="V126" i="25"/>
  <c r="X126" i="25" s="1"/>
  <c r="AS177" i="25"/>
  <c r="AD19" i="25"/>
  <c r="W19" i="25"/>
  <c r="Z19" i="25" s="1"/>
  <c r="AA19" i="25" s="1"/>
  <c r="AB19" i="25" s="1"/>
  <c r="AI19" i="25" s="1"/>
  <c r="V19" i="25"/>
  <c r="X19" i="25" s="1"/>
  <c r="AD57" i="25"/>
  <c r="W57" i="25"/>
  <c r="Z57" i="25" s="1"/>
  <c r="AA57" i="25" s="1"/>
  <c r="AB57" i="25" s="1"/>
  <c r="AI57" i="25" s="1"/>
  <c r="V57" i="25"/>
  <c r="X57" i="25" s="1"/>
  <c r="AG258" i="24"/>
  <c r="AF258" i="24"/>
  <c r="AD52" i="25"/>
  <c r="W52" i="25"/>
  <c r="Z52" i="25" s="1"/>
  <c r="AA52" i="25" s="1"/>
  <c r="AB52" i="25" s="1"/>
  <c r="AI52" i="25" s="1"/>
  <c r="V52" i="25"/>
  <c r="X52" i="25" s="1"/>
  <c r="AF243" i="25"/>
  <c r="AE243" i="25"/>
  <c r="AK101" i="24"/>
  <c r="AN101" i="24"/>
  <c r="AD284" i="25"/>
  <c r="W284" i="25"/>
  <c r="Z284" i="25" s="1"/>
  <c r="AA284" i="25" s="1"/>
  <c r="AB284" i="25" s="1"/>
  <c r="AI284" i="25" s="1"/>
  <c r="V284" i="25"/>
  <c r="X284" i="25" s="1"/>
  <c r="AG29" i="24"/>
  <c r="AF29" i="24"/>
  <c r="AD8" i="25"/>
  <c r="W8" i="25"/>
  <c r="Z8" i="25" s="1"/>
  <c r="AA8" i="25" s="1"/>
  <c r="AB8" i="25" s="1"/>
  <c r="AI8" i="25" s="1"/>
  <c r="V8" i="25"/>
  <c r="X8" i="25" s="1"/>
  <c r="AD127" i="25"/>
  <c r="W127" i="25"/>
  <c r="Z127" i="25" s="1"/>
  <c r="AA127" i="25" s="1"/>
  <c r="AB127" i="25" s="1"/>
  <c r="AI127" i="25" s="1"/>
  <c r="V127" i="25"/>
  <c r="X127" i="25" s="1"/>
  <c r="AG52" i="24"/>
  <c r="AF52" i="24"/>
  <c r="AS275" i="25"/>
  <c r="AG311" i="24"/>
  <c r="AF311" i="24"/>
  <c r="AG104" i="24"/>
  <c r="AF104" i="24"/>
  <c r="AD105" i="25"/>
  <c r="W105" i="25"/>
  <c r="Z105" i="25" s="1"/>
  <c r="AA105" i="25" s="1"/>
  <c r="AB105" i="25" s="1"/>
  <c r="AI105" i="25" s="1"/>
  <c r="AG14" i="24"/>
  <c r="AF14" i="24"/>
  <c r="AF148" i="25"/>
  <c r="AE148" i="25"/>
  <c r="AG131" i="24"/>
  <c r="AF131" i="24"/>
  <c r="AG172" i="24"/>
  <c r="AF172" i="24"/>
  <c r="AG179" i="24"/>
  <c r="AF179" i="24"/>
  <c r="AG276" i="24"/>
  <c r="AF276" i="24"/>
  <c r="AS14" i="25"/>
  <c r="AD78" i="25"/>
  <c r="W78" i="25"/>
  <c r="Z78" i="25" s="1"/>
  <c r="AA78" i="25" s="1"/>
  <c r="AB78" i="25" s="1"/>
  <c r="AI78" i="25" s="1"/>
  <c r="AD15" i="25"/>
  <c r="W15" i="25"/>
  <c r="Z15" i="25" s="1"/>
  <c r="AA15" i="25" s="1"/>
  <c r="AB15" i="25" s="1"/>
  <c r="AI15" i="25" s="1"/>
  <c r="V15" i="25"/>
  <c r="X15" i="25" s="1"/>
  <c r="AG254" i="24"/>
  <c r="AF254" i="24"/>
  <c r="AG65" i="24"/>
  <c r="AF65" i="24"/>
  <c r="AS155" i="25"/>
  <c r="AG308" i="24"/>
  <c r="AF308" i="24"/>
  <c r="V230" i="25"/>
  <c r="X230" i="25" s="1"/>
  <c r="AD294" i="25"/>
  <c r="W294" i="25"/>
  <c r="Z294" i="25" s="1"/>
  <c r="AA294" i="25" s="1"/>
  <c r="AB294" i="25" s="1"/>
  <c r="AI294" i="25" s="1"/>
  <c r="V294" i="25"/>
  <c r="X294" i="25" s="1"/>
  <c r="AG81" i="24"/>
  <c r="AF81" i="24"/>
  <c r="AG250" i="24"/>
  <c r="AF250" i="24"/>
  <c r="AD121" i="25"/>
  <c r="W121" i="25"/>
  <c r="Z121" i="25" s="1"/>
  <c r="AA121" i="25" s="1"/>
  <c r="AB121" i="25" s="1"/>
  <c r="AI121" i="25" s="1"/>
  <c r="AG138" i="24"/>
  <c r="AF138" i="24"/>
  <c r="AD188" i="25"/>
  <c r="W188" i="25"/>
  <c r="Z188" i="25" s="1"/>
  <c r="AA188" i="25" s="1"/>
  <c r="AB188" i="25" s="1"/>
  <c r="AI188" i="25" s="1"/>
  <c r="AF262" i="25"/>
  <c r="AE262" i="25"/>
  <c r="AG63" i="24"/>
  <c r="AF63" i="24"/>
  <c r="AG204" i="24"/>
  <c r="AF204" i="24"/>
  <c r="AG186" i="24"/>
  <c r="AF186" i="24"/>
  <c r="AD168" i="25"/>
  <c r="W168" i="25"/>
  <c r="Z168" i="25" s="1"/>
  <c r="AA168" i="25" s="1"/>
  <c r="AB168" i="25" s="1"/>
  <c r="AI168" i="25" s="1"/>
  <c r="V168" i="25"/>
  <c r="X168" i="25" s="1"/>
  <c r="AD205" i="25"/>
  <c r="W205" i="25"/>
  <c r="Z205" i="25" s="1"/>
  <c r="AA205" i="25" s="1"/>
  <c r="AB205" i="25" s="1"/>
  <c r="AI205" i="25" s="1"/>
  <c r="AD41" i="25"/>
  <c r="W41" i="25"/>
  <c r="Z41" i="25" s="1"/>
  <c r="AA41" i="25" s="1"/>
  <c r="AB41" i="25" s="1"/>
  <c r="AI41" i="25" s="1"/>
  <c r="AD304" i="25"/>
  <c r="W304" i="25"/>
  <c r="Z304" i="25" s="1"/>
  <c r="AA304" i="25" s="1"/>
  <c r="AB304" i="25" s="1"/>
  <c r="AI304" i="25" s="1"/>
  <c r="AD150" i="25"/>
  <c r="W150" i="25"/>
  <c r="Z150" i="25" s="1"/>
  <c r="AA150" i="25" s="1"/>
  <c r="AB150" i="25" s="1"/>
  <c r="AI150" i="25" s="1"/>
  <c r="V150" i="25"/>
  <c r="X150" i="25" s="1"/>
  <c r="AD124" i="25"/>
  <c r="W124" i="25"/>
  <c r="Z124" i="25" s="1"/>
  <c r="AA124" i="25" s="1"/>
  <c r="AB124" i="25" s="1"/>
  <c r="AI124" i="25" s="1"/>
  <c r="V124" i="25"/>
  <c r="X124" i="25" s="1"/>
  <c r="AD51" i="25"/>
  <c r="W51" i="25"/>
  <c r="Z51" i="25" s="1"/>
  <c r="AA51" i="25" s="1"/>
  <c r="AB51" i="25" s="1"/>
  <c r="AI51" i="25" s="1"/>
  <c r="V51" i="25"/>
  <c r="X51" i="25" s="1"/>
  <c r="AG194" i="24"/>
  <c r="AF194" i="24"/>
  <c r="AG275" i="24"/>
  <c r="AF275" i="24"/>
  <c r="AF13" i="25"/>
  <c r="AE13" i="25"/>
  <c r="AJ59" i="24"/>
  <c r="AS240" i="25"/>
  <c r="AD200" i="25"/>
  <c r="W200" i="25"/>
  <c r="Z200" i="25" s="1"/>
  <c r="AA200" i="25" s="1"/>
  <c r="AB200" i="25" s="1"/>
  <c r="AI200" i="25" s="1"/>
  <c r="AN294" i="24"/>
  <c r="BI294" i="24" s="1"/>
  <c r="AK294" i="24"/>
  <c r="AD33" i="25"/>
  <c r="W33" i="25"/>
  <c r="Z33" i="25" s="1"/>
  <c r="AA33" i="25" s="1"/>
  <c r="AB33" i="25" s="1"/>
  <c r="AI33" i="25" s="1"/>
  <c r="V33" i="25"/>
  <c r="X33" i="25" s="1"/>
  <c r="AG245" i="24"/>
  <c r="AF245" i="24"/>
  <c r="AD74" i="25"/>
  <c r="W74" i="25"/>
  <c r="Z74" i="25" s="1"/>
  <c r="AA74" i="25" s="1"/>
  <c r="AB74" i="25" s="1"/>
  <c r="AI74" i="25" s="1"/>
  <c r="AD26" i="25"/>
  <c r="W26" i="25"/>
  <c r="Z26" i="25" s="1"/>
  <c r="AA26" i="25" s="1"/>
  <c r="AB26" i="25" s="1"/>
  <c r="AI26" i="25" s="1"/>
  <c r="V142" i="25"/>
  <c r="X142" i="25" s="1"/>
  <c r="V115" i="25"/>
  <c r="X115" i="25" s="1"/>
  <c r="AJ8" i="24"/>
  <c r="AG90" i="24"/>
  <c r="AF90" i="24"/>
  <c r="AG77" i="24"/>
  <c r="AF77" i="24"/>
  <c r="AJ260" i="24"/>
  <c r="AG286" i="24"/>
  <c r="AF286" i="24"/>
  <c r="AD244" i="25"/>
  <c r="W244" i="25"/>
  <c r="Z244" i="25" s="1"/>
  <c r="AA244" i="25" s="1"/>
  <c r="AB244" i="25" s="1"/>
  <c r="AI244" i="25" s="1"/>
  <c r="V244" i="25"/>
  <c r="X244" i="25" s="1"/>
  <c r="AF158" i="25"/>
  <c r="AE158" i="25"/>
  <c r="AG239" i="24"/>
  <c r="AF239" i="24"/>
  <c r="AF21" i="25"/>
  <c r="AE21" i="25"/>
  <c r="AG304" i="24"/>
  <c r="AF304" i="24"/>
  <c r="AJ271" i="24"/>
  <c r="AG70" i="24"/>
  <c r="AF70" i="24"/>
  <c r="AF255" i="25"/>
  <c r="AE255" i="25"/>
  <c r="BA257" i="24"/>
  <c r="AJ247" i="24"/>
  <c r="AJ279" i="24"/>
  <c r="AG170" i="24"/>
  <c r="AF170" i="24"/>
  <c r="AF248" i="25"/>
  <c r="AE248" i="25"/>
  <c r="AJ126" i="24"/>
  <c r="AJ259" i="24"/>
  <c r="AF296" i="25"/>
  <c r="AE296" i="25"/>
  <c r="AF173" i="25"/>
  <c r="AE173" i="25"/>
  <c r="AD123" i="25"/>
  <c r="W123" i="25"/>
  <c r="Z123" i="25" s="1"/>
  <c r="AA123" i="25" s="1"/>
  <c r="AB123" i="25" s="1"/>
  <c r="AI123" i="25" s="1"/>
  <c r="AD209" i="25"/>
  <c r="W209" i="25"/>
  <c r="Z209" i="25" s="1"/>
  <c r="AA209" i="25" s="1"/>
  <c r="AB209" i="25" s="1"/>
  <c r="AI209" i="25" s="1"/>
  <c r="AJ33" i="24"/>
  <c r="AS229" i="25"/>
  <c r="AJ224" i="24"/>
  <c r="AV22" i="24"/>
  <c r="AT22" i="24"/>
  <c r="AD16" i="25"/>
  <c r="W16" i="25"/>
  <c r="Z16" i="25" s="1"/>
  <c r="AA16" i="25" s="1"/>
  <c r="AB16" i="25" s="1"/>
  <c r="AI16" i="25" s="1"/>
  <c r="V16" i="25"/>
  <c r="X16" i="25" s="1"/>
  <c r="AJ290" i="24"/>
  <c r="AJ30" i="24"/>
  <c r="AJ237" i="24"/>
  <c r="AD98" i="25"/>
  <c r="W98" i="25"/>
  <c r="Z98" i="25" s="1"/>
  <c r="AA98" i="25" s="1"/>
  <c r="AB98" i="25" s="1"/>
  <c r="AI98" i="25" s="1"/>
  <c r="AF174" i="25"/>
  <c r="AE174" i="25"/>
  <c r="AD160" i="25"/>
  <c r="W160" i="25"/>
  <c r="Z160" i="25" s="1"/>
  <c r="AA160" i="25" s="1"/>
  <c r="AB160" i="25" s="1"/>
  <c r="AI160" i="25" s="1"/>
  <c r="AD266" i="25"/>
  <c r="W266" i="25"/>
  <c r="Z266" i="25" s="1"/>
  <c r="AA266" i="25" s="1"/>
  <c r="AB266" i="25" s="1"/>
  <c r="AI266" i="25" s="1"/>
  <c r="AJ145" i="24"/>
  <c r="AJ20" i="24"/>
  <c r="AG82" i="24"/>
  <c r="AF82" i="24"/>
  <c r="V219" i="25"/>
  <c r="X219" i="25" s="1"/>
  <c r="AD60" i="25"/>
  <c r="W60" i="25"/>
  <c r="Z60" i="25" s="1"/>
  <c r="AA60" i="25" s="1"/>
  <c r="AB60" i="25" s="1"/>
  <c r="AI60" i="25" s="1"/>
  <c r="V60" i="25"/>
  <c r="X60" i="25" s="1"/>
  <c r="AD172" i="25"/>
  <c r="W172" i="25"/>
  <c r="Z172" i="25" s="1"/>
  <c r="AA172" i="25" s="1"/>
  <c r="AB172" i="25" s="1"/>
  <c r="AI172" i="25" s="1"/>
  <c r="V172" i="25"/>
  <c r="X172" i="25" s="1"/>
  <c r="AF177" i="25"/>
  <c r="AE177" i="25"/>
  <c r="AJ225" i="24"/>
  <c r="AJ18" i="24"/>
  <c r="AS34" i="25"/>
  <c r="AG158" i="24"/>
  <c r="AF158" i="24"/>
  <c r="AJ238" i="24"/>
  <c r="AJ266" i="24"/>
  <c r="AG116" i="24"/>
  <c r="AF116" i="24"/>
  <c r="AG268" i="24"/>
  <c r="AF268" i="24"/>
  <c r="V278" i="25"/>
  <c r="X278" i="25" s="1"/>
  <c r="AJ6" i="24"/>
  <c r="AJ57" i="24"/>
  <c r="AG195" i="24"/>
  <c r="AF195" i="24"/>
  <c r="AJ235" i="24"/>
  <c r="AG309" i="24"/>
  <c r="AF309" i="24"/>
  <c r="AG255" i="24"/>
  <c r="AF255" i="24"/>
  <c r="AG307" i="24"/>
  <c r="AF307" i="24"/>
  <c r="AJ129" i="24"/>
  <c r="AD233" i="25"/>
  <c r="W233" i="25"/>
  <c r="Z233" i="25" s="1"/>
  <c r="AA233" i="25" s="1"/>
  <c r="AB233" i="25" s="1"/>
  <c r="AI233" i="25" s="1"/>
  <c r="V233" i="25"/>
  <c r="X233" i="25" s="1"/>
  <c r="AJ34" i="24"/>
  <c r="AS92" i="25"/>
  <c r="AD43" i="25"/>
  <c r="W43" i="25"/>
  <c r="Z43" i="25" s="1"/>
  <c r="AA43" i="25" s="1"/>
  <c r="AB43" i="25" s="1"/>
  <c r="AI43" i="25" s="1"/>
  <c r="V43" i="25"/>
  <c r="X43" i="25" s="1"/>
  <c r="AG187" i="24"/>
  <c r="AF187" i="24"/>
  <c r="AS95" i="25"/>
  <c r="AG140" i="24"/>
  <c r="AF140" i="24"/>
  <c r="AD231" i="25"/>
  <c r="W231" i="25"/>
  <c r="Z231" i="25" s="1"/>
  <c r="AA231" i="25" s="1"/>
  <c r="AB231" i="25" s="1"/>
  <c r="AI231" i="25" s="1"/>
  <c r="AG25" i="24"/>
  <c r="AF25" i="24"/>
  <c r="AJ19" i="24"/>
  <c r="AF275" i="25"/>
  <c r="AE275" i="25"/>
  <c r="AD64" i="25"/>
  <c r="W64" i="25"/>
  <c r="Z64" i="25" s="1"/>
  <c r="AA64" i="25" s="1"/>
  <c r="AB64" i="25" s="1"/>
  <c r="AI64" i="25" s="1"/>
  <c r="V64" i="25"/>
  <c r="X64" i="25" s="1"/>
  <c r="AG270" i="24"/>
  <c r="AF270" i="24"/>
  <c r="AW110" i="25"/>
  <c r="AX110" i="25"/>
  <c r="AG277" i="24"/>
  <c r="AF277" i="24"/>
  <c r="AG161" i="24"/>
  <c r="AF161" i="24"/>
  <c r="AS261" i="25"/>
  <c r="AJ240" i="24"/>
  <c r="AG118" i="24"/>
  <c r="AF118" i="24"/>
  <c r="AF14" i="25"/>
  <c r="AE14" i="25"/>
  <c r="AS306" i="25"/>
  <c r="AJ114" i="24"/>
  <c r="AS206" i="25"/>
  <c r="AG210" i="24"/>
  <c r="AF210" i="24"/>
  <c r="AD116" i="25"/>
  <c r="W116" i="25"/>
  <c r="Z116" i="25" s="1"/>
  <c r="AA116" i="25" s="1"/>
  <c r="AB116" i="25" s="1"/>
  <c r="AI116" i="25" s="1"/>
  <c r="AG85" i="24"/>
  <c r="AF85" i="24"/>
  <c r="AG198" i="24"/>
  <c r="AF198" i="24"/>
  <c r="AG112" i="24"/>
  <c r="AF112" i="24"/>
  <c r="AT132" i="24"/>
  <c r="AS246" i="25"/>
  <c r="BA191" i="24"/>
  <c r="AS192" i="25"/>
  <c r="AF240" i="25"/>
  <c r="AE240" i="25"/>
  <c r="AG208" i="24"/>
  <c r="AF208" i="24"/>
  <c r="AD68" i="25"/>
  <c r="W68" i="25"/>
  <c r="Z68" i="25" s="1"/>
  <c r="AA68" i="25" s="1"/>
  <c r="AB68" i="25" s="1"/>
  <c r="AI68" i="25" s="1"/>
  <c r="AD221" i="25"/>
  <c r="W221" i="25"/>
  <c r="Z221" i="25" s="1"/>
  <c r="AA221" i="25" s="1"/>
  <c r="AB221" i="25" s="1"/>
  <c r="AI221" i="25" s="1"/>
  <c r="AG136" i="24"/>
  <c r="AF136" i="24"/>
  <c r="AD245" i="25"/>
  <c r="W245" i="25"/>
  <c r="Z245" i="25" s="1"/>
  <c r="AA245" i="25" s="1"/>
  <c r="AB245" i="25" s="1"/>
  <c r="AI245" i="25" s="1"/>
  <c r="V245" i="25"/>
  <c r="X245" i="25" s="1"/>
  <c r="AJ263" i="24"/>
  <c r="AD27" i="25"/>
  <c r="W27" i="25"/>
  <c r="Z27" i="25" s="1"/>
  <c r="AA27" i="25" s="1"/>
  <c r="AB27" i="25" s="1"/>
  <c r="AI27" i="25" s="1"/>
  <c r="AJ48" i="24"/>
  <c r="AG62" i="24"/>
  <c r="AF62" i="24"/>
  <c r="AD210" i="25"/>
  <c r="W210" i="25"/>
  <c r="Z210" i="25" s="1"/>
  <c r="AA210" i="25" s="1"/>
  <c r="AB210" i="25" s="1"/>
  <c r="AI210" i="25" s="1"/>
  <c r="AG169" i="24"/>
  <c r="AF169" i="24"/>
  <c r="AJ297" i="24"/>
  <c r="AG143" i="24"/>
  <c r="AF143" i="24"/>
  <c r="AD225" i="25"/>
  <c r="W225" i="25"/>
  <c r="Z225" i="25" s="1"/>
  <c r="AA225" i="25" s="1"/>
  <c r="AB225" i="25" s="1"/>
  <c r="AI225" i="25" s="1"/>
  <c r="AJ123" i="24"/>
  <c r="AD133" i="25"/>
  <c r="W133" i="25"/>
  <c r="Z133" i="25" s="1"/>
  <c r="AA133" i="25" s="1"/>
  <c r="AB133" i="25" s="1"/>
  <c r="AI133" i="25" s="1"/>
  <c r="V133" i="25"/>
  <c r="X133" i="25" s="1"/>
  <c r="AN55" i="24"/>
  <c r="AK55" i="24"/>
  <c r="AD203" i="25"/>
  <c r="W203" i="25"/>
  <c r="Z203" i="25" s="1"/>
  <c r="AA203" i="25" s="1"/>
  <c r="AB203" i="25" s="1"/>
  <c r="AI203" i="25" s="1"/>
  <c r="AG122" i="24"/>
  <c r="AF122" i="24"/>
  <c r="AG146" i="24"/>
  <c r="AF146" i="24"/>
  <c r="AJ56" i="24"/>
  <c r="AD151" i="25"/>
  <c r="W151" i="25"/>
  <c r="Z151" i="25" s="1"/>
  <c r="AA151" i="25" s="1"/>
  <c r="AB151" i="25" s="1"/>
  <c r="AI151" i="25" s="1"/>
  <c r="V151" i="25"/>
  <c r="X151" i="25" s="1"/>
  <c r="AK190" i="24"/>
  <c r="AN190" i="24"/>
  <c r="BI190" i="24" s="1"/>
  <c r="AG88" i="24"/>
  <c r="AF88" i="24"/>
  <c r="AG229" i="24"/>
  <c r="AF229" i="24"/>
  <c r="AG92" i="24"/>
  <c r="AF92" i="24"/>
  <c r="AD36" i="25"/>
  <c r="W36" i="25"/>
  <c r="Z36" i="25" s="1"/>
  <c r="AA36" i="25" s="1"/>
  <c r="AB36" i="25" s="1"/>
  <c r="AI36" i="25" s="1"/>
  <c r="V36" i="25"/>
  <c r="X36" i="25" s="1"/>
  <c r="AJ17" i="24"/>
  <c r="AS238" i="25"/>
  <c r="AG316" i="24"/>
  <c r="AF316" i="24"/>
  <c r="AF229" i="25"/>
  <c r="AE229" i="25"/>
  <c r="AS186" i="25"/>
  <c r="AJ9" i="24"/>
  <c r="AD35" i="25"/>
  <c r="W35" i="25"/>
  <c r="Z35" i="25" s="1"/>
  <c r="AA35" i="25" s="1"/>
  <c r="AB35" i="25" s="1"/>
  <c r="AI35" i="25" s="1"/>
  <c r="V35" i="25"/>
  <c r="X35" i="25" s="1"/>
  <c r="AG42" i="24"/>
  <c r="AF42" i="24"/>
  <c r="AD227" i="25"/>
  <c r="W227" i="25"/>
  <c r="Z227" i="25" s="1"/>
  <c r="AA227" i="25" s="1"/>
  <c r="AB227" i="25" s="1"/>
  <c r="AI227" i="25" s="1"/>
  <c r="V227" i="25"/>
  <c r="X227" i="25" s="1"/>
  <c r="AD38" i="25"/>
  <c r="W38" i="25"/>
  <c r="Z38" i="25" s="1"/>
  <c r="AA38" i="25" s="1"/>
  <c r="AB38" i="25" s="1"/>
  <c r="AI38" i="25" s="1"/>
  <c r="AJ219" i="24"/>
  <c r="AG144" i="24"/>
  <c r="AF144" i="24"/>
  <c r="AJ261" i="24"/>
  <c r="AG300" i="24"/>
  <c r="AF300" i="24"/>
  <c r="AD194" i="25"/>
  <c r="W194" i="25"/>
  <c r="Z194" i="25" s="1"/>
  <c r="AA194" i="25" s="1"/>
  <c r="AB194" i="25" s="1"/>
  <c r="AI194" i="25" s="1"/>
  <c r="AD67" i="25"/>
  <c r="W67" i="25"/>
  <c r="Z67" i="25" s="1"/>
  <c r="AA67" i="25" s="1"/>
  <c r="AB67" i="25" s="1"/>
  <c r="AI67" i="25" s="1"/>
  <c r="AX129" i="25"/>
  <c r="AW129" i="25"/>
  <c r="AJ128" i="24"/>
  <c r="AS257" i="25"/>
  <c r="AJ283" i="24"/>
  <c r="AD103" i="25"/>
  <c r="W103" i="25"/>
  <c r="Z103" i="25" s="1"/>
  <c r="AA103" i="25" s="1"/>
  <c r="AB103" i="25" s="1"/>
  <c r="AI103" i="25" s="1"/>
  <c r="AD163" i="25"/>
  <c r="W163" i="25"/>
  <c r="Z163" i="25" s="1"/>
  <c r="AA163" i="25" s="1"/>
  <c r="AB163" i="25" s="1"/>
  <c r="AI163" i="25" s="1"/>
  <c r="V163" i="25"/>
  <c r="X163" i="25" s="1"/>
  <c r="AG15" i="24"/>
  <c r="AF15" i="24"/>
  <c r="AG159" i="24"/>
  <c r="AF159" i="24"/>
  <c r="AG256" i="24"/>
  <c r="AF256" i="24"/>
  <c r="AF34" i="25"/>
  <c r="AE34" i="25"/>
  <c r="AD254" i="25"/>
  <c r="W254" i="25"/>
  <c r="Z254" i="25" s="1"/>
  <c r="AA254" i="25" s="1"/>
  <c r="AB254" i="25" s="1"/>
  <c r="AI254" i="25" s="1"/>
  <c r="V254" i="25"/>
  <c r="X254" i="25" s="1"/>
  <c r="AD234" i="25"/>
  <c r="W234" i="25"/>
  <c r="Z234" i="25" s="1"/>
  <c r="AA234" i="25" s="1"/>
  <c r="AB234" i="25" s="1"/>
  <c r="AI234" i="25" s="1"/>
  <c r="AG180" i="24"/>
  <c r="AF180" i="24"/>
  <c r="AD252" i="25"/>
  <c r="W252" i="25"/>
  <c r="Z252" i="25" s="1"/>
  <c r="AA252" i="25" s="1"/>
  <c r="AB252" i="25" s="1"/>
  <c r="AI252" i="25" s="1"/>
  <c r="V252" i="25"/>
  <c r="X252" i="25" s="1"/>
  <c r="AG252" i="24"/>
  <c r="AF252" i="24"/>
  <c r="AJ299" i="24"/>
  <c r="AD223" i="25"/>
  <c r="W223" i="25"/>
  <c r="Z223" i="25" s="1"/>
  <c r="AA223" i="25" s="1"/>
  <c r="AB223" i="25" s="1"/>
  <c r="AI223" i="25" s="1"/>
  <c r="AD91" i="25"/>
  <c r="W91" i="25"/>
  <c r="Z91" i="25" s="1"/>
  <c r="AA91" i="25" s="1"/>
  <c r="AB91" i="25" s="1"/>
  <c r="AI91" i="25" s="1"/>
  <c r="V91" i="25"/>
  <c r="X91" i="25" s="1"/>
  <c r="AG287" i="24"/>
  <c r="AF287" i="24"/>
  <c r="AG173" i="24"/>
  <c r="AF173" i="24"/>
  <c r="AG11" i="24"/>
  <c r="AF11" i="24"/>
  <c r="AF92" i="25"/>
  <c r="AE92" i="25"/>
  <c r="AG291" i="24"/>
  <c r="AF291" i="24"/>
  <c r="AF95" i="25"/>
  <c r="AE95" i="25"/>
  <c r="AD287" i="25"/>
  <c r="W287" i="25"/>
  <c r="Z287" i="25" s="1"/>
  <c r="AA287" i="25" s="1"/>
  <c r="AB287" i="25" s="1"/>
  <c r="AI287" i="25" s="1"/>
  <c r="AG288" i="24"/>
  <c r="AF288" i="24"/>
  <c r="AJ267" i="24"/>
  <c r="AG222" i="24"/>
  <c r="AF222" i="24"/>
  <c r="AG202" i="24"/>
  <c r="AF202" i="24"/>
  <c r="AD17" i="25"/>
  <c r="W17" i="25"/>
  <c r="Z17" i="25" s="1"/>
  <c r="AA17" i="25" s="1"/>
  <c r="AB17" i="25" s="1"/>
  <c r="AI17" i="25" s="1"/>
  <c r="V17" i="25"/>
  <c r="X17" i="25" s="1"/>
  <c r="AF261" i="25"/>
  <c r="AE261" i="25"/>
  <c r="AD132" i="25"/>
  <c r="W132" i="25"/>
  <c r="Z132" i="25" s="1"/>
  <c r="AA132" i="25" s="1"/>
  <c r="AB132" i="25" s="1"/>
  <c r="AI132" i="25" s="1"/>
  <c r="V132" i="25"/>
  <c r="X132" i="25" s="1"/>
  <c r="AG199" i="24"/>
  <c r="AF199" i="24"/>
  <c r="AS59" i="25"/>
  <c r="AG31" i="24"/>
  <c r="AF31" i="24"/>
  <c r="AG289" i="24"/>
  <c r="AF289" i="24"/>
  <c r="AJ265" i="24"/>
  <c r="AD312" i="25"/>
  <c r="W312" i="25"/>
  <c r="Z312" i="25" s="1"/>
  <c r="AA312" i="25" s="1"/>
  <c r="AB312" i="25" s="1"/>
  <c r="AI312" i="25" s="1"/>
  <c r="V312" i="25"/>
  <c r="X312" i="25" s="1"/>
  <c r="AN7" i="24"/>
  <c r="AK7" i="24"/>
  <c r="AJ32" i="24"/>
  <c r="AG105" i="24"/>
  <c r="AF105" i="24"/>
  <c r="AG166" i="24"/>
  <c r="AF166" i="24"/>
  <c r="AF306" i="25"/>
  <c r="AE306" i="25"/>
  <c r="AG113" i="24"/>
  <c r="AF113" i="24"/>
  <c r="AG151" i="24"/>
  <c r="AF151" i="24"/>
  <c r="AG115" i="24"/>
  <c r="AF115" i="24"/>
  <c r="AF206" i="25"/>
  <c r="AE206" i="25"/>
  <c r="AJ282" i="24"/>
  <c r="AS167" i="25"/>
  <c r="AJ155" i="24"/>
  <c r="AJ120" i="24"/>
  <c r="AJ284" i="24"/>
  <c r="AG176" i="24"/>
  <c r="AF176" i="24"/>
  <c r="AD216" i="25"/>
  <c r="W216" i="25"/>
  <c r="Z216" i="25" s="1"/>
  <c r="AA216" i="25" s="1"/>
  <c r="AB216" i="25" s="1"/>
  <c r="AI216" i="25" s="1"/>
  <c r="AJ37" i="24"/>
  <c r="AF246" i="25"/>
  <c r="AE246" i="25"/>
  <c r="AJ242" i="24"/>
  <c r="AD236" i="25"/>
  <c r="W236" i="25"/>
  <c r="Z236" i="25" s="1"/>
  <c r="AA236" i="25" s="1"/>
  <c r="AB236" i="25" s="1"/>
  <c r="AI236" i="25" s="1"/>
  <c r="V236" i="25"/>
  <c r="X236" i="25" s="1"/>
  <c r="AJ12" i="24"/>
  <c r="AD196" i="25"/>
  <c r="W196" i="25"/>
  <c r="Z196" i="25" s="1"/>
  <c r="AA196" i="25" s="1"/>
  <c r="AB196" i="25" s="1"/>
  <c r="AI196" i="25" s="1"/>
  <c r="AG59" i="24"/>
  <c r="AF59" i="24"/>
  <c r="AD135" i="25"/>
  <c r="W135" i="25"/>
  <c r="Z135" i="25" s="1"/>
  <c r="AA135" i="25" s="1"/>
  <c r="AB135" i="25" s="1"/>
  <c r="AI135" i="25" s="1"/>
  <c r="AG157" i="24"/>
  <c r="AF157" i="24"/>
  <c r="AG94" i="24"/>
  <c r="AF94" i="24"/>
  <c r="AJ295" i="24"/>
  <c r="BA233" i="24"/>
  <c r="AG84" i="24"/>
  <c r="AF84" i="24"/>
  <c r="AD208" i="25"/>
  <c r="W208" i="25"/>
  <c r="Z208" i="25" s="1"/>
  <c r="AA208" i="25" s="1"/>
  <c r="AB208" i="25" s="1"/>
  <c r="AI208" i="25" s="1"/>
  <c r="AD99" i="25"/>
  <c r="W99" i="25"/>
  <c r="Z99" i="25" s="1"/>
  <c r="AA99" i="25" s="1"/>
  <c r="AB99" i="25" s="1"/>
  <c r="AI99" i="25" s="1"/>
  <c r="AG314" i="24"/>
  <c r="AF314" i="24"/>
  <c r="V304" i="25"/>
  <c r="X304" i="25" s="1"/>
  <c r="AD270" i="25"/>
  <c r="W270" i="25"/>
  <c r="Z270" i="25" s="1"/>
  <c r="AA270" i="25" s="1"/>
  <c r="AB270" i="25" s="1"/>
  <c r="AI270" i="25" s="1"/>
  <c r="V270" i="25"/>
  <c r="X270" i="25" s="1"/>
  <c r="AJ253" i="24"/>
  <c r="AJ152" i="24"/>
  <c r="AD297" i="25"/>
  <c r="W297" i="25"/>
  <c r="Z297" i="25" s="1"/>
  <c r="AA297" i="25" s="1"/>
  <c r="AB297" i="25" s="1"/>
  <c r="AI297" i="25" s="1"/>
  <c r="AG8" i="24"/>
  <c r="AF8" i="24"/>
  <c r="V157" i="25"/>
  <c r="X157" i="25" s="1"/>
  <c r="V200" i="25"/>
  <c r="X200" i="25" s="1"/>
  <c r="AG260" i="24"/>
  <c r="AF260" i="24"/>
  <c r="V68" i="25"/>
  <c r="X68" i="25" s="1"/>
  <c r="V274" i="25"/>
  <c r="X274" i="25" s="1"/>
  <c r="AG271" i="24"/>
  <c r="AF271" i="24"/>
  <c r="AD139" i="25"/>
  <c r="W139" i="25"/>
  <c r="Z139" i="25" s="1"/>
  <c r="AA139" i="25" s="1"/>
  <c r="AB139" i="25" s="1"/>
  <c r="AI139" i="25" s="1"/>
  <c r="AD144" i="25"/>
  <c r="W144" i="25"/>
  <c r="Z144" i="25" s="1"/>
  <c r="AA144" i="25" s="1"/>
  <c r="AB144" i="25" s="1"/>
  <c r="AI144" i="25" s="1"/>
  <c r="V144" i="25"/>
  <c r="X144" i="25" s="1"/>
  <c r="AD12" i="25"/>
  <c r="W12" i="25"/>
  <c r="Z12" i="25" s="1"/>
  <c r="AA12" i="25" s="1"/>
  <c r="AB12" i="25" s="1"/>
  <c r="AI12" i="25" s="1"/>
  <c r="AG247" i="24"/>
  <c r="AF247" i="24"/>
  <c r="AD101" i="25"/>
  <c r="W101" i="25"/>
  <c r="Z101" i="25" s="1"/>
  <c r="AA101" i="25" s="1"/>
  <c r="AB101" i="25" s="1"/>
  <c r="AI101" i="25" s="1"/>
  <c r="AG279" i="24"/>
  <c r="AF279" i="24"/>
  <c r="AD149" i="25"/>
  <c r="W149" i="25"/>
  <c r="Z149" i="25" s="1"/>
  <c r="AA149" i="25" s="1"/>
  <c r="AB149" i="25" s="1"/>
  <c r="AI149" i="25" s="1"/>
  <c r="V149" i="25"/>
  <c r="X149" i="25" s="1"/>
  <c r="AD80" i="25"/>
  <c r="W80" i="25"/>
  <c r="Z80" i="25" s="1"/>
  <c r="AA80" i="25" s="1"/>
  <c r="AB80" i="25" s="1"/>
  <c r="AI80" i="25" s="1"/>
  <c r="V80" i="25"/>
  <c r="X80" i="25" s="1"/>
  <c r="AG126" i="24"/>
  <c r="AF126" i="24"/>
  <c r="AG259" i="24"/>
  <c r="AF259" i="24"/>
  <c r="AT142" i="24"/>
  <c r="AD73" i="25"/>
  <c r="W73" i="25"/>
  <c r="Z73" i="25" s="1"/>
  <c r="AA73" i="25" s="1"/>
  <c r="AB73" i="25" s="1"/>
  <c r="AI73" i="25" s="1"/>
  <c r="AG193" i="24"/>
  <c r="AF193" i="24"/>
  <c r="AG315" i="24"/>
  <c r="AF315" i="24"/>
  <c r="AF238" i="25"/>
  <c r="AE238" i="25"/>
  <c r="AD307" i="25"/>
  <c r="W307" i="25"/>
  <c r="Z307" i="25" s="1"/>
  <c r="AA307" i="25" s="1"/>
  <c r="AB307" i="25" s="1"/>
  <c r="AI307" i="25" s="1"/>
  <c r="AG86" i="24"/>
  <c r="AF86" i="24"/>
  <c r="V277" i="25"/>
  <c r="X277" i="25" s="1"/>
  <c r="AG33" i="24"/>
  <c r="AF33" i="24"/>
  <c r="AD10" i="25"/>
  <c r="W10" i="25"/>
  <c r="Z10" i="25" s="1"/>
  <c r="AA10" i="25" s="1"/>
  <c r="AB10" i="25" s="1"/>
  <c r="AI10" i="25" s="1"/>
  <c r="AF186" i="25"/>
  <c r="AE186" i="25"/>
  <c r="AG181" i="24"/>
  <c r="AF181" i="24"/>
  <c r="V210" i="25"/>
  <c r="X210" i="25" s="1"/>
  <c r="V12" i="25"/>
  <c r="X12" i="25" s="1"/>
  <c r="AG224" i="24"/>
  <c r="AF224" i="24"/>
  <c r="AS283" i="25"/>
  <c r="AG64" i="24"/>
  <c r="AF64" i="24"/>
  <c r="AG290" i="24"/>
  <c r="AF290" i="24"/>
  <c r="AG30" i="24"/>
  <c r="AF30" i="24"/>
  <c r="AG237" i="24"/>
  <c r="AF237" i="24"/>
  <c r="V23" i="25"/>
  <c r="X23" i="25" s="1"/>
  <c r="AD264" i="25"/>
  <c r="W264" i="25"/>
  <c r="Z264" i="25" s="1"/>
  <c r="AA264" i="25" s="1"/>
  <c r="AB264" i="25" s="1"/>
  <c r="AI264" i="25" s="1"/>
  <c r="AD159" i="25"/>
  <c r="W159" i="25"/>
  <c r="Z159" i="25" s="1"/>
  <c r="AA159" i="25" s="1"/>
  <c r="AB159" i="25" s="1"/>
  <c r="AI159" i="25" s="1"/>
  <c r="AG174" i="24"/>
  <c r="AF174" i="24"/>
  <c r="AG145" i="24"/>
  <c r="AF145" i="24"/>
  <c r="AG20" i="24"/>
  <c r="AF20" i="24"/>
  <c r="AF257" i="25"/>
  <c r="AE257" i="25"/>
  <c r="AS276" i="25"/>
  <c r="AG18" i="24"/>
  <c r="AF18" i="24"/>
  <c r="AJ130" i="24"/>
  <c r="AJ243" i="24"/>
  <c r="AJ248" i="24"/>
  <c r="AG238" i="24"/>
  <c r="AF238" i="24"/>
  <c r="V98" i="25"/>
  <c r="X98" i="25" s="1"/>
  <c r="AG266" i="24"/>
  <c r="AF266" i="24"/>
  <c r="V264" i="25"/>
  <c r="X264" i="25" s="1"/>
  <c r="V100" i="25"/>
  <c r="X100" i="25" s="1"/>
  <c r="AD146" i="25"/>
  <c r="W146" i="25"/>
  <c r="Z146" i="25" s="1"/>
  <c r="AA146" i="25" s="1"/>
  <c r="AB146" i="25" s="1"/>
  <c r="AI146" i="25" s="1"/>
  <c r="V146" i="25"/>
  <c r="X146" i="25" s="1"/>
  <c r="AG6" i="24"/>
  <c r="AF6" i="24"/>
  <c r="AG57" i="24"/>
  <c r="AF57" i="24"/>
  <c r="AG235" i="24"/>
  <c r="AF235" i="24"/>
  <c r="V67" i="25"/>
  <c r="X67" i="25" s="1"/>
  <c r="AJ147" i="24"/>
  <c r="V224" i="25"/>
  <c r="X224" i="25" s="1"/>
  <c r="AG72" i="24"/>
  <c r="AF72" i="24"/>
  <c r="AG129" i="24"/>
  <c r="AF129" i="24"/>
  <c r="AG34" i="24"/>
  <c r="AF34" i="24"/>
  <c r="AS131" i="25"/>
  <c r="V121" i="25"/>
  <c r="X121" i="25" s="1"/>
  <c r="AD58" i="25"/>
  <c r="W58" i="25"/>
  <c r="Z58" i="25" s="1"/>
  <c r="AA58" i="25" s="1"/>
  <c r="AB58" i="25" s="1"/>
  <c r="AI58" i="25" s="1"/>
  <c r="V58" i="25"/>
  <c r="X58" i="25" s="1"/>
  <c r="AD117" i="25"/>
  <c r="W117" i="25"/>
  <c r="Z117" i="25" s="1"/>
  <c r="AA117" i="25" s="1"/>
  <c r="AB117" i="25" s="1"/>
  <c r="AI117" i="25" s="1"/>
  <c r="V117" i="25"/>
  <c r="X117" i="25" s="1"/>
  <c r="AG19" i="24"/>
  <c r="AF19" i="24"/>
  <c r="V286" i="25"/>
  <c r="X286" i="25" s="1"/>
  <c r="AS32" i="25"/>
  <c r="AD55" i="25"/>
  <c r="W55" i="25"/>
  <c r="Z55" i="25" s="1"/>
  <c r="AA55" i="25" s="1"/>
  <c r="AB55" i="25" s="1"/>
  <c r="AI55" i="25" s="1"/>
  <c r="AS273" i="25"/>
  <c r="AJ273" i="24"/>
  <c r="AG240" i="24"/>
  <c r="AF240" i="24"/>
  <c r="AF59" i="25"/>
  <c r="AE59" i="25"/>
  <c r="AD303" i="25"/>
  <c r="W303" i="25"/>
  <c r="Z303" i="25" s="1"/>
  <c r="AA303" i="25" s="1"/>
  <c r="AB303" i="25" s="1"/>
  <c r="AI303" i="25" s="1"/>
  <c r="AD288" i="25"/>
  <c r="W288" i="25"/>
  <c r="Z288" i="25" s="1"/>
  <c r="AA288" i="25" s="1"/>
  <c r="AB288" i="25" s="1"/>
  <c r="AI288" i="25" s="1"/>
  <c r="AD120" i="25"/>
  <c r="W120" i="25"/>
  <c r="Z120" i="25" s="1"/>
  <c r="AA120" i="25" s="1"/>
  <c r="AB120" i="25" s="1"/>
  <c r="AI120" i="25" s="1"/>
  <c r="V120" i="25"/>
  <c r="X120" i="25" s="1"/>
  <c r="V156" i="25"/>
  <c r="X156" i="25" s="1"/>
  <c r="AD279" i="25"/>
  <c r="W279" i="25"/>
  <c r="Z279" i="25" s="1"/>
  <c r="AA279" i="25" s="1"/>
  <c r="AB279" i="25" s="1"/>
  <c r="AI279" i="25" s="1"/>
  <c r="V279" i="25"/>
  <c r="X279" i="25" s="1"/>
  <c r="AS232" i="25"/>
  <c r="AD169" i="25"/>
  <c r="W169" i="25"/>
  <c r="Z169" i="25" s="1"/>
  <c r="AA169" i="25" s="1"/>
  <c r="AB169" i="25" s="1"/>
  <c r="AI169" i="25" s="1"/>
  <c r="V86" i="25"/>
  <c r="X86" i="25" s="1"/>
  <c r="AD207" i="25"/>
  <c r="W207" i="25"/>
  <c r="Z207" i="25" s="1"/>
  <c r="AA207" i="25" s="1"/>
  <c r="AB207" i="25" s="1"/>
  <c r="AI207" i="25" s="1"/>
  <c r="AK132" i="24"/>
  <c r="AN132" i="24"/>
  <c r="AG188" i="24"/>
  <c r="AF188" i="24"/>
  <c r="AG114" i="24"/>
  <c r="AF114" i="24"/>
  <c r="AD249" i="25"/>
  <c r="W249" i="25"/>
  <c r="Z249" i="25" s="1"/>
  <c r="AA249" i="25" s="1"/>
  <c r="AB249" i="25" s="1"/>
  <c r="AI249" i="25" s="1"/>
  <c r="AD251" i="25"/>
  <c r="W251" i="25"/>
  <c r="Z251" i="25" s="1"/>
  <c r="AA251" i="25" s="1"/>
  <c r="AB251" i="25" s="1"/>
  <c r="AI251" i="25" s="1"/>
  <c r="AJ232" i="24"/>
  <c r="AD56" i="25"/>
  <c r="W56" i="25"/>
  <c r="Z56" i="25" s="1"/>
  <c r="AA56" i="25" s="1"/>
  <c r="AB56" i="25" s="1"/>
  <c r="AI56" i="25" s="1"/>
  <c r="AF167" i="25"/>
  <c r="AE167" i="25"/>
  <c r="AD18" i="25"/>
  <c r="W18" i="25"/>
  <c r="Z18" i="25" s="1"/>
  <c r="AA18" i="25" s="1"/>
  <c r="AB18" i="25" s="1"/>
  <c r="AI18" i="25" s="1"/>
  <c r="AD269" i="25"/>
  <c r="W269" i="25"/>
  <c r="Z269" i="25" s="1"/>
  <c r="AA269" i="25" s="1"/>
  <c r="AB269" i="25" s="1"/>
  <c r="AI269" i="25" s="1"/>
  <c r="V269" i="25"/>
  <c r="X269" i="25" s="1"/>
  <c r="AG272" i="24"/>
  <c r="AF272" i="24"/>
  <c r="AD162" i="25"/>
  <c r="W162" i="25"/>
  <c r="Z162" i="25" s="1"/>
  <c r="AA162" i="25" s="1"/>
  <c r="AB162" i="25" s="1"/>
  <c r="AI162" i="25" s="1"/>
  <c r="V162" i="25"/>
  <c r="X162" i="25" s="1"/>
  <c r="AS199" i="25"/>
  <c r="AD22" i="25"/>
  <c r="W22" i="25"/>
  <c r="Z22" i="25" s="1"/>
  <c r="AA22" i="25" s="1"/>
  <c r="AB22" i="25" s="1"/>
  <c r="AI22" i="25" s="1"/>
  <c r="AG137" i="24"/>
  <c r="AF137" i="24"/>
  <c r="AS314" i="25"/>
  <c r="AD138" i="25"/>
  <c r="W138" i="25"/>
  <c r="Z138" i="25" s="1"/>
  <c r="AA138" i="25" s="1"/>
  <c r="AB138" i="25" s="1"/>
  <c r="AI138" i="25" s="1"/>
  <c r="V222" i="25"/>
  <c r="X222" i="25" s="1"/>
  <c r="AD184" i="25"/>
  <c r="W184" i="25"/>
  <c r="Z184" i="25" s="1"/>
  <c r="AA184" i="25" s="1"/>
  <c r="AB184" i="25" s="1"/>
  <c r="AI184" i="25" s="1"/>
  <c r="V184" i="25"/>
  <c r="X184" i="25" s="1"/>
  <c r="AG156" i="24"/>
  <c r="AF156" i="24"/>
  <c r="V81" i="25"/>
  <c r="X81" i="25" s="1"/>
  <c r="V216" i="25"/>
  <c r="X216" i="25" s="1"/>
  <c r="AG263" i="24"/>
  <c r="AF263" i="24"/>
  <c r="AG48" i="24"/>
  <c r="AF48" i="24"/>
  <c r="AD84" i="25"/>
  <c r="W84" i="25"/>
  <c r="Z84" i="25" s="1"/>
  <c r="AA84" i="25" s="1"/>
  <c r="AB84" i="25" s="1"/>
  <c r="AI84" i="25" s="1"/>
  <c r="AG297" i="24"/>
  <c r="AF297" i="24"/>
  <c r="AD90" i="25"/>
  <c r="W90" i="25"/>
  <c r="Z90" i="25" s="1"/>
  <c r="AA90" i="25" s="1"/>
  <c r="AB90" i="25" s="1"/>
  <c r="AI90" i="25" s="1"/>
  <c r="V135" i="25"/>
  <c r="X135" i="25" s="1"/>
  <c r="AG123" i="24"/>
  <c r="AF123" i="24"/>
  <c r="AD185" i="25"/>
  <c r="W185" i="25"/>
  <c r="Z185" i="25" s="1"/>
  <c r="AA185" i="25" s="1"/>
  <c r="AB185" i="25" s="1"/>
  <c r="AI185" i="25" s="1"/>
  <c r="V185" i="25"/>
  <c r="X185" i="25" s="1"/>
  <c r="AD69" i="25"/>
  <c r="W69" i="25"/>
  <c r="Z69" i="25" s="1"/>
  <c r="AA69" i="25" s="1"/>
  <c r="AB69" i="25" s="1"/>
  <c r="AI69" i="25" s="1"/>
  <c r="V69" i="25"/>
  <c r="X69" i="25" s="1"/>
  <c r="AD202" i="25"/>
  <c r="W202" i="25"/>
  <c r="Z202" i="25" s="1"/>
  <c r="AA202" i="25" s="1"/>
  <c r="AB202" i="25" s="1"/>
  <c r="AI202" i="25" s="1"/>
  <c r="AD171" i="25"/>
  <c r="W171" i="25"/>
  <c r="Z171" i="25" s="1"/>
  <c r="AA171" i="25" s="1"/>
  <c r="AB171" i="25" s="1"/>
  <c r="AI171" i="25" s="1"/>
  <c r="AG56" i="24"/>
  <c r="AF56" i="24"/>
  <c r="AD217" i="25"/>
  <c r="W217" i="25"/>
  <c r="Z217" i="25" s="1"/>
  <c r="AA217" i="25" s="1"/>
  <c r="AB217" i="25" s="1"/>
  <c r="AI217" i="25" s="1"/>
  <c r="V75" i="25"/>
  <c r="X75" i="25" s="1"/>
  <c r="AS31" i="25"/>
  <c r="V297" i="25"/>
  <c r="X297" i="25" s="1"/>
  <c r="AD54" i="25"/>
  <c r="W54" i="25"/>
  <c r="Z54" i="25" s="1"/>
  <c r="AA54" i="25" s="1"/>
  <c r="AB54" i="25" s="1"/>
  <c r="AI54" i="25" s="1"/>
  <c r="V54" i="25"/>
  <c r="X54" i="25" s="1"/>
  <c r="AD310" i="25"/>
  <c r="W310" i="25"/>
  <c r="Z310" i="25" s="1"/>
  <c r="AA310" i="25" s="1"/>
  <c r="AB310" i="25" s="1"/>
  <c r="AI310" i="25" s="1"/>
  <c r="V310" i="25"/>
  <c r="X310" i="25" s="1"/>
  <c r="AS204" i="25"/>
  <c r="AD176" i="25"/>
  <c r="W176" i="25"/>
  <c r="Z176" i="25" s="1"/>
  <c r="AA176" i="25" s="1"/>
  <c r="AB176" i="25" s="1"/>
  <c r="AI176" i="25" s="1"/>
  <c r="V176" i="25"/>
  <c r="X176" i="25" s="1"/>
  <c r="AG17" i="24"/>
  <c r="AF17" i="24"/>
  <c r="AG9" i="24"/>
  <c r="AF9" i="24"/>
  <c r="AS282" i="25"/>
  <c r="AF283" i="25"/>
  <c r="AE283" i="25"/>
  <c r="AG219" i="24"/>
  <c r="AF219" i="24"/>
  <c r="AG261" i="24"/>
  <c r="AF261" i="24"/>
  <c r="AD83" i="25"/>
  <c r="W83" i="25"/>
  <c r="Z83" i="25" s="1"/>
  <c r="AA83" i="25" s="1"/>
  <c r="AB83" i="25" s="1"/>
  <c r="AI83" i="25" s="1"/>
  <c r="V83" i="25"/>
  <c r="X83" i="25" s="1"/>
  <c r="V72" i="25"/>
  <c r="X72" i="25" s="1"/>
  <c r="AG167" i="24"/>
  <c r="AF167" i="24"/>
  <c r="AD153" i="25"/>
  <c r="W153" i="25"/>
  <c r="Z153" i="25" s="1"/>
  <c r="AA153" i="25" s="1"/>
  <c r="AB153" i="25" s="1"/>
  <c r="AI153" i="25" s="1"/>
  <c r="V153" i="25"/>
  <c r="X153" i="25" s="1"/>
  <c r="AD61" i="25"/>
  <c r="W61" i="25"/>
  <c r="Z61" i="25" s="1"/>
  <c r="AA61" i="25" s="1"/>
  <c r="AB61" i="25" s="1"/>
  <c r="AI61" i="25" s="1"/>
  <c r="V61" i="25"/>
  <c r="X61" i="25" s="1"/>
  <c r="AG164" i="24"/>
  <c r="AF164" i="24"/>
  <c r="AX143" i="25"/>
  <c r="AW143" i="25"/>
  <c r="AT292" i="24"/>
  <c r="AD290" i="25"/>
  <c r="W290" i="25"/>
  <c r="Z290" i="25" s="1"/>
  <c r="AA290" i="25" s="1"/>
  <c r="AB290" i="25" s="1"/>
  <c r="AI290" i="25" s="1"/>
  <c r="V290" i="25"/>
  <c r="X290" i="25" s="1"/>
  <c r="AG128" i="24"/>
  <c r="AF128" i="24"/>
  <c r="AS178" i="25"/>
  <c r="AG283" i="24"/>
  <c r="AF283" i="24"/>
  <c r="AG225" i="24"/>
  <c r="AF225" i="24"/>
  <c r="AF276" i="25"/>
  <c r="AE276" i="25"/>
  <c r="AD182" i="25"/>
  <c r="W182" i="25"/>
  <c r="Z182" i="25" s="1"/>
  <c r="AA182" i="25" s="1"/>
  <c r="AB182" i="25" s="1"/>
  <c r="AI182" i="25" s="1"/>
  <c r="V182" i="25"/>
  <c r="X182" i="25" s="1"/>
  <c r="AD218" i="25"/>
  <c r="W218" i="25"/>
  <c r="Z218" i="25" s="1"/>
  <c r="AA218" i="25" s="1"/>
  <c r="AB218" i="25" s="1"/>
  <c r="AI218" i="25" s="1"/>
  <c r="AG61" i="24"/>
  <c r="AF61" i="24"/>
  <c r="AS170" i="25"/>
  <c r="AG299" i="24"/>
  <c r="AF299" i="24"/>
  <c r="AG68" i="24"/>
  <c r="AF68" i="24"/>
  <c r="AG207" i="24"/>
  <c r="AF207" i="24"/>
  <c r="AF131" i="25"/>
  <c r="AE131" i="25"/>
  <c r="AD40" i="25"/>
  <c r="W40" i="25"/>
  <c r="Z40" i="25" s="1"/>
  <c r="AA40" i="25" s="1"/>
  <c r="AB40" i="25" s="1"/>
  <c r="AI40" i="25" s="1"/>
  <c r="AD302" i="25"/>
  <c r="W302" i="25"/>
  <c r="Z302" i="25" s="1"/>
  <c r="AA302" i="25" s="1"/>
  <c r="AB302" i="25" s="1"/>
  <c r="AI302" i="25" s="1"/>
  <c r="V93" i="25"/>
  <c r="X93" i="25" s="1"/>
  <c r="AD53" i="25"/>
  <c r="W53" i="25"/>
  <c r="Z53" i="25" s="1"/>
  <c r="AA53" i="25" s="1"/>
  <c r="AB53" i="25" s="1"/>
  <c r="AI53" i="25" s="1"/>
  <c r="AD122" i="25"/>
  <c r="W122" i="25"/>
  <c r="Z122" i="25" s="1"/>
  <c r="AA122" i="25" s="1"/>
  <c r="AB122" i="25" s="1"/>
  <c r="AI122" i="25" s="1"/>
  <c r="AG209" i="24"/>
  <c r="AF209" i="24"/>
  <c r="AF32" i="25"/>
  <c r="AE32" i="25"/>
  <c r="AG267" i="24"/>
  <c r="AF267" i="24"/>
  <c r="AF273" i="25"/>
  <c r="AE273" i="25"/>
  <c r="AD46" i="25"/>
  <c r="W46" i="25"/>
  <c r="Z46" i="25" s="1"/>
  <c r="AA46" i="25" s="1"/>
  <c r="AB46" i="25" s="1"/>
  <c r="AI46" i="25" s="1"/>
  <c r="V46" i="25"/>
  <c r="X46" i="25" s="1"/>
  <c r="AG265" i="24"/>
  <c r="AF265" i="24"/>
  <c r="AD112" i="25"/>
  <c r="W112" i="25"/>
  <c r="Z112" i="25" s="1"/>
  <c r="AA112" i="25" s="1"/>
  <c r="AB112" i="25" s="1"/>
  <c r="AI112" i="25" s="1"/>
  <c r="V315" i="25"/>
  <c r="X315" i="25" s="1"/>
  <c r="AG32" i="24"/>
  <c r="AF32" i="24"/>
  <c r="AS104" i="25"/>
  <c r="AK160" i="24"/>
  <c r="AN160" i="24"/>
  <c r="BI160" i="24" s="1"/>
  <c r="AG282" i="24"/>
  <c r="AF282" i="24"/>
  <c r="AG155" i="24"/>
  <c r="AF155" i="24"/>
  <c r="AG120" i="24"/>
  <c r="AF120" i="24"/>
  <c r="AG284" i="24"/>
  <c r="AF284" i="24"/>
  <c r="AN222" i="24" l="1"/>
  <c r="AX264" i="24"/>
  <c r="BI264" i="24"/>
  <c r="CE119" i="24"/>
  <c r="BI119" i="24"/>
  <c r="CE233" i="24"/>
  <c r="BI233" i="24"/>
  <c r="BL233" i="24" s="1"/>
  <c r="AX142" i="24"/>
  <c r="BI142" i="24"/>
  <c r="BL142" i="24" s="1"/>
  <c r="BU236" i="24"/>
  <c r="BI236" i="24"/>
  <c r="BL236" i="24" s="1"/>
  <c r="CE132" i="24"/>
  <c r="BI132" i="24"/>
  <c r="BL132" i="24" s="1"/>
  <c r="CE162" i="24"/>
  <c r="BI162" i="24"/>
  <c r="BL162" i="24" s="1"/>
  <c r="BU292" i="24"/>
  <c r="BI292" i="24"/>
  <c r="CE191" i="24"/>
  <c r="BI191" i="24"/>
  <c r="BL191" i="24" s="1"/>
  <c r="BU7" i="24"/>
  <c r="BI7" i="24"/>
  <c r="BL7" i="24" s="1"/>
  <c r="BU44" i="24"/>
  <c r="BI44" i="24"/>
  <c r="BL44" i="24" s="1"/>
  <c r="CE45" i="24"/>
  <c r="BI45" i="24"/>
  <c r="BL45" i="24" s="1"/>
  <c r="BU41" i="24"/>
  <c r="BI41" i="24"/>
  <c r="BL41" i="24" s="1"/>
  <c r="BU101" i="24"/>
  <c r="BI101" i="24"/>
  <c r="BL101" i="24" s="1"/>
  <c r="CE55" i="24"/>
  <c r="BI55" i="24"/>
  <c r="BL55" i="24" s="1"/>
  <c r="BU21" i="24"/>
  <c r="CE21" i="24"/>
  <c r="AX22" i="24"/>
  <c r="CE22" i="24"/>
  <c r="AT67" i="24"/>
  <c r="BA67" i="24" s="1"/>
  <c r="BU22" i="24"/>
  <c r="BU45" i="24"/>
  <c r="BU55" i="24"/>
  <c r="AF280" i="25"/>
  <c r="AJ280" i="25" s="1"/>
  <c r="CE101" i="24"/>
  <c r="AF11" i="25"/>
  <c r="AJ11" i="25" s="1"/>
  <c r="AE155" i="25"/>
  <c r="AJ155" i="25" s="1"/>
  <c r="AF96" i="25"/>
  <c r="AJ96" i="25" s="1"/>
  <c r="AV27" i="24"/>
  <c r="AT81" i="24"/>
  <c r="BA81" i="24" s="1"/>
  <c r="AT49" i="24"/>
  <c r="BA49" i="24" s="1"/>
  <c r="AT39" i="24"/>
  <c r="BA39" i="24" s="1"/>
  <c r="AV77" i="24"/>
  <c r="AV65" i="24"/>
  <c r="AV104" i="24"/>
  <c r="AV66" i="24"/>
  <c r="AV103" i="24"/>
  <c r="AV64" i="24"/>
  <c r="AV102" i="24"/>
  <c r="AV23" i="24"/>
  <c r="AV61" i="24"/>
  <c r="AV78" i="24"/>
  <c r="AT72" i="24"/>
  <c r="BA72" i="24" s="1"/>
  <c r="AV86" i="24"/>
  <c r="AV98" i="24"/>
  <c r="AT62" i="24"/>
  <c r="BA62" i="24" s="1"/>
  <c r="AV69" i="24"/>
  <c r="AV10" i="24"/>
  <c r="AV15" i="24"/>
  <c r="AV38" i="24"/>
  <c r="AV50" i="24"/>
  <c r="AV40" i="24"/>
  <c r="AV60" i="24"/>
  <c r="AV47" i="24"/>
  <c r="AV63" i="24"/>
  <c r="AV83" i="24"/>
  <c r="AV80" i="24"/>
  <c r="AV100" i="24"/>
  <c r="AV84" i="24"/>
  <c r="AV76" i="24"/>
  <c r="AV70" i="24"/>
  <c r="AV91" i="24"/>
  <c r="AV43" i="24"/>
  <c r="AV68" i="24"/>
  <c r="AT92" i="24"/>
  <c r="BA92" i="24" s="1"/>
  <c r="AT95" i="24"/>
  <c r="BA95" i="24" s="1"/>
  <c r="AV16" i="24"/>
  <c r="AV105" i="24"/>
  <c r="AV46" i="24"/>
  <c r="AV52" i="24"/>
  <c r="AV53" i="24"/>
  <c r="AV71" i="24"/>
  <c r="AV82" i="24"/>
  <c r="AV73" i="24"/>
  <c r="AT74" i="24"/>
  <c r="BA74" i="24" s="1"/>
  <c r="AT93" i="24"/>
  <c r="BA93" i="24" s="1"/>
  <c r="AV89" i="24"/>
  <c r="AV99" i="24"/>
  <c r="AT14" i="24"/>
  <c r="BA14" i="24" s="1"/>
  <c r="AV11" i="24"/>
  <c r="AV88" i="24"/>
  <c r="AV79" i="24"/>
  <c r="AT97" i="24"/>
  <c r="BA97" i="24" s="1"/>
  <c r="AV75" i="24"/>
  <c r="AV85" i="24"/>
  <c r="AV94" i="24"/>
  <c r="AT25" i="24"/>
  <c r="BA25" i="24" s="1"/>
  <c r="AV29" i="24"/>
  <c r="AV31" i="24"/>
  <c r="AV13" i="24"/>
  <c r="AV36" i="24"/>
  <c r="AV42" i="24"/>
  <c r="AV87" i="24"/>
  <c r="AV67" i="24"/>
  <c r="AV90" i="24"/>
  <c r="AV96" i="24"/>
  <c r="AT103" i="24"/>
  <c r="BA103" i="24" s="1"/>
  <c r="AJ143" i="25"/>
  <c r="AT105" i="24"/>
  <c r="BA105" i="24" s="1"/>
  <c r="AT99" i="24"/>
  <c r="BA99" i="24" s="1"/>
  <c r="AF258" i="25"/>
  <c r="AJ258" i="25" s="1"/>
  <c r="AE189" i="25"/>
  <c r="AJ189" i="25" s="1"/>
  <c r="AT90" i="24"/>
  <c r="BA90" i="24" s="1"/>
  <c r="AT96" i="24"/>
  <c r="BA96" i="24" s="1"/>
  <c r="AT42" i="24"/>
  <c r="BA42" i="24" s="1"/>
  <c r="AT94" i="24"/>
  <c r="BA94" i="24" s="1"/>
  <c r="AT85" i="24"/>
  <c r="BA85" i="24" s="1"/>
  <c r="AT89" i="24"/>
  <c r="BA89" i="24" s="1"/>
  <c r="AV72" i="24"/>
  <c r="AV62" i="24"/>
  <c r="AT69" i="24"/>
  <c r="BA69" i="24" s="1"/>
  <c r="AT80" i="24"/>
  <c r="BA80" i="24" s="1"/>
  <c r="AT100" i="24"/>
  <c r="BA100" i="24" s="1"/>
  <c r="AT84" i="24"/>
  <c r="BA84" i="24" s="1"/>
  <c r="AV81" i="24"/>
  <c r="AF154" i="25"/>
  <c r="BU142" i="24"/>
  <c r="AT66" i="24"/>
  <c r="BA66" i="24" s="1"/>
  <c r="AT91" i="24"/>
  <c r="BA91" i="24" s="1"/>
  <c r="AF97" i="25"/>
  <c r="AJ97" i="25" s="1"/>
  <c r="AT102" i="24"/>
  <c r="BA102" i="24" s="1"/>
  <c r="AT70" i="24"/>
  <c r="BA70" i="24" s="1"/>
  <c r="AT86" i="24"/>
  <c r="BA86" i="24" s="1"/>
  <c r="AE154" i="25"/>
  <c r="AT98" i="24"/>
  <c r="BA98" i="24" s="1"/>
  <c r="AT75" i="24"/>
  <c r="BA75" i="24" s="1"/>
  <c r="AV97" i="24"/>
  <c r="AT79" i="24"/>
  <c r="BA79" i="24" s="1"/>
  <c r="AT88" i="24"/>
  <c r="BA88" i="24" s="1"/>
  <c r="AV74" i="24"/>
  <c r="AV93" i="24"/>
  <c r="AV95" i="24"/>
  <c r="AT87" i="24"/>
  <c r="BA87" i="24" s="1"/>
  <c r="AE104" i="25"/>
  <c r="AJ104" i="25" s="1"/>
  <c r="AV92" i="24"/>
  <c r="AT68" i="24"/>
  <c r="BA68" i="24" s="1"/>
  <c r="AT43" i="24"/>
  <c r="BA43" i="24" s="1"/>
  <c r="AF179" i="25"/>
  <c r="AJ179" i="25" s="1"/>
  <c r="AT65" i="24"/>
  <c r="BA65" i="24" s="1"/>
  <c r="AT104" i="24"/>
  <c r="BA104" i="24" s="1"/>
  <c r="AF265" i="25"/>
  <c r="AJ265" i="25" s="1"/>
  <c r="AT53" i="24"/>
  <c r="BA53" i="24" s="1"/>
  <c r="AT82" i="24"/>
  <c r="BA82" i="24" s="1"/>
  <c r="AT73" i="24"/>
  <c r="BA73" i="24" s="1"/>
  <c r="AT83" i="24"/>
  <c r="BA83" i="24" s="1"/>
  <c r="AF29" i="25"/>
  <c r="AM29" i="25" s="1"/>
  <c r="BG29" i="25" s="1"/>
  <c r="AT78" i="24"/>
  <c r="BA78" i="24" s="1"/>
  <c r="AT23" i="24"/>
  <c r="BA23" i="24" s="1"/>
  <c r="AT61" i="24"/>
  <c r="BA61" i="24" s="1"/>
  <c r="AV39" i="24"/>
  <c r="AF291" i="25"/>
  <c r="AM291" i="25" s="1"/>
  <c r="BG291" i="25" s="1"/>
  <c r="AT77" i="24"/>
  <c r="BA77" i="24" s="1"/>
  <c r="AV49" i="24"/>
  <c r="BW142" i="24"/>
  <c r="AV14" i="24"/>
  <c r="BW22" i="24"/>
  <c r="AT64" i="24"/>
  <c r="BA64" i="24" s="1"/>
  <c r="BH142" i="24"/>
  <c r="AT76" i="24"/>
  <c r="BA76" i="24" s="1"/>
  <c r="AF28" i="25"/>
  <c r="AM28" i="25" s="1"/>
  <c r="BG28" i="25" s="1"/>
  <c r="AT46" i="24"/>
  <c r="BA46" i="24" s="1"/>
  <c r="AT50" i="24"/>
  <c r="BA50" i="24" s="1"/>
  <c r="AT47" i="24"/>
  <c r="BA47" i="24" s="1"/>
  <c r="AT60" i="24"/>
  <c r="BA60" i="24" s="1"/>
  <c r="AT40" i="24"/>
  <c r="BA40" i="24" s="1"/>
  <c r="AT38" i="24"/>
  <c r="BA38" i="24" s="1"/>
  <c r="AT15" i="24"/>
  <c r="BA15" i="24" s="1"/>
  <c r="BH292" i="24"/>
  <c r="AX292" i="24"/>
  <c r="BW292" i="24"/>
  <c r="BW264" i="24"/>
  <c r="AT10" i="24"/>
  <c r="BA10" i="24" s="1"/>
  <c r="AT71" i="24"/>
  <c r="BA71" i="24" s="1"/>
  <c r="AT63" i="24"/>
  <c r="BA63" i="24" s="1"/>
  <c r="AT52" i="24"/>
  <c r="BA52" i="24" s="1"/>
  <c r="AT11" i="24"/>
  <c r="BA11" i="24" s="1"/>
  <c r="AV25" i="24"/>
  <c r="AT13" i="24"/>
  <c r="BA13" i="24" s="1"/>
  <c r="AT16" i="24"/>
  <c r="BA16" i="24" s="1"/>
  <c r="AT29" i="24"/>
  <c r="BA29" i="24" s="1"/>
  <c r="AT36" i="24"/>
  <c r="BA36" i="24" s="1"/>
  <c r="AT27" i="24"/>
  <c r="BA27" i="24" s="1"/>
  <c r="AT31" i="24"/>
  <c r="BA31" i="24" s="1"/>
  <c r="AF237" i="25"/>
  <c r="O212" i="25"/>
  <c r="P212" i="25"/>
  <c r="T212" i="25"/>
  <c r="U212" i="25" s="1"/>
  <c r="BH22" i="24"/>
  <c r="AX77" i="25"/>
  <c r="AF77" i="25"/>
  <c r="AE77" i="25"/>
  <c r="BU264" i="24"/>
  <c r="BH236" i="24"/>
  <c r="BW236" i="24"/>
  <c r="BH264" i="24"/>
  <c r="AX236" i="24"/>
  <c r="AJ131" i="25"/>
  <c r="AM131" i="25"/>
  <c r="BG131" i="25" s="1"/>
  <c r="AN284" i="24"/>
  <c r="BI284" i="24" s="1"/>
  <c r="AK284" i="24"/>
  <c r="AS53" i="25"/>
  <c r="AF40" i="25"/>
  <c r="AE40" i="25"/>
  <c r="AK128" i="24"/>
  <c r="AN128" i="24"/>
  <c r="AN261" i="24"/>
  <c r="AK261" i="24"/>
  <c r="BA220" i="24"/>
  <c r="AX31" i="25"/>
  <c r="AW31" i="25"/>
  <c r="BA154" i="24"/>
  <c r="AS202" i="25"/>
  <c r="AS185" i="25"/>
  <c r="AN48" i="24"/>
  <c r="AK48" i="24"/>
  <c r="AS269" i="25"/>
  <c r="AT232" i="24"/>
  <c r="BA165" i="24"/>
  <c r="AS120" i="25"/>
  <c r="AJ59" i="25"/>
  <c r="AM59" i="25"/>
  <c r="BG59" i="25" s="1"/>
  <c r="AS58" i="25"/>
  <c r="AX131" i="25"/>
  <c r="AW131" i="25"/>
  <c r="AN235" i="24"/>
  <c r="AK235" i="24"/>
  <c r="AF146" i="25"/>
  <c r="AE146" i="25"/>
  <c r="AT248" i="24"/>
  <c r="AJ257" i="25"/>
  <c r="AM257" i="25"/>
  <c r="BG257" i="25" s="1"/>
  <c r="AS159" i="25"/>
  <c r="AN224" i="24"/>
  <c r="AK224" i="24"/>
  <c r="AF10" i="25"/>
  <c r="AE10" i="25"/>
  <c r="AN86" i="24"/>
  <c r="AK86" i="24"/>
  <c r="AN193" i="24"/>
  <c r="AK193" i="24"/>
  <c r="BA142" i="24"/>
  <c r="AS12" i="25"/>
  <c r="AK271" i="24"/>
  <c r="AN271" i="24"/>
  <c r="AT253" i="24"/>
  <c r="AS99" i="25"/>
  <c r="AS196" i="25"/>
  <c r="AF236" i="25"/>
  <c r="AE236" i="25"/>
  <c r="AK176" i="24"/>
  <c r="AN176" i="24"/>
  <c r="BI176" i="24" s="1"/>
  <c r="AT155" i="24"/>
  <c r="AT282" i="24"/>
  <c r="AS312" i="25"/>
  <c r="AK199" i="24"/>
  <c r="AN199" i="24"/>
  <c r="AF17" i="25"/>
  <c r="AE17" i="25"/>
  <c r="AT267" i="24"/>
  <c r="BA207" i="24"/>
  <c r="AM92" i="25"/>
  <c r="AJ92" i="25"/>
  <c r="AS254" i="25"/>
  <c r="AS67" i="25"/>
  <c r="BA164" i="24"/>
  <c r="AV9" i="24"/>
  <c r="AT9" i="24"/>
  <c r="AN316" i="24"/>
  <c r="BI316" i="24" s="1"/>
  <c r="AK316" i="24"/>
  <c r="AV17" i="24"/>
  <c r="AT17" i="24"/>
  <c r="AF225" i="25"/>
  <c r="AE225" i="25"/>
  <c r="AT263" i="24"/>
  <c r="AS221" i="25"/>
  <c r="BA272" i="24"/>
  <c r="BA132" i="24"/>
  <c r="BA223" i="24"/>
  <c r="AS116" i="25"/>
  <c r="AK25" i="24"/>
  <c r="AN25" i="24"/>
  <c r="AT145" i="24"/>
  <c r="AJ174" i="25"/>
  <c r="AM174" i="25"/>
  <c r="AT290" i="24"/>
  <c r="AF123" i="25"/>
  <c r="AE123" i="25"/>
  <c r="AT126" i="24"/>
  <c r="AT279" i="24"/>
  <c r="AJ255" i="25"/>
  <c r="AM255" i="25"/>
  <c r="BG255" i="25" s="1"/>
  <c r="AM21" i="25"/>
  <c r="AJ21" i="25"/>
  <c r="AS244" i="25"/>
  <c r="AS33" i="25"/>
  <c r="AF200" i="25"/>
  <c r="AE200" i="25"/>
  <c r="AK275" i="24"/>
  <c r="AN275" i="24"/>
  <c r="AS121" i="25"/>
  <c r="AX155" i="25"/>
  <c r="AW155" i="25"/>
  <c r="AK276" i="24"/>
  <c r="AN276" i="24"/>
  <c r="BI276" i="24" s="1"/>
  <c r="AK104" i="24"/>
  <c r="AN104" i="24"/>
  <c r="AS127" i="25"/>
  <c r="AK29" i="24"/>
  <c r="AN29" i="24"/>
  <c r="AS101" i="24"/>
  <c r="BJ101" i="24"/>
  <c r="AQ101" i="24"/>
  <c r="AX101" i="24"/>
  <c r="BH101" i="24"/>
  <c r="BW101" i="24"/>
  <c r="BA256" i="24"/>
  <c r="AF57" i="25"/>
  <c r="AE57" i="25"/>
  <c r="AN197" i="24"/>
  <c r="BI197" i="24" s="1"/>
  <c r="AK197" i="24"/>
  <c r="BA316" i="24"/>
  <c r="AK230" i="24"/>
  <c r="AN230" i="24"/>
  <c r="BI230" i="24" s="1"/>
  <c r="BA122" i="24"/>
  <c r="AS272" i="25"/>
  <c r="AS300" i="25"/>
  <c r="BA208" i="24"/>
  <c r="AS45" i="25"/>
  <c r="AJ89" i="25"/>
  <c r="AM89" i="25"/>
  <c r="BA204" i="24"/>
  <c r="AN96" i="24"/>
  <c r="AK96" i="24"/>
  <c r="AF220" i="25"/>
  <c r="AE220" i="25"/>
  <c r="BA187" i="24"/>
  <c r="AF79" i="25"/>
  <c r="AE79" i="25"/>
  <c r="BA268" i="24"/>
  <c r="BA116" i="24"/>
  <c r="AM6" i="25"/>
  <c r="AJ6" i="25"/>
  <c r="AS136" i="25"/>
  <c r="AK125" i="24"/>
  <c r="AN125" i="24"/>
  <c r="AN58" i="24"/>
  <c r="AK58" i="24"/>
  <c r="AN83" i="24"/>
  <c r="AK83" i="24"/>
  <c r="AF195" i="25"/>
  <c r="AE195" i="25"/>
  <c r="AF137" i="25"/>
  <c r="AE137" i="25"/>
  <c r="AK26" i="24"/>
  <c r="AN26" i="24"/>
  <c r="BA245" i="24"/>
  <c r="AS274" i="25"/>
  <c r="AS289" i="25"/>
  <c r="AW13" i="25"/>
  <c r="AX13" i="25"/>
  <c r="AF39" i="25"/>
  <c r="AE39" i="25"/>
  <c r="AF49" i="25"/>
  <c r="AE49" i="25"/>
  <c r="AS239" i="25"/>
  <c r="AM259" i="25"/>
  <c r="BG259" i="25" s="1"/>
  <c r="AJ259" i="25"/>
  <c r="BA311" i="24"/>
  <c r="AS9" i="25"/>
  <c r="AS281" i="25"/>
  <c r="AS93" i="25"/>
  <c r="AK234" i="24"/>
  <c r="AN234" i="24"/>
  <c r="BI234" i="24" s="1"/>
  <c r="AN220" i="24"/>
  <c r="BI220" i="24" s="1"/>
  <c r="AK220" i="24"/>
  <c r="BA241" i="24"/>
  <c r="AK175" i="24"/>
  <c r="AN175" i="24"/>
  <c r="AX29" i="25"/>
  <c r="AW29" i="25"/>
  <c r="AN171" i="24"/>
  <c r="BI171" i="24" s="1"/>
  <c r="AK171" i="24"/>
  <c r="AW198" i="25"/>
  <c r="AX198" i="25"/>
  <c r="AS20" i="25"/>
  <c r="AS233" i="24"/>
  <c r="AQ233" i="24"/>
  <c r="BJ233" i="24"/>
  <c r="BU233" i="24"/>
  <c r="AX233" i="24"/>
  <c r="BH233" i="24"/>
  <c r="BW233" i="24"/>
  <c r="AK79" i="24"/>
  <c r="AN79" i="24"/>
  <c r="AF191" i="25"/>
  <c r="AE191" i="25"/>
  <c r="AF230" i="25"/>
  <c r="AE230" i="25"/>
  <c r="AT121" i="24"/>
  <c r="AS70" i="25"/>
  <c r="AN248" i="24"/>
  <c r="AK248" i="24"/>
  <c r="AS41" i="24"/>
  <c r="AQ41" i="24"/>
  <c r="BJ41" i="24"/>
  <c r="AX41" i="24"/>
  <c r="BH41" i="24"/>
  <c r="BW41" i="24"/>
  <c r="AT301" i="24"/>
  <c r="AF187" i="25"/>
  <c r="AE187" i="25"/>
  <c r="AS277" i="25"/>
  <c r="AF125" i="25"/>
  <c r="AE125" i="25"/>
  <c r="AT135" i="24"/>
  <c r="AK37" i="24"/>
  <c r="AN37" i="24"/>
  <c r="AF111" i="25"/>
  <c r="AE111" i="25"/>
  <c r="AS102" i="25"/>
  <c r="AK209" i="24"/>
  <c r="AN209" i="24"/>
  <c r="AN155" i="24"/>
  <c r="AK155" i="24"/>
  <c r="AX104" i="25"/>
  <c r="AW104" i="25"/>
  <c r="AS46" i="25"/>
  <c r="AJ32" i="25"/>
  <c r="AM32" i="25"/>
  <c r="BG32" i="25" s="1"/>
  <c r="AF53" i="25"/>
  <c r="AE53" i="25"/>
  <c r="AN299" i="24"/>
  <c r="BI299" i="24" s="1"/>
  <c r="AK299" i="24"/>
  <c r="BA184" i="24"/>
  <c r="AN61" i="24"/>
  <c r="BI61" i="24" s="1"/>
  <c r="AK61" i="24"/>
  <c r="AN164" i="24"/>
  <c r="BI164" i="24" s="1"/>
  <c r="AK164" i="24"/>
  <c r="AN167" i="24"/>
  <c r="BI167" i="24" s="1"/>
  <c r="AK167" i="24"/>
  <c r="AK17" i="24"/>
  <c r="AN17" i="24"/>
  <c r="CE17" i="24" s="1"/>
  <c r="AX204" i="25"/>
  <c r="AW204" i="25"/>
  <c r="AS54" i="25"/>
  <c r="AK56" i="24"/>
  <c r="AN56" i="24"/>
  <c r="AF202" i="25"/>
  <c r="AE202" i="25"/>
  <c r="AF185" i="25"/>
  <c r="AE185" i="25"/>
  <c r="AX28" i="25"/>
  <c r="AW28" i="25"/>
  <c r="AS162" i="25"/>
  <c r="BA226" i="24"/>
  <c r="AF269" i="25"/>
  <c r="AE269" i="25"/>
  <c r="AS251" i="25"/>
  <c r="AK188" i="24"/>
  <c r="AN188" i="24"/>
  <c r="BI188" i="24" s="1"/>
  <c r="AF120" i="25"/>
  <c r="AE120" i="25"/>
  <c r="AF58" i="25"/>
  <c r="AE58" i="25"/>
  <c r="BA139" i="24"/>
  <c r="AF159" i="25"/>
  <c r="AE159" i="25"/>
  <c r="AN30" i="24"/>
  <c r="BI30" i="24" s="1"/>
  <c r="AK30" i="24"/>
  <c r="BA134" i="24"/>
  <c r="AS307" i="25"/>
  <c r="AN126" i="24"/>
  <c r="BI126" i="24" s="1"/>
  <c r="AK126" i="24"/>
  <c r="AF12" i="25"/>
  <c r="AE12" i="25"/>
  <c r="AF99" i="25"/>
  <c r="AE99" i="25"/>
  <c r="AT295" i="24"/>
  <c r="AF196" i="25"/>
  <c r="AE196" i="25"/>
  <c r="AT242" i="24"/>
  <c r="BA124" i="24"/>
  <c r="AN105" i="24"/>
  <c r="AK105" i="24"/>
  <c r="AF312" i="25"/>
  <c r="AE312" i="25"/>
  <c r="AS287" i="25"/>
  <c r="AS91" i="25"/>
  <c r="AK252" i="24"/>
  <c r="AN252" i="24"/>
  <c r="BI252" i="24" s="1"/>
  <c r="AF254" i="25"/>
  <c r="AE254" i="25"/>
  <c r="AK15" i="24"/>
  <c r="AN15" i="24"/>
  <c r="AF67" i="25"/>
  <c r="AE67" i="25"/>
  <c r="AK300" i="24"/>
  <c r="AN300" i="24"/>
  <c r="BI300" i="24" s="1"/>
  <c r="AS227" i="25"/>
  <c r="BA156" i="24"/>
  <c r="AF221" i="25"/>
  <c r="AE221" i="25"/>
  <c r="AK112" i="24"/>
  <c r="AN112" i="24"/>
  <c r="AF116" i="25"/>
  <c r="AE116" i="25"/>
  <c r="AX206" i="25"/>
  <c r="AW206" i="25"/>
  <c r="AJ14" i="25"/>
  <c r="AM14" i="25"/>
  <c r="AS43" i="25"/>
  <c r="AN307" i="24"/>
  <c r="AK307" i="24"/>
  <c r="AN195" i="24"/>
  <c r="BI195" i="24" s="1"/>
  <c r="AK195" i="24"/>
  <c r="AN116" i="24"/>
  <c r="BI116" i="24" s="1"/>
  <c r="AK116" i="24"/>
  <c r="AT225" i="24"/>
  <c r="AS60" i="25"/>
  <c r="AS266" i="25"/>
  <c r="AT247" i="24"/>
  <c r="AF244" i="25"/>
  <c r="AE244" i="25"/>
  <c r="AK90" i="24"/>
  <c r="AN90" i="24"/>
  <c r="AS26" i="25"/>
  <c r="AF33" i="25"/>
  <c r="AE33" i="25"/>
  <c r="AW179" i="25"/>
  <c r="AX179" i="25"/>
  <c r="BA157" i="24"/>
  <c r="AS124" i="25"/>
  <c r="AS41" i="25"/>
  <c r="AK63" i="24"/>
  <c r="AN63" i="24"/>
  <c r="AF121" i="25"/>
  <c r="AE121" i="25"/>
  <c r="AS294" i="25"/>
  <c r="BA151" i="24"/>
  <c r="AK254" i="24"/>
  <c r="AN254" i="24"/>
  <c r="BI254" i="24" s="1"/>
  <c r="AF127" i="25"/>
  <c r="AE127" i="25"/>
  <c r="BA291" i="24"/>
  <c r="BA252" i="24"/>
  <c r="AX177" i="25"/>
  <c r="AW177" i="25"/>
  <c r="AK274" i="24"/>
  <c r="AN274" i="24"/>
  <c r="AN39" i="24"/>
  <c r="AK39" i="24"/>
  <c r="AF272" i="25"/>
  <c r="AE272" i="25"/>
  <c r="AF300" i="25"/>
  <c r="AE300" i="25"/>
  <c r="AJ190" i="25"/>
  <c r="AM190" i="25"/>
  <c r="AJ293" i="25"/>
  <c r="AM293" i="25"/>
  <c r="AK303" i="24"/>
  <c r="AN303" i="24"/>
  <c r="BI303" i="24" s="1"/>
  <c r="AF45" i="25"/>
  <c r="AE45" i="25"/>
  <c r="AN201" i="24"/>
  <c r="AK201" i="24"/>
  <c r="AW89" i="25"/>
  <c r="AX89" i="25"/>
  <c r="AK218" i="24"/>
  <c r="AN218" i="24"/>
  <c r="BI218" i="24" s="1"/>
  <c r="BA161" i="24"/>
  <c r="AX189" i="25"/>
  <c r="AW189" i="25"/>
  <c r="AS86" i="25"/>
  <c r="AK200" i="24"/>
  <c r="AN200" i="24"/>
  <c r="AN183" i="24"/>
  <c r="BI183" i="24" s="1"/>
  <c r="AK183" i="24"/>
  <c r="AF136" i="25"/>
  <c r="AE136" i="25"/>
  <c r="BA239" i="24"/>
  <c r="BA286" i="24"/>
  <c r="AJ305" i="25"/>
  <c r="AM305" i="25"/>
  <c r="AF274" i="25"/>
  <c r="AE274" i="25"/>
  <c r="AX87" i="25"/>
  <c r="AW87" i="25"/>
  <c r="AF289" i="25"/>
  <c r="AE289" i="25"/>
  <c r="AS42" i="25"/>
  <c r="BA264" i="24"/>
  <c r="AK226" i="24"/>
  <c r="AN226" i="24"/>
  <c r="BI226" i="24" s="1"/>
  <c r="AF239" i="25"/>
  <c r="AE239" i="25"/>
  <c r="AS183" i="25"/>
  <c r="AF9" i="25"/>
  <c r="AE9" i="25"/>
  <c r="AN150" i="24"/>
  <c r="AK150" i="24"/>
  <c r="AF281" i="25"/>
  <c r="AE281" i="25"/>
  <c r="AF93" i="25"/>
  <c r="AE93" i="25"/>
  <c r="AM292" i="25"/>
  <c r="AJ292" i="25"/>
  <c r="AN217" i="24"/>
  <c r="BI217" i="24" s="1"/>
  <c r="AK217" i="24"/>
  <c r="AS100" i="25"/>
  <c r="BA197" i="24"/>
  <c r="AJ62" i="25"/>
  <c r="AM62" i="25"/>
  <c r="AS118" i="25"/>
  <c r="AS226" i="25"/>
  <c r="AS180" i="25"/>
  <c r="AF20" i="25"/>
  <c r="AE20" i="25"/>
  <c r="AT305" i="24"/>
  <c r="AS66" i="25"/>
  <c r="AT218" i="24"/>
  <c r="AS235" i="25"/>
  <c r="BA200" i="24"/>
  <c r="BA189" i="24"/>
  <c r="AF70" i="25"/>
  <c r="AE70" i="25"/>
  <c r="AS44" i="25"/>
  <c r="AN243" i="24"/>
  <c r="AK243" i="24"/>
  <c r="AX6" i="25"/>
  <c r="AW6" i="25"/>
  <c r="AN231" i="24"/>
  <c r="BI231" i="24" s="1"/>
  <c r="AK231" i="24"/>
  <c r="AS63" i="25"/>
  <c r="AS37" i="25"/>
  <c r="AN91" i="24"/>
  <c r="AK91" i="24"/>
  <c r="AK244" i="24"/>
  <c r="AN244" i="24"/>
  <c r="BI244" i="24" s="1"/>
  <c r="AT111" i="24"/>
  <c r="AJ31" i="25"/>
  <c r="AM31" i="25"/>
  <c r="AF277" i="25"/>
  <c r="AE277" i="25"/>
  <c r="AS295" i="25"/>
  <c r="AN253" i="24"/>
  <c r="AK253" i="24"/>
  <c r="AJ199" i="25"/>
  <c r="AM199" i="25"/>
  <c r="BG199" i="25" s="1"/>
  <c r="AS181" i="25"/>
  <c r="AK124" i="24"/>
  <c r="AN124" i="24"/>
  <c r="BI124" i="24" s="1"/>
  <c r="AF102" i="25"/>
  <c r="AE102" i="25"/>
  <c r="AK282" i="24"/>
  <c r="AN282" i="24"/>
  <c r="AS112" i="25"/>
  <c r="AF46" i="25"/>
  <c r="AE46" i="25"/>
  <c r="BA206" i="24"/>
  <c r="BA227" i="24"/>
  <c r="AW170" i="25"/>
  <c r="AX170" i="25"/>
  <c r="AS218" i="25"/>
  <c r="AS290" i="25"/>
  <c r="BA185" i="24"/>
  <c r="AN219" i="24"/>
  <c r="AK219" i="24"/>
  <c r="AF54" i="25"/>
  <c r="AE54" i="25"/>
  <c r="AS90" i="25"/>
  <c r="BA171" i="24"/>
  <c r="BA285" i="24"/>
  <c r="AN156" i="24"/>
  <c r="AK156" i="24"/>
  <c r="BA293" i="24"/>
  <c r="AS138" i="25"/>
  <c r="AF162" i="25"/>
  <c r="AE162" i="25"/>
  <c r="AS18" i="25"/>
  <c r="AF251" i="25"/>
  <c r="AE251" i="25"/>
  <c r="AS132" i="24"/>
  <c r="AU132" i="24" s="1"/>
  <c r="BB132" i="24" s="1"/>
  <c r="BJ132" i="24"/>
  <c r="AQ132" i="24"/>
  <c r="AS169" i="25"/>
  <c r="AK57" i="24"/>
  <c r="AN57" i="24"/>
  <c r="BA192" i="24"/>
  <c r="BA231" i="24"/>
  <c r="AK20" i="24"/>
  <c r="AN20" i="24"/>
  <c r="AN33" i="24"/>
  <c r="AK33" i="24"/>
  <c r="AF307" i="25"/>
  <c r="AE307" i="25"/>
  <c r="AS270" i="25"/>
  <c r="AS208" i="25"/>
  <c r="AS135" i="25"/>
  <c r="AK113" i="24"/>
  <c r="AN113" i="24"/>
  <c r="BI113" i="24" s="1"/>
  <c r="AV32" i="24"/>
  <c r="AT32" i="24"/>
  <c r="AT265" i="24"/>
  <c r="AS132" i="25"/>
  <c r="AK288" i="24"/>
  <c r="AN288" i="24"/>
  <c r="BI288" i="24" s="1"/>
  <c r="AF287" i="25"/>
  <c r="AE287" i="25"/>
  <c r="AN11" i="24"/>
  <c r="AK11" i="24"/>
  <c r="AF91" i="25"/>
  <c r="AE91" i="25"/>
  <c r="AS234" i="25"/>
  <c r="AT261" i="24"/>
  <c r="AF227" i="25"/>
  <c r="AE227" i="25"/>
  <c r="AS36" i="25"/>
  <c r="AK229" i="24"/>
  <c r="AN229" i="24"/>
  <c r="AN146" i="24"/>
  <c r="BI146" i="24" s="1"/>
  <c r="AK146" i="24"/>
  <c r="AS55" i="24"/>
  <c r="AQ55" i="24"/>
  <c r="BJ55" i="24"/>
  <c r="AX55" i="24"/>
  <c r="BW55" i="24"/>
  <c r="BH55" i="24"/>
  <c r="AN169" i="24"/>
  <c r="BI169" i="24" s="1"/>
  <c r="AK169" i="24"/>
  <c r="AN62" i="24"/>
  <c r="BI62" i="24" s="1"/>
  <c r="AK62" i="24"/>
  <c r="AS245" i="25"/>
  <c r="AS68" i="25"/>
  <c r="AM240" i="25"/>
  <c r="BG240" i="25" s="1"/>
  <c r="AJ240" i="25"/>
  <c r="BA188" i="24"/>
  <c r="AT240" i="24"/>
  <c r="AJ275" i="25"/>
  <c r="AM275" i="25"/>
  <c r="BG275" i="25" s="1"/>
  <c r="AS231" i="25"/>
  <c r="AX95" i="25"/>
  <c r="AW95" i="25"/>
  <c r="AF43" i="25"/>
  <c r="AE43" i="25"/>
  <c r="AV57" i="24"/>
  <c r="AT57" i="24"/>
  <c r="AT266" i="24"/>
  <c r="AX34" i="25"/>
  <c r="AW34" i="25"/>
  <c r="AF60" i="25"/>
  <c r="AE60" i="25"/>
  <c r="AF266" i="25"/>
  <c r="AE266" i="25"/>
  <c r="BA22" i="24"/>
  <c r="AT224" i="24"/>
  <c r="AJ173" i="25"/>
  <c r="AM173" i="25"/>
  <c r="AM248" i="25"/>
  <c r="BG248" i="25" s="1"/>
  <c r="AJ248" i="25"/>
  <c r="AK70" i="24"/>
  <c r="AN70" i="24"/>
  <c r="AV8" i="24"/>
  <c r="AT8" i="24"/>
  <c r="AF26" i="25"/>
  <c r="AE26" i="25"/>
  <c r="BA314" i="24"/>
  <c r="AV59" i="24"/>
  <c r="AT59" i="24"/>
  <c r="AF124" i="25"/>
  <c r="AE124" i="25"/>
  <c r="AF41" i="25"/>
  <c r="AE41" i="25"/>
  <c r="AS168" i="25"/>
  <c r="AF294" i="25"/>
  <c r="AE294" i="25"/>
  <c r="BA113" i="24"/>
  <c r="AN179" i="24"/>
  <c r="AK179" i="24"/>
  <c r="AS284" i="25"/>
  <c r="AS19" i="25"/>
  <c r="AK196" i="24"/>
  <c r="AN196" i="24"/>
  <c r="BI196" i="24" s="1"/>
  <c r="AJ113" i="25"/>
  <c r="AM113" i="25"/>
  <c r="AS175" i="25"/>
  <c r="BA236" i="24"/>
  <c r="AK182" i="24"/>
  <c r="AN182" i="24"/>
  <c r="BA177" i="24"/>
  <c r="AM114" i="25"/>
  <c r="BG114" i="25" s="1"/>
  <c r="AJ114" i="25"/>
  <c r="BL21" i="24"/>
  <c r="AS21" i="24"/>
  <c r="BJ21" i="24"/>
  <c r="AQ21" i="24"/>
  <c r="AX21" i="24"/>
  <c r="BW21" i="24"/>
  <c r="BH21" i="24"/>
  <c r="AK281" i="24"/>
  <c r="AN281" i="24"/>
  <c r="AF86" i="25"/>
  <c r="AE86" i="25"/>
  <c r="AS164" i="25"/>
  <c r="BA140" i="24"/>
  <c r="AS156" i="25"/>
  <c r="AS7" i="25"/>
  <c r="BA195" i="24"/>
  <c r="AW154" i="25"/>
  <c r="AX154" i="25"/>
  <c r="AN54" i="24"/>
  <c r="CE54" i="24" s="1"/>
  <c r="AK54" i="24"/>
  <c r="AS301" i="25"/>
  <c r="AW113" i="25"/>
  <c r="AX113" i="25"/>
  <c r="AN301" i="24"/>
  <c r="AK301" i="24"/>
  <c r="AW201" i="25"/>
  <c r="AX201" i="25"/>
  <c r="AN153" i="24"/>
  <c r="AK153" i="24"/>
  <c r="AS228" i="25"/>
  <c r="AF42" i="25"/>
  <c r="AE42" i="25"/>
  <c r="AK38" i="24"/>
  <c r="AN38" i="24"/>
  <c r="BA131" i="24"/>
  <c r="AF183" i="25"/>
  <c r="AE183" i="25"/>
  <c r="AF100" i="25"/>
  <c r="AE100" i="25"/>
  <c r="BA196" i="24"/>
  <c r="AK185" i="24"/>
  <c r="AN185" i="24"/>
  <c r="AS311" i="25"/>
  <c r="AM247" i="25"/>
  <c r="BG247" i="25" s="1"/>
  <c r="AJ247" i="25"/>
  <c r="AS313" i="25"/>
  <c r="AF118" i="25"/>
  <c r="AE118" i="25"/>
  <c r="BA149" i="24"/>
  <c r="AF226" i="25"/>
  <c r="AE226" i="25"/>
  <c r="BA203" i="24"/>
  <c r="AF180" i="25"/>
  <c r="AE180" i="25"/>
  <c r="AN13" i="24"/>
  <c r="AK13" i="24"/>
  <c r="AK27" i="24"/>
  <c r="AN27" i="24"/>
  <c r="AW147" i="25"/>
  <c r="AX147" i="25"/>
  <c r="AS88" i="25"/>
  <c r="AF66" i="25"/>
  <c r="AE66" i="25"/>
  <c r="AS191" i="24"/>
  <c r="BJ191" i="24"/>
  <c r="AQ191" i="24"/>
  <c r="AX191" i="24"/>
  <c r="BH191" i="24"/>
  <c r="BW191" i="24"/>
  <c r="BU191" i="24"/>
  <c r="AT281" i="24"/>
  <c r="AF235" i="25"/>
  <c r="AE235" i="25"/>
  <c r="BA183" i="24"/>
  <c r="AF44" i="25"/>
  <c r="AE44" i="25"/>
  <c r="AT117" i="24"/>
  <c r="AF63" i="25"/>
  <c r="AE63" i="25"/>
  <c r="AF37" i="25"/>
  <c r="AE37" i="25"/>
  <c r="AT133" i="24"/>
  <c r="AS250" i="25"/>
  <c r="AT153" i="24"/>
  <c r="AF295" i="25"/>
  <c r="AE295" i="25"/>
  <c r="BL257" i="24"/>
  <c r="AS257" i="24"/>
  <c r="BJ257" i="24"/>
  <c r="AQ257" i="24"/>
  <c r="BW257" i="24"/>
  <c r="BU257" i="24"/>
  <c r="AX257" i="24"/>
  <c r="BH257" i="24"/>
  <c r="AN295" i="24"/>
  <c r="AK295" i="24"/>
  <c r="AS299" i="25"/>
  <c r="AF181" i="25"/>
  <c r="AE181" i="25"/>
  <c r="AN89" i="24"/>
  <c r="AK89" i="24"/>
  <c r="AJ276" i="25"/>
  <c r="AM276" i="25"/>
  <c r="BG276" i="25" s="1"/>
  <c r="AF290" i="25"/>
  <c r="AE290" i="25"/>
  <c r="AS176" i="25"/>
  <c r="BA175" i="24"/>
  <c r="AF90" i="25"/>
  <c r="AE90" i="25"/>
  <c r="AN263" i="24"/>
  <c r="AK263" i="24"/>
  <c r="AF138" i="25"/>
  <c r="AE138" i="25"/>
  <c r="AX199" i="25"/>
  <c r="AW199" i="25"/>
  <c r="AF18" i="25"/>
  <c r="AE18" i="25"/>
  <c r="AS249" i="25"/>
  <c r="AF169" i="25"/>
  <c r="AE169" i="25"/>
  <c r="AS288" i="25"/>
  <c r="AK240" i="24"/>
  <c r="AN240" i="24"/>
  <c r="AX32" i="25"/>
  <c r="AW32" i="25"/>
  <c r="AK19" i="24"/>
  <c r="AN19" i="24"/>
  <c r="AK72" i="24"/>
  <c r="AN72" i="24"/>
  <c r="AX97" i="25"/>
  <c r="AW97" i="25"/>
  <c r="AT243" i="24"/>
  <c r="AS264" i="25"/>
  <c r="AN290" i="24"/>
  <c r="BI290" i="24" s="1"/>
  <c r="AK290" i="24"/>
  <c r="AS73" i="25"/>
  <c r="AS80" i="25"/>
  <c r="AN279" i="24"/>
  <c r="AK279" i="24"/>
  <c r="AS144" i="25"/>
  <c r="AF270" i="25"/>
  <c r="AE270" i="25"/>
  <c r="AF208" i="25"/>
  <c r="AE208" i="25"/>
  <c r="AF135" i="25"/>
  <c r="AE135" i="25"/>
  <c r="AJ246" i="25"/>
  <c r="AM246" i="25"/>
  <c r="BG246" i="25" s="1"/>
  <c r="AM206" i="25"/>
  <c r="BG206" i="25" s="1"/>
  <c r="AJ206" i="25"/>
  <c r="AX59" i="25"/>
  <c r="AW59" i="25"/>
  <c r="AF132" i="25"/>
  <c r="AE132" i="25"/>
  <c r="AK202" i="24"/>
  <c r="AN202" i="24"/>
  <c r="AS252" i="25"/>
  <c r="AF234" i="25"/>
  <c r="AE234" i="25"/>
  <c r="AM34" i="25"/>
  <c r="BG34" i="25" s="1"/>
  <c r="AJ34" i="25"/>
  <c r="AS163" i="25"/>
  <c r="AM229" i="25"/>
  <c r="AJ229" i="25"/>
  <c r="AF36" i="25"/>
  <c r="AE36" i="25"/>
  <c r="AS210" i="25"/>
  <c r="AF245" i="25"/>
  <c r="AE245" i="25"/>
  <c r="AF68" i="25"/>
  <c r="AE68" i="25"/>
  <c r="BW132" i="24"/>
  <c r="AF231" i="25"/>
  <c r="AE231" i="25"/>
  <c r="AV34" i="24"/>
  <c r="AT34" i="24"/>
  <c r="AV6" i="24"/>
  <c r="AT6" i="24"/>
  <c r="AT238" i="24"/>
  <c r="AM177" i="25"/>
  <c r="AJ177" i="25"/>
  <c r="AV33" i="24"/>
  <c r="AT33" i="24"/>
  <c r="AT271" i="24"/>
  <c r="AK239" i="24"/>
  <c r="AN239" i="24"/>
  <c r="BI239" i="24" s="1"/>
  <c r="AK286" i="24"/>
  <c r="AN286" i="24"/>
  <c r="BI286" i="24" s="1"/>
  <c r="AS74" i="25"/>
  <c r="AK194" i="24"/>
  <c r="AN194" i="24"/>
  <c r="BI194" i="24" s="1"/>
  <c r="BA176" i="24"/>
  <c r="AF168" i="25"/>
  <c r="AE168" i="25"/>
  <c r="AM262" i="25"/>
  <c r="BG262" i="25" s="1"/>
  <c r="AJ262" i="25"/>
  <c r="AS15" i="25"/>
  <c r="AX14" i="25"/>
  <c r="AW14" i="25"/>
  <c r="BA289" i="24"/>
  <c r="B158" i="2"/>
  <c r="AS105" i="25"/>
  <c r="AK311" i="24"/>
  <c r="AN311" i="24"/>
  <c r="BI311" i="24" s="1"/>
  <c r="AF284" i="25"/>
  <c r="AE284" i="25"/>
  <c r="BA180" i="24"/>
  <c r="AM243" i="25"/>
  <c r="BG243" i="25" s="1"/>
  <c r="AJ243" i="25"/>
  <c r="AF19" i="25"/>
  <c r="AE19" i="25"/>
  <c r="AX174" i="25"/>
  <c r="AW174" i="25"/>
  <c r="AS241" i="25"/>
  <c r="AF175" i="25"/>
  <c r="AE175" i="25"/>
  <c r="AK46" i="24"/>
  <c r="AN46" i="24"/>
  <c r="AS65" i="25"/>
  <c r="AK149" i="24"/>
  <c r="AN149" i="24"/>
  <c r="BI149" i="24" s="1"/>
  <c r="AX158" i="25"/>
  <c r="AW158" i="25"/>
  <c r="BA136" i="24"/>
  <c r="AS285" i="25"/>
  <c r="AS44" i="24"/>
  <c r="BJ44" i="24"/>
  <c r="AQ44" i="24"/>
  <c r="AX44" i="24"/>
  <c r="BH44" i="24"/>
  <c r="BW44" i="24"/>
  <c r="AK310" i="24"/>
  <c r="AN310" i="24"/>
  <c r="AS145" i="25"/>
  <c r="AS25" i="25"/>
  <c r="AN298" i="24"/>
  <c r="CE298" i="24" s="1"/>
  <c r="AK298" i="24"/>
  <c r="AW148" i="25"/>
  <c r="AX148" i="25"/>
  <c r="AF164" i="25"/>
  <c r="AE164" i="25"/>
  <c r="AF156" i="25"/>
  <c r="AE156" i="25"/>
  <c r="AF7" i="25"/>
  <c r="AE7" i="25"/>
  <c r="AK117" i="24"/>
  <c r="AN117" i="24"/>
  <c r="BI117" i="24" s="1"/>
  <c r="AS130" i="25"/>
  <c r="AS128" i="25"/>
  <c r="AF301" i="25"/>
  <c r="AE301" i="25"/>
  <c r="BL292" i="24"/>
  <c r="AS292" i="24"/>
  <c r="AU292" i="24" s="1"/>
  <c r="BB292" i="24" s="1"/>
  <c r="AQ292" i="24"/>
  <c r="BJ292" i="24"/>
  <c r="AK51" i="24"/>
  <c r="AN51" i="24"/>
  <c r="AF228" i="25"/>
  <c r="AE228" i="25"/>
  <c r="AS193" i="25"/>
  <c r="AN135" i="24"/>
  <c r="AK135" i="24"/>
  <c r="BA186" i="24"/>
  <c r="AK278" i="24"/>
  <c r="AN278" i="24"/>
  <c r="BI278" i="24" s="1"/>
  <c r="AK251" i="24"/>
  <c r="AN251" i="24"/>
  <c r="AS197" i="25"/>
  <c r="AW96" i="25"/>
  <c r="AX96" i="25"/>
  <c r="AJ94" i="25"/>
  <c r="AM94" i="25"/>
  <c r="BG94" i="25" s="1"/>
  <c r="AK47" i="24"/>
  <c r="AN47" i="24"/>
  <c r="AN205" i="24"/>
  <c r="AK205" i="24"/>
  <c r="BA313" i="24"/>
  <c r="AS165" i="25"/>
  <c r="AF311" i="25"/>
  <c r="AE311" i="25"/>
  <c r="BA127" i="24"/>
  <c r="BL22" i="24"/>
  <c r="AS22" i="24"/>
  <c r="AU22" i="24" s="1"/>
  <c r="BB22" i="24" s="1"/>
  <c r="BJ22" i="24"/>
  <c r="AQ22" i="24"/>
  <c r="BA230" i="24"/>
  <c r="AF313" i="25"/>
  <c r="AE313" i="25"/>
  <c r="AN43" i="24"/>
  <c r="AK43" i="24"/>
  <c r="BA302" i="24"/>
  <c r="AJ82" i="25"/>
  <c r="AM82" i="25"/>
  <c r="BA310" i="24"/>
  <c r="AS81" i="25"/>
  <c r="AF88" i="25"/>
  <c r="AE88" i="25"/>
  <c r="AK165" i="24"/>
  <c r="AN165" i="24"/>
  <c r="AS141" i="25"/>
  <c r="AT296" i="24"/>
  <c r="AS85" i="25"/>
  <c r="AN23" i="24"/>
  <c r="BI23" i="24" s="1"/>
  <c r="AK23" i="24"/>
  <c r="AM170" i="25"/>
  <c r="AJ170" i="25"/>
  <c r="AT125" i="24"/>
  <c r="AT269" i="24"/>
  <c r="AR129" i="25"/>
  <c r="BJ129" i="25"/>
  <c r="AP129" i="25"/>
  <c r="BH129" i="25"/>
  <c r="BW129" i="25"/>
  <c r="BU129" i="25"/>
  <c r="BF129" i="25"/>
  <c r="AK80" i="24"/>
  <c r="AN80" i="24"/>
  <c r="AF250" i="25"/>
  <c r="AE250" i="25"/>
  <c r="AS298" i="25"/>
  <c r="AK152" i="24"/>
  <c r="AN152" i="24"/>
  <c r="AS142" i="24"/>
  <c r="AU142" i="24" s="1"/>
  <c r="BB142" i="24" s="1"/>
  <c r="BJ142" i="24"/>
  <c r="AQ142" i="24"/>
  <c r="AJ314" i="25"/>
  <c r="AM314" i="25"/>
  <c r="BG314" i="25" s="1"/>
  <c r="AF299" i="25"/>
  <c r="AE299" i="25"/>
  <c r="AN312" i="24"/>
  <c r="BI312" i="24" s="1"/>
  <c r="AK312" i="24"/>
  <c r="AS157" i="25"/>
  <c r="AK223" i="24"/>
  <c r="AN223" i="24"/>
  <c r="BI223" i="24" s="1"/>
  <c r="AF218" i="25"/>
  <c r="AE218" i="25"/>
  <c r="AS61" i="25"/>
  <c r="BA278" i="24"/>
  <c r="AM273" i="25"/>
  <c r="BG273" i="25" s="1"/>
  <c r="AJ273" i="25"/>
  <c r="AS302" i="25"/>
  <c r="BA246" i="24"/>
  <c r="AX178" i="25"/>
  <c r="AW178" i="25"/>
  <c r="AF61" i="25"/>
  <c r="AE61" i="25"/>
  <c r="AM283" i="25"/>
  <c r="AJ283" i="25"/>
  <c r="AF176" i="25"/>
  <c r="AE176" i="25"/>
  <c r="AK123" i="24"/>
  <c r="AN123" i="24"/>
  <c r="CE123" i="24" s="1"/>
  <c r="AK137" i="24"/>
  <c r="AN137" i="24"/>
  <c r="AN272" i="24"/>
  <c r="BI272" i="24" s="1"/>
  <c r="AK272" i="24"/>
  <c r="AF249" i="25"/>
  <c r="AE249" i="25"/>
  <c r="AS279" i="25"/>
  <c r="AF288" i="25"/>
  <c r="AE288" i="25"/>
  <c r="AT273" i="24"/>
  <c r="AN6" i="24"/>
  <c r="BI6" i="24" s="1"/>
  <c r="AK6" i="24"/>
  <c r="AK266" i="24"/>
  <c r="AN266" i="24"/>
  <c r="AN145" i="24"/>
  <c r="AK145" i="24"/>
  <c r="AF264" i="25"/>
  <c r="AE264" i="25"/>
  <c r="AK181" i="24"/>
  <c r="AN181" i="24"/>
  <c r="BI181" i="24" s="1"/>
  <c r="AJ238" i="25"/>
  <c r="AM238" i="25"/>
  <c r="BG238" i="25" s="1"/>
  <c r="BA244" i="24"/>
  <c r="AF73" i="25"/>
  <c r="AE73" i="25"/>
  <c r="AF80" i="25"/>
  <c r="AE80" i="25"/>
  <c r="AS101" i="25"/>
  <c r="AF144" i="25"/>
  <c r="AE144" i="25"/>
  <c r="AN8" i="24"/>
  <c r="AK8" i="24"/>
  <c r="AN94" i="24"/>
  <c r="AK94" i="24"/>
  <c r="AV12" i="24"/>
  <c r="AT12" i="24"/>
  <c r="AV37" i="24"/>
  <c r="AT37" i="24"/>
  <c r="AW167" i="25"/>
  <c r="AX167" i="25"/>
  <c r="AJ306" i="25"/>
  <c r="AM306" i="25"/>
  <c r="AK289" i="24"/>
  <c r="AN289" i="24"/>
  <c r="BI289" i="24" s="1"/>
  <c r="AJ95" i="25"/>
  <c r="AM95" i="25"/>
  <c r="BG95" i="25" s="1"/>
  <c r="AS223" i="25"/>
  <c r="AF252" i="25"/>
  <c r="AE252" i="25"/>
  <c r="AF163" i="25"/>
  <c r="AE163" i="25"/>
  <c r="AK144" i="24"/>
  <c r="AN144" i="24"/>
  <c r="BI144" i="24" s="1"/>
  <c r="AK42" i="24"/>
  <c r="AN42" i="24"/>
  <c r="AN122" i="24"/>
  <c r="BI122" i="24" s="1"/>
  <c r="AK122" i="24"/>
  <c r="AS133" i="25"/>
  <c r="AF210" i="25"/>
  <c r="AE210" i="25"/>
  <c r="BU132" i="24"/>
  <c r="AK198" i="24"/>
  <c r="AN198" i="24"/>
  <c r="BI198" i="24" s="1"/>
  <c r="AK210" i="24"/>
  <c r="AN210" i="24"/>
  <c r="AK161" i="24"/>
  <c r="AN161" i="24"/>
  <c r="AN270" i="24"/>
  <c r="AK270" i="24"/>
  <c r="AN255" i="24"/>
  <c r="BI255" i="24" s="1"/>
  <c r="AK255" i="24"/>
  <c r="AS98" i="25"/>
  <c r="AS209" i="25"/>
  <c r="AT260" i="24"/>
  <c r="AF74" i="25"/>
  <c r="AE74" i="25"/>
  <c r="AS150" i="25"/>
  <c r="AS188" i="25"/>
  <c r="AF15" i="25"/>
  <c r="AE15" i="25"/>
  <c r="AK172" i="24"/>
  <c r="AN172" i="24"/>
  <c r="BI172" i="24" s="1"/>
  <c r="AJ148" i="25"/>
  <c r="AM148" i="25"/>
  <c r="BG148" i="25" s="1"/>
  <c r="AF105" i="25"/>
  <c r="AE105" i="25"/>
  <c r="AN52" i="24"/>
  <c r="AK52" i="24"/>
  <c r="BA173" i="24"/>
  <c r="BA287" i="24"/>
  <c r="AK258" i="24"/>
  <c r="AN258" i="24"/>
  <c r="BA159" i="24"/>
  <c r="AF241" i="25"/>
  <c r="AE241" i="25"/>
  <c r="AK98" i="24"/>
  <c r="AN98" i="24"/>
  <c r="AN127" i="24"/>
  <c r="AK127" i="24"/>
  <c r="AS47" i="25"/>
  <c r="AF65" i="25"/>
  <c r="AE65" i="25"/>
  <c r="AK10" i="24"/>
  <c r="AN10" i="24"/>
  <c r="AS236" i="24"/>
  <c r="AU236" i="24" s="1"/>
  <c r="BB236" i="24" s="1"/>
  <c r="BJ236" i="24"/>
  <c r="AQ236" i="24"/>
  <c r="AF285" i="25"/>
  <c r="AE285" i="25"/>
  <c r="AF145" i="25"/>
  <c r="AE145" i="25"/>
  <c r="AN177" i="24"/>
  <c r="BI177" i="24" s="1"/>
  <c r="AK177" i="24"/>
  <c r="BA210" i="24"/>
  <c r="AF25" i="25"/>
  <c r="AE25" i="25"/>
  <c r="AS119" i="25"/>
  <c r="AS315" i="25"/>
  <c r="AF130" i="25"/>
  <c r="AE130" i="25"/>
  <c r="AF128" i="25"/>
  <c r="AE128" i="25"/>
  <c r="AN35" i="24"/>
  <c r="AK35" i="24"/>
  <c r="AF193" i="25"/>
  <c r="AE193" i="25"/>
  <c r="AK285" i="24"/>
  <c r="AN285" i="24"/>
  <c r="BI285" i="24" s="1"/>
  <c r="AN228" i="24"/>
  <c r="AK228" i="24"/>
  <c r="BA250" i="24"/>
  <c r="AS162" i="24"/>
  <c r="BJ162" i="24"/>
  <c r="AQ162" i="24"/>
  <c r="BW162" i="24"/>
  <c r="AX162" i="24"/>
  <c r="BH162" i="24"/>
  <c r="BU162" i="24"/>
  <c r="AS260" i="25"/>
  <c r="AF197" i="25"/>
  <c r="AE197" i="25"/>
  <c r="AN227" i="24"/>
  <c r="BI227" i="24" s="1"/>
  <c r="AK227" i="24"/>
  <c r="AT274" i="24"/>
  <c r="AF165" i="25"/>
  <c r="AE165" i="25"/>
  <c r="AS268" i="25"/>
  <c r="AK134" i="24"/>
  <c r="AN134" i="24"/>
  <c r="BI134" i="24" s="1"/>
  <c r="BA182" i="24"/>
  <c r="AN93" i="24"/>
  <c r="AK93" i="24"/>
  <c r="AJ161" i="25"/>
  <c r="AM161" i="25"/>
  <c r="AX30" i="25"/>
  <c r="AW30" i="25"/>
  <c r="AN74" i="24"/>
  <c r="AK74" i="24"/>
  <c r="AK71" i="24"/>
  <c r="AN71" i="24"/>
  <c r="AF81" i="25"/>
  <c r="AE81" i="25"/>
  <c r="AF141" i="25"/>
  <c r="AE141" i="25"/>
  <c r="AK99" i="24"/>
  <c r="AN99" i="24"/>
  <c r="AF85" i="25"/>
  <c r="AE85" i="25"/>
  <c r="AN103" i="24"/>
  <c r="AK103" i="24"/>
  <c r="AS286" i="25"/>
  <c r="AS271" i="25"/>
  <c r="AN130" i="24"/>
  <c r="CE130" i="24" s="1"/>
  <c r="AK130" i="24"/>
  <c r="AM178" i="25"/>
  <c r="BG178" i="25" s="1"/>
  <c r="AJ178" i="25"/>
  <c r="BA178" i="24"/>
  <c r="AS278" i="25"/>
  <c r="AV58" i="24"/>
  <c r="AT58" i="24"/>
  <c r="AS166" i="25"/>
  <c r="AX62" i="25"/>
  <c r="AW62" i="25"/>
  <c r="AM204" i="25"/>
  <c r="BG204" i="25" s="1"/>
  <c r="AJ204" i="25"/>
  <c r="AT249" i="24"/>
  <c r="AF298" i="25"/>
  <c r="AE298" i="25"/>
  <c r="AK100" i="24"/>
  <c r="AN100" i="24"/>
  <c r="AS76" i="25"/>
  <c r="AK12" i="24"/>
  <c r="AN12" i="24"/>
  <c r="AF157" i="25"/>
  <c r="AE157" i="25"/>
  <c r="AS45" i="24"/>
  <c r="AQ45" i="24"/>
  <c r="BJ45" i="24"/>
  <c r="BH45" i="24"/>
  <c r="BW45" i="24"/>
  <c r="AX45" i="24"/>
  <c r="AJ192" i="25"/>
  <c r="AM192" i="25"/>
  <c r="AF112" i="25"/>
  <c r="AE112" i="25"/>
  <c r="BA251" i="24"/>
  <c r="AK68" i="24"/>
  <c r="AN68" i="24"/>
  <c r="AK225" i="24"/>
  <c r="AN225" i="24"/>
  <c r="BI225" i="24" s="1"/>
  <c r="AS83" i="25"/>
  <c r="AN9" i="24"/>
  <c r="AK9" i="24"/>
  <c r="AS69" i="25"/>
  <c r="AK297" i="24"/>
  <c r="AN297" i="24"/>
  <c r="BI297" i="24" s="1"/>
  <c r="AS84" i="25"/>
  <c r="AS184" i="25"/>
  <c r="AM167" i="25"/>
  <c r="BG167" i="25" s="1"/>
  <c r="AJ167" i="25"/>
  <c r="AF279" i="25"/>
  <c r="AE279" i="25"/>
  <c r="AS303" i="25"/>
  <c r="BA168" i="24"/>
  <c r="AS117" i="25"/>
  <c r="AN34" i="24"/>
  <c r="AK34" i="24"/>
  <c r="AT147" i="24"/>
  <c r="AT130" i="24"/>
  <c r="AK64" i="24"/>
  <c r="AN64" i="24"/>
  <c r="AF101" i="25"/>
  <c r="AE101" i="25"/>
  <c r="AS139" i="25"/>
  <c r="AS297" i="25"/>
  <c r="AS216" i="25"/>
  <c r="AN115" i="24"/>
  <c r="BI115" i="24" s="1"/>
  <c r="AK115" i="24"/>
  <c r="AJ261" i="25"/>
  <c r="AM261" i="25"/>
  <c r="BG261" i="25" s="1"/>
  <c r="AK222" i="24"/>
  <c r="BI222" i="24"/>
  <c r="AK173" i="24"/>
  <c r="AN173" i="24"/>
  <c r="AF223" i="25"/>
  <c r="AE223" i="25"/>
  <c r="AK256" i="24"/>
  <c r="AN256" i="24"/>
  <c r="BI256" i="24" s="1"/>
  <c r="AS103" i="25"/>
  <c r="AS194" i="25"/>
  <c r="AT219" i="24"/>
  <c r="AR143" i="25"/>
  <c r="BJ143" i="25"/>
  <c r="AP143" i="25"/>
  <c r="BH143" i="25"/>
  <c r="BF143" i="25"/>
  <c r="BU143" i="25"/>
  <c r="BW143" i="25"/>
  <c r="AS151" i="25"/>
  <c r="AS203" i="25"/>
  <c r="AF133" i="25"/>
  <c r="AE133" i="25"/>
  <c r="AN143" i="24"/>
  <c r="BI143" i="24" s="1"/>
  <c r="AK143" i="24"/>
  <c r="AV48" i="24"/>
  <c r="AT48" i="24"/>
  <c r="AK136" i="24"/>
  <c r="AN136" i="24"/>
  <c r="BI136" i="24" s="1"/>
  <c r="BH132" i="24"/>
  <c r="AT114" i="24"/>
  <c r="AN118" i="24"/>
  <c r="AK118" i="24"/>
  <c r="AN140" i="24"/>
  <c r="BI140" i="24" s="1"/>
  <c r="AK140" i="24"/>
  <c r="AS233" i="25"/>
  <c r="AN158" i="24"/>
  <c r="BI158" i="24" s="1"/>
  <c r="AK158" i="24"/>
  <c r="AS160" i="25"/>
  <c r="BA167" i="24"/>
  <c r="AF98" i="25"/>
  <c r="AE98" i="25"/>
  <c r="AS16" i="25"/>
  <c r="AF209" i="25"/>
  <c r="AE209" i="25"/>
  <c r="BA193" i="24"/>
  <c r="AJ296" i="25"/>
  <c r="AM296" i="25"/>
  <c r="BG296" i="25" s="1"/>
  <c r="AN170" i="24"/>
  <c r="AK170" i="24"/>
  <c r="AK304" i="24"/>
  <c r="AN304" i="24"/>
  <c r="AS294" i="24"/>
  <c r="BL294" i="24"/>
  <c r="BJ294" i="24"/>
  <c r="AQ294" i="24"/>
  <c r="AX294" i="24"/>
  <c r="BH294" i="24"/>
  <c r="BW294" i="24"/>
  <c r="BU294" i="24"/>
  <c r="AF150" i="25"/>
  <c r="AE150" i="25"/>
  <c r="AS205" i="25"/>
  <c r="AN186" i="24"/>
  <c r="AK186" i="24"/>
  <c r="AF188" i="25"/>
  <c r="AE188" i="25"/>
  <c r="AK250" i="24"/>
  <c r="AN250" i="24"/>
  <c r="AN308" i="24"/>
  <c r="BI308" i="24" s="1"/>
  <c r="AK308" i="24"/>
  <c r="BA166" i="24"/>
  <c r="BA199" i="24"/>
  <c r="BA202" i="24"/>
  <c r="BA222" i="24"/>
  <c r="AS8" i="25"/>
  <c r="AN313" i="24"/>
  <c r="BI313" i="24" s="1"/>
  <c r="AK313" i="24"/>
  <c r="AS219" i="25"/>
  <c r="BA229" i="24"/>
  <c r="AF47" i="25"/>
  <c r="AE47" i="25"/>
  <c r="AN163" i="24"/>
  <c r="AK163" i="24"/>
  <c r="BA146" i="24"/>
  <c r="AS142" i="25"/>
  <c r="AT112" i="24"/>
  <c r="BA198" i="24"/>
  <c r="BA118" i="24"/>
  <c r="AF119" i="25"/>
  <c r="AE119" i="25"/>
  <c r="AF315" i="25"/>
  <c r="AE315" i="25"/>
  <c r="BA158" i="24"/>
  <c r="AK148" i="24"/>
  <c r="AN148" i="24"/>
  <c r="AK24" i="24"/>
  <c r="AN24" i="24"/>
  <c r="AS140" i="25"/>
  <c r="AK133" i="24"/>
  <c r="AN133" i="24"/>
  <c r="BA170" i="24"/>
  <c r="AN97" i="24"/>
  <c r="AK97" i="24"/>
  <c r="BA201" i="24"/>
  <c r="AX114" i="25"/>
  <c r="AW114" i="25"/>
  <c r="AF260" i="25"/>
  <c r="AE260" i="25"/>
  <c r="BA276" i="24"/>
  <c r="BA179" i="24"/>
  <c r="AN141" i="24"/>
  <c r="BI141" i="24" s="1"/>
  <c r="AK141" i="24"/>
  <c r="AK49" i="24"/>
  <c r="AN49" i="24"/>
  <c r="AK184" i="24"/>
  <c r="AN184" i="24"/>
  <c r="BI184" i="24" s="1"/>
  <c r="AS256" i="25"/>
  <c r="AF268" i="25"/>
  <c r="AE268" i="25"/>
  <c r="AK50" i="24"/>
  <c r="AN50" i="24"/>
  <c r="AS50" i="25"/>
  <c r="AK40" i="24"/>
  <c r="AN40" i="24"/>
  <c r="AN87" i="24"/>
  <c r="AK87" i="24"/>
  <c r="AK293" i="24"/>
  <c r="AN293" i="24"/>
  <c r="BI293" i="24" s="1"/>
  <c r="AS115" i="25"/>
  <c r="AN73" i="24"/>
  <c r="AK73" i="24"/>
  <c r="AM232" i="25"/>
  <c r="AJ232" i="25"/>
  <c r="AV28" i="24"/>
  <c r="AT28" i="24"/>
  <c r="AN76" i="24"/>
  <c r="AK76" i="24"/>
  <c r="AS308" i="25"/>
  <c r="AK139" i="24"/>
  <c r="AN139" i="24"/>
  <c r="AF286" i="25"/>
  <c r="AE286" i="25"/>
  <c r="AF271" i="25"/>
  <c r="AE271" i="25"/>
  <c r="AT148" i="24"/>
  <c r="AF278" i="25"/>
  <c r="AE278" i="25"/>
  <c r="AF166" i="25"/>
  <c r="AE166" i="25"/>
  <c r="AN306" i="24"/>
  <c r="AK306" i="24"/>
  <c r="AV35" i="24"/>
  <c r="AT35" i="24"/>
  <c r="AV26" i="24"/>
  <c r="AT26" i="24"/>
  <c r="BL119" i="24"/>
  <c r="AS119" i="24"/>
  <c r="AQ119" i="24"/>
  <c r="BJ119" i="24"/>
  <c r="AX119" i="24"/>
  <c r="BH119" i="24"/>
  <c r="BW119" i="24"/>
  <c r="BU119" i="24"/>
  <c r="AF76" i="25"/>
  <c r="AE76" i="25"/>
  <c r="AS134" i="25"/>
  <c r="BA138" i="24"/>
  <c r="AW11" i="25"/>
  <c r="AX11" i="25"/>
  <c r="BL160" i="24"/>
  <c r="AS160" i="24"/>
  <c r="BJ160" i="24"/>
  <c r="AQ160" i="24"/>
  <c r="BW160" i="24"/>
  <c r="BU160" i="24"/>
  <c r="AX160" i="24"/>
  <c r="BH160" i="24"/>
  <c r="AF302" i="25"/>
  <c r="AE302" i="25"/>
  <c r="AN207" i="24"/>
  <c r="BI207" i="24" s="1"/>
  <c r="AK207" i="24"/>
  <c r="BA205" i="24"/>
  <c r="AS122" i="25"/>
  <c r="AS153" i="25"/>
  <c r="AF83" i="25"/>
  <c r="AE83" i="25"/>
  <c r="AS310" i="25"/>
  <c r="AS217" i="25"/>
  <c r="AS171" i="25"/>
  <c r="AF69" i="25"/>
  <c r="AE69" i="25"/>
  <c r="AF84" i="25"/>
  <c r="AE84" i="25"/>
  <c r="AF184" i="25"/>
  <c r="AE184" i="25"/>
  <c r="AS22" i="25"/>
  <c r="AS56" i="25"/>
  <c r="AK114" i="24"/>
  <c r="AN114" i="24"/>
  <c r="AS207" i="25"/>
  <c r="AF303" i="25"/>
  <c r="AE303" i="25"/>
  <c r="AS55" i="25"/>
  <c r="AF117" i="25"/>
  <c r="AE117" i="25"/>
  <c r="AJ186" i="25"/>
  <c r="AM186" i="25"/>
  <c r="AN315" i="24"/>
  <c r="BI315" i="24" s="1"/>
  <c r="AK315" i="24"/>
  <c r="BA306" i="24"/>
  <c r="AK259" i="24"/>
  <c r="AN259" i="24"/>
  <c r="AS149" i="25"/>
  <c r="AF139" i="25"/>
  <c r="AE139" i="25"/>
  <c r="AK260" i="24"/>
  <c r="AN260" i="24"/>
  <c r="BI260" i="24" s="1"/>
  <c r="AF297" i="25"/>
  <c r="AE297" i="25"/>
  <c r="AN84" i="24"/>
  <c r="CE84" i="24" s="1"/>
  <c r="AK84" i="24"/>
  <c r="AK157" i="24"/>
  <c r="AN157" i="24"/>
  <c r="AF216" i="25"/>
  <c r="AE216" i="25"/>
  <c r="AT284" i="24"/>
  <c r="AN166" i="24"/>
  <c r="AK166" i="24"/>
  <c r="AS7" i="24"/>
  <c r="BJ7" i="24"/>
  <c r="AQ7" i="24"/>
  <c r="BW7" i="24"/>
  <c r="AX7" i="24"/>
  <c r="BH7" i="24"/>
  <c r="AK31" i="24"/>
  <c r="AN31" i="24"/>
  <c r="CE31" i="24" s="1"/>
  <c r="BA209" i="24"/>
  <c r="AK291" i="24"/>
  <c r="AN291" i="24"/>
  <c r="BI291" i="24" s="1"/>
  <c r="AT299" i="24"/>
  <c r="AN180" i="24"/>
  <c r="AK180" i="24"/>
  <c r="AF103" i="25"/>
  <c r="AE103" i="25"/>
  <c r="AF194" i="25"/>
  <c r="AE194" i="25"/>
  <c r="AS38" i="25"/>
  <c r="AS35" i="25"/>
  <c r="AX186" i="25"/>
  <c r="AW186" i="25"/>
  <c r="AK88" i="24"/>
  <c r="AN88" i="24"/>
  <c r="AF151" i="25"/>
  <c r="AE151" i="25"/>
  <c r="AF203" i="25"/>
  <c r="AE203" i="25"/>
  <c r="AT123" i="24"/>
  <c r="AT297" i="24"/>
  <c r="AS27" i="25"/>
  <c r="AN208" i="24"/>
  <c r="AK208" i="24"/>
  <c r="BA137" i="24"/>
  <c r="AW192" i="25"/>
  <c r="AX192" i="25"/>
  <c r="AX132" i="24"/>
  <c r="AK85" i="24"/>
  <c r="AN85" i="24"/>
  <c r="AS64" i="25"/>
  <c r="AV19" i="24"/>
  <c r="AT19" i="24"/>
  <c r="AF233" i="25"/>
  <c r="AE233" i="25"/>
  <c r="AN309" i="24"/>
  <c r="BI309" i="24" s="1"/>
  <c r="AK309" i="24"/>
  <c r="AS172" i="25"/>
  <c r="AN82" i="24"/>
  <c r="AK82" i="24"/>
  <c r="BA174" i="24"/>
  <c r="AF160" i="25"/>
  <c r="AE160" i="25"/>
  <c r="AT237" i="24"/>
  <c r="AF16" i="25"/>
  <c r="AE16" i="25"/>
  <c r="AM158" i="25"/>
  <c r="BG158" i="25" s="1"/>
  <c r="AJ158" i="25"/>
  <c r="AK77" i="24"/>
  <c r="AN77" i="24"/>
  <c r="AK245" i="24"/>
  <c r="AN245" i="24"/>
  <c r="BI245" i="24" s="1"/>
  <c r="AM13" i="25"/>
  <c r="BG13" i="25" s="1"/>
  <c r="AJ13" i="25"/>
  <c r="AS51" i="25"/>
  <c r="AS304" i="25"/>
  <c r="AF205" i="25"/>
  <c r="AE205" i="25"/>
  <c r="AN65" i="24"/>
  <c r="AK65" i="24"/>
  <c r="AS78" i="25"/>
  <c r="AK14" i="24"/>
  <c r="AN14" i="24"/>
  <c r="BI14" i="24" s="1"/>
  <c r="AM189" i="25"/>
  <c r="AF8" i="25"/>
  <c r="AE8" i="25"/>
  <c r="AS52" i="25"/>
  <c r="AS126" i="25"/>
  <c r="BA300" i="24"/>
  <c r="BA144" i="24"/>
  <c r="AS309" i="25"/>
  <c r="AF219" i="25"/>
  <c r="AE219" i="25"/>
  <c r="AK262" i="24"/>
  <c r="AN262" i="24"/>
  <c r="BI262" i="24" s="1"/>
  <c r="AS23" i="25"/>
  <c r="AN241" i="24"/>
  <c r="BI241" i="24" s="1"/>
  <c r="AK241" i="24"/>
  <c r="AN203" i="24"/>
  <c r="AK203" i="24"/>
  <c r="AK302" i="24"/>
  <c r="AN302" i="24"/>
  <c r="AF142" i="25"/>
  <c r="AE142" i="25"/>
  <c r="AK95" i="24"/>
  <c r="AN95" i="24"/>
  <c r="AK53" i="24"/>
  <c r="AN53" i="24"/>
  <c r="AK280" i="24"/>
  <c r="AN280" i="24"/>
  <c r="AN28" i="24"/>
  <c r="AK28" i="24"/>
  <c r="AN296" i="24"/>
  <c r="BI296" i="24" s="1"/>
  <c r="AK296" i="24"/>
  <c r="BA277" i="24"/>
  <c r="BA270" i="24"/>
  <c r="AK121" i="24"/>
  <c r="AN121" i="24"/>
  <c r="AS316" i="25"/>
  <c r="AN189" i="24"/>
  <c r="BI189" i="24" s="1"/>
  <c r="AK189" i="24"/>
  <c r="AN178" i="24"/>
  <c r="AK178" i="24"/>
  <c r="AK269" i="24"/>
  <c r="AN269" i="24"/>
  <c r="AF140" i="25"/>
  <c r="AE140" i="25"/>
  <c r="AN111" i="24"/>
  <c r="AK111" i="24"/>
  <c r="AS72" i="25"/>
  <c r="AN249" i="24"/>
  <c r="AK249" i="24"/>
  <c r="BA304" i="24"/>
  <c r="AS75" i="25"/>
  <c r="AW190" i="25"/>
  <c r="AX190" i="25"/>
  <c r="AJ198" i="25"/>
  <c r="AM198" i="25"/>
  <c r="BG198" i="25" s="1"/>
  <c r="AS242" i="25"/>
  <c r="AJ147" i="25"/>
  <c r="AM147" i="25"/>
  <c r="BA308" i="24"/>
  <c r="AK206" i="24"/>
  <c r="AN206" i="24"/>
  <c r="AN36" i="24"/>
  <c r="AK36" i="24"/>
  <c r="AF256" i="25"/>
  <c r="AE256" i="25"/>
  <c r="AS224" i="25"/>
  <c r="AS263" i="25"/>
  <c r="AF50" i="25"/>
  <c r="AE50" i="25"/>
  <c r="AF115" i="25"/>
  <c r="AE115" i="25"/>
  <c r="AK16" i="24"/>
  <c r="AN16" i="24"/>
  <c r="AT298" i="24"/>
  <c r="AF308" i="25"/>
  <c r="AE308" i="25"/>
  <c r="AN102" i="24"/>
  <c r="AK102" i="24"/>
  <c r="AX94" i="25"/>
  <c r="AW94" i="25"/>
  <c r="AJ282" i="25"/>
  <c r="AM282" i="25"/>
  <c r="BG282" i="25" s="1"/>
  <c r="AS24" i="25"/>
  <c r="AV51" i="24"/>
  <c r="AT51" i="24"/>
  <c r="AN66" i="24"/>
  <c r="BI66" i="24" s="1"/>
  <c r="AK66" i="24"/>
  <c r="AS48" i="25"/>
  <c r="AS152" i="25"/>
  <c r="AX161" i="25"/>
  <c r="AW161" i="25"/>
  <c r="AT228" i="24"/>
  <c r="AF134" i="25"/>
  <c r="AE134" i="25"/>
  <c r="AS222" i="25"/>
  <c r="AS253" i="25"/>
  <c r="BA221" i="24"/>
  <c r="AK265" i="24"/>
  <c r="AN265" i="24"/>
  <c r="BI265" i="24" s="1"/>
  <c r="AK32" i="24"/>
  <c r="AN32" i="24"/>
  <c r="CE32" i="24" s="1"/>
  <c r="AK267" i="24"/>
  <c r="AN267" i="24"/>
  <c r="AS182" i="25"/>
  <c r="AK120" i="24"/>
  <c r="AN120" i="24"/>
  <c r="CE120" i="24" s="1"/>
  <c r="BA141" i="24"/>
  <c r="AF122" i="25"/>
  <c r="AE122" i="25"/>
  <c r="AS40" i="25"/>
  <c r="BA150" i="24"/>
  <c r="AF182" i="25"/>
  <c r="AE182" i="25"/>
  <c r="AN283" i="24"/>
  <c r="AK283" i="24"/>
  <c r="BA217" i="24"/>
  <c r="BA292" i="24"/>
  <c r="AF153" i="25"/>
  <c r="AE153" i="25"/>
  <c r="BA234" i="24"/>
  <c r="AF310" i="25"/>
  <c r="AE310" i="25"/>
  <c r="AF217" i="25"/>
  <c r="AE217" i="25"/>
  <c r="AF171" i="25"/>
  <c r="AE171" i="25"/>
  <c r="AF22" i="25"/>
  <c r="AE22" i="25"/>
  <c r="AF56" i="25"/>
  <c r="AE56" i="25"/>
  <c r="AF207" i="25"/>
  <c r="AE207" i="25"/>
  <c r="AF55" i="25"/>
  <c r="AE55" i="25"/>
  <c r="AK129" i="24"/>
  <c r="AN129" i="24"/>
  <c r="AS146" i="25"/>
  <c r="AN238" i="24"/>
  <c r="BI238" i="24" s="1"/>
  <c r="AK238" i="24"/>
  <c r="AK18" i="24"/>
  <c r="AN18" i="24"/>
  <c r="AN174" i="24"/>
  <c r="BI174" i="24" s="1"/>
  <c r="AK174" i="24"/>
  <c r="AN237" i="24"/>
  <c r="AK237" i="24"/>
  <c r="AS10" i="25"/>
  <c r="AF149" i="25"/>
  <c r="AE149" i="25"/>
  <c r="AK247" i="24"/>
  <c r="AN247" i="24"/>
  <c r="AT152" i="24"/>
  <c r="AK314" i="24"/>
  <c r="AN314" i="24"/>
  <c r="BI314" i="24" s="1"/>
  <c r="AN59" i="24"/>
  <c r="AK59" i="24"/>
  <c r="AS236" i="25"/>
  <c r="BA312" i="24"/>
  <c r="AT120" i="24"/>
  <c r="AK151" i="24"/>
  <c r="AN151" i="24"/>
  <c r="AS17" i="25"/>
  <c r="AK287" i="24"/>
  <c r="AN287" i="24"/>
  <c r="AK159" i="24"/>
  <c r="AN159" i="24"/>
  <c r="BI159" i="24" s="1"/>
  <c r="AT283" i="24"/>
  <c r="AT128" i="24"/>
  <c r="AF38" i="25"/>
  <c r="AE38" i="25"/>
  <c r="AF35" i="25"/>
  <c r="AE35" i="25"/>
  <c r="AK92" i="24"/>
  <c r="AN92" i="24"/>
  <c r="AS190" i="24"/>
  <c r="BL190" i="24"/>
  <c r="AQ190" i="24"/>
  <c r="BJ190" i="24"/>
  <c r="BH190" i="24"/>
  <c r="BU190" i="24"/>
  <c r="BW190" i="24"/>
  <c r="AX190" i="24"/>
  <c r="AV56" i="24"/>
  <c r="AT56" i="24"/>
  <c r="AS225" i="25"/>
  <c r="AF27" i="25"/>
  <c r="AE27" i="25"/>
  <c r="AK277" i="24"/>
  <c r="AN277" i="24"/>
  <c r="AF64" i="25"/>
  <c r="AE64" i="25"/>
  <c r="AN187" i="24"/>
  <c r="BI187" i="24" s="1"/>
  <c r="AK187" i="24"/>
  <c r="AX92" i="25"/>
  <c r="AW92" i="25"/>
  <c r="AT129" i="24"/>
  <c r="AT235" i="24"/>
  <c r="AK268" i="24"/>
  <c r="AN268" i="24"/>
  <c r="BI268" i="24" s="1"/>
  <c r="AV18" i="24"/>
  <c r="AT18" i="24"/>
  <c r="AF172" i="25"/>
  <c r="AE172" i="25"/>
  <c r="AV20" i="24"/>
  <c r="AT20" i="24"/>
  <c r="AV30" i="24"/>
  <c r="AT30" i="24"/>
  <c r="BA181" i="24"/>
  <c r="AS123" i="25"/>
  <c r="BA315" i="24"/>
  <c r="AT259" i="24"/>
  <c r="AS200" i="25"/>
  <c r="AF51" i="25"/>
  <c r="AE51" i="25"/>
  <c r="AF304" i="25"/>
  <c r="AE304" i="25"/>
  <c r="AK204" i="24"/>
  <c r="AN204" i="24"/>
  <c r="AK138" i="24"/>
  <c r="AN138" i="24"/>
  <c r="BI138" i="24" s="1"/>
  <c r="AN81" i="24"/>
  <c r="AK81" i="24"/>
  <c r="BA115" i="24"/>
  <c r="AF78" i="25"/>
  <c r="AE78" i="25"/>
  <c r="AN131" i="24"/>
  <c r="BI131" i="24" s="1"/>
  <c r="AK131" i="24"/>
  <c r="BA288" i="24"/>
  <c r="AF52" i="25"/>
  <c r="AE52" i="25"/>
  <c r="AS57" i="25"/>
  <c r="AF126" i="25"/>
  <c r="AE126" i="25"/>
  <c r="AN69" i="24"/>
  <c r="AK69" i="24"/>
  <c r="AF309" i="25"/>
  <c r="AE309" i="25"/>
  <c r="AW173" i="25"/>
  <c r="AX173" i="25"/>
  <c r="AF23" i="25"/>
  <c r="AE23" i="25"/>
  <c r="AM201" i="25"/>
  <c r="BG201" i="25" s="1"/>
  <c r="AJ201" i="25"/>
  <c r="AX21" i="25"/>
  <c r="AW21" i="25"/>
  <c r="BA143" i="24"/>
  <c r="BA169" i="24"/>
  <c r="AJ71" i="25"/>
  <c r="AM71" i="25"/>
  <c r="AJ87" i="25"/>
  <c r="AM87" i="25"/>
  <c r="BG87" i="25" s="1"/>
  <c r="AK305" i="24"/>
  <c r="AN305" i="24"/>
  <c r="AS220" i="25"/>
  <c r="AF316" i="25"/>
  <c r="AE316" i="25"/>
  <c r="AS79" i="25"/>
  <c r="BA307" i="24"/>
  <c r="BA255" i="24"/>
  <c r="BA309" i="24"/>
  <c r="AN246" i="24"/>
  <c r="BI246" i="24" s="1"/>
  <c r="AK246" i="24"/>
  <c r="AS195" i="25"/>
  <c r="AS137" i="25"/>
  <c r="AF72" i="25"/>
  <c r="AE72" i="25"/>
  <c r="AF75" i="25"/>
  <c r="AE75" i="25"/>
  <c r="AX71" i="25"/>
  <c r="AW71" i="25"/>
  <c r="AJ30" i="25"/>
  <c r="AM30" i="25"/>
  <c r="AF242" i="25"/>
  <c r="AE242" i="25"/>
  <c r="BA275" i="24"/>
  <c r="BA194" i="24"/>
  <c r="AS39" i="25"/>
  <c r="AS49" i="25"/>
  <c r="BA254" i="24"/>
  <c r="BA172" i="24"/>
  <c r="AK221" i="24"/>
  <c r="AN221" i="24"/>
  <c r="BI221" i="24" s="1"/>
  <c r="BL264" i="24"/>
  <c r="AS264" i="24"/>
  <c r="AU264" i="24" s="1"/>
  <c r="BB264" i="24" s="1"/>
  <c r="AQ264" i="24"/>
  <c r="BJ264" i="24"/>
  <c r="AT258" i="24"/>
  <c r="AF224" i="25"/>
  <c r="AE224" i="25"/>
  <c r="BA262" i="24"/>
  <c r="AF263" i="25"/>
  <c r="AE263" i="25"/>
  <c r="BA163" i="24"/>
  <c r="AN154" i="24"/>
  <c r="BI154" i="24" s="1"/>
  <c r="AK154" i="24"/>
  <c r="AN75" i="24"/>
  <c r="AK75" i="24"/>
  <c r="BA303" i="24"/>
  <c r="AM267" i="25"/>
  <c r="AJ267" i="25"/>
  <c r="AK232" i="24"/>
  <c r="AN232" i="24"/>
  <c r="AT280" i="24"/>
  <c r="AS191" i="25"/>
  <c r="AN273" i="24"/>
  <c r="AK273" i="24"/>
  <c r="AS230" i="25"/>
  <c r="AN168" i="24"/>
  <c r="AK168" i="24"/>
  <c r="AK147" i="24"/>
  <c r="AN147" i="24"/>
  <c r="BI147" i="24" s="1"/>
  <c r="AR110" i="25"/>
  <c r="BJ110" i="25"/>
  <c r="BH110" i="25"/>
  <c r="AP110" i="25"/>
  <c r="BU110" i="25"/>
  <c r="BW110" i="25"/>
  <c r="BF110" i="25"/>
  <c r="AK60" i="24"/>
  <c r="AN60" i="24"/>
  <c r="AN192" i="24"/>
  <c r="BI192" i="24" s="1"/>
  <c r="AK192" i="24"/>
  <c r="AV24" i="24"/>
  <c r="AT24" i="24"/>
  <c r="AV54" i="24"/>
  <c r="AT54" i="24"/>
  <c r="AK67" i="24"/>
  <c r="AN67" i="24"/>
  <c r="AF24" i="25"/>
  <c r="AE24" i="25"/>
  <c r="AS187" i="25"/>
  <c r="AF48" i="25"/>
  <c r="AE48" i="25"/>
  <c r="AF152" i="25"/>
  <c r="AE152" i="25"/>
  <c r="AS125" i="25"/>
  <c r="AK78" i="24"/>
  <c r="AN78" i="24"/>
  <c r="BI78" i="24" s="1"/>
  <c r="AX82" i="25"/>
  <c r="AW82" i="25"/>
  <c r="AN242" i="24"/>
  <c r="AK242" i="24"/>
  <c r="AS111" i="25"/>
  <c r="AF222" i="25"/>
  <c r="AE222" i="25"/>
  <c r="AF253" i="25"/>
  <c r="AE253" i="25"/>
  <c r="BG293" i="25" l="1"/>
  <c r="CE293" i="25"/>
  <c r="AM155" i="25"/>
  <c r="BG155" i="25" s="1"/>
  <c r="BI229" i="24"/>
  <c r="CE229" i="24"/>
  <c r="BG229" i="25"/>
  <c r="CE229" i="25"/>
  <c r="BG232" i="25"/>
  <c r="CE232" i="25"/>
  <c r="BI251" i="24"/>
  <c r="BL251" i="24" s="1"/>
  <c r="CE251" i="24"/>
  <c r="BG31" i="25"/>
  <c r="BJ31" i="25" s="1"/>
  <c r="CE31" i="25"/>
  <c r="BI175" i="24"/>
  <c r="BL175" i="24" s="1"/>
  <c r="CE175" i="24"/>
  <c r="BG267" i="25"/>
  <c r="CE267" i="25"/>
  <c r="BI270" i="24"/>
  <c r="BL270" i="24" s="1"/>
  <c r="CE270" i="24"/>
  <c r="BI150" i="24"/>
  <c r="BL150" i="24" s="1"/>
  <c r="CE150" i="24"/>
  <c r="BI118" i="24"/>
  <c r="BL118" i="24" s="1"/>
  <c r="CE118" i="24"/>
  <c r="BG113" i="25"/>
  <c r="BJ113" i="25" s="1"/>
  <c r="CE113" i="25"/>
  <c r="AX155" i="24"/>
  <c r="BI155" i="24"/>
  <c r="BL155" i="24" s="1"/>
  <c r="CE277" i="24"/>
  <c r="BI277" i="24"/>
  <c r="BL277" i="24" s="1"/>
  <c r="CE287" i="24"/>
  <c r="BI287" i="24"/>
  <c r="BL287" i="24" s="1"/>
  <c r="AX267" i="24"/>
  <c r="BI267" i="24"/>
  <c r="BL267" i="24" s="1"/>
  <c r="CE302" i="24"/>
  <c r="BI302" i="24"/>
  <c r="BL302" i="24" s="1"/>
  <c r="BH259" i="24"/>
  <c r="BI259" i="24"/>
  <c r="BL259" i="24" s="1"/>
  <c r="CE139" i="24"/>
  <c r="BI139" i="24"/>
  <c r="BL139" i="24" s="1"/>
  <c r="CE250" i="24"/>
  <c r="BI250" i="24"/>
  <c r="BL250" i="24" s="1"/>
  <c r="CE161" i="25"/>
  <c r="BG161" i="25"/>
  <c r="BJ161" i="25" s="1"/>
  <c r="BU123" i="24"/>
  <c r="BI123" i="24"/>
  <c r="BL123" i="24" s="1"/>
  <c r="CE170" i="25"/>
  <c r="BG170" i="25"/>
  <c r="BJ170" i="25" s="1"/>
  <c r="CE310" i="24"/>
  <c r="BI310" i="24"/>
  <c r="BL310" i="24" s="1"/>
  <c r="BH279" i="24"/>
  <c r="BI279" i="24"/>
  <c r="BL279" i="24" s="1"/>
  <c r="AX282" i="24"/>
  <c r="BI282" i="24"/>
  <c r="BL282" i="24" s="1"/>
  <c r="CE305" i="25"/>
  <c r="BG305" i="25"/>
  <c r="BJ305" i="25" s="1"/>
  <c r="CE174" i="25"/>
  <c r="BG174" i="25"/>
  <c r="BJ174" i="25" s="1"/>
  <c r="AX235" i="24"/>
  <c r="BI235" i="24"/>
  <c r="BL235" i="24" s="1"/>
  <c r="AX129" i="24"/>
  <c r="BI129" i="24"/>
  <c r="BL129" i="24" s="1"/>
  <c r="BU153" i="24"/>
  <c r="BI153" i="24"/>
  <c r="BL153" i="24" s="1"/>
  <c r="BU224" i="24"/>
  <c r="BI224" i="24"/>
  <c r="BL224" i="24" s="1"/>
  <c r="CE168" i="24"/>
  <c r="BI168" i="24"/>
  <c r="BL168" i="24" s="1"/>
  <c r="AX247" i="24"/>
  <c r="BI247" i="24"/>
  <c r="BL247" i="24" s="1"/>
  <c r="BU283" i="24"/>
  <c r="BI283" i="24"/>
  <c r="BL283" i="24" s="1"/>
  <c r="AX269" i="24"/>
  <c r="BI269" i="24"/>
  <c r="BL269" i="24" s="1"/>
  <c r="CE157" i="24"/>
  <c r="BI157" i="24"/>
  <c r="BL157" i="24" s="1"/>
  <c r="BU114" i="24"/>
  <c r="BI114" i="24"/>
  <c r="BL114" i="24" s="1"/>
  <c r="CE185" i="24"/>
  <c r="BI185" i="24"/>
  <c r="BL185" i="24" s="1"/>
  <c r="AX219" i="24"/>
  <c r="BI219" i="24"/>
  <c r="BL219" i="24" s="1"/>
  <c r="BW228" i="24"/>
  <c r="BI228" i="24"/>
  <c r="BL228" i="24" s="1"/>
  <c r="CE292" i="25"/>
  <c r="BG292" i="25"/>
  <c r="BJ292" i="25" s="1"/>
  <c r="CE186" i="25"/>
  <c r="BG186" i="25"/>
  <c r="BJ186" i="25" s="1"/>
  <c r="CE186" i="24"/>
  <c r="BI186" i="24"/>
  <c r="BL186" i="24" s="1"/>
  <c r="CE304" i="24"/>
  <c r="BI304" i="24"/>
  <c r="BL304" i="24" s="1"/>
  <c r="BW130" i="24"/>
  <c r="BI130" i="24"/>
  <c r="BL130" i="24" s="1"/>
  <c r="CE161" i="24"/>
  <c r="BI161" i="24"/>
  <c r="BL161" i="24" s="1"/>
  <c r="CE283" i="25"/>
  <c r="BG283" i="25"/>
  <c r="BJ283" i="25" s="1"/>
  <c r="CE173" i="25"/>
  <c r="BG173" i="25"/>
  <c r="BJ173" i="25" s="1"/>
  <c r="CE209" i="24"/>
  <c r="BI209" i="24"/>
  <c r="BL209" i="24" s="1"/>
  <c r="CE199" i="24"/>
  <c r="BI199" i="24"/>
  <c r="BL199" i="24" s="1"/>
  <c r="BW271" i="24"/>
  <c r="BI271" i="24"/>
  <c r="BL271" i="24" s="1"/>
  <c r="BH248" i="24"/>
  <c r="BI248" i="24"/>
  <c r="BL248" i="24" s="1"/>
  <c r="AX280" i="24"/>
  <c r="BI280" i="24"/>
  <c r="BL280" i="24" s="1"/>
  <c r="BU232" i="24"/>
  <c r="BI232" i="24"/>
  <c r="BL232" i="24" s="1"/>
  <c r="CE306" i="25"/>
  <c r="BG306" i="25"/>
  <c r="BJ306" i="25" s="1"/>
  <c r="CE165" i="24"/>
  <c r="BI165" i="24"/>
  <c r="BL165" i="24" s="1"/>
  <c r="CE205" i="24"/>
  <c r="BI205" i="24"/>
  <c r="BL205" i="24" s="1"/>
  <c r="CE177" i="25"/>
  <c r="BG177" i="25"/>
  <c r="BJ177" i="25" s="1"/>
  <c r="CE202" i="24"/>
  <c r="BI202" i="24"/>
  <c r="BL202" i="24" s="1"/>
  <c r="CE156" i="24"/>
  <c r="BI156" i="24"/>
  <c r="BL156" i="24" s="1"/>
  <c r="CE151" i="24"/>
  <c r="BI151" i="24"/>
  <c r="BL151" i="24" s="1"/>
  <c r="CE173" i="24"/>
  <c r="BI173" i="24"/>
  <c r="BL173" i="24" s="1"/>
  <c r="AX258" i="24"/>
  <c r="BI258" i="24"/>
  <c r="BL258" i="24" s="1"/>
  <c r="AX263" i="24"/>
  <c r="BI263" i="24"/>
  <c r="BL263" i="24" s="1"/>
  <c r="AX243" i="24"/>
  <c r="BI243" i="24"/>
  <c r="BL243" i="24" s="1"/>
  <c r="CE206" i="24"/>
  <c r="BI206" i="24"/>
  <c r="BL206" i="24" s="1"/>
  <c r="CE189" i="25"/>
  <c r="BG189" i="25"/>
  <c r="BJ189" i="25" s="1"/>
  <c r="CE180" i="24"/>
  <c r="BI180" i="24"/>
  <c r="BL180" i="24" s="1"/>
  <c r="AX305" i="24"/>
  <c r="BI305" i="24"/>
  <c r="BL305" i="24" s="1"/>
  <c r="BH237" i="24"/>
  <c r="BI237" i="24"/>
  <c r="BL237" i="24" s="1"/>
  <c r="AX249" i="24"/>
  <c r="BI249" i="24"/>
  <c r="BL249" i="24" s="1"/>
  <c r="CE210" i="24"/>
  <c r="BI210" i="24"/>
  <c r="BL210" i="24" s="1"/>
  <c r="AX152" i="24"/>
  <c r="BI152" i="24"/>
  <c r="BL152" i="24" s="1"/>
  <c r="BH295" i="24"/>
  <c r="BI295" i="24"/>
  <c r="BL295" i="24" s="1"/>
  <c r="BU301" i="24"/>
  <c r="BI301" i="24"/>
  <c r="BL301" i="24" s="1"/>
  <c r="CE201" i="24"/>
  <c r="BI201" i="24"/>
  <c r="BL201" i="24" s="1"/>
  <c r="BU112" i="24"/>
  <c r="BI112" i="24"/>
  <c r="BL112" i="24" s="1"/>
  <c r="BW261" i="24"/>
  <c r="BI261" i="24"/>
  <c r="BL261" i="24" s="1"/>
  <c r="CE204" i="24"/>
  <c r="BI204" i="24"/>
  <c r="BL204" i="24" s="1"/>
  <c r="BW121" i="24"/>
  <c r="BI121" i="24"/>
  <c r="BL121" i="24" s="1"/>
  <c r="CE170" i="24"/>
  <c r="BI170" i="24"/>
  <c r="BL170" i="24" s="1"/>
  <c r="CE135" i="24"/>
  <c r="BI135" i="24"/>
  <c r="BL135" i="24" s="1"/>
  <c r="CE200" i="24"/>
  <c r="BI200" i="24"/>
  <c r="BL200" i="24" s="1"/>
  <c r="BW128" i="24"/>
  <c r="BI128" i="24"/>
  <c r="BL128" i="24" s="1"/>
  <c r="CE203" i="24"/>
  <c r="BI203" i="24"/>
  <c r="BL203" i="24" s="1"/>
  <c r="CE166" i="24"/>
  <c r="BI166" i="24"/>
  <c r="BL166" i="24" s="1"/>
  <c r="BH148" i="24"/>
  <c r="BI148" i="24"/>
  <c r="BL148" i="24" s="1"/>
  <c r="AX145" i="24"/>
  <c r="BI145" i="24"/>
  <c r="BL145" i="24" s="1"/>
  <c r="AX298" i="24"/>
  <c r="BI298" i="24"/>
  <c r="BL298" i="24" s="1"/>
  <c r="CE179" i="24"/>
  <c r="BI179" i="24"/>
  <c r="BL179" i="24" s="1"/>
  <c r="CE275" i="24"/>
  <c r="BI275" i="24"/>
  <c r="BL275" i="24" s="1"/>
  <c r="CE190" i="25"/>
  <c r="BG190" i="25"/>
  <c r="BJ190" i="25" s="1"/>
  <c r="AX273" i="24"/>
  <c r="BI273" i="24"/>
  <c r="BL273" i="24" s="1"/>
  <c r="BU133" i="24"/>
  <c r="BI133" i="24"/>
  <c r="BL133" i="24" s="1"/>
  <c r="BU120" i="24"/>
  <c r="BI120" i="24"/>
  <c r="BL120" i="24" s="1"/>
  <c r="CE147" i="25"/>
  <c r="BG147" i="25"/>
  <c r="BJ147" i="25" s="1"/>
  <c r="CE111" i="24"/>
  <c r="BI111" i="24"/>
  <c r="CE163" i="24"/>
  <c r="BI163" i="24"/>
  <c r="BL163" i="24" s="1"/>
  <c r="CE192" i="25"/>
  <c r="BG192" i="25"/>
  <c r="BJ192" i="25" s="1"/>
  <c r="CE127" i="24"/>
  <c r="BI127" i="24"/>
  <c r="BL127" i="24" s="1"/>
  <c r="BU266" i="24"/>
  <c r="BI266" i="24"/>
  <c r="BL266" i="24" s="1"/>
  <c r="CE137" i="24"/>
  <c r="BI137" i="24"/>
  <c r="BL137" i="24" s="1"/>
  <c r="AX281" i="24"/>
  <c r="BI281" i="24"/>
  <c r="BL281" i="24" s="1"/>
  <c r="CE182" i="24"/>
  <c r="BI182" i="24"/>
  <c r="BL182" i="24" s="1"/>
  <c r="AX253" i="24"/>
  <c r="BI253" i="24"/>
  <c r="BL253" i="24" s="1"/>
  <c r="BU274" i="24"/>
  <c r="BI274" i="24"/>
  <c r="BL274" i="24" s="1"/>
  <c r="CE193" i="24"/>
  <c r="BI193" i="24"/>
  <c r="BL193" i="24" s="1"/>
  <c r="CE306" i="24"/>
  <c r="BI306" i="24"/>
  <c r="BL306" i="24" s="1"/>
  <c r="CE242" i="24"/>
  <c r="BI242" i="24"/>
  <c r="BL242" i="24" s="1"/>
  <c r="BW240" i="24"/>
  <c r="BI240" i="24"/>
  <c r="BL240" i="24" s="1"/>
  <c r="CE178" i="24"/>
  <c r="BI178" i="24"/>
  <c r="BL178" i="24" s="1"/>
  <c r="CE208" i="24"/>
  <c r="BI208" i="24"/>
  <c r="BL208" i="24" s="1"/>
  <c r="CE307" i="24"/>
  <c r="BI307" i="24"/>
  <c r="BL307" i="24" s="1"/>
  <c r="AX125" i="24"/>
  <c r="BI125" i="24"/>
  <c r="BL125" i="24" s="1"/>
  <c r="BU59" i="24"/>
  <c r="BI59" i="24"/>
  <c r="BL59" i="24" s="1"/>
  <c r="AX12" i="24"/>
  <c r="BI12" i="24"/>
  <c r="BL12" i="24" s="1"/>
  <c r="BU103" i="24"/>
  <c r="BI103" i="24"/>
  <c r="BL103" i="24" s="1"/>
  <c r="CE74" i="24"/>
  <c r="BI74" i="24"/>
  <c r="BL74" i="24" s="1"/>
  <c r="BU52" i="24"/>
  <c r="BI52" i="24"/>
  <c r="BL52" i="24" s="1"/>
  <c r="BU72" i="24"/>
  <c r="BI72" i="24"/>
  <c r="BL72" i="24" s="1"/>
  <c r="BU27" i="24"/>
  <c r="BI27" i="24"/>
  <c r="BL27" i="24" s="1"/>
  <c r="BU38" i="24"/>
  <c r="BI38" i="24"/>
  <c r="BL38" i="24" s="1"/>
  <c r="BU91" i="24"/>
  <c r="BI91" i="24"/>
  <c r="BL91" i="24" s="1"/>
  <c r="BU18" i="24"/>
  <c r="BI18" i="24"/>
  <c r="BL18" i="24" s="1"/>
  <c r="BU73" i="24"/>
  <c r="BI73" i="24"/>
  <c r="BL73" i="24" s="1"/>
  <c r="BU39" i="24"/>
  <c r="BI39" i="24"/>
  <c r="BL39" i="24" s="1"/>
  <c r="AX17" i="24"/>
  <c r="BI17" i="24"/>
  <c r="BL17" i="24" s="1"/>
  <c r="BU83" i="24"/>
  <c r="BI83" i="24"/>
  <c r="BL83" i="24" s="1"/>
  <c r="BU31" i="24"/>
  <c r="BI31" i="24"/>
  <c r="BL31" i="24" s="1"/>
  <c r="BH34" i="24"/>
  <c r="BI34" i="24"/>
  <c r="BL34" i="24" s="1"/>
  <c r="BU98" i="24"/>
  <c r="BI98" i="24"/>
  <c r="BL98" i="24" s="1"/>
  <c r="AX19" i="24"/>
  <c r="BI19" i="24"/>
  <c r="BL19" i="24" s="1"/>
  <c r="BU33" i="24"/>
  <c r="BI33" i="24"/>
  <c r="BL33" i="24" s="1"/>
  <c r="BU90" i="24"/>
  <c r="BI90" i="24"/>
  <c r="BL90" i="24" s="1"/>
  <c r="BW37" i="24"/>
  <c r="BI37" i="24"/>
  <c r="BL37" i="24" s="1"/>
  <c r="CE79" i="24"/>
  <c r="BI79" i="24"/>
  <c r="BL79" i="24" s="1"/>
  <c r="CE71" i="25"/>
  <c r="BG71" i="25"/>
  <c r="BJ71" i="25" s="1"/>
  <c r="BU60" i="24"/>
  <c r="BI60" i="24"/>
  <c r="BL60" i="24" s="1"/>
  <c r="BU75" i="24"/>
  <c r="BI75" i="24"/>
  <c r="BL75" i="24" s="1"/>
  <c r="CE30" i="25"/>
  <c r="BG30" i="25"/>
  <c r="BJ30" i="25" s="1"/>
  <c r="BU100" i="24"/>
  <c r="BI100" i="24"/>
  <c r="BL100" i="24" s="1"/>
  <c r="BU99" i="24"/>
  <c r="BI99" i="24"/>
  <c r="BL99" i="24" s="1"/>
  <c r="BU80" i="24"/>
  <c r="BI80" i="24"/>
  <c r="BL80" i="24" s="1"/>
  <c r="CE82" i="25"/>
  <c r="BG82" i="25"/>
  <c r="BJ82" i="25" s="1"/>
  <c r="BH51" i="24"/>
  <c r="BI51" i="24"/>
  <c r="BL51" i="24" s="1"/>
  <c r="BU13" i="24"/>
  <c r="BI13" i="24"/>
  <c r="BL13" i="24" s="1"/>
  <c r="BW54" i="24"/>
  <c r="BI54" i="24"/>
  <c r="BL54" i="24" s="1"/>
  <c r="BH20" i="24"/>
  <c r="BI20" i="24"/>
  <c r="BL20" i="24" s="1"/>
  <c r="BW58" i="24"/>
  <c r="BI58" i="24"/>
  <c r="BL58" i="24" s="1"/>
  <c r="BW9" i="24"/>
  <c r="BI9" i="24"/>
  <c r="BL9" i="24" s="1"/>
  <c r="BU70" i="24"/>
  <c r="BI70" i="24"/>
  <c r="BL70" i="24" s="1"/>
  <c r="BU63" i="24"/>
  <c r="BI63" i="24"/>
  <c r="BL63" i="24" s="1"/>
  <c r="BU65" i="24"/>
  <c r="BI65" i="24"/>
  <c r="BL65" i="24" s="1"/>
  <c r="BU69" i="24"/>
  <c r="BI69" i="24"/>
  <c r="BL69" i="24" s="1"/>
  <c r="CE92" i="24"/>
  <c r="BI92" i="24"/>
  <c r="BL92" i="24" s="1"/>
  <c r="BH32" i="24"/>
  <c r="BI32" i="24"/>
  <c r="BL32" i="24" s="1"/>
  <c r="CE102" i="24"/>
  <c r="BI102" i="24"/>
  <c r="BL102" i="24" s="1"/>
  <c r="BU49" i="24"/>
  <c r="BI49" i="24"/>
  <c r="BL49" i="24" s="1"/>
  <c r="BU97" i="24"/>
  <c r="BI97" i="24"/>
  <c r="BL97" i="24" s="1"/>
  <c r="BU89" i="24"/>
  <c r="BI89" i="24"/>
  <c r="BL89" i="24" s="1"/>
  <c r="CE14" i="25"/>
  <c r="BG14" i="25"/>
  <c r="BJ14" i="25" s="1"/>
  <c r="BU96" i="24"/>
  <c r="BI96" i="24"/>
  <c r="BL96" i="24" s="1"/>
  <c r="BU29" i="24"/>
  <c r="BI29" i="24"/>
  <c r="BL29" i="24" s="1"/>
  <c r="BU48" i="24"/>
  <c r="BI48" i="24"/>
  <c r="BL48" i="24" s="1"/>
  <c r="BU81" i="24"/>
  <c r="BI81" i="24"/>
  <c r="BL81" i="24" s="1"/>
  <c r="BU28" i="24"/>
  <c r="BI28" i="24"/>
  <c r="BL28" i="24" s="1"/>
  <c r="BU87" i="24"/>
  <c r="BI87" i="24"/>
  <c r="BL87" i="24" s="1"/>
  <c r="BU93" i="24"/>
  <c r="BI93" i="24"/>
  <c r="BL93" i="24" s="1"/>
  <c r="BU94" i="24"/>
  <c r="BI94" i="24"/>
  <c r="BL94" i="24" s="1"/>
  <c r="BW26" i="24"/>
  <c r="BI26" i="24"/>
  <c r="BL26" i="24" s="1"/>
  <c r="CE92" i="25"/>
  <c r="BG92" i="25"/>
  <c r="BJ92" i="25" s="1"/>
  <c r="BU86" i="24"/>
  <c r="BI86" i="24"/>
  <c r="BL86" i="24" s="1"/>
  <c r="BU67" i="24"/>
  <c r="BI67" i="24"/>
  <c r="BL67" i="24" s="1"/>
  <c r="BU85" i="24"/>
  <c r="BI85" i="24"/>
  <c r="BL85" i="24" s="1"/>
  <c r="BU84" i="24"/>
  <c r="BI84" i="24"/>
  <c r="BL84" i="24" s="1"/>
  <c r="BU76" i="24"/>
  <c r="BI76" i="24"/>
  <c r="BL76" i="24" s="1"/>
  <c r="BU40" i="24"/>
  <c r="BI40" i="24"/>
  <c r="BL40" i="24" s="1"/>
  <c r="BU10" i="24"/>
  <c r="BI10" i="24"/>
  <c r="BL10" i="24" s="1"/>
  <c r="BU43" i="24"/>
  <c r="BI43" i="24"/>
  <c r="BL43" i="24" s="1"/>
  <c r="BU46" i="24"/>
  <c r="BI46" i="24"/>
  <c r="BL46" i="24" s="1"/>
  <c r="BW57" i="24"/>
  <c r="BI57" i="24"/>
  <c r="BL57" i="24" s="1"/>
  <c r="CE89" i="25"/>
  <c r="BG89" i="25"/>
  <c r="BJ89" i="25" s="1"/>
  <c r="BU36" i="24"/>
  <c r="BI36" i="24"/>
  <c r="BL36" i="24" s="1"/>
  <c r="BU68" i="24"/>
  <c r="BI68" i="24"/>
  <c r="BL68" i="24" s="1"/>
  <c r="BU42" i="24"/>
  <c r="BI42" i="24"/>
  <c r="BL42" i="24" s="1"/>
  <c r="BW8" i="24"/>
  <c r="BI8" i="24"/>
  <c r="BL8" i="24" s="1"/>
  <c r="BU105" i="24"/>
  <c r="BI105" i="24"/>
  <c r="BL105" i="24" s="1"/>
  <c r="BU56" i="24"/>
  <c r="BI56" i="24"/>
  <c r="BL56" i="24" s="1"/>
  <c r="CE6" i="25"/>
  <c r="BG6" i="25"/>
  <c r="BJ6" i="25" s="1"/>
  <c r="BU104" i="24"/>
  <c r="BI104" i="24"/>
  <c r="BL104" i="24" s="1"/>
  <c r="BU16" i="24"/>
  <c r="BI16" i="24"/>
  <c r="BL16" i="24" s="1"/>
  <c r="BU53" i="24"/>
  <c r="BI53" i="24"/>
  <c r="BL53" i="24" s="1"/>
  <c r="BU64" i="24"/>
  <c r="BI64" i="24"/>
  <c r="BL64" i="24" s="1"/>
  <c r="BU71" i="24"/>
  <c r="BI71" i="24"/>
  <c r="BL71" i="24" s="1"/>
  <c r="BU11" i="24"/>
  <c r="BI11" i="24"/>
  <c r="BL11" i="24" s="1"/>
  <c r="BU15" i="24"/>
  <c r="BI15" i="24"/>
  <c r="BL15" i="24" s="1"/>
  <c r="BU25" i="24"/>
  <c r="BI25" i="24"/>
  <c r="BL25" i="24" s="1"/>
  <c r="BU82" i="24"/>
  <c r="BI82" i="24"/>
  <c r="BL82" i="24" s="1"/>
  <c r="BU88" i="24"/>
  <c r="BI88" i="24"/>
  <c r="BL88" i="24" s="1"/>
  <c r="BU50" i="24"/>
  <c r="BI50" i="24"/>
  <c r="BL50" i="24" s="1"/>
  <c r="BU24" i="24"/>
  <c r="BI24" i="24"/>
  <c r="BL24" i="24" s="1"/>
  <c r="BU47" i="24"/>
  <c r="BI47" i="24"/>
  <c r="BL47" i="24" s="1"/>
  <c r="CE21" i="25"/>
  <c r="BG21" i="25"/>
  <c r="BJ21" i="25" s="1"/>
  <c r="BU95" i="24"/>
  <c r="BI95" i="24"/>
  <c r="BL95" i="24" s="1"/>
  <c r="BU77" i="24"/>
  <c r="BI77" i="24"/>
  <c r="BL77" i="24" s="1"/>
  <c r="AX35" i="24"/>
  <c r="BI35" i="24"/>
  <c r="BL35" i="24" s="1"/>
  <c r="CE62" i="25"/>
  <c r="BG62" i="25"/>
  <c r="BJ62" i="25" s="1"/>
  <c r="BH238" i="24"/>
  <c r="CE238" i="24"/>
  <c r="BU23" i="24"/>
  <c r="CE23" i="24"/>
  <c r="BW30" i="24"/>
  <c r="CE30" i="24"/>
  <c r="AM280" i="25"/>
  <c r="AR280" i="25" s="1"/>
  <c r="AX126" i="24"/>
  <c r="CE126" i="24"/>
  <c r="BU78" i="24"/>
  <c r="CE78" i="24"/>
  <c r="BU62" i="24"/>
  <c r="CE62" i="24"/>
  <c r="BU61" i="24"/>
  <c r="CE61" i="24"/>
  <c r="BU284" i="24"/>
  <c r="CE284" i="24"/>
  <c r="AX117" i="24"/>
  <c r="CE117" i="24"/>
  <c r="BU14" i="24"/>
  <c r="CE14" i="24"/>
  <c r="AX225" i="24"/>
  <c r="CE225" i="24"/>
  <c r="BW297" i="24"/>
  <c r="CE297" i="24"/>
  <c r="BU66" i="24"/>
  <c r="CE66" i="24"/>
  <c r="AX6" i="24"/>
  <c r="CE6" i="24"/>
  <c r="BW218" i="24"/>
  <c r="CE218" i="24"/>
  <c r="BU37" i="24"/>
  <c r="BU30" i="24"/>
  <c r="BU102" i="24"/>
  <c r="BU19" i="24"/>
  <c r="BU79" i="24"/>
  <c r="BU92" i="24"/>
  <c r="BU57" i="24"/>
  <c r="BU74" i="24"/>
  <c r="BU17" i="24"/>
  <c r="BU58" i="24"/>
  <c r="BU9" i="24"/>
  <c r="BU35" i="24"/>
  <c r="BU26" i="24"/>
  <c r="BU34" i="24"/>
  <c r="BU51" i="24"/>
  <c r="BU54" i="24"/>
  <c r="BU20" i="24"/>
  <c r="BU8" i="24"/>
  <c r="BU6" i="24"/>
  <c r="BU12" i="24"/>
  <c r="BU32" i="24"/>
  <c r="AM11" i="25"/>
  <c r="CE87" i="24"/>
  <c r="CE97" i="24"/>
  <c r="AP206" i="25"/>
  <c r="CE206" i="25"/>
  <c r="CE73" i="24"/>
  <c r="AX56" i="24"/>
  <c r="CE56" i="24"/>
  <c r="AP198" i="25"/>
  <c r="CE198" i="25"/>
  <c r="BW299" i="24"/>
  <c r="CE299" i="24"/>
  <c r="CE80" i="24"/>
  <c r="CE88" i="24"/>
  <c r="CE104" i="24"/>
  <c r="AP204" i="25"/>
  <c r="CE204" i="25"/>
  <c r="CE81" i="24"/>
  <c r="CE98" i="24"/>
  <c r="AM96" i="25"/>
  <c r="BG96" i="25" s="1"/>
  <c r="CE103" i="24"/>
  <c r="B48" i="2"/>
  <c r="D48" i="2" s="1"/>
  <c r="AP199" i="25"/>
  <c r="CE199" i="25"/>
  <c r="AP201" i="25"/>
  <c r="CE201" i="25"/>
  <c r="AM104" i="25"/>
  <c r="CE105" i="24"/>
  <c r="BH290" i="24"/>
  <c r="CE290" i="24"/>
  <c r="AM258" i="25"/>
  <c r="BW281" i="24"/>
  <c r="AM154" i="25"/>
  <c r="BG154" i="25" s="1"/>
  <c r="AM97" i="25"/>
  <c r="BU125" i="24"/>
  <c r="BW125" i="24"/>
  <c r="BH125" i="24"/>
  <c r="AJ154" i="25"/>
  <c r="BH224" i="24"/>
  <c r="AJ29" i="25"/>
  <c r="AM179" i="25"/>
  <c r="BG179" i="25" s="1"/>
  <c r="AX224" i="24"/>
  <c r="BW224" i="24"/>
  <c r="AM265" i="25"/>
  <c r="AX20" i="24"/>
  <c r="BH123" i="24"/>
  <c r="AX123" i="24"/>
  <c r="BW123" i="24"/>
  <c r="BH112" i="24"/>
  <c r="AX112" i="24"/>
  <c r="BW112" i="24"/>
  <c r="AJ291" i="25"/>
  <c r="BU219" i="24"/>
  <c r="AX51" i="24"/>
  <c r="BW280" i="24"/>
  <c r="AX33" i="24"/>
  <c r="AX58" i="24"/>
  <c r="BH228" i="24"/>
  <c r="BW284" i="24"/>
  <c r="BW235" i="24"/>
  <c r="AX218" i="24"/>
  <c r="BU259" i="24"/>
  <c r="AX259" i="24"/>
  <c r="BW152" i="24"/>
  <c r="BU152" i="24"/>
  <c r="BW20" i="24"/>
  <c r="AJ28" i="25"/>
  <c r="BW51" i="24"/>
  <c r="BH152" i="24"/>
  <c r="BW24" i="24"/>
  <c r="BH24" i="24"/>
  <c r="BH128" i="24"/>
  <c r="AX24" i="24"/>
  <c r="BW56" i="24"/>
  <c r="BH56" i="24"/>
  <c r="BH274" i="24"/>
  <c r="AX274" i="24"/>
  <c r="BW274" i="24"/>
  <c r="BH261" i="24"/>
  <c r="BH284" i="24"/>
  <c r="AX284" i="24"/>
  <c r="BU243" i="24"/>
  <c r="BW219" i="24"/>
  <c r="BH58" i="24"/>
  <c r="BW243" i="24"/>
  <c r="AX261" i="24"/>
  <c r="BU261" i="24"/>
  <c r="BH219" i="24"/>
  <c r="BH243" i="24"/>
  <c r="BW259" i="24"/>
  <c r="AW292" i="24"/>
  <c r="BD292" i="24" s="1"/>
  <c r="BW19" i="24"/>
  <c r="BW48" i="24"/>
  <c r="AX128" i="24"/>
  <c r="AX228" i="24"/>
  <c r="BH26" i="24"/>
  <c r="AX26" i="24"/>
  <c r="BU148" i="24"/>
  <c r="BU128" i="24"/>
  <c r="BU228" i="24"/>
  <c r="BH19" i="24"/>
  <c r="AJ237" i="25"/>
  <c r="AM237" i="25"/>
  <c r="BH297" i="24"/>
  <c r="BH33" i="24"/>
  <c r="AX297" i="24"/>
  <c r="BW283" i="24"/>
  <c r="BU297" i="24"/>
  <c r="BW33" i="24"/>
  <c r="BU280" i="24"/>
  <c r="BH30" i="24"/>
  <c r="BW18" i="24"/>
  <c r="BH271" i="24"/>
  <c r="AX30" i="24"/>
  <c r="BH48" i="24"/>
  <c r="AX271" i="24"/>
  <c r="AX48" i="24"/>
  <c r="BH37" i="24"/>
  <c r="BU271" i="24"/>
  <c r="BW153" i="24"/>
  <c r="BH280" i="24"/>
  <c r="BW35" i="24"/>
  <c r="S212" i="25"/>
  <c r="K212" i="25" s="1"/>
  <c r="R212" i="25"/>
  <c r="Q212" i="25"/>
  <c r="BZ212" i="25"/>
  <c r="AO212" i="25"/>
  <c r="BH153" i="24"/>
  <c r="AX153" i="24"/>
  <c r="BU298" i="24"/>
  <c r="BU258" i="24"/>
  <c r="BW298" i="24"/>
  <c r="BU130" i="24"/>
  <c r="BW148" i="24"/>
  <c r="BW129" i="24"/>
  <c r="BH298" i="24"/>
  <c r="BH18" i="24"/>
  <c r="BH218" i="24"/>
  <c r="BU218" i="24"/>
  <c r="AJ77" i="25"/>
  <c r="AM77" i="25"/>
  <c r="BU129" i="24"/>
  <c r="AX283" i="24"/>
  <c r="AX18" i="24"/>
  <c r="BH129" i="24"/>
  <c r="BH35" i="24"/>
  <c r="BH54" i="24"/>
  <c r="BW258" i="24"/>
  <c r="BU235" i="24"/>
  <c r="BH299" i="24"/>
  <c r="BU281" i="24"/>
  <c r="AX37" i="24"/>
  <c r="BH120" i="24"/>
  <c r="BU299" i="24"/>
  <c r="AX54" i="24"/>
  <c r="AX299" i="24"/>
  <c r="BH258" i="24"/>
  <c r="BH235" i="24"/>
  <c r="BW120" i="24"/>
  <c r="BH130" i="24"/>
  <c r="BH281" i="24"/>
  <c r="AX148" i="24"/>
  <c r="BH57" i="24"/>
  <c r="AX57" i="24"/>
  <c r="AS242" i="24"/>
  <c r="AU242" i="24" s="1"/>
  <c r="BB242" i="24" s="1"/>
  <c r="BJ242" i="24"/>
  <c r="AQ242" i="24"/>
  <c r="BL192" i="24"/>
  <c r="AS192" i="24"/>
  <c r="AQ192" i="24"/>
  <c r="BJ192" i="24"/>
  <c r="BH192" i="24"/>
  <c r="BU192" i="24"/>
  <c r="BW192" i="24"/>
  <c r="AX192" i="24"/>
  <c r="AJ48" i="25"/>
  <c r="AM48" i="25"/>
  <c r="BG48" i="25" s="1"/>
  <c r="AS60" i="24"/>
  <c r="BJ60" i="24"/>
  <c r="AQ60" i="24"/>
  <c r="BW60" i="24"/>
  <c r="AX60" i="24"/>
  <c r="BH60" i="24"/>
  <c r="AT110" i="25"/>
  <c r="AY110" i="25" s="1"/>
  <c r="AU110" i="25"/>
  <c r="AR267" i="25"/>
  <c r="BJ267" i="25"/>
  <c r="AP267" i="25"/>
  <c r="BH267" i="25"/>
  <c r="BU267" i="25"/>
  <c r="BW267" i="25"/>
  <c r="BF267" i="25"/>
  <c r="AM52" i="25"/>
  <c r="AJ52" i="25"/>
  <c r="AW111" i="25"/>
  <c r="AX111" i="25"/>
  <c r="AX125" i="25"/>
  <c r="AW125" i="25"/>
  <c r="AJ24" i="25"/>
  <c r="AM24" i="25"/>
  <c r="BG24" i="25" s="1"/>
  <c r="BL147" i="24"/>
  <c r="AS147" i="24"/>
  <c r="AU147" i="24" s="1"/>
  <c r="BB147" i="24" s="1"/>
  <c r="BJ147" i="24"/>
  <c r="AQ147" i="24"/>
  <c r="AX191" i="25"/>
  <c r="AW191" i="25"/>
  <c r="BL221" i="24"/>
  <c r="AS221" i="24"/>
  <c r="BJ221" i="24"/>
  <c r="AQ221" i="24"/>
  <c r="BU221" i="24"/>
  <c r="BW221" i="24"/>
  <c r="AX221" i="24"/>
  <c r="BH221" i="24"/>
  <c r="AR201" i="25"/>
  <c r="BJ201" i="25"/>
  <c r="BH201" i="25"/>
  <c r="BF201" i="25"/>
  <c r="BW201" i="25"/>
  <c r="BU201" i="25"/>
  <c r="AM309" i="25"/>
  <c r="AJ309" i="25"/>
  <c r="AM304" i="25"/>
  <c r="BG304" i="25" s="1"/>
  <c r="AJ304" i="25"/>
  <c r="BA56" i="24"/>
  <c r="AS287" i="24"/>
  <c r="AQ287" i="24"/>
  <c r="BJ287" i="24"/>
  <c r="BU287" i="24"/>
  <c r="AX287" i="24"/>
  <c r="BH287" i="24"/>
  <c r="BW287" i="24"/>
  <c r="BL174" i="24"/>
  <c r="AS174" i="24"/>
  <c r="BJ174" i="24"/>
  <c r="AQ174" i="24"/>
  <c r="AX174" i="24"/>
  <c r="BH174" i="24"/>
  <c r="BW174" i="24"/>
  <c r="BU174" i="24"/>
  <c r="AX146" i="25"/>
  <c r="AW146" i="25"/>
  <c r="AM122" i="25"/>
  <c r="AJ122" i="25"/>
  <c r="AW182" i="25"/>
  <c r="AX182" i="25"/>
  <c r="AS265" i="24"/>
  <c r="AU265" i="24" s="1"/>
  <c r="BB265" i="24" s="1"/>
  <c r="BL265" i="24"/>
  <c r="AQ265" i="24"/>
  <c r="BJ265" i="24"/>
  <c r="AJ50" i="25"/>
  <c r="AM50" i="25"/>
  <c r="BG50" i="25" s="1"/>
  <c r="AJ256" i="25"/>
  <c r="AM256" i="25"/>
  <c r="BG256" i="25" s="1"/>
  <c r="AS111" i="24"/>
  <c r="AU111" i="24" s="1"/>
  <c r="BB111" i="24" s="1"/>
  <c r="BL111" i="24"/>
  <c r="AQ111" i="24"/>
  <c r="BJ111" i="24"/>
  <c r="AS95" i="24"/>
  <c r="BJ95" i="24"/>
  <c r="AQ95" i="24"/>
  <c r="BW95" i="24"/>
  <c r="AX95" i="24"/>
  <c r="BH95" i="24"/>
  <c r="AJ205" i="25"/>
  <c r="AM205" i="25"/>
  <c r="BG205" i="25" s="1"/>
  <c r="AR13" i="25"/>
  <c r="BJ13" i="25"/>
  <c r="AP13" i="25"/>
  <c r="BH13" i="25"/>
  <c r="BF13" i="25"/>
  <c r="BU13" i="25"/>
  <c r="BW13" i="25"/>
  <c r="BA237" i="24"/>
  <c r="AM203" i="25"/>
  <c r="BG203" i="25" s="1"/>
  <c r="AJ203" i="25"/>
  <c r="BL260" i="24"/>
  <c r="AS260" i="24"/>
  <c r="AU260" i="24" s="1"/>
  <c r="BB260" i="24" s="1"/>
  <c r="BJ260" i="24"/>
  <c r="AQ260" i="24"/>
  <c r="BA35" i="24"/>
  <c r="AS139" i="24"/>
  <c r="BJ139" i="24"/>
  <c r="AQ139" i="24"/>
  <c r="BH139" i="24"/>
  <c r="BW139" i="24"/>
  <c r="BU139" i="24"/>
  <c r="AX139" i="24"/>
  <c r="AS50" i="24"/>
  <c r="BJ50" i="24"/>
  <c r="AQ50" i="24"/>
  <c r="AX50" i="24"/>
  <c r="BH50" i="24"/>
  <c r="BW50" i="24"/>
  <c r="AS141" i="24"/>
  <c r="BL141" i="24"/>
  <c r="BJ141" i="24"/>
  <c r="AQ141" i="24"/>
  <c r="AX141" i="24"/>
  <c r="BH141" i="24"/>
  <c r="BU141" i="24"/>
  <c r="BW141" i="24"/>
  <c r="AS97" i="24"/>
  <c r="BJ97" i="24"/>
  <c r="AQ97" i="24"/>
  <c r="AX97" i="24"/>
  <c r="BH97" i="24"/>
  <c r="BW97" i="24"/>
  <c r="AX140" i="25"/>
  <c r="AW140" i="25"/>
  <c r="AW205" i="25"/>
  <c r="AX205" i="25"/>
  <c r="AM98" i="25"/>
  <c r="BG98" i="25" s="1"/>
  <c r="AJ98" i="25"/>
  <c r="AS118" i="24"/>
  <c r="AQ118" i="24"/>
  <c r="BJ118" i="24"/>
  <c r="BU118" i="24"/>
  <c r="BW118" i="24"/>
  <c r="AX118" i="24"/>
  <c r="BH118" i="24"/>
  <c r="AX203" i="25"/>
  <c r="AW203" i="25"/>
  <c r="BL256" i="24"/>
  <c r="AS256" i="24"/>
  <c r="BJ256" i="24"/>
  <c r="AQ256" i="24"/>
  <c r="BH256" i="24"/>
  <c r="BU256" i="24"/>
  <c r="BW256" i="24"/>
  <c r="AX256" i="24"/>
  <c r="AR261" i="25"/>
  <c r="BJ261" i="25"/>
  <c r="BH261" i="25"/>
  <c r="AP261" i="25"/>
  <c r="BF261" i="25"/>
  <c r="BW261" i="25"/>
  <c r="BU261" i="25"/>
  <c r="AS64" i="24"/>
  <c r="BJ64" i="24"/>
  <c r="AQ64" i="24"/>
  <c r="BW64" i="24"/>
  <c r="AX64" i="24"/>
  <c r="BH64" i="24"/>
  <c r="AX76" i="25"/>
  <c r="AW76" i="25"/>
  <c r="BU249" i="24"/>
  <c r="AM165" i="25"/>
  <c r="AJ165" i="25"/>
  <c r="AS98" i="24"/>
  <c r="AQ98" i="24"/>
  <c r="BJ98" i="24"/>
  <c r="AX98" i="24"/>
  <c r="BH98" i="24"/>
  <c r="BW98" i="24"/>
  <c r="AR148" i="25"/>
  <c r="BJ148" i="25"/>
  <c r="AP148" i="25"/>
  <c r="BH148" i="25"/>
  <c r="BF148" i="25"/>
  <c r="BW148" i="25"/>
  <c r="BU148" i="25"/>
  <c r="BH260" i="24"/>
  <c r="BL289" i="24"/>
  <c r="AS289" i="24"/>
  <c r="AQ289" i="24"/>
  <c r="BJ289" i="24"/>
  <c r="BU289" i="24"/>
  <c r="BW289" i="24"/>
  <c r="AX289" i="24"/>
  <c r="BH289" i="24"/>
  <c r="BH12" i="24"/>
  <c r="BH273" i="24"/>
  <c r="BL272" i="24"/>
  <c r="AS272" i="24"/>
  <c r="AQ272" i="24"/>
  <c r="BJ272" i="24"/>
  <c r="AX272" i="24"/>
  <c r="BH272" i="24"/>
  <c r="BU272" i="24"/>
  <c r="BW272" i="24"/>
  <c r="AR283" i="25"/>
  <c r="BH283" i="25"/>
  <c r="AP283" i="25"/>
  <c r="BF283" i="25"/>
  <c r="BW283" i="25"/>
  <c r="BU283" i="25"/>
  <c r="BA125" i="24"/>
  <c r="AR170" i="25"/>
  <c r="AP170" i="25"/>
  <c r="BH170" i="25"/>
  <c r="BF170" i="25"/>
  <c r="BU170" i="25"/>
  <c r="BW170" i="25"/>
  <c r="AX141" i="25"/>
  <c r="AW141" i="25"/>
  <c r="AS135" i="24"/>
  <c r="AU135" i="24" s="1"/>
  <c r="BB135" i="24" s="1"/>
  <c r="BJ135" i="24"/>
  <c r="AQ135" i="24"/>
  <c r="AW130" i="25"/>
  <c r="AX130" i="25"/>
  <c r="AS46" i="24"/>
  <c r="BJ46" i="24"/>
  <c r="AQ46" i="24"/>
  <c r="AX46" i="24"/>
  <c r="BH46" i="24"/>
  <c r="BW46" i="24"/>
  <c r="AX15" i="25"/>
  <c r="AW15" i="25"/>
  <c r="AX74" i="25"/>
  <c r="AW74" i="25"/>
  <c r="BW238" i="24"/>
  <c r="AS89" i="24"/>
  <c r="BJ89" i="24"/>
  <c r="AQ89" i="24"/>
  <c r="AX89" i="24"/>
  <c r="BH89" i="24"/>
  <c r="BW89" i="24"/>
  <c r="BW133" i="24"/>
  <c r="AJ63" i="25"/>
  <c r="AM63" i="25"/>
  <c r="BG63" i="25" s="1"/>
  <c r="BW117" i="24"/>
  <c r="AJ66" i="25"/>
  <c r="AM66" i="25"/>
  <c r="BG66" i="25" s="1"/>
  <c r="AJ180" i="25"/>
  <c r="AM180" i="25"/>
  <c r="AM118" i="25"/>
  <c r="AJ118" i="25"/>
  <c r="AJ42" i="25"/>
  <c r="AM42" i="25"/>
  <c r="BG42" i="25" s="1"/>
  <c r="AS182" i="24"/>
  <c r="BJ182" i="24"/>
  <c r="AQ182" i="24"/>
  <c r="BU182" i="24"/>
  <c r="BW182" i="24"/>
  <c r="AX182" i="24"/>
  <c r="BH182" i="24"/>
  <c r="AS179" i="24"/>
  <c r="AQ179" i="24"/>
  <c r="BJ179" i="24"/>
  <c r="BW179" i="24"/>
  <c r="BU179" i="24"/>
  <c r="AX179" i="24"/>
  <c r="BH179" i="24"/>
  <c r="AX168" i="25"/>
  <c r="AW168" i="25"/>
  <c r="BH59" i="24"/>
  <c r="BA8" i="24"/>
  <c r="BA266" i="24"/>
  <c r="BA57" i="24"/>
  <c r="AU55" i="24"/>
  <c r="BB55" i="24" s="1"/>
  <c r="AW55" i="24"/>
  <c r="BA32" i="24"/>
  <c r="AM307" i="25"/>
  <c r="AJ307" i="25"/>
  <c r="AX169" i="25"/>
  <c r="AW169" i="25"/>
  <c r="AX138" i="25"/>
  <c r="AW138" i="25"/>
  <c r="AS219" i="24"/>
  <c r="AU219" i="24" s="1"/>
  <c r="BB219" i="24" s="1"/>
  <c r="AQ219" i="24"/>
  <c r="BJ219" i="24"/>
  <c r="AS124" i="24"/>
  <c r="BL124" i="24"/>
  <c r="BJ124" i="24"/>
  <c r="AQ124" i="24"/>
  <c r="BH124" i="24"/>
  <c r="BU124" i="24"/>
  <c r="BW124" i="24"/>
  <c r="AX124" i="24"/>
  <c r="AW37" i="25"/>
  <c r="AX37" i="25"/>
  <c r="AJ20" i="25"/>
  <c r="AM20" i="25"/>
  <c r="BG20" i="25" s="1"/>
  <c r="AJ281" i="25"/>
  <c r="AM281" i="25"/>
  <c r="BG281" i="25" s="1"/>
  <c r="BL226" i="24"/>
  <c r="AS226" i="24"/>
  <c r="BJ226" i="24"/>
  <c r="AQ226" i="24"/>
  <c r="BH226" i="24"/>
  <c r="BU226" i="24"/>
  <c r="BW226" i="24"/>
  <c r="AX226" i="24"/>
  <c r="AS200" i="24"/>
  <c r="AQ200" i="24"/>
  <c r="BJ200" i="24"/>
  <c r="BH200" i="24"/>
  <c r="BU200" i="24"/>
  <c r="BW200" i="24"/>
  <c r="AX200" i="24"/>
  <c r="AJ272" i="25"/>
  <c r="AM272" i="25"/>
  <c r="AX26" i="25"/>
  <c r="AW26" i="25"/>
  <c r="BH247" i="24"/>
  <c r="BW225" i="24"/>
  <c r="AM221" i="25"/>
  <c r="AJ221" i="25"/>
  <c r="BH242" i="24"/>
  <c r="BU295" i="24"/>
  <c r="AM58" i="25"/>
  <c r="BG58" i="25" s="1"/>
  <c r="AJ58" i="25"/>
  <c r="AM185" i="25"/>
  <c r="AJ185" i="25"/>
  <c r="AM187" i="25"/>
  <c r="BG187" i="25" s="1"/>
  <c r="AJ187" i="25"/>
  <c r="AU41" i="24"/>
  <c r="BB41" i="24" s="1"/>
  <c r="AW41" i="24"/>
  <c r="AS26" i="24"/>
  <c r="AU26" i="24" s="1"/>
  <c r="BB26" i="24" s="1"/>
  <c r="BJ26" i="24"/>
  <c r="AQ26" i="24"/>
  <c r="AS96" i="24"/>
  <c r="AQ96" i="24"/>
  <c r="BJ96" i="24"/>
  <c r="AX96" i="24"/>
  <c r="BH96" i="24"/>
  <c r="BW96" i="24"/>
  <c r="AX45" i="25"/>
  <c r="AW45" i="25"/>
  <c r="AX121" i="25"/>
  <c r="AW121" i="25"/>
  <c r="AR21" i="25"/>
  <c r="AP21" i="25"/>
  <c r="BH21" i="25"/>
  <c r="BF21" i="25"/>
  <c r="BW21" i="25"/>
  <c r="BU21" i="25"/>
  <c r="BA290" i="24"/>
  <c r="BH263" i="24"/>
  <c r="BA9" i="24"/>
  <c r="BH282" i="24"/>
  <c r="BH155" i="24"/>
  <c r="AS176" i="24"/>
  <c r="BL176" i="24"/>
  <c r="AQ176" i="24"/>
  <c r="BJ176" i="24"/>
  <c r="BW176" i="24"/>
  <c r="BU176" i="24"/>
  <c r="AX176" i="24"/>
  <c r="BH176" i="24"/>
  <c r="AS86" i="24"/>
  <c r="AQ86" i="24"/>
  <c r="BJ86" i="24"/>
  <c r="BH86" i="24"/>
  <c r="BW86" i="24"/>
  <c r="AX86" i="24"/>
  <c r="BU248" i="24"/>
  <c r="AX185" i="25"/>
  <c r="AW185" i="25"/>
  <c r="AX53" i="25"/>
  <c r="AW53" i="25"/>
  <c r="AM263" i="25"/>
  <c r="BG263" i="25" s="1"/>
  <c r="AJ263" i="25"/>
  <c r="AX39" i="25"/>
  <c r="AW39" i="25"/>
  <c r="AJ75" i="25"/>
  <c r="AM75" i="25"/>
  <c r="BG75" i="25" s="1"/>
  <c r="BA235" i="24"/>
  <c r="BA129" i="24"/>
  <c r="AM35" i="25"/>
  <c r="BG35" i="25" s="1"/>
  <c r="AJ35" i="25"/>
  <c r="AS151" i="24"/>
  <c r="BJ151" i="24"/>
  <c r="AQ151" i="24"/>
  <c r="BH151" i="24"/>
  <c r="BU151" i="24"/>
  <c r="BW151" i="24"/>
  <c r="AX151" i="24"/>
  <c r="AX10" i="25"/>
  <c r="AW10" i="25"/>
  <c r="AS18" i="24"/>
  <c r="AU18" i="24" s="1"/>
  <c r="BB18" i="24" s="1"/>
  <c r="BJ18" i="24"/>
  <c r="AQ18" i="24"/>
  <c r="AM310" i="25"/>
  <c r="AJ310" i="25"/>
  <c r="AX40" i="25"/>
  <c r="AW40" i="25"/>
  <c r="AX48" i="25"/>
  <c r="AW48" i="25"/>
  <c r="AM308" i="25"/>
  <c r="BG308" i="25" s="1"/>
  <c r="AJ308" i="25"/>
  <c r="AS296" i="24"/>
  <c r="AU296" i="24" s="1"/>
  <c r="BB296" i="24" s="1"/>
  <c r="BL296" i="24"/>
  <c r="AQ296" i="24"/>
  <c r="BJ296" i="24"/>
  <c r="BL241" i="24"/>
  <c r="AS241" i="24"/>
  <c r="BJ241" i="24"/>
  <c r="AQ241" i="24"/>
  <c r="AX241" i="24"/>
  <c r="BH241" i="24"/>
  <c r="BW241" i="24"/>
  <c r="BU241" i="24"/>
  <c r="AS262" i="24"/>
  <c r="BL262" i="24"/>
  <c r="BJ262" i="24"/>
  <c r="AQ262" i="24"/>
  <c r="AX262" i="24"/>
  <c r="BH262" i="24"/>
  <c r="BW262" i="24"/>
  <c r="BU262" i="24"/>
  <c r="AX78" i="25"/>
  <c r="AW78" i="25"/>
  <c r="AR158" i="25"/>
  <c r="BJ158" i="25"/>
  <c r="BH158" i="25"/>
  <c r="AP158" i="25"/>
  <c r="BW158" i="25"/>
  <c r="BU158" i="25"/>
  <c r="BF158" i="25"/>
  <c r="BU237" i="24"/>
  <c r="BA123" i="24"/>
  <c r="AJ103" i="25"/>
  <c r="AM103" i="25"/>
  <c r="BA284" i="24"/>
  <c r="AJ216" i="25"/>
  <c r="AM216" i="25"/>
  <c r="BG216" i="25" s="1"/>
  <c r="AS315" i="24"/>
  <c r="BL315" i="24"/>
  <c r="BJ315" i="24"/>
  <c r="AQ315" i="24"/>
  <c r="AX315" i="24"/>
  <c r="BH315" i="24"/>
  <c r="BW315" i="24"/>
  <c r="BU315" i="24"/>
  <c r="AX55" i="25"/>
  <c r="AW55" i="25"/>
  <c r="AX171" i="25"/>
  <c r="AW171" i="25"/>
  <c r="AX122" i="25"/>
  <c r="AW122" i="25"/>
  <c r="AM166" i="25"/>
  <c r="AJ166" i="25"/>
  <c r="AS73" i="24"/>
  <c r="BJ73" i="24"/>
  <c r="AQ73" i="24"/>
  <c r="BH73" i="24"/>
  <c r="BW73" i="24"/>
  <c r="AX73" i="24"/>
  <c r="AX115" i="25"/>
  <c r="AW115" i="25"/>
  <c r="AJ47" i="25"/>
  <c r="AM47" i="25"/>
  <c r="BG47" i="25" s="1"/>
  <c r="AX8" i="25"/>
  <c r="AW8" i="25"/>
  <c r="AS170" i="24"/>
  <c r="BJ170" i="24"/>
  <c r="AQ170" i="24"/>
  <c r="BW170" i="24"/>
  <c r="AX170" i="24"/>
  <c r="BH170" i="24"/>
  <c r="BU170" i="24"/>
  <c r="BH114" i="24"/>
  <c r="AT143" i="25"/>
  <c r="AY143" i="25" s="1"/>
  <c r="AU143" i="25"/>
  <c r="AJ279" i="25"/>
  <c r="AM279" i="25"/>
  <c r="AS68" i="24"/>
  <c r="AQ68" i="24"/>
  <c r="BJ68" i="24"/>
  <c r="AX68" i="24"/>
  <c r="BH68" i="24"/>
  <c r="BW68" i="24"/>
  <c r="AJ298" i="25"/>
  <c r="AM298" i="25"/>
  <c r="BG298" i="25" s="1"/>
  <c r="BA58" i="24"/>
  <c r="AR178" i="25"/>
  <c r="BJ178" i="25"/>
  <c r="AP178" i="25"/>
  <c r="BH178" i="25"/>
  <c r="BW178" i="25"/>
  <c r="BU178" i="25"/>
  <c r="BF178" i="25"/>
  <c r="AJ141" i="25"/>
  <c r="AM141" i="25"/>
  <c r="BG141" i="25" s="1"/>
  <c r="AS74" i="24"/>
  <c r="BJ74" i="24"/>
  <c r="AQ74" i="24"/>
  <c r="AX74" i="24"/>
  <c r="BH74" i="24"/>
  <c r="BW74" i="24"/>
  <c r="AS93" i="24"/>
  <c r="BJ93" i="24"/>
  <c r="AQ93" i="24"/>
  <c r="BW93" i="24"/>
  <c r="AX93" i="24"/>
  <c r="BH93" i="24"/>
  <c r="AM130" i="25"/>
  <c r="AJ130" i="25"/>
  <c r="AJ145" i="25"/>
  <c r="AM145" i="25"/>
  <c r="BG145" i="25" s="1"/>
  <c r="AX150" i="25"/>
  <c r="AW150" i="25"/>
  <c r="AX260" i="24"/>
  <c r="AS255" i="24"/>
  <c r="BL255" i="24"/>
  <c r="BJ255" i="24"/>
  <c r="AQ255" i="24"/>
  <c r="AX255" i="24"/>
  <c r="BH255" i="24"/>
  <c r="BW255" i="24"/>
  <c r="BU255" i="24"/>
  <c r="BL198" i="24"/>
  <c r="AS198" i="24"/>
  <c r="BJ198" i="24"/>
  <c r="AQ198" i="24"/>
  <c r="BU198" i="24"/>
  <c r="AX198" i="24"/>
  <c r="BH198" i="24"/>
  <c r="BW198" i="24"/>
  <c r="AX133" i="25"/>
  <c r="AW133" i="25"/>
  <c r="AS144" i="24"/>
  <c r="BL144" i="24"/>
  <c r="AQ144" i="24"/>
  <c r="BJ144" i="24"/>
  <c r="AX144" i="24"/>
  <c r="BH144" i="24"/>
  <c r="BU144" i="24"/>
  <c r="BW144" i="24"/>
  <c r="AJ73" i="25"/>
  <c r="AM73" i="25"/>
  <c r="BG73" i="25" s="1"/>
  <c r="AJ264" i="25"/>
  <c r="AM264" i="25"/>
  <c r="BG264" i="25" s="1"/>
  <c r="AS137" i="24"/>
  <c r="BJ137" i="24"/>
  <c r="AQ137" i="24"/>
  <c r="AX137" i="24"/>
  <c r="BH137" i="24"/>
  <c r="BW137" i="24"/>
  <c r="BU137" i="24"/>
  <c r="CE97" i="25"/>
  <c r="AW61" i="25"/>
  <c r="AX61" i="25"/>
  <c r="AS312" i="24"/>
  <c r="BL312" i="24"/>
  <c r="AQ312" i="24"/>
  <c r="BJ312" i="24"/>
  <c r="AX312" i="24"/>
  <c r="BH312" i="24"/>
  <c r="BU312" i="24"/>
  <c r="BW312" i="24"/>
  <c r="BA269" i="24"/>
  <c r="BW296" i="24"/>
  <c r="AS165" i="24"/>
  <c r="AQ165" i="24"/>
  <c r="BJ165" i="24"/>
  <c r="AX165" i="24"/>
  <c r="BH165" i="24"/>
  <c r="BU165" i="24"/>
  <c r="BW165" i="24"/>
  <c r="AS251" i="24"/>
  <c r="BJ251" i="24"/>
  <c r="AQ251" i="24"/>
  <c r="BW251" i="24"/>
  <c r="AX251" i="24"/>
  <c r="BH251" i="24"/>
  <c r="BU251" i="24"/>
  <c r="AM228" i="25"/>
  <c r="AJ228" i="25"/>
  <c r="AX128" i="25"/>
  <c r="AW128" i="25"/>
  <c r="AJ156" i="25"/>
  <c r="AM156" i="25"/>
  <c r="AS310" i="24"/>
  <c r="AQ310" i="24"/>
  <c r="BJ310" i="24"/>
  <c r="BW310" i="24"/>
  <c r="BU310" i="24"/>
  <c r="AX310" i="24"/>
  <c r="BH310" i="24"/>
  <c r="AR243" i="25"/>
  <c r="BJ243" i="25"/>
  <c r="AP243" i="25"/>
  <c r="BH243" i="25"/>
  <c r="BF243" i="25"/>
  <c r="BU243" i="25"/>
  <c r="BW243" i="25"/>
  <c r="BU238" i="24"/>
  <c r="BW34" i="24"/>
  <c r="AM68" i="25"/>
  <c r="BG68" i="25" s="1"/>
  <c r="AJ68" i="25"/>
  <c r="BJ34" i="25"/>
  <c r="AR34" i="25"/>
  <c r="BH34" i="25"/>
  <c r="AP34" i="25"/>
  <c r="BF34" i="25"/>
  <c r="BU34" i="25"/>
  <c r="BW34" i="25"/>
  <c r="AJ208" i="25"/>
  <c r="AM208" i="25"/>
  <c r="BG208" i="25" s="1"/>
  <c r="AX80" i="25"/>
  <c r="AW80" i="25"/>
  <c r="AW73" i="25"/>
  <c r="AX73" i="25"/>
  <c r="BA243" i="24"/>
  <c r="BA153" i="24"/>
  <c r="BH117" i="24"/>
  <c r="AR247" i="25"/>
  <c r="BJ247" i="25"/>
  <c r="AP247" i="25"/>
  <c r="BH247" i="25"/>
  <c r="BF247" i="25"/>
  <c r="BU247" i="25"/>
  <c r="BW247" i="25"/>
  <c r="AS185" i="24"/>
  <c r="BJ185" i="24"/>
  <c r="AQ185" i="24"/>
  <c r="BH185" i="24"/>
  <c r="BW185" i="24"/>
  <c r="BU185" i="24"/>
  <c r="AX185" i="24"/>
  <c r="AS153" i="24"/>
  <c r="AU153" i="24" s="1"/>
  <c r="BB153" i="24" s="1"/>
  <c r="BJ153" i="24"/>
  <c r="AQ153" i="24"/>
  <c r="AM86" i="25"/>
  <c r="AJ86" i="25"/>
  <c r="AW175" i="25"/>
  <c r="AX175" i="25"/>
  <c r="AR248" i="25"/>
  <c r="BJ248" i="25"/>
  <c r="BH248" i="25"/>
  <c r="AP248" i="25"/>
  <c r="BU248" i="25"/>
  <c r="BF248" i="25"/>
  <c r="BW248" i="25"/>
  <c r="AM60" i="25"/>
  <c r="AJ60" i="25"/>
  <c r="BW266" i="24"/>
  <c r="BU240" i="24"/>
  <c r="AS169" i="24"/>
  <c r="BL169" i="24"/>
  <c r="AQ169" i="24"/>
  <c r="BJ169" i="24"/>
  <c r="AX169" i="24"/>
  <c r="BH169" i="24"/>
  <c r="BW169" i="24"/>
  <c r="BU169" i="24"/>
  <c r="AX36" i="25"/>
  <c r="AW36" i="25"/>
  <c r="AS11" i="24"/>
  <c r="AQ11" i="24"/>
  <c r="BJ11" i="24"/>
  <c r="AX11" i="24"/>
  <c r="BW11" i="24"/>
  <c r="BH11" i="24"/>
  <c r="AW132" i="25"/>
  <c r="AX132" i="25"/>
  <c r="AS57" i="24"/>
  <c r="AU57" i="24" s="1"/>
  <c r="BB57" i="24" s="1"/>
  <c r="BJ57" i="24"/>
  <c r="AQ57" i="24"/>
  <c r="AR199" i="25"/>
  <c r="BJ199" i="25"/>
  <c r="BH199" i="25"/>
  <c r="BU199" i="25"/>
  <c r="BW199" i="25"/>
  <c r="BF199" i="25"/>
  <c r="BH111" i="24"/>
  <c r="BL244" i="24"/>
  <c r="AS244" i="24"/>
  <c r="AQ244" i="24"/>
  <c r="BJ244" i="24"/>
  <c r="BW244" i="24"/>
  <c r="BU244" i="24"/>
  <c r="AX244" i="24"/>
  <c r="BH244" i="24"/>
  <c r="AS243" i="24"/>
  <c r="AU243" i="24" s="1"/>
  <c r="BB243" i="24" s="1"/>
  <c r="AQ243" i="24"/>
  <c r="BJ243" i="24"/>
  <c r="BA218" i="24"/>
  <c r="AX66" i="25"/>
  <c r="AW66" i="25"/>
  <c r="AW183" i="25"/>
  <c r="AX183" i="25"/>
  <c r="BJ293" i="25"/>
  <c r="AR293" i="25"/>
  <c r="BH293" i="25"/>
  <c r="AP293" i="25"/>
  <c r="BF293" i="25"/>
  <c r="BW293" i="25"/>
  <c r="BU293" i="25"/>
  <c r="AM127" i="25"/>
  <c r="BG127" i="25" s="1"/>
  <c r="AJ127" i="25"/>
  <c r="AS254" i="24"/>
  <c r="BL254" i="24"/>
  <c r="AQ254" i="24"/>
  <c r="BJ254" i="24"/>
  <c r="AX254" i="24"/>
  <c r="BH254" i="24"/>
  <c r="BW254" i="24"/>
  <c r="BU254" i="24"/>
  <c r="BH225" i="24"/>
  <c r="AM254" i="25"/>
  <c r="BG254" i="25" s="1"/>
  <c r="AJ254" i="25"/>
  <c r="AJ196" i="25"/>
  <c r="AM196" i="25"/>
  <c r="BG196" i="25" s="1"/>
  <c r="AJ111" i="25"/>
  <c r="AM111" i="25"/>
  <c r="BA135" i="24"/>
  <c r="BH301" i="24"/>
  <c r="BJ259" i="25"/>
  <c r="AR259" i="25"/>
  <c r="AP259" i="25"/>
  <c r="BH259" i="25"/>
  <c r="BF259" i="25"/>
  <c r="BW259" i="25"/>
  <c r="BU259" i="25"/>
  <c r="AS58" i="24"/>
  <c r="AU58" i="24" s="1"/>
  <c r="BB58" i="24" s="1"/>
  <c r="BJ58" i="24"/>
  <c r="AQ58" i="24"/>
  <c r="AU101" i="24"/>
  <c r="BB101" i="24" s="1"/>
  <c r="AW101" i="24"/>
  <c r="AR255" i="25"/>
  <c r="BJ255" i="25"/>
  <c r="BH255" i="25"/>
  <c r="AP255" i="25"/>
  <c r="BW255" i="25"/>
  <c r="BU255" i="25"/>
  <c r="BF255" i="25"/>
  <c r="BW279" i="24"/>
  <c r="BW126" i="24"/>
  <c r="AJ225" i="25"/>
  <c r="AM225" i="25"/>
  <c r="BG225" i="25" s="1"/>
  <c r="AR59" i="25"/>
  <c r="BJ59" i="25"/>
  <c r="BH59" i="25"/>
  <c r="AP59" i="25"/>
  <c r="BW59" i="25"/>
  <c r="BU59" i="25"/>
  <c r="BF59" i="25"/>
  <c r="BW232" i="24"/>
  <c r="AS67" i="24"/>
  <c r="AQ67" i="24"/>
  <c r="BJ67" i="24"/>
  <c r="AX67" i="24"/>
  <c r="BH67" i="24"/>
  <c r="BW67" i="24"/>
  <c r="AJ253" i="25"/>
  <c r="AM253" i="25"/>
  <c r="BG253" i="25" s="1"/>
  <c r="AJ316" i="25"/>
  <c r="AM316" i="25"/>
  <c r="AS305" i="24"/>
  <c r="AU305" i="24" s="1"/>
  <c r="BB305" i="24" s="1"/>
  <c r="AQ305" i="24"/>
  <c r="BJ305" i="24"/>
  <c r="AJ23" i="25"/>
  <c r="AM23" i="25"/>
  <c r="BG23" i="25" s="1"/>
  <c r="AX57" i="25"/>
  <c r="AW57" i="25"/>
  <c r="AS81" i="24"/>
  <c r="AQ81" i="24"/>
  <c r="BJ81" i="24"/>
  <c r="AX81" i="24"/>
  <c r="BW81" i="24"/>
  <c r="BH81" i="24"/>
  <c r="AJ51" i="25"/>
  <c r="AM51" i="25"/>
  <c r="BG51" i="25" s="1"/>
  <c r="BA30" i="24"/>
  <c r="AJ172" i="25"/>
  <c r="AM172" i="25"/>
  <c r="BL187" i="24"/>
  <c r="AS187" i="24"/>
  <c r="BJ187" i="24"/>
  <c r="AQ187" i="24"/>
  <c r="AX187" i="24"/>
  <c r="BH187" i="24"/>
  <c r="BW187" i="24"/>
  <c r="BU187" i="24"/>
  <c r="AS247" i="24"/>
  <c r="AU247" i="24" s="1"/>
  <c r="BB247" i="24" s="1"/>
  <c r="BJ247" i="24"/>
  <c r="AQ247" i="24"/>
  <c r="AM207" i="25"/>
  <c r="BG207" i="25" s="1"/>
  <c r="AJ207" i="25"/>
  <c r="AX152" i="25"/>
  <c r="AW152" i="25"/>
  <c r="BA51" i="24"/>
  <c r="AJ140" i="25"/>
  <c r="AM140" i="25"/>
  <c r="BG140" i="25" s="1"/>
  <c r="BL189" i="24"/>
  <c r="AS189" i="24"/>
  <c r="AQ189" i="24"/>
  <c r="BJ189" i="24"/>
  <c r="BH189" i="24"/>
  <c r="BU189" i="24"/>
  <c r="BW189" i="24"/>
  <c r="AX189" i="24"/>
  <c r="AS121" i="24"/>
  <c r="AU121" i="24" s="1"/>
  <c r="BB121" i="24" s="1"/>
  <c r="AQ121" i="24"/>
  <c r="BJ121" i="24"/>
  <c r="AX52" i="25"/>
  <c r="AW52" i="25"/>
  <c r="AR189" i="25"/>
  <c r="BH189" i="25"/>
  <c r="AP189" i="25"/>
  <c r="BF189" i="25"/>
  <c r="BW189" i="25"/>
  <c r="BU189" i="25"/>
  <c r="BW237" i="24"/>
  <c r="AS82" i="24"/>
  <c r="BJ82" i="24"/>
  <c r="AQ82" i="24"/>
  <c r="AX82" i="24"/>
  <c r="BH82" i="24"/>
  <c r="BW82" i="24"/>
  <c r="AW64" i="25"/>
  <c r="AX64" i="25"/>
  <c r="BA297" i="24"/>
  <c r="AJ151" i="25"/>
  <c r="AM151" i="25"/>
  <c r="AX38" i="25"/>
  <c r="AW38" i="25"/>
  <c r="AS31" i="24"/>
  <c r="BJ31" i="24"/>
  <c r="AQ31" i="24"/>
  <c r="AX31" i="24"/>
  <c r="BH31" i="24"/>
  <c r="BW31" i="24"/>
  <c r="AS157" i="24"/>
  <c r="BJ157" i="24"/>
  <c r="AQ157" i="24"/>
  <c r="AX157" i="24"/>
  <c r="BH157" i="24"/>
  <c r="BU157" i="24"/>
  <c r="BW157" i="24"/>
  <c r="AR186" i="25"/>
  <c r="BH186" i="25"/>
  <c r="AP186" i="25"/>
  <c r="BF186" i="25"/>
  <c r="BU186" i="25"/>
  <c r="BW186" i="25"/>
  <c r="AW207" i="25"/>
  <c r="AX207" i="25"/>
  <c r="AX22" i="25"/>
  <c r="AW22" i="25"/>
  <c r="AX153" i="25"/>
  <c r="AW153" i="25"/>
  <c r="AS207" i="24"/>
  <c r="BL207" i="24"/>
  <c r="BJ207" i="24"/>
  <c r="AQ207" i="24"/>
  <c r="AX207" i="24"/>
  <c r="BH207" i="24"/>
  <c r="BU207" i="24"/>
  <c r="BW207" i="24"/>
  <c r="AU119" i="24"/>
  <c r="BB119" i="24" s="1"/>
  <c r="AW119" i="24"/>
  <c r="AS76" i="24"/>
  <c r="BJ76" i="24"/>
  <c r="AQ76" i="24"/>
  <c r="BW76" i="24"/>
  <c r="AX76" i="24"/>
  <c r="BH76" i="24"/>
  <c r="AJ188" i="25"/>
  <c r="AM188" i="25"/>
  <c r="BG188" i="25" s="1"/>
  <c r="AR296" i="25"/>
  <c r="BJ296" i="25"/>
  <c r="AP296" i="25"/>
  <c r="BH296" i="25"/>
  <c r="BF296" i="25"/>
  <c r="BW296" i="25"/>
  <c r="BU296" i="25"/>
  <c r="AX114" i="24"/>
  <c r="BL143" i="24"/>
  <c r="AS143" i="24"/>
  <c r="AQ143" i="24"/>
  <c r="BJ143" i="24"/>
  <c r="AX143" i="24"/>
  <c r="BH143" i="24"/>
  <c r="BW143" i="24"/>
  <c r="BU143" i="24"/>
  <c r="AM101" i="25"/>
  <c r="BG101" i="25" s="1"/>
  <c r="AJ101" i="25"/>
  <c r="BU147" i="24"/>
  <c r="BL297" i="24"/>
  <c r="AS297" i="24"/>
  <c r="AU297" i="24" s="1"/>
  <c r="BB297" i="24" s="1"/>
  <c r="AQ297" i="24"/>
  <c r="BJ297" i="24"/>
  <c r="AX83" i="25"/>
  <c r="AW83" i="25"/>
  <c r="AM157" i="25"/>
  <c r="BG157" i="25" s="1"/>
  <c r="AJ157" i="25"/>
  <c r="BH249" i="24"/>
  <c r="AX166" i="25"/>
  <c r="AW166" i="25"/>
  <c r="AS227" i="24"/>
  <c r="BL227" i="24"/>
  <c r="AQ227" i="24"/>
  <c r="BJ227" i="24"/>
  <c r="BH227" i="24"/>
  <c r="BW227" i="24"/>
  <c r="AX227" i="24"/>
  <c r="BU227" i="24"/>
  <c r="AS10" i="24"/>
  <c r="BJ10" i="24"/>
  <c r="AQ10" i="24"/>
  <c r="AX10" i="24"/>
  <c r="BW10" i="24"/>
  <c r="BH10" i="24"/>
  <c r="AX47" i="25"/>
  <c r="AW47" i="25"/>
  <c r="AR306" i="25"/>
  <c r="BH306" i="25"/>
  <c r="AP306" i="25"/>
  <c r="BU306" i="25"/>
  <c r="BW306" i="25"/>
  <c r="BF306" i="25"/>
  <c r="BA37" i="24"/>
  <c r="AS94" i="24"/>
  <c r="BJ94" i="24"/>
  <c r="AQ94" i="24"/>
  <c r="AX94" i="24"/>
  <c r="BH94" i="24"/>
  <c r="BW94" i="24"/>
  <c r="AX101" i="25"/>
  <c r="AW101" i="25"/>
  <c r="AM61" i="25"/>
  <c r="BG61" i="25" s="1"/>
  <c r="AJ61" i="25"/>
  <c r="AS152" i="24"/>
  <c r="AU152" i="24" s="1"/>
  <c r="BB152" i="24" s="1"/>
  <c r="BJ152" i="24"/>
  <c r="AQ152" i="24"/>
  <c r="AS23" i="24"/>
  <c r="BL23" i="24"/>
  <c r="BJ23" i="24"/>
  <c r="AQ23" i="24"/>
  <c r="AX23" i="24"/>
  <c r="BH23" i="24"/>
  <c r="BW23" i="24"/>
  <c r="BH296" i="24"/>
  <c r="AS205" i="24"/>
  <c r="AQ205" i="24"/>
  <c r="BJ205" i="24"/>
  <c r="BW205" i="24"/>
  <c r="AX205" i="24"/>
  <c r="BH205" i="24"/>
  <c r="BU205" i="24"/>
  <c r="AS298" i="24"/>
  <c r="AU298" i="24" s="1"/>
  <c r="BB298" i="24" s="1"/>
  <c r="BJ298" i="24"/>
  <c r="AQ298" i="24"/>
  <c r="AU44" i="24"/>
  <c r="BB44" i="24" s="1"/>
  <c r="AW44" i="24"/>
  <c r="AR177" i="25"/>
  <c r="BH177" i="25"/>
  <c r="AP177" i="25"/>
  <c r="BF177" i="25"/>
  <c r="BW177" i="25"/>
  <c r="BU177" i="25"/>
  <c r="AS72" i="24"/>
  <c r="AQ72" i="24"/>
  <c r="BJ72" i="24"/>
  <c r="AX72" i="24"/>
  <c r="BH72" i="24"/>
  <c r="BW72" i="24"/>
  <c r="AM181" i="25"/>
  <c r="AJ181" i="25"/>
  <c r="AU257" i="24"/>
  <c r="BB257" i="24" s="1"/>
  <c r="AW257" i="24"/>
  <c r="BA133" i="24"/>
  <c r="AM44" i="25"/>
  <c r="BG44" i="25" s="1"/>
  <c r="AJ44" i="25"/>
  <c r="BA281" i="24"/>
  <c r="AM183" i="25"/>
  <c r="AJ183" i="25"/>
  <c r="AS281" i="24"/>
  <c r="AU281" i="24" s="1"/>
  <c r="BB281" i="24" s="1"/>
  <c r="AQ281" i="24"/>
  <c r="BJ281" i="24"/>
  <c r="AU21" i="24"/>
  <c r="BB21" i="24" s="1"/>
  <c r="AW21" i="24"/>
  <c r="AX59" i="24"/>
  <c r="AR173" i="25"/>
  <c r="BH173" i="25"/>
  <c r="AP173" i="25"/>
  <c r="BF173" i="25"/>
  <c r="BW173" i="25"/>
  <c r="BU173" i="25"/>
  <c r="BJ275" i="25"/>
  <c r="AR275" i="25"/>
  <c r="AP275" i="25"/>
  <c r="BH275" i="25"/>
  <c r="BF275" i="25"/>
  <c r="BU275" i="25"/>
  <c r="BW275" i="25"/>
  <c r="BA261" i="24"/>
  <c r="BW265" i="24"/>
  <c r="AS33" i="24"/>
  <c r="AU33" i="24" s="1"/>
  <c r="BB33" i="24" s="1"/>
  <c r="BJ33" i="24"/>
  <c r="AQ33" i="24"/>
  <c r="AJ70" i="25"/>
  <c r="AM70" i="25"/>
  <c r="BG70" i="25" s="1"/>
  <c r="BA305" i="24"/>
  <c r="AX118" i="25"/>
  <c r="AW118" i="25"/>
  <c r="BL217" i="24"/>
  <c r="AS217" i="24"/>
  <c r="BJ217" i="24"/>
  <c r="AQ217" i="24"/>
  <c r="AX217" i="24"/>
  <c r="BH217" i="24"/>
  <c r="BW217" i="24"/>
  <c r="BU217" i="24"/>
  <c r="AM274" i="25"/>
  <c r="AJ274" i="25"/>
  <c r="AJ136" i="25"/>
  <c r="AM136" i="25"/>
  <c r="BG136" i="25" s="1"/>
  <c r="AW124" i="25"/>
  <c r="AX124" i="25"/>
  <c r="AS116" i="24"/>
  <c r="BL116" i="24"/>
  <c r="AQ116" i="24"/>
  <c r="BJ116" i="24"/>
  <c r="AX116" i="24"/>
  <c r="BH116" i="24"/>
  <c r="BU116" i="24"/>
  <c r="BW116" i="24"/>
  <c r="AX43" i="25"/>
  <c r="AW43" i="25"/>
  <c r="BL300" i="24"/>
  <c r="AS300" i="24"/>
  <c r="BJ300" i="24"/>
  <c r="AQ300" i="24"/>
  <c r="AX300" i="24"/>
  <c r="BH300" i="24"/>
  <c r="BW300" i="24"/>
  <c r="BU300" i="24"/>
  <c r="BL252" i="24"/>
  <c r="AS252" i="24"/>
  <c r="AQ252" i="24"/>
  <c r="BJ252" i="24"/>
  <c r="BH252" i="24"/>
  <c r="BW252" i="24"/>
  <c r="BU252" i="24"/>
  <c r="AX252" i="24"/>
  <c r="BA242" i="24"/>
  <c r="BL30" i="24"/>
  <c r="AS30" i="24"/>
  <c r="AU30" i="24" s="1"/>
  <c r="BB30" i="24" s="1"/>
  <c r="BJ30" i="24"/>
  <c r="AQ30" i="24"/>
  <c r="AJ202" i="25"/>
  <c r="AM202" i="25"/>
  <c r="BG202" i="25" s="1"/>
  <c r="BL167" i="24"/>
  <c r="AS167" i="24"/>
  <c r="AQ167" i="24"/>
  <c r="BJ167" i="24"/>
  <c r="BW167" i="24"/>
  <c r="AX167" i="24"/>
  <c r="BH167" i="24"/>
  <c r="BU167" i="24"/>
  <c r="BL299" i="24"/>
  <c r="AS299" i="24"/>
  <c r="AU299" i="24" s="1"/>
  <c r="BB299" i="24" s="1"/>
  <c r="AQ299" i="24"/>
  <c r="BJ299" i="24"/>
  <c r="AX46" i="25"/>
  <c r="AW46" i="25"/>
  <c r="AX102" i="25"/>
  <c r="AW102" i="25"/>
  <c r="BW135" i="24"/>
  <c r="AS248" i="24"/>
  <c r="AU248" i="24" s="1"/>
  <c r="BB248" i="24" s="1"/>
  <c r="BJ248" i="24"/>
  <c r="AQ248" i="24"/>
  <c r="BH121" i="24"/>
  <c r="AW9" i="25"/>
  <c r="AX9" i="25"/>
  <c r="AM49" i="25"/>
  <c r="BG49" i="25" s="1"/>
  <c r="AJ49" i="25"/>
  <c r="AS125" i="24"/>
  <c r="AU125" i="24" s="1"/>
  <c r="BB125" i="24" s="1"/>
  <c r="AQ125" i="24"/>
  <c r="BJ125" i="24"/>
  <c r="AM79" i="25"/>
  <c r="AJ79" i="25"/>
  <c r="AS29" i="24"/>
  <c r="BJ29" i="24"/>
  <c r="AQ29" i="24"/>
  <c r="BH29" i="24"/>
  <c r="BW29" i="24"/>
  <c r="AX29" i="24"/>
  <c r="BW290" i="24"/>
  <c r="BA145" i="24"/>
  <c r="AR155" i="25"/>
  <c r="BJ155" i="25"/>
  <c r="AP155" i="25"/>
  <c r="BH155" i="25"/>
  <c r="BF155" i="25"/>
  <c r="BU155" i="25"/>
  <c r="BW155" i="25"/>
  <c r="BH17" i="24"/>
  <c r="BW17" i="24"/>
  <c r="BH267" i="24"/>
  <c r="BH253" i="24"/>
  <c r="AS271" i="24"/>
  <c r="AU271" i="24" s="1"/>
  <c r="BB271" i="24" s="1"/>
  <c r="AQ271" i="24"/>
  <c r="BJ271" i="24"/>
  <c r="AJ146" i="25"/>
  <c r="AM146" i="25"/>
  <c r="BG146" i="25" s="1"/>
  <c r="BL78" i="24"/>
  <c r="AS78" i="24"/>
  <c r="BJ78" i="24"/>
  <c r="AQ78" i="24"/>
  <c r="BH78" i="24"/>
  <c r="BW78" i="24"/>
  <c r="AX78" i="24"/>
  <c r="AJ224" i="25"/>
  <c r="AM224" i="25"/>
  <c r="BG224" i="25" s="1"/>
  <c r="AW49" i="25"/>
  <c r="AX49" i="25"/>
  <c r="AJ242" i="25"/>
  <c r="AM242" i="25"/>
  <c r="AS75" i="24"/>
  <c r="BJ75" i="24"/>
  <c r="AQ75" i="24"/>
  <c r="AX75" i="24"/>
  <c r="BW75" i="24"/>
  <c r="BH75" i="24"/>
  <c r="AR30" i="25"/>
  <c r="AP30" i="25"/>
  <c r="BH30" i="25"/>
  <c r="BU30" i="25"/>
  <c r="BW30" i="25"/>
  <c r="BF30" i="25"/>
  <c r="BL246" i="24"/>
  <c r="AS246" i="24"/>
  <c r="BJ246" i="24"/>
  <c r="AQ246" i="24"/>
  <c r="BH246" i="24"/>
  <c r="BU246" i="24"/>
  <c r="BW246" i="24"/>
  <c r="AX246" i="24"/>
  <c r="BL138" i="24"/>
  <c r="AS138" i="24"/>
  <c r="BJ138" i="24"/>
  <c r="AQ138" i="24"/>
  <c r="BU138" i="24"/>
  <c r="AX138" i="24"/>
  <c r="BH138" i="24"/>
  <c r="BW138" i="24"/>
  <c r="BA20" i="24"/>
  <c r="AM38" i="25"/>
  <c r="BG38" i="25" s="1"/>
  <c r="AJ38" i="25"/>
  <c r="BA152" i="24"/>
  <c r="AJ171" i="25"/>
  <c r="AM171" i="25"/>
  <c r="AS283" i="24"/>
  <c r="AU283" i="24" s="1"/>
  <c r="BB283" i="24" s="1"/>
  <c r="AQ283" i="24"/>
  <c r="BJ283" i="24"/>
  <c r="AS120" i="24"/>
  <c r="AU120" i="24" s="1"/>
  <c r="BB120" i="24" s="1"/>
  <c r="AQ120" i="24"/>
  <c r="BJ120" i="24"/>
  <c r="AJ134" i="25"/>
  <c r="AM134" i="25"/>
  <c r="BG134" i="25" s="1"/>
  <c r="AX24" i="25"/>
  <c r="AW24" i="25"/>
  <c r="AS16" i="24"/>
  <c r="BJ16" i="24"/>
  <c r="AQ16" i="24"/>
  <c r="AX16" i="24"/>
  <c r="BH16" i="24"/>
  <c r="BW16" i="24"/>
  <c r="AS36" i="24"/>
  <c r="BJ36" i="24"/>
  <c r="AQ36" i="24"/>
  <c r="BH36" i="24"/>
  <c r="BW36" i="24"/>
  <c r="AX36" i="24"/>
  <c r="AX72" i="25"/>
  <c r="AW72" i="25"/>
  <c r="AS269" i="24"/>
  <c r="AU269" i="24" s="1"/>
  <c r="BB269" i="24" s="1"/>
  <c r="AQ269" i="24"/>
  <c r="BJ269" i="24"/>
  <c r="AS28" i="24"/>
  <c r="AU28" i="24" s="1"/>
  <c r="BB28" i="24" s="1"/>
  <c r="BJ28" i="24"/>
  <c r="AQ28" i="24"/>
  <c r="AJ142" i="25"/>
  <c r="AM142" i="25"/>
  <c r="BG142" i="25" s="1"/>
  <c r="AX126" i="25"/>
  <c r="AW126" i="25"/>
  <c r="AX51" i="25"/>
  <c r="AW51" i="25"/>
  <c r="BL309" i="24"/>
  <c r="AS309" i="24"/>
  <c r="BJ309" i="24"/>
  <c r="AQ309" i="24"/>
  <c r="AX309" i="24"/>
  <c r="BH309" i="24"/>
  <c r="BU309" i="24"/>
  <c r="BW309" i="24"/>
  <c r="AX27" i="25"/>
  <c r="AW27" i="25"/>
  <c r="AS88" i="24"/>
  <c r="AQ88" i="24"/>
  <c r="BJ88" i="24"/>
  <c r="BW88" i="24"/>
  <c r="AX88" i="24"/>
  <c r="BH88" i="24"/>
  <c r="AX35" i="25"/>
  <c r="AW35" i="25"/>
  <c r="AS180" i="24"/>
  <c r="BJ180" i="24"/>
  <c r="AQ180" i="24"/>
  <c r="BW180" i="24"/>
  <c r="BU180" i="24"/>
  <c r="AX180" i="24"/>
  <c r="BH180" i="24"/>
  <c r="AU7" i="24"/>
  <c r="BB7" i="24" s="1"/>
  <c r="AW7" i="24"/>
  <c r="AM139" i="25"/>
  <c r="BG139" i="25" s="1"/>
  <c r="AJ139" i="25"/>
  <c r="AS259" i="24"/>
  <c r="AU259" i="24" s="1"/>
  <c r="BB259" i="24" s="1"/>
  <c r="BJ259" i="24"/>
  <c r="AQ259" i="24"/>
  <c r="AX56" i="25"/>
  <c r="AW56" i="25"/>
  <c r="AJ84" i="25"/>
  <c r="AM84" i="25"/>
  <c r="BG84" i="25" s="1"/>
  <c r="AU160" i="24"/>
  <c r="BB160" i="24" s="1"/>
  <c r="AW160" i="24"/>
  <c r="AJ76" i="25"/>
  <c r="AM76" i="25"/>
  <c r="AJ278" i="25"/>
  <c r="AM278" i="25"/>
  <c r="BG278" i="25" s="1"/>
  <c r="BH28" i="24"/>
  <c r="AS293" i="24"/>
  <c r="BL293" i="24"/>
  <c r="BJ293" i="24"/>
  <c r="AQ293" i="24"/>
  <c r="BH293" i="24"/>
  <c r="BU293" i="24"/>
  <c r="BW293" i="24"/>
  <c r="AX293" i="24"/>
  <c r="AJ268" i="25"/>
  <c r="AM268" i="25"/>
  <c r="AS184" i="24"/>
  <c r="BL184" i="24"/>
  <c r="BJ184" i="24"/>
  <c r="AQ184" i="24"/>
  <c r="AX184" i="24"/>
  <c r="BH184" i="24"/>
  <c r="BU184" i="24"/>
  <c r="BW184" i="24"/>
  <c r="AS133" i="24"/>
  <c r="AU133" i="24" s="1"/>
  <c r="BB133" i="24" s="1"/>
  <c r="AQ133" i="24"/>
  <c r="BJ133" i="24"/>
  <c r="AM315" i="25"/>
  <c r="BG315" i="25" s="1"/>
  <c r="AJ315" i="25"/>
  <c r="AS313" i="24"/>
  <c r="BL313" i="24"/>
  <c r="BJ313" i="24"/>
  <c r="AQ313" i="24"/>
  <c r="BU313" i="24"/>
  <c r="BW313" i="24"/>
  <c r="AX313" i="24"/>
  <c r="BH313" i="24"/>
  <c r="AW16" i="25"/>
  <c r="AX16" i="25"/>
  <c r="BL158" i="24"/>
  <c r="AS158" i="24"/>
  <c r="BJ158" i="24"/>
  <c r="AQ158" i="24"/>
  <c r="AX158" i="24"/>
  <c r="BH158" i="24"/>
  <c r="BU158" i="24"/>
  <c r="BW158" i="24"/>
  <c r="BA48" i="24"/>
  <c r="AM223" i="25"/>
  <c r="AJ223" i="25"/>
  <c r="AS115" i="24"/>
  <c r="BL115" i="24"/>
  <c r="AQ115" i="24"/>
  <c r="BJ115" i="24"/>
  <c r="AX115" i="24"/>
  <c r="BH115" i="24"/>
  <c r="BU115" i="24"/>
  <c r="BW115" i="24"/>
  <c r="BW147" i="24"/>
  <c r="AX117" i="25"/>
  <c r="AW117" i="25"/>
  <c r="BJ167" i="25"/>
  <c r="AR167" i="25"/>
  <c r="AP167" i="25"/>
  <c r="BH167" i="25"/>
  <c r="BW167" i="25"/>
  <c r="BU167" i="25"/>
  <c r="BF167" i="25"/>
  <c r="AS12" i="24"/>
  <c r="AU12" i="24" s="1"/>
  <c r="BB12" i="24" s="1"/>
  <c r="AQ12" i="24"/>
  <c r="BJ12" i="24"/>
  <c r="AR204" i="25"/>
  <c r="BJ204" i="25"/>
  <c r="BH204" i="25"/>
  <c r="BF204" i="25"/>
  <c r="BW204" i="25"/>
  <c r="BU204" i="25"/>
  <c r="AS130" i="24"/>
  <c r="AU130" i="24" s="1"/>
  <c r="BB130" i="24" s="1"/>
  <c r="AQ130" i="24"/>
  <c r="BJ130" i="24"/>
  <c r="AS103" i="24"/>
  <c r="BJ103" i="24"/>
  <c r="AQ103" i="24"/>
  <c r="AX103" i="24"/>
  <c r="BH103" i="24"/>
  <c r="BW103" i="24"/>
  <c r="AJ81" i="25"/>
  <c r="AM81" i="25"/>
  <c r="AS228" i="24"/>
  <c r="AU228" i="24" s="1"/>
  <c r="BB228" i="24" s="1"/>
  <c r="BJ228" i="24"/>
  <c r="AQ228" i="24"/>
  <c r="AS35" i="24"/>
  <c r="AU35" i="24" s="1"/>
  <c r="BB35" i="24" s="1"/>
  <c r="BJ35" i="24"/>
  <c r="AQ35" i="24"/>
  <c r="AM25" i="25"/>
  <c r="AJ25" i="25"/>
  <c r="AJ285" i="25"/>
  <c r="AM285" i="25"/>
  <c r="BG285" i="25" s="1"/>
  <c r="AM241" i="25"/>
  <c r="BG241" i="25" s="1"/>
  <c r="AJ241" i="25"/>
  <c r="AW188" i="25"/>
  <c r="AX188" i="25"/>
  <c r="BA260" i="24"/>
  <c r="AW209" i="25"/>
  <c r="AX209" i="25"/>
  <c r="AS270" i="24"/>
  <c r="AQ270" i="24"/>
  <c r="BJ270" i="24"/>
  <c r="AX270" i="24"/>
  <c r="BH270" i="24"/>
  <c r="BW270" i="24"/>
  <c r="BU270" i="24"/>
  <c r="BA12" i="24"/>
  <c r="AS145" i="24"/>
  <c r="AU145" i="24" s="1"/>
  <c r="BB145" i="24" s="1"/>
  <c r="BJ145" i="24"/>
  <c r="AQ145" i="24"/>
  <c r="BA273" i="24"/>
  <c r="AM288" i="25"/>
  <c r="BG288" i="25" s="1"/>
  <c r="AJ288" i="25"/>
  <c r="AS123" i="24"/>
  <c r="AU123" i="24" s="1"/>
  <c r="BB123" i="24" s="1"/>
  <c r="BJ123" i="24"/>
  <c r="AQ123" i="24"/>
  <c r="AR273" i="25"/>
  <c r="BJ273" i="25"/>
  <c r="AP273" i="25"/>
  <c r="BH273" i="25"/>
  <c r="BF273" i="25"/>
  <c r="BU273" i="25"/>
  <c r="BW273" i="25"/>
  <c r="AJ299" i="25"/>
  <c r="AM299" i="25"/>
  <c r="BG299" i="25" s="1"/>
  <c r="BU269" i="24"/>
  <c r="AS43" i="24"/>
  <c r="BJ43" i="24"/>
  <c r="AQ43" i="24"/>
  <c r="AX43" i="24"/>
  <c r="BH43" i="24"/>
  <c r="BW43" i="24"/>
  <c r="AW165" i="25"/>
  <c r="AX165" i="25"/>
  <c r="AS47" i="24"/>
  <c r="BJ47" i="24"/>
  <c r="AQ47" i="24"/>
  <c r="AX47" i="24"/>
  <c r="BH47" i="24"/>
  <c r="BW47" i="24"/>
  <c r="AS278" i="24"/>
  <c r="BL278" i="24"/>
  <c r="BJ278" i="24"/>
  <c r="AQ278" i="24"/>
  <c r="BW278" i="24"/>
  <c r="BU278" i="24"/>
  <c r="AX278" i="24"/>
  <c r="BH278" i="24"/>
  <c r="AR29" i="25"/>
  <c r="BJ29" i="25"/>
  <c r="BH29" i="25"/>
  <c r="AP29" i="25"/>
  <c r="BF29" i="25"/>
  <c r="BW29" i="25"/>
  <c r="BU29" i="25"/>
  <c r="AM164" i="25"/>
  <c r="AJ164" i="25"/>
  <c r="AM175" i="25"/>
  <c r="AJ175" i="25"/>
  <c r="AW105" i="25"/>
  <c r="B126" i="2" s="1"/>
  <c r="E33" i="1" s="1"/>
  <c r="AX105" i="25"/>
  <c r="B136" i="2" s="1"/>
  <c r="L33" i="1" s="1"/>
  <c r="BL194" i="24"/>
  <c r="AS194" i="24"/>
  <c r="BJ194" i="24"/>
  <c r="AQ194" i="24"/>
  <c r="AX194" i="24"/>
  <c r="BH194" i="24"/>
  <c r="BW194" i="24"/>
  <c r="BU194" i="24"/>
  <c r="BA271" i="24"/>
  <c r="BA33" i="24"/>
  <c r="BH6" i="24"/>
  <c r="BW6" i="24"/>
  <c r="AJ245" i="25"/>
  <c r="AM245" i="25"/>
  <c r="AJ234" i="25"/>
  <c r="AM234" i="25"/>
  <c r="BG234" i="25" s="1"/>
  <c r="AS202" i="24"/>
  <c r="AQ202" i="24"/>
  <c r="BJ202" i="24"/>
  <c r="BU202" i="24"/>
  <c r="AX202" i="24"/>
  <c r="BH202" i="24"/>
  <c r="BW202" i="24"/>
  <c r="AR206" i="25"/>
  <c r="BJ206" i="25"/>
  <c r="BH206" i="25"/>
  <c r="BF206" i="25"/>
  <c r="BW206" i="25"/>
  <c r="BU206" i="25"/>
  <c r="AM270" i="25"/>
  <c r="AJ270" i="25"/>
  <c r="AS240" i="24"/>
  <c r="AU240" i="24" s="1"/>
  <c r="BB240" i="24" s="1"/>
  <c r="BJ240" i="24"/>
  <c r="AQ240" i="24"/>
  <c r="AM138" i="25"/>
  <c r="AJ138" i="25"/>
  <c r="AS295" i="24"/>
  <c r="AU295" i="24" s="1"/>
  <c r="BB295" i="24" s="1"/>
  <c r="BJ295" i="24"/>
  <c r="AQ295" i="24"/>
  <c r="AS27" i="24"/>
  <c r="BJ27" i="24"/>
  <c r="AQ27" i="24"/>
  <c r="BH27" i="24"/>
  <c r="BW27" i="24"/>
  <c r="AX27" i="24"/>
  <c r="AS54" i="24"/>
  <c r="AU54" i="24" s="1"/>
  <c r="BB54" i="24" s="1"/>
  <c r="BJ54" i="24"/>
  <c r="AQ54" i="24"/>
  <c r="AX7" i="25"/>
  <c r="AW7" i="25"/>
  <c r="AX156" i="25"/>
  <c r="AW156" i="25"/>
  <c r="BA59" i="24"/>
  <c r="AX68" i="25"/>
  <c r="AW68" i="25"/>
  <c r="BL146" i="24"/>
  <c r="AS146" i="24"/>
  <c r="BJ146" i="24"/>
  <c r="AQ146" i="24"/>
  <c r="BW146" i="24"/>
  <c r="AX146" i="24"/>
  <c r="BH146" i="24"/>
  <c r="BU146" i="24"/>
  <c r="AJ287" i="25"/>
  <c r="AM287" i="25"/>
  <c r="BU265" i="24"/>
  <c r="AX135" i="25"/>
  <c r="AW135" i="25"/>
  <c r="AS20" i="24"/>
  <c r="AU20" i="24" s="1"/>
  <c r="BB20" i="24" s="1"/>
  <c r="BJ20" i="24"/>
  <c r="AQ20" i="24"/>
  <c r="AM251" i="25"/>
  <c r="BG251" i="25" s="1"/>
  <c r="AJ251" i="25"/>
  <c r="AM46" i="25"/>
  <c r="BG46" i="25" s="1"/>
  <c r="AJ46" i="25"/>
  <c r="AX111" i="24"/>
  <c r="AW264" i="24"/>
  <c r="AR305" i="25"/>
  <c r="AP305" i="25"/>
  <c r="BH305" i="25"/>
  <c r="BU305" i="25"/>
  <c r="BW305" i="25"/>
  <c r="BF305" i="25"/>
  <c r="AR190" i="25"/>
  <c r="BH190" i="25"/>
  <c r="AP190" i="25"/>
  <c r="BW190" i="25"/>
  <c r="BF190" i="25"/>
  <c r="BU190" i="25"/>
  <c r="AX41" i="25"/>
  <c r="AW41" i="25"/>
  <c r="BA247" i="24"/>
  <c r="AJ312" i="25"/>
  <c r="AM312" i="25"/>
  <c r="BG312" i="25" s="1"/>
  <c r="AX242" i="24"/>
  <c r="AJ99" i="25"/>
  <c r="AM99" i="25"/>
  <c r="AJ120" i="25"/>
  <c r="AM120" i="25"/>
  <c r="BG120" i="25" s="1"/>
  <c r="AS56" i="24"/>
  <c r="AU56" i="24" s="1"/>
  <c r="BB56" i="24" s="1"/>
  <c r="BJ56" i="24"/>
  <c r="AQ56" i="24"/>
  <c r="BU135" i="24"/>
  <c r="AX301" i="24"/>
  <c r="AM230" i="25"/>
  <c r="BG230" i="25" s="1"/>
  <c r="AJ230" i="25"/>
  <c r="AX20" i="25"/>
  <c r="AW20" i="25"/>
  <c r="AS171" i="24"/>
  <c r="BL171" i="24"/>
  <c r="AQ171" i="24"/>
  <c r="BJ171" i="24"/>
  <c r="BH171" i="24"/>
  <c r="BW171" i="24"/>
  <c r="BU171" i="24"/>
  <c r="AX171" i="24"/>
  <c r="AJ137" i="25"/>
  <c r="AM137" i="25"/>
  <c r="BG137" i="25" s="1"/>
  <c r="AR89" i="25"/>
  <c r="AP89" i="25"/>
  <c r="BH89" i="25"/>
  <c r="BF89" i="25"/>
  <c r="BU89" i="25"/>
  <c r="BW89" i="25"/>
  <c r="BL197" i="24"/>
  <c r="AS197" i="24"/>
  <c r="BJ197" i="24"/>
  <c r="AQ197" i="24"/>
  <c r="BH197" i="24"/>
  <c r="BU197" i="24"/>
  <c r="BW197" i="24"/>
  <c r="AX197" i="24"/>
  <c r="AS104" i="24"/>
  <c r="BJ104" i="24"/>
  <c r="AQ104" i="24"/>
  <c r="AX104" i="24"/>
  <c r="BW104" i="24"/>
  <c r="BH104" i="24"/>
  <c r="AS275" i="24"/>
  <c r="AQ275" i="24"/>
  <c r="BJ275" i="24"/>
  <c r="AX275" i="24"/>
  <c r="BH275" i="24"/>
  <c r="BW275" i="24"/>
  <c r="BU275" i="24"/>
  <c r="BH126" i="24"/>
  <c r="BU290" i="24"/>
  <c r="BW145" i="24"/>
  <c r="BA263" i="24"/>
  <c r="AX67" i="25"/>
  <c r="AW67" i="25"/>
  <c r="AM17" i="25"/>
  <c r="AJ17" i="25"/>
  <c r="BA282" i="24"/>
  <c r="BA155" i="24"/>
  <c r="AJ236" i="25"/>
  <c r="AM236" i="25"/>
  <c r="BG236" i="25" s="1"/>
  <c r="AX248" i="24"/>
  <c r="AW187" i="25"/>
  <c r="AX187" i="25"/>
  <c r="AS168" i="24"/>
  <c r="AQ168" i="24"/>
  <c r="BJ168" i="24"/>
  <c r="BU168" i="24"/>
  <c r="AX168" i="24"/>
  <c r="BH168" i="24"/>
  <c r="BW168" i="24"/>
  <c r="AM72" i="25"/>
  <c r="AJ72" i="25"/>
  <c r="AJ222" i="25"/>
  <c r="AM222" i="25"/>
  <c r="BG222" i="25" s="1"/>
  <c r="BJ28" i="25"/>
  <c r="AR28" i="25"/>
  <c r="BH28" i="25"/>
  <c r="AP28" i="25"/>
  <c r="BF28" i="25"/>
  <c r="BW28" i="25"/>
  <c r="BU28" i="25"/>
  <c r="AS273" i="24"/>
  <c r="AU273" i="24" s="1"/>
  <c r="BB273" i="24" s="1"/>
  <c r="AQ273" i="24"/>
  <c r="BJ273" i="24"/>
  <c r="AS232" i="24"/>
  <c r="AU232" i="24" s="1"/>
  <c r="BB232" i="24" s="1"/>
  <c r="BJ232" i="24"/>
  <c r="AQ232" i="24"/>
  <c r="AR87" i="25"/>
  <c r="BJ87" i="25"/>
  <c r="BH87" i="25"/>
  <c r="AP87" i="25"/>
  <c r="BF87" i="25"/>
  <c r="BW87" i="25"/>
  <c r="BU87" i="25"/>
  <c r="AS69" i="24"/>
  <c r="BJ69" i="24"/>
  <c r="AQ69" i="24"/>
  <c r="BH69" i="24"/>
  <c r="BW69" i="24"/>
  <c r="AX69" i="24"/>
  <c r="BL131" i="24"/>
  <c r="AS131" i="24"/>
  <c r="BJ131" i="24"/>
  <c r="AQ131" i="24"/>
  <c r="BH131" i="24"/>
  <c r="BW131" i="24"/>
  <c r="BU131" i="24"/>
  <c r="AX131" i="24"/>
  <c r="BL268" i="24"/>
  <c r="AS268" i="24"/>
  <c r="AQ268" i="24"/>
  <c r="BJ268" i="24"/>
  <c r="AX268" i="24"/>
  <c r="BH268" i="24"/>
  <c r="BW268" i="24"/>
  <c r="BU268" i="24"/>
  <c r="AJ64" i="25"/>
  <c r="AM64" i="25"/>
  <c r="BH283" i="24"/>
  <c r="BL159" i="24"/>
  <c r="AS159" i="24"/>
  <c r="AQ159" i="24"/>
  <c r="BJ159" i="24"/>
  <c r="BW159" i="24"/>
  <c r="AX159" i="24"/>
  <c r="BH159" i="24"/>
  <c r="BU159" i="24"/>
  <c r="AX120" i="24"/>
  <c r="BL238" i="24"/>
  <c r="AS238" i="24"/>
  <c r="AU238" i="24" s="1"/>
  <c r="BB238" i="24" s="1"/>
  <c r="AQ238" i="24"/>
  <c r="BJ238" i="24"/>
  <c r="AS129" i="24"/>
  <c r="AU129" i="24" s="1"/>
  <c r="BB129" i="24" s="1"/>
  <c r="AQ129" i="24"/>
  <c r="BJ129" i="24"/>
  <c r="AM56" i="25"/>
  <c r="AJ56" i="25"/>
  <c r="AS267" i="24"/>
  <c r="AU267" i="24" s="1"/>
  <c r="BB267" i="24" s="1"/>
  <c r="AQ267" i="24"/>
  <c r="BJ267" i="24"/>
  <c r="AS206" i="24"/>
  <c r="BJ206" i="24"/>
  <c r="AQ206" i="24"/>
  <c r="BH206" i="24"/>
  <c r="BW206" i="24"/>
  <c r="BU206" i="24"/>
  <c r="AX206" i="24"/>
  <c r="AS280" i="24"/>
  <c r="AU280" i="24" s="1"/>
  <c r="BB280" i="24" s="1"/>
  <c r="BJ280" i="24"/>
  <c r="AQ280" i="24"/>
  <c r="AS302" i="24"/>
  <c r="BJ302" i="24"/>
  <c r="AQ302" i="24"/>
  <c r="BW302" i="24"/>
  <c r="BU302" i="24"/>
  <c r="AX302" i="24"/>
  <c r="BH302" i="24"/>
  <c r="AJ219" i="25"/>
  <c r="AM219" i="25"/>
  <c r="BL14" i="24"/>
  <c r="AS14" i="24"/>
  <c r="BJ14" i="24"/>
  <c r="AQ14" i="24"/>
  <c r="AX14" i="24"/>
  <c r="BH14" i="24"/>
  <c r="BW14" i="24"/>
  <c r="BL245" i="24"/>
  <c r="AS245" i="24"/>
  <c r="AQ245" i="24"/>
  <c r="BJ245" i="24"/>
  <c r="AX245" i="24"/>
  <c r="BH245" i="24"/>
  <c r="BW245" i="24"/>
  <c r="BU245" i="24"/>
  <c r="AJ16" i="25"/>
  <c r="AM16" i="25"/>
  <c r="BG16" i="25" s="1"/>
  <c r="AM302" i="25"/>
  <c r="AJ302" i="25"/>
  <c r="AX28" i="24"/>
  <c r="AX50" i="25"/>
  <c r="AW50" i="25"/>
  <c r="AS24" i="24"/>
  <c r="AU24" i="24" s="1"/>
  <c r="BB24" i="24" s="1"/>
  <c r="BJ24" i="24"/>
  <c r="AQ24" i="24"/>
  <c r="AS186" i="24"/>
  <c r="AQ186" i="24"/>
  <c r="BJ186" i="24"/>
  <c r="BW186" i="24"/>
  <c r="BU186" i="24"/>
  <c r="AX186" i="24"/>
  <c r="BH186" i="24"/>
  <c r="BA114" i="24"/>
  <c r="AM133" i="25"/>
  <c r="BG133" i="25" s="1"/>
  <c r="AJ133" i="25"/>
  <c r="AS173" i="24"/>
  <c r="BJ173" i="24"/>
  <c r="AQ173" i="24"/>
  <c r="BU173" i="24"/>
  <c r="BW173" i="24"/>
  <c r="AX173" i="24"/>
  <c r="BH173" i="24"/>
  <c r="AX130" i="24"/>
  <c r="BH147" i="24"/>
  <c r="BA274" i="24"/>
  <c r="AJ197" i="25"/>
  <c r="AM197" i="25"/>
  <c r="AS285" i="24"/>
  <c r="BL285" i="24"/>
  <c r="AQ285" i="24"/>
  <c r="BJ285" i="24"/>
  <c r="BH285" i="24"/>
  <c r="BU285" i="24"/>
  <c r="BW285" i="24"/>
  <c r="AX285" i="24"/>
  <c r="AS172" i="24"/>
  <c r="BL172" i="24"/>
  <c r="AQ172" i="24"/>
  <c r="BJ172" i="24"/>
  <c r="AX172" i="24"/>
  <c r="BH172" i="24"/>
  <c r="BW172" i="24"/>
  <c r="BU172" i="24"/>
  <c r="BW260" i="24"/>
  <c r="AX98" i="25"/>
  <c r="AW98" i="25"/>
  <c r="AS161" i="24"/>
  <c r="BJ161" i="24"/>
  <c r="AQ161" i="24"/>
  <c r="BH161" i="24"/>
  <c r="BW161" i="24"/>
  <c r="BU161" i="24"/>
  <c r="AX161" i="24"/>
  <c r="AM163" i="25"/>
  <c r="AJ163" i="25"/>
  <c r="AS8" i="24"/>
  <c r="AU8" i="24" s="1"/>
  <c r="BB8" i="24" s="1"/>
  <c r="BJ8" i="24"/>
  <c r="AQ8" i="24"/>
  <c r="AR238" i="25"/>
  <c r="BJ238" i="25"/>
  <c r="AP238" i="25"/>
  <c r="BH238" i="25"/>
  <c r="BU238" i="25"/>
  <c r="BW238" i="25"/>
  <c r="BF238" i="25"/>
  <c r="AS266" i="24"/>
  <c r="AU266" i="24" s="1"/>
  <c r="BB266" i="24" s="1"/>
  <c r="BJ266" i="24"/>
  <c r="AQ266" i="24"/>
  <c r="BW273" i="24"/>
  <c r="AW157" i="25"/>
  <c r="AX157" i="25"/>
  <c r="AR314" i="25"/>
  <c r="BJ314" i="25"/>
  <c r="AP314" i="25"/>
  <c r="BH314" i="25"/>
  <c r="BF314" i="25"/>
  <c r="BU314" i="25"/>
  <c r="BW314" i="25"/>
  <c r="AJ250" i="25"/>
  <c r="AM250" i="25"/>
  <c r="BW269" i="24"/>
  <c r="AX296" i="24"/>
  <c r="AJ88" i="25"/>
  <c r="AM88" i="25"/>
  <c r="AX193" i="25"/>
  <c r="AW193" i="25"/>
  <c r="BL117" i="24"/>
  <c r="AS117" i="24"/>
  <c r="AU117" i="24" s="1"/>
  <c r="BB117" i="24" s="1"/>
  <c r="BJ117" i="24"/>
  <c r="AQ117" i="24"/>
  <c r="AX65" i="25"/>
  <c r="AW65" i="25"/>
  <c r="BL286" i="24"/>
  <c r="AS286" i="24"/>
  <c r="AQ286" i="24"/>
  <c r="BJ286" i="24"/>
  <c r="AX286" i="24"/>
  <c r="BH286" i="24"/>
  <c r="BU286" i="24"/>
  <c r="BW286" i="24"/>
  <c r="AJ36" i="25"/>
  <c r="AM36" i="25"/>
  <c r="BG36" i="25" s="1"/>
  <c r="AX163" i="25"/>
  <c r="AW163" i="25"/>
  <c r="AR246" i="25"/>
  <c r="BJ246" i="25"/>
  <c r="AP246" i="25"/>
  <c r="BH246" i="25"/>
  <c r="BF246" i="25"/>
  <c r="BW246" i="25"/>
  <c r="BU246" i="25"/>
  <c r="AS279" i="24"/>
  <c r="AU279" i="24" s="1"/>
  <c r="BB279" i="24" s="1"/>
  <c r="BJ279" i="24"/>
  <c r="AQ279" i="24"/>
  <c r="AS19" i="24"/>
  <c r="AU19" i="24" s="1"/>
  <c r="BB19" i="24" s="1"/>
  <c r="BJ19" i="24"/>
  <c r="AQ19" i="24"/>
  <c r="AJ290" i="25"/>
  <c r="AM290" i="25"/>
  <c r="BG290" i="25" s="1"/>
  <c r="BA117" i="24"/>
  <c r="AW88" i="25"/>
  <c r="AX88" i="25"/>
  <c r="AM226" i="25"/>
  <c r="AJ226" i="25"/>
  <c r="AX164" i="25"/>
  <c r="AW164" i="25"/>
  <c r="AX19" i="25"/>
  <c r="AW19" i="25"/>
  <c r="AJ294" i="25"/>
  <c r="AM294" i="25"/>
  <c r="AJ26" i="25"/>
  <c r="AM26" i="25"/>
  <c r="BG26" i="25" s="1"/>
  <c r="AX8" i="24"/>
  <c r="BH240" i="24"/>
  <c r="AS229" i="24"/>
  <c r="BL229" i="24"/>
  <c r="BJ229" i="24"/>
  <c r="AQ229" i="24"/>
  <c r="BW229" i="24"/>
  <c r="BU229" i="24"/>
  <c r="AX229" i="24"/>
  <c r="BH229" i="24"/>
  <c r="AS288" i="24"/>
  <c r="BL288" i="24"/>
  <c r="BJ288" i="24"/>
  <c r="AQ288" i="24"/>
  <c r="AX288" i="24"/>
  <c r="BH288" i="24"/>
  <c r="BU288" i="24"/>
  <c r="BW288" i="24"/>
  <c r="BW32" i="24"/>
  <c r="AW208" i="25"/>
  <c r="AX208" i="25"/>
  <c r="AJ162" i="25"/>
  <c r="AM162" i="25"/>
  <c r="AS282" i="24"/>
  <c r="AU282" i="24" s="1"/>
  <c r="BB282" i="24" s="1"/>
  <c r="BJ282" i="24"/>
  <c r="AQ282" i="24"/>
  <c r="AS253" i="24"/>
  <c r="AU253" i="24" s="1"/>
  <c r="BB253" i="24" s="1"/>
  <c r="AQ253" i="24"/>
  <c r="BJ253" i="24"/>
  <c r="BA111" i="24"/>
  <c r="AS91" i="24"/>
  <c r="AQ91" i="24"/>
  <c r="BJ91" i="24"/>
  <c r="AX91" i="24"/>
  <c r="BH91" i="24"/>
  <c r="BW91" i="24"/>
  <c r="AS231" i="24"/>
  <c r="BL231" i="24"/>
  <c r="AQ231" i="24"/>
  <c r="BJ231" i="24"/>
  <c r="BH231" i="24"/>
  <c r="BU231" i="24"/>
  <c r="BW231" i="24"/>
  <c r="AX231" i="24"/>
  <c r="BW305" i="24"/>
  <c r="AX180" i="25"/>
  <c r="AW180" i="25"/>
  <c r="AX100" i="25"/>
  <c r="AW100" i="25"/>
  <c r="AR292" i="25"/>
  <c r="BH292" i="25"/>
  <c r="AP292" i="25"/>
  <c r="BU292" i="25"/>
  <c r="BW292" i="25"/>
  <c r="BF292" i="25"/>
  <c r="AS150" i="24"/>
  <c r="AQ150" i="24"/>
  <c r="BJ150" i="24"/>
  <c r="AX150" i="24"/>
  <c r="BH150" i="24"/>
  <c r="BW150" i="24"/>
  <c r="BU150" i="24"/>
  <c r="AJ289" i="25"/>
  <c r="AM289" i="25"/>
  <c r="BG289" i="25" s="1"/>
  <c r="AS201" i="24"/>
  <c r="BJ201" i="24"/>
  <c r="AQ201" i="24"/>
  <c r="BW201" i="24"/>
  <c r="AX201" i="24"/>
  <c r="BH201" i="24"/>
  <c r="BU201" i="24"/>
  <c r="AS39" i="24"/>
  <c r="BJ39" i="24"/>
  <c r="AQ39" i="24"/>
  <c r="AX39" i="24"/>
  <c r="BH39" i="24"/>
  <c r="BW39" i="24"/>
  <c r="AJ33" i="25"/>
  <c r="AM33" i="25"/>
  <c r="BG33" i="25" s="1"/>
  <c r="AS90" i="24"/>
  <c r="BJ90" i="24"/>
  <c r="AQ90" i="24"/>
  <c r="AX90" i="24"/>
  <c r="BH90" i="24"/>
  <c r="BW90" i="24"/>
  <c r="BA225" i="24"/>
  <c r="AS195" i="24"/>
  <c r="BL195" i="24"/>
  <c r="BJ195" i="24"/>
  <c r="AQ195" i="24"/>
  <c r="BH195" i="24"/>
  <c r="BU195" i="24"/>
  <c r="BW195" i="24"/>
  <c r="AX195" i="24"/>
  <c r="AJ116" i="25"/>
  <c r="AM116" i="25"/>
  <c r="AX295" i="24"/>
  <c r="AJ159" i="25"/>
  <c r="AM159" i="25"/>
  <c r="AS188" i="24"/>
  <c r="BL188" i="24"/>
  <c r="BJ188" i="24"/>
  <c r="AQ188" i="24"/>
  <c r="BH188" i="24"/>
  <c r="BU188" i="24"/>
  <c r="BW188" i="24"/>
  <c r="AX188" i="24"/>
  <c r="BL164" i="24"/>
  <c r="AS164" i="24"/>
  <c r="BJ164" i="24"/>
  <c r="AQ164" i="24"/>
  <c r="AX164" i="24"/>
  <c r="BH164" i="24"/>
  <c r="BW164" i="24"/>
  <c r="BU164" i="24"/>
  <c r="AJ53" i="25"/>
  <c r="AM53" i="25"/>
  <c r="BG53" i="25" s="1"/>
  <c r="AS155" i="24"/>
  <c r="AU155" i="24" s="1"/>
  <c r="BB155" i="24" s="1"/>
  <c r="BJ155" i="24"/>
  <c r="AQ155" i="24"/>
  <c r="AS37" i="24"/>
  <c r="AU37" i="24" s="1"/>
  <c r="BB37" i="24" s="1"/>
  <c r="BJ37" i="24"/>
  <c r="AQ37" i="24"/>
  <c r="BA301" i="24"/>
  <c r="AX121" i="24"/>
  <c r="AX93" i="25"/>
  <c r="AW93" i="25"/>
  <c r="AJ39" i="25"/>
  <c r="AM39" i="25"/>
  <c r="BG39" i="25" s="1"/>
  <c r="AR6" i="25"/>
  <c r="BH6" i="25"/>
  <c r="AP6" i="25"/>
  <c r="BF6" i="25"/>
  <c r="BW6" i="25"/>
  <c r="BU6" i="25"/>
  <c r="AX33" i="25"/>
  <c r="AW33" i="25"/>
  <c r="AX279" i="24"/>
  <c r="AM123" i="25"/>
  <c r="BG123" i="25" s="1"/>
  <c r="AJ123" i="25"/>
  <c r="BA17" i="24"/>
  <c r="AS316" i="24"/>
  <c r="BL316" i="24"/>
  <c r="BJ316" i="24"/>
  <c r="AQ316" i="24"/>
  <c r="AX316" i="24"/>
  <c r="BH316" i="24"/>
  <c r="BW316" i="24"/>
  <c r="BU316" i="24"/>
  <c r="AS199" i="24"/>
  <c r="AQ199" i="24"/>
  <c r="BJ199" i="24"/>
  <c r="AX199" i="24"/>
  <c r="BH199" i="24"/>
  <c r="BW199" i="24"/>
  <c r="BU199" i="24"/>
  <c r="BU282" i="24"/>
  <c r="AW142" i="24"/>
  <c r="AJ10" i="25"/>
  <c r="AM10" i="25"/>
  <c r="BA248" i="24"/>
  <c r="BH232" i="24"/>
  <c r="AS48" i="24"/>
  <c r="AU48" i="24" s="1"/>
  <c r="BB48" i="24" s="1"/>
  <c r="BJ48" i="24"/>
  <c r="AQ48" i="24"/>
  <c r="AJ40" i="25"/>
  <c r="AM40" i="25"/>
  <c r="BG40" i="25" s="1"/>
  <c r="AS154" i="24"/>
  <c r="BL154" i="24"/>
  <c r="BJ154" i="24"/>
  <c r="AQ154" i="24"/>
  <c r="AX154" i="24"/>
  <c r="BH154" i="24"/>
  <c r="BW154" i="24"/>
  <c r="BU154" i="24"/>
  <c r="AX79" i="25"/>
  <c r="AW79" i="25"/>
  <c r="AS204" i="24"/>
  <c r="BJ204" i="24"/>
  <c r="AQ204" i="24"/>
  <c r="AX204" i="24"/>
  <c r="BH204" i="24"/>
  <c r="BU204" i="24"/>
  <c r="BW204" i="24"/>
  <c r="BA259" i="24"/>
  <c r="AS277" i="24"/>
  <c r="BJ277" i="24"/>
  <c r="AQ277" i="24"/>
  <c r="AX277" i="24"/>
  <c r="BH277" i="24"/>
  <c r="BU277" i="24"/>
  <c r="BW277" i="24"/>
  <c r="AM27" i="25"/>
  <c r="AJ27" i="25"/>
  <c r="AU190" i="24"/>
  <c r="BB190" i="24" s="1"/>
  <c r="AW190" i="24"/>
  <c r="AW17" i="25"/>
  <c r="AX17" i="25"/>
  <c r="AS59" i="24"/>
  <c r="AU59" i="24" s="1"/>
  <c r="BB59" i="24" s="1"/>
  <c r="BJ59" i="24"/>
  <c r="AQ59" i="24"/>
  <c r="AJ149" i="25"/>
  <c r="AM149" i="25"/>
  <c r="BG149" i="25" s="1"/>
  <c r="AM153" i="25"/>
  <c r="AJ153" i="25"/>
  <c r="AJ182" i="25"/>
  <c r="AM182" i="25"/>
  <c r="AR147" i="25"/>
  <c r="AP147" i="25"/>
  <c r="BH147" i="25"/>
  <c r="BW147" i="25"/>
  <c r="BU147" i="25"/>
  <c r="BF147" i="25"/>
  <c r="AW23" i="25"/>
  <c r="AX23" i="25"/>
  <c r="AM233" i="25"/>
  <c r="BG233" i="25" s="1"/>
  <c r="AJ233" i="25"/>
  <c r="AS166" i="24"/>
  <c r="AQ166" i="24"/>
  <c r="BJ166" i="24"/>
  <c r="BW166" i="24"/>
  <c r="BU166" i="24"/>
  <c r="AX166" i="24"/>
  <c r="BH166" i="24"/>
  <c r="AS84" i="24"/>
  <c r="AQ84" i="24"/>
  <c r="BJ84" i="24"/>
  <c r="BW84" i="24"/>
  <c r="AX84" i="24"/>
  <c r="BH84" i="24"/>
  <c r="AM117" i="25"/>
  <c r="AJ117" i="25"/>
  <c r="AM69" i="25"/>
  <c r="BG69" i="25" s="1"/>
  <c r="AJ69" i="25"/>
  <c r="AW134" i="25"/>
  <c r="AX134" i="25"/>
  <c r="AJ271" i="25"/>
  <c r="AM271" i="25"/>
  <c r="BG271" i="25" s="1"/>
  <c r="BJ232" i="25"/>
  <c r="AR232" i="25"/>
  <c r="AP232" i="25"/>
  <c r="BH232" i="25"/>
  <c r="BF232" i="25"/>
  <c r="BW232" i="25"/>
  <c r="BU232" i="25"/>
  <c r="AS49" i="24"/>
  <c r="BJ49" i="24"/>
  <c r="AQ49" i="24"/>
  <c r="AX49" i="24"/>
  <c r="BH49" i="24"/>
  <c r="BW49" i="24"/>
  <c r="AM119" i="25"/>
  <c r="AJ119" i="25"/>
  <c r="AJ150" i="25"/>
  <c r="AM150" i="25"/>
  <c r="BG150" i="25" s="1"/>
  <c r="AU294" i="24"/>
  <c r="BB294" i="24" s="1"/>
  <c r="AW294" i="24"/>
  <c r="BA219" i="24"/>
  <c r="AX194" i="25"/>
  <c r="AW194" i="25"/>
  <c r="AX103" i="25"/>
  <c r="AW103" i="25"/>
  <c r="AX139" i="25"/>
  <c r="AW139" i="25"/>
  <c r="BA130" i="24"/>
  <c r="AX147" i="24"/>
  <c r="AS34" i="24"/>
  <c r="AU34" i="24" s="1"/>
  <c r="BB34" i="24" s="1"/>
  <c r="BJ34" i="24"/>
  <c r="AQ34" i="24"/>
  <c r="BA249" i="24"/>
  <c r="AM85" i="25"/>
  <c r="BG85" i="25" s="1"/>
  <c r="AJ85" i="25"/>
  <c r="AR161" i="25"/>
  <c r="BH161" i="25"/>
  <c r="AP161" i="25"/>
  <c r="BF161" i="25"/>
  <c r="BW161" i="25"/>
  <c r="BU161" i="25"/>
  <c r="AU162" i="24"/>
  <c r="BB162" i="24" s="1"/>
  <c r="AW162" i="24"/>
  <c r="AS52" i="24"/>
  <c r="AQ52" i="24"/>
  <c r="BJ52" i="24"/>
  <c r="AX52" i="24"/>
  <c r="BH52" i="24"/>
  <c r="BW52" i="24"/>
  <c r="BU260" i="24"/>
  <c r="AM210" i="25"/>
  <c r="BG210" i="25" s="1"/>
  <c r="AJ210" i="25"/>
  <c r="AS80" i="24"/>
  <c r="BJ80" i="24"/>
  <c r="AQ80" i="24"/>
  <c r="BW80" i="24"/>
  <c r="AX80" i="24"/>
  <c r="BH80" i="24"/>
  <c r="AT129" i="25"/>
  <c r="AY129" i="25" s="1"/>
  <c r="AU129" i="25"/>
  <c r="BA296" i="24"/>
  <c r="AM313" i="25"/>
  <c r="AJ313" i="25"/>
  <c r="AR94" i="25"/>
  <c r="BJ94" i="25"/>
  <c r="BH94" i="25"/>
  <c r="AP94" i="25"/>
  <c r="BU94" i="25"/>
  <c r="BF94" i="25"/>
  <c r="BW94" i="25"/>
  <c r="AX197" i="25"/>
  <c r="AW197" i="25"/>
  <c r="AJ301" i="25"/>
  <c r="AM301" i="25"/>
  <c r="BG301" i="25" s="1"/>
  <c r="AW145" i="25"/>
  <c r="AX145" i="25"/>
  <c r="AJ284" i="25"/>
  <c r="AM284" i="25"/>
  <c r="BJ262" i="25"/>
  <c r="AR262" i="25"/>
  <c r="BH262" i="25"/>
  <c r="AP262" i="25"/>
  <c r="BW262" i="25"/>
  <c r="BU262" i="25"/>
  <c r="BF262" i="25"/>
  <c r="AX238" i="24"/>
  <c r="AJ169" i="25"/>
  <c r="AM169" i="25"/>
  <c r="AS263" i="24"/>
  <c r="AU263" i="24" s="1"/>
  <c r="BB263" i="24" s="1"/>
  <c r="BJ263" i="24"/>
  <c r="AQ263" i="24"/>
  <c r="BJ276" i="25"/>
  <c r="AR276" i="25"/>
  <c r="BH276" i="25"/>
  <c r="AP276" i="25"/>
  <c r="BW276" i="25"/>
  <c r="BU276" i="25"/>
  <c r="BF276" i="25"/>
  <c r="AJ295" i="25"/>
  <c r="AM295" i="25"/>
  <c r="BH133" i="24"/>
  <c r="AU191" i="24"/>
  <c r="BB191" i="24" s="1"/>
  <c r="AW191" i="24"/>
  <c r="AS38" i="24"/>
  <c r="BJ38" i="24"/>
  <c r="AQ38" i="24"/>
  <c r="AX38" i="24"/>
  <c r="BW38" i="24"/>
  <c r="BH38" i="24"/>
  <c r="AR114" i="25"/>
  <c r="BJ114" i="25"/>
  <c r="BH114" i="25"/>
  <c r="AP114" i="25"/>
  <c r="BW114" i="25"/>
  <c r="BU114" i="25"/>
  <c r="BF114" i="25"/>
  <c r="AW236" i="24"/>
  <c r="AR113" i="25"/>
  <c r="AP113" i="25"/>
  <c r="BH113" i="25"/>
  <c r="BF113" i="25"/>
  <c r="BW113" i="25"/>
  <c r="BU113" i="25"/>
  <c r="AM41" i="25"/>
  <c r="BG41" i="25" s="1"/>
  <c r="AJ41" i="25"/>
  <c r="BH8" i="24"/>
  <c r="AW22" i="24"/>
  <c r="BH266" i="24"/>
  <c r="BH265" i="24"/>
  <c r="AX181" i="25"/>
  <c r="AW181" i="25"/>
  <c r="AJ277" i="25"/>
  <c r="AM277" i="25"/>
  <c r="BG277" i="25" s="1"/>
  <c r="AX44" i="25"/>
  <c r="AW44" i="25"/>
  <c r="BU305" i="24"/>
  <c r="AW86" i="25"/>
  <c r="AX86" i="25"/>
  <c r="AJ121" i="25"/>
  <c r="AM121" i="25"/>
  <c r="BU247" i="24"/>
  <c r="AW60" i="25"/>
  <c r="AX60" i="25"/>
  <c r="AS112" i="24"/>
  <c r="AU112" i="24" s="1"/>
  <c r="BB112" i="24" s="1"/>
  <c r="AQ112" i="24"/>
  <c r="BJ112" i="24"/>
  <c r="AM67" i="25"/>
  <c r="BG67" i="25" s="1"/>
  <c r="AJ67" i="25"/>
  <c r="AX91" i="25"/>
  <c r="AW91" i="25"/>
  <c r="AS105" i="24"/>
  <c r="BJ105" i="24"/>
  <c r="AQ105" i="24"/>
  <c r="AX105" i="24"/>
  <c r="BH105" i="24"/>
  <c r="BW105" i="24"/>
  <c r="BW242" i="24"/>
  <c r="BA295" i="24"/>
  <c r="AJ12" i="25"/>
  <c r="AM12" i="25"/>
  <c r="BG12" i="25" s="1"/>
  <c r="AR32" i="25"/>
  <c r="BJ32" i="25"/>
  <c r="AP32" i="25"/>
  <c r="BH32" i="25"/>
  <c r="BW32" i="25"/>
  <c r="BU32" i="25"/>
  <c r="BF32" i="25"/>
  <c r="AS209" i="24"/>
  <c r="BJ209" i="24"/>
  <c r="AQ209" i="24"/>
  <c r="AX209" i="24"/>
  <c r="BH209" i="24"/>
  <c r="BU209" i="24"/>
  <c r="BW209" i="24"/>
  <c r="BW301" i="24"/>
  <c r="BA121" i="24"/>
  <c r="AM191" i="25"/>
  <c r="AJ191" i="25"/>
  <c r="AJ195" i="25"/>
  <c r="AM195" i="25"/>
  <c r="BL276" i="24"/>
  <c r="AS276" i="24"/>
  <c r="AQ276" i="24"/>
  <c r="BJ276" i="24"/>
  <c r="BU276" i="24"/>
  <c r="BW276" i="24"/>
  <c r="AX276" i="24"/>
  <c r="BH276" i="24"/>
  <c r="AR174" i="25"/>
  <c r="AP174" i="25"/>
  <c r="BH174" i="25"/>
  <c r="BW174" i="25"/>
  <c r="BU174" i="25"/>
  <c r="BF174" i="25"/>
  <c r="BU145" i="24"/>
  <c r="AW132" i="24"/>
  <c r="BW263" i="24"/>
  <c r="BH9" i="24"/>
  <c r="BA267" i="24"/>
  <c r="BA253" i="24"/>
  <c r="AX58" i="25"/>
  <c r="AW58" i="25"/>
  <c r="AX232" i="24"/>
  <c r="AS284" i="24"/>
  <c r="AU284" i="24" s="1"/>
  <c r="BB284" i="24" s="1"/>
  <c r="BL284" i="24"/>
  <c r="AQ284" i="24"/>
  <c r="BJ284" i="24"/>
  <c r="AJ152" i="25"/>
  <c r="AM152" i="25"/>
  <c r="AX195" i="25"/>
  <c r="AW195" i="25"/>
  <c r="AR71" i="25"/>
  <c r="BH71" i="25"/>
  <c r="AP71" i="25"/>
  <c r="BF71" i="25"/>
  <c r="BW71" i="25"/>
  <c r="BU71" i="25"/>
  <c r="AJ126" i="25"/>
  <c r="AM126" i="25"/>
  <c r="BG126" i="25" s="1"/>
  <c r="AM78" i="25"/>
  <c r="BG78" i="25" s="1"/>
  <c r="AJ78" i="25"/>
  <c r="AW200" i="25"/>
  <c r="AX200" i="25"/>
  <c r="AX123" i="25"/>
  <c r="AW123" i="25"/>
  <c r="BA18" i="24"/>
  <c r="AS92" i="24"/>
  <c r="BJ92" i="24"/>
  <c r="AQ92" i="24"/>
  <c r="BH92" i="24"/>
  <c r="BW92" i="24"/>
  <c r="AX92" i="24"/>
  <c r="BA120" i="24"/>
  <c r="BL314" i="24"/>
  <c r="AS314" i="24"/>
  <c r="AQ314" i="24"/>
  <c r="BJ314" i="24"/>
  <c r="BH314" i="24"/>
  <c r="BW314" i="24"/>
  <c r="BU314" i="24"/>
  <c r="AX314" i="24"/>
  <c r="AS237" i="24"/>
  <c r="AU237" i="24" s="1"/>
  <c r="BB237" i="24" s="1"/>
  <c r="BJ237" i="24"/>
  <c r="AQ237" i="24"/>
  <c r="AM22" i="25"/>
  <c r="AJ22" i="25"/>
  <c r="AS32" i="24"/>
  <c r="AU32" i="24" s="1"/>
  <c r="BB32" i="24" s="1"/>
  <c r="AQ32" i="24"/>
  <c r="BJ32" i="24"/>
  <c r="AS66" i="24"/>
  <c r="BL66" i="24"/>
  <c r="AQ66" i="24"/>
  <c r="BJ66" i="24"/>
  <c r="BW66" i="24"/>
  <c r="AX66" i="24"/>
  <c r="BH66" i="24"/>
  <c r="BA298" i="24"/>
  <c r="AJ115" i="25"/>
  <c r="AM115" i="25"/>
  <c r="AR198" i="25"/>
  <c r="BJ198" i="25"/>
  <c r="BH198" i="25"/>
  <c r="BF198" i="25"/>
  <c r="BW198" i="25"/>
  <c r="BU198" i="25"/>
  <c r="AW75" i="25"/>
  <c r="AX75" i="25"/>
  <c r="AS178" i="24"/>
  <c r="AQ178" i="24"/>
  <c r="BJ178" i="24"/>
  <c r="BW178" i="24"/>
  <c r="BU178" i="24"/>
  <c r="AX178" i="24"/>
  <c r="BH178" i="24"/>
  <c r="AS53" i="24"/>
  <c r="AQ53" i="24"/>
  <c r="BJ53" i="24"/>
  <c r="AX53" i="24"/>
  <c r="BH53" i="24"/>
  <c r="BW53" i="24"/>
  <c r="AS65" i="24"/>
  <c r="AQ65" i="24"/>
  <c r="BJ65" i="24"/>
  <c r="BW65" i="24"/>
  <c r="AX65" i="24"/>
  <c r="BH65" i="24"/>
  <c r="AS77" i="24"/>
  <c r="BJ77" i="24"/>
  <c r="AQ77" i="24"/>
  <c r="AX77" i="24"/>
  <c r="BW77" i="24"/>
  <c r="BH77" i="24"/>
  <c r="AX237" i="24"/>
  <c r="AJ160" i="25"/>
  <c r="AM160" i="25"/>
  <c r="AX172" i="25"/>
  <c r="AW172" i="25"/>
  <c r="AS85" i="24"/>
  <c r="BJ85" i="24"/>
  <c r="AQ85" i="24"/>
  <c r="AX85" i="24"/>
  <c r="BW85" i="24"/>
  <c r="BH85" i="24"/>
  <c r="AS291" i="24"/>
  <c r="BL291" i="24"/>
  <c r="BJ291" i="24"/>
  <c r="AQ291" i="24"/>
  <c r="BU291" i="24"/>
  <c r="BW291" i="24"/>
  <c r="AX291" i="24"/>
  <c r="BH291" i="24"/>
  <c r="AJ303" i="25"/>
  <c r="AM303" i="25"/>
  <c r="AS114" i="24"/>
  <c r="AU114" i="24" s="1"/>
  <c r="BB114" i="24" s="1"/>
  <c r="BJ114" i="24"/>
  <c r="AQ114" i="24"/>
  <c r="AJ83" i="25"/>
  <c r="AM83" i="25"/>
  <c r="BG83" i="25" s="1"/>
  <c r="BA28" i="24"/>
  <c r="AS87" i="24"/>
  <c r="AQ87" i="24"/>
  <c r="BJ87" i="24"/>
  <c r="BH87" i="24"/>
  <c r="BW87" i="24"/>
  <c r="AX87" i="24"/>
  <c r="AM260" i="25"/>
  <c r="BG260" i="25" s="1"/>
  <c r="AJ260" i="25"/>
  <c r="AS148" i="24"/>
  <c r="AU148" i="24" s="1"/>
  <c r="BB148" i="24" s="1"/>
  <c r="BJ148" i="24"/>
  <c r="AQ148" i="24"/>
  <c r="AS163" i="24"/>
  <c r="AQ163" i="24"/>
  <c r="BJ163" i="24"/>
  <c r="AX163" i="24"/>
  <c r="BH163" i="24"/>
  <c r="BU163" i="24"/>
  <c r="BW163" i="24"/>
  <c r="AS308" i="24"/>
  <c r="BL308" i="24"/>
  <c r="BJ308" i="24"/>
  <c r="AQ308" i="24"/>
  <c r="BU308" i="24"/>
  <c r="AX308" i="24"/>
  <c r="BH308" i="24"/>
  <c r="BW308" i="24"/>
  <c r="AS304" i="24"/>
  <c r="BJ304" i="24"/>
  <c r="AQ304" i="24"/>
  <c r="AX304" i="24"/>
  <c r="BH304" i="24"/>
  <c r="BU304" i="24"/>
  <c r="BW304" i="24"/>
  <c r="AX160" i="25"/>
  <c r="AW160" i="25"/>
  <c r="BL140" i="24"/>
  <c r="AS140" i="24"/>
  <c r="BJ140" i="24"/>
  <c r="AQ140" i="24"/>
  <c r="BU140" i="24"/>
  <c r="BW140" i="24"/>
  <c r="AX140" i="24"/>
  <c r="BH140" i="24"/>
  <c r="BW114" i="24"/>
  <c r="BL136" i="24"/>
  <c r="AS136" i="24"/>
  <c r="BJ136" i="24"/>
  <c r="AQ136" i="24"/>
  <c r="BW136" i="24"/>
  <c r="BU136" i="24"/>
  <c r="AX136" i="24"/>
  <c r="BH136" i="24"/>
  <c r="AS222" i="24"/>
  <c r="BL222" i="24"/>
  <c r="AQ222" i="24"/>
  <c r="BJ222" i="24"/>
  <c r="BW222" i="24"/>
  <c r="BU222" i="24"/>
  <c r="AX222" i="24"/>
  <c r="BH222" i="24"/>
  <c r="AX84" i="25"/>
  <c r="AW84" i="25"/>
  <c r="AS9" i="24"/>
  <c r="AU9" i="24" s="1"/>
  <c r="BB9" i="24" s="1"/>
  <c r="BJ9" i="24"/>
  <c r="AQ9" i="24"/>
  <c r="AJ112" i="25"/>
  <c r="AM112" i="25"/>
  <c r="AS100" i="24"/>
  <c r="BJ100" i="24"/>
  <c r="AQ100" i="24"/>
  <c r="AX100" i="24"/>
  <c r="BW100" i="24"/>
  <c r="BH100" i="24"/>
  <c r="AS99" i="24"/>
  <c r="AQ99" i="24"/>
  <c r="BJ99" i="24"/>
  <c r="BH99" i="24"/>
  <c r="BW99" i="24"/>
  <c r="AX99" i="24"/>
  <c r="AS71" i="24"/>
  <c r="BJ71" i="24"/>
  <c r="AQ71" i="24"/>
  <c r="AX71" i="24"/>
  <c r="BH71" i="24"/>
  <c r="BW71" i="24"/>
  <c r="BL134" i="24"/>
  <c r="AS134" i="24"/>
  <c r="BJ134" i="24"/>
  <c r="AQ134" i="24"/>
  <c r="AX134" i="24"/>
  <c r="BH134" i="24"/>
  <c r="BW134" i="24"/>
  <c r="BU134" i="24"/>
  <c r="AX119" i="25"/>
  <c r="AW119" i="25"/>
  <c r="AJ65" i="25"/>
  <c r="AM65" i="25"/>
  <c r="AS258" i="24"/>
  <c r="AU258" i="24" s="1"/>
  <c r="BB258" i="24" s="1"/>
  <c r="AQ258" i="24"/>
  <c r="BJ258" i="24"/>
  <c r="BL122" i="24"/>
  <c r="AS122" i="24"/>
  <c r="BJ122" i="24"/>
  <c r="AQ122" i="24"/>
  <c r="AX122" i="24"/>
  <c r="BH122" i="24"/>
  <c r="BW122" i="24"/>
  <c r="BU122" i="24"/>
  <c r="AJ252" i="25"/>
  <c r="AM252" i="25"/>
  <c r="BG252" i="25" s="1"/>
  <c r="BJ95" i="25"/>
  <c r="AR95" i="25"/>
  <c r="BH95" i="25"/>
  <c r="AP95" i="25"/>
  <c r="BF95" i="25"/>
  <c r="BU95" i="25"/>
  <c r="BW95" i="25"/>
  <c r="AM144" i="25"/>
  <c r="BG144" i="25" s="1"/>
  <c r="AJ144" i="25"/>
  <c r="BL181" i="24"/>
  <c r="AS181" i="24"/>
  <c r="AQ181" i="24"/>
  <c r="BJ181" i="24"/>
  <c r="AX181" i="24"/>
  <c r="BH181" i="24"/>
  <c r="BW181" i="24"/>
  <c r="BU181" i="24"/>
  <c r="BU273" i="24"/>
  <c r="AJ249" i="25"/>
  <c r="AM249" i="25"/>
  <c r="BG249" i="25" s="1"/>
  <c r="AM176" i="25"/>
  <c r="AJ176" i="25"/>
  <c r="AJ218" i="25"/>
  <c r="AM218" i="25"/>
  <c r="BH269" i="24"/>
  <c r="AX85" i="25"/>
  <c r="AW85" i="25"/>
  <c r="AR82" i="25"/>
  <c r="AP82" i="25"/>
  <c r="BH82" i="25"/>
  <c r="BF82" i="25"/>
  <c r="BU82" i="25"/>
  <c r="BW82" i="25"/>
  <c r="AS51" i="24"/>
  <c r="AU51" i="24" s="1"/>
  <c r="BB51" i="24" s="1"/>
  <c r="BJ51" i="24"/>
  <c r="AQ51" i="24"/>
  <c r="AX25" i="25"/>
  <c r="AW25" i="25"/>
  <c r="AS311" i="24"/>
  <c r="BL311" i="24"/>
  <c r="BJ311" i="24"/>
  <c r="AQ311" i="24"/>
  <c r="AX311" i="24"/>
  <c r="BH311" i="24"/>
  <c r="BU311" i="24"/>
  <c r="BW311" i="24"/>
  <c r="AS239" i="24"/>
  <c r="BL239" i="24"/>
  <c r="BJ239" i="24"/>
  <c r="AQ239" i="24"/>
  <c r="AX239" i="24"/>
  <c r="BH239" i="24"/>
  <c r="BW239" i="24"/>
  <c r="BU239" i="24"/>
  <c r="BA238" i="24"/>
  <c r="BA6" i="24"/>
  <c r="AX34" i="24"/>
  <c r="AM231" i="25"/>
  <c r="BG231" i="25" s="1"/>
  <c r="AJ231" i="25"/>
  <c r="AJ132" i="25"/>
  <c r="AM132" i="25"/>
  <c r="BL290" i="24"/>
  <c r="AS290" i="24"/>
  <c r="AU290" i="24" s="1"/>
  <c r="BB290" i="24" s="1"/>
  <c r="BJ290" i="24"/>
  <c r="AQ290" i="24"/>
  <c r="AM18" i="25"/>
  <c r="BG18" i="25" s="1"/>
  <c r="AJ18" i="25"/>
  <c r="AM37" i="25"/>
  <c r="BG37" i="25" s="1"/>
  <c r="AJ37" i="25"/>
  <c r="AM235" i="25"/>
  <c r="AJ235" i="25"/>
  <c r="AS13" i="24"/>
  <c r="BJ13" i="24"/>
  <c r="AQ13" i="24"/>
  <c r="AX13" i="24"/>
  <c r="BH13" i="24"/>
  <c r="BW13" i="24"/>
  <c r="AJ100" i="25"/>
  <c r="AM100" i="25"/>
  <c r="BW59" i="24"/>
  <c r="AS70" i="24"/>
  <c r="BJ70" i="24"/>
  <c r="AQ70" i="24"/>
  <c r="BW70" i="24"/>
  <c r="AX70" i="24"/>
  <c r="BH70" i="24"/>
  <c r="AX240" i="24"/>
  <c r="AM227" i="25"/>
  <c r="BG227" i="25" s="1"/>
  <c r="AJ227" i="25"/>
  <c r="AX265" i="24"/>
  <c r="AX32" i="24"/>
  <c r="BL113" i="24"/>
  <c r="AS113" i="24"/>
  <c r="BJ113" i="24"/>
  <c r="AQ113" i="24"/>
  <c r="BH113" i="24"/>
  <c r="BW113" i="24"/>
  <c r="BU113" i="24"/>
  <c r="AX113" i="24"/>
  <c r="AM54" i="25"/>
  <c r="BG54" i="25" s="1"/>
  <c r="AJ54" i="25"/>
  <c r="AR31" i="25"/>
  <c r="AP31" i="25"/>
  <c r="BH31" i="25"/>
  <c r="BF31" i="25"/>
  <c r="BW31" i="25"/>
  <c r="BU31" i="25"/>
  <c r="BU111" i="24"/>
  <c r="AR291" i="25"/>
  <c r="BJ291" i="25"/>
  <c r="BH291" i="25"/>
  <c r="AP291" i="25"/>
  <c r="BF291" i="25"/>
  <c r="BU291" i="25"/>
  <c r="BW291" i="25"/>
  <c r="AR62" i="25"/>
  <c r="AP62" i="25"/>
  <c r="BH62" i="25"/>
  <c r="BW62" i="25"/>
  <c r="BU62" i="25"/>
  <c r="BF62" i="25"/>
  <c r="AJ93" i="25"/>
  <c r="AM93" i="25"/>
  <c r="BG93" i="25" s="1"/>
  <c r="AM9" i="25"/>
  <c r="BG9" i="25" s="1"/>
  <c r="AJ9" i="25"/>
  <c r="BL183" i="24"/>
  <c r="AS183" i="24"/>
  <c r="BJ183" i="24"/>
  <c r="AQ183" i="24"/>
  <c r="BH183" i="24"/>
  <c r="BU183" i="24"/>
  <c r="BW183" i="24"/>
  <c r="AX183" i="24"/>
  <c r="BL218" i="24"/>
  <c r="AS218" i="24"/>
  <c r="AU218" i="24" s="1"/>
  <c r="BB218" i="24" s="1"/>
  <c r="BJ218" i="24"/>
  <c r="AQ218" i="24"/>
  <c r="AM45" i="25"/>
  <c r="AJ45" i="25"/>
  <c r="AM300" i="25"/>
  <c r="AJ300" i="25"/>
  <c r="AS63" i="24"/>
  <c r="BJ63" i="24"/>
  <c r="AQ63" i="24"/>
  <c r="AX63" i="24"/>
  <c r="BH63" i="24"/>
  <c r="BW63" i="24"/>
  <c r="BW247" i="24"/>
  <c r="AS307" i="24"/>
  <c r="AQ307" i="24"/>
  <c r="BJ307" i="24"/>
  <c r="AX307" i="24"/>
  <c r="BH307" i="24"/>
  <c r="BU307" i="24"/>
  <c r="BW307" i="24"/>
  <c r="AR14" i="25"/>
  <c r="BH14" i="25"/>
  <c r="AP14" i="25"/>
  <c r="BW14" i="25"/>
  <c r="BU14" i="25"/>
  <c r="BF14" i="25"/>
  <c r="AS15" i="24"/>
  <c r="BJ15" i="24"/>
  <c r="AQ15" i="24"/>
  <c r="AX15" i="24"/>
  <c r="BH15" i="24"/>
  <c r="BW15" i="24"/>
  <c r="BU242" i="24"/>
  <c r="AJ269" i="25"/>
  <c r="AM269" i="25"/>
  <c r="AX162" i="25"/>
  <c r="AW162" i="25"/>
  <c r="AS61" i="24"/>
  <c r="BL61" i="24"/>
  <c r="AQ61" i="24"/>
  <c r="BJ61" i="24"/>
  <c r="AX61" i="24"/>
  <c r="BW61" i="24"/>
  <c r="BH61" i="24"/>
  <c r="BH135" i="24"/>
  <c r="AX70" i="25"/>
  <c r="AW70" i="25"/>
  <c r="AS79" i="24"/>
  <c r="AQ79" i="24"/>
  <c r="BJ79" i="24"/>
  <c r="BW79" i="24"/>
  <c r="AX79" i="24"/>
  <c r="BH79" i="24"/>
  <c r="AU233" i="24"/>
  <c r="BB233" i="24" s="1"/>
  <c r="AW233" i="24"/>
  <c r="AS220" i="24"/>
  <c r="BL220" i="24"/>
  <c r="BJ220" i="24"/>
  <c r="AQ220" i="24"/>
  <c r="AX220" i="24"/>
  <c r="BH220" i="24"/>
  <c r="BW220" i="24"/>
  <c r="BU220" i="24"/>
  <c r="AJ220" i="25"/>
  <c r="AM220" i="25"/>
  <c r="BG220" i="25" s="1"/>
  <c r="BL230" i="24"/>
  <c r="AS230" i="24"/>
  <c r="BJ230" i="24"/>
  <c r="AQ230" i="24"/>
  <c r="BW230" i="24"/>
  <c r="BU230" i="24"/>
  <c r="AX230" i="24"/>
  <c r="BH230" i="24"/>
  <c r="AJ200" i="25"/>
  <c r="AM200" i="25"/>
  <c r="BG200" i="25" s="1"/>
  <c r="BA279" i="24"/>
  <c r="BA126" i="24"/>
  <c r="AX290" i="24"/>
  <c r="AW116" i="25"/>
  <c r="AX116" i="25"/>
  <c r="BU263" i="24"/>
  <c r="BU267" i="24"/>
  <c r="BU155" i="24"/>
  <c r="AX99" i="25"/>
  <c r="AW99" i="25"/>
  <c r="BW253" i="24"/>
  <c r="AS193" i="24"/>
  <c r="AQ193" i="24"/>
  <c r="BJ193" i="24"/>
  <c r="AX193" i="24"/>
  <c r="BH193" i="24"/>
  <c r="BW193" i="24"/>
  <c r="BU193" i="24"/>
  <c r="AS224" i="24"/>
  <c r="AU224" i="24" s="1"/>
  <c r="BB224" i="24" s="1"/>
  <c r="AQ224" i="24"/>
  <c r="BJ224" i="24"/>
  <c r="AX159" i="25"/>
  <c r="AW159" i="25"/>
  <c r="BW248" i="24"/>
  <c r="AS235" i="24"/>
  <c r="AU235" i="24" s="1"/>
  <c r="BB235" i="24" s="1"/>
  <c r="AQ235" i="24"/>
  <c r="BJ235" i="24"/>
  <c r="AW120" i="25"/>
  <c r="AX120" i="25"/>
  <c r="AS261" i="24"/>
  <c r="AU261" i="24" s="1"/>
  <c r="BB261" i="24" s="1"/>
  <c r="AQ261" i="24"/>
  <c r="BJ261" i="24"/>
  <c r="BJ131" i="25"/>
  <c r="AR131" i="25"/>
  <c r="BH131" i="25"/>
  <c r="AP131" i="25"/>
  <c r="BF131" i="25"/>
  <c r="BW131" i="25"/>
  <c r="BU131" i="25"/>
  <c r="BA258" i="24"/>
  <c r="BA54" i="24"/>
  <c r="BA24" i="24"/>
  <c r="BA280" i="24"/>
  <c r="AW137" i="25"/>
  <c r="AX137" i="25"/>
  <c r="BA128" i="24"/>
  <c r="BA283" i="24"/>
  <c r="AJ55" i="25"/>
  <c r="AM55" i="25"/>
  <c r="AJ217" i="25"/>
  <c r="AM217" i="25"/>
  <c r="BG217" i="25" s="1"/>
  <c r="BA228" i="24"/>
  <c r="AR282" i="25"/>
  <c r="BJ282" i="25"/>
  <c r="AP282" i="25"/>
  <c r="BH282" i="25"/>
  <c r="BF282" i="25"/>
  <c r="BW282" i="25"/>
  <c r="BU282" i="25"/>
  <c r="AS102" i="24"/>
  <c r="BJ102" i="24"/>
  <c r="AQ102" i="24"/>
  <c r="AX102" i="24"/>
  <c r="BW102" i="24"/>
  <c r="BH102" i="24"/>
  <c r="AS249" i="24"/>
  <c r="AU249" i="24" s="1"/>
  <c r="BB249" i="24" s="1"/>
  <c r="BJ249" i="24"/>
  <c r="AQ249" i="24"/>
  <c r="BH280" i="25"/>
  <c r="BF280" i="25"/>
  <c r="BU280" i="25"/>
  <c r="BW280" i="25"/>
  <c r="AS203" i="24"/>
  <c r="BJ203" i="24"/>
  <c r="AQ203" i="24"/>
  <c r="BU203" i="24"/>
  <c r="BW203" i="24"/>
  <c r="AX203" i="24"/>
  <c r="BH203" i="24"/>
  <c r="AJ8" i="25"/>
  <c r="AM8" i="25"/>
  <c r="BG8" i="25" s="1"/>
  <c r="BA19" i="24"/>
  <c r="AS208" i="24"/>
  <c r="AQ208" i="24"/>
  <c r="BJ208" i="24"/>
  <c r="AX208" i="24"/>
  <c r="BH208" i="24"/>
  <c r="BW208" i="24"/>
  <c r="BU208" i="24"/>
  <c r="AM194" i="25"/>
  <c r="AJ194" i="25"/>
  <c r="BA299" i="24"/>
  <c r="AJ297" i="25"/>
  <c r="AM297" i="25"/>
  <c r="BG297" i="25" s="1"/>
  <c r="AX149" i="25"/>
  <c r="AW149" i="25"/>
  <c r="AM184" i="25"/>
  <c r="AJ184" i="25"/>
  <c r="BA26" i="24"/>
  <c r="AS306" i="24"/>
  <c r="BJ306" i="24"/>
  <c r="AQ306" i="24"/>
  <c r="AX306" i="24"/>
  <c r="BH306" i="24"/>
  <c r="BU306" i="24"/>
  <c r="BW306" i="24"/>
  <c r="BA148" i="24"/>
  <c r="AJ286" i="25"/>
  <c r="AM286" i="25"/>
  <c r="BW28" i="24"/>
  <c r="AS40" i="24"/>
  <c r="BJ40" i="24"/>
  <c r="AQ40" i="24"/>
  <c r="AX40" i="24"/>
  <c r="BH40" i="24"/>
  <c r="BW40" i="24"/>
  <c r="BA112" i="24"/>
  <c r="AX142" i="25"/>
  <c r="AW142" i="25"/>
  <c r="AS250" i="24"/>
  <c r="AQ250" i="24"/>
  <c r="BJ250" i="24"/>
  <c r="BW250" i="24"/>
  <c r="AX250" i="24"/>
  <c r="BH250" i="24"/>
  <c r="BU250" i="24"/>
  <c r="AM209" i="25"/>
  <c r="BG209" i="25" s="1"/>
  <c r="AJ209" i="25"/>
  <c r="AX151" i="25"/>
  <c r="AW151" i="25"/>
  <c r="BA147" i="24"/>
  <c r="AX184" i="25"/>
  <c r="AW184" i="25"/>
  <c r="AX69" i="25"/>
  <c r="AW69" i="25"/>
  <c r="BL225" i="24"/>
  <c r="AS225" i="24"/>
  <c r="AU225" i="24" s="1"/>
  <c r="BB225" i="24" s="1"/>
  <c r="AQ225" i="24"/>
  <c r="BJ225" i="24"/>
  <c r="AR192" i="25"/>
  <c r="AP192" i="25"/>
  <c r="BH192" i="25"/>
  <c r="BF192" i="25"/>
  <c r="BW192" i="25"/>
  <c r="BU192" i="25"/>
  <c r="AU45" i="24"/>
  <c r="BB45" i="24" s="1"/>
  <c r="AW45" i="24"/>
  <c r="BW249" i="24"/>
  <c r="AJ193" i="25"/>
  <c r="AM193" i="25"/>
  <c r="BG193" i="25" s="1"/>
  <c r="AJ128" i="25"/>
  <c r="AM128" i="25"/>
  <c r="BG128" i="25" s="1"/>
  <c r="BL177" i="24"/>
  <c r="AS177" i="24"/>
  <c r="BJ177" i="24"/>
  <c r="AQ177" i="24"/>
  <c r="BH177" i="24"/>
  <c r="BU177" i="24"/>
  <c r="BW177" i="24"/>
  <c r="AX177" i="24"/>
  <c r="AS127" i="24"/>
  <c r="BJ127" i="24"/>
  <c r="AQ127" i="24"/>
  <c r="BW127" i="24"/>
  <c r="BU127" i="24"/>
  <c r="AX127" i="24"/>
  <c r="BH127" i="24"/>
  <c r="AM105" i="25"/>
  <c r="BG105" i="25" s="1"/>
  <c r="AJ105" i="25"/>
  <c r="AJ15" i="25"/>
  <c r="AM15" i="25"/>
  <c r="AJ74" i="25"/>
  <c r="AM74" i="25"/>
  <c r="AS210" i="24"/>
  <c r="BJ210" i="24"/>
  <c r="AQ210" i="24"/>
  <c r="BU210" i="24"/>
  <c r="AX210" i="24"/>
  <c r="BH210" i="24"/>
  <c r="BW210" i="24"/>
  <c r="AS42" i="24"/>
  <c r="BJ42" i="24"/>
  <c r="AQ42" i="24"/>
  <c r="AX42" i="24"/>
  <c r="BH42" i="24"/>
  <c r="BW42" i="24"/>
  <c r="BW12" i="24"/>
  <c r="AM80" i="25"/>
  <c r="AJ80" i="25"/>
  <c r="AS6" i="24"/>
  <c r="AU6" i="24" s="1"/>
  <c r="BB6" i="24" s="1"/>
  <c r="BL6" i="24"/>
  <c r="BJ6" i="24"/>
  <c r="AQ6" i="24"/>
  <c r="AS223" i="24"/>
  <c r="BL223" i="24"/>
  <c r="BJ223" i="24"/>
  <c r="AQ223" i="24"/>
  <c r="AX223" i="24"/>
  <c r="BH223" i="24"/>
  <c r="BW223" i="24"/>
  <c r="BU223" i="24"/>
  <c r="BU296" i="24"/>
  <c r="AX81" i="25"/>
  <c r="AW81" i="25"/>
  <c r="AM311" i="25"/>
  <c r="AJ311" i="25"/>
  <c r="AJ7" i="25"/>
  <c r="AM7" i="25"/>
  <c r="BG7" i="25" s="1"/>
  <c r="BL149" i="24"/>
  <c r="AS149" i="24"/>
  <c r="BJ149" i="24"/>
  <c r="AQ149" i="24"/>
  <c r="BH149" i="24"/>
  <c r="BU149" i="24"/>
  <c r="BW149" i="24"/>
  <c r="AX149" i="24"/>
  <c r="AM19" i="25"/>
  <c r="BG19" i="25" s="1"/>
  <c r="AJ19" i="25"/>
  <c r="AM168" i="25"/>
  <c r="AJ168" i="25"/>
  <c r="BA34" i="24"/>
  <c r="AX210" i="25"/>
  <c r="AW210" i="25"/>
  <c r="AR229" i="25"/>
  <c r="BJ229" i="25"/>
  <c r="BH229" i="25"/>
  <c r="AP229" i="25"/>
  <c r="BF229" i="25"/>
  <c r="BU229" i="25"/>
  <c r="BW229" i="25"/>
  <c r="AJ135" i="25"/>
  <c r="AM135" i="25"/>
  <c r="AX144" i="25"/>
  <c r="AW144" i="25"/>
  <c r="AM90" i="25"/>
  <c r="AJ90" i="25"/>
  <c r="AX176" i="25"/>
  <c r="AW176" i="25"/>
  <c r="AX133" i="24"/>
  <c r="BU117" i="24"/>
  <c r="AS301" i="24"/>
  <c r="AU301" i="24" s="1"/>
  <c r="BB301" i="24" s="1"/>
  <c r="AQ301" i="24"/>
  <c r="BJ301" i="24"/>
  <c r="AS196" i="24"/>
  <c r="BL196" i="24"/>
  <c r="BJ196" i="24"/>
  <c r="AQ196" i="24"/>
  <c r="BH196" i="24"/>
  <c r="BU196" i="24"/>
  <c r="BW196" i="24"/>
  <c r="AX196" i="24"/>
  <c r="AJ124" i="25"/>
  <c r="AM124" i="25"/>
  <c r="BG124" i="25" s="1"/>
  <c r="BA224" i="24"/>
  <c r="AJ266" i="25"/>
  <c r="AM266" i="25"/>
  <c r="BG266" i="25" s="1"/>
  <c r="AX266" i="24"/>
  <c r="AJ43" i="25"/>
  <c r="AM43" i="25"/>
  <c r="BG43" i="25" s="1"/>
  <c r="BA240" i="24"/>
  <c r="AR240" i="25"/>
  <c r="BJ240" i="25"/>
  <c r="BH240" i="25"/>
  <c r="AP240" i="25"/>
  <c r="BF240" i="25"/>
  <c r="BW240" i="25"/>
  <c r="BU240" i="25"/>
  <c r="BL62" i="24"/>
  <c r="AS62" i="24"/>
  <c r="AQ62" i="24"/>
  <c r="BJ62" i="24"/>
  <c r="AX62" i="24"/>
  <c r="BW62" i="24"/>
  <c r="BH62" i="24"/>
  <c r="AJ91" i="25"/>
  <c r="AM91" i="25"/>
  <c r="BG91" i="25" s="1"/>
  <c r="BA265" i="24"/>
  <c r="AX18" i="25"/>
  <c r="AW18" i="25"/>
  <c r="AS156" i="24"/>
  <c r="BJ156" i="24"/>
  <c r="AQ156" i="24"/>
  <c r="BH156" i="24"/>
  <c r="BU156" i="24"/>
  <c r="BW156" i="24"/>
  <c r="AX156" i="24"/>
  <c r="AW90" i="25"/>
  <c r="AX90" i="25"/>
  <c r="AW112" i="25"/>
  <c r="AX112" i="25"/>
  <c r="AJ102" i="25"/>
  <c r="AM102" i="25"/>
  <c r="BG102" i="25" s="1"/>
  <c r="BW111" i="24"/>
  <c r="AW63" i="25"/>
  <c r="AX63" i="25"/>
  <c r="BH305" i="24"/>
  <c r="AJ239" i="25"/>
  <c r="AM239" i="25"/>
  <c r="BG239" i="25" s="1"/>
  <c r="AW42" i="25"/>
  <c r="AX42" i="25"/>
  <c r="BL303" i="24"/>
  <c r="AS303" i="24"/>
  <c r="BJ303" i="24"/>
  <c r="AQ303" i="24"/>
  <c r="AX303" i="24"/>
  <c r="BH303" i="24"/>
  <c r="BW303" i="24"/>
  <c r="BU303" i="24"/>
  <c r="AS274" i="24"/>
  <c r="AU274" i="24" s="1"/>
  <c r="BB274" i="24" s="1"/>
  <c r="AQ274" i="24"/>
  <c r="BJ274" i="24"/>
  <c r="AJ244" i="25"/>
  <c r="AM244" i="25"/>
  <c r="BG244" i="25" s="1"/>
  <c r="BU225" i="24"/>
  <c r="BW295" i="24"/>
  <c r="AS126" i="24"/>
  <c r="AU126" i="24" s="1"/>
  <c r="BB126" i="24" s="1"/>
  <c r="BL126" i="24"/>
  <c r="BJ126" i="24"/>
  <c r="AQ126" i="24"/>
  <c r="AX54" i="25"/>
  <c r="AW54" i="25"/>
  <c r="AS17" i="24"/>
  <c r="AU17" i="24" s="1"/>
  <c r="BB17" i="24" s="1"/>
  <c r="BJ17" i="24"/>
  <c r="AQ17" i="24"/>
  <c r="AX135" i="24"/>
  <c r="AJ125" i="25"/>
  <c r="AM125" i="25"/>
  <c r="BU121" i="24"/>
  <c r="AS175" i="24"/>
  <c r="AQ175" i="24"/>
  <c r="BJ175" i="24"/>
  <c r="BW175" i="24"/>
  <c r="BU175" i="24"/>
  <c r="AX175" i="24"/>
  <c r="BH175" i="24"/>
  <c r="BL234" i="24"/>
  <c r="AS234" i="24"/>
  <c r="AQ234" i="24"/>
  <c r="BJ234" i="24"/>
  <c r="AX234" i="24"/>
  <c r="BH234" i="24"/>
  <c r="BU234" i="24"/>
  <c r="BW234" i="24"/>
  <c r="AS83" i="24"/>
  <c r="BJ83" i="24"/>
  <c r="AQ83" i="24"/>
  <c r="AX83" i="24"/>
  <c r="BW83" i="24"/>
  <c r="BH83" i="24"/>
  <c r="AX136" i="25"/>
  <c r="AW136" i="25"/>
  <c r="AM57" i="25"/>
  <c r="AJ57" i="25"/>
  <c r="AX127" i="25"/>
  <c r="AW127" i="25"/>
  <c r="BU279" i="24"/>
  <c r="BU126" i="24"/>
  <c r="BH145" i="24"/>
  <c r="AS25" i="24"/>
  <c r="AQ25" i="24"/>
  <c r="BJ25" i="24"/>
  <c r="BW25" i="24"/>
  <c r="AX25" i="24"/>
  <c r="BH25" i="24"/>
  <c r="AX9" i="24"/>
  <c r="AR92" i="25"/>
  <c r="AP92" i="25"/>
  <c r="BH92" i="25"/>
  <c r="BF92" i="25"/>
  <c r="BU92" i="25"/>
  <c r="BW92" i="25"/>
  <c r="BW267" i="24"/>
  <c r="BW282" i="24"/>
  <c r="BW155" i="24"/>
  <c r="AX196" i="25"/>
  <c r="AW196" i="25"/>
  <c r="BU253" i="24"/>
  <c r="AW12" i="25"/>
  <c r="AX12" i="25"/>
  <c r="AR257" i="25"/>
  <c r="BJ257" i="25"/>
  <c r="BH257" i="25"/>
  <c r="AP257" i="25"/>
  <c r="BW257" i="25"/>
  <c r="BU257" i="25"/>
  <c r="BF257" i="25"/>
  <c r="BA232" i="24"/>
  <c r="AX202" i="25"/>
  <c r="AW202" i="25"/>
  <c r="AS128" i="24"/>
  <c r="AU128" i="24" s="1"/>
  <c r="BB128" i="24" s="1"/>
  <c r="AQ128" i="24"/>
  <c r="BJ128" i="24"/>
  <c r="BG76" i="25" l="1"/>
  <c r="CE76" i="25"/>
  <c r="BG226" i="25"/>
  <c r="CE226" i="25"/>
  <c r="BG118" i="25"/>
  <c r="CE118" i="25"/>
  <c r="BG25" i="25"/>
  <c r="CE25" i="25"/>
  <c r="BG15" i="25"/>
  <c r="CE15" i="25"/>
  <c r="BG119" i="25"/>
  <c r="BJ119" i="25" s="1"/>
  <c r="CE119" i="25"/>
  <c r="BG17" i="25"/>
  <c r="BJ17" i="25" s="1"/>
  <c r="CE17" i="25"/>
  <c r="BG250" i="25"/>
  <c r="BJ250" i="25" s="1"/>
  <c r="CE250" i="25"/>
  <c r="BG237" i="25"/>
  <c r="BJ237" i="25" s="1"/>
  <c r="CE237" i="25"/>
  <c r="BG122" i="25"/>
  <c r="BJ122" i="25" s="1"/>
  <c r="CE122" i="25"/>
  <c r="AP280" i="25"/>
  <c r="BG57" i="25"/>
  <c r="BJ57" i="25" s="1"/>
  <c r="CE57" i="25"/>
  <c r="BG112" i="25"/>
  <c r="BJ112" i="25" s="1"/>
  <c r="CE112" i="25"/>
  <c r="BG219" i="25"/>
  <c r="BJ219" i="25" s="1"/>
  <c r="CE219" i="25"/>
  <c r="CE270" i="25"/>
  <c r="BG270" i="25"/>
  <c r="BJ270" i="25" s="1"/>
  <c r="CE274" i="25"/>
  <c r="BG274" i="25"/>
  <c r="BJ274" i="25" s="1"/>
  <c r="AP194" i="25"/>
  <c r="BG194" i="25"/>
  <c r="BJ194" i="25" s="1"/>
  <c r="CE313" i="25"/>
  <c r="BG313" i="25"/>
  <c r="BJ313" i="25" s="1"/>
  <c r="CE116" i="25"/>
  <c r="BG116" i="25"/>
  <c r="BJ116" i="25" s="1"/>
  <c r="CE287" i="25"/>
  <c r="BG287" i="25"/>
  <c r="BJ287" i="25" s="1"/>
  <c r="CE228" i="25"/>
  <c r="BG228" i="25"/>
  <c r="BJ228" i="25" s="1"/>
  <c r="CE307" i="25"/>
  <c r="BG307" i="25"/>
  <c r="BJ307" i="25" s="1"/>
  <c r="CE316" i="25"/>
  <c r="BG316" i="25"/>
  <c r="BJ316" i="25" s="1"/>
  <c r="CE184" i="25"/>
  <c r="BG184" i="25"/>
  <c r="BJ184" i="25" s="1"/>
  <c r="CE182" i="25"/>
  <c r="BG182" i="25"/>
  <c r="BJ182" i="25" s="1"/>
  <c r="CE175" i="25"/>
  <c r="BG175" i="25"/>
  <c r="CE152" i="25"/>
  <c r="BG152" i="25"/>
  <c r="BJ152" i="25" s="1"/>
  <c r="CE164" i="25"/>
  <c r="BG164" i="25"/>
  <c r="BJ164" i="25" s="1"/>
  <c r="CE221" i="25"/>
  <c r="BG221" i="25"/>
  <c r="BJ221" i="25" s="1"/>
  <c r="BH265" i="25"/>
  <c r="BG265" i="25"/>
  <c r="BJ265" i="25" s="1"/>
  <c r="CE125" i="25"/>
  <c r="BG125" i="25"/>
  <c r="BJ125" i="25" s="1"/>
  <c r="CE300" i="25"/>
  <c r="BG300" i="25"/>
  <c r="BJ300" i="25" s="1"/>
  <c r="CE160" i="25"/>
  <c r="BG160" i="25"/>
  <c r="BJ160" i="25" s="1"/>
  <c r="CE163" i="25"/>
  <c r="BG163" i="25"/>
  <c r="BJ163" i="25" s="1"/>
  <c r="CE302" i="25"/>
  <c r="BG302" i="25"/>
  <c r="BJ302" i="25" s="1"/>
  <c r="CE309" i="25"/>
  <c r="BG309" i="25"/>
  <c r="BJ309" i="25" s="1"/>
  <c r="CE153" i="25"/>
  <c r="BG153" i="25"/>
  <c r="BJ153" i="25" s="1"/>
  <c r="CE235" i="25"/>
  <c r="BG235" i="25"/>
  <c r="BJ235" i="25" s="1"/>
  <c r="CE218" i="25"/>
  <c r="BG218" i="25"/>
  <c r="BJ218" i="25" s="1"/>
  <c r="CE156" i="25"/>
  <c r="BG156" i="25"/>
  <c r="BJ156" i="25" s="1"/>
  <c r="CE135" i="25"/>
  <c r="BG135" i="25"/>
  <c r="BJ135" i="25" s="1"/>
  <c r="AP195" i="25"/>
  <c r="BG195" i="25"/>
  <c r="BJ195" i="25" s="1"/>
  <c r="CE284" i="25"/>
  <c r="BG284" i="25"/>
  <c r="BJ284" i="25" s="1"/>
  <c r="CE245" i="25"/>
  <c r="BG245" i="25"/>
  <c r="BJ245" i="25" s="1"/>
  <c r="CE172" i="25"/>
  <c r="BG172" i="25"/>
  <c r="BJ172" i="25" s="1"/>
  <c r="CE180" i="25"/>
  <c r="BG180" i="25"/>
  <c r="BJ180" i="25" s="1"/>
  <c r="CE130" i="25"/>
  <c r="BG130" i="25"/>
  <c r="BJ130" i="25" s="1"/>
  <c r="CE151" i="25"/>
  <c r="BG151" i="25"/>
  <c r="BJ151" i="25" s="1"/>
  <c r="CE168" i="25"/>
  <c r="BG168" i="25"/>
  <c r="BJ168" i="25" s="1"/>
  <c r="CE269" i="25"/>
  <c r="BG269" i="25"/>
  <c r="CE295" i="25"/>
  <c r="BG295" i="25"/>
  <c r="BJ295" i="25" s="1"/>
  <c r="CE159" i="25"/>
  <c r="BG159" i="25"/>
  <c r="BJ159" i="25" s="1"/>
  <c r="CE162" i="25"/>
  <c r="BG162" i="25"/>
  <c r="BJ162" i="25" s="1"/>
  <c r="CE138" i="25"/>
  <c r="BG138" i="25"/>
  <c r="BJ138" i="25" s="1"/>
  <c r="CE183" i="25"/>
  <c r="BG183" i="25"/>
  <c r="BJ183" i="25" s="1"/>
  <c r="CE279" i="25"/>
  <c r="BG279" i="25"/>
  <c r="BJ279" i="25" s="1"/>
  <c r="CE310" i="25"/>
  <c r="BG310" i="25"/>
  <c r="BJ310" i="25" s="1"/>
  <c r="CE272" i="25"/>
  <c r="BG272" i="25"/>
  <c r="BJ272" i="25" s="1"/>
  <c r="CE280" i="25"/>
  <c r="BG280" i="25"/>
  <c r="BJ280" i="25" s="1"/>
  <c r="CE268" i="25"/>
  <c r="BG268" i="25"/>
  <c r="BJ268" i="25" s="1"/>
  <c r="CE242" i="25"/>
  <c r="BG242" i="25"/>
  <c r="BJ242" i="25" s="1"/>
  <c r="CE286" i="25"/>
  <c r="BG286" i="25"/>
  <c r="BJ286" i="25" s="1"/>
  <c r="CE223" i="25"/>
  <c r="BG223" i="25"/>
  <c r="BJ223" i="25" s="1"/>
  <c r="CE165" i="25"/>
  <c r="BG165" i="25"/>
  <c r="BJ165" i="25" s="1"/>
  <c r="BF258" i="25"/>
  <c r="BG258" i="25"/>
  <c r="BJ258" i="25" s="1"/>
  <c r="CE176" i="25"/>
  <c r="BG176" i="25"/>
  <c r="BJ176" i="25" s="1"/>
  <c r="CE115" i="25"/>
  <c r="BG115" i="25"/>
  <c r="BJ115" i="25" s="1"/>
  <c r="CE169" i="25"/>
  <c r="BG169" i="25"/>
  <c r="BJ169" i="25" s="1"/>
  <c r="CE117" i="25"/>
  <c r="BG117" i="25"/>
  <c r="BJ117" i="25" s="1"/>
  <c r="CE294" i="25"/>
  <c r="BG294" i="25"/>
  <c r="BJ294" i="25" s="1"/>
  <c r="AP197" i="25"/>
  <c r="BG197" i="25"/>
  <c r="BJ197" i="25" s="1"/>
  <c r="CE185" i="25"/>
  <c r="BG185" i="25"/>
  <c r="BJ185" i="25" s="1"/>
  <c r="CE171" i="25"/>
  <c r="BG171" i="25"/>
  <c r="BJ171" i="25" s="1"/>
  <c r="CE121" i="25"/>
  <c r="BG121" i="25"/>
  <c r="BJ121" i="25" s="1"/>
  <c r="CE132" i="25"/>
  <c r="BG132" i="25"/>
  <c r="BJ132" i="25" s="1"/>
  <c r="CE181" i="25"/>
  <c r="BG181" i="25"/>
  <c r="BJ181" i="25" s="1"/>
  <c r="CE311" i="25"/>
  <c r="BG311" i="25"/>
  <c r="BJ311" i="25" s="1"/>
  <c r="CE303" i="25"/>
  <c r="BG303" i="25"/>
  <c r="BJ303" i="25" s="1"/>
  <c r="CE191" i="25"/>
  <c r="BG191" i="25"/>
  <c r="BJ191" i="25" s="1"/>
  <c r="CE111" i="25"/>
  <c r="BG111" i="25"/>
  <c r="BJ111" i="25" s="1"/>
  <c r="CE166" i="25"/>
  <c r="BG166" i="25"/>
  <c r="BJ166" i="25" s="1"/>
  <c r="CE74" i="25"/>
  <c r="BG74" i="25"/>
  <c r="BJ74" i="25" s="1"/>
  <c r="CE88" i="25"/>
  <c r="BG88" i="25"/>
  <c r="BJ88" i="25" s="1"/>
  <c r="CE64" i="25"/>
  <c r="BG64" i="25"/>
  <c r="BJ64" i="25" s="1"/>
  <c r="CE86" i="25"/>
  <c r="BG86" i="25"/>
  <c r="BJ86" i="25" s="1"/>
  <c r="BU11" i="25"/>
  <c r="BG11" i="25"/>
  <c r="BJ11" i="25" s="1"/>
  <c r="CE45" i="25"/>
  <c r="BG45" i="25"/>
  <c r="BJ45" i="25" s="1"/>
  <c r="CE72" i="25"/>
  <c r="BG72" i="25"/>
  <c r="BJ72" i="25" s="1"/>
  <c r="CE60" i="25"/>
  <c r="BG60" i="25"/>
  <c r="BJ60" i="25" s="1"/>
  <c r="CE79" i="25"/>
  <c r="BG79" i="25"/>
  <c r="BJ79" i="25" s="1"/>
  <c r="CE55" i="25"/>
  <c r="BG55" i="25"/>
  <c r="BJ55" i="25" s="1"/>
  <c r="AP100" i="25"/>
  <c r="BG100" i="25"/>
  <c r="BJ100" i="25" s="1"/>
  <c r="CE65" i="25"/>
  <c r="BG65" i="25"/>
  <c r="BJ65" i="25" s="1"/>
  <c r="AP97" i="25"/>
  <c r="BG97" i="25"/>
  <c r="BJ97" i="25" s="1"/>
  <c r="CE56" i="25"/>
  <c r="BG56" i="25"/>
  <c r="BJ56" i="25" s="1"/>
  <c r="CE81" i="25"/>
  <c r="BG81" i="25"/>
  <c r="BJ81" i="25" s="1"/>
  <c r="CE77" i="25"/>
  <c r="BG77" i="25"/>
  <c r="BJ77" i="25" s="1"/>
  <c r="CE27" i="25"/>
  <c r="BG27" i="25"/>
  <c r="BJ27" i="25" s="1"/>
  <c r="CE10" i="25"/>
  <c r="BG10" i="25"/>
  <c r="BJ10" i="25" s="1"/>
  <c r="AP99" i="25"/>
  <c r="BG99" i="25"/>
  <c r="BJ99" i="25" s="1"/>
  <c r="CE80" i="25"/>
  <c r="BG80" i="25"/>
  <c r="BJ80" i="25" s="1"/>
  <c r="CE90" i="25"/>
  <c r="BG90" i="25"/>
  <c r="BJ90" i="25" s="1"/>
  <c r="CE22" i="25"/>
  <c r="BG22" i="25"/>
  <c r="BJ22" i="25" s="1"/>
  <c r="AP103" i="25"/>
  <c r="BG103" i="25"/>
  <c r="BJ103" i="25" s="1"/>
  <c r="CE52" i="25"/>
  <c r="BG52" i="25"/>
  <c r="BJ52" i="25" s="1"/>
  <c r="BG104" i="25"/>
  <c r="BJ104" i="25" s="1"/>
  <c r="BH11" i="25"/>
  <c r="AP11" i="25"/>
  <c r="AR11" i="25"/>
  <c r="AT11" i="25" s="1"/>
  <c r="AY11" i="25" s="1"/>
  <c r="BW11" i="25"/>
  <c r="BF11" i="25"/>
  <c r="BW96" i="25"/>
  <c r="CE96" i="25"/>
  <c r="AP205" i="25"/>
  <c r="CE205" i="25"/>
  <c r="AP200" i="25"/>
  <c r="CE200" i="25"/>
  <c r="AP193" i="25"/>
  <c r="CE193" i="25"/>
  <c r="BU96" i="25"/>
  <c r="AP96" i="25"/>
  <c r="BH96" i="25"/>
  <c r="BJ96" i="25"/>
  <c r="AR96" i="25"/>
  <c r="AU96" i="25" s="1"/>
  <c r="BF96" i="25"/>
  <c r="AP101" i="25"/>
  <c r="CE101" i="25"/>
  <c r="AP98" i="25"/>
  <c r="CE98" i="25"/>
  <c r="AP179" i="25"/>
  <c r="CE179" i="25"/>
  <c r="AP203" i="25"/>
  <c r="CE203" i="25"/>
  <c r="AP104" i="25"/>
  <c r="CE104" i="25"/>
  <c r="AP202" i="25"/>
  <c r="CE202" i="25"/>
  <c r="BF104" i="25"/>
  <c r="BH104" i="25"/>
  <c r="AR104" i="25"/>
  <c r="AU104" i="25" s="1"/>
  <c r="BW104" i="25"/>
  <c r="BU104" i="25"/>
  <c r="BW154" i="25"/>
  <c r="CE154" i="25"/>
  <c r="BU258" i="25"/>
  <c r="AP258" i="25"/>
  <c r="AP196" i="25"/>
  <c r="CE196" i="25"/>
  <c r="BU97" i="25"/>
  <c r="BW97" i="25"/>
  <c r="BH97" i="25"/>
  <c r="AP105" i="25"/>
  <c r="B19" i="29" s="1"/>
  <c r="CE105" i="25"/>
  <c r="AR97" i="25"/>
  <c r="AT97" i="25" s="1"/>
  <c r="AY97" i="25" s="1"/>
  <c r="BF97" i="25"/>
  <c r="BW258" i="25"/>
  <c r="BH258" i="25"/>
  <c r="AR258" i="25"/>
  <c r="AU258" i="25" s="1"/>
  <c r="AP207" i="25"/>
  <c r="CE207" i="25"/>
  <c r="AP209" i="25"/>
  <c r="CE209" i="25"/>
  <c r="BF154" i="25"/>
  <c r="BH179" i="25"/>
  <c r="BH154" i="25"/>
  <c r="BJ179" i="25"/>
  <c r="AP154" i="25"/>
  <c r="AR179" i="25"/>
  <c r="AU179" i="25" s="1"/>
  <c r="BJ154" i="25"/>
  <c r="AR154" i="25"/>
  <c r="AT154" i="25" s="1"/>
  <c r="AY154" i="25" s="1"/>
  <c r="BU179" i="25"/>
  <c r="BW179" i="25"/>
  <c r="BU154" i="25"/>
  <c r="BF179" i="25"/>
  <c r="BE292" i="24"/>
  <c r="BT292" i="24" s="1"/>
  <c r="AW147" i="24"/>
  <c r="BE147" i="24" s="1"/>
  <c r="BT147" i="24" s="1"/>
  <c r="AW219" i="24"/>
  <c r="AY219" i="24" s="1"/>
  <c r="AZ219" i="24" s="1"/>
  <c r="AP208" i="25"/>
  <c r="CE208" i="25"/>
  <c r="BW265" i="25"/>
  <c r="AW283" i="24"/>
  <c r="AY283" i="24" s="1"/>
  <c r="AZ283" i="24" s="1"/>
  <c r="AW260" i="24"/>
  <c r="BD260" i="24" s="1"/>
  <c r="AW240" i="24"/>
  <c r="BD240" i="24" s="1"/>
  <c r="AR265" i="25"/>
  <c r="AT265" i="25" s="1"/>
  <c r="AW18" i="24"/>
  <c r="BE18" i="24" s="1"/>
  <c r="BT18" i="24" s="1"/>
  <c r="BU265" i="25"/>
  <c r="AW242" i="24"/>
  <c r="AY242" i="24" s="1"/>
  <c r="AZ242" i="24" s="1"/>
  <c r="BF265" i="25"/>
  <c r="AP265" i="25"/>
  <c r="AW19" i="24"/>
  <c r="BD19" i="24" s="1"/>
  <c r="AW135" i="24"/>
  <c r="BD135" i="24" s="1"/>
  <c r="AW120" i="24"/>
  <c r="AY120" i="24" s="1"/>
  <c r="AZ120" i="24" s="1"/>
  <c r="AW259" i="24"/>
  <c r="BD259" i="24" s="1"/>
  <c r="AY292" i="24"/>
  <c r="AZ292" i="24" s="1"/>
  <c r="AP102" i="25"/>
  <c r="CE102" i="25"/>
  <c r="AW121" i="24"/>
  <c r="AY121" i="24" s="1"/>
  <c r="AZ121" i="24" s="1"/>
  <c r="AW265" i="24"/>
  <c r="AY265" i="24" s="1"/>
  <c r="AZ265" i="24" s="1"/>
  <c r="AW279" i="24"/>
  <c r="BE279" i="24" s="1"/>
  <c r="BT279" i="24" s="1"/>
  <c r="AW111" i="24"/>
  <c r="BD111" i="24" s="1"/>
  <c r="AW296" i="24"/>
  <c r="AY296" i="24" s="1"/>
  <c r="AZ296" i="24" s="1"/>
  <c r="AW26" i="24"/>
  <c r="AY26" i="24" s="1"/>
  <c r="AZ26" i="24" s="1"/>
  <c r="BF237" i="25"/>
  <c r="AR237" i="25"/>
  <c r="AP237" i="25"/>
  <c r="BH237" i="25"/>
  <c r="BU237" i="25"/>
  <c r="BW237" i="25"/>
  <c r="V212" i="25"/>
  <c r="X212" i="25" s="1"/>
  <c r="AD212" i="25"/>
  <c r="W212" i="25"/>
  <c r="Z212" i="25" s="1"/>
  <c r="AA212" i="25" s="1"/>
  <c r="AB212" i="25" s="1"/>
  <c r="AI212" i="25" s="1"/>
  <c r="AW34" i="24"/>
  <c r="AY34" i="24" s="1"/>
  <c r="AZ34" i="24" s="1"/>
  <c r="AW152" i="24"/>
  <c r="AY152" i="24" s="1"/>
  <c r="AZ152" i="24" s="1"/>
  <c r="AP210" i="25"/>
  <c r="CE210" i="25"/>
  <c r="BH77" i="25"/>
  <c r="AP77" i="25"/>
  <c r="BF77" i="25"/>
  <c r="BW77" i="25"/>
  <c r="BU77" i="25"/>
  <c r="AR77" i="25"/>
  <c r="AW112" i="24"/>
  <c r="AY112" i="24" s="1"/>
  <c r="AZ112" i="24" s="1"/>
  <c r="AW253" i="24"/>
  <c r="BE253" i="24" s="1"/>
  <c r="BT253" i="24" s="1"/>
  <c r="AW224" i="24"/>
  <c r="BE224" i="24" s="1"/>
  <c r="BT224" i="24" s="1"/>
  <c r="AW247" i="24"/>
  <c r="AY247" i="24" s="1"/>
  <c r="AZ247" i="24" s="1"/>
  <c r="AW28" i="24"/>
  <c r="BE28" i="24" s="1"/>
  <c r="BT28" i="24" s="1"/>
  <c r="AW33" i="24"/>
  <c r="BD33" i="24" s="1"/>
  <c r="L15" i="1"/>
  <c r="AW117" i="24"/>
  <c r="AY117" i="24" s="1"/>
  <c r="AZ117" i="24" s="1"/>
  <c r="AW248" i="24"/>
  <c r="BD248" i="24" s="1"/>
  <c r="AW299" i="24"/>
  <c r="AY299" i="24" s="1"/>
  <c r="AZ299" i="24" s="1"/>
  <c r="AW298" i="24"/>
  <c r="BE298" i="24" s="1"/>
  <c r="BT298" i="24" s="1"/>
  <c r="AW232" i="24"/>
  <c r="BE232" i="24" s="1"/>
  <c r="BT232" i="24" s="1"/>
  <c r="AW228" i="24"/>
  <c r="BE228" i="24" s="1"/>
  <c r="BT228" i="24" s="1"/>
  <c r="AW280" i="24"/>
  <c r="BE280" i="24" s="1"/>
  <c r="BT280" i="24" s="1"/>
  <c r="AW54" i="24"/>
  <c r="BE54" i="24" s="1"/>
  <c r="BT54" i="24" s="1"/>
  <c r="AW6" i="24"/>
  <c r="BD6" i="24" s="1"/>
  <c r="AW12" i="24"/>
  <c r="BE12" i="24" s="1"/>
  <c r="BT12" i="24" s="1"/>
  <c r="AW148" i="24"/>
  <c r="BE148" i="24" s="1"/>
  <c r="BT148" i="24" s="1"/>
  <c r="AW295" i="24"/>
  <c r="AY295" i="24" s="1"/>
  <c r="AZ295" i="24" s="1"/>
  <c r="AW20" i="24"/>
  <c r="BE20" i="24" s="1"/>
  <c r="BT20" i="24" s="1"/>
  <c r="AW238" i="24"/>
  <c r="AY238" i="24" s="1"/>
  <c r="AZ238" i="24" s="1"/>
  <c r="AW130" i="24"/>
  <c r="AY130" i="24" s="1"/>
  <c r="AZ130" i="24" s="1"/>
  <c r="AW24" i="24"/>
  <c r="BE24" i="24" s="1"/>
  <c r="BT24" i="24" s="1"/>
  <c r="AW282" i="24"/>
  <c r="BE282" i="24" s="1"/>
  <c r="BT282" i="24" s="1"/>
  <c r="AW305" i="24"/>
  <c r="BE305" i="24" s="1"/>
  <c r="BT305" i="24" s="1"/>
  <c r="AW58" i="24"/>
  <c r="BD58" i="24" s="1"/>
  <c r="AR193" i="25"/>
  <c r="BJ193" i="25"/>
  <c r="BH193" i="25"/>
  <c r="BW193" i="25"/>
  <c r="BU193" i="25"/>
  <c r="BF193" i="25"/>
  <c r="AU25" i="24"/>
  <c r="BB25" i="24" s="1"/>
  <c r="AW25" i="24"/>
  <c r="BJ239" i="25"/>
  <c r="AR239" i="25"/>
  <c r="BH239" i="25"/>
  <c r="AP239" i="25"/>
  <c r="BW239" i="25"/>
  <c r="BU239" i="25"/>
  <c r="BF239" i="25"/>
  <c r="AR102" i="25"/>
  <c r="BJ102" i="25"/>
  <c r="BH102" i="25"/>
  <c r="BF102" i="25"/>
  <c r="BW102" i="25"/>
  <c r="BU102" i="25"/>
  <c r="AR90" i="25"/>
  <c r="BH90" i="25"/>
  <c r="AP90" i="25"/>
  <c r="BF90" i="25"/>
  <c r="BW90" i="25"/>
  <c r="BU90" i="25"/>
  <c r="AR19" i="25"/>
  <c r="BJ19" i="25"/>
  <c r="BH19" i="25"/>
  <c r="AP19" i="25"/>
  <c r="BW19" i="25"/>
  <c r="BU19" i="25"/>
  <c r="BF19" i="25"/>
  <c r="AR15" i="25"/>
  <c r="BJ15" i="25"/>
  <c r="BH15" i="25"/>
  <c r="AP15" i="25"/>
  <c r="BF15" i="25"/>
  <c r="BU15" i="25"/>
  <c r="BW15" i="25"/>
  <c r="AU63" i="24"/>
  <c r="BB63" i="24" s="1"/>
  <c r="AW63" i="24"/>
  <c r="AR18" i="25"/>
  <c r="BJ18" i="25"/>
  <c r="BH18" i="25"/>
  <c r="AP18" i="25"/>
  <c r="BF18" i="25"/>
  <c r="BW18" i="25"/>
  <c r="BU18" i="25"/>
  <c r="AR231" i="25"/>
  <c r="BJ231" i="25"/>
  <c r="BH231" i="25"/>
  <c r="AP231" i="25"/>
  <c r="BF231" i="25"/>
  <c r="BU231" i="25"/>
  <c r="BW231" i="25"/>
  <c r="AR249" i="25"/>
  <c r="BJ249" i="25"/>
  <c r="BH249" i="25"/>
  <c r="AP249" i="25"/>
  <c r="BF249" i="25"/>
  <c r="BU249" i="25"/>
  <c r="BW249" i="25"/>
  <c r="BJ43" i="25"/>
  <c r="AR43" i="25"/>
  <c r="BH43" i="25"/>
  <c r="AP43" i="25"/>
  <c r="BF43" i="25"/>
  <c r="BW43" i="25"/>
  <c r="BU43" i="25"/>
  <c r="AR124" i="25"/>
  <c r="BJ124" i="25"/>
  <c r="BH124" i="25"/>
  <c r="AP124" i="25"/>
  <c r="BF124" i="25"/>
  <c r="BW124" i="25"/>
  <c r="BU124" i="25"/>
  <c r="AR8" i="25"/>
  <c r="BJ8" i="25"/>
  <c r="BH8" i="25"/>
  <c r="AP8" i="25"/>
  <c r="BF8" i="25"/>
  <c r="BW8" i="25"/>
  <c r="BU8" i="25"/>
  <c r="AU203" i="24"/>
  <c r="BB203" i="24" s="1"/>
  <c r="AW203" i="24"/>
  <c r="AT280" i="25"/>
  <c r="AU280" i="25"/>
  <c r="AW258" i="24"/>
  <c r="AT131" i="25"/>
  <c r="AY131" i="25" s="1"/>
  <c r="AU131" i="25"/>
  <c r="AU220" i="24"/>
  <c r="BB220" i="24" s="1"/>
  <c r="AW220" i="24"/>
  <c r="AU181" i="24"/>
  <c r="BB181" i="24" s="1"/>
  <c r="AW181" i="24"/>
  <c r="AU100" i="24"/>
  <c r="BB100" i="24" s="1"/>
  <c r="AW100" i="24"/>
  <c r="AR22" i="25"/>
  <c r="BH22" i="25"/>
  <c r="AP22" i="25"/>
  <c r="BF22" i="25"/>
  <c r="BW22" i="25"/>
  <c r="BU22" i="25"/>
  <c r="AU92" i="24"/>
  <c r="BB92" i="24" s="1"/>
  <c r="AW92" i="24"/>
  <c r="AU209" i="24"/>
  <c r="BB209" i="24" s="1"/>
  <c r="AW209" i="24"/>
  <c r="AR12" i="25"/>
  <c r="BJ12" i="25"/>
  <c r="BH12" i="25"/>
  <c r="AP12" i="25"/>
  <c r="BF12" i="25"/>
  <c r="BW12" i="25"/>
  <c r="BU12" i="25"/>
  <c r="AT113" i="25"/>
  <c r="AY113" i="25" s="1"/>
  <c r="AU113" i="25"/>
  <c r="AT114" i="25"/>
  <c r="AY114" i="25" s="1"/>
  <c r="AU114" i="25"/>
  <c r="AU38" i="24"/>
  <c r="BB38" i="24" s="1"/>
  <c r="AW38" i="24"/>
  <c r="AU52" i="24"/>
  <c r="BB52" i="24" s="1"/>
  <c r="AW52" i="24"/>
  <c r="AR119" i="25"/>
  <c r="BH119" i="25"/>
  <c r="AP119" i="25"/>
  <c r="BU119" i="25"/>
  <c r="BF119" i="25"/>
  <c r="BW119" i="25"/>
  <c r="AT232" i="25"/>
  <c r="AU232" i="25"/>
  <c r="AR27" i="25"/>
  <c r="BH27" i="25"/>
  <c r="AP27" i="25"/>
  <c r="BW27" i="25"/>
  <c r="BU27" i="25"/>
  <c r="BF27" i="25"/>
  <c r="AR53" i="25"/>
  <c r="BJ53" i="25"/>
  <c r="BH53" i="25"/>
  <c r="AP53" i="25"/>
  <c r="BF53" i="25"/>
  <c r="BU53" i="25"/>
  <c r="BW53" i="25"/>
  <c r="AU164" i="24"/>
  <c r="BB164" i="24" s="1"/>
  <c r="AW164" i="24"/>
  <c r="AW225" i="24"/>
  <c r="AU90" i="24"/>
  <c r="BB90" i="24" s="1"/>
  <c r="AW90" i="24"/>
  <c r="AR36" i="25"/>
  <c r="BJ36" i="25"/>
  <c r="BH36" i="25"/>
  <c r="AP36" i="25"/>
  <c r="BF36" i="25"/>
  <c r="BW36" i="25"/>
  <c r="BU36" i="25"/>
  <c r="AU286" i="24"/>
  <c r="BB286" i="24" s="1"/>
  <c r="AW286" i="24"/>
  <c r="AT238" i="25"/>
  <c r="AU238" i="25"/>
  <c r="AR16" i="25"/>
  <c r="BJ16" i="25"/>
  <c r="BH16" i="25"/>
  <c r="AP16" i="25"/>
  <c r="BW16" i="25"/>
  <c r="BU16" i="25"/>
  <c r="BF16" i="25"/>
  <c r="AU245" i="24"/>
  <c r="BB245" i="24" s="1"/>
  <c r="AW245" i="24"/>
  <c r="BJ222" i="25"/>
  <c r="AR222" i="25"/>
  <c r="BH222" i="25"/>
  <c r="AP222" i="25"/>
  <c r="BU222" i="25"/>
  <c r="BF222" i="25"/>
  <c r="BW222" i="25"/>
  <c r="AR241" i="25"/>
  <c r="BJ241" i="25"/>
  <c r="BH241" i="25"/>
  <c r="AP241" i="25"/>
  <c r="BF241" i="25"/>
  <c r="BU241" i="25"/>
  <c r="BW241" i="25"/>
  <c r="AU103" i="24"/>
  <c r="BB103" i="24" s="1"/>
  <c r="AW103" i="24"/>
  <c r="AU36" i="24"/>
  <c r="BB36" i="24" s="1"/>
  <c r="AW36" i="24"/>
  <c r="AU138" i="24"/>
  <c r="BB138" i="24" s="1"/>
  <c r="AW138" i="24"/>
  <c r="AU246" i="24"/>
  <c r="BB246" i="24" s="1"/>
  <c r="AW246" i="24"/>
  <c r="AT30" i="25"/>
  <c r="AY30" i="25" s="1"/>
  <c r="AU30" i="25"/>
  <c r="AU78" i="24"/>
  <c r="BB78" i="24" s="1"/>
  <c r="AW78" i="24"/>
  <c r="AU116" i="24"/>
  <c r="BB116" i="24" s="1"/>
  <c r="AW116" i="24"/>
  <c r="AR274" i="25"/>
  <c r="BH274" i="25"/>
  <c r="AP274" i="25"/>
  <c r="BF274" i="25"/>
  <c r="BU274" i="25"/>
  <c r="BW274" i="25"/>
  <c r="AW261" i="24"/>
  <c r="AT275" i="25"/>
  <c r="AU275" i="25"/>
  <c r="AT173" i="25"/>
  <c r="AY173" i="25" s="1"/>
  <c r="AU173" i="25"/>
  <c r="AW133" i="24"/>
  <c r="AW37" i="24"/>
  <c r="AR188" i="25"/>
  <c r="BJ188" i="25"/>
  <c r="BH188" i="25"/>
  <c r="AP188" i="25"/>
  <c r="BU188" i="25"/>
  <c r="BW188" i="25"/>
  <c r="BF188" i="25"/>
  <c r="AR207" i="25"/>
  <c r="BJ207" i="25"/>
  <c r="BH207" i="25"/>
  <c r="BF207" i="25"/>
  <c r="BW207" i="25"/>
  <c r="BU207" i="25"/>
  <c r="AR23" i="25"/>
  <c r="BJ23" i="25"/>
  <c r="BH23" i="25"/>
  <c r="AP23" i="25"/>
  <c r="BW23" i="25"/>
  <c r="BU23" i="25"/>
  <c r="BF23" i="25"/>
  <c r="AU254" i="24"/>
  <c r="BB254" i="24" s="1"/>
  <c r="AW254" i="24"/>
  <c r="AW218" i="24"/>
  <c r="AR86" i="25"/>
  <c r="BH86" i="25"/>
  <c r="AP86" i="25"/>
  <c r="BU86" i="25"/>
  <c r="BF86" i="25"/>
  <c r="BW86" i="25"/>
  <c r="AW153" i="24"/>
  <c r="AU255" i="24"/>
  <c r="BB255" i="24" s="1"/>
  <c r="AW255" i="24"/>
  <c r="AU93" i="24"/>
  <c r="BB93" i="24" s="1"/>
  <c r="AW93" i="24"/>
  <c r="AU74" i="24"/>
  <c r="BB74" i="24" s="1"/>
  <c r="AW74" i="24"/>
  <c r="AU73" i="24"/>
  <c r="BB73" i="24" s="1"/>
  <c r="AW73" i="24"/>
  <c r="AU241" i="24"/>
  <c r="BB241" i="24" s="1"/>
  <c r="AW241" i="24"/>
  <c r="AR310" i="25"/>
  <c r="BH310" i="25"/>
  <c r="AP310" i="25"/>
  <c r="BF310" i="25"/>
  <c r="BW310" i="25"/>
  <c r="BU310" i="25"/>
  <c r="AW235" i="24"/>
  <c r="AR263" i="25"/>
  <c r="BJ263" i="25"/>
  <c r="BH263" i="25"/>
  <c r="AP263" i="25"/>
  <c r="BW263" i="25"/>
  <c r="BU263" i="25"/>
  <c r="BF263" i="25"/>
  <c r="AR20" i="25"/>
  <c r="BJ20" i="25"/>
  <c r="BH20" i="25"/>
  <c r="AP20" i="25"/>
  <c r="BU20" i="25"/>
  <c r="BW20" i="25"/>
  <c r="BF20" i="25"/>
  <c r="AW57" i="24"/>
  <c r="AU179" i="24"/>
  <c r="BB179" i="24" s="1"/>
  <c r="AW179" i="24"/>
  <c r="AT13" i="25"/>
  <c r="AY13" i="25" s="1"/>
  <c r="AU13" i="25"/>
  <c r="AR256" i="25"/>
  <c r="BJ256" i="25"/>
  <c r="BH256" i="25"/>
  <c r="AP256" i="25"/>
  <c r="BF256" i="25"/>
  <c r="BW256" i="25"/>
  <c r="BU256" i="25"/>
  <c r="AR24" i="25"/>
  <c r="BJ24" i="25"/>
  <c r="BH24" i="25"/>
  <c r="AP24" i="25"/>
  <c r="BW24" i="25"/>
  <c r="BU24" i="25"/>
  <c r="BF24" i="25"/>
  <c r="AU234" i="24"/>
  <c r="BB234" i="24" s="1"/>
  <c r="AW234" i="24"/>
  <c r="AR7" i="25"/>
  <c r="BJ7" i="25"/>
  <c r="BH7" i="25"/>
  <c r="AP7" i="25"/>
  <c r="BW7" i="25"/>
  <c r="BU7" i="25"/>
  <c r="BF7" i="25"/>
  <c r="AU177" i="24"/>
  <c r="BB177" i="24" s="1"/>
  <c r="AW177" i="24"/>
  <c r="AU40" i="24"/>
  <c r="BB40" i="24" s="1"/>
  <c r="AW40" i="24"/>
  <c r="BG292" i="24"/>
  <c r="BS292" i="24"/>
  <c r="BE233" i="24"/>
  <c r="BT233" i="24" s="1"/>
  <c r="BD233" i="24"/>
  <c r="AY233" i="24"/>
  <c r="AZ233" i="24" s="1"/>
  <c r="AU79" i="24"/>
  <c r="BB79" i="24" s="1"/>
  <c r="AW79" i="24"/>
  <c r="AR300" i="25"/>
  <c r="BH300" i="25"/>
  <c r="AP300" i="25"/>
  <c r="BF300" i="25"/>
  <c r="BW300" i="25"/>
  <c r="BU300" i="25"/>
  <c r="AR9" i="25"/>
  <c r="BJ9" i="25"/>
  <c r="BH9" i="25"/>
  <c r="AP9" i="25"/>
  <c r="BF9" i="25"/>
  <c r="BU9" i="25"/>
  <c r="BW9" i="25"/>
  <c r="AT291" i="25"/>
  <c r="AU291" i="25"/>
  <c r="AR227" i="25"/>
  <c r="BJ227" i="25"/>
  <c r="BH227" i="25"/>
  <c r="AP227" i="25"/>
  <c r="BW227" i="25"/>
  <c r="BF227" i="25"/>
  <c r="BU227" i="25"/>
  <c r="AR235" i="25"/>
  <c r="BH235" i="25"/>
  <c r="AP235" i="25"/>
  <c r="BF235" i="25"/>
  <c r="BW235" i="25"/>
  <c r="BU235" i="25"/>
  <c r="AT95" i="25"/>
  <c r="AY95" i="25" s="1"/>
  <c r="AU95" i="25"/>
  <c r="AR65" i="25"/>
  <c r="BH65" i="25"/>
  <c r="AP65" i="25"/>
  <c r="BW65" i="25"/>
  <c r="BU65" i="25"/>
  <c r="BF65" i="25"/>
  <c r="AR112" i="25"/>
  <c r="BH112" i="25"/>
  <c r="AP112" i="25"/>
  <c r="BF112" i="25"/>
  <c r="BW112" i="25"/>
  <c r="BU112" i="25"/>
  <c r="AU136" i="24"/>
  <c r="BB136" i="24" s="1"/>
  <c r="AW136" i="24"/>
  <c r="AR303" i="25"/>
  <c r="BH303" i="25"/>
  <c r="AP303" i="25"/>
  <c r="BW303" i="25"/>
  <c r="BU303" i="25"/>
  <c r="BF303" i="25"/>
  <c r="AR160" i="25"/>
  <c r="BH160" i="25"/>
  <c r="AP160" i="25"/>
  <c r="BF160" i="25"/>
  <c r="BU160" i="25"/>
  <c r="BW160" i="25"/>
  <c r="AU66" i="24"/>
  <c r="BB66" i="24" s="1"/>
  <c r="AW66" i="24"/>
  <c r="AR195" i="25"/>
  <c r="BH195" i="25"/>
  <c r="BF195" i="25"/>
  <c r="BW195" i="25"/>
  <c r="BU195" i="25"/>
  <c r="Y12" i="2"/>
  <c r="Y15" i="2" s="1"/>
  <c r="Y16" i="2" s="1"/>
  <c r="Y17" i="2" s="1"/>
  <c r="B4" i="29" s="1"/>
  <c r="AR67" i="25"/>
  <c r="BJ67" i="25"/>
  <c r="BH67" i="25"/>
  <c r="AP67" i="25"/>
  <c r="BW67" i="25"/>
  <c r="BU67" i="25"/>
  <c r="BF67" i="25"/>
  <c r="AR41" i="25"/>
  <c r="BJ41" i="25"/>
  <c r="BH41" i="25"/>
  <c r="AP41" i="25"/>
  <c r="BU41" i="25"/>
  <c r="BW41" i="25"/>
  <c r="BF41" i="25"/>
  <c r="BD236" i="24"/>
  <c r="AY236" i="24"/>
  <c r="AZ236" i="24" s="1"/>
  <c r="BE236" i="24"/>
  <c r="BT236" i="24" s="1"/>
  <c r="AR313" i="25"/>
  <c r="BH313" i="25"/>
  <c r="AP313" i="25"/>
  <c r="BU313" i="25"/>
  <c r="BW313" i="25"/>
  <c r="BF313" i="25"/>
  <c r="AR40" i="25"/>
  <c r="BJ40" i="25"/>
  <c r="BH40" i="25"/>
  <c r="AP40" i="25"/>
  <c r="BU40" i="25"/>
  <c r="BW40" i="25"/>
  <c r="BF40" i="25"/>
  <c r="AU188" i="24"/>
  <c r="BB188" i="24" s="1"/>
  <c r="AW188" i="24"/>
  <c r="AR33" i="25"/>
  <c r="BJ33" i="25"/>
  <c r="BH33" i="25"/>
  <c r="AP33" i="25"/>
  <c r="BU33" i="25"/>
  <c r="BW33" i="25"/>
  <c r="BF33" i="25"/>
  <c r="AR294" i="25"/>
  <c r="BH294" i="25"/>
  <c r="AP294" i="25"/>
  <c r="BF294" i="25"/>
  <c r="BW294" i="25"/>
  <c r="BU294" i="25"/>
  <c r="AR250" i="25"/>
  <c r="BH250" i="25"/>
  <c r="AP250" i="25"/>
  <c r="BF250" i="25"/>
  <c r="BU250" i="25"/>
  <c r="BW250" i="25"/>
  <c r="AT314" i="25"/>
  <c r="AU314" i="25"/>
  <c r="AW114" i="24"/>
  <c r="AU186" i="24"/>
  <c r="BB186" i="24" s="1"/>
  <c r="AW186" i="24"/>
  <c r="AU14" i="24"/>
  <c r="BB14" i="24" s="1"/>
  <c r="AW14" i="24"/>
  <c r="AU206" i="24"/>
  <c r="BB206" i="24" s="1"/>
  <c r="AW206" i="24"/>
  <c r="AR56" i="25"/>
  <c r="BH56" i="25"/>
  <c r="AP56" i="25"/>
  <c r="BW56" i="25"/>
  <c r="BU56" i="25"/>
  <c r="BF56" i="25"/>
  <c r="AU159" i="24"/>
  <c r="BB159" i="24" s="1"/>
  <c r="AW159" i="24"/>
  <c r="AR17" i="25"/>
  <c r="BH17" i="25"/>
  <c r="AP17" i="25"/>
  <c r="BU17" i="25"/>
  <c r="BF17" i="25"/>
  <c r="BW17" i="25"/>
  <c r="AU104" i="24"/>
  <c r="BB104" i="24" s="1"/>
  <c r="AW104" i="24"/>
  <c r="AU197" i="24"/>
  <c r="BB197" i="24" s="1"/>
  <c r="AW197" i="24"/>
  <c r="AT89" i="25"/>
  <c r="AY89" i="25" s="1"/>
  <c r="AU89" i="25"/>
  <c r="AR312" i="25"/>
  <c r="BJ312" i="25"/>
  <c r="BH312" i="25"/>
  <c r="AP312" i="25"/>
  <c r="BF312" i="25"/>
  <c r="BW312" i="25"/>
  <c r="BU312" i="25"/>
  <c r="AU202" i="24"/>
  <c r="BB202" i="24" s="1"/>
  <c r="AW202" i="24"/>
  <c r="AR175" i="25"/>
  <c r="BJ175" i="25"/>
  <c r="BH175" i="25"/>
  <c r="AP175" i="25"/>
  <c r="BF175" i="25"/>
  <c r="BU175" i="25"/>
  <c r="BW175" i="25"/>
  <c r="AU47" i="24"/>
  <c r="BB47" i="24" s="1"/>
  <c r="AW47" i="24"/>
  <c r="AR285" i="25"/>
  <c r="BJ285" i="25"/>
  <c r="BH285" i="25"/>
  <c r="AP285" i="25"/>
  <c r="BF285" i="25"/>
  <c r="BW285" i="25"/>
  <c r="BU285" i="25"/>
  <c r="AU184" i="24"/>
  <c r="BB184" i="24" s="1"/>
  <c r="AW184" i="24"/>
  <c r="AY160" i="24"/>
  <c r="AZ160" i="24" s="1"/>
  <c r="BD160" i="24"/>
  <c r="BE160" i="24"/>
  <c r="BT160" i="24" s="1"/>
  <c r="AU88" i="24"/>
  <c r="BB88" i="24" s="1"/>
  <c r="AW88" i="24"/>
  <c r="AU16" i="24"/>
  <c r="BB16" i="24" s="1"/>
  <c r="AW16" i="24"/>
  <c r="AR171" i="25"/>
  <c r="BH171" i="25"/>
  <c r="AP171" i="25"/>
  <c r="BF171" i="25"/>
  <c r="BW171" i="25"/>
  <c r="BU171" i="25"/>
  <c r="AR49" i="25"/>
  <c r="BJ49" i="25"/>
  <c r="BH49" i="25"/>
  <c r="AP49" i="25"/>
  <c r="BF49" i="25"/>
  <c r="BW49" i="25"/>
  <c r="BU49" i="25"/>
  <c r="AR183" i="25"/>
  <c r="BH183" i="25"/>
  <c r="AP183" i="25"/>
  <c r="BF183" i="25"/>
  <c r="BW183" i="25"/>
  <c r="BU183" i="25"/>
  <c r="AY257" i="24"/>
  <c r="AZ257" i="24" s="1"/>
  <c r="BD257" i="24"/>
  <c r="BE257" i="24"/>
  <c r="BT257" i="24" s="1"/>
  <c r="BE119" i="24"/>
  <c r="BT119" i="24" s="1"/>
  <c r="AY119" i="24"/>
  <c r="AZ119" i="24" s="1"/>
  <c r="BD119" i="24"/>
  <c r="AW30" i="24"/>
  <c r="AR253" i="25"/>
  <c r="BJ253" i="25"/>
  <c r="BH253" i="25"/>
  <c r="AP253" i="25"/>
  <c r="BF253" i="25"/>
  <c r="BW253" i="25"/>
  <c r="BU253" i="25"/>
  <c r="AU67" i="24"/>
  <c r="BB67" i="24" s="1"/>
  <c r="AW67" i="24"/>
  <c r="AT34" i="25"/>
  <c r="AY34" i="25" s="1"/>
  <c r="AU34" i="25"/>
  <c r="AU137" i="24"/>
  <c r="BB137" i="24" s="1"/>
  <c r="AW137" i="24"/>
  <c r="AR141" i="25"/>
  <c r="BJ141" i="25"/>
  <c r="BH141" i="25"/>
  <c r="AP141" i="25"/>
  <c r="BW141" i="25"/>
  <c r="BU141" i="25"/>
  <c r="BF141" i="25"/>
  <c r="AT178" i="25"/>
  <c r="AY178" i="25" s="1"/>
  <c r="AU178" i="25"/>
  <c r="BB143" i="25"/>
  <c r="BS143" i="25" s="1"/>
  <c r="BC143" i="25"/>
  <c r="BT143" i="25" s="1"/>
  <c r="BA143" i="25"/>
  <c r="AW284" i="24"/>
  <c r="AU262" i="24"/>
  <c r="BB262" i="24" s="1"/>
  <c r="AW262" i="24"/>
  <c r="BE41" i="24"/>
  <c r="BT41" i="24" s="1"/>
  <c r="AY41" i="24"/>
  <c r="AZ41" i="24" s="1"/>
  <c r="BD41" i="24"/>
  <c r="BJ58" i="25"/>
  <c r="AR58" i="25"/>
  <c r="BH58" i="25"/>
  <c r="AP58" i="25"/>
  <c r="BW58" i="25"/>
  <c r="BF58" i="25"/>
  <c r="BU58" i="25"/>
  <c r="AR307" i="25"/>
  <c r="BH307" i="25"/>
  <c r="AP307" i="25"/>
  <c r="BU307" i="25"/>
  <c r="BW307" i="25"/>
  <c r="BF307" i="25"/>
  <c r="AR42" i="25"/>
  <c r="BJ42" i="25"/>
  <c r="BH42" i="25"/>
  <c r="AP42" i="25"/>
  <c r="BF42" i="25"/>
  <c r="BW42" i="25"/>
  <c r="BU42" i="25"/>
  <c r="AU46" i="24"/>
  <c r="BB46" i="24" s="1"/>
  <c r="AW46" i="24"/>
  <c r="AW237" i="24"/>
  <c r="AR205" i="25"/>
  <c r="BJ205" i="25"/>
  <c r="BH205" i="25"/>
  <c r="BF205" i="25"/>
  <c r="BW205" i="25"/>
  <c r="BU205" i="25"/>
  <c r="AR309" i="25"/>
  <c r="BH309" i="25"/>
  <c r="AP309" i="25"/>
  <c r="BF309" i="25"/>
  <c r="BU309" i="25"/>
  <c r="BW309" i="25"/>
  <c r="AU196" i="24"/>
  <c r="BB196" i="24" s="1"/>
  <c r="AW196" i="24"/>
  <c r="AU83" i="24"/>
  <c r="BB83" i="24" s="1"/>
  <c r="AW83" i="24"/>
  <c r="AU175" i="24"/>
  <c r="BB175" i="24" s="1"/>
  <c r="AW175" i="24"/>
  <c r="AR80" i="25"/>
  <c r="BH80" i="25"/>
  <c r="AP80" i="25"/>
  <c r="BF80" i="25"/>
  <c r="BU80" i="25"/>
  <c r="BW80" i="25"/>
  <c r="AR105" i="25"/>
  <c r="BJ105" i="25"/>
  <c r="BH105" i="25"/>
  <c r="BW105" i="25"/>
  <c r="BU105" i="25"/>
  <c r="BF105" i="25"/>
  <c r="BE45" i="24"/>
  <c r="BT45" i="24" s="1"/>
  <c r="BD45" i="24"/>
  <c r="AY45" i="24"/>
  <c r="AZ45" i="24" s="1"/>
  <c r="AR184" i="25"/>
  <c r="BH184" i="25"/>
  <c r="AP184" i="25"/>
  <c r="BF184" i="25"/>
  <c r="BU184" i="25"/>
  <c r="BW184" i="25"/>
  <c r="AW126" i="24"/>
  <c r="BJ269" i="25"/>
  <c r="AR269" i="25"/>
  <c r="BH269" i="25"/>
  <c r="AP269" i="25"/>
  <c r="BF269" i="25"/>
  <c r="BW269" i="25"/>
  <c r="BU269" i="25"/>
  <c r="AR93" i="25"/>
  <c r="BJ93" i="25"/>
  <c r="BH93" i="25"/>
  <c r="AP93" i="25"/>
  <c r="BU93" i="25"/>
  <c r="BW93" i="25"/>
  <c r="BF93" i="25"/>
  <c r="AT62" i="25"/>
  <c r="AY62" i="25" s="1"/>
  <c r="AU62" i="25"/>
  <c r="AT31" i="25"/>
  <c r="AY31" i="25" s="1"/>
  <c r="AU31" i="25"/>
  <c r="AR218" i="25"/>
  <c r="BH218" i="25"/>
  <c r="AP218" i="25"/>
  <c r="BW218" i="25"/>
  <c r="BF218" i="25"/>
  <c r="BU218" i="25"/>
  <c r="AU222" i="24"/>
  <c r="BB222" i="24" s="1"/>
  <c r="AW222" i="24"/>
  <c r="AU140" i="24"/>
  <c r="BB140" i="24" s="1"/>
  <c r="AW140" i="24"/>
  <c r="AU77" i="24"/>
  <c r="BB77" i="24" s="1"/>
  <c r="AW77" i="24"/>
  <c r="AU53" i="24"/>
  <c r="BB53" i="24" s="1"/>
  <c r="AW53" i="24"/>
  <c r="AR121" i="25"/>
  <c r="BH121" i="25"/>
  <c r="AP121" i="25"/>
  <c r="BF121" i="25"/>
  <c r="BU121" i="25"/>
  <c r="BW121" i="25"/>
  <c r="AY162" i="24"/>
  <c r="AZ162" i="24" s="1"/>
  <c r="BD162" i="24"/>
  <c r="BE162" i="24"/>
  <c r="BT162" i="24" s="1"/>
  <c r="AT161" i="25"/>
  <c r="AY161" i="25" s="1"/>
  <c r="AU161" i="25"/>
  <c r="AU49" i="24"/>
  <c r="BB49" i="24" s="1"/>
  <c r="AW49" i="24"/>
  <c r="AR233" i="25"/>
  <c r="BJ233" i="25"/>
  <c r="BH233" i="25"/>
  <c r="AP233" i="25"/>
  <c r="BF233" i="25"/>
  <c r="BU233" i="25"/>
  <c r="BW233" i="25"/>
  <c r="AR153" i="25"/>
  <c r="BH153" i="25"/>
  <c r="AP153" i="25"/>
  <c r="BF153" i="25"/>
  <c r="BW153" i="25"/>
  <c r="BU153" i="25"/>
  <c r="AR10" i="25"/>
  <c r="BH10" i="25"/>
  <c r="AP10" i="25"/>
  <c r="BF10" i="25"/>
  <c r="BU10" i="25"/>
  <c r="BW10" i="25"/>
  <c r="AR123" i="25"/>
  <c r="BJ123" i="25"/>
  <c r="BH123" i="25"/>
  <c r="AP123" i="25"/>
  <c r="BF123" i="25"/>
  <c r="BU123" i="25"/>
  <c r="BW123" i="25"/>
  <c r="AR159" i="25"/>
  <c r="BH159" i="25"/>
  <c r="AP159" i="25"/>
  <c r="BU159" i="25"/>
  <c r="BW159" i="25"/>
  <c r="BF159" i="25"/>
  <c r="AU39" i="24"/>
  <c r="BB39" i="24" s="1"/>
  <c r="AW39" i="24"/>
  <c r="AU173" i="24"/>
  <c r="BB173" i="24" s="1"/>
  <c r="AW173" i="24"/>
  <c r="AR236" i="25"/>
  <c r="BJ236" i="25"/>
  <c r="BH236" i="25"/>
  <c r="AP236" i="25"/>
  <c r="BF236" i="25"/>
  <c r="BU236" i="25"/>
  <c r="BW236" i="25"/>
  <c r="AU275" i="24"/>
  <c r="BB275" i="24" s="1"/>
  <c r="AW275" i="24"/>
  <c r="AR137" i="25"/>
  <c r="BJ137" i="25"/>
  <c r="BH137" i="25"/>
  <c r="AP137" i="25"/>
  <c r="BF137" i="25"/>
  <c r="BW137" i="25"/>
  <c r="BU137" i="25"/>
  <c r="AR230" i="25"/>
  <c r="BJ230" i="25"/>
  <c r="BH230" i="25"/>
  <c r="AP230" i="25"/>
  <c r="BF230" i="25"/>
  <c r="BW230" i="25"/>
  <c r="BU230" i="25"/>
  <c r="AR46" i="25"/>
  <c r="BJ46" i="25"/>
  <c r="BH46" i="25"/>
  <c r="AP46" i="25"/>
  <c r="BF46" i="25"/>
  <c r="BW46" i="25"/>
  <c r="BU46" i="25"/>
  <c r="AT206" i="25"/>
  <c r="AY206" i="25" s="1"/>
  <c r="AU206" i="25"/>
  <c r="AT29" i="25"/>
  <c r="AY29" i="25" s="1"/>
  <c r="AU29" i="25"/>
  <c r="AU278" i="24"/>
  <c r="BB278" i="24" s="1"/>
  <c r="AW278" i="24"/>
  <c r="AU313" i="24"/>
  <c r="BB313" i="24" s="1"/>
  <c r="AW313" i="24"/>
  <c r="AR268" i="25"/>
  <c r="BH268" i="25"/>
  <c r="AP268" i="25"/>
  <c r="BW268" i="25"/>
  <c r="BU268" i="25"/>
  <c r="BF268" i="25"/>
  <c r="AR242" i="25"/>
  <c r="BH242" i="25"/>
  <c r="AP242" i="25"/>
  <c r="BF242" i="25"/>
  <c r="BU242" i="25"/>
  <c r="BW242" i="25"/>
  <c r="AR146" i="25"/>
  <c r="BJ146" i="25"/>
  <c r="BH146" i="25"/>
  <c r="AP146" i="25"/>
  <c r="BF146" i="25"/>
  <c r="BU146" i="25"/>
  <c r="BW146" i="25"/>
  <c r="AR79" i="25"/>
  <c r="BH79" i="25"/>
  <c r="AP79" i="25"/>
  <c r="BW79" i="25"/>
  <c r="BU79" i="25"/>
  <c r="BF79" i="25"/>
  <c r="BE21" i="24"/>
  <c r="BT21" i="24" s="1"/>
  <c r="AY21" i="24"/>
  <c r="AZ21" i="24" s="1"/>
  <c r="BD21" i="24"/>
  <c r="AU10" i="24"/>
  <c r="BB10" i="24" s="1"/>
  <c r="AW10" i="24"/>
  <c r="AU207" i="24"/>
  <c r="BB207" i="24" s="1"/>
  <c r="AW207" i="24"/>
  <c r="AU157" i="24"/>
  <c r="BB157" i="24" s="1"/>
  <c r="AW157" i="24"/>
  <c r="AU31" i="24"/>
  <c r="BB31" i="24" s="1"/>
  <c r="AW31" i="24"/>
  <c r="AT59" i="25"/>
  <c r="AY59" i="25" s="1"/>
  <c r="AU59" i="25"/>
  <c r="AR111" i="25"/>
  <c r="BH111" i="25"/>
  <c r="AP111" i="25"/>
  <c r="BF111" i="25"/>
  <c r="BU111" i="25"/>
  <c r="BW111" i="25"/>
  <c r="AR127" i="25"/>
  <c r="BJ127" i="25"/>
  <c r="BH127" i="25"/>
  <c r="AP127" i="25"/>
  <c r="BF127" i="25"/>
  <c r="BW127" i="25"/>
  <c r="BU127" i="25"/>
  <c r="AU11" i="24"/>
  <c r="BB11" i="24" s="1"/>
  <c r="AW11" i="24"/>
  <c r="AT248" i="25"/>
  <c r="AU248" i="25"/>
  <c r="AR208" i="25"/>
  <c r="BJ208" i="25"/>
  <c r="BH208" i="25"/>
  <c r="BU208" i="25"/>
  <c r="BW208" i="25"/>
  <c r="BF208" i="25"/>
  <c r="AR264" i="25"/>
  <c r="BJ264" i="25"/>
  <c r="BH264" i="25"/>
  <c r="AP264" i="25"/>
  <c r="BF264" i="25"/>
  <c r="BU264" i="25"/>
  <c r="BW264" i="25"/>
  <c r="AR166" i="25"/>
  <c r="BH166" i="25"/>
  <c r="AP166" i="25"/>
  <c r="BF166" i="25"/>
  <c r="BW166" i="25"/>
  <c r="BU166" i="25"/>
  <c r="AR103" i="25"/>
  <c r="BH103" i="25"/>
  <c r="BW103" i="25"/>
  <c r="BU103" i="25"/>
  <c r="BF103" i="25"/>
  <c r="AR35" i="25"/>
  <c r="BJ35" i="25"/>
  <c r="BH35" i="25"/>
  <c r="AP35" i="25"/>
  <c r="BW35" i="25"/>
  <c r="BU35" i="25"/>
  <c r="BF35" i="25"/>
  <c r="AR75" i="25"/>
  <c r="BJ75" i="25"/>
  <c r="BH75" i="25"/>
  <c r="AP75" i="25"/>
  <c r="BU75" i="25"/>
  <c r="BF75" i="25"/>
  <c r="BW75" i="25"/>
  <c r="AW266" i="24"/>
  <c r="AR63" i="25"/>
  <c r="BJ63" i="25"/>
  <c r="BH63" i="25"/>
  <c r="AP63" i="25"/>
  <c r="BF63" i="25"/>
  <c r="BW63" i="25"/>
  <c r="BU63" i="25"/>
  <c r="AT170" i="25"/>
  <c r="AY170" i="25" s="1"/>
  <c r="AU170" i="25"/>
  <c r="AR165" i="25"/>
  <c r="BH165" i="25"/>
  <c r="AP165" i="25"/>
  <c r="BU165" i="25"/>
  <c r="BW165" i="25"/>
  <c r="BF165" i="25"/>
  <c r="AU118" i="24"/>
  <c r="BB118" i="24" s="1"/>
  <c r="AW118" i="24"/>
  <c r="AU139" i="24"/>
  <c r="BB139" i="24" s="1"/>
  <c r="AW139" i="24"/>
  <c r="AU95" i="24"/>
  <c r="BB95" i="24" s="1"/>
  <c r="AW95" i="24"/>
  <c r="AR50" i="25"/>
  <c r="BJ50" i="25"/>
  <c r="BH50" i="25"/>
  <c r="AP50" i="25"/>
  <c r="BW50" i="25"/>
  <c r="BU50" i="25"/>
  <c r="BF50" i="25"/>
  <c r="AW56" i="24"/>
  <c r="AT267" i="25"/>
  <c r="AU267" i="25"/>
  <c r="AU303" i="24"/>
  <c r="BB303" i="24" s="1"/>
  <c r="AW303" i="24"/>
  <c r="AU127" i="24"/>
  <c r="BB127" i="24" s="1"/>
  <c r="AW127" i="24"/>
  <c r="AU250" i="24"/>
  <c r="BB250" i="24" s="1"/>
  <c r="AW250" i="24"/>
  <c r="AR286" i="25"/>
  <c r="BH286" i="25"/>
  <c r="AP286" i="25"/>
  <c r="BU286" i="25"/>
  <c r="BF286" i="25"/>
  <c r="BW286" i="25"/>
  <c r="AT257" i="25"/>
  <c r="AU257" i="25"/>
  <c r="AU42" i="24"/>
  <c r="BB42" i="24" s="1"/>
  <c r="AW42" i="24"/>
  <c r="BJ128" i="25"/>
  <c r="AR128" i="25"/>
  <c r="BH128" i="25"/>
  <c r="AP128" i="25"/>
  <c r="BF128" i="25"/>
  <c r="BU128" i="25"/>
  <c r="BW128" i="25"/>
  <c r="AR209" i="25"/>
  <c r="BJ209" i="25"/>
  <c r="BH209" i="25"/>
  <c r="BU209" i="25"/>
  <c r="BW209" i="25"/>
  <c r="BF209" i="25"/>
  <c r="AR217" i="25"/>
  <c r="BJ217" i="25"/>
  <c r="BH217" i="25"/>
  <c r="AP217" i="25"/>
  <c r="BF217" i="25"/>
  <c r="BW217" i="25"/>
  <c r="BU217" i="25"/>
  <c r="AU70" i="24"/>
  <c r="BB70" i="24" s="1"/>
  <c r="AW70" i="24"/>
  <c r="AR252" i="25"/>
  <c r="BJ252" i="25"/>
  <c r="BH252" i="25"/>
  <c r="AP252" i="25"/>
  <c r="BF252" i="25"/>
  <c r="BU252" i="25"/>
  <c r="BW252" i="25"/>
  <c r="AU122" i="24"/>
  <c r="BB122" i="24" s="1"/>
  <c r="AW122" i="24"/>
  <c r="AU87" i="24"/>
  <c r="BB87" i="24" s="1"/>
  <c r="AW87" i="24"/>
  <c r="AR83" i="25"/>
  <c r="BJ83" i="25"/>
  <c r="BH83" i="25"/>
  <c r="AP83" i="25"/>
  <c r="BF83" i="25"/>
  <c r="BW83" i="25"/>
  <c r="BU83" i="25"/>
  <c r="AU314" i="24"/>
  <c r="BB314" i="24" s="1"/>
  <c r="AW314" i="24"/>
  <c r="AR152" i="25"/>
  <c r="BH152" i="25"/>
  <c r="AP152" i="25"/>
  <c r="BF152" i="25"/>
  <c r="BU152" i="25"/>
  <c r="BW152" i="25"/>
  <c r="AR277" i="25"/>
  <c r="BJ277" i="25"/>
  <c r="BH277" i="25"/>
  <c r="AP277" i="25"/>
  <c r="BW277" i="25"/>
  <c r="BU277" i="25"/>
  <c r="BF277" i="25"/>
  <c r="AY191" i="24"/>
  <c r="AZ191" i="24" s="1"/>
  <c r="BE191" i="24"/>
  <c r="BT191" i="24" s="1"/>
  <c r="BD191" i="24"/>
  <c r="BD294" i="24"/>
  <c r="AY294" i="24"/>
  <c r="AZ294" i="24" s="1"/>
  <c r="BE294" i="24"/>
  <c r="BT294" i="24" s="1"/>
  <c r="BJ271" i="25"/>
  <c r="AR271" i="25"/>
  <c r="BH271" i="25"/>
  <c r="AP271" i="25"/>
  <c r="BF271" i="25"/>
  <c r="BU271" i="25"/>
  <c r="BW271" i="25"/>
  <c r="AT147" i="25"/>
  <c r="AY147" i="25" s="1"/>
  <c r="AU147" i="25"/>
  <c r="AR149" i="25"/>
  <c r="BJ149" i="25"/>
  <c r="BH149" i="25"/>
  <c r="AP149" i="25"/>
  <c r="BF149" i="25"/>
  <c r="BW149" i="25"/>
  <c r="BU149" i="25"/>
  <c r="AU201" i="24"/>
  <c r="BB201" i="24" s="1"/>
  <c r="AW201" i="24"/>
  <c r="AU231" i="24"/>
  <c r="BB231" i="24" s="1"/>
  <c r="AW231" i="24"/>
  <c r="AU91" i="24"/>
  <c r="BB91" i="24" s="1"/>
  <c r="AW91" i="24"/>
  <c r="AU288" i="24"/>
  <c r="BB288" i="24" s="1"/>
  <c r="AW288" i="24"/>
  <c r="AU229" i="24"/>
  <c r="BB229" i="24" s="1"/>
  <c r="AW229" i="24"/>
  <c r="AU172" i="24"/>
  <c r="BB172" i="24" s="1"/>
  <c r="AW172" i="24"/>
  <c r="AU285" i="24"/>
  <c r="BB285" i="24" s="1"/>
  <c r="AW285" i="24"/>
  <c r="AR219" i="25"/>
  <c r="BH219" i="25"/>
  <c r="AP219" i="25"/>
  <c r="BF219" i="25"/>
  <c r="BW219" i="25"/>
  <c r="BU219" i="25"/>
  <c r="AU302" i="24"/>
  <c r="BB302" i="24" s="1"/>
  <c r="AW302" i="24"/>
  <c r="AR120" i="25"/>
  <c r="BJ120" i="25"/>
  <c r="BH120" i="25"/>
  <c r="AP120" i="25"/>
  <c r="BW120" i="25"/>
  <c r="BF120" i="25"/>
  <c r="BU120" i="25"/>
  <c r="AR234" i="25"/>
  <c r="BJ234" i="25"/>
  <c r="BH234" i="25"/>
  <c r="AP234" i="25"/>
  <c r="BF234" i="25"/>
  <c r="BW234" i="25"/>
  <c r="BU234" i="25"/>
  <c r="AU194" i="24"/>
  <c r="BB194" i="24" s="1"/>
  <c r="AW194" i="24"/>
  <c r="AR164" i="25"/>
  <c r="BH164" i="25"/>
  <c r="AP164" i="25"/>
  <c r="BW164" i="25"/>
  <c r="BU164" i="25"/>
  <c r="BF164" i="25"/>
  <c r="AT204" i="25"/>
  <c r="AY204" i="25" s="1"/>
  <c r="AU204" i="25"/>
  <c r="AU115" i="24"/>
  <c r="BB115" i="24" s="1"/>
  <c r="AW115" i="24"/>
  <c r="AU293" i="24"/>
  <c r="BB293" i="24" s="1"/>
  <c r="AW293" i="24"/>
  <c r="BJ84" i="25"/>
  <c r="AR84" i="25"/>
  <c r="BH84" i="25"/>
  <c r="AP84" i="25"/>
  <c r="BU84" i="25"/>
  <c r="BF84" i="25"/>
  <c r="BW84" i="25"/>
  <c r="AR61" i="25"/>
  <c r="BJ61" i="25"/>
  <c r="BH61" i="25"/>
  <c r="AP61" i="25"/>
  <c r="BF61" i="25"/>
  <c r="BU61" i="25"/>
  <c r="BW61" i="25"/>
  <c r="AR157" i="25"/>
  <c r="BJ157" i="25"/>
  <c r="BH157" i="25"/>
  <c r="AP157" i="25"/>
  <c r="BU157" i="25"/>
  <c r="BW157" i="25"/>
  <c r="BF157" i="25"/>
  <c r="AT186" i="25"/>
  <c r="AY186" i="25" s="1"/>
  <c r="AU186" i="25"/>
  <c r="AW297" i="24"/>
  <c r="AW51" i="24"/>
  <c r="AR51" i="25"/>
  <c r="BJ51" i="25"/>
  <c r="BH51" i="25"/>
  <c r="AP51" i="25"/>
  <c r="BU51" i="25"/>
  <c r="BW51" i="25"/>
  <c r="BF51" i="25"/>
  <c r="AT259" i="25"/>
  <c r="AU259" i="25"/>
  <c r="AU244" i="24"/>
  <c r="BB244" i="24" s="1"/>
  <c r="AW244" i="24"/>
  <c r="AT199" i="25"/>
  <c r="AY199" i="25" s="1"/>
  <c r="AU199" i="25"/>
  <c r="AR60" i="25"/>
  <c r="BH60" i="25"/>
  <c r="AP60" i="25"/>
  <c r="BU60" i="25"/>
  <c r="BF60" i="25"/>
  <c r="BW60" i="25"/>
  <c r="AT247" i="25"/>
  <c r="AU247" i="25"/>
  <c r="AW243" i="24"/>
  <c r="AU251" i="24"/>
  <c r="BB251" i="24" s="1"/>
  <c r="AW251" i="24"/>
  <c r="AU165" i="24"/>
  <c r="BB165" i="24" s="1"/>
  <c r="AW165" i="24"/>
  <c r="AW9" i="24"/>
  <c r="AU96" i="24"/>
  <c r="BB96" i="24" s="1"/>
  <c r="AW96" i="24"/>
  <c r="AW32" i="24"/>
  <c r="AT283" i="25"/>
  <c r="AU283" i="25"/>
  <c r="AU272" i="24"/>
  <c r="BB272" i="24" s="1"/>
  <c r="AW272" i="24"/>
  <c r="AU97" i="24"/>
  <c r="BB97" i="24" s="1"/>
  <c r="AW97" i="24"/>
  <c r="AU141" i="24"/>
  <c r="BB141" i="24" s="1"/>
  <c r="AW141" i="24"/>
  <c r="AU50" i="24"/>
  <c r="BB50" i="24" s="1"/>
  <c r="AW50" i="24"/>
  <c r="AR52" i="25"/>
  <c r="BH52" i="25"/>
  <c r="AP52" i="25"/>
  <c r="BF52" i="25"/>
  <c r="BW52" i="25"/>
  <c r="BU52" i="25"/>
  <c r="BA110" i="25"/>
  <c r="BC110" i="25"/>
  <c r="BT110" i="25" s="1"/>
  <c r="BB110" i="25"/>
  <c r="BS110" i="25" s="1"/>
  <c r="AT192" i="25"/>
  <c r="AY192" i="25" s="1"/>
  <c r="AU192" i="25"/>
  <c r="AU223" i="24"/>
  <c r="BB223" i="24" s="1"/>
  <c r="AW223" i="24"/>
  <c r="AR194" i="25"/>
  <c r="BH194" i="25"/>
  <c r="CE194" i="25"/>
  <c r="BW194" i="25"/>
  <c r="BU194" i="25"/>
  <c r="BF194" i="25"/>
  <c r="AT282" i="25"/>
  <c r="AU282" i="25"/>
  <c r="AW128" i="24"/>
  <c r="AR45" i="25"/>
  <c r="BH45" i="25"/>
  <c r="AP45" i="25"/>
  <c r="BF45" i="25"/>
  <c r="BW45" i="25"/>
  <c r="BU45" i="25"/>
  <c r="AR37" i="25"/>
  <c r="BJ37" i="25"/>
  <c r="BH37" i="25"/>
  <c r="AP37" i="25"/>
  <c r="BF37" i="25"/>
  <c r="BU37" i="25"/>
  <c r="BW37" i="25"/>
  <c r="AR144" i="25"/>
  <c r="BJ144" i="25"/>
  <c r="BH144" i="25"/>
  <c r="AP144" i="25"/>
  <c r="BF144" i="25"/>
  <c r="BW144" i="25"/>
  <c r="BU144" i="25"/>
  <c r="AU65" i="24"/>
  <c r="BB65" i="24" s="1"/>
  <c r="AW65" i="24"/>
  <c r="AT92" i="25"/>
  <c r="AY92" i="25" s="1"/>
  <c r="AU92" i="25"/>
  <c r="AR125" i="25"/>
  <c r="BH125" i="25"/>
  <c r="AP125" i="25"/>
  <c r="BF125" i="25"/>
  <c r="BU125" i="25"/>
  <c r="BW125" i="25"/>
  <c r="AR244" i="25"/>
  <c r="BJ244" i="25"/>
  <c r="BH244" i="25"/>
  <c r="AP244" i="25"/>
  <c r="BU244" i="25"/>
  <c r="BW244" i="25"/>
  <c r="BF244" i="25"/>
  <c r="AR91" i="25"/>
  <c r="BJ91" i="25"/>
  <c r="BH91" i="25"/>
  <c r="AP91" i="25"/>
  <c r="BF91" i="25"/>
  <c r="BW91" i="25"/>
  <c r="BU91" i="25"/>
  <c r="BJ266" i="25"/>
  <c r="AR266" i="25"/>
  <c r="BH266" i="25"/>
  <c r="AP266" i="25"/>
  <c r="BU266" i="25"/>
  <c r="BF266" i="25"/>
  <c r="BW266" i="25"/>
  <c r="AR135" i="25"/>
  <c r="BH135" i="25"/>
  <c r="AP135" i="25"/>
  <c r="BU135" i="25"/>
  <c r="BW135" i="25"/>
  <c r="BF135" i="25"/>
  <c r="AR311" i="25"/>
  <c r="BH311" i="25"/>
  <c r="AP311" i="25"/>
  <c r="BW311" i="25"/>
  <c r="BU311" i="25"/>
  <c r="BF311" i="25"/>
  <c r="AU210" i="24"/>
  <c r="BB210" i="24" s="1"/>
  <c r="AW210" i="24"/>
  <c r="AU208" i="24"/>
  <c r="BB208" i="24" s="1"/>
  <c r="AW208" i="24"/>
  <c r="AU102" i="24"/>
  <c r="BB102" i="24" s="1"/>
  <c r="AW102" i="24"/>
  <c r="AU193" i="24"/>
  <c r="BB193" i="24" s="1"/>
  <c r="AW193" i="24"/>
  <c r="AU15" i="24"/>
  <c r="BB15" i="24" s="1"/>
  <c r="AW15" i="24"/>
  <c r="AT14" i="25"/>
  <c r="AY14" i="25" s="1"/>
  <c r="AU14" i="25"/>
  <c r="AU307" i="24"/>
  <c r="BB307" i="24" s="1"/>
  <c r="AW307" i="24"/>
  <c r="AU113" i="24"/>
  <c r="BB113" i="24" s="1"/>
  <c r="AW113" i="24"/>
  <c r="AR132" i="25"/>
  <c r="BH132" i="25"/>
  <c r="AP132" i="25"/>
  <c r="BF132" i="25"/>
  <c r="BW132" i="25"/>
  <c r="BU132" i="25"/>
  <c r="AU239" i="24"/>
  <c r="BB239" i="24" s="1"/>
  <c r="AW239" i="24"/>
  <c r="AU311" i="24"/>
  <c r="BB311" i="24" s="1"/>
  <c r="AW311" i="24"/>
  <c r="AT82" i="25"/>
  <c r="AY82" i="25" s="1"/>
  <c r="AU82" i="25"/>
  <c r="AU134" i="24"/>
  <c r="BB134" i="24" s="1"/>
  <c r="AW134" i="24"/>
  <c r="AU71" i="24"/>
  <c r="BB71" i="24" s="1"/>
  <c r="AW71" i="24"/>
  <c r="AR260" i="25"/>
  <c r="BJ260" i="25"/>
  <c r="BH260" i="25"/>
  <c r="AP260" i="25"/>
  <c r="BF260" i="25"/>
  <c r="BU260" i="25"/>
  <c r="BW260" i="25"/>
  <c r="AU291" i="24"/>
  <c r="BB291" i="24" s="1"/>
  <c r="AW291" i="24"/>
  <c r="AU85" i="24"/>
  <c r="BB85" i="24" s="1"/>
  <c r="AW85" i="24"/>
  <c r="AU178" i="24"/>
  <c r="BB178" i="24" s="1"/>
  <c r="AW178" i="24"/>
  <c r="AW267" i="24"/>
  <c r="AU105" i="24"/>
  <c r="BB105" i="24" s="1"/>
  <c r="B150" i="2" s="1"/>
  <c r="B151" i="2" s="1"/>
  <c r="E29" i="1" s="1"/>
  <c r="AW105" i="24"/>
  <c r="AR169" i="25"/>
  <c r="BH169" i="25"/>
  <c r="AP169" i="25"/>
  <c r="BF169" i="25"/>
  <c r="BW169" i="25"/>
  <c r="BU169" i="25"/>
  <c r="AT262" i="25"/>
  <c r="AU262" i="25"/>
  <c r="AR301" i="25"/>
  <c r="BJ301" i="25"/>
  <c r="BH301" i="25"/>
  <c r="AP301" i="25"/>
  <c r="BF301" i="25"/>
  <c r="BW301" i="25"/>
  <c r="BU301" i="25"/>
  <c r="BC129" i="25"/>
  <c r="BT129" i="25" s="1"/>
  <c r="BB129" i="25"/>
  <c r="BS129" i="25" s="1"/>
  <c r="BA129" i="25"/>
  <c r="AR85" i="25"/>
  <c r="BJ85" i="25"/>
  <c r="BH85" i="25"/>
  <c r="AP85" i="25"/>
  <c r="BU85" i="25"/>
  <c r="BF85" i="25"/>
  <c r="BW85" i="25"/>
  <c r="AR69" i="25"/>
  <c r="BJ69" i="25"/>
  <c r="BH69" i="25"/>
  <c r="AP69" i="25"/>
  <c r="BF69" i="25"/>
  <c r="BW69" i="25"/>
  <c r="BU69" i="25"/>
  <c r="BE190" i="24"/>
  <c r="BT190" i="24" s="1"/>
  <c r="BD190" i="24"/>
  <c r="AY190" i="24"/>
  <c r="AZ190" i="24" s="1"/>
  <c r="AU204" i="24"/>
  <c r="BB204" i="24" s="1"/>
  <c r="AW204" i="24"/>
  <c r="BE142" i="24"/>
  <c r="BT142" i="24" s="1"/>
  <c r="BD142" i="24"/>
  <c r="AY142" i="24"/>
  <c r="AZ142" i="24" s="1"/>
  <c r="AU199" i="24"/>
  <c r="BB199" i="24" s="1"/>
  <c r="AW199" i="24"/>
  <c r="AR289" i="25"/>
  <c r="BJ289" i="25"/>
  <c r="BH289" i="25"/>
  <c r="AP289" i="25"/>
  <c r="BW289" i="25"/>
  <c r="BU289" i="25"/>
  <c r="BF289" i="25"/>
  <c r="AT292" i="25"/>
  <c r="AU292" i="25"/>
  <c r="AR290" i="25"/>
  <c r="BJ290" i="25"/>
  <c r="BH290" i="25"/>
  <c r="AP290" i="25"/>
  <c r="BU290" i="25"/>
  <c r="BF290" i="25"/>
  <c r="BW290" i="25"/>
  <c r="AT246" i="25"/>
  <c r="AU246" i="25"/>
  <c r="AR197" i="25"/>
  <c r="BH197" i="25"/>
  <c r="BW197" i="25"/>
  <c r="BU197" i="25"/>
  <c r="BF197" i="25"/>
  <c r="AR72" i="25"/>
  <c r="BH72" i="25"/>
  <c r="AP72" i="25"/>
  <c r="BW72" i="25"/>
  <c r="BU72" i="25"/>
  <c r="BF72" i="25"/>
  <c r="AU168" i="24"/>
  <c r="BB168" i="24" s="1"/>
  <c r="AW168" i="24"/>
  <c r="AR251" i="25"/>
  <c r="BJ251" i="25"/>
  <c r="BH251" i="25"/>
  <c r="AP251" i="25"/>
  <c r="BF251" i="25"/>
  <c r="BW251" i="25"/>
  <c r="BU251" i="25"/>
  <c r="AR270" i="25"/>
  <c r="BH270" i="25"/>
  <c r="AP270" i="25"/>
  <c r="BU270" i="25"/>
  <c r="BW270" i="25"/>
  <c r="BF270" i="25"/>
  <c r="AW271" i="24"/>
  <c r="AU43" i="24"/>
  <c r="BB43" i="24" s="1"/>
  <c r="AW43" i="24"/>
  <c r="AR25" i="25"/>
  <c r="BJ25" i="25"/>
  <c r="BH25" i="25"/>
  <c r="AP25" i="25"/>
  <c r="BW25" i="25"/>
  <c r="BF25" i="25"/>
  <c r="BU25" i="25"/>
  <c r="AU309" i="24"/>
  <c r="BB309" i="24" s="1"/>
  <c r="AW309" i="24"/>
  <c r="AR142" i="25"/>
  <c r="BJ142" i="25"/>
  <c r="BH142" i="25"/>
  <c r="AP142" i="25"/>
  <c r="BF142" i="25"/>
  <c r="BU142" i="25"/>
  <c r="BW142" i="25"/>
  <c r="AT155" i="25"/>
  <c r="AY155" i="25" s="1"/>
  <c r="AU155" i="25"/>
  <c r="AU167" i="24"/>
  <c r="BB167" i="24" s="1"/>
  <c r="AW167" i="24"/>
  <c r="AU252" i="24"/>
  <c r="BB252" i="24" s="1"/>
  <c r="AW252" i="24"/>
  <c r="AU300" i="24"/>
  <c r="BB300" i="24" s="1"/>
  <c r="AW300" i="24"/>
  <c r="AW281" i="24"/>
  <c r="AR181" i="25"/>
  <c r="BH181" i="25"/>
  <c r="AP181" i="25"/>
  <c r="BU181" i="25"/>
  <c r="BW181" i="25"/>
  <c r="BF181" i="25"/>
  <c r="AU72" i="24"/>
  <c r="BB72" i="24" s="1"/>
  <c r="AW72" i="24"/>
  <c r="AT177" i="25"/>
  <c r="AY177" i="25" s="1"/>
  <c r="AU177" i="25"/>
  <c r="AU205" i="24"/>
  <c r="BB205" i="24" s="1"/>
  <c r="AW205" i="24"/>
  <c r="AU227" i="24"/>
  <c r="BB227" i="24" s="1"/>
  <c r="AW227" i="24"/>
  <c r="AU187" i="24"/>
  <c r="BB187" i="24" s="1"/>
  <c r="AW187" i="24"/>
  <c r="AU81" i="24"/>
  <c r="BB81" i="24" s="1"/>
  <c r="AW81" i="24"/>
  <c r="BJ225" i="25"/>
  <c r="AR225" i="25"/>
  <c r="BH225" i="25"/>
  <c r="AP225" i="25"/>
  <c r="BF225" i="25"/>
  <c r="BW225" i="25"/>
  <c r="BU225" i="25"/>
  <c r="AR196" i="25"/>
  <c r="BJ196" i="25"/>
  <c r="BH196" i="25"/>
  <c r="BF196" i="25"/>
  <c r="BW196" i="25"/>
  <c r="BU196" i="25"/>
  <c r="AU185" i="24"/>
  <c r="BB185" i="24" s="1"/>
  <c r="AW185" i="24"/>
  <c r="AR68" i="25"/>
  <c r="BJ68" i="25"/>
  <c r="BH68" i="25"/>
  <c r="AP68" i="25"/>
  <c r="BW68" i="25"/>
  <c r="BU68" i="25"/>
  <c r="BF68" i="25"/>
  <c r="AU310" i="24"/>
  <c r="BB310" i="24" s="1"/>
  <c r="AW310" i="24"/>
  <c r="AR228" i="25"/>
  <c r="BH228" i="25"/>
  <c r="AP228" i="25"/>
  <c r="BU228" i="25"/>
  <c r="BW228" i="25"/>
  <c r="BF228" i="25"/>
  <c r="AR73" i="25"/>
  <c r="BJ73" i="25"/>
  <c r="BH73" i="25"/>
  <c r="AP73" i="25"/>
  <c r="BF73" i="25"/>
  <c r="BW73" i="25"/>
  <c r="BU73" i="25"/>
  <c r="AR298" i="25"/>
  <c r="BJ298" i="25"/>
  <c r="BH298" i="25"/>
  <c r="AP298" i="25"/>
  <c r="BF298" i="25"/>
  <c r="BU298" i="25"/>
  <c r="BW298" i="25"/>
  <c r="AR47" i="25"/>
  <c r="BJ47" i="25"/>
  <c r="BH47" i="25"/>
  <c r="AP47" i="25"/>
  <c r="BF47" i="25"/>
  <c r="BU47" i="25"/>
  <c r="BW47" i="25"/>
  <c r="AR187" i="25"/>
  <c r="BJ187" i="25"/>
  <c r="BH187" i="25"/>
  <c r="AP187" i="25"/>
  <c r="BW187" i="25"/>
  <c r="BF187" i="25"/>
  <c r="BU187" i="25"/>
  <c r="AR272" i="25"/>
  <c r="BH272" i="25"/>
  <c r="AP272" i="25"/>
  <c r="BF272" i="25"/>
  <c r="BW272" i="25"/>
  <c r="BU272" i="25"/>
  <c r="AU226" i="24"/>
  <c r="BB226" i="24" s="1"/>
  <c r="AW226" i="24"/>
  <c r="AW8" i="24"/>
  <c r="AR118" i="25"/>
  <c r="BJ118" i="25"/>
  <c r="BH118" i="25"/>
  <c r="AP118" i="25"/>
  <c r="BF118" i="25"/>
  <c r="BW118" i="25"/>
  <c r="BU118" i="25"/>
  <c r="AR98" i="25"/>
  <c r="BJ98" i="25"/>
  <c r="BH98" i="25"/>
  <c r="BW98" i="25"/>
  <c r="BU98" i="25"/>
  <c r="BF98" i="25"/>
  <c r="AR122" i="25"/>
  <c r="BH122" i="25"/>
  <c r="AP122" i="25"/>
  <c r="BF122" i="25"/>
  <c r="BU122" i="25"/>
  <c r="BW122" i="25"/>
  <c r="AU60" i="24"/>
  <c r="BB60" i="24" s="1"/>
  <c r="AW60" i="24"/>
  <c r="AT240" i="25"/>
  <c r="AU240" i="25"/>
  <c r="AR74" i="25"/>
  <c r="BH74" i="25"/>
  <c r="AP74" i="25"/>
  <c r="BF74" i="25"/>
  <c r="BU74" i="25"/>
  <c r="BW74" i="25"/>
  <c r="AU306" i="24"/>
  <c r="BB306" i="24" s="1"/>
  <c r="AW306" i="24"/>
  <c r="AR55" i="25"/>
  <c r="BH55" i="25"/>
  <c r="AP55" i="25"/>
  <c r="BF55" i="25"/>
  <c r="BW55" i="25"/>
  <c r="BU55" i="25"/>
  <c r="AR200" i="25"/>
  <c r="BJ200" i="25"/>
  <c r="BH200" i="25"/>
  <c r="BF200" i="25"/>
  <c r="BU200" i="25"/>
  <c r="BW200" i="25"/>
  <c r="AU230" i="24"/>
  <c r="BB230" i="24" s="1"/>
  <c r="AW230" i="24"/>
  <c r="AR54" i="25"/>
  <c r="BJ54" i="25"/>
  <c r="BH54" i="25"/>
  <c r="AP54" i="25"/>
  <c r="BF54" i="25"/>
  <c r="BW54" i="25"/>
  <c r="BU54" i="25"/>
  <c r="AU99" i="24"/>
  <c r="BB99" i="24" s="1"/>
  <c r="AW99" i="24"/>
  <c r="AT198" i="25"/>
  <c r="AY198" i="25" s="1"/>
  <c r="AU198" i="25"/>
  <c r="AR78" i="25"/>
  <c r="BJ78" i="25"/>
  <c r="BH78" i="25"/>
  <c r="AP78" i="25"/>
  <c r="BF78" i="25"/>
  <c r="BW78" i="25"/>
  <c r="BU78" i="25"/>
  <c r="AR191" i="25"/>
  <c r="BH191" i="25"/>
  <c r="AP191" i="25"/>
  <c r="BF191" i="25"/>
  <c r="BU191" i="25"/>
  <c r="BW191" i="25"/>
  <c r="BD22" i="24"/>
  <c r="AY22" i="24"/>
  <c r="AZ22" i="24" s="1"/>
  <c r="BE22" i="24"/>
  <c r="BT22" i="24" s="1"/>
  <c r="AU80" i="24"/>
  <c r="BB80" i="24" s="1"/>
  <c r="AW80" i="24"/>
  <c r="BJ150" i="25"/>
  <c r="AR150" i="25"/>
  <c r="BH150" i="25"/>
  <c r="AP150" i="25"/>
  <c r="BF150" i="25"/>
  <c r="BU150" i="25"/>
  <c r="BW150" i="25"/>
  <c r="AU84" i="24"/>
  <c r="BB84" i="24" s="1"/>
  <c r="AW84" i="24"/>
  <c r="AU166" i="24"/>
  <c r="BB166" i="24" s="1"/>
  <c r="AW166" i="24"/>
  <c r="AU316" i="24"/>
  <c r="BB316" i="24" s="1"/>
  <c r="AW316" i="24"/>
  <c r="AR116" i="25"/>
  <c r="BH116" i="25"/>
  <c r="AP116" i="25"/>
  <c r="BW116" i="25"/>
  <c r="BF116" i="25"/>
  <c r="BU116" i="25"/>
  <c r="AU150" i="24"/>
  <c r="BB150" i="24" s="1"/>
  <c r="AW150" i="24"/>
  <c r="AR226" i="25"/>
  <c r="BJ226" i="25"/>
  <c r="BH226" i="25"/>
  <c r="AP226" i="25"/>
  <c r="BU226" i="25"/>
  <c r="BW226" i="25"/>
  <c r="BF226" i="25"/>
  <c r="AR88" i="25"/>
  <c r="BH88" i="25"/>
  <c r="AP88" i="25"/>
  <c r="BW88" i="25"/>
  <c r="BU88" i="25"/>
  <c r="BF88" i="25"/>
  <c r="AR302" i="25"/>
  <c r="BH302" i="25"/>
  <c r="AP302" i="25"/>
  <c r="BW302" i="25"/>
  <c r="BF302" i="25"/>
  <c r="BU302" i="25"/>
  <c r="AR64" i="25"/>
  <c r="BH64" i="25"/>
  <c r="AP64" i="25"/>
  <c r="BF64" i="25"/>
  <c r="BW64" i="25"/>
  <c r="BU64" i="25"/>
  <c r="AU268" i="24"/>
  <c r="BB268" i="24" s="1"/>
  <c r="AW268" i="24"/>
  <c r="AW155" i="24"/>
  <c r="AU171" i="24"/>
  <c r="BB171" i="24" s="1"/>
  <c r="AW171" i="24"/>
  <c r="AT190" i="25"/>
  <c r="AY190" i="25" s="1"/>
  <c r="AU190" i="25"/>
  <c r="AT305" i="25"/>
  <c r="AU305" i="25"/>
  <c r="AW59" i="24"/>
  <c r="AR245" i="25"/>
  <c r="BH245" i="25"/>
  <c r="AP245" i="25"/>
  <c r="BF245" i="25"/>
  <c r="BW245" i="25"/>
  <c r="BU245" i="25"/>
  <c r="AR288" i="25"/>
  <c r="BJ288" i="25"/>
  <c r="BH288" i="25"/>
  <c r="AP288" i="25"/>
  <c r="BF288" i="25"/>
  <c r="BW288" i="25"/>
  <c r="BU288" i="25"/>
  <c r="AR223" i="25"/>
  <c r="BH223" i="25"/>
  <c r="AP223" i="25"/>
  <c r="BF223" i="25"/>
  <c r="BW223" i="25"/>
  <c r="BU223" i="25"/>
  <c r="AR315" i="25"/>
  <c r="BJ315" i="25"/>
  <c r="BH315" i="25"/>
  <c r="AP315" i="25"/>
  <c r="BU315" i="25"/>
  <c r="BW315" i="25"/>
  <c r="BF315" i="25"/>
  <c r="AR278" i="25"/>
  <c r="BJ278" i="25"/>
  <c r="BH278" i="25"/>
  <c r="AP278" i="25"/>
  <c r="BF278" i="25"/>
  <c r="BW278" i="25"/>
  <c r="BU278" i="25"/>
  <c r="BJ139" i="25"/>
  <c r="AR139" i="25"/>
  <c r="BH139" i="25"/>
  <c r="AP139" i="25"/>
  <c r="BU139" i="25"/>
  <c r="BW139" i="25"/>
  <c r="BF139" i="25"/>
  <c r="AR136" i="25"/>
  <c r="BJ136" i="25"/>
  <c r="BH136" i="25"/>
  <c r="AP136" i="25"/>
  <c r="BF136" i="25"/>
  <c r="BW136" i="25"/>
  <c r="BU136" i="25"/>
  <c r="AU23" i="24"/>
  <c r="BB23" i="24" s="1"/>
  <c r="AW23" i="24"/>
  <c r="AU94" i="24"/>
  <c r="BB94" i="24" s="1"/>
  <c r="AW94" i="24"/>
  <c r="AU189" i="24"/>
  <c r="BB189" i="24" s="1"/>
  <c r="AW189" i="24"/>
  <c r="AT243" i="25"/>
  <c r="AU243" i="25"/>
  <c r="AU144" i="24"/>
  <c r="BB144" i="24" s="1"/>
  <c r="AW144" i="24"/>
  <c r="AR145" i="25"/>
  <c r="BJ145" i="25"/>
  <c r="BH145" i="25"/>
  <c r="AP145" i="25"/>
  <c r="BW145" i="25"/>
  <c r="BU145" i="25"/>
  <c r="BF145" i="25"/>
  <c r="AU170" i="24"/>
  <c r="BB170" i="24" s="1"/>
  <c r="AW170" i="24"/>
  <c r="AU315" i="24"/>
  <c r="BB315" i="24" s="1"/>
  <c r="AW315" i="24"/>
  <c r="AW123" i="24"/>
  <c r="AT21" i="25"/>
  <c r="AY21" i="25" s="1"/>
  <c r="AU21" i="25"/>
  <c r="AR221" i="25"/>
  <c r="BH221" i="25"/>
  <c r="AP221" i="25"/>
  <c r="BU221" i="25"/>
  <c r="BW221" i="25"/>
  <c r="BF221" i="25"/>
  <c r="AU200" i="24"/>
  <c r="BB200" i="24" s="1"/>
  <c r="AW200" i="24"/>
  <c r="AU124" i="24"/>
  <c r="BB124" i="24" s="1"/>
  <c r="AW124" i="24"/>
  <c r="BE55" i="24"/>
  <c r="BT55" i="24" s="1"/>
  <c r="BD55" i="24"/>
  <c r="AY55" i="24"/>
  <c r="AZ55" i="24" s="1"/>
  <c r="AR180" i="25"/>
  <c r="BH180" i="25"/>
  <c r="AP180" i="25"/>
  <c r="BU180" i="25"/>
  <c r="BW180" i="25"/>
  <c r="BF180" i="25"/>
  <c r="AU89" i="24"/>
  <c r="BB89" i="24" s="1"/>
  <c r="AW89" i="24"/>
  <c r="AW125" i="24"/>
  <c r="AU256" i="24"/>
  <c r="BB256" i="24" s="1"/>
  <c r="AW256" i="24"/>
  <c r="AW35" i="24"/>
  <c r="AR203" i="25"/>
  <c r="BJ203" i="25"/>
  <c r="BH203" i="25"/>
  <c r="BF203" i="25"/>
  <c r="BW203" i="25"/>
  <c r="BU203" i="25"/>
  <c r="AU62" i="24"/>
  <c r="BB62" i="24" s="1"/>
  <c r="AW62" i="24"/>
  <c r="AR168" i="25"/>
  <c r="BH168" i="25"/>
  <c r="AP168" i="25"/>
  <c r="BF168" i="25"/>
  <c r="BW168" i="25"/>
  <c r="BU168" i="25"/>
  <c r="AR297" i="25"/>
  <c r="BJ297" i="25"/>
  <c r="BH297" i="25"/>
  <c r="AP297" i="25"/>
  <c r="BW297" i="25"/>
  <c r="BF297" i="25"/>
  <c r="BU297" i="25"/>
  <c r="AU61" i="24"/>
  <c r="BB61" i="24" s="1"/>
  <c r="AW61" i="24"/>
  <c r="AU183" i="24"/>
  <c r="BB183" i="24" s="1"/>
  <c r="AW183" i="24"/>
  <c r="AR100" i="25"/>
  <c r="BH100" i="25"/>
  <c r="BW100" i="25"/>
  <c r="BF100" i="25"/>
  <c r="BU100" i="25"/>
  <c r="AU13" i="24"/>
  <c r="BB13" i="24" s="1"/>
  <c r="AW13" i="24"/>
  <c r="AR176" i="25"/>
  <c r="BH176" i="25"/>
  <c r="AP176" i="25"/>
  <c r="BF176" i="25"/>
  <c r="BU176" i="25"/>
  <c r="BW176" i="25"/>
  <c r="AU304" i="24"/>
  <c r="BB304" i="24" s="1"/>
  <c r="AW304" i="24"/>
  <c r="AU308" i="24"/>
  <c r="BB308" i="24" s="1"/>
  <c r="AW308" i="24"/>
  <c r="AU163" i="24"/>
  <c r="BB163" i="24" s="1"/>
  <c r="AW163" i="24"/>
  <c r="AR115" i="25"/>
  <c r="BH115" i="25"/>
  <c r="AP115" i="25"/>
  <c r="BW115" i="25"/>
  <c r="BF115" i="25"/>
  <c r="BU115" i="25"/>
  <c r="AR126" i="25"/>
  <c r="BJ126" i="25"/>
  <c r="BH126" i="25"/>
  <c r="AP126" i="25"/>
  <c r="BU126" i="25"/>
  <c r="BW126" i="25"/>
  <c r="BF126" i="25"/>
  <c r="AT71" i="25"/>
  <c r="AY71" i="25" s="1"/>
  <c r="AU71" i="25"/>
  <c r="AU276" i="24"/>
  <c r="BB276" i="24" s="1"/>
  <c r="AW276" i="24"/>
  <c r="AR295" i="25"/>
  <c r="BH295" i="25"/>
  <c r="AP295" i="25"/>
  <c r="BF295" i="25"/>
  <c r="BW295" i="25"/>
  <c r="BU295" i="25"/>
  <c r="AT276" i="25"/>
  <c r="AU276" i="25"/>
  <c r="AR284" i="25"/>
  <c r="BH284" i="25"/>
  <c r="AP284" i="25"/>
  <c r="BW284" i="25"/>
  <c r="BU284" i="25"/>
  <c r="BF284" i="25"/>
  <c r="AW249" i="24"/>
  <c r="AR117" i="25"/>
  <c r="BH117" i="25"/>
  <c r="AP117" i="25"/>
  <c r="BW117" i="25"/>
  <c r="BU117" i="25"/>
  <c r="BF117" i="25"/>
  <c r="AT6" i="25"/>
  <c r="AY6" i="25" s="1"/>
  <c r="AU6" i="25"/>
  <c r="AU195" i="24"/>
  <c r="BB195" i="24" s="1"/>
  <c r="AW195" i="24"/>
  <c r="AR162" i="25"/>
  <c r="BH162" i="25"/>
  <c r="AP162" i="25"/>
  <c r="BU162" i="25"/>
  <c r="BF162" i="25"/>
  <c r="BW162" i="25"/>
  <c r="AU161" i="24"/>
  <c r="BB161" i="24" s="1"/>
  <c r="AW161" i="24"/>
  <c r="AR133" i="25"/>
  <c r="BJ133" i="25"/>
  <c r="BH133" i="25"/>
  <c r="AP133" i="25"/>
  <c r="BF133" i="25"/>
  <c r="BU133" i="25"/>
  <c r="BW133" i="25"/>
  <c r="AU131" i="24"/>
  <c r="BB131" i="24" s="1"/>
  <c r="AW131" i="24"/>
  <c r="AT87" i="25"/>
  <c r="AY87" i="25" s="1"/>
  <c r="AU87" i="25"/>
  <c r="AT28" i="25"/>
  <c r="AY28" i="25" s="1"/>
  <c r="AU28" i="25"/>
  <c r="AW263" i="24"/>
  <c r="AR99" i="25"/>
  <c r="BH99" i="25"/>
  <c r="BU99" i="25"/>
  <c r="BF99" i="25"/>
  <c r="BW99" i="25"/>
  <c r="AY264" i="24"/>
  <c r="AZ264" i="24" s="1"/>
  <c r="BD264" i="24"/>
  <c r="BE264" i="24"/>
  <c r="BT264" i="24" s="1"/>
  <c r="AR287" i="25"/>
  <c r="BH287" i="25"/>
  <c r="AP287" i="25"/>
  <c r="BU287" i="25"/>
  <c r="BF287" i="25"/>
  <c r="BW287" i="25"/>
  <c r="AU146" i="24"/>
  <c r="BB146" i="24" s="1"/>
  <c r="AW146" i="24"/>
  <c r="AR138" i="25"/>
  <c r="BH138" i="25"/>
  <c r="AP138" i="25"/>
  <c r="BF138" i="25"/>
  <c r="BW138" i="25"/>
  <c r="BU138" i="25"/>
  <c r="AU270" i="24"/>
  <c r="BB270" i="24" s="1"/>
  <c r="AW270" i="24"/>
  <c r="AT167" i="25"/>
  <c r="AY167" i="25" s="1"/>
  <c r="AU167" i="25"/>
  <c r="AU158" i="24"/>
  <c r="BB158" i="24" s="1"/>
  <c r="AW158" i="24"/>
  <c r="AY7" i="24"/>
  <c r="AZ7" i="24" s="1"/>
  <c r="BE7" i="24"/>
  <c r="BT7" i="24" s="1"/>
  <c r="BD7" i="24"/>
  <c r="AU180" i="24"/>
  <c r="BB180" i="24" s="1"/>
  <c r="AW180" i="24"/>
  <c r="AW145" i="24"/>
  <c r="AU29" i="24"/>
  <c r="BB29" i="24" s="1"/>
  <c r="AW29" i="24"/>
  <c r="AR202" i="25"/>
  <c r="BJ202" i="25"/>
  <c r="BH202" i="25"/>
  <c r="BF202" i="25"/>
  <c r="BW202" i="25"/>
  <c r="BU202" i="25"/>
  <c r="AR44" i="25"/>
  <c r="BJ44" i="25"/>
  <c r="BH44" i="25"/>
  <c r="AP44" i="25"/>
  <c r="BW44" i="25"/>
  <c r="BU44" i="25"/>
  <c r="BF44" i="25"/>
  <c r="AT306" i="25"/>
  <c r="AU306" i="25"/>
  <c r="BJ101" i="25"/>
  <c r="AR101" i="25"/>
  <c r="BH101" i="25"/>
  <c r="BF101" i="25"/>
  <c r="BW101" i="25"/>
  <c r="BU101" i="25"/>
  <c r="AU143" i="24"/>
  <c r="BB143" i="24" s="1"/>
  <c r="AW143" i="24"/>
  <c r="AU82" i="24"/>
  <c r="BB82" i="24" s="1"/>
  <c r="AW82" i="24"/>
  <c r="AR172" i="25"/>
  <c r="BH172" i="25"/>
  <c r="AP172" i="25"/>
  <c r="BF172" i="25"/>
  <c r="BW172" i="25"/>
  <c r="BU172" i="25"/>
  <c r="AR316" i="25"/>
  <c r="BH316" i="25"/>
  <c r="AP316" i="25"/>
  <c r="BF316" i="25"/>
  <c r="BU316" i="25"/>
  <c r="BW316" i="25"/>
  <c r="AT255" i="25"/>
  <c r="AU255" i="25"/>
  <c r="AU169" i="24"/>
  <c r="BB169" i="24" s="1"/>
  <c r="AW169" i="24"/>
  <c r="AR156" i="25"/>
  <c r="BH156" i="25"/>
  <c r="AP156" i="25"/>
  <c r="BU156" i="25"/>
  <c r="BW156" i="25"/>
  <c r="BF156" i="25"/>
  <c r="AU68" i="24"/>
  <c r="BB68" i="24" s="1"/>
  <c r="AW68" i="24"/>
  <c r="AR216" i="25"/>
  <c r="BJ216" i="25"/>
  <c r="BH216" i="25"/>
  <c r="AP216" i="25"/>
  <c r="BF216" i="25"/>
  <c r="BW216" i="25"/>
  <c r="BU216" i="25"/>
  <c r="AT158" i="25"/>
  <c r="AY158" i="25" s="1"/>
  <c r="AU158" i="25"/>
  <c r="AW129" i="24"/>
  <c r="AU86" i="24"/>
  <c r="BB86" i="24" s="1"/>
  <c r="AW86" i="24"/>
  <c r="AW290" i="24"/>
  <c r="AR185" i="25"/>
  <c r="BH185" i="25"/>
  <c r="AP185" i="25"/>
  <c r="BF185" i="25"/>
  <c r="BW185" i="25"/>
  <c r="BU185" i="25"/>
  <c r="AR281" i="25"/>
  <c r="BJ281" i="25"/>
  <c r="BH281" i="25"/>
  <c r="AP281" i="25"/>
  <c r="BU281" i="25"/>
  <c r="BW281" i="25"/>
  <c r="BF281" i="25"/>
  <c r="AU289" i="24"/>
  <c r="BB289" i="24" s="1"/>
  <c r="AW289" i="24"/>
  <c r="AU64" i="24"/>
  <c r="BB64" i="24" s="1"/>
  <c r="AW64" i="24"/>
  <c r="AT261" i="25"/>
  <c r="AU261" i="25"/>
  <c r="AU174" i="24"/>
  <c r="BB174" i="24" s="1"/>
  <c r="AW174" i="24"/>
  <c r="AU221" i="24"/>
  <c r="BB221" i="24" s="1"/>
  <c r="AW221" i="24"/>
  <c r="AR48" i="25"/>
  <c r="BJ48" i="25"/>
  <c r="BH48" i="25"/>
  <c r="AP48" i="25"/>
  <c r="BF48" i="25"/>
  <c r="BU48" i="25"/>
  <c r="BW48" i="25"/>
  <c r="AU192" i="24"/>
  <c r="BB192" i="24" s="1"/>
  <c r="AW192" i="24"/>
  <c r="AT229" i="25"/>
  <c r="AU229" i="25"/>
  <c r="AU156" i="24"/>
  <c r="BB156" i="24" s="1"/>
  <c r="AW156" i="24"/>
  <c r="AR57" i="25"/>
  <c r="BH57" i="25"/>
  <c r="AP57" i="25"/>
  <c r="BF57" i="25"/>
  <c r="BU57" i="25"/>
  <c r="BW57" i="25"/>
  <c r="AU149" i="24"/>
  <c r="BB149" i="24" s="1"/>
  <c r="AW149" i="24"/>
  <c r="AR220" i="25"/>
  <c r="BJ220" i="25"/>
  <c r="BH220" i="25"/>
  <c r="AP220" i="25"/>
  <c r="BF220" i="25"/>
  <c r="BW220" i="25"/>
  <c r="BU220" i="25"/>
  <c r="BE132" i="24"/>
  <c r="BT132" i="24" s="1"/>
  <c r="BD132" i="24"/>
  <c r="AY132" i="24"/>
  <c r="AZ132" i="24" s="1"/>
  <c r="AT174" i="25"/>
  <c r="AY174" i="25" s="1"/>
  <c r="AU174" i="25"/>
  <c r="AT32" i="25"/>
  <c r="AY32" i="25" s="1"/>
  <c r="AU32" i="25"/>
  <c r="AT94" i="25"/>
  <c r="AY94" i="25" s="1"/>
  <c r="AU94" i="25"/>
  <c r="AR210" i="25"/>
  <c r="BJ210" i="25"/>
  <c r="BH210" i="25"/>
  <c r="BF210" i="25"/>
  <c r="BU210" i="25"/>
  <c r="BW210" i="25"/>
  <c r="AR182" i="25"/>
  <c r="BH182" i="25"/>
  <c r="AP182" i="25"/>
  <c r="BF182" i="25"/>
  <c r="BW182" i="25"/>
  <c r="BU182" i="25"/>
  <c r="AU277" i="24"/>
  <c r="BB277" i="24" s="1"/>
  <c r="AW277" i="24"/>
  <c r="AU154" i="24"/>
  <c r="BB154" i="24" s="1"/>
  <c r="AW154" i="24"/>
  <c r="AW17" i="24"/>
  <c r="BJ39" i="25"/>
  <c r="AR39" i="25"/>
  <c r="BH39" i="25"/>
  <c r="AP39" i="25"/>
  <c r="BF39" i="25"/>
  <c r="BU39" i="25"/>
  <c r="BW39" i="25"/>
  <c r="AW301" i="24"/>
  <c r="AR26" i="25"/>
  <c r="BJ26" i="25"/>
  <c r="BH26" i="25"/>
  <c r="AP26" i="25"/>
  <c r="BF26" i="25"/>
  <c r="BW26" i="25"/>
  <c r="BU26" i="25"/>
  <c r="AR163" i="25"/>
  <c r="BH163" i="25"/>
  <c r="AP163" i="25"/>
  <c r="BU163" i="25"/>
  <c r="BW163" i="25"/>
  <c r="BF163" i="25"/>
  <c r="AW274" i="24"/>
  <c r="AU69" i="24"/>
  <c r="BB69" i="24" s="1"/>
  <c r="AW69" i="24"/>
  <c r="AU27" i="24"/>
  <c r="BB27" i="24" s="1"/>
  <c r="AW27" i="24"/>
  <c r="AR299" i="25"/>
  <c r="BJ299" i="25"/>
  <c r="BH299" i="25"/>
  <c r="AP299" i="25"/>
  <c r="BU299" i="25"/>
  <c r="BF299" i="25"/>
  <c r="BW299" i="25"/>
  <c r="AT273" i="25"/>
  <c r="AU273" i="25"/>
  <c r="AW273" i="24"/>
  <c r="AR81" i="25"/>
  <c r="BH81" i="25"/>
  <c r="AP81" i="25"/>
  <c r="BF81" i="25"/>
  <c r="BW81" i="25"/>
  <c r="BU81" i="25"/>
  <c r="AW48" i="24"/>
  <c r="BJ76" i="25"/>
  <c r="AR76" i="25"/>
  <c r="BH76" i="25"/>
  <c r="AP76" i="25"/>
  <c r="BF76" i="25"/>
  <c r="BU76" i="25"/>
  <c r="BW76" i="25"/>
  <c r="AR134" i="25"/>
  <c r="BJ134" i="25"/>
  <c r="BH134" i="25"/>
  <c r="AP134" i="25"/>
  <c r="BW134" i="25"/>
  <c r="BU134" i="25"/>
  <c r="BF134" i="25"/>
  <c r="AR38" i="25"/>
  <c r="BJ38" i="25"/>
  <c r="BH38" i="25"/>
  <c r="AP38" i="25"/>
  <c r="BF38" i="25"/>
  <c r="BW38" i="25"/>
  <c r="BU38" i="25"/>
  <c r="AU75" i="24"/>
  <c r="BB75" i="24" s="1"/>
  <c r="AW75" i="24"/>
  <c r="AR224" i="25"/>
  <c r="BJ224" i="25"/>
  <c r="BH224" i="25"/>
  <c r="AP224" i="25"/>
  <c r="BU224" i="25"/>
  <c r="BW224" i="25"/>
  <c r="BF224" i="25"/>
  <c r="AU217" i="24"/>
  <c r="BB217" i="24" s="1"/>
  <c r="AW217" i="24"/>
  <c r="AR70" i="25"/>
  <c r="BJ70" i="25"/>
  <c r="BH70" i="25"/>
  <c r="AP70" i="25"/>
  <c r="BF70" i="25"/>
  <c r="BW70" i="25"/>
  <c r="BU70" i="25"/>
  <c r="BD44" i="24"/>
  <c r="BE44" i="24"/>
  <c r="BT44" i="24" s="1"/>
  <c r="AY44" i="24"/>
  <c r="AZ44" i="24" s="1"/>
  <c r="AT296" i="25"/>
  <c r="AU296" i="25"/>
  <c r="AU76" i="24"/>
  <c r="BB76" i="24" s="1"/>
  <c r="AW76" i="24"/>
  <c r="AR151" i="25"/>
  <c r="BH151" i="25"/>
  <c r="AP151" i="25"/>
  <c r="BF151" i="25"/>
  <c r="BU151" i="25"/>
  <c r="BW151" i="25"/>
  <c r="AT189" i="25"/>
  <c r="AY189" i="25" s="1"/>
  <c r="AU189" i="25"/>
  <c r="AR140" i="25"/>
  <c r="BJ140" i="25"/>
  <c r="BH140" i="25"/>
  <c r="AP140" i="25"/>
  <c r="BF140" i="25"/>
  <c r="BU140" i="25"/>
  <c r="BW140" i="25"/>
  <c r="BE101" i="24"/>
  <c r="BT101" i="24" s="1"/>
  <c r="BD101" i="24"/>
  <c r="AY101" i="24"/>
  <c r="AZ101" i="24" s="1"/>
  <c r="AR254" i="25"/>
  <c r="BJ254" i="25"/>
  <c r="BH254" i="25"/>
  <c r="AP254" i="25"/>
  <c r="BF254" i="25"/>
  <c r="BW254" i="25"/>
  <c r="BU254" i="25"/>
  <c r="AT293" i="25"/>
  <c r="AU293" i="25"/>
  <c r="AW269" i="24"/>
  <c r="AU312" i="24"/>
  <c r="BB312" i="24" s="1"/>
  <c r="AW312" i="24"/>
  <c r="AU198" i="24"/>
  <c r="BB198" i="24" s="1"/>
  <c r="AW198" i="24"/>
  <c r="AR130" i="25"/>
  <c r="BH130" i="25"/>
  <c r="AP130" i="25"/>
  <c r="BF130" i="25"/>
  <c r="BU130" i="25"/>
  <c r="BW130" i="25"/>
  <c r="AR279" i="25"/>
  <c r="BH279" i="25"/>
  <c r="AP279" i="25"/>
  <c r="BF279" i="25"/>
  <c r="BU279" i="25"/>
  <c r="BW279" i="25"/>
  <c r="AR308" i="25"/>
  <c r="BJ308" i="25"/>
  <c r="BH308" i="25"/>
  <c r="AP308" i="25"/>
  <c r="BW308" i="25"/>
  <c r="BU308" i="25"/>
  <c r="BF308" i="25"/>
  <c r="AU151" i="24"/>
  <c r="BB151" i="24" s="1"/>
  <c r="AW151" i="24"/>
  <c r="AU176" i="24"/>
  <c r="BB176" i="24" s="1"/>
  <c r="AW176" i="24"/>
  <c r="AU182" i="24"/>
  <c r="BB182" i="24" s="1"/>
  <c r="AW182" i="24"/>
  <c r="BJ66" i="25"/>
  <c r="AR66" i="25"/>
  <c r="BH66" i="25"/>
  <c r="AP66" i="25"/>
  <c r="BF66" i="25"/>
  <c r="BU66" i="25"/>
  <c r="BW66" i="25"/>
  <c r="AT148" i="25"/>
  <c r="AY148" i="25" s="1"/>
  <c r="AU148" i="25"/>
  <c r="AU98" i="24"/>
  <c r="BB98" i="24" s="1"/>
  <c r="AW98" i="24"/>
  <c r="AU287" i="24"/>
  <c r="BB287" i="24" s="1"/>
  <c r="AW287" i="24"/>
  <c r="AR304" i="25"/>
  <c r="BJ304" i="25"/>
  <c r="BH304" i="25"/>
  <c r="AP304" i="25"/>
  <c r="BW304" i="25"/>
  <c r="BU304" i="25"/>
  <c r="BF304" i="25"/>
  <c r="AT201" i="25"/>
  <c r="AY201" i="25" s="1"/>
  <c r="AU201" i="25"/>
  <c r="E84" i="1" l="1"/>
  <c r="E85" i="1" s="1"/>
  <c r="AU11" i="25"/>
  <c r="AT104" i="25"/>
  <c r="AY104" i="25" s="1"/>
  <c r="AT96" i="25"/>
  <c r="AY96" i="25" s="1"/>
  <c r="AT258" i="25"/>
  <c r="BD12" i="24"/>
  <c r="BG12" i="24" s="1"/>
  <c r="BM12" i="24" s="1"/>
  <c r="AU97" i="25"/>
  <c r="BB97" i="25" s="1"/>
  <c r="BS97" i="25" s="1"/>
  <c r="BE240" i="24"/>
  <c r="BT240" i="24" s="1"/>
  <c r="BD283" i="24"/>
  <c r="BS283" i="24" s="1"/>
  <c r="BD147" i="24"/>
  <c r="BG147" i="24" s="1"/>
  <c r="AY147" i="24"/>
  <c r="AZ147" i="24" s="1"/>
  <c r="BX292" i="24"/>
  <c r="AT179" i="25"/>
  <c r="AY179" i="25" s="1"/>
  <c r="AU265" i="25"/>
  <c r="BB265" i="25" s="1"/>
  <c r="BS265" i="25" s="1"/>
  <c r="BD18" i="24"/>
  <c r="BS18" i="24" s="1"/>
  <c r="BV18" i="24" s="1"/>
  <c r="BX18" i="24" s="1"/>
  <c r="AU154" i="25"/>
  <c r="BB154" i="25" s="1"/>
  <c r="BS154" i="25" s="1"/>
  <c r="BE259" i="24"/>
  <c r="BT259" i="24" s="1"/>
  <c r="BE283" i="24"/>
  <c r="BT283" i="24" s="1"/>
  <c r="BD219" i="24"/>
  <c r="BG219" i="24" s="1"/>
  <c r="BE219" i="24"/>
  <c r="BT219" i="24" s="1"/>
  <c r="BE260" i="24"/>
  <c r="BT260" i="24" s="1"/>
  <c r="BE265" i="24"/>
  <c r="BT265" i="24" s="1"/>
  <c r="AY260" i="24"/>
  <c r="AZ260" i="24" s="1"/>
  <c r="BD265" i="24"/>
  <c r="BG265" i="24" s="1"/>
  <c r="AY12" i="24"/>
  <c r="AZ12" i="24" s="1"/>
  <c r="BE111" i="24"/>
  <c r="BT111" i="24" s="1"/>
  <c r="AY111" i="24"/>
  <c r="AZ111" i="24" s="1"/>
  <c r="BE120" i="24"/>
  <c r="BT120" i="24" s="1"/>
  <c r="AY305" i="24"/>
  <c r="AZ305" i="24" s="1"/>
  <c r="BD120" i="24"/>
  <c r="BS120" i="24" s="1"/>
  <c r="AY18" i="24"/>
  <c r="AZ18" i="24" s="1"/>
  <c r="AY259" i="24"/>
  <c r="AZ259" i="24" s="1"/>
  <c r="AY240" i="24"/>
  <c r="AZ240" i="24" s="1"/>
  <c r="BE242" i="24"/>
  <c r="BT242" i="24" s="1"/>
  <c r="BD242" i="24"/>
  <c r="BG242" i="24" s="1"/>
  <c r="BE135" i="24"/>
  <c r="BT135" i="24" s="1"/>
  <c r="AY135" i="24"/>
  <c r="AZ135" i="24" s="1"/>
  <c r="BD295" i="24"/>
  <c r="BG295" i="24" s="1"/>
  <c r="BE295" i="24"/>
  <c r="BT295" i="24" s="1"/>
  <c r="BD298" i="24"/>
  <c r="BG298" i="24" s="1"/>
  <c r="AY298" i="24"/>
  <c r="AZ298" i="24" s="1"/>
  <c r="BE26" i="24"/>
  <c r="BT26" i="24" s="1"/>
  <c r="BD112" i="24"/>
  <c r="BG112" i="24" s="1"/>
  <c r="AY248" i="24"/>
  <c r="AZ248" i="24" s="1"/>
  <c r="BD121" i="24"/>
  <c r="BS121" i="24" s="1"/>
  <c r="BE121" i="24"/>
  <c r="BT121" i="24" s="1"/>
  <c r="BD34" i="24"/>
  <c r="BG34" i="24" s="1"/>
  <c r="BM34" i="24" s="1"/>
  <c r="AY19" i="24"/>
  <c r="AZ19" i="24" s="1"/>
  <c r="BE247" i="24"/>
  <c r="BT247" i="24" s="1"/>
  <c r="BE19" i="24"/>
  <c r="BT19" i="24" s="1"/>
  <c r="AY279" i="24"/>
  <c r="AZ279" i="24" s="1"/>
  <c r="BD279" i="24"/>
  <c r="BG279" i="24" s="1"/>
  <c r="BE117" i="24"/>
  <c r="BT117" i="24" s="1"/>
  <c r="BD253" i="24"/>
  <c r="BG253" i="24" s="1"/>
  <c r="AY253" i="24"/>
  <c r="AZ253" i="24" s="1"/>
  <c r="BE296" i="24"/>
  <c r="BT296" i="24" s="1"/>
  <c r="BD296" i="24"/>
  <c r="BG296" i="24" s="1"/>
  <c r="BD26" i="24"/>
  <c r="BS26" i="24" s="1"/>
  <c r="AY228" i="24"/>
  <c r="AZ228" i="24" s="1"/>
  <c r="BD20" i="24"/>
  <c r="BG20" i="24" s="1"/>
  <c r="BM20" i="24" s="1"/>
  <c r="BD247" i="24"/>
  <c r="BG247" i="24" s="1"/>
  <c r="BD232" i="24"/>
  <c r="BG232" i="24" s="1"/>
  <c r="AY232" i="24"/>
  <c r="AZ232" i="24" s="1"/>
  <c r="AY20" i="24"/>
  <c r="AZ20" i="24" s="1"/>
  <c r="BE34" i="24"/>
  <c r="BT34" i="24" s="1"/>
  <c r="BD228" i="24"/>
  <c r="BS228" i="24" s="1"/>
  <c r="BX228" i="24" s="1"/>
  <c r="BE130" i="24"/>
  <c r="BT130" i="24" s="1"/>
  <c r="BD130" i="24"/>
  <c r="BG130" i="24" s="1"/>
  <c r="BD28" i="24"/>
  <c r="BS28" i="24" s="1"/>
  <c r="BV28" i="24" s="1"/>
  <c r="BX28" i="24" s="1"/>
  <c r="BD238" i="24"/>
  <c r="BG238" i="24" s="1"/>
  <c r="AY280" i="24"/>
  <c r="AZ280" i="24" s="1"/>
  <c r="AY28" i="24"/>
  <c r="AZ28" i="24" s="1"/>
  <c r="BE238" i="24"/>
  <c r="BT238" i="24" s="1"/>
  <c r="AY33" i="24"/>
  <c r="AZ33" i="24" s="1"/>
  <c r="BD280" i="24"/>
  <c r="BG280" i="24" s="1"/>
  <c r="AY6" i="24"/>
  <c r="AZ6" i="24" s="1"/>
  <c r="BE152" i="24"/>
  <c r="BT152" i="24" s="1"/>
  <c r="BD152" i="24"/>
  <c r="BS152" i="24" s="1"/>
  <c r="AY282" i="24"/>
  <c r="AZ282" i="24" s="1"/>
  <c r="AT237" i="25"/>
  <c r="AU237" i="25"/>
  <c r="AS212" i="25"/>
  <c r="AF212" i="25"/>
  <c r="AE212" i="25"/>
  <c r="BD282" i="24"/>
  <c r="BG282" i="24" s="1"/>
  <c r="BE6" i="24"/>
  <c r="BT6" i="24" s="1"/>
  <c r="BE112" i="24"/>
  <c r="BT112" i="24" s="1"/>
  <c r="AY224" i="24"/>
  <c r="AZ224" i="24" s="1"/>
  <c r="BD117" i="24"/>
  <c r="BG117" i="24" s="1"/>
  <c r="BD224" i="24"/>
  <c r="BS224" i="24" s="1"/>
  <c r="BX224" i="24" s="1"/>
  <c r="BE58" i="24"/>
  <c r="BT58" i="24" s="1"/>
  <c r="BD299" i="24"/>
  <c r="BG299" i="24" s="1"/>
  <c r="BD148" i="24"/>
  <c r="BG148" i="24" s="1"/>
  <c r="AY58" i="24"/>
  <c r="AZ58" i="24" s="1"/>
  <c r="AY148" i="24"/>
  <c r="AZ148" i="24" s="1"/>
  <c r="BE33" i="24"/>
  <c r="BT33" i="24" s="1"/>
  <c r="BE248" i="24"/>
  <c r="BT248" i="24" s="1"/>
  <c r="AT77" i="25"/>
  <c r="AY77" i="25" s="1"/>
  <c r="AU77" i="25"/>
  <c r="BE299" i="24"/>
  <c r="BT299" i="24" s="1"/>
  <c r="BD54" i="24"/>
  <c r="BG54" i="24" s="1"/>
  <c r="BM54" i="24" s="1"/>
  <c r="AY24" i="24"/>
  <c r="AZ24" i="24" s="1"/>
  <c r="AY54" i="24"/>
  <c r="AZ54" i="24" s="1"/>
  <c r="BD24" i="24"/>
  <c r="BG24" i="24" s="1"/>
  <c r="BM24" i="24" s="1"/>
  <c r="BD305" i="24"/>
  <c r="BG305" i="24" s="1"/>
  <c r="BE269" i="24"/>
  <c r="BT269" i="24" s="1"/>
  <c r="AY269" i="24"/>
  <c r="AZ269" i="24" s="1"/>
  <c r="BD269" i="24"/>
  <c r="AT163" i="25"/>
  <c r="AY163" i="25" s="1"/>
  <c r="AU163" i="25"/>
  <c r="AT66" i="25"/>
  <c r="AY66" i="25" s="1"/>
  <c r="AU66" i="25"/>
  <c r="AT130" i="25"/>
  <c r="AY130" i="25" s="1"/>
  <c r="AU130" i="25"/>
  <c r="AT140" i="25"/>
  <c r="AY140" i="25" s="1"/>
  <c r="AU140" i="25"/>
  <c r="BB296" i="25"/>
  <c r="BS296" i="25" s="1"/>
  <c r="BA296" i="25"/>
  <c r="BC296" i="25"/>
  <c r="BT296" i="25" s="1"/>
  <c r="AT224" i="25"/>
  <c r="AU224" i="25"/>
  <c r="AT134" i="25"/>
  <c r="AY134" i="25" s="1"/>
  <c r="AU134" i="25"/>
  <c r="AT26" i="25"/>
  <c r="AY26" i="25" s="1"/>
  <c r="AU26" i="25"/>
  <c r="BE154" i="24"/>
  <c r="BT154" i="24" s="1"/>
  <c r="AY154" i="24"/>
  <c r="AZ154" i="24" s="1"/>
  <c r="BD154" i="24"/>
  <c r="AT220" i="25"/>
  <c r="AU220" i="25"/>
  <c r="L16" i="1"/>
  <c r="BE169" i="24"/>
  <c r="BT169" i="24" s="1"/>
  <c r="BD169" i="24"/>
  <c r="AY169" i="24"/>
  <c r="AZ169" i="24" s="1"/>
  <c r="AT101" i="25"/>
  <c r="AY101" i="25" s="1"/>
  <c r="AU101" i="25"/>
  <c r="AY29" i="24"/>
  <c r="AZ29" i="24" s="1"/>
  <c r="BD29" i="24"/>
  <c r="BE29" i="24"/>
  <c r="BT29" i="24" s="1"/>
  <c r="AT133" i="25"/>
  <c r="AY133" i="25" s="1"/>
  <c r="AU133" i="25"/>
  <c r="AT297" i="25"/>
  <c r="AU297" i="25"/>
  <c r="BD144" i="24"/>
  <c r="BE144" i="24"/>
  <c r="BT144" i="24" s="1"/>
  <c r="AY144" i="24"/>
  <c r="AZ144" i="24" s="1"/>
  <c r="AT139" i="25"/>
  <c r="AY139" i="25" s="1"/>
  <c r="AU139" i="25"/>
  <c r="AT278" i="25"/>
  <c r="AU278" i="25"/>
  <c r="AT315" i="25"/>
  <c r="AU315" i="25"/>
  <c r="BD171" i="24"/>
  <c r="AY171" i="24"/>
  <c r="AZ171" i="24" s="1"/>
  <c r="BE171" i="24"/>
  <c r="BT171" i="24" s="1"/>
  <c r="BD316" i="24"/>
  <c r="BE316" i="24"/>
  <c r="BT316" i="24" s="1"/>
  <c r="AY316" i="24"/>
  <c r="AZ316" i="24" s="1"/>
  <c r="BB198" i="25"/>
  <c r="BS198" i="25" s="1"/>
  <c r="BC198" i="25"/>
  <c r="BT198" i="25" s="1"/>
  <c r="BA198" i="25"/>
  <c r="BD99" i="24"/>
  <c r="AY99" i="24"/>
  <c r="AZ99" i="24" s="1"/>
  <c r="BE99" i="24"/>
  <c r="BT99" i="24" s="1"/>
  <c r="BD306" i="24"/>
  <c r="BE306" i="24"/>
  <c r="BT306" i="24" s="1"/>
  <c r="AY306" i="24"/>
  <c r="AZ306" i="24" s="1"/>
  <c r="AT118" i="25"/>
  <c r="AY118" i="25" s="1"/>
  <c r="AU118" i="25"/>
  <c r="BD310" i="24"/>
  <c r="AY310" i="24"/>
  <c r="AZ310" i="24" s="1"/>
  <c r="BE310" i="24"/>
  <c r="BT310" i="24" s="1"/>
  <c r="AT68" i="25"/>
  <c r="AY68" i="25" s="1"/>
  <c r="AU68" i="25"/>
  <c r="BC177" i="25"/>
  <c r="BT177" i="25" s="1"/>
  <c r="BA177" i="25"/>
  <c r="BB177" i="25"/>
  <c r="BS177" i="25" s="1"/>
  <c r="BA292" i="25"/>
  <c r="BC292" i="25"/>
  <c r="BT292" i="25" s="1"/>
  <c r="BB292" i="25"/>
  <c r="BS292" i="25" s="1"/>
  <c r="AT289" i="25"/>
  <c r="AU289" i="25"/>
  <c r="BG142" i="24"/>
  <c r="BS142" i="24"/>
  <c r="BX142" i="24" s="1"/>
  <c r="AT85" i="25"/>
  <c r="AY85" i="25" s="1"/>
  <c r="AU85" i="25"/>
  <c r="BE105" i="24"/>
  <c r="BT105" i="24" s="1"/>
  <c r="AY105" i="24"/>
  <c r="AZ105" i="24" s="1"/>
  <c r="BD105" i="24"/>
  <c r="BE311" i="24"/>
  <c r="BT311" i="24" s="1"/>
  <c r="AY311" i="24"/>
  <c r="AZ311" i="24" s="1"/>
  <c r="BD311" i="24"/>
  <c r="AT244" i="25"/>
  <c r="AU244" i="25"/>
  <c r="AT60" i="25"/>
  <c r="AY60" i="25" s="1"/>
  <c r="AU60" i="25"/>
  <c r="BD51" i="24"/>
  <c r="AY51" i="24"/>
  <c r="AZ51" i="24" s="1"/>
  <c r="BE51" i="24"/>
  <c r="BT51" i="24" s="1"/>
  <c r="AT157" i="25"/>
  <c r="AY157" i="25" s="1"/>
  <c r="AU157" i="25"/>
  <c r="BD285" i="24"/>
  <c r="AY285" i="24"/>
  <c r="AZ285" i="24" s="1"/>
  <c r="BE285" i="24"/>
  <c r="BT285" i="24" s="1"/>
  <c r="BA257" i="25"/>
  <c r="BC257" i="25"/>
  <c r="BT257" i="25" s="1"/>
  <c r="BB257" i="25"/>
  <c r="BS257" i="25" s="1"/>
  <c r="AT286" i="25"/>
  <c r="AU286" i="25"/>
  <c r="AT264" i="25"/>
  <c r="AU264" i="25"/>
  <c r="BA248" i="25"/>
  <c r="BC248" i="25"/>
  <c r="BT248" i="25" s="1"/>
  <c r="BB248" i="25"/>
  <c r="BS248" i="25" s="1"/>
  <c r="AY31" i="24"/>
  <c r="AZ31" i="24" s="1"/>
  <c r="BE31" i="24"/>
  <c r="BT31" i="24" s="1"/>
  <c r="BD31" i="24"/>
  <c r="AY10" i="24"/>
  <c r="AZ10" i="24" s="1"/>
  <c r="BD10" i="24"/>
  <c r="BE10" i="24"/>
  <c r="BT10" i="24" s="1"/>
  <c r="AY313" i="24"/>
  <c r="AZ313" i="24" s="1"/>
  <c r="BD313" i="24"/>
  <c r="BE313" i="24"/>
  <c r="BT313" i="24" s="1"/>
  <c r="BD140" i="24"/>
  <c r="AY140" i="24"/>
  <c r="AZ140" i="24" s="1"/>
  <c r="BE140" i="24"/>
  <c r="BT140" i="24" s="1"/>
  <c r="BS45" i="24"/>
  <c r="BV45" i="24" s="1"/>
  <c r="BX45" i="24" s="1"/>
  <c r="BG45" i="24"/>
  <c r="BM45" i="24" s="1"/>
  <c r="AT307" i="25"/>
  <c r="AU307" i="25"/>
  <c r="BE143" i="25"/>
  <c r="BR143" i="25"/>
  <c r="BX143" i="25" s="1"/>
  <c r="BG119" i="24"/>
  <c r="BS119" i="24"/>
  <c r="BX119" i="24" s="1"/>
  <c r="AT183" i="25"/>
  <c r="AY183" i="25" s="1"/>
  <c r="AU183" i="25"/>
  <c r="BE16" i="24"/>
  <c r="BT16" i="24" s="1"/>
  <c r="BD16" i="24"/>
  <c r="AY16" i="24"/>
  <c r="AZ16" i="24" s="1"/>
  <c r="BG160" i="24"/>
  <c r="BS160" i="24"/>
  <c r="BX160" i="24" s="1"/>
  <c r="AY104" i="24"/>
  <c r="AZ104" i="24" s="1"/>
  <c r="BD104" i="24"/>
  <c r="BE104" i="24"/>
  <c r="BT104" i="24" s="1"/>
  <c r="AT65" i="25"/>
  <c r="AY65" i="25" s="1"/>
  <c r="AU65" i="25"/>
  <c r="BE40" i="24"/>
  <c r="BT40" i="24" s="1"/>
  <c r="AY40" i="24"/>
  <c r="AZ40" i="24" s="1"/>
  <c r="BD40" i="24"/>
  <c r="BE234" i="24"/>
  <c r="BT234" i="24" s="1"/>
  <c r="BD234" i="24"/>
  <c r="AY234" i="24"/>
  <c r="AZ234" i="24" s="1"/>
  <c r="AT20" i="25"/>
  <c r="AY20" i="25" s="1"/>
  <c r="AU20" i="25"/>
  <c r="BD73" i="24"/>
  <c r="AY73" i="24"/>
  <c r="AZ73" i="24" s="1"/>
  <c r="BE73" i="24"/>
  <c r="BT73" i="24" s="1"/>
  <c r="BC173" i="25"/>
  <c r="BT173" i="25" s="1"/>
  <c r="BB173" i="25"/>
  <c r="BS173" i="25" s="1"/>
  <c r="BA173" i="25"/>
  <c r="BE103" i="24"/>
  <c r="BT103" i="24" s="1"/>
  <c r="BD103" i="24"/>
  <c r="AY103" i="24"/>
  <c r="AZ103" i="24" s="1"/>
  <c r="AT241" i="25"/>
  <c r="AU241" i="25"/>
  <c r="BE100" i="24"/>
  <c r="BT100" i="24" s="1"/>
  <c r="BD100" i="24"/>
  <c r="AY100" i="24"/>
  <c r="AZ100" i="24" s="1"/>
  <c r="BC104" i="25"/>
  <c r="BT104" i="25" s="1"/>
  <c r="BA104" i="25"/>
  <c r="BB104" i="25"/>
  <c r="BS104" i="25" s="1"/>
  <c r="BE151" i="24"/>
  <c r="BT151" i="24" s="1"/>
  <c r="BD151" i="24"/>
  <c r="AY151" i="24"/>
  <c r="AZ151" i="24" s="1"/>
  <c r="AT308" i="25"/>
  <c r="AU308" i="25"/>
  <c r="AT279" i="25"/>
  <c r="AU279" i="25"/>
  <c r="BD75" i="24"/>
  <c r="AY75" i="24"/>
  <c r="AZ75" i="24" s="1"/>
  <c r="BE75" i="24"/>
  <c r="BT75" i="24" s="1"/>
  <c r="AT38" i="25"/>
  <c r="AY38" i="25" s="1"/>
  <c r="AU38" i="25"/>
  <c r="AY48" i="24"/>
  <c r="AZ48" i="24" s="1"/>
  <c r="BE48" i="24"/>
  <c r="BT48" i="24" s="1"/>
  <c r="BD48" i="24"/>
  <c r="AT81" i="25"/>
  <c r="AY81" i="25" s="1"/>
  <c r="AU81" i="25"/>
  <c r="BE129" i="24"/>
  <c r="BT129" i="24" s="1"/>
  <c r="BD129" i="24"/>
  <c r="AY129" i="24"/>
  <c r="AZ129" i="24" s="1"/>
  <c r="BD263" i="24"/>
  <c r="AY263" i="24"/>
  <c r="AZ263" i="24" s="1"/>
  <c r="BE263" i="24"/>
  <c r="BT263" i="24" s="1"/>
  <c r="BD195" i="24"/>
  <c r="AY195" i="24"/>
  <c r="AZ195" i="24" s="1"/>
  <c r="BE195" i="24"/>
  <c r="BT195" i="24" s="1"/>
  <c r="BA276" i="25"/>
  <c r="BB276" i="25"/>
  <c r="BS276" i="25" s="1"/>
  <c r="BC276" i="25"/>
  <c r="BT276" i="25" s="1"/>
  <c r="AT295" i="25"/>
  <c r="AU295" i="25"/>
  <c r="AT115" i="25"/>
  <c r="AY115" i="25" s="1"/>
  <c r="AU115" i="25"/>
  <c r="BE61" i="24"/>
  <c r="BT61" i="24" s="1"/>
  <c r="BD61" i="24"/>
  <c r="AY61" i="24"/>
  <c r="AZ61" i="24" s="1"/>
  <c r="AY62" i="24"/>
  <c r="AZ62" i="24" s="1"/>
  <c r="BE62" i="24"/>
  <c r="BT62" i="24" s="1"/>
  <c r="BD62" i="24"/>
  <c r="BE256" i="24"/>
  <c r="BT256" i="24" s="1"/>
  <c r="AY256" i="24"/>
  <c r="AZ256" i="24" s="1"/>
  <c r="BD256" i="24"/>
  <c r="BS55" i="24"/>
  <c r="BV55" i="24" s="1"/>
  <c r="BX55" i="24" s="1"/>
  <c r="BG55" i="24"/>
  <c r="BM55" i="24" s="1"/>
  <c r="AT288" i="25"/>
  <c r="AU288" i="25"/>
  <c r="AT245" i="25"/>
  <c r="AU245" i="25"/>
  <c r="BG111" i="24"/>
  <c r="BS111" i="24"/>
  <c r="BD8" i="24"/>
  <c r="BE8" i="24"/>
  <c r="BT8" i="24" s="1"/>
  <c r="AY8" i="24"/>
  <c r="AZ8" i="24" s="1"/>
  <c r="AT187" i="25"/>
  <c r="AY187" i="25" s="1"/>
  <c r="AU187" i="25"/>
  <c r="BD185" i="24"/>
  <c r="AY185" i="24"/>
  <c r="AZ185" i="24" s="1"/>
  <c r="BE185" i="24"/>
  <c r="BT185" i="24" s="1"/>
  <c r="AT225" i="25"/>
  <c r="AU225" i="25"/>
  <c r="BE252" i="24"/>
  <c r="BT252" i="24" s="1"/>
  <c r="AY252" i="24"/>
  <c r="AZ252" i="24" s="1"/>
  <c r="BD252" i="24"/>
  <c r="AY271" i="24"/>
  <c r="AZ271" i="24" s="1"/>
  <c r="BD271" i="24"/>
  <c r="BE271" i="24"/>
  <c r="BT271" i="24" s="1"/>
  <c r="AT270" i="25"/>
  <c r="AU270" i="25"/>
  <c r="AT251" i="25"/>
  <c r="AU251" i="25"/>
  <c r="AT197" i="25"/>
  <c r="AY197" i="25" s="1"/>
  <c r="AU197" i="25"/>
  <c r="BG190" i="24"/>
  <c r="BS190" i="24"/>
  <c r="BX190" i="24" s="1"/>
  <c r="AT69" i="25"/>
  <c r="AY69" i="25" s="1"/>
  <c r="AU69" i="25"/>
  <c r="BE71" i="24"/>
  <c r="BT71" i="24" s="1"/>
  <c r="AY71" i="24"/>
  <c r="AZ71" i="24" s="1"/>
  <c r="BD71" i="24"/>
  <c r="AT266" i="25"/>
  <c r="AU266" i="25"/>
  <c r="AT91" i="25"/>
  <c r="AY91" i="25" s="1"/>
  <c r="AU91" i="25"/>
  <c r="BC92" i="25"/>
  <c r="BT92" i="25" s="1"/>
  <c r="BB92" i="25"/>
  <c r="BS92" i="25" s="1"/>
  <c r="BA92" i="25"/>
  <c r="BE128" i="24"/>
  <c r="BT128" i="24" s="1"/>
  <c r="BD128" i="24"/>
  <c r="AY128" i="24"/>
  <c r="AZ128" i="24" s="1"/>
  <c r="BE32" i="24"/>
  <c r="BT32" i="24" s="1"/>
  <c r="BD32" i="24"/>
  <c r="AY32" i="24"/>
  <c r="AZ32" i="24" s="1"/>
  <c r="BA199" i="25"/>
  <c r="BB199" i="25"/>
  <c r="BS199" i="25" s="1"/>
  <c r="BC199" i="25"/>
  <c r="BT199" i="25" s="1"/>
  <c r="BE91" i="24"/>
  <c r="BT91" i="24" s="1"/>
  <c r="BD91" i="24"/>
  <c r="AY91" i="24"/>
  <c r="AZ91" i="24" s="1"/>
  <c r="AT149" i="25"/>
  <c r="AY149" i="25" s="1"/>
  <c r="AU149" i="25"/>
  <c r="AT271" i="25"/>
  <c r="AU271" i="25"/>
  <c r="AT152" i="25"/>
  <c r="AY152" i="25" s="1"/>
  <c r="AU152" i="25"/>
  <c r="BE122" i="24"/>
  <c r="BT122" i="24" s="1"/>
  <c r="BD122" i="24"/>
  <c r="AY122" i="24"/>
  <c r="AZ122" i="24" s="1"/>
  <c r="AT252" i="25"/>
  <c r="AU252" i="25"/>
  <c r="BE56" i="24"/>
  <c r="BT56" i="24" s="1"/>
  <c r="AY56" i="24"/>
  <c r="AZ56" i="24" s="1"/>
  <c r="BD56" i="24"/>
  <c r="AT166" i="25"/>
  <c r="AY166" i="25" s="1"/>
  <c r="AU166" i="25"/>
  <c r="BG162" i="24"/>
  <c r="BS162" i="24"/>
  <c r="BX162" i="24" s="1"/>
  <c r="BC31" i="25"/>
  <c r="BT31" i="25" s="1"/>
  <c r="BB31" i="25"/>
  <c r="BS31" i="25" s="1"/>
  <c r="BA31" i="25"/>
  <c r="BE83" i="24"/>
  <c r="BT83" i="24" s="1"/>
  <c r="BD83" i="24"/>
  <c r="AY83" i="24"/>
  <c r="AZ83" i="24" s="1"/>
  <c r="AT309" i="25"/>
  <c r="AU309" i="25"/>
  <c r="AT205" i="25"/>
  <c r="AY205" i="25" s="1"/>
  <c r="AU205" i="25"/>
  <c r="AT58" i="25"/>
  <c r="AY58" i="25" s="1"/>
  <c r="AU58" i="25"/>
  <c r="BD137" i="24"/>
  <c r="BE137" i="24"/>
  <c r="BT137" i="24" s="1"/>
  <c r="AY137" i="24"/>
  <c r="AZ137" i="24" s="1"/>
  <c r="BG257" i="24"/>
  <c r="BS257" i="24"/>
  <c r="BX257" i="24" s="1"/>
  <c r="AT17" i="25"/>
  <c r="AY17" i="25" s="1"/>
  <c r="AU17" i="25"/>
  <c r="BD14" i="24"/>
  <c r="BE14" i="24"/>
  <c r="BT14" i="24" s="1"/>
  <c r="AY14" i="24"/>
  <c r="AZ14" i="24" s="1"/>
  <c r="AT41" i="25"/>
  <c r="AY41" i="25" s="1"/>
  <c r="AU41" i="25"/>
  <c r="AT67" i="25"/>
  <c r="AY67" i="25" s="1"/>
  <c r="AU67" i="25"/>
  <c r="AT303" i="25"/>
  <c r="AU303" i="25"/>
  <c r="BA95" i="25"/>
  <c r="BC95" i="25"/>
  <c r="BT95" i="25" s="1"/>
  <c r="BB95" i="25"/>
  <c r="BS95" i="25" s="1"/>
  <c r="AT235" i="25"/>
  <c r="AU235" i="25"/>
  <c r="BG233" i="24"/>
  <c r="BS233" i="24"/>
  <c r="BX233" i="24" s="1"/>
  <c r="BE57" i="24"/>
  <c r="BT57" i="24" s="1"/>
  <c r="BD57" i="24"/>
  <c r="AY57" i="24"/>
  <c r="AZ57" i="24" s="1"/>
  <c r="BE255" i="24"/>
  <c r="BT255" i="24" s="1"/>
  <c r="BD255" i="24"/>
  <c r="AY255" i="24"/>
  <c r="AZ255" i="24" s="1"/>
  <c r="AY218" i="24"/>
  <c r="AZ218" i="24" s="1"/>
  <c r="BD218" i="24"/>
  <c r="BE218" i="24"/>
  <c r="BT218" i="24" s="1"/>
  <c r="AY138" i="24"/>
  <c r="AZ138" i="24" s="1"/>
  <c r="BE138" i="24"/>
  <c r="BT138" i="24" s="1"/>
  <c r="BD138" i="24"/>
  <c r="BE90" i="24"/>
  <c r="BT90" i="24" s="1"/>
  <c r="AY90" i="24"/>
  <c r="AZ90" i="24" s="1"/>
  <c r="BD90" i="24"/>
  <c r="BD38" i="24"/>
  <c r="BE38" i="24"/>
  <c r="BT38" i="24" s="1"/>
  <c r="AY38" i="24"/>
  <c r="AZ38" i="24" s="1"/>
  <c r="BE258" i="24"/>
  <c r="BT258" i="24" s="1"/>
  <c r="BD258" i="24"/>
  <c r="AY258" i="24"/>
  <c r="AZ258" i="24" s="1"/>
  <c r="AT124" i="25"/>
  <c r="AY124" i="25" s="1"/>
  <c r="AU124" i="25"/>
  <c r="AT193" i="25"/>
  <c r="AY193" i="25" s="1"/>
  <c r="AU193" i="25"/>
  <c r="BA201" i="25"/>
  <c r="BB201" i="25"/>
  <c r="BS201" i="25" s="1"/>
  <c r="BC201" i="25"/>
  <c r="BT201" i="25" s="1"/>
  <c r="AY182" i="24"/>
  <c r="AZ182" i="24" s="1"/>
  <c r="BE182" i="24"/>
  <c r="BT182" i="24" s="1"/>
  <c r="BD182" i="24"/>
  <c r="BD198" i="24"/>
  <c r="BE198" i="24"/>
  <c r="BT198" i="24" s="1"/>
  <c r="AY198" i="24"/>
  <c r="AZ198" i="24" s="1"/>
  <c r="BC189" i="25"/>
  <c r="BT189" i="25" s="1"/>
  <c r="BA189" i="25"/>
  <c r="BB189" i="25"/>
  <c r="BS189" i="25" s="1"/>
  <c r="AT151" i="25"/>
  <c r="AY151" i="25" s="1"/>
  <c r="AU151" i="25"/>
  <c r="BD273" i="24"/>
  <c r="AY273" i="24"/>
  <c r="AZ273" i="24" s="1"/>
  <c r="BE273" i="24"/>
  <c r="BT273" i="24" s="1"/>
  <c r="BA32" i="25"/>
  <c r="BB32" i="25"/>
  <c r="BS32" i="25" s="1"/>
  <c r="BC32" i="25"/>
  <c r="BT32" i="25" s="1"/>
  <c r="BG132" i="24"/>
  <c r="BS132" i="24"/>
  <c r="BX132" i="24" s="1"/>
  <c r="AT57" i="25"/>
  <c r="AY57" i="25" s="1"/>
  <c r="AU57" i="25"/>
  <c r="AY192" i="24"/>
  <c r="AZ192" i="24" s="1"/>
  <c r="BD192" i="24"/>
  <c r="BE192" i="24"/>
  <c r="BT192" i="24" s="1"/>
  <c r="AT48" i="25"/>
  <c r="AY48" i="25" s="1"/>
  <c r="AU48" i="25"/>
  <c r="BA158" i="25"/>
  <c r="BB158" i="25"/>
  <c r="BS158" i="25" s="1"/>
  <c r="BC158" i="25"/>
  <c r="BT158" i="25" s="1"/>
  <c r="AT216" i="25"/>
  <c r="AU216" i="25"/>
  <c r="BE143" i="24"/>
  <c r="BT143" i="24" s="1"/>
  <c r="BD143" i="24"/>
  <c r="AY143" i="24"/>
  <c r="AZ143" i="24" s="1"/>
  <c r="BD145" i="24"/>
  <c r="AY145" i="24"/>
  <c r="AZ145" i="24" s="1"/>
  <c r="BE145" i="24"/>
  <c r="BT145" i="24" s="1"/>
  <c r="AY158" i="24"/>
  <c r="AZ158" i="24" s="1"/>
  <c r="BD158" i="24"/>
  <c r="BE158" i="24"/>
  <c r="BT158" i="24" s="1"/>
  <c r="AT138" i="25"/>
  <c r="AY138" i="25" s="1"/>
  <c r="AU138" i="25"/>
  <c r="AT287" i="25"/>
  <c r="AU287" i="25"/>
  <c r="BC28" i="25"/>
  <c r="BT28" i="25" s="1"/>
  <c r="BA28" i="25"/>
  <c r="BB28" i="25"/>
  <c r="BS28" i="25" s="1"/>
  <c r="BE161" i="24"/>
  <c r="BT161" i="24" s="1"/>
  <c r="BD161" i="24"/>
  <c r="AY161" i="24"/>
  <c r="AZ161" i="24" s="1"/>
  <c r="BE276" i="24"/>
  <c r="BT276" i="24" s="1"/>
  <c r="BD276" i="24"/>
  <c r="AY276" i="24"/>
  <c r="AZ276" i="24" s="1"/>
  <c r="AT176" i="25"/>
  <c r="AY176" i="25" s="1"/>
  <c r="AU176" i="25"/>
  <c r="AT100" i="25"/>
  <c r="AY100" i="25" s="1"/>
  <c r="AU100" i="25"/>
  <c r="BD123" i="24"/>
  <c r="AY123" i="24"/>
  <c r="AZ123" i="24" s="1"/>
  <c r="BE123" i="24"/>
  <c r="BT123" i="24" s="1"/>
  <c r="AT136" i="25"/>
  <c r="AY136" i="25" s="1"/>
  <c r="AU136" i="25"/>
  <c r="AT302" i="25"/>
  <c r="AU302" i="25"/>
  <c r="BE166" i="24"/>
  <c r="BT166" i="24" s="1"/>
  <c r="BD166" i="24"/>
  <c r="AY166" i="24"/>
  <c r="AZ166" i="24" s="1"/>
  <c r="BG22" i="24"/>
  <c r="BM22" i="24" s="1"/>
  <c r="BS22" i="24"/>
  <c r="BV22" i="24" s="1"/>
  <c r="BX22" i="24" s="1"/>
  <c r="AT191" i="25"/>
  <c r="AY191" i="25" s="1"/>
  <c r="AU191" i="25"/>
  <c r="AT78" i="25"/>
  <c r="AY78" i="25" s="1"/>
  <c r="AU78" i="25"/>
  <c r="BE226" i="24"/>
  <c r="BT226" i="24" s="1"/>
  <c r="BD226" i="24"/>
  <c r="AY226" i="24"/>
  <c r="AZ226" i="24" s="1"/>
  <c r="AT272" i="25"/>
  <c r="AU272" i="25"/>
  <c r="BD72" i="24"/>
  <c r="BE72" i="24"/>
  <c r="BT72" i="24" s="1"/>
  <c r="AY72" i="24"/>
  <c r="AZ72" i="24" s="1"/>
  <c r="AT181" i="25"/>
  <c r="AY181" i="25" s="1"/>
  <c r="AU181" i="25"/>
  <c r="BE204" i="24"/>
  <c r="BT204" i="24" s="1"/>
  <c r="AY204" i="24"/>
  <c r="AZ204" i="24" s="1"/>
  <c r="BD204" i="24"/>
  <c r="BE129" i="25"/>
  <c r="BR129" i="25"/>
  <c r="BX129" i="25" s="1"/>
  <c r="BD85" i="24"/>
  <c r="BE85" i="24"/>
  <c r="BT85" i="24" s="1"/>
  <c r="AY85" i="24"/>
  <c r="AZ85" i="24" s="1"/>
  <c r="AY239" i="24"/>
  <c r="AZ239" i="24" s="1"/>
  <c r="BD239" i="24"/>
  <c r="BE239" i="24"/>
  <c r="BT239" i="24" s="1"/>
  <c r="BB282" i="25"/>
  <c r="BS282" i="25" s="1"/>
  <c r="BC282" i="25"/>
  <c r="BT282" i="25" s="1"/>
  <c r="BA282" i="25"/>
  <c r="AT194" i="25"/>
  <c r="AY194" i="25" s="1"/>
  <c r="AU194" i="25"/>
  <c r="BE50" i="24"/>
  <c r="BT50" i="24" s="1"/>
  <c r="BD50" i="24"/>
  <c r="AY50" i="24"/>
  <c r="AZ50" i="24" s="1"/>
  <c r="BG58" i="24"/>
  <c r="BM58" i="24" s="1"/>
  <c r="BS58" i="24"/>
  <c r="BE165" i="24"/>
  <c r="BT165" i="24" s="1"/>
  <c r="BD165" i="24"/>
  <c r="AY165" i="24"/>
  <c r="AZ165" i="24" s="1"/>
  <c r="BG260" i="24"/>
  <c r="BS260" i="24"/>
  <c r="BE172" i="24"/>
  <c r="BT172" i="24" s="1"/>
  <c r="BD172" i="24"/>
  <c r="AY172" i="24"/>
  <c r="AZ172" i="24" s="1"/>
  <c r="BA147" i="25"/>
  <c r="BC147" i="25"/>
  <c r="BT147" i="25" s="1"/>
  <c r="BB147" i="25"/>
  <c r="BS147" i="25" s="1"/>
  <c r="AY70" i="24"/>
  <c r="AZ70" i="24" s="1"/>
  <c r="BE70" i="24"/>
  <c r="BT70" i="24" s="1"/>
  <c r="BD70" i="24"/>
  <c r="AT128" i="25"/>
  <c r="AY128" i="25" s="1"/>
  <c r="AU128" i="25"/>
  <c r="AY250" i="24"/>
  <c r="AZ250" i="24" s="1"/>
  <c r="BD250" i="24"/>
  <c r="BE250" i="24"/>
  <c r="BT250" i="24" s="1"/>
  <c r="AT50" i="25"/>
  <c r="AY50" i="25" s="1"/>
  <c r="AU50" i="25"/>
  <c r="AT165" i="25"/>
  <c r="AY165" i="25" s="1"/>
  <c r="AU165" i="25"/>
  <c r="AT111" i="25"/>
  <c r="AY111" i="25" s="1"/>
  <c r="AU111" i="25"/>
  <c r="BD157" i="24"/>
  <c r="AY157" i="24"/>
  <c r="AZ157" i="24" s="1"/>
  <c r="BE157" i="24"/>
  <c r="BT157" i="24" s="1"/>
  <c r="BS33" i="24"/>
  <c r="BG33" i="24"/>
  <c r="BM33" i="24" s="1"/>
  <c r="AY53" i="24"/>
  <c r="AZ53" i="24" s="1"/>
  <c r="BD53" i="24"/>
  <c r="BE53" i="24"/>
  <c r="BT53" i="24" s="1"/>
  <c r="BE222" i="24"/>
  <c r="BT222" i="24" s="1"/>
  <c r="BD222" i="24"/>
  <c r="AY222" i="24"/>
  <c r="AZ222" i="24" s="1"/>
  <c r="AT269" i="25"/>
  <c r="AU269" i="25"/>
  <c r="BA258" i="25"/>
  <c r="BC258" i="25"/>
  <c r="BT258" i="25" s="1"/>
  <c r="BB258" i="25"/>
  <c r="BS258" i="25" s="1"/>
  <c r="BE237" i="24"/>
  <c r="BT237" i="24" s="1"/>
  <c r="BD237" i="24"/>
  <c r="AY237" i="24"/>
  <c r="AZ237" i="24" s="1"/>
  <c r="BD184" i="24"/>
  <c r="AY184" i="24"/>
  <c r="AZ184" i="24" s="1"/>
  <c r="BE184" i="24"/>
  <c r="BT184" i="24" s="1"/>
  <c r="AT312" i="25"/>
  <c r="AU312" i="25"/>
  <c r="BG236" i="24"/>
  <c r="BS236" i="24"/>
  <c r="BX236" i="24" s="1"/>
  <c r="AN110" i="29"/>
  <c r="AN84" i="29"/>
  <c r="AN340" i="29"/>
  <c r="AN42" i="29"/>
  <c r="AN412" i="29"/>
  <c r="AN567" i="29"/>
  <c r="AN341" i="29"/>
  <c r="AN140" i="29"/>
  <c r="AN80" i="29"/>
  <c r="AN105" i="29"/>
  <c r="AN22" i="29"/>
  <c r="AN211" i="29"/>
  <c r="AN370" i="29"/>
  <c r="AN69" i="29"/>
  <c r="AN429" i="29"/>
  <c r="AN147" i="29"/>
  <c r="AN363" i="29"/>
  <c r="AN210" i="29"/>
  <c r="AN400" i="29"/>
  <c r="AN307" i="29"/>
  <c r="AN338" i="29"/>
  <c r="AN372" i="29"/>
  <c r="AN364" i="29"/>
  <c r="AN230" i="29"/>
  <c r="AN458" i="29"/>
  <c r="AN117" i="29"/>
  <c r="AN127" i="29"/>
  <c r="AN179" i="29"/>
  <c r="AN104" i="29"/>
  <c r="AN474" i="29"/>
  <c r="AN506" i="29"/>
  <c r="AN337" i="29"/>
  <c r="AN570" i="29"/>
  <c r="AN376" i="29"/>
  <c r="AN598" i="29"/>
  <c r="AN142" i="29"/>
  <c r="AN390" i="29"/>
  <c r="AN182" i="29"/>
  <c r="AN449" i="29"/>
  <c r="AN468" i="29"/>
  <c r="AN382" i="29"/>
  <c r="AN378" i="29"/>
  <c r="AN298" i="29"/>
  <c r="AN260" i="29"/>
  <c r="AN208" i="29"/>
  <c r="AN18" i="29"/>
  <c r="AN490" i="29"/>
  <c r="AN202" i="29"/>
  <c r="AN295" i="29"/>
  <c r="AN52" i="29"/>
  <c r="AN242" i="29"/>
  <c r="AN134" i="29"/>
  <c r="AN359" i="29"/>
  <c r="AN160" i="29"/>
  <c r="AN143" i="29"/>
  <c r="AN346" i="29"/>
  <c r="AN539" i="29"/>
  <c r="AN92" i="29"/>
  <c r="AN233" i="29"/>
  <c r="AN173" i="29"/>
  <c r="AN309" i="29"/>
  <c r="AN314" i="29"/>
  <c r="AN188" i="29"/>
  <c r="AN377" i="29"/>
  <c r="AN484" i="29"/>
  <c r="AN83" i="29"/>
  <c r="AN284" i="29"/>
  <c r="AN47" i="29"/>
  <c r="AN120" i="29"/>
  <c r="AN281" i="29"/>
  <c r="AN574" i="29"/>
  <c r="AN78" i="29"/>
  <c r="AN247" i="29"/>
  <c r="AN183" i="29"/>
  <c r="AN322" i="29"/>
  <c r="AN456" i="29"/>
  <c r="AN555" i="29"/>
  <c r="AN129" i="29"/>
  <c r="AN518" i="29"/>
  <c r="AN315" i="29"/>
  <c r="AN251" i="29"/>
  <c r="AN166" i="29"/>
  <c r="AN493" i="29"/>
  <c r="AN496" i="29"/>
  <c r="AN556" i="29"/>
  <c r="AN375" i="29"/>
  <c r="AN583" i="29"/>
  <c r="AN389" i="29"/>
  <c r="AN392" i="29"/>
  <c r="AN273" i="29"/>
  <c r="AN24" i="29"/>
  <c r="AN286" i="29"/>
  <c r="AN514" i="29"/>
  <c r="AN157" i="29"/>
  <c r="AN20" i="29"/>
  <c r="AN422" i="29"/>
  <c r="AN145" i="29"/>
  <c r="AN297" i="29"/>
  <c r="AN584" i="29"/>
  <c r="AN523" i="29"/>
  <c r="AN151" i="29"/>
  <c r="AN99" i="29"/>
  <c r="AN536" i="29"/>
  <c r="AN332" i="29"/>
  <c r="AN531" i="29"/>
  <c r="AN321" i="29"/>
  <c r="AN229" i="29"/>
  <c r="AN215" i="29"/>
  <c r="AN339" i="29"/>
  <c r="AN218" i="29"/>
  <c r="AN398" i="29"/>
  <c r="AN141" i="29"/>
  <c r="AN528" i="29"/>
  <c r="AN582" i="29"/>
  <c r="AN111" i="29"/>
  <c r="AN473" i="29"/>
  <c r="AN571" i="29"/>
  <c r="AN303" i="29"/>
  <c r="AN479" i="29"/>
  <c r="AN256" i="29"/>
  <c r="AN14" i="29"/>
  <c r="AN154" i="29"/>
  <c r="AN373" i="29"/>
  <c r="AN228" i="29"/>
  <c r="AN35" i="29"/>
  <c r="AN121" i="29"/>
  <c r="AN472" i="29"/>
  <c r="AN445" i="29"/>
  <c r="AN77" i="29"/>
  <c r="AN452" i="29"/>
  <c r="AN194" i="29"/>
  <c r="AN601" i="29"/>
  <c r="AN447" i="29"/>
  <c r="D53" i="29"/>
  <c r="AN552" i="29"/>
  <c r="AN465" i="29"/>
  <c r="AN500" i="29"/>
  <c r="AN395" i="29"/>
  <c r="AN53" i="29"/>
  <c r="AN437" i="29"/>
  <c r="AN236" i="29"/>
  <c r="AN90" i="29"/>
  <c r="AN521" i="29"/>
  <c r="AN100" i="29"/>
  <c r="AN426" i="29"/>
  <c r="AN214" i="29"/>
  <c r="AN257" i="29"/>
  <c r="AN595" i="29"/>
  <c r="AN207" i="29"/>
  <c r="AN65" i="29"/>
  <c r="AN439" i="29"/>
  <c r="AN393" i="29"/>
  <c r="AN149" i="29"/>
  <c r="AN51" i="29"/>
  <c r="AN608" i="29"/>
  <c r="AN109" i="29"/>
  <c r="AN540" i="29"/>
  <c r="AN312" i="29"/>
  <c r="AN119" i="29"/>
  <c r="AN324" i="29"/>
  <c r="AN171" i="29"/>
  <c r="AN313" i="29"/>
  <c r="AN510" i="29"/>
  <c r="AN88" i="29"/>
  <c r="AN448" i="29"/>
  <c r="AN199" i="29"/>
  <c r="AN204" i="29"/>
  <c r="AN195" i="29"/>
  <c r="AN290" i="29"/>
  <c r="AN58" i="29"/>
  <c r="AN471" i="29"/>
  <c r="AN124" i="29"/>
  <c r="AN71" i="29"/>
  <c r="AN593" i="29"/>
  <c r="AN212" i="29"/>
  <c r="AN351" i="29"/>
  <c r="AN287" i="29"/>
  <c r="AN130" i="29"/>
  <c r="AN326" i="29"/>
  <c r="AN282" i="29"/>
  <c r="AN40" i="29"/>
  <c r="AN79" i="29"/>
  <c r="AN75" i="29"/>
  <c r="AN562" i="29"/>
  <c r="AN483" i="29"/>
  <c r="AN244" i="29"/>
  <c r="AN74" i="29"/>
  <c r="AN348" i="29"/>
  <c r="AN402" i="29"/>
  <c r="AN453" i="29"/>
  <c r="AN544" i="29"/>
  <c r="AN423" i="29"/>
  <c r="AN133" i="29"/>
  <c r="AN275" i="29"/>
  <c r="AN161" i="29"/>
  <c r="AN522" i="29"/>
  <c r="AN362" i="29"/>
  <c r="AN153" i="29"/>
  <c r="AN385" i="29"/>
  <c r="AN569" i="29"/>
  <c r="AN425" i="29"/>
  <c r="AN308" i="29"/>
  <c r="AN168" i="29"/>
  <c r="AN401" i="29"/>
  <c r="AN512" i="29"/>
  <c r="AN611" i="29"/>
  <c r="AN489" i="29"/>
  <c r="AN146" i="29"/>
  <c r="AN155" i="29"/>
  <c r="AN97" i="29"/>
  <c r="AN397" i="29"/>
  <c r="AN366" i="29"/>
  <c r="AN499" i="29"/>
  <c r="AN566" i="29"/>
  <c r="AN356" i="29"/>
  <c r="AN114" i="29"/>
  <c r="AN561" i="29"/>
  <c r="AN37" i="29"/>
  <c r="AN361" i="29"/>
  <c r="AN158" i="29"/>
  <c r="AN461" i="29"/>
  <c r="AN463" i="29"/>
  <c r="AN277" i="29"/>
  <c r="AN421" i="29"/>
  <c r="AN477" i="29"/>
  <c r="AN217" i="29"/>
  <c r="AN379" i="29"/>
  <c r="AN311" i="29"/>
  <c r="AN543" i="29"/>
  <c r="AN403" i="29"/>
  <c r="AN513" i="29"/>
  <c r="AN600" i="29"/>
  <c r="AN538" i="29"/>
  <c r="AN252" i="29"/>
  <c r="AN466" i="29"/>
  <c r="AN305" i="29"/>
  <c r="AN118" i="29"/>
  <c r="AN219" i="29"/>
  <c r="AN156" i="29"/>
  <c r="AN504" i="29"/>
  <c r="AN176" i="29"/>
  <c r="AN554" i="29"/>
  <c r="AN443" i="29"/>
  <c r="AN93" i="29"/>
  <c r="AN516" i="29"/>
  <c r="AN594" i="29"/>
  <c r="AN102" i="29"/>
  <c r="AN301" i="29"/>
  <c r="AN581" i="29"/>
  <c r="AN193" i="29"/>
  <c r="AN138" i="29"/>
  <c r="AN509" i="29"/>
  <c r="AN368" i="29"/>
  <c r="AN492" i="29"/>
  <c r="AN591" i="29"/>
  <c r="AN547" i="29"/>
  <c r="AN497" i="29"/>
  <c r="AN272" i="29"/>
  <c r="AN98" i="29"/>
  <c r="AN405" i="29"/>
  <c r="AN316" i="29"/>
  <c r="AN450" i="29"/>
  <c r="AN533" i="29"/>
  <c r="AN592" i="29"/>
  <c r="AN196" i="29"/>
  <c r="AN502" i="29"/>
  <c r="AN613" i="29"/>
  <c r="AN565" i="29"/>
  <c r="AN165" i="29"/>
  <c r="AN68" i="29"/>
  <c r="AN442" i="29"/>
  <c r="AN299" i="29"/>
  <c r="AN276" i="29"/>
  <c r="AN407" i="29"/>
  <c r="AN384" i="29"/>
  <c r="AN498" i="29"/>
  <c r="AN529" i="29"/>
  <c r="AN525" i="29"/>
  <c r="AN292" i="29"/>
  <c r="AN328" i="29"/>
  <c r="AN419" i="29"/>
  <c r="AN285" i="29"/>
  <c r="AN144" i="29"/>
  <c r="AN269" i="29"/>
  <c r="AN136" i="29"/>
  <c r="AN60" i="29"/>
  <c r="AN191" i="29"/>
  <c r="AN122" i="29"/>
  <c r="AN441" i="29"/>
  <c r="AN446" i="29"/>
  <c r="AN475" i="29"/>
  <c r="AN187" i="29"/>
  <c r="AN225" i="29"/>
  <c r="AN383" i="29"/>
  <c r="AN94" i="29"/>
  <c r="AN221" i="29"/>
  <c r="AN245" i="29"/>
  <c r="AN125" i="29"/>
  <c r="AN414" i="29"/>
  <c r="AN262" i="29"/>
  <c r="AN507" i="29"/>
  <c r="AN15" i="29"/>
  <c r="AN576" i="29"/>
  <c r="AN95" i="29"/>
  <c r="AN310" i="29"/>
  <c r="AN81" i="29"/>
  <c r="AN289" i="29"/>
  <c r="AN551" i="29"/>
  <c r="AN39" i="29"/>
  <c r="AN455" i="29"/>
  <c r="AN335" i="29"/>
  <c r="AN517" i="29"/>
  <c r="AN226" i="29"/>
  <c r="AN478" i="29"/>
  <c r="AN91" i="29"/>
  <c r="AN573" i="29"/>
  <c r="AN17" i="29"/>
  <c r="AN135" i="29"/>
  <c r="AN530" i="29"/>
  <c r="AN381" i="29"/>
  <c r="AN255" i="29"/>
  <c r="AN550" i="29"/>
  <c r="AN541" i="29"/>
  <c r="AN469" i="29"/>
  <c r="AN388" i="29"/>
  <c r="AN190" i="29"/>
  <c r="AN482" i="29"/>
  <c r="AN588" i="29"/>
  <c r="AN411" i="29"/>
  <c r="AN67" i="29"/>
  <c r="AN563" i="29"/>
  <c r="AN444" i="29"/>
  <c r="AN612" i="29"/>
  <c r="AN462" i="29"/>
  <c r="AN416" i="29"/>
  <c r="AN163" i="29"/>
  <c r="AN329" i="29"/>
  <c r="AN511" i="29"/>
  <c r="AN49" i="29"/>
  <c r="AN181" i="29"/>
  <c r="AN334" i="29"/>
  <c r="AN336" i="29"/>
  <c r="AN535" i="29"/>
  <c r="AN410" i="29"/>
  <c r="AN568" i="29"/>
  <c r="AN440" i="29"/>
  <c r="AN123" i="29"/>
  <c r="AN607" i="29"/>
  <c r="AN220" i="29"/>
  <c r="AN86" i="29"/>
  <c r="AN380" i="29"/>
  <c r="AN265" i="29"/>
  <c r="AN150" i="29"/>
  <c r="AN70" i="29"/>
  <c r="AN586" i="29"/>
  <c r="AN31" i="29"/>
  <c r="AN50" i="29"/>
  <c r="AN451" i="29"/>
  <c r="AN13" i="29"/>
  <c r="AN243" i="29"/>
  <c r="AN231" i="29"/>
  <c r="AN198" i="29"/>
  <c r="AN596" i="29"/>
  <c r="AN355" i="29"/>
  <c r="AN250" i="29"/>
  <c r="AN476" i="29"/>
  <c r="AN209" i="29"/>
  <c r="AN253" i="29"/>
  <c r="AN302" i="29"/>
  <c r="AN103" i="29"/>
  <c r="AN327" i="29"/>
  <c r="AN280" i="29"/>
  <c r="AN494" i="29"/>
  <c r="AN542" i="29"/>
  <c r="AN527" i="29"/>
  <c r="AN44" i="29"/>
  <c r="AN491" i="29"/>
  <c r="AN294" i="29"/>
  <c r="AN557" i="29"/>
  <c r="AN213" i="29"/>
  <c r="AN330" i="29"/>
  <c r="AN467" i="29"/>
  <c r="AN16" i="29"/>
  <c r="AN116" i="29"/>
  <c r="AN128" i="29"/>
  <c r="AN259" i="29"/>
  <c r="AN152" i="29"/>
  <c r="AN386" i="29"/>
  <c r="AN246" i="29"/>
  <c r="AN267" i="29"/>
  <c r="AN200" i="29"/>
  <c r="AN434" i="29"/>
  <c r="AN464" i="29"/>
  <c r="AN216" i="29"/>
  <c r="AN61" i="29"/>
  <c r="AN201" i="29"/>
  <c r="AN89" i="29"/>
  <c r="AN409" i="29"/>
  <c r="AN63" i="29"/>
  <c r="AN283" i="29"/>
  <c r="AN33" i="29"/>
  <c r="AN353" i="29"/>
  <c r="AN43" i="29"/>
  <c r="AN258" i="29"/>
  <c r="AN488" i="29"/>
  <c r="AN180" i="29"/>
  <c r="AN534" i="29"/>
  <c r="AN345" i="29"/>
  <c r="AN432" i="29"/>
  <c r="AN358" i="29"/>
  <c r="AN577" i="29"/>
  <c r="AN532" i="29"/>
  <c r="AN609" i="29"/>
  <c r="AN278" i="29"/>
  <c r="AN46" i="29"/>
  <c r="AN501" i="29"/>
  <c r="AN170" i="29"/>
  <c r="AN599" i="29"/>
  <c r="AN205" i="29"/>
  <c r="AN288" i="29"/>
  <c r="AN323" i="29"/>
  <c r="AN519" i="29"/>
  <c r="AN408" i="29"/>
  <c r="AN343" i="29"/>
  <c r="AN487" i="29"/>
  <c r="AN264" i="29"/>
  <c r="AN604" i="29"/>
  <c r="AN537" i="29"/>
  <c r="AN418" i="29"/>
  <c r="AN238" i="29"/>
  <c r="AN430" i="29"/>
  <c r="AN106" i="29"/>
  <c r="AN406" i="29"/>
  <c r="AN549" i="29"/>
  <c r="AN606" i="29"/>
  <c r="AN605" i="29"/>
  <c r="AN428" i="29"/>
  <c r="AN223" i="29"/>
  <c r="AN300" i="29"/>
  <c r="AN174" i="29"/>
  <c r="AN126" i="29"/>
  <c r="AN271" i="29"/>
  <c r="AN508" i="29"/>
  <c r="AN460" i="29"/>
  <c r="AN32" i="29"/>
  <c r="AN178" i="29"/>
  <c r="AN177" i="29"/>
  <c r="AN270" i="29"/>
  <c r="AN113" i="29"/>
  <c r="AN480" i="29"/>
  <c r="AN222" i="29"/>
  <c r="AN64" i="29"/>
  <c r="AN505" i="29"/>
  <c r="AN189" i="29"/>
  <c r="AN26" i="29"/>
  <c r="AN331" i="29"/>
  <c r="AN572" i="29"/>
  <c r="AN268" i="29"/>
  <c r="AN107" i="29"/>
  <c r="AN55" i="29"/>
  <c r="AN587" i="29"/>
  <c r="AN62" i="29"/>
  <c r="AN21" i="29"/>
  <c r="AN325" i="29"/>
  <c r="AN431" i="29"/>
  <c r="AN354" i="29"/>
  <c r="AN585" i="29"/>
  <c r="AN28" i="29"/>
  <c r="AN48" i="29"/>
  <c r="AN357" i="29"/>
  <c r="AN317" i="29"/>
  <c r="AN559" i="29"/>
  <c r="AN224" i="29"/>
  <c r="AN342" i="29"/>
  <c r="AN578" i="29"/>
  <c r="AN296" i="29"/>
  <c r="AN319" i="29"/>
  <c r="AN396" i="29"/>
  <c r="AN76" i="29"/>
  <c r="AN548" i="29"/>
  <c r="AN234" i="29"/>
  <c r="AN304" i="29"/>
  <c r="AN391" i="29"/>
  <c r="AN115" i="29"/>
  <c r="AN371" i="29"/>
  <c r="AN318" i="29"/>
  <c r="AN87" i="29"/>
  <c r="AN427" i="29"/>
  <c r="AN436" i="29"/>
  <c r="AN503" i="29"/>
  <c r="AN352" i="29"/>
  <c r="AN85" i="29"/>
  <c r="AN349" i="29"/>
  <c r="AN185" i="29"/>
  <c r="AN415" i="29"/>
  <c r="AN424" i="29"/>
  <c r="AN545" i="29"/>
  <c r="AN404" i="29"/>
  <c r="AN203" i="29"/>
  <c r="AN263" i="29"/>
  <c r="AN186" i="29"/>
  <c r="AN344" i="29"/>
  <c r="AN481" i="29"/>
  <c r="AN306" i="29"/>
  <c r="AN589" i="29"/>
  <c r="AN112" i="29"/>
  <c r="AN293" i="29"/>
  <c r="AN36" i="29"/>
  <c r="AN365" i="29"/>
  <c r="AN131" i="29"/>
  <c r="AN45" i="29"/>
  <c r="AN164" i="29"/>
  <c r="AN29" i="29"/>
  <c r="AN526" i="29"/>
  <c r="AN417" i="29"/>
  <c r="AN30" i="29"/>
  <c r="AN239" i="29"/>
  <c r="AN546" i="29"/>
  <c r="AN240" i="29"/>
  <c r="AN132" i="29"/>
  <c r="AN162" i="29"/>
  <c r="AN347" i="29"/>
  <c r="AN248" i="29"/>
  <c r="AN394" i="29"/>
  <c r="AN387" i="29"/>
  <c r="AN575" i="29"/>
  <c r="AN82" i="29"/>
  <c r="AN27" i="29"/>
  <c r="AN369" i="29"/>
  <c r="AN435" i="29"/>
  <c r="AN515" i="29"/>
  <c r="AN520" i="29"/>
  <c r="AN597" i="29"/>
  <c r="AN232" i="29"/>
  <c r="AM601" i="29"/>
  <c r="AN274" i="29"/>
  <c r="AN41" i="29"/>
  <c r="AN254" i="29"/>
  <c r="AN603" i="29"/>
  <c r="AN192" i="29"/>
  <c r="AN580" i="29"/>
  <c r="AN56" i="29"/>
  <c r="AN227" i="29"/>
  <c r="AN108" i="29"/>
  <c r="AN249" i="29"/>
  <c r="AN25" i="29"/>
  <c r="AN470" i="29"/>
  <c r="AN175" i="29"/>
  <c r="AN438" i="29"/>
  <c r="AN374" i="29"/>
  <c r="AN139" i="29"/>
  <c r="AN167" i="29"/>
  <c r="AN495" i="29"/>
  <c r="AN485" i="29"/>
  <c r="AN558" i="29"/>
  <c r="AN241" i="29"/>
  <c r="AN413" i="29"/>
  <c r="AN360" i="29"/>
  <c r="AN524" i="29"/>
  <c r="AN59" i="29"/>
  <c r="AN197" i="29"/>
  <c r="AN159" i="29"/>
  <c r="AN454" i="29"/>
  <c r="AN610" i="29"/>
  <c r="AN486" i="29"/>
  <c r="AN459" i="29"/>
  <c r="AN457" i="29"/>
  <c r="AN261" i="29"/>
  <c r="AN399" i="29"/>
  <c r="AN433" i="29"/>
  <c r="AN73" i="29"/>
  <c r="AN66" i="29"/>
  <c r="AN169" i="29"/>
  <c r="AN564" i="29"/>
  <c r="AN23" i="29"/>
  <c r="AN206" i="29"/>
  <c r="AN279" i="29"/>
  <c r="AN320" i="29"/>
  <c r="AN367" i="29"/>
  <c r="AN560" i="29"/>
  <c r="AN57" i="29"/>
  <c r="AN137" i="29"/>
  <c r="AN172" i="29"/>
  <c r="AN291" i="29"/>
  <c r="AN72" i="29"/>
  <c r="AN350" i="29"/>
  <c r="AM24" i="29"/>
  <c r="AN420" i="29"/>
  <c r="AN553" i="29"/>
  <c r="AM456" i="29"/>
  <c r="AN96" i="29"/>
  <c r="AN38" i="29"/>
  <c r="AN602" i="29"/>
  <c r="AN34" i="29"/>
  <c r="AN590" i="29"/>
  <c r="AN101" i="29"/>
  <c r="AM138" i="29"/>
  <c r="AM87" i="29"/>
  <c r="AM79" i="29"/>
  <c r="AM594" i="29"/>
  <c r="AN184" i="29"/>
  <c r="AN266" i="29"/>
  <c r="AN54" i="29"/>
  <c r="AM169" i="29"/>
  <c r="AM38" i="29"/>
  <c r="AN333" i="29"/>
  <c r="AN148" i="29"/>
  <c r="AN235" i="29"/>
  <c r="AN579" i="29"/>
  <c r="AN237" i="29"/>
  <c r="AN19" i="29"/>
  <c r="AM257" i="29"/>
  <c r="AM183" i="29"/>
  <c r="AM414" i="29"/>
  <c r="AM245" i="29"/>
  <c r="AM253" i="29"/>
  <c r="AM262" i="29"/>
  <c r="AM348" i="29"/>
  <c r="AM325" i="29"/>
  <c r="AM80" i="29"/>
  <c r="AM260" i="29"/>
  <c r="AM600" i="29"/>
  <c r="AM402" i="29"/>
  <c r="AM337" i="29"/>
  <c r="AM37" i="29"/>
  <c r="AM585" i="29"/>
  <c r="AM455" i="29"/>
  <c r="AM91" i="29"/>
  <c r="AM565" i="29"/>
  <c r="AM341" i="29"/>
  <c r="AM267" i="29"/>
  <c r="AM206" i="29"/>
  <c r="AM373" i="29"/>
  <c r="AM336" i="29"/>
  <c r="AM514" i="29"/>
  <c r="AM167" i="29"/>
  <c r="AM581" i="29"/>
  <c r="AM294" i="29"/>
  <c r="AM593" i="29"/>
  <c r="AM582" i="29"/>
  <c r="AM207" i="29"/>
  <c r="AM295" i="29"/>
  <c r="AM88" i="29"/>
  <c r="AM118" i="29"/>
  <c r="AM200" i="29"/>
  <c r="AM518" i="29"/>
  <c r="AM381" i="29"/>
  <c r="AM292" i="29"/>
  <c r="AM17" i="29"/>
  <c r="AM307" i="29"/>
  <c r="AM469" i="29"/>
  <c r="AM85" i="29"/>
  <c r="AM235" i="29"/>
  <c r="AM353" i="29"/>
  <c r="AM544" i="29"/>
  <c r="AM357" i="29"/>
  <c r="AM483" i="29"/>
  <c r="AM149" i="29"/>
  <c r="AM606" i="29"/>
  <c r="AM501" i="29"/>
  <c r="AM371" i="29"/>
  <c r="AM50" i="29"/>
  <c r="AM250" i="29"/>
  <c r="AM51" i="29"/>
  <c r="AM26" i="29"/>
  <c r="AM145" i="29"/>
  <c r="AM258" i="29"/>
  <c r="AM537" i="29"/>
  <c r="AO537" i="29" s="1"/>
  <c r="AM435" i="29"/>
  <c r="AM33" i="29"/>
  <c r="AM443" i="29"/>
  <c r="AM82" i="29"/>
  <c r="AM338" i="29"/>
  <c r="AM468" i="29"/>
  <c r="AM81" i="29"/>
  <c r="AM135" i="29"/>
  <c r="AM173" i="29"/>
  <c r="AM179" i="29"/>
  <c r="AM302" i="29"/>
  <c r="AM403" i="29"/>
  <c r="AM549" i="29"/>
  <c r="AM573" i="29"/>
  <c r="AM444" i="29"/>
  <c r="AM157" i="29"/>
  <c r="AM531" i="29"/>
  <c r="AM566" i="29"/>
  <c r="AM313" i="29"/>
  <c r="AM163" i="29"/>
  <c r="AM155" i="29"/>
  <c r="AO155" i="29" s="1"/>
  <c r="AM119" i="29"/>
  <c r="AM584" i="29"/>
  <c r="AM524" i="29"/>
  <c r="AM147" i="29"/>
  <c r="AM252" i="29"/>
  <c r="AM528" i="29"/>
  <c r="AM533" i="29"/>
  <c r="AM596" i="29"/>
  <c r="AM416" i="29"/>
  <c r="AM309" i="29"/>
  <c r="AM297" i="29"/>
  <c r="AM199" i="29"/>
  <c r="AM407" i="29"/>
  <c r="AM28" i="29"/>
  <c r="AM370" i="29"/>
  <c r="AM327" i="29"/>
  <c r="AM507" i="29"/>
  <c r="AM568" i="29"/>
  <c r="AM406" i="29"/>
  <c r="AM420" i="29"/>
  <c r="AM264" i="29"/>
  <c r="AM521" i="29"/>
  <c r="AM117" i="29"/>
  <c r="AM233" i="29"/>
  <c r="AM525" i="29"/>
  <c r="AM542" i="29"/>
  <c r="AM426" i="29"/>
  <c r="AM410" i="29"/>
  <c r="AM612" i="29"/>
  <c r="AM89" i="29"/>
  <c r="AM43" i="29"/>
  <c r="AM256" i="29"/>
  <c r="AM58" i="29"/>
  <c r="AO58" i="29" s="1"/>
  <c r="AM355" i="29"/>
  <c r="AM432" i="29"/>
  <c r="AM449" i="29"/>
  <c r="AM436" i="29"/>
  <c r="AM369" i="29"/>
  <c r="AM174" i="29"/>
  <c r="AO174" i="29" s="1"/>
  <c r="AM324" i="29"/>
  <c r="AM471" i="29"/>
  <c r="AM62" i="29"/>
  <c r="AM75" i="29"/>
  <c r="AM527" i="29"/>
  <c r="AM137" i="29"/>
  <c r="AM496" i="29"/>
  <c r="AM570" i="29"/>
  <c r="AM221" i="29"/>
  <c r="AM447" i="29"/>
  <c r="AM474" i="29"/>
  <c r="AM195" i="29"/>
  <c r="AM121" i="29"/>
  <c r="AM18" i="29"/>
  <c r="AO18" i="29" s="1"/>
  <c r="AM576" i="29"/>
  <c r="AM396" i="29"/>
  <c r="AM178" i="29"/>
  <c r="AM319" i="29"/>
  <c r="AM554" i="29"/>
  <c r="AM434" i="29"/>
  <c r="AM289" i="29"/>
  <c r="AM220" i="29"/>
  <c r="AM442" i="29"/>
  <c r="AM288" i="29"/>
  <c r="AM486" i="29"/>
  <c r="AM42" i="29"/>
  <c r="AM405" i="29"/>
  <c r="AM298" i="29"/>
  <c r="AM67" i="29"/>
  <c r="AM40" i="29"/>
  <c r="AM413" i="29"/>
  <c r="AM128" i="29"/>
  <c r="AM315" i="29"/>
  <c r="AM346" i="29"/>
  <c r="AM422" i="29"/>
  <c r="AM504" i="29"/>
  <c r="AM70" i="29"/>
  <c r="AM588" i="29"/>
  <c r="AM401" i="29"/>
  <c r="AM239" i="29"/>
  <c r="AM113" i="29"/>
  <c r="AM209" i="29"/>
  <c r="AM532" i="29"/>
  <c r="AM124" i="29"/>
  <c r="AM605" i="29"/>
  <c r="AM237" i="29"/>
  <c r="AM388" i="29"/>
  <c r="AM564" i="29"/>
  <c r="AM386" i="29"/>
  <c r="AM229" i="29"/>
  <c r="AM34" i="29"/>
  <c r="AM509" i="29"/>
  <c r="AO509" i="29" s="1"/>
  <c r="AM127" i="29"/>
  <c r="AM299" i="29"/>
  <c r="AM598" i="29"/>
  <c r="AM59" i="29"/>
  <c r="AM515" i="29"/>
  <c r="AM31" i="29"/>
  <c r="AM270" i="29"/>
  <c r="AM526" i="29"/>
  <c r="AM142" i="29"/>
  <c r="AM177" i="29"/>
  <c r="AM150" i="29"/>
  <c r="AM383" i="29"/>
  <c r="AM130" i="29"/>
  <c r="AM55" i="29"/>
  <c r="AM74" i="29"/>
  <c r="AM552" i="29"/>
  <c r="AM83" i="29"/>
  <c r="AM326" i="29"/>
  <c r="AM441" i="29"/>
  <c r="AM78" i="29"/>
  <c r="AM517" i="29"/>
  <c r="AM30" i="29"/>
  <c r="AM428" i="29"/>
  <c r="AM66" i="29"/>
  <c r="AM273" i="29"/>
  <c r="AM387" i="29"/>
  <c r="AM345" i="29"/>
  <c r="AM433" i="29"/>
  <c r="AM361" i="29"/>
  <c r="AM478" i="29"/>
  <c r="AM571" i="29"/>
  <c r="AM84" i="29"/>
  <c r="AM546" i="29"/>
  <c r="AM359" i="29"/>
  <c r="AM409" i="29"/>
  <c r="AM144" i="29"/>
  <c r="AM92" i="29"/>
  <c r="AM574" i="29"/>
  <c r="AM248" i="29"/>
  <c r="AM379" i="29"/>
  <c r="AM21" i="29"/>
  <c r="AM57" i="29"/>
  <c r="AM440" i="29"/>
  <c r="AM586" i="29"/>
  <c r="AM363" i="29"/>
  <c r="AM201" i="29"/>
  <c r="AM166" i="29"/>
  <c r="AM153" i="29"/>
  <c r="AM109" i="29"/>
  <c r="AM247" i="29"/>
  <c r="AM214" i="29"/>
  <c r="AM103" i="29"/>
  <c r="AM421" i="29"/>
  <c r="AM193" i="29"/>
  <c r="AO193" i="29" s="1"/>
  <c r="AM96" i="29"/>
  <c r="AM535" i="29"/>
  <c r="AM107" i="29"/>
  <c r="AM204" i="29"/>
  <c r="AM219" i="29"/>
  <c r="AM610" i="29"/>
  <c r="AM602" i="29"/>
  <c r="AM251" i="29"/>
  <c r="AM491" i="29"/>
  <c r="AM222" i="29"/>
  <c r="AM98" i="29"/>
  <c r="AM226" i="29"/>
  <c r="AM587" i="29"/>
  <c r="AM259" i="29"/>
  <c r="AM331" i="29"/>
  <c r="AM304" i="29"/>
  <c r="AM133" i="29"/>
  <c r="AM424" i="29"/>
  <c r="AM249" i="29"/>
  <c r="AM378" i="29"/>
  <c r="AM301" i="29"/>
  <c r="AM29" i="29"/>
  <c r="AM213" i="29"/>
  <c r="AM599" i="29"/>
  <c r="AM477" i="29"/>
  <c r="AM172" i="29"/>
  <c r="AM340" i="29"/>
  <c r="AM461" i="29"/>
  <c r="AM241" i="29"/>
  <c r="AM347" i="29"/>
  <c r="AM557" i="29"/>
  <c r="AM140" i="29"/>
  <c r="AM108" i="29"/>
  <c r="AM583" i="29"/>
  <c r="AM384" i="29"/>
  <c r="AM165" i="29"/>
  <c r="AM100" i="29"/>
  <c r="AM349" i="29"/>
  <c r="AM16" i="29"/>
  <c r="AM69" i="29"/>
  <c r="AM61" i="29"/>
  <c r="AO61" i="29" s="1"/>
  <c r="AM52" i="29"/>
  <c r="AM454" i="29"/>
  <c r="AM282" i="29"/>
  <c r="AM577" i="29"/>
  <c r="AM342" i="29"/>
  <c r="AM321" i="29"/>
  <c r="AM255" i="29"/>
  <c r="AM408" i="29"/>
  <c r="AM437" i="29"/>
  <c r="AM306" i="29"/>
  <c r="AM272" i="29"/>
  <c r="AM39" i="29"/>
  <c r="AM448" i="29"/>
  <c r="AM364" i="29"/>
  <c r="AM65" i="29"/>
  <c r="AM508" i="29"/>
  <c r="AM71" i="29"/>
  <c r="AM122" i="29"/>
  <c r="AM366" i="29"/>
  <c r="AM446" i="29"/>
  <c r="AM139" i="29"/>
  <c r="AM350" i="29"/>
  <c r="AM333" i="29"/>
  <c r="AM329" i="29"/>
  <c r="AM277" i="29"/>
  <c r="AM607" i="29"/>
  <c r="AM330" i="29"/>
  <c r="AM368" i="29"/>
  <c r="AM305" i="29"/>
  <c r="AM529" i="29"/>
  <c r="AM48" i="29"/>
  <c r="AM317" i="29"/>
  <c r="AM360" i="29"/>
  <c r="AM498" i="29"/>
  <c r="AM102" i="29"/>
  <c r="AM591" i="29"/>
  <c r="AM466" i="29"/>
  <c r="AM300" i="29"/>
  <c r="AM271" i="29"/>
  <c r="AM392" i="29"/>
  <c r="AM161" i="29"/>
  <c r="AM284" i="29"/>
  <c r="AM398" i="29"/>
  <c r="AM320" i="29"/>
  <c r="AM19" i="29"/>
  <c r="AM372" i="29"/>
  <c r="AM460" i="29"/>
  <c r="AM41" i="29"/>
  <c r="AM534" i="29"/>
  <c r="AM194" i="29"/>
  <c r="AM223" i="29"/>
  <c r="AM563" i="29"/>
  <c r="AM513" i="29"/>
  <c r="AM427" i="29"/>
  <c r="AM285" i="29"/>
  <c r="AO285" i="29" s="1"/>
  <c r="AM356" i="29"/>
  <c r="AM208" i="29"/>
  <c r="AM323" i="29"/>
  <c r="AM597" i="29"/>
  <c r="AM389" i="29"/>
  <c r="AM411" i="29"/>
  <c r="AM519" i="29"/>
  <c r="AM603" i="29"/>
  <c r="AM211" i="29"/>
  <c r="AM90" i="29"/>
  <c r="AM510" i="29"/>
  <c r="AM203" i="29"/>
  <c r="AM185" i="29"/>
  <c r="AM192" i="29"/>
  <c r="AM198" i="29"/>
  <c r="AM592" i="29"/>
  <c r="AM290" i="29"/>
  <c r="AM125" i="29"/>
  <c r="AM225" i="29"/>
  <c r="AM114" i="29"/>
  <c r="AM431" i="29"/>
  <c r="AM328" i="29"/>
  <c r="AO328" i="29" s="1"/>
  <c r="AM246" i="29"/>
  <c r="AM425" i="29"/>
  <c r="AM286" i="29"/>
  <c r="AM429" i="29"/>
  <c r="AM358" i="29"/>
  <c r="AM291" i="29"/>
  <c r="AM473" i="29"/>
  <c r="AM261" i="29"/>
  <c r="AM27" i="29"/>
  <c r="AM562" i="29"/>
  <c r="AM126" i="29"/>
  <c r="AM457" i="29"/>
  <c r="AM269" i="29"/>
  <c r="AM93" i="29"/>
  <c r="AM63" i="29"/>
  <c r="AM106" i="29"/>
  <c r="AM391" i="29"/>
  <c r="AM287" i="29"/>
  <c r="AM548" i="29"/>
  <c r="AM216" i="29"/>
  <c r="AM20" i="29"/>
  <c r="AM604" i="29"/>
  <c r="AM268" i="29"/>
  <c r="AM472" i="29"/>
  <c r="AM45" i="29"/>
  <c r="AM215" i="29"/>
  <c r="AM116" i="29"/>
  <c r="AM160" i="29"/>
  <c r="AM72" i="29"/>
  <c r="AM112" i="29"/>
  <c r="AM380" i="29"/>
  <c r="AM276" i="29"/>
  <c r="AM111" i="29"/>
  <c r="AM575" i="29"/>
  <c r="AM495" i="29"/>
  <c r="AM240" i="29"/>
  <c r="AM23" i="29"/>
  <c r="AM311" i="29"/>
  <c r="AM234" i="29"/>
  <c r="AM205" i="29"/>
  <c r="AM217" i="29"/>
  <c r="AM202" i="29"/>
  <c r="AM430" i="29"/>
  <c r="AM499" i="29"/>
  <c r="AM68" i="29"/>
  <c r="AM191" i="29"/>
  <c r="AM190" i="29"/>
  <c r="AM503" i="29"/>
  <c r="AM56" i="29"/>
  <c r="AM485" i="29"/>
  <c r="AM385" i="29"/>
  <c r="AM458" i="29"/>
  <c r="AM451" i="29"/>
  <c r="AM488" i="29"/>
  <c r="AM608" i="29"/>
  <c r="AM556" i="29"/>
  <c r="AM154" i="29"/>
  <c r="AM32" i="29"/>
  <c r="AM210" i="29"/>
  <c r="AM555" i="29"/>
  <c r="AM15" i="29"/>
  <c r="AM578" i="29"/>
  <c r="AM572" i="29"/>
  <c r="AM450" i="29"/>
  <c r="AM558" i="29"/>
  <c r="AM171" i="29"/>
  <c r="AM335" i="29"/>
  <c r="AM376" i="29"/>
  <c r="AM312" i="29"/>
  <c r="AM162" i="29"/>
  <c r="AM580" i="29"/>
  <c r="AM77" i="29"/>
  <c r="AM522" i="29"/>
  <c r="AM569" i="29"/>
  <c r="AM115" i="29"/>
  <c r="AM278" i="29"/>
  <c r="AM439" i="29"/>
  <c r="AM101" i="29"/>
  <c r="AM540" i="29"/>
  <c r="AM232" i="29"/>
  <c r="AM344" i="29"/>
  <c r="AM417" i="29"/>
  <c r="AM352" i="29"/>
  <c r="AM470" i="29"/>
  <c r="AM561" i="29"/>
  <c r="AM547" i="29"/>
  <c r="AM86" i="29"/>
  <c r="AM242" i="29"/>
  <c r="AM502" i="29"/>
  <c r="AM375" i="29"/>
  <c r="AM143" i="29"/>
  <c r="AM551" i="29"/>
  <c r="AM156" i="29"/>
  <c r="AM334" i="29"/>
  <c r="AM197" i="29"/>
  <c r="AM281" i="29"/>
  <c r="AM279" i="29"/>
  <c r="AM438" i="29"/>
  <c r="AM560" i="29"/>
  <c r="AM354" i="29"/>
  <c r="AM467" i="29"/>
  <c r="AM164" i="29"/>
  <c r="AM332" i="29"/>
  <c r="AM459" i="29"/>
  <c r="AM318" i="29"/>
  <c r="AM182" i="29"/>
  <c r="AM158" i="29"/>
  <c r="AM482" i="29"/>
  <c r="AM545" i="29"/>
  <c r="AM516" i="29"/>
  <c r="AM280" i="29"/>
  <c r="AM339" i="29"/>
  <c r="AM76" i="29"/>
  <c r="AM14" i="29"/>
  <c r="AM224" i="29"/>
  <c r="AM196" i="29"/>
  <c r="AM94" i="29"/>
  <c r="AM399" i="29"/>
  <c r="AM543" i="29"/>
  <c r="AM129" i="29"/>
  <c r="AM283" i="29"/>
  <c r="AM539" i="29"/>
  <c r="AM404" i="29"/>
  <c r="AM343" i="29"/>
  <c r="AM296" i="29"/>
  <c r="AM490" i="29"/>
  <c r="AM308" i="29"/>
  <c r="AM322" i="29"/>
  <c r="AM275" i="29"/>
  <c r="AM99" i="29"/>
  <c r="AM25" i="29"/>
  <c r="AM132" i="29"/>
  <c r="AM188" i="29"/>
  <c r="AM238" i="29"/>
  <c r="AO238" i="29" s="1"/>
  <c r="AM134" i="29"/>
  <c r="AM494" i="29"/>
  <c r="AM227" i="29"/>
  <c r="AM419" i="29"/>
  <c r="AM266" i="29"/>
  <c r="AM487" i="29"/>
  <c r="AM303" i="29"/>
  <c r="AM189" i="29"/>
  <c r="AO189" i="29" s="1"/>
  <c r="AM595" i="29"/>
  <c r="AM512" i="29"/>
  <c r="AM505" i="29"/>
  <c r="AM362" i="29"/>
  <c r="AM541" i="29"/>
  <c r="AM351" i="29"/>
  <c r="AM462" i="29"/>
  <c r="AM520" i="29"/>
  <c r="AM148" i="29"/>
  <c r="AM445" i="29"/>
  <c r="AM131" i="29"/>
  <c r="AM13" i="29"/>
  <c r="AM35" i="29"/>
  <c r="AM184" i="29"/>
  <c r="AM274" i="29"/>
  <c r="AM365" i="29"/>
  <c r="AM44" i="29"/>
  <c r="AM53" i="29"/>
  <c r="AM236" i="29"/>
  <c r="AM530" i="29"/>
  <c r="AM479" i="29"/>
  <c r="AM64" i="29"/>
  <c r="AM314" i="29"/>
  <c r="AM400" i="29"/>
  <c r="AM484" i="29"/>
  <c r="AM151" i="29"/>
  <c r="AM590" i="29"/>
  <c r="AM228" i="29"/>
  <c r="AM104" i="29"/>
  <c r="AM123" i="29"/>
  <c r="AM170" i="29"/>
  <c r="AM60" i="29"/>
  <c r="AO60" i="29" s="1"/>
  <c r="AM212" i="29"/>
  <c r="AM475" i="29"/>
  <c r="AM175" i="29"/>
  <c r="AM481" i="29"/>
  <c r="AM254" i="29"/>
  <c r="AM367" i="29"/>
  <c r="AM382" i="29"/>
  <c r="AM243" i="29"/>
  <c r="AM230" i="29"/>
  <c r="AM493" i="29"/>
  <c r="AM464" i="29"/>
  <c r="AO464" i="29" s="1"/>
  <c r="AM310" i="29"/>
  <c r="AM423" i="29"/>
  <c r="AM589" i="29"/>
  <c r="AM397" i="29"/>
  <c r="AM293" i="29"/>
  <c r="AM538" i="29"/>
  <c r="AM47" i="29"/>
  <c r="AM231" i="29"/>
  <c r="AM176" i="29"/>
  <c r="AM550" i="29"/>
  <c r="AM22" i="29"/>
  <c r="AM567" i="29"/>
  <c r="AM480" i="29"/>
  <c r="AM46" i="29"/>
  <c r="AM613" i="29"/>
  <c r="AM95" i="29"/>
  <c r="AM159" i="29"/>
  <c r="AM316" i="29"/>
  <c r="AM412" i="29"/>
  <c r="AM465" i="29"/>
  <c r="AM374" i="29"/>
  <c r="AM168" i="29"/>
  <c r="AM390" i="29"/>
  <c r="AM553" i="29"/>
  <c r="AM263" i="29"/>
  <c r="AM186" i="29"/>
  <c r="AM146" i="29"/>
  <c r="AM506" i="29"/>
  <c r="AM136" i="29"/>
  <c r="AM609" i="29"/>
  <c r="AM500" i="29"/>
  <c r="AM110" i="29"/>
  <c r="AM97" i="29"/>
  <c r="AO97" i="29" s="1"/>
  <c r="AM395" i="29"/>
  <c r="AM180" i="29"/>
  <c r="AM453" i="29"/>
  <c r="AM187" i="29"/>
  <c r="AM418" i="29"/>
  <c r="AM393" i="29"/>
  <c r="AM120" i="29"/>
  <c r="AM476" i="29"/>
  <c r="AM559" i="29"/>
  <c r="AM73" i="29"/>
  <c r="AM492" i="29"/>
  <c r="AM489" i="29"/>
  <c r="AM579" i="29"/>
  <c r="AM218" i="29"/>
  <c r="AM152" i="29"/>
  <c r="AM265" i="29"/>
  <c r="AM244" i="29"/>
  <c r="AM415" i="29"/>
  <c r="AM49" i="29"/>
  <c r="AM497" i="29"/>
  <c r="AM141" i="29"/>
  <c r="AM54" i="29"/>
  <c r="AM463" i="29"/>
  <c r="AM394" i="29"/>
  <c r="AM105" i="29"/>
  <c r="AM377" i="29"/>
  <c r="AP114" i="29"/>
  <c r="AQ114" i="29" s="1"/>
  <c r="AR114" i="29" s="1"/>
  <c r="AP204" i="29"/>
  <c r="AQ204" i="29" s="1"/>
  <c r="AR204" i="29" s="1"/>
  <c r="AP132" i="29"/>
  <c r="AQ132" i="29" s="1"/>
  <c r="AR132" i="29" s="1"/>
  <c r="AP255" i="29"/>
  <c r="AQ255" i="29" s="1"/>
  <c r="AR255" i="29" s="1"/>
  <c r="AP290" i="29"/>
  <c r="AQ290" i="29" s="1"/>
  <c r="AR290" i="29" s="1"/>
  <c r="AP330" i="29"/>
  <c r="AQ330" i="29" s="1"/>
  <c r="AR330" i="29" s="1"/>
  <c r="AP306" i="29"/>
  <c r="AQ306" i="29" s="1"/>
  <c r="AR306" i="29" s="1"/>
  <c r="AP84" i="29"/>
  <c r="AQ84" i="29" s="1"/>
  <c r="AR84" i="29" s="1"/>
  <c r="AP167" i="29"/>
  <c r="AQ167" i="29" s="1"/>
  <c r="AR167" i="29" s="1"/>
  <c r="AP459" i="29"/>
  <c r="AQ459" i="29" s="1"/>
  <c r="AR459" i="29" s="1"/>
  <c r="AP599" i="29"/>
  <c r="AQ599" i="29" s="1"/>
  <c r="AR599" i="29" s="1"/>
  <c r="AP520" i="29"/>
  <c r="AQ520" i="29" s="1"/>
  <c r="AR520" i="29" s="1"/>
  <c r="AP237" i="29"/>
  <c r="AQ237" i="29" s="1"/>
  <c r="AR237" i="29" s="1"/>
  <c r="AP175" i="29"/>
  <c r="AQ175" i="29" s="1"/>
  <c r="AR175" i="29" s="1"/>
  <c r="AP311" i="29"/>
  <c r="AQ311" i="29" s="1"/>
  <c r="AR311" i="29" s="1"/>
  <c r="AP557" i="29"/>
  <c r="AQ557" i="29" s="1"/>
  <c r="AR557" i="29" s="1"/>
  <c r="AP293" i="29"/>
  <c r="AQ293" i="29" s="1"/>
  <c r="AR293" i="29" s="1"/>
  <c r="AP450" i="29"/>
  <c r="AQ450" i="29" s="1"/>
  <c r="AR450" i="29" s="1"/>
  <c r="AP308" i="29"/>
  <c r="AQ308" i="29" s="1"/>
  <c r="AR308" i="29" s="1"/>
  <c r="AP417" i="29"/>
  <c r="AQ417" i="29" s="1"/>
  <c r="AR417" i="29" s="1"/>
  <c r="AP586" i="29"/>
  <c r="AQ586" i="29" s="1"/>
  <c r="AR586" i="29" s="1"/>
  <c r="AP488" i="29"/>
  <c r="AQ488" i="29" s="1"/>
  <c r="AR488" i="29" s="1"/>
  <c r="AM611" i="29"/>
  <c r="AP86" i="29"/>
  <c r="AQ86" i="29" s="1"/>
  <c r="AR86" i="29" s="1"/>
  <c r="AP213" i="29"/>
  <c r="AQ213" i="29" s="1"/>
  <c r="AR213" i="29" s="1"/>
  <c r="AP54" i="29"/>
  <c r="AQ54" i="29" s="1"/>
  <c r="AR54" i="29" s="1"/>
  <c r="AP233" i="29"/>
  <c r="AQ233" i="29" s="1"/>
  <c r="AR233" i="29" s="1"/>
  <c r="AP593" i="29"/>
  <c r="AQ593" i="29" s="1"/>
  <c r="AR593" i="29" s="1"/>
  <c r="AP502" i="29"/>
  <c r="AQ502" i="29" s="1"/>
  <c r="AR502" i="29" s="1"/>
  <c r="AP195" i="29"/>
  <c r="AQ195" i="29" s="1"/>
  <c r="AR195" i="29" s="1"/>
  <c r="AP168" i="29"/>
  <c r="AQ168" i="29" s="1"/>
  <c r="AR168" i="29" s="1"/>
  <c r="AP82" i="29"/>
  <c r="AQ82" i="29" s="1"/>
  <c r="AR82" i="29" s="1"/>
  <c r="AP321" i="29"/>
  <c r="AQ321" i="29" s="1"/>
  <c r="AR321" i="29" s="1"/>
  <c r="AP382" i="29"/>
  <c r="AQ382" i="29" s="1"/>
  <c r="AR382" i="29" s="1"/>
  <c r="AP253" i="29"/>
  <c r="AQ253" i="29" s="1"/>
  <c r="AR253" i="29" s="1"/>
  <c r="AP294" i="29"/>
  <c r="AQ294" i="29" s="1"/>
  <c r="AR294" i="29" s="1"/>
  <c r="AP567" i="29"/>
  <c r="AQ567" i="29" s="1"/>
  <c r="AR567" i="29" s="1"/>
  <c r="AP236" i="29"/>
  <c r="AQ236" i="29" s="1"/>
  <c r="AR236" i="29" s="1"/>
  <c r="AP507" i="29"/>
  <c r="AQ507" i="29" s="1"/>
  <c r="AR507" i="29" s="1"/>
  <c r="AP198" i="29"/>
  <c r="AQ198" i="29" s="1"/>
  <c r="AR198" i="29" s="1"/>
  <c r="AP367" i="29"/>
  <c r="AQ367" i="29" s="1"/>
  <c r="AR367" i="29" s="1"/>
  <c r="AP98" i="29"/>
  <c r="AQ98" i="29" s="1"/>
  <c r="AR98" i="29" s="1"/>
  <c r="AP383" i="29"/>
  <c r="AQ383" i="29" s="1"/>
  <c r="AR383" i="29" s="1"/>
  <c r="AP454" i="29"/>
  <c r="AQ454" i="29" s="1"/>
  <c r="AR454" i="29" s="1"/>
  <c r="AP379" i="29"/>
  <c r="AQ379" i="29" s="1"/>
  <c r="AR379" i="29" s="1"/>
  <c r="AM452" i="29"/>
  <c r="AP349" i="29"/>
  <c r="AQ349" i="29" s="1"/>
  <c r="AR349" i="29" s="1"/>
  <c r="AP248" i="29"/>
  <c r="AQ248" i="29" s="1"/>
  <c r="AR248" i="29" s="1"/>
  <c r="AP577" i="29"/>
  <c r="AQ577" i="29" s="1"/>
  <c r="AR577" i="29" s="1"/>
  <c r="AP281" i="29"/>
  <c r="AQ281" i="29" s="1"/>
  <c r="AR281" i="29" s="1"/>
  <c r="AP485" i="29"/>
  <c r="AQ485" i="29" s="1"/>
  <c r="AR485" i="29" s="1"/>
  <c r="AP572" i="29"/>
  <c r="AQ572" i="29" s="1"/>
  <c r="AR572" i="29" s="1"/>
  <c r="AP201" i="29"/>
  <c r="AQ201" i="29" s="1"/>
  <c r="AR201" i="29" s="1"/>
  <c r="AM36" i="29"/>
  <c r="AP282" i="29"/>
  <c r="AQ282" i="29" s="1"/>
  <c r="AR282" i="29" s="1"/>
  <c r="AP468" i="29"/>
  <c r="AQ468" i="29" s="1"/>
  <c r="AR468" i="29" s="1"/>
  <c r="AP476" i="29"/>
  <c r="AQ476" i="29" s="1"/>
  <c r="AR476" i="29" s="1"/>
  <c r="AP340" i="29"/>
  <c r="AQ340" i="29" s="1"/>
  <c r="AR340" i="29" s="1"/>
  <c r="AP522" i="29"/>
  <c r="AQ522" i="29" s="1"/>
  <c r="AR522" i="29" s="1"/>
  <c r="AP243" i="29"/>
  <c r="AQ243" i="29" s="1"/>
  <c r="AR243" i="29" s="1"/>
  <c r="AP221" i="29"/>
  <c r="AQ221" i="29" s="1"/>
  <c r="AR221" i="29" s="1"/>
  <c r="AP176" i="29"/>
  <c r="AQ176" i="29" s="1"/>
  <c r="AR176" i="29" s="1"/>
  <c r="AP75" i="29"/>
  <c r="AQ75" i="29" s="1"/>
  <c r="AR75" i="29" s="1"/>
  <c r="AP527" i="29"/>
  <c r="AQ527" i="29" s="1"/>
  <c r="AR527" i="29" s="1"/>
  <c r="AP52" i="29"/>
  <c r="AQ52" i="29" s="1"/>
  <c r="AR52" i="29" s="1"/>
  <c r="AP24" i="29"/>
  <c r="AQ24" i="29" s="1"/>
  <c r="AR24" i="29" s="1"/>
  <c r="AP418" i="29"/>
  <c r="AQ418" i="29" s="1"/>
  <c r="AR418" i="29" s="1"/>
  <c r="AP179" i="29"/>
  <c r="AQ179" i="29" s="1"/>
  <c r="AR179" i="29" s="1"/>
  <c r="AP324" i="29"/>
  <c r="AQ324" i="29" s="1"/>
  <c r="AR324" i="29" s="1"/>
  <c r="AP590" i="29"/>
  <c r="AQ590" i="29" s="1"/>
  <c r="AR590" i="29" s="1"/>
  <c r="AP85" i="29"/>
  <c r="AQ85" i="29" s="1"/>
  <c r="AR85" i="29" s="1"/>
  <c r="AP223" i="29"/>
  <c r="AQ223" i="29" s="1"/>
  <c r="AR223" i="29" s="1"/>
  <c r="AP436" i="29"/>
  <c r="AQ436" i="29" s="1"/>
  <c r="AR436" i="29" s="1"/>
  <c r="AP441" i="29"/>
  <c r="AQ441" i="29" s="1"/>
  <c r="AR441" i="29" s="1"/>
  <c r="AP414" i="29"/>
  <c r="AQ414" i="29" s="1"/>
  <c r="AR414" i="29" s="1"/>
  <c r="AP26" i="29"/>
  <c r="AQ26" i="29" s="1"/>
  <c r="AR26" i="29" s="1"/>
  <c r="AP581" i="29"/>
  <c r="AQ581" i="29" s="1"/>
  <c r="AR581" i="29" s="1"/>
  <c r="AP105" i="29"/>
  <c r="AQ105" i="29" s="1"/>
  <c r="AR105" i="29" s="1"/>
  <c r="AP53" i="29"/>
  <c r="AQ53" i="29" s="1"/>
  <c r="AR53" i="29" s="1"/>
  <c r="AP451" i="29"/>
  <c r="AQ451" i="29" s="1"/>
  <c r="AR451" i="29" s="1"/>
  <c r="AP541" i="29"/>
  <c r="AQ541" i="29" s="1"/>
  <c r="AR541" i="29" s="1"/>
  <c r="AP58" i="29"/>
  <c r="AQ58" i="29" s="1"/>
  <c r="AR58" i="29" s="1"/>
  <c r="AP474" i="29"/>
  <c r="AQ474" i="29" s="1"/>
  <c r="AR474" i="29" s="1"/>
  <c r="AP192" i="29"/>
  <c r="AQ192" i="29" s="1"/>
  <c r="AR192" i="29" s="1"/>
  <c r="AP299" i="29"/>
  <c r="AQ299" i="29" s="1"/>
  <c r="AR299" i="29" s="1"/>
  <c r="AP466" i="29"/>
  <c r="AQ466" i="29" s="1"/>
  <c r="AR466" i="29" s="1"/>
  <c r="AP111" i="29"/>
  <c r="AQ111" i="29" s="1"/>
  <c r="AR111" i="29" s="1"/>
  <c r="AP524" i="29"/>
  <c r="AQ524" i="29" s="1"/>
  <c r="AR524" i="29" s="1"/>
  <c r="AP160" i="29"/>
  <c r="AQ160" i="29" s="1"/>
  <c r="AR160" i="29" s="1"/>
  <c r="AP226" i="29"/>
  <c r="AQ226" i="29" s="1"/>
  <c r="AR226" i="29" s="1"/>
  <c r="AM511" i="29"/>
  <c r="AP554" i="29"/>
  <c r="AQ554" i="29" s="1"/>
  <c r="AR554" i="29" s="1"/>
  <c r="AP212" i="29"/>
  <c r="AQ212" i="29" s="1"/>
  <c r="AR212" i="29" s="1"/>
  <c r="AP467" i="29"/>
  <c r="AQ467" i="29" s="1"/>
  <c r="AR467" i="29" s="1"/>
  <c r="AP180" i="29"/>
  <c r="AQ180" i="29" s="1"/>
  <c r="AR180" i="29" s="1"/>
  <c r="AP309" i="29"/>
  <c r="AQ309" i="29" s="1"/>
  <c r="AR309" i="29" s="1"/>
  <c r="AP410" i="29"/>
  <c r="AQ410" i="29" s="1"/>
  <c r="AR410" i="29" s="1"/>
  <c r="AP288" i="29"/>
  <c r="AQ288" i="29" s="1"/>
  <c r="AR288" i="29" s="1"/>
  <c r="AP380" i="29"/>
  <c r="AQ380" i="29" s="1"/>
  <c r="AR380" i="29" s="1"/>
  <c r="AP603" i="29"/>
  <c r="AQ603" i="29" s="1"/>
  <c r="AR603" i="29" s="1"/>
  <c r="AP206" i="29"/>
  <c r="AQ206" i="29" s="1"/>
  <c r="AR206" i="29" s="1"/>
  <c r="AP392" i="29"/>
  <c r="AQ392" i="29" s="1"/>
  <c r="AR392" i="29" s="1"/>
  <c r="AP481" i="29"/>
  <c r="AQ481" i="29" s="1"/>
  <c r="AR481" i="29" s="1"/>
  <c r="AP109" i="29"/>
  <c r="AQ109" i="29" s="1"/>
  <c r="AR109" i="29" s="1"/>
  <c r="AP208" i="29"/>
  <c r="AQ208" i="29" s="1"/>
  <c r="AR208" i="29" s="1"/>
  <c r="AP218" i="29"/>
  <c r="AQ218" i="29" s="1"/>
  <c r="AR218" i="29" s="1"/>
  <c r="AP222" i="29"/>
  <c r="AQ222" i="29" s="1"/>
  <c r="AR222" i="29" s="1"/>
  <c r="AP352" i="29"/>
  <c r="AQ352" i="29" s="1"/>
  <c r="AR352" i="29" s="1"/>
  <c r="AP302" i="29"/>
  <c r="AQ302" i="29" s="1"/>
  <c r="AR302" i="29" s="1"/>
  <c r="AP122" i="29"/>
  <c r="AQ122" i="29" s="1"/>
  <c r="AR122" i="29" s="1"/>
  <c r="AP35" i="29"/>
  <c r="AQ35" i="29" s="1"/>
  <c r="AR35" i="29" s="1"/>
  <c r="AP545" i="29"/>
  <c r="AQ545" i="29" s="1"/>
  <c r="AR545" i="29" s="1"/>
  <c r="AP36" i="29"/>
  <c r="AQ36" i="29" s="1"/>
  <c r="AR36" i="29" s="1"/>
  <c r="D52" i="29"/>
  <c r="D54" i="29" s="1"/>
  <c r="AM536" i="29"/>
  <c r="AP153" i="29"/>
  <c r="AQ153" i="29" s="1"/>
  <c r="AR153" i="29" s="1"/>
  <c r="AP187" i="29"/>
  <c r="AQ187" i="29" s="1"/>
  <c r="AR187" i="29" s="1"/>
  <c r="AP144" i="29"/>
  <c r="AQ144" i="29" s="1"/>
  <c r="AR144" i="29" s="1"/>
  <c r="AP210" i="29"/>
  <c r="AQ210" i="29" s="1"/>
  <c r="AR210" i="29" s="1"/>
  <c r="AP214" i="29"/>
  <c r="AQ214" i="29" s="1"/>
  <c r="AR214" i="29" s="1"/>
  <c r="AP518" i="29"/>
  <c r="AQ518" i="29" s="1"/>
  <c r="AR518" i="29" s="1"/>
  <c r="AP351" i="29"/>
  <c r="AQ351" i="29" s="1"/>
  <c r="AR351" i="29" s="1"/>
  <c r="AP194" i="29"/>
  <c r="AQ194" i="29" s="1"/>
  <c r="AR194" i="29" s="1"/>
  <c r="AP163" i="29"/>
  <c r="AQ163" i="29" s="1"/>
  <c r="AR163" i="29" s="1"/>
  <c r="AP61" i="29"/>
  <c r="AQ61" i="29" s="1"/>
  <c r="AR61" i="29" s="1"/>
  <c r="AP430" i="29"/>
  <c r="AQ430" i="29" s="1"/>
  <c r="AR430" i="29" s="1"/>
  <c r="AP139" i="29"/>
  <c r="AQ139" i="29" s="1"/>
  <c r="AR139" i="29" s="1"/>
  <c r="AP182" i="29"/>
  <c r="AQ182" i="29" s="1"/>
  <c r="AR182" i="29" s="1"/>
  <c r="AP534" i="29"/>
  <c r="AQ534" i="29" s="1"/>
  <c r="AR534" i="29" s="1"/>
  <c r="AP137" i="29"/>
  <c r="AQ137" i="29" s="1"/>
  <c r="AR137" i="29" s="1"/>
  <c r="AP536" i="29"/>
  <c r="AQ536" i="29" s="1"/>
  <c r="AR536" i="29" s="1"/>
  <c r="AP186" i="29"/>
  <c r="AQ186" i="29" s="1"/>
  <c r="AR186" i="29" s="1"/>
  <c r="AP568" i="29"/>
  <c r="AQ568" i="29" s="1"/>
  <c r="AR568" i="29" s="1"/>
  <c r="AP583" i="29"/>
  <c r="AQ583" i="29" s="1"/>
  <c r="AR583" i="29" s="1"/>
  <c r="AP66" i="29"/>
  <c r="AQ66" i="29" s="1"/>
  <c r="AR66" i="29" s="1"/>
  <c r="AP125" i="29"/>
  <c r="AQ125" i="29" s="1"/>
  <c r="AR125" i="29" s="1"/>
  <c r="AP147" i="29"/>
  <c r="AQ147" i="29" s="1"/>
  <c r="AR147" i="29" s="1"/>
  <c r="AP197" i="29"/>
  <c r="AQ197" i="29" s="1"/>
  <c r="AR197" i="29" s="1"/>
  <c r="AP291" i="29"/>
  <c r="AQ291" i="29" s="1"/>
  <c r="AR291" i="29" s="1"/>
  <c r="AP491" i="29"/>
  <c r="AQ491" i="29" s="1"/>
  <c r="AR491" i="29" s="1"/>
  <c r="AP217" i="29"/>
  <c r="AQ217" i="29" s="1"/>
  <c r="AR217" i="29" s="1"/>
  <c r="AP32" i="29"/>
  <c r="AQ32" i="29" s="1"/>
  <c r="AR32" i="29" s="1"/>
  <c r="AP56" i="29"/>
  <c r="AQ56" i="29" s="1"/>
  <c r="AR56" i="29" s="1"/>
  <c r="AP134" i="29"/>
  <c r="AQ134" i="29" s="1"/>
  <c r="AR134" i="29" s="1"/>
  <c r="AP13" i="29"/>
  <c r="AQ13" i="29" s="1"/>
  <c r="AR13" i="29" s="1"/>
  <c r="AP356" i="29"/>
  <c r="AQ356" i="29" s="1"/>
  <c r="AR356" i="29" s="1"/>
  <c r="AP34" i="29"/>
  <c r="AQ34" i="29" s="1"/>
  <c r="AR34" i="29" s="1"/>
  <c r="AP475" i="29"/>
  <c r="AQ475" i="29" s="1"/>
  <c r="AR475" i="29" s="1"/>
  <c r="AP270" i="29"/>
  <c r="AQ270" i="29" s="1"/>
  <c r="AR270" i="29" s="1"/>
  <c r="AP357" i="29"/>
  <c r="AQ357" i="29" s="1"/>
  <c r="AR357" i="29" s="1"/>
  <c r="AP50" i="29"/>
  <c r="AQ50" i="29" s="1"/>
  <c r="AR50" i="29" s="1"/>
  <c r="AP447" i="29"/>
  <c r="AQ447" i="29" s="1"/>
  <c r="AR447" i="29" s="1"/>
  <c r="AP483" i="29"/>
  <c r="AQ483" i="29" s="1"/>
  <c r="AR483" i="29" s="1"/>
  <c r="AP533" i="29"/>
  <c r="AQ533" i="29" s="1"/>
  <c r="AR533" i="29" s="1"/>
  <c r="AP136" i="29"/>
  <c r="AQ136" i="29" s="1"/>
  <c r="AR136" i="29" s="1"/>
  <c r="AP15" i="29"/>
  <c r="AQ15" i="29" s="1"/>
  <c r="AR15" i="29" s="1"/>
  <c r="AP543" i="29"/>
  <c r="AQ543" i="29" s="1"/>
  <c r="AR543" i="29" s="1"/>
  <c r="AP78" i="29"/>
  <c r="AQ78" i="29" s="1"/>
  <c r="AR78" i="29" s="1"/>
  <c r="AP336" i="29"/>
  <c r="AQ336" i="29" s="1"/>
  <c r="AR336" i="29" s="1"/>
  <c r="AM181" i="29"/>
  <c r="AM523" i="29"/>
  <c r="AP347" i="29"/>
  <c r="AQ347" i="29" s="1"/>
  <c r="AR347" i="29" s="1"/>
  <c r="AP610" i="29"/>
  <c r="AQ610" i="29" s="1"/>
  <c r="AR610" i="29" s="1"/>
  <c r="AP241" i="29"/>
  <c r="AQ241" i="29" s="1"/>
  <c r="AR241" i="29" s="1"/>
  <c r="AP96" i="29"/>
  <c r="AQ96" i="29" s="1"/>
  <c r="AR96" i="29" s="1"/>
  <c r="AP280" i="29"/>
  <c r="AQ280" i="29" s="1"/>
  <c r="AR280" i="29" s="1"/>
  <c r="AP440" i="29"/>
  <c r="AQ440" i="29" s="1"/>
  <c r="AR440" i="29" s="1"/>
  <c r="AP33" i="29"/>
  <c r="AQ33" i="29" s="1"/>
  <c r="AR33" i="29" s="1"/>
  <c r="AP434" i="29"/>
  <c r="AQ434" i="29" s="1"/>
  <c r="AR434" i="29" s="1"/>
  <c r="AP276" i="29"/>
  <c r="AQ276" i="29" s="1"/>
  <c r="AR276" i="29" s="1"/>
  <c r="AP322" i="29"/>
  <c r="AQ322" i="29" s="1"/>
  <c r="AR322" i="29" s="1"/>
  <c r="AP133" i="29"/>
  <c r="AQ133" i="29" s="1"/>
  <c r="AR133" i="29" s="1"/>
  <c r="AP227" i="29"/>
  <c r="AQ227" i="29" s="1"/>
  <c r="AR227" i="29" s="1"/>
  <c r="AP516" i="29"/>
  <c r="AQ516" i="29" s="1"/>
  <c r="AR516" i="29" s="1"/>
  <c r="AP360" i="29"/>
  <c r="AQ360" i="29" s="1"/>
  <c r="AR360" i="29" s="1"/>
  <c r="AP131" i="29"/>
  <c r="AQ131" i="29" s="1"/>
  <c r="AR131" i="29" s="1"/>
  <c r="AP44" i="29"/>
  <c r="AQ44" i="29" s="1"/>
  <c r="AR44" i="29" s="1"/>
  <c r="AP224" i="29"/>
  <c r="AQ224" i="29" s="1"/>
  <c r="AR224" i="29" s="1"/>
  <c r="AP539" i="29"/>
  <c r="AQ539" i="29" s="1"/>
  <c r="AR539" i="29" s="1"/>
  <c r="AP207" i="29"/>
  <c r="AQ207" i="29" s="1"/>
  <c r="AR207" i="29" s="1"/>
  <c r="AP424" i="29"/>
  <c r="AQ424" i="29" s="1"/>
  <c r="AR424" i="29" s="1"/>
  <c r="AP529" i="29"/>
  <c r="AQ529" i="29" s="1"/>
  <c r="AR529" i="29" s="1"/>
  <c r="AP129" i="29"/>
  <c r="AQ129" i="29" s="1"/>
  <c r="AR129" i="29" s="1"/>
  <c r="AP613" i="29"/>
  <c r="AQ613" i="29" s="1"/>
  <c r="AR613" i="29" s="1"/>
  <c r="AP265" i="29"/>
  <c r="AQ265" i="29" s="1"/>
  <c r="AR265" i="29" s="1"/>
  <c r="AP433" i="29"/>
  <c r="AQ433" i="29" s="1"/>
  <c r="AR433" i="29" s="1"/>
  <c r="AP505" i="29"/>
  <c r="AQ505" i="29" s="1"/>
  <c r="AR505" i="29" s="1"/>
  <c r="AP57" i="29"/>
  <c r="AQ57" i="29" s="1"/>
  <c r="AR57" i="29" s="1"/>
  <c r="AP178" i="29"/>
  <c r="AQ178" i="29" s="1"/>
  <c r="AR178" i="29" s="1"/>
  <c r="AP277" i="29"/>
  <c r="AQ277" i="29" s="1"/>
  <c r="AR277" i="29" s="1"/>
  <c r="AP200" i="29"/>
  <c r="AQ200" i="29" s="1"/>
  <c r="AR200" i="29" s="1"/>
  <c r="AP449" i="29"/>
  <c r="AQ449" i="29" s="1"/>
  <c r="AR449" i="29" s="1"/>
  <c r="AP113" i="29"/>
  <c r="AQ113" i="29" s="1"/>
  <c r="AR113" i="29" s="1"/>
  <c r="AP73" i="29"/>
  <c r="AQ73" i="29" s="1"/>
  <c r="AR73" i="29" s="1"/>
  <c r="AP59" i="29"/>
  <c r="AQ59" i="29" s="1"/>
  <c r="AR59" i="29" s="1"/>
  <c r="AP540" i="29"/>
  <c r="AQ540" i="29" s="1"/>
  <c r="AR540" i="29" s="1"/>
  <c r="AP92" i="29"/>
  <c r="AQ92" i="29" s="1"/>
  <c r="AR92" i="29" s="1"/>
  <c r="AP335" i="29"/>
  <c r="AQ335" i="29" s="1"/>
  <c r="AR335" i="29" s="1"/>
  <c r="AP251" i="29"/>
  <c r="AQ251" i="29" s="1"/>
  <c r="AR251" i="29" s="1"/>
  <c r="AP438" i="29"/>
  <c r="AQ438" i="29" s="1"/>
  <c r="AR438" i="29" s="1"/>
  <c r="AP108" i="29"/>
  <c r="AQ108" i="29" s="1"/>
  <c r="AR108" i="29" s="1"/>
  <c r="AP183" i="29"/>
  <c r="AQ183" i="29" s="1"/>
  <c r="AR183" i="29" s="1"/>
  <c r="AP283" i="29"/>
  <c r="AQ283" i="29" s="1"/>
  <c r="AR283" i="29" s="1"/>
  <c r="AP170" i="29"/>
  <c r="AQ170" i="29" s="1"/>
  <c r="AR170" i="29" s="1"/>
  <c r="AP530" i="29"/>
  <c r="AQ530" i="29" s="1"/>
  <c r="AR530" i="29" s="1"/>
  <c r="AP388" i="29"/>
  <c r="AQ388" i="29" s="1"/>
  <c r="AR388" i="29" s="1"/>
  <c r="AP18" i="29"/>
  <c r="AQ18" i="29" s="1"/>
  <c r="AR18" i="29" s="1"/>
  <c r="AP284" i="29"/>
  <c r="AQ284" i="29" s="1"/>
  <c r="AR284" i="29" s="1"/>
  <c r="AP307" i="29"/>
  <c r="AQ307" i="29" s="1"/>
  <c r="AR307" i="29" s="1"/>
  <c r="AP310" i="29"/>
  <c r="AQ310" i="29" s="1"/>
  <c r="AR310" i="29" s="1"/>
  <c r="AP273" i="29"/>
  <c r="AQ273" i="29" s="1"/>
  <c r="AR273" i="29" s="1"/>
  <c r="AP215" i="29"/>
  <c r="AQ215" i="29" s="1"/>
  <c r="AR215" i="29" s="1"/>
  <c r="AP582" i="29"/>
  <c r="AQ582" i="29" s="1"/>
  <c r="AR582" i="29" s="1"/>
  <c r="AP478" i="29"/>
  <c r="AQ478" i="29" s="1"/>
  <c r="AR478" i="29" s="1"/>
  <c r="AP67" i="29"/>
  <c r="AQ67" i="29" s="1"/>
  <c r="AR67" i="29" s="1"/>
  <c r="AP546" i="29"/>
  <c r="AQ546" i="29" s="1"/>
  <c r="AR546" i="29" s="1"/>
  <c r="AP551" i="29"/>
  <c r="AQ551" i="29" s="1"/>
  <c r="AR551" i="29" s="1"/>
  <c r="AP46" i="29"/>
  <c r="AQ46" i="29" s="1"/>
  <c r="AR46" i="29" s="1"/>
  <c r="AP161" i="29"/>
  <c r="AQ161" i="29" s="1"/>
  <c r="AR161" i="29" s="1"/>
  <c r="AP393" i="29"/>
  <c r="AQ393" i="29" s="1"/>
  <c r="AR393" i="29" s="1"/>
  <c r="AP193" i="29"/>
  <c r="AQ193" i="29" s="1"/>
  <c r="AR193" i="29" s="1"/>
  <c r="AP526" i="29"/>
  <c r="AQ526" i="29" s="1"/>
  <c r="AR526" i="29" s="1"/>
  <c r="AP239" i="29"/>
  <c r="AQ239" i="29" s="1"/>
  <c r="AR239" i="29" s="1"/>
  <c r="AP37" i="29"/>
  <c r="AQ37" i="29" s="1"/>
  <c r="AR37" i="29" s="1"/>
  <c r="AP523" i="29"/>
  <c r="AQ523" i="29" s="1"/>
  <c r="AR523" i="29" s="1"/>
  <c r="AP40" i="29"/>
  <c r="AQ40" i="29" s="1"/>
  <c r="AR40" i="29" s="1"/>
  <c r="AP370" i="29"/>
  <c r="AQ370" i="29" s="1"/>
  <c r="AR370" i="29" s="1"/>
  <c r="AP188" i="29"/>
  <c r="AQ188" i="29" s="1"/>
  <c r="AR188" i="29" s="1"/>
  <c r="AP72" i="29"/>
  <c r="AQ72" i="29" s="1"/>
  <c r="AR72" i="29" s="1"/>
  <c r="AP547" i="29"/>
  <c r="AQ547" i="29" s="1"/>
  <c r="AR547" i="29" s="1"/>
  <c r="AP445" i="29"/>
  <c r="AQ445" i="29" s="1"/>
  <c r="AR445" i="29" s="1"/>
  <c r="AP573" i="29"/>
  <c r="AQ573" i="29" s="1"/>
  <c r="AR573" i="29" s="1"/>
  <c r="AP456" i="29"/>
  <c r="AQ456" i="29" s="1"/>
  <c r="AR456" i="29" s="1"/>
  <c r="AP318" i="29"/>
  <c r="AQ318" i="29" s="1"/>
  <c r="AR318" i="29" s="1"/>
  <c r="AP298" i="29"/>
  <c r="AQ298" i="29" s="1"/>
  <c r="AR298" i="29" s="1"/>
  <c r="AP49" i="29"/>
  <c r="AQ49" i="29" s="1"/>
  <c r="AR49" i="29" s="1"/>
  <c r="AP446" i="29"/>
  <c r="AQ446" i="29" s="1"/>
  <c r="AR446" i="29" s="1"/>
  <c r="AP189" i="29"/>
  <c r="AQ189" i="29" s="1"/>
  <c r="AR189" i="29" s="1"/>
  <c r="AP70" i="29"/>
  <c r="AQ70" i="29" s="1"/>
  <c r="AR70" i="29" s="1"/>
  <c r="AP531" i="29"/>
  <c r="AQ531" i="29" s="1"/>
  <c r="AR531" i="29" s="1"/>
  <c r="AP329" i="29"/>
  <c r="AQ329" i="29" s="1"/>
  <c r="AR329" i="29" s="1"/>
  <c r="AP240" i="29"/>
  <c r="AQ240" i="29" s="1"/>
  <c r="AR240" i="29" s="1"/>
  <c r="AP146" i="29"/>
  <c r="AQ146" i="29" s="1"/>
  <c r="AR146" i="29" s="1"/>
  <c r="AP320" i="29"/>
  <c r="AQ320" i="29" s="1"/>
  <c r="AR320" i="29" s="1"/>
  <c r="AP448" i="29"/>
  <c r="AQ448" i="29" s="1"/>
  <c r="AR448" i="29" s="1"/>
  <c r="AP39" i="29"/>
  <c r="AQ39" i="29" s="1"/>
  <c r="AR39" i="29" s="1"/>
  <c r="AP381" i="29"/>
  <c r="AQ381" i="29" s="1"/>
  <c r="AR381" i="29" s="1"/>
  <c r="AP138" i="29"/>
  <c r="AQ138" i="29" s="1"/>
  <c r="AR138" i="29" s="1"/>
  <c r="AP313" i="29"/>
  <c r="AQ313" i="29" s="1"/>
  <c r="AR313" i="29" s="1"/>
  <c r="AP558" i="29"/>
  <c r="AQ558" i="29" s="1"/>
  <c r="AR558" i="29" s="1"/>
  <c r="AP415" i="29"/>
  <c r="AQ415" i="29" s="1"/>
  <c r="AR415" i="29" s="1"/>
  <c r="AP519" i="29"/>
  <c r="AQ519" i="29" s="1"/>
  <c r="AR519" i="29" s="1"/>
  <c r="AP257" i="29"/>
  <c r="AQ257" i="29" s="1"/>
  <c r="AR257" i="29" s="1"/>
  <c r="AP225" i="29"/>
  <c r="AQ225" i="29" s="1"/>
  <c r="AR225" i="29" s="1"/>
  <c r="AP235" i="29"/>
  <c r="AQ235" i="29" s="1"/>
  <c r="AR235" i="29" s="1"/>
  <c r="AP559" i="29"/>
  <c r="AQ559" i="29" s="1"/>
  <c r="AR559" i="29" s="1"/>
  <c r="AP597" i="29"/>
  <c r="AQ597" i="29" s="1"/>
  <c r="AR597" i="29" s="1"/>
  <c r="AP171" i="29"/>
  <c r="AQ171" i="29" s="1"/>
  <c r="AR171" i="29" s="1"/>
  <c r="AP65" i="29"/>
  <c r="AQ65" i="29" s="1"/>
  <c r="AR65" i="29" s="1"/>
  <c r="AP141" i="29"/>
  <c r="AQ141" i="29" s="1"/>
  <c r="AR141" i="29" s="1"/>
  <c r="AP107" i="29"/>
  <c r="AQ107" i="29" s="1"/>
  <c r="AR107" i="29" s="1"/>
  <c r="AP348" i="29"/>
  <c r="AQ348" i="29" s="1"/>
  <c r="AR348" i="29" s="1"/>
  <c r="AP71" i="29"/>
  <c r="AQ71" i="29" s="1"/>
  <c r="AR71" i="29" s="1"/>
  <c r="AP428" i="29"/>
  <c r="AQ428" i="29" s="1"/>
  <c r="AR428" i="29" s="1"/>
  <c r="AP337" i="29"/>
  <c r="AQ337" i="29" s="1"/>
  <c r="AR337" i="29" s="1"/>
  <c r="AP538" i="29"/>
  <c r="AQ538" i="29" s="1"/>
  <c r="AR538" i="29" s="1"/>
  <c r="AP552" i="29"/>
  <c r="AQ552" i="29" s="1"/>
  <c r="AR552" i="29" s="1"/>
  <c r="AP115" i="29"/>
  <c r="AQ115" i="29" s="1"/>
  <c r="AR115" i="29" s="1"/>
  <c r="AP396" i="29"/>
  <c r="AQ396" i="29" s="1"/>
  <c r="AR396" i="29" s="1"/>
  <c r="AP574" i="29"/>
  <c r="AQ574" i="29" s="1"/>
  <c r="AR574" i="29" s="1"/>
  <c r="AP423" i="29"/>
  <c r="AQ423" i="29" s="1"/>
  <c r="AR423" i="29" s="1"/>
  <c r="AP354" i="29"/>
  <c r="AQ354" i="29" s="1"/>
  <c r="AR354" i="29" s="1"/>
  <c r="AP358" i="29"/>
  <c r="AQ358" i="29" s="1"/>
  <c r="AR358" i="29" s="1"/>
  <c r="AP612" i="29"/>
  <c r="AQ612" i="29" s="1"/>
  <c r="AR612" i="29" s="1"/>
  <c r="AP94" i="29"/>
  <c r="AQ94" i="29" s="1"/>
  <c r="AR94" i="29" s="1"/>
  <c r="AP196" i="29"/>
  <c r="AQ196" i="29" s="1"/>
  <c r="AR196" i="29" s="1"/>
  <c r="AP611" i="29"/>
  <c r="AQ611" i="29" s="1"/>
  <c r="AR611" i="29" s="1"/>
  <c r="AP262" i="29"/>
  <c r="AQ262" i="29" s="1"/>
  <c r="AR262" i="29" s="1"/>
  <c r="AP267" i="29"/>
  <c r="AQ267" i="29" s="1"/>
  <c r="AR267" i="29" s="1"/>
  <c r="AP595" i="29"/>
  <c r="AQ595" i="29" s="1"/>
  <c r="AR595" i="29" s="1"/>
  <c r="AP405" i="29"/>
  <c r="AQ405" i="29" s="1"/>
  <c r="AR405" i="29" s="1"/>
  <c r="AP231" i="29"/>
  <c r="AQ231" i="29" s="1"/>
  <c r="AR231" i="29" s="1"/>
  <c r="AP490" i="29"/>
  <c r="AQ490" i="29" s="1"/>
  <c r="AR490" i="29" s="1"/>
  <c r="AP461" i="29"/>
  <c r="AQ461" i="29" s="1"/>
  <c r="AR461" i="29" s="1"/>
  <c r="AP355" i="29"/>
  <c r="AQ355" i="29" s="1"/>
  <c r="AR355" i="29" s="1"/>
  <c r="AP435" i="29"/>
  <c r="AQ435" i="29" s="1"/>
  <c r="AR435" i="29" s="1"/>
  <c r="AP442" i="29"/>
  <c r="AQ442" i="29" s="1"/>
  <c r="AR442" i="29" s="1"/>
  <c r="AP106" i="29"/>
  <c r="AQ106" i="29" s="1"/>
  <c r="AR106" i="29" s="1"/>
  <c r="AP157" i="29"/>
  <c r="AQ157" i="29" s="1"/>
  <c r="AR157" i="29" s="1"/>
  <c r="AP101" i="29"/>
  <c r="AQ101" i="29" s="1"/>
  <c r="AR101" i="29" s="1"/>
  <c r="AP350" i="29"/>
  <c r="AQ350" i="29" s="1"/>
  <c r="AR350" i="29" s="1"/>
  <c r="AP130" i="29"/>
  <c r="AQ130" i="29" s="1"/>
  <c r="AR130" i="29" s="1"/>
  <c r="AP47" i="29"/>
  <c r="AQ47" i="29" s="1"/>
  <c r="AR47" i="29" s="1"/>
  <c r="AP173" i="29"/>
  <c r="AQ173" i="29" s="1"/>
  <c r="AR173" i="29" s="1"/>
  <c r="AP589" i="29"/>
  <c r="AQ589" i="29" s="1"/>
  <c r="AR589" i="29" s="1"/>
  <c r="AP17" i="29"/>
  <c r="AQ17" i="29" s="1"/>
  <c r="AR17" i="29" s="1"/>
  <c r="AP604" i="29"/>
  <c r="AQ604" i="29" s="1"/>
  <c r="AR604" i="29" s="1"/>
  <c r="AP104" i="29"/>
  <c r="AQ104" i="29" s="1"/>
  <c r="AR104" i="29" s="1"/>
  <c r="AP376" i="29"/>
  <c r="AQ376" i="29" s="1"/>
  <c r="AR376" i="29" s="1"/>
  <c r="AP498" i="29"/>
  <c r="AQ498" i="29" s="1"/>
  <c r="AR498" i="29" s="1"/>
  <c r="AP608" i="29"/>
  <c r="AQ608" i="29" s="1"/>
  <c r="AR608" i="29" s="1"/>
  <c r="AP334" i="29"/>
  <c r="AQ334" i="29" s="1"/>
  <c r="AR334" i="29" s="1"/>
  <c r="AP135" i="29"/>
  <c r="AQ135" i="29" s="1"/>
  <c r="AR135" i="29" s="1"/>
  <c r="AP166" i="29"/>
  <c r="AQ166" i="29" s="1"/>
  <c r="AR166" i="29" s="1"/>
  <c r="AP81" i="29"/>
  <c r="AQ81" i="29" s="1"/>
  <c r="AR81" i="29" s="1"/>
  <c r="AP169" i="29"/>
  <c r="AQ169" i="29" s="1"/>
  <c r="AR169" i="29" s="1"/>
  <c r="AP570" i="29"/>
  <c r="AQ570" i="29" s="1"/>
  <c r="AR570" i="29" s="1"/>
  <c r="AP158" i="29"/>
  <c r="AQ158" i="29" s="1"/>
  <c r="AR158" i="29" s="1"/>
  <c r="AP261" i="29"/>
  <c r="AQ261" i="29" s="1"/>
  <c r="AR261" i="29" s="1"/>
  <c r="AP317" i="29"/>
  <c r="AQ317" i="29" s="1"/>
  <c r="AR317" i="29" s="1"/>
  <c r="AP344" i="29"/>
  <c r="AQ344" i="29" s="1"/>
  <c r="AR344" i="29" s="1"/>
  <c r="AP301" i="29"/>
  <c r="AQ301" i="29" s="1"/>
  <c r="AR301" i="29" s="1"/>
  <c r="AP342" i="29"/>
  <c r="AQ342" i="29" s="1"/>
  <c r="AR342" i="29" s="1"/>
  <c r="AP278" i="29"/>
  <c r="AQ278" i="29" s="1"/>
  <c r="AR278" i="29" s="1"/>
  <c r="AP292" i="29"/>
  <c r="AQ292" i="29" s="1"/>
  <c r="AR292" i="29" s="1"/>
  <c r="AP398" i="29"/>
  <c r="AQ398" i="29" s="1"/>
  <c r="AR398" i="29" s="1"/>
  <c r="AP31" i="29"/>
  <c r="AQ31" i="29" s="1"/>
  <c r="AR31" i="29" s="1"/>
  <c r="AP90" i="29"/>
  <c r="AQ90" i="29" s="1"/>
  <c r="AR90" i="29" s="1"/>
  <c r="AP28" i="29"/>
  <c r="AQ28" i="29" s="1"/>
  <c r="AR28" i="29" s="1"/>
  <c r="AP544" i="29"/>
  <c r="AQ544" i="29" s="1"/>
  <c r="AR544" i="29" s="1"/>
  <c r="AP245" i="29"/>
  <c r="AQ245" i="29" s="1"/>
  <c r="AR245" i="29" s="1"/>
  <c r="AP19" i="29"/>
  <c r="AQ19" i="29" s="1"/>
  <c r="AR19" i="29" s="1"/>
  <c r="AP25" i="29"/>
  <c r="AQ25" i="29" s="1"/>
  <c r="AR25" i="29" s="1"/>
  <c r="AP124" i="29"/>
  <c r="AQ124" i="29" s="1"/>
  <c r="AR124" i="29" s="1"/>
  <c r="AP68" i="29"/>
  <c r="AQ68" i="29" s="1"/>
  <c r="AR68" i="29" s="1"/>
  <c r="AP140" i="29"/>
  <c r="AQ140" i="29" s="1"/>
  <c r="AR140" i="29" s="1"/>
  <c r="AP332" i="29"/>
  <c r="AQ332" i="29" s="1"/>
  <c r="AR332" i="29" s="1"/>
  <c r="AP203" i="29"/>
  <c r="AQ203" i="29" s="1"/>
  <c r="AR203" i="29" s="1"/>
  <c r="AP88" i="29"/>
  <c r="AQ88" i="29" s="1"/>
  <c r="AR88" i="29" s="1"/>
  <c r="AP494" i="29"/>
  <c r="AQ494" i="29" s="1"/>
  <c r="AR494" i="29" s="1"/>
  <c r="AP63" i="29"/>
  <c r="AQ63" i="29" s="1"/>
  <c r="AR63" i="29" s="1"/>
  <c r="AP87" i="29"/>
  <c r="AQ87" i="29" s="1"/>
  <c r="AR87" i="29" s="1"/>
  <c r="AP29" i="29"/>
  <c r="AQ29" i="29" s="1"/>
  <c r="AR29" i="29" s="1"/>
  <c r="AP605" i="29"/>
  <c r="AQ605" i="29" s="1"/>
  <c r="AR605" i="29" s="1"/>
  <c r="AP585" i="29"/>
  <c r="AQ585" i="29" s="1"/>
  <c r="AR585" i="29" s="1"/>
  <c r="AP346" i="29"/>
  <c r="AQ346" i="29" s="1"/>
  <c r="AR346" i="29" s="1"/>
  <c r="AP601" i="29"/>
  <c r="AQ601" i="29" s="1"/>
  <c r="AR601" i="29" s="1"/>
  <c r="AP202" i="29"/>
  <c r="AQ202" i="29" s="1"/>
  <c r="AR202" i="29" s="1"/>
  <c r="AP432" i="29"/>
  <c r="AQ432" i="29" s="1"/>
  <c r="AR432" i="29" s="1"/>
  <c r="AP496" i="29"/>
  <c r="AQ496" i="29" s="1"/>
  <c r="AR496" i="29" s="1"/>
  <c r="AP229" i="29"/>
  <c r="AQ229" i="29" s="1"/>
  <c r="AR229" i="29" s="1"/>
  <c r="AP561" i="29"/>
  <c r="AQ561" i="29" s="1"/>
  <c r="AR561" i="29" s="1"/>
  <c r="AP521" i="29"/>
  <c r="AQ521" i="29" s="1"/>
  <c r="AR521" i="29" s="1"/>
  <c r="AP254" i="29"/>
  <c r="AQ254" i="29" s="1"/>
  <c r="AR254" i="29" s="1"/>
  <c r="AP487" i="29"/>
  <c r="AQ487" i="29" s="1"/>
  <c r="AR487" i="29" s="1"/>
  <c r="AP560" i="29"/>
  <c r="AQ560" i="29" s="1"/>
  <c r="AR560" i="29" s="1"/>
  <c r="AP575" i="29"/>
  <c r="AQ575" i="29" s="1"/>
  <c r="AR575" i="29" s="1"/>
  <c r="AP462" i="29"/>
  <c r="AQ462" i="29" s="1"/>
  <c r="AR462" i="29" s="1"/>
  <c r="AP305" i="29"/>
  <c r="AQ305" i="29" s="1"/>
  <c r="AR305" i="29" s="1"/>
  <c r="AP151" i="29"/>
  <c r="AQ151" i="29" s="1"/>
  <c r="AR151" i="29" s="1"/>
  <c r="AP287" i="29"/>
  <c r="AQ287" i="29" s="1"/>
  <c r="AR287" i="29" s="1"/>
  <c r="AP588" i="29"/>
  <c r="AQ588" i="29" s="1"/>
  <c r="AR588" i="29" s="1"/>
  <c r="AP319" i="29"/>
  <c r="AQ319" i="29" s="1"/>
  <c r="AR319" i="29" s="1"/>
  <c r="AP279" i="29"/>
  <c r="AQ279" i="29" s="1"/>
  <c r="AR279" i="29" s="1"/>
  <c r="AP437" i="29"/>
  <c r="AQ437" i="29" s="1"/>
  <c r="AR437" i="29" s="1"/>
  <c r="AP100" i="29"/>
  <c r="AQ100" i="29" s="1"/>
  <c r="AR100" i="29" s="1"/>
  <c r="AP500" i="29"/>
  <c r="AQ500" i="29" s="1"/>
  <c r="AR500" i="29" s="1"/>
  <c r="AP400" i="29"/>
  <c r="AQ400" i="29" s="1"/>
  <c r="AR400" i="29" s="1"/>
  <c r="AP495" i="29"/>
  <c r="AQ495" i="29" s="1"/>
  <c r="AR495" i="29" s="1"/>
  <c r="AP569" i="29"/>
  <c r="AQ569" i="29" s="1"/>
  <c r="AR569" i="29" s="1"/>
  <c r="AP411" i="29"/>
  <c r="AQ411" i="29" s="1"/>
  <c r="AR411" i="29" s="1"/>
  <c r="AP439" i="29"/>
  <c r="AQ439" i="29" s="1"/>
  <c r="AR439" i="29" s="1"/>
  <c r="AP409" i="29"/>
  <c r="AQ409" i="29" s="1"/>
  <c r="AR409" i="29" s="1"/>
  <c r="AP41" i="29"/>
  <c r="AQ41" i="29" s="1"/>
  <c r="AR41" i="29" s="1"/>
  <c r="AP247" i="29"/>
  <c r="AQ247" i="29" s="1"/>
  <c r="AR247" i="29" s="1"/>
  <c r="AP562" i="29"/>
  <c r="AQ562" i="29" s="1"/>
  <c r="AR562" i="29" s="1"/>
  <c r="AP42" i="29"/>
  <c r="AQ42" i="29" s="1"/>
  <c r="AR42" i="29" s="1"/>
  <c r="AP60" i="29"/>
  <c r="AQ60" i="29" s="1"/>
  <c r="AR60" i="29" s="1"/>
  <c r="AP579" i="29"/>
  <c r="AQ579" i="29" s="1"/>
  <c r="AR579" i="29" s="1"/>
  <c r="AP359" i="29"/>
  <c r="AQ359" i="29" s="1"/>
  <c r="AR359" i="29" s="1"/>
  <c r="AP578" i="29"/>
  <c r="AQ578" i="29" s="1"/>
  <c r="AR578" i="29" s="1"/>
  <c r="AP260" i="29"/>
  <c r="AQ260" i="29" s="1"/>
  <c r="AR260" i="29" s="1"/>
  <c r="AP20" i="29"/>
  <c r="AQ20" i="29" s="1"/>
  <c r="AR20" i="29" s="1"/>
  <c r="AP43" i="29"/>
  <c r="AQ43" i="29" s="1"/>
  <c r="AR43" i="29" s="1"/>
  <c r="AP484" i="29"/>
  <c r="AQ484" i="29" s="1"/>
  <c r="AR484" i="29" s="1"/>
  <c r="AP457" i="29"/>
  <c r="AQ457" i="29" s="1"/>
  <c r="AR457" i="29" s="1"/>
  <c r="AP413" i="29"/>
  <c r="AQ413" i="29" s="1"/>
  <c r="AR413" i="29" s="1"/>
  <c r="AP91" i="29"/>
  <c r="AQ91" i="29" s="1"/>
  <c r="AR91" i="29" s="1"/>
  <c r="AP150" i="29"/>
  <c r="AQ150" i="29" s="1"/>
  <c r="AR150" i="29" s="1"/>
  <c r="AP238" i="29"/>
  <c r="AQ238" i="29" s="1"/>
  <c r="AR238" i="29" s="1"/>
  <c r="AP374" i="29"/>
  <c r="AQ374" i="29" s="1"/>
  <c r="AR374" i="29" s="1"/>
  <c r="AP564" i="29"/>
  <c r="AQ564" i="29" s="1"/>
  <c r="AR564" i="29" s="1"/>
  <c r="AP327" i="29"/>
  <c r="AQ327" i="29" s="1"/>
  <c r="AR327" i="29" s="1"/>
  <c r="AP263" i="29"/>
  <c r="AQ263" i="29" s="1"/>
  <c r="AR263" i="29" s="1"/>
  <c r="AP315" i="29"/>
  <c r="AQ315" i="29" s="1"/>
  <c r="AR315" i="29" s="1"/>
  <c r="AP492" i="29"/>
  <c r="AQ492" i="29" s="1"/>
  <c r="AR492" i="29" s="1"/>
  <c r="AP325" i="29"/>
  <c r="AQ325" i="29" s="1"/>
  <c r="AR325" i="29" s="1"/>
  <c r="AP339" i="29"/>
  <c r="AQ339" i="29" s="1"/>
  <c r="AR339" i="29" s="1"/>
  <c r="AP256" i="29"/>
  <c r="AQ256" i="29" s="1"/>
  <c r="AR256" i="29" s="1"/>
  <c r="AP542" i="29"/>
  <c r="AQ542" i="29" s="1"/>
  <c r="AR542" i="29" s="1"/>
  <c r="AP164" i="29"/>
  <c r="AQ164" i="29" s="1"/>
  <c r="AR164" i="29" s="1"/>
  <c r="AP386" i="29"/>
  <c r="AQ386" i="29" s="1"/>
  <c r="AR386" i="29" s="1"/>
  <c r="AP470" i="29"/>
  <c r="AQ470" i="29" s="1"/>
  <c r="AR470" i="29" s="1"/>
  <c r="AP312" i="29"/>
  <c r="AQ312" i="29" s="1"/>
  <c r="AR312" i="29" s="1"/>
  <c r="AP295" i="29"/>
  <c r="AQ295" i="29" s="1"/>
  <c r="AR295" i="29" s="1"/>
  <c r="AP116" i="29"/>
  <c r="AQ116" i="29" s="1"/>
  <c r="AR116" i="29" s="1"/>
  <c r="AP482" i="29"/>
  <c r="AQ482" i="29" s="1"/>
  <c r="AR482" i="29" s="1"/>
  <c r="AP83" i="29"/>
  <c r="AQ83" i="29" s="1"/>
  <c r="AR83" i="29" s="1"/>
  <c r="AP285" i="29"/>
  <c r="AQ285" i="29" s="1"/>
  <c r="AR285" i="29" s="1"/>
  <c r="AP128" i="29"/>
  <c r="AQ128" i="29" s="1"/>
  <c r="AR128" i="29" s="1"/>
  <c r="AP272" i="29"/>
  <c r="AQ272" i="29" s="1"/>
  <c r="AR272" i="29" s="1"/>
  <c r="AP97" i="29"/>
  <c r="AQ97" i="29" s="1"/>
  <c r="AR97" i="29" s="1"/>
  <c r="AP422" i="29"/>
  <c r="AQ422" i="29" s="1"/>
  <c r="AR422" i="29" s="1"/>
  <c r="AP556" i="29"/>
  <c r="AQ556" i="29" s="1"/>
  <c r="AR556" i="29" s="1"/>
  <c r="AP252" i="29"/>
  <c r="AQ252" i="29" s="1"/>
  <c r="AR252" i="29" s="1"/>
  <c r="AP244" i="29"/>
  <c r="AQ244" i="29" s="1"/>
  <c r="AR244" i="29" s="1"/>
  <c r="AP452" i="29"/>
  <c r="AQ452" i="29" s="1"/>
  <c r="AR452" i="29" s="1"/>
  <c r="AP21" i="29"/>
  <c r="AQ21" i="29" s="1"/>
  <c r="AR21" i="29" s="1"/>
  <c r="AP30" i="29"/>
  <c r="AQ30" i="29" s="1"/>
  <c r="AR30" i="29" s="1"/>
  <c r="AP102" i="29"/>
  <c r="AQ102" i="29" s="1"/>
  <c r="AR102" i="29" s="1"/>
  <c r="AP580" i="29"/>
  <c r="AQ580" i="29" s="1"/>
  <c r="AR580" i="29" s="1"/>
  <c r="AP268" i="29"/>
  <c r="AQ268" i="29" s="1"/>
  <c r="AR268" i="29" s="1"/>
  <c r="AP460" i="29"/>
  <c r="AQ460" i="29" s="1"/>
  <c r="AR460" i="29" s="1"/>
  <c r="AP497" i="29"/>
  <c r="AQ497" i="29" s="1"/>
  <c r="AR497" i="29" s="1"/>
  <c r="AP345" i="29"/>
  <c r="AQ345" i="29" s="1"/>
  <c r="AR345" i="29" s="1"/>
  <c r="AP220" i="29"/>
  <c r="AQ220" i="29" s="1"/>
  <c r="AR220" i="29" s="1"/>
  <c r="AP609" i="29"/>
  <c r="AQ609" i="29" s="1"/>
  <c r="AR609" i="29" s="1"/>
  <c r="AP504" i="29"/>
  <c r="AQ504" i="29" s="1"/>
  <c r="AR504" i="29" s="1"/>
  <c r="AP512" i="29"/>
  <c r="AQ512" i="29" s="1"/>
  <c r="AR512" i="29" s="1"/>
  <c r="AP587" i="29"/>
  <c r="AQ587" i="29" s="1"/>
  <c r="AR587" i="29" s="1"/>
  <c r="AP443" i="29"/>
  <c r="AQ443" i="29" s="1"/>
  <c r="AR443" i="29" s="1"/>
  <c r="AP506" i="29"/>
  <c r="AQ506" i="29" s="1"/>
  <c r="AR506" i="29" s="1"/>
  <c r="AP16" i="29"/>
  <c r="AQ16" i="29" s="1"/>
  <c r="AR16" i="29" s="1"/>
  <c r="AP112" i="29"/>
  <c r="AQ112" i="29" s="1"/>
  <c r="AR112" i="29" s="1"/>
  <c r="AP387" i="29"/>
  <c r="AQ387" i="29" s="1"/>
  <c r="AR387" i="29" s="1"/>
  <c r="AP148" i="29"/>
  <c r="AQ148" i="29" s="1"/>
  <c r="AR148" i="29" s="1"/>
  <c r="AP373" i="29"/>
  <c r="AQ373" i="29" s="1"/>
  <c r="AR373" i="29" s="1"/>
  <c r="AP420" i="29"/>
  <c r="AQ420" i="29" s="1"/>
  <c r="AR420" i="29" s="1"/>
  <c r="AP145" i="29"/>
  <c r="AQ145" i="29" s="1"/>
  <c r="AR145" i="29" s="1"/>
  <c r="AP246" i="29"/>
  <c r="AQ246" i="29" s="1"/>
  <c r="AR246" i="29" s="1"/>
  <c r="AP174" i="29"/>
  <c r="AQ174" i="29" s="1"/>
  <c r="AR174" i="29" s="1"/>
  <c r="AP421" i="29"/>
  <c r="AQ421" i="29" s="1"/>
  <c r="AR421" i="29" s="1"/>
  <c r="AP80" i="29"/>
  <c r="AQ80" i="29" s="1"/>
  <c r="AR80" i="29" s="1"/>
  <c r="AP403" i="29"/>
  <c r="AQ403" i="29" s="1"/>
  <c r="AR403" i="29" s="1"/>
  <c r="AP509" i="29"/>
  <c r="AQ509" i="29" s="1"/>
  <c r="AR509" i="29" s="1"/>
  <c r="AP477" i="29"/>
  <c r="AQ477" i="29" s="1"/>
  <c r="AR477" i="29" s="1"/>
  <c r="AP479" i="29"/>
  <c r="AQ479" i="29" s="1"/>
  <c r="AR479" i="29" s="1"/>
  <c r="AP566" i="29"/>
  <c r="AQ566" i="29" s="1"/>
  <c r="AR566" i="29" s="1"/>
  <c r="AP172" i="29"/>
  <c r="AQ172" i="29" s="1"/>
  <c r="AR172" i="29" s="1"/>
  <c r="AP471" i="29"/>
  <c r="AQ471" i="29" s="1"/>
  <c r="AR471" i="29" s="1"/>
  <c r="AP553" i="29"/>
  <c r="AQ553" i="29" s="1"/>
  <c r="AR553" i="29" s="1"/>
  <c r="AP121" i="29"/>
  <c r="AQ121" i="29" s="1"/>
  <c r="AR121" i="29" s="1"/>
  <c r="AP363" i="29"/>
  <c r="AQ363" i="29" s="1"/>
  <c r="AR363" i="29" s="1"/>
  <c r="AP549" i="29"/>
  <c r="AQ549" i="29" s="1"/>
  <c r="AR549" i="29" s="1"/>
  <c r="AP274" i="29"/>
  <c r="AQ274" i="29" s="1"/>
  <c r="AR274" i="29" s="1"/>
  <c r="AP425" i="29"/>
  <c r="AQ425" i="29" s="1"/>
  <c r="AR425" i="29" s="1"/>
  <c r="AP316" i="29"/>
  <c r="AQ316" i="29" s="1"/>
  <c r="AR316" i="29" s="1"/>
  <c r="AP343" i="29"/>
  <c r="AQ343" i="29" s="1"/>
  <c r="AR343" i="29" s="1"/>
  <c r="AP508" i="29"/>
  <c r="AQ508" i="29" s="1"/>
  <c r="AR508" i="29" s="1"/>
  <c r="AP366" i="29"/>
  <c r="AQ366" i="29" s="1"/>
  <c r="AR366" i="29" s="1"/>
  <c r="AP297" i="29"/>
  <c r="AQ297" i="29" s="1"/>
  <c r="AR297" i="29" s="1"/>
  <c r="AP48" i="29"/>
  <c r="AQ48" i="29" s="1"/>
  <c r="AR48" i="29" s="1"/>
  <c r="AP142" i="29"/>
  <c r="AQ142" i="29" s="1"/>
  <c r="AR142" i="29" s="1"/>
  <c r="AP127" i="29"/>
  <c r="AQ127" i="29" s="1"/>
  <c r="AR127" i="29" s="1"/>
  <c r="AP408" i="29"/>
  <c r="AQ408" i="29" s="1"/>
  <c r="AR408" i="29" s="1"/>
  <c r="AP511" i="29"/>
  <c r="AQ511" i="29" s="1"/>
  <c r="AR511" i="29" s="1"/>
  <c r="AP69" i="29"/>
  <c r="AQ69" i="29" s="1"/>
  <c r="AR69" i="29" s="1"/>
  <c r="AP205" i="29"/>
  <c r="AQ205" i="29" s="1"/>
  <c r="AR205" i="29" s="1"/>
  <c r="AP377" i="29"/>
  <c r="AQ377" i="29" s="1"/>
  <c r="AR377" i="29" s="1"/>
  <c r="AP93" i="29"/>
  <c r="AQ93" i="29" s="1"/>
  <c r="AR93" i="29" s="1"/>
  <c r="AP331" i="29"/>
  <c r="AQ331" i="29" s="1"/>
  <c r="AR331" i="29" s="1"/>
  <c r="AP76" i="29"/>
  <c r="AQ76" i="29" s="1"/>
  <c r="AR76" i="29" s="1"/>
  <c r="AP395" i="29"/>
  <c r="AQ395" i="29" s="1"/>
  <c r="AR395" i="29" s="1"/>
  <c r="AP14" i="29"/>
  <c r="AQ14" i="29" s="1"/>
  <c r="AR14" i="29" s="1"/>
  <c r="AP602" i="29"/>
  <c r="AQ602" i="29" s="1"/>
  <c r="AR602" i="29" s="1"/>
  <c r="AP242" i="29"/>
  <c r="AQ242" i="29" s="1"/>
  <c r="AR242" i="29" s="1"/>
  <c r="AP230" i="29"/>
  <c r="AQ230" i="29" s="1"/>
  <c r="AR230" i="29" s="1"/>
  <c r="AP486" i="29"/>
  <c r="AQ486" i="29" s="1"/>
  <c r="AR486" i="29" s="1"/>
  <c r="AP23" i="29"/>
  <c r="AQ23" i="29" s="1"/>
  <c r="AR23" i="29" s="1"/>
  <c r="AP211" i="29"/>
  <c r="AQ211" i="29" s="1"/>
  <c r="AR211" i="29" s="1"/>
  <c r="AP453" i="29"/>
  <c r="AQ453" i="29" s="1"/>
  <c r="AR453" i="29" s="1"/>
  <c r="AP528" i="29"/>
  <c r="AQ528" i="29" s="1"/>
  <c r="AR528" i="29" s="1"/>
  <c r="AP77" i="29"/>
  <c r="AQ77" i="29" s="1"/>
  <c r="AR77" i="29" s="1"/>
  <c r="AP271" i="29"/>
  <c r="AQ271" i="29" s="1"/>
  <c r="AR271" i="29" s="1"/>
  <c r="AP385" i="29"/>
  <c r="AQ385" i="29" s="1"/>
  <c r="AR385" i="29" s="1"/>
  <c r="AP232" i="29"/>
  <c r="AQ232" i="29" s="1"/>
  <c r="AR232" i="29" s="1"/>
  <c r="AP74" i="29"/>
  <c r="AQ74" i="29" s="1"/>
  <c r="AR74" i="29" s="1"/>
  <c r="AP384" i="29"/>
  <c r="AQ384" i="29" s="1"/>
  <c r="AR384" i="29" s="1"/>
  <c r="AP514" i="29"/>
  <c r="AQ514" i="29" s="1"/>
  <c r="AR514" i="29" s="1"/>
  <c r="AP427" i="29"/>
  <c r="AQ427" i="29" s="1"/>
  <c r="AR427" i="29" s="1"/>
  <c r="AP328" i="29"/>
  <c r="AQ328" i="29" s="1"/>
  <c r="AR328" i="29" s="1"/>
  <c r="AP517" i="29"/>
  <c r="AQ517" i="29" s="1"/>
  <c r="AR517" i="29" s="1"/>
  <c r="AP404" i="29"/>
  <c r="AQ404" i="29" s="1"/>
  <c r="AR404" i="29" s="1"/>
  <c r="AP389" i="29"/>
  <c r="AQ389" i="29" s="1"/>
  <c r="AR389" i="29" s="1"/>
  <c r="AP372" i="29"/>
  <c r="AQ372" i="29" s="1"/>
  <c r="AR372" i="29" s="1"/>
  <c r="AP300" i="29"/>
  <c r="AQ300" i="29" s="1"/>
  <c r="AR300" i="29" s="1"/>
  <c r="AP493" i="29"/>
  <c r="AQ493" i="29" s="1"/>
  <c r="AR493" i="29" s="1"/>
  <c r="AP219" i="29"/>
  <c r="AQ219" i="29" s="1"/>
  <c r="AR219" i="29" s="1"/>
  <c r="AP123" i="29"/>
  <c r="AQ123" i="29" s="1"/>
  <c r="AR123" i="29" s="1"/>
  <c r="AP22" i="29"/>
  <c r="AQ22" i="29" s="1"/>
  <c r="AR22" i="29" s="1"/>
  <c r="AP431" i="29"/>
  <c r="AQ431" i="29" s="1"/>
  <c r="AR431" i="29" s="1"/>
  <c r="AP156" i="29"/>
  <c r="AQ156" i="29" s="1"/>
  <c r="AR156" i="29" s="1"/>
  <c r="AP472" i="29"/>
  <c r="AQ472" i="29" s="1"/>
  <c r="AR472" i="29" s="1"/>
  <c r="AP364" i="29"/>
  <c r="AQ364" i="29" s="1"/>
  <c r="AR364" i="29" s="1"/>
  <c r="AP489" i="29"/>
  <c r="AQ489" i="29" s="1"/>
  <c r="AR489" i="29" s="1"/>
  <c r="AP444" i="29"/>
  <c r="AQ444" i="29" s="1"/>
  <c r="AR444" i="29" s="1"/>
  <c r="AP209" i="29"/>
  <c r="AQ209" i="29" s="1"/>
  <c r="AR209" i="29" s="1"/>
  <c r="AP304" i="29"/>
  <c r="AQ304" i="29" s="1"/>
  <c r="AR304" i="29" s="1"/>
  <c r="AP537" i="29"/>
  <c r="AQ537" i="29" s="1"/>
  <c r="AR537" i="29" s="1"/>
  <c r="AP264" i="29"/>
  <c r="AQ264" i="29" s="1"/>
  <c r="AR264" i="29" s="1"/>
  <c r="AP79" i="29"/>
  <c r="AQ79" i="29" s="1"/>
  <c r="AR79" i="29" s="1"/>
  <c r="AP473" i="29"/>
  <c r="AQ473" i="29" s="1"/>
  <c r="AR473" i="29" s="1"/>
  <c r="AP532" i="29"/>
  <c r="AQ532" i="29" s="1"/>
  <c r="AR532" i="29" s="1"/>
  <c r="AP592" i="29"/>
  <c r="AQ592" i="29" s="1"/>
  <c r="AR592" i="29" s="1"/>
  <c r="AP399" i="29"/>
  <c r="AQ399" i="29" s="1"/>
  <c r="AR399" i="29" s="1"/>
  <c r="AP362" i="29"/>
  <c r="AQ362" i="29" s="1"/>
  <c r="AR362" i="29" s="1"/>
  <c r="AP390" i="29"/>
  <c r="AQ390" i="29" s="1"/>
  <c r="AR390" i="29" s="1"/>
  <c r="AP64" i="29"/>
  <c r="AQ64" i="29" s="1"/>
  <c r="AR64" i="29" s="1"/>
  <c r="AP314" i="29"/>
  <c r="AQ314" i="29" s="1"/>
  <c r="AR314" i="29" s="1"/>
  <c r="AP576" i="29"/>
  <c r="AQ576" i="29" s="1"/>
  <c r="AR576" i="29" s="1"/>
  <c r="AP45" i="29"/>
  <c r="AQ45" i="29" s="1"/>
  <c r="AR45" i="29" s="1"/>
  <c r="AP391" i="29"/>
  <c r="AQ391" i="29" s="1"/>
  <c r="AR391" i="29" s="1"/>
  <c r="AP368" i="29"/>
  <c r="AQ368" i="29" s="1"/>
  <c r="AR368" i="29" s="1"/>
  <c r="AP118" i="29"/>
  <c r="AQ118" i="29" s="1"/>
  <c r="AR118" i="29" s="1"/>
  <c r="AP296" i="29"/>
  <c r="AQ296" i="29" s="1"/>
  <c r="AR296" i="29" s="1"/>
  <c r="AP177" i="29"/>
  <c r="AQ177" i="29" s="1"/>
  <c r="AR177" i="29" s="1"/>
  <c r="AP375" i="29"/>
  <c r="AQ375" i="29" s="1"/>
  <c r="AR375" i="29" s="1"/>
  <c r="AP563" i="29"/>
  <c r="AQ563" i="29" s="1"/>
  <c r="AR563" i="29" s="1"/>
  <c r="AP89" i="29"/>
  <c r="AQ89" i="29" s="1"/>
  <c r="AR89" i="29" s="1"/>
  <c r="AP465" i="29"/>
  <c r="AQ465" i="29" s="1"/>
  <c r="AR465" i="29" s="1"/>
  <c r="AP234" i="29"/>
  <c r="AQ234" i="29" s="1"/>
  <c r="AR234" i="29" s="1"/>
  <c r="AP397" i="29"/>
  <c r="AQ397" i="29" s="1"/>
  <c r="AR397" i="29" s="1"/>
  <c r="AP591" i="29"/>
  <c r="AQ591" i="29" s="1"/>
  <c r="AR591" i="29" s="1"/>
  <c r="AP338" i="29"/>
  <c r="AQ338" i="29" s="1"/>
  <c r="AR338" i="29" s="1"/>
  <c r="AP190" i="29"/>
  <c r="AQ190" i="29" s="1"/>
  <c r="AR190" i="29" s="1"/>
  <c r="AP269" i="29"/>
  <c r="AQ269" i="29" s="1"/>
  <c r="AR269" i="29" s="1"/>
  <c r="AP600" i="29"/>
  <c r="AQ600" i="29" s="1"/>
  <c r="AR600" i="29" s="1"/>
  <c r="AP250" i="29"/>
  <c r="AQ250" i="29" s="1"/>
  <c r="AR250" i="29" s="1"/>
  <c r="AP378" i="29"/>
  <c r="AQ378" i="29" s="1"/>
  <c r="AR378" i="29" s="1"/>
  <c r="AP361" i="29"/>
  <c r="AQ361" i="29" s="1"/>
  <c r="AR361" i="29" s="1"/>
  <c r="AP249" i="29"/>
  <c r="AQ249" i="29" s="1"/>
  <c r="AR249" i="29" s="1"/>
  <c r="AP407" i="29"/>
  <c r="AQ407" i="29" s="1"/>
  <c r="AR407" i="29" s="1"/>
  <c r="AP323" i="29"/>
  <c r="AQ323" i="29" s="1"/>
  <c r="AR323" i="29" s="1"/>
  <c r="AP184" i="29"/>
  <c r="AQ184" i="29" s="1"/>
  <c r="AR184" i="29" s="1"/>
  <c r="AP458" i="29"/>
  <c r="AQ458" i="29" s="1"/>
  <c r="AR458" i="29" s="1"/>
  <c r="AP120" i="29"/>
  <c r="AQ120" i="29" s="1"/>
  <c r="AR120" i="29" s="1"/>
  <c r="AP38" i="29"/>
  <c r="AQ38" i="29" s="1"/>
  <c r="AR38" i="29" s="1"/>
  <c r="AP119" i="29"/>
  <c r="AQ119" i="29" s="1"/>
  <c r="AR119" i="29" s="1"/>
  <c r="AP303" i="29"/>
  <c r="AQ303" i="29" s="1"/>
  <c r="AR303" i="29" s="1"/>
  <c r="AP266" i="29"/>
  <c r="AQ266" i="29" s="1"/>
  <c r="AR266" i="29" s="1"/>
  <c r="AP27" i="29"/>
  <c r="AQ27" i="29" s="1"/>
  <c r="AR27" i="29" s="1"/>
  <c r="AP416" i="29"/>
  <c r="AQ416" i="29" s="1"/>
  <c r="AR416" i="29" s="1"/>
  <c r="AP463" i="29"/>
  <c r="AQ463" i="29" s="1"/>
  <c r="AR463" i="29" s="1"/>
  <c r="AP584" i="29"/>
  <c r="AQ584" i="29" s="1"/>
  <c r="AR584" i="29" s="1"/>
  <c r="AP149" i="29"/>
  <c r="AQ149" i="29" s="1"/>
  <c r="AR149" i="29" s="1"/>
  <c r="AP503" i="29"/>
  <c r="AQ503" i="29" s="1"/>
  <c r="AR503" i="29" s="1"/>
  <c r="AP464" i="29"/>
  <c r="AQ464" i="29" s="1"/>
  <c r="AR464" i="29" s="1"/>
  <c r="AP199" i="29"/>
  <c r="AQ199" i="29" s="1"/>
  <c r="AR199" i="29" s="1"/>
  <c r="AP341" i="29"/>
  <c r="AQ341" i="29" s="1"/>
  <c r="AR341" i="29" s="1"/>
  <c r="AP165" i="29"/>
  <c r="AQ165" i="29" s="1"/>
  <c r="AR165" i="29" s="1"/>
  <c r="AP426" i="29"/>
  <c r="AQ426" i="29" s="1"/>
  <c r="AR426" i="29" s="1"/>
  <c r="AP103" i="29"/>
  <c r="AQ103" i="29" s="1"/>
  <c r="AR103" i="29" s="1"/>
  <c r="AP110" i="29"/>
  <c r="AQ110" i="29" s="1"/>
  <c r="AR110" i="29" s="1"/>
  <c r="AP159" i="29"/>
  <c r="AQ159" i="29" s="1"/>
  <c r="AR159" i="29" s="1"/>
  <c r="AP469" i="29"/>
  <c r="AQ469" i="29" s="1"/>
  <c r="AR469" i="29" s="1"/>
  <c r="AP152" i="29"/>
  <c r="AQ152" i="29" s="1"/>
  <c r="AR152" i="29" s="1"/>
  <c r="AP185" i="29"/>
  <c r="AQ185" i="29" s="1"/>
  <c r="AR185" i="29" s="1"/>
  <c r="AP594" i="29"/>
  <c r="AQ594" i="29" s="1"/>
  <c r="AR594" i="29" s="1"/>
  <c r="AP181" i="29"/>
  <c r="AQ181" i="29" s="1"/>
  <c r="AR181" i="29" s="1"/>
  <c r="AP155" i="29"/>
  <c r="AQ155" i="29" s="1"/>
  <c r="AR155" i="29" s="1"/>
  <c r="AP369" i="29"/>
  <c r="AQ369" i="29" s="1"/>
  <c r="AR369" i="29" s="1"/>
  <c r="AP394" i="29"/>
  <c r="AQ394" i="29" s="1"/>
  <c r="AR394" i="29" s="1"/>
  <c r="AP607" i="29"/>
  <c r="AQ607" i="29" s="1"/>
  <c r="AR607" i="29" s="1"/>
  <c r="AP333" i="29"/>
  <c r="AQ333" i="29" s="1"/>
  <c r="AR333" i="29" s="1"/>
  <c r="AP401" i="29"/>
  <c r="AQ401" i="29" s="1"/>
  <c r="AR401" i="29" s="1"/>
  <c r="AP429" i="29"/>
  <c r="AQ429" i="29" s="1"/>
  <c r="AR429" i="29" s="1"/>
  <c r="AP258" i="29"/>
  <c r="AQ258" i="29" s="1"/>
  <c r="AR258" i="29" s="1"/>
  <c r="AP606" i="29"/>
  <c r="AQ606" i="29" s="1"/>
  <c r="AR606" i="29" s="1"/>
  <c r="AP62" i="29"/>
  <c r="AQ62" i="29" s="1"/>
  <c r="AR62" i="29" s="1"/>
  <c r="AP548" i="29"/>
  <c r="AQ548" i="29" s="1"/>
  <c r="AR548" i="29" s="1"/>
  <c r="AP154" i="29"/>
  <c r="AQ154" i="29" s="1"/>
  <c r="AR154" i="29" s="1"/>
  <c r="AP275" i="29"/>
  <c r="AQ275" i="29" s="1"/>
  <c r="AR275" i="29" s="1"/>
  <c r="AP216" i="29"/>
  <c r="AQ216" i="29" s="1"/>
  <c r="AR216" i="29" s="1"/>
  <c r="AP326" i="29"/>
  <c r="AQ326" i="29" s="1"/>
  <c r="AR326" i="29" s="1"/>
  <c r="AP513" i="29"/>
  <c r="AQ513" i="29" s="1"/>
  <c r="AR513" i="29" s="1"/>
  <c r="AP419" i="29"/>
  <c r="AQ419" i="29" s="1"/>
  <c r="AR419" i="29" s="1"/>
  <c r="AP499" i="29"/>
  <c r="AQ499" i="29" s="1"/>
  <c r="AR499" i="29" s="1"/>
  <c r="AP353" i="29"/>
  <c r="AQ353" i="29" s="1"/>
  <c r="AR353" i="29" s="1"/>
  <c r="AP55" i="29"/>
  <c r="AQ55" i="29" s="1"/>
  <c r="AR55" i="29" s="1"/>
  <c r="AP455" i="29"/>
  <c r="AQ455" i="29" s="1"/>
  <c r="AR455" i="29" s="1"/>
  <c r="AP555" i="29"/>
  <c r="AQ555" i="29" s="1"/>
  <c r="AR555" i="29" s="1"/>
  <c r="AP565" i="29"/>
  <c r="AQ565" i="29" s="1"/>
  <c r="AR565" i="29" s="1"/>
  <c r="AP550" i="29"/>
  <c r="AQ550" i="29" s="1"/>
  <c r="AR550" i="29" s="1"/>
  <c r="AP535" i="29"/>
  <c r="AQ535" i="29" s="1"/>
  <c r="AR535" i="29" s="1"/>
  <c r="AP406" i="29"/>
  <c r="AQ406" i="29" s="1"/>
  <c r="AR406" i="29" s="1"/>
  <c r="AP596" i="29"/>
  <c r="AQ596" i="29" s="1"/>
  <c r="AR596" i="29" s="1"/>
  <c r="AP162" i="29"/>
  <c r="AQ162" i="29" s="1"/>
  <c r="AR162" i="29" s="1"/>
  <c r="AP571" i="29"/>
  <c r="AQ571" i="29" s="1"/>
  <c r="AR571" i="29" s="1"/>
  <c r="AP515" i="29"/>
  <c r="AQ515" i="29" s="1"/>
  <c r="AR515" i="29" s="1"/>
  <c r="AP480" i="29"/>
  <c r="AQ480" i="29" s="1"/>
  <c r="AR480" i="29" s="1"/>
  <c r="AP126" i="29"/>
  <c r="AQ126" i="29" s="1"/>
  <c r="AR126" i="29" s="1"/>
  <c r="AP501" i="29"/>
  <c r="AQ501" i="29" s="1"/>
  <c r="AR501" i="29" s="1"/>
  <c r="AP289" i="29"/>
  <c r="AQ289" i="29" s="1"/>
  <c r="AR289" i="29" s="1"/>
  <c r="AP402" i="29"/>
  <c r="AQ402" i="29" s="1"/>
  <c r="AR402" i="29" s="1"/>
  <c r="AP228" i="29"/>
  <c r="AQ228" i="29" s="1"/>
  <c r="AR228" i="29" s="1"/>
  <c r="AP259" i="29"/>
  <c r="AQ259" i="29" s="1"/>
  <c r="AR259" i="29" s="1"/>
  <c r="AP598" i="29"/>
  <c r="AQ598" i="29" s="1"/>
  <c r="AR598" i="29" s="1"/>
  <c r="AP371" i="29"/>
  <c r="AQ371" i="29" s="1"/>
  <c r="AR371" i="29" s="1"/>
  <c r="AP510" i="29"/>
  <c r="AQ510" i="29" s="1"/>
  <c r="AR510" i="29" s="1"/>
  <c r="AP51" i="29"/>
  <c r="AQ51" i="29" s="1"/>
  <c r="AR51" i="29" s="1"/>
  <c r="AP95" i="29"/>
  <c r="AQ95" i="29" s="1"/>
  <c r="AR95" i="29" s="1"/>
  <c r="AP365" i="29"/>
  <c r="AQ365" i="29" s="1"/>
  <c r="AR365" i="29" s="1"/>
  <c r="AP286" i="29"/>
  <c r="AQ286" i="29" s="1"/>
  <c r="AR286" i="29" s="1"/>
  <c r="AP117" i="29"/>
  <c r="AQ117" i="29" s="1"/>
  <c r="AR117" i="29" s="1"/>
  <c r="AP99" i="29"/>
  <c r="AQ99" i="29" s="1"/>
  <c r="AR99" i="29" s="1"/>
  <c r="D55" i="29"/>
  <c r="D56" i="29" s="1"/>
  <c r="D57" i="29" s="1"/>
  <c r="AP191" i="29"/>
  <c r="AQ191" i="29" s="1"/>
  <c r="AR191" i="29" s="1"/>
  <c r="AP412" i="29"/>
  <c r="AQ412" i="29" s="1"/>
  <c r="AR412" i="29" s="1"/>
  <c r="AP525" i="29"/>
  <c r="AQ525" i="29" s="1"/>
  <c r="AR525" i="29" s="1"/>
  <c r="AP143" i="29"/>
  <c r="AQ143" i="29" s="1"/>
  <c r="AR143" i="29" s="1"/>
  <c r="AT195" i="25"/>
  <c r="AY195" i="25" s="1"/>
  <c r="AU195" i="25"/>
  <c r="AT160" i="25"/>
  <c r="AY160" i="25" s="1"/>
  <c r="AU160" i="25"/>
  <c r="AT227" i="25"/>
  <c r="AU227" i="25"/>
  <c r="BY292" i="24"/>
  <c r="CA292" i="24" s="1"/>
  <c r="BM292" i="24"/>
  <c r="BN292" i="24" s="1"/>
  <c r="BE254" i="24"/>
  <c r="BT254" i="24" s="1"/>
  <c r="BD254" i="24"/>
  <c r="AY254" i="24"/>
  <c r="AZ254" i="24" s="1"/>
  <c r="BD37" i="24"/>
  <c r="AY37" i="24"/>
  <c r="AZ37" i="24" s="1"/>
  <c r="BE37" i="24"/>
  <c r="BT37" i="24" s="1"/>
  <c r="BB275" i="25"/>
  <c r="BS275" i="25" s="1"/>
  <c r="BC275" i="25"/>
  <c r="BT275" i="25" s="1"/>
  <c r="BA275" i="25"/>
  <c r="BE245" i="24"/>
  <c r="BT245" i="24" s="1"/>
  <c r="AY245" i="24"/>
  <c r="AZ245" i="24" s="1"/>
  <c r="BD245" i="24"/>
  <c r="AT16" i="25"/>
  <c r="AY16" i="25" s="1"/>
  <c r="AU16" i="25"/>
  <c r="BB232" i="25"/>
  <c r="BS232" i="25" s="1"/>
  <c r="BC232" i="25"/>
  <c r="BT232" i="25" s="1"/>
  <c r="BA232" i="25"/>
  <c r="AT119" i="25"/>
  <c r="AY119" i="25" s="1"/>
  <c r="AU119" i="25"/>
  <c r="BE220" i="24"/>
  <c r="BT220" i="24" s="1"/>
  <c r="AY220" i="24"/>
  <c r="AZ220" i="24" s="1"/>
  <c r="BD220" i="24"/>
  <c r="BS19" i="24"/>
  <c r="BG19" i="24"/>
  <c r="BM19" i="24" s="1"/>
  <c r="AT304" i="25"/>
  <c r="AU304" i="25"/>
  <c r="AT299" i="25"/>
  <c r="AU299" i="25"/>
  <c r="AT182" i="25"/>
  <c r="AY182" i="25" s="1"/>
  <c r="AU182" i="25"/>
  <c r="BC261" i="25"/>
  <c r="BT261" i="25" s="1"/>
  <c r="BB261" i="25"/>
  <c r="BS261" i="25" s="1"/>
  <c r="BA261" i="25"/>
  <c r="AT281" i="25"/>
  <c r="AU281" i="25"/>
  <c r="AT185" i="25"/>
  <c r="AY185" i="25" s="1"/>
  <c r="AU185" i="25"/>
  <c r="BC179" i="25"/>
  <c r="BT179" i="25" s="1"/>
  <c r="BA179" i="25"/>
  <c r="BB179" i="25"/>
  <c r="BS179" i="25" s="1"/>
  <c r="AY146" i="24"/>
  <c r="AZ146" i="24" s="1"/>
  <c r="BE146" i="24"/>
  <c r="BT146" i="24" s="1"/>
  <c r="BD146" i="24"/>
  <c r="BB6" i="25"/>
  <c r="BS6" i="25" s="1"/>
  <c r="BA6" i="25"/>
  <c r="BC6" i="25"/>
  <c r="BT6" i="25" s="1"/>
  <c r="BE163" i="24"/>
  <c r="BT163" i="24" s="1"/>
  <c r="BD163" i="24"/>
  <c r="AY163" i="24"/>
  <c r="AZ163" i="24" s="1"/>
  <c r="BD13" i="24"/>
  <c r="AY13" i="24"/>
  <c r="AZ13" i="24" s="1"/>
  <c r="BE13" i="24"/>
  <c r="BT13" i="24" s="1"/>
  <c r="BE124" i="24"/>
  <c r="BT124" i="24" s="1"/>
  <c r="BD124" i="24"/>
  <c r="AY124" i="24"/>
  <c r="AZ124" i="24" s="1"/>
  <c r="BE315" i="24"/>
  <c r="BT315" i="24" s="1"/>
  <c r="BD315" i="24"/>
  <c r="AY315" i="24"/>
  <c r="AZ315" i="24" s="1"/>
  <c r="BB243" i="25"/>
  <c r="BS243" i="25" s="1"/>
  <c r="BA243" i="25"/>
  <c r="BC243" i="25"/>
  <c r="BT243" i="25" s="1"/>
  <c r="BE94" i="24"/>
  <c r="BT94" i="24" s="1"/>
  <c r="AY94" i="24"/>
  <c r="AZ94" i="24" s="1"/>
  <c r="BD94" i="24"/>
  <c r="BD59" i="24"/>
  <c r="BE59" i="24"/>
  <c r="BT59" i="24" s="1"/>
  <c r="AY59" i="24"/>
  <c r="AZ59" i="24" s="1"/>
  <c r="BE150" i="24"/>
  <c r="BT150" i="24" s="1"/>
  <c r="BD150" i="24"/>
  <c r="AY150" i="24"/>
  <c r="AZ150" i="24" s="1"/>
  <c r="AT54" i="25"/>
  <c r="AY54" i="25" s="1"/>
  <c r="AU54" i="25"/>
  <c r="BE60" i="24"/>
  <c r="BT60" i="24" s="1"/>
  <c r="BD60" i="24"/>
  <c r="AY60" i="24"/>
  <c r="AZ60" i="24" s="1"/>
  <c r="AT196" i="25"/>
  <c r="AY196" i="25" s="1"/>
  <c r="AU196" i="25"/>
  <c r="BD227" i="24"/>
  <c r="AY227" i="24"/>
  <c r="AZ227" i="24" s="1"/>
  <c r="BE227" i="24"/>
  <c r="BT227" i="24" s="1"/>
  <c r="BD281" i="24"/>
  <c r="AY281" i="24"/>
  <c r="AZ281" i="24" s="1"/>
  <c r="BE281" i="24"/>
  <c r="BT281" i="24" s="1"/>
  <c r="BD167" i="24"/>
  <c r="BE167" i="24"/>
  <c r="BT167" i="24" s="1"/>
  <c r="AY167" i="24"/>
  <c r="AZ167" i="24" s="1"/>
  <c r="AT301" i="25"/>
  <c r="AU301" i="25"/>
  <c r="BE267" i="24"/>
  <c r="BT267" i="24" s="1"/>
  <c r="BD267" i="24"/>
  <c r="AY267" i="24"/>
  <c r="AZ267" i="24" s="1"/>
  <c r="BD134" i="24"/>
  <c r="AY134" i="24"/>
  <c r="AZ134" i="24" s="1"/>
  <c r="BE134" i="24"/>
  <c r="BT134" i="24" s="1"/>
  <c r="BE307" i="24"/>
  <c r="BT307" i="24" s="1"/>
  <c r="BD307" i="24"/>
  <c r="AY307" i="24"/>
  <c r="AZ307" i="24" s="1"/>
  <c r="AY210" i="24"/>
  <c r="AZ210" i="24" s="1"/>
  <c r="BD210" i="24"/>
  <c r="BE210" i="24"/>
  <c r="BT210" i="24" s="1"/>
  <c r="AT311" i="25"/>
  <c r="AU311" i="25"/>
  <c r="AT135" i="25"/>
  <c r="AY135" i="25" s="1"/>
  <c r="AU135" i="25"/>
  <c r="BE272" i="24"/>
  <c r="BT272" i="24" s="1"/>
  <c r="BD272" i="24"/>
  <c r="AY272" i="24"/>
  <c r="AZ272" i="24" s="1"/>
  <c r="BD96" i="24"/>
  <c r="BE96" i="24"/>
  <c r="BT96" i="24" s="1"/>
  <c r="AY96" i="24"/>
  <c r="AZ96" i="24" s="1"/>
  <c r="AY244" i="24"/>
  <c r="AZ244" i="24" s="1"/>
  <c r="BE244" i="24"/>
  <c r="BT244" i="24" s="1"/>
  <c r="BD244" i="24"/>
  <c r="BD297" i="24"/>
  <c r="AY297" i="24"/>
  <c r="AZ297" i="24" s="1"/>
  <c r="BE297" i="24"/>
  <c r="BT297" i="24" s="1"/>
  <c r="BE115" i="24"/>
  <c r="BT115" i="24" s="1"/>
  <c r="BD115" i="24"/>
  <c r="AY115" i="24"/>
  <c r="AZ115" i="24" s="1"/>
  <c r="AT164" i="25"/>
  <c r="AY164" i="25" s="1"/>
  <c r="AU164" i="25"/>
  <c r="AY231" i="24"/>
  <c r="AZ231" i="24" s="1"/>
  <c r="BD231" i="24"/>
  <c r="BE231" i="24"/>
  <c r="BT231" i="24" s="1"/>
  <c r="AY314" i="24"/>
  <c r="AZ314" i="24" s="1"/>
  <c r="BD314" i="24"/>
  <c r="BE314" i="24"/>
  <c r="BT314" i="24" s="1"/>
  <c r="BE303" i="24"/>
  <c r="BT303" i="24" s="1"/>
  <c r="BD303" i="24"/>
  <c r="AY303" i="24"/>
  <c r="AZ303" i="24" s="1"/>
  <c r="AY95" i="24"/>
  <c r="AZ95" i="24" s="1"/>
  <c r="BE95" i="24"/>
  <c r="BT95" i="24" s="1"/>
  <c r="BD95" i="24"/>
  <c r="AT103" i="25"/>
  <c r="AY103" i="25" s="1"/>
  <c r="AU103" i="25"/>
  <c r="AY11" i="24"/>
  <c r="AZ11" i="24" s="1"/>
  <c r="BE11" i="24"/>
  <c r="BT11" i="24" s="1"/>
  <c r="BD11" i="24"/>
  <c r="AT127" i="25"/>
  <c r="AY127" i="25" s="1"/>
  <c r="AU127" i="25"/>
  <c r="BA59" i="25"/>
  <c r="BC59" i="25"/>
  <c r="BT59" i="25" s="1"/>
  <c r="BB59" i="25"/>
  <c r="BS59" i="25" s="1"/>
  <c r="BG21" i="24"/>
  <c r="BM21" i="24" s="1"/>
  <c r="BS21" i="24"/>
  <c r="BV21" i="24" s="1"/>
  <c r="BX21" i="24" s="1"/>
  <c r="AT242" i="25"/>
  <c r="AU242" i="25"/>
  <c r="BE39" i="24"/>
  <c r="BT39" i="24" s="1"/>
  <c r="AY39" i="24"/>
  <c r="AZ39" i="24" s="1"/>
  <c r="BD39" i="24"/>
  <c r="AT153" i="25"/>
  <c r="AY153" i="25" s="1"/>
  <c r="AU153" i="25"/>
  <c r="AT233" i="25"/>
  <c r="AU233" i="25"/>
  <c r="AT218" i="25"/>
  <c r="AU218" i="25"/>
  <c r="BA62" i="25"/>
  <c r="BC62" i="25"/>
  <c r="BT62" i="25" s="1"/>
  <c r="BB62" i="25"/>
  <c r="BS62" i="25" s="1"/>
  <c r="AT93" i="25"/>
  <c r="AY93" i="25" s="1"/>
  <c r="AU93" i="25"/>
  <c r="BS41" i="24"/>
  <c r="BV41" i="24" s="1"/>
  <c r="BX41" i="24" s="1"/>
  <c r="BG41" i="24"/>
  <c r="BM41" i="24" s="1"/>
  <c r="BE262" i="24"/>
  <c r="BT262" i="24" s="1"/>
  <c r="BD262" i="24"/>
  <c r="AY262" i="24"/>
  <c r="AZ262" i="24" s="1"/>
  <c r="BG135" i="24"/>
  <c r="BS135" i="24"/>
  <c r="AT49" i="25"/>
  <c r="AY49" i="25" s="1"/>
  <c r="AU49" i="25"/>
  <c r="AT285" i="25"/>
  <c r="AU285" i="25"/>
  <c r="BD186" i="24"/>
  <c r="AY186" i="24"/>
  <c r="AZ186" i="24" s="1"/>
  <c r="BE186" i="24"/>
  <c r="BT186" i="24" s="1"/>
  <c r="AT300" i="25"/>
  <c r="AU300" i="25"/>
  <c r="AT263" i="25"/>
  <c r="AU263" i="25"/>
  <c r="AT310" i="25"/>
  <c r="AU310" i="25"/>
  <c r="AT274" i="25"/>
  <c r="AU274" i="25"/>
  <c r="BD78" i="24"/>
  <c r="AY78" i="24"/>
  <c r="AZ78" i="24" s="1"/>
  <c r="BE78" i="24"/>
  <c r="BT78" i="24" s="1"/>
  <c r="AY36" i="24"/>
  <c r="AZ36" i="24" s="1"/>
  <c r="BD36" i="24"/>
  <c r="BE36" i="24"/>
  <c r="BT36" i="24" s="1"/>
  <c r="AY225" i="24"/>
  <c r="AZ225" i="24" s="1"/>
  <c r="BD225" i="24"/>
  <c r="BE225" i="24"/>
  <c r="BT225" i="24" s="1"/>
  <c r="BC114" i="25"/>
  <c r="BT114" i="25" s="1"/>
  <c r="BB114" i="25"/>
  <c r="BS114" i="25" s="1"/>
  <c r="BA114" i="25"/>
  <c r="BD92" i="24"/>
  <c r="AY92" i="24"/>
  <c r="AZ92" i="24" s="1"/>
  <c r="BE92" i="24"/>
  <c r="BT92" i="24" s="1"/>
  <c r="BA280" i="25"/>
  <c r="BC280" i="25"/>
  <c r="BT280" i="25" s="1"/>
  <c r="BB280" i="25"/>
  <c r="BS280" i="25" s="1"/>
  <c r="AT249" i="25"/>
  <c r="AU249" i="25"/>
  <c r="AT18" i="25"/>
  <c r="AY18" i="25" s="1"/>
  <c r="AU18" i="25"/>
  <c r="BB273" i="25"/>
  <c r="BS273" i="25" s="1"/>
  <c r="BA273" i="25"/>
  <c r="BC273" i="25"/>
  <c r="BT273" i="25" s="1"/>
  <c r="BD277" i="24"/>
  <c r="BE277" i="24"/>
  <c r="BT277" i="24" s="1"/>
  <c r="AY277" i="24"/>
  <c r="AZ277" i="24" s="1"/>
  <c r="AT210" i="25"/>
  <c r="AY210" i="25" s="1"/>
  <c r="AU210" i="25"/>
  <c r="BE68" i="24"/>
  <c r="BT68" i="24" s="1"/>
  <c r="BD68" i="24"/>
  <c r="AY68" i="24"/>
  <c r="AZ68" i="24" s="1"/>
  <c r="AY287" i="24"/>
  <c r="AZ287" i="24" s="1"/>
  <c r="BD287" i="24"/>
  <c r="BE287" i="24"/>
  <c r="BT287" i="24" s="1"/>
  <c r="BE312" i="24"/>
  <c r="BT312" i="24" s="1"/>
  <c r="BD312" i="24"/>
  <c r="AY312" i="24"/>
  <c r="AZ312" i="24" s="1"/>
  <c r="BC293" i="25"/>
  <c r="BT293" i="25" s="1"/>
  <c r="BA293" i="25"/>
  <c r="BB293" i="25"/>
  <c r="BS293" i="25" s="1"/>
  <c r="AT254" i="25"/>
  <c r="AU254" i="25"/>
  <c r="AT39" i="25"/>
  <c r="AY39" i="25" s="1"/>
  <c r="AU39" i="25"/>
  <c r="BC229" i="25"/>
  <c r="BT229" i="25" s="1"/>
  <c r="BB229" i="25"/>
  <c r="BS229" i="25" s="1"/>
  <c r="BA229" i="25"/>
  <c r="BD221" i="24"/>
  <c r="AY221" i="24"/>
  <c r="AZ221" i="24" s="1"/>
  <c r="BE221" i="24"/>
  <c r="BT221" i="24" s="1"/>
  <c r="AT156" i="25"/>
  <c r="AY156" i="25" s="1"/>
  <c r="AU156" i="25"/>
  <c r="BA255" i="25"/>
  <c r="BB255" i="25"/>
  <c r="BS255" i="25" s="1"/>
  <c r="BC255" i="25"/>
  <c r="BT255" i="25" s="1"/>
  <c r="AT316" i="25"/>
  <c r="AU316" i="25"/>
  <c r="AT172" i="25"/>
  <c r="AY172" i="25" s="1"/>
  <c r="AU172" i="25"/>
  <c r="BA306" i="25"/>
  <c r="BC306" i="25"/>
  <c r="BT306" i="25" s="1"/>
  <c r="BB306" i="25"/>
  <c r="BS306" i="25" s="1"/>
  <c r="AT99" i="25"/>
  <c r="AY99" i="25" s="1"/>
  <c r="AU99" i="25"/>
  <c r="BB87" i="25"/>
  <c r="BS87" i="25" s="1"/>
  <c r="BA87" i="25"/>
  <c r="BC87" i="25"/>
  <c r="BT87" i="25" s="1"/>
  <c r="AT162" i="25"/>
  <c r="AY162" i="25" s="1"/>
  <c r="AU162" i="25"/>
  <c r="AT117" i="25"/>
  <c r="AY117" i="25" s="1"/>
  <c r="AU117" i="25"/>
  <c r="AY125" i="24"/>
  <c r="AZ125" i="24" s="1"/>
  <c r="BD125" i="24"/>
  <c r="BE125" i="24"/>
  <c r="BT125" i="24" s="1"/>
  <c r="BA305" i="25"/>
  <c r="BC305" i="25"/>
  <c r="BT305" i="25" s="1"/>
  <c r="BB305" i="25"/>
  <c r="BS305" i="25" s="1"/>
  <c r="AT88" i="25"/>
  <c r="AY88" i="25" s="1"/>
  <c r="AU88" i="25"/>
  <c r="AT226" i="25"/>
  <c r="AU226" i="25"/>
  <c r="BE84" i="24"/>
  <c r="BT84" i="24" s="1"/>
  <c r="BD84" i="24"/>
  <c r="AY84" i="24"/>
  <c r="AZ84" i="24" s="1"/>
  <c r="BE80" i="24"/>
  <c r="BT80" i="24" s="1"/>
  <c r="BD80" i="24"/>
  <c r="AY80" i="24"/>
  <c r="AZ80" i="24" s="1"/>
  <c r="AT25" i="25"/>
  <c r="AY25" i="25" s="1"/>
  <c r="AU25" i="25"/>
  <c r="BC246" i="25"/>
  <c r="BT246" i="25" s="1"/>
  <c r="BA246" i="25"/>
  <c r="BB246" i="25"/>
  <c r="BS246" i="25" s="1"/>
  <c r="AT290" i="25"/>
  <c r="AU290" i="25"/>
  <c r="BC262" i="25"/>
  <c r="BT262" i="25" s="1"/>
  <c r="BB262" i="25"/>
  <c r="BS262" i="25" s="1"/>
  <c r="BA262" i="25"/>
  <c r="AT169" i="25"/>
  <c r="AY169" i="25" s="1"/>
  <c r="AU169" i="25"/>
  <c r="AY291" i="24"/>
  <c r="AZ291" i="24" s="1"/>
  <c r="BE291" i="24"/>
  <c r="BT291" i="24" s="1"/>
  <c r="BD291" i="24"/>
  <c r="AT260" i="25"/>
  <c r="AU260" i="25"/>
  <c r="AY102" i="24"/>
  <c r="AZ102" i="24" s="1"/>
  <c r="BD102" i="24"/>
  <c r="BE102" i="24"/>
  <c r="BT102" i="24" s="1"/>
  <c r="BE223" i="24"/>
  <c r="BT223" i="24" s="1"/>
  <c r="AY223" i="24"/>
  <c r="AZ223" i="24" s="1"/>
  <c r="BD223" i="24"/>
  <c r="AT52" i="25"/>
  <c r="AY52" i="25" s="1"/>
  <c r="AU52" i="25"/>
  <c r="BE141" i="24"/>
  <c r="BT141" i="24" s="1"/>
  <c r="AY141" i="24"/>
  <c r="AZ141" i="24" s="1"/>
  <c r="BD141" i="24"/>
  <c r="BD251" i="24"/>
  <c r="BE251" i="24"/>
  <c r="BT251" i="24" s="1"/>
  <c r="AY251" i="24"/>
  <c r="AZ251" i="24" s="1"/>
  <c r="BA186" i="25"/>
  <c r="BC186" i="25"/>
  <c r="BT186" i="25" s="1"/>
  <c r="BB186" i="25"/>
  <c r="BS186" i="25" s="1"/>
  <c r="AT120" i="25"/>
  <c r="AY120" i="25" s="1"/>
  <c r="AU120" i="25"/>
  <c r="BD302" i="24"/>
  <c r="AY302" i="24"/>
  <c r="AZ302" i="24" s="1"/>
  <c r="BE302" i="24"/>
  <c r="BT302" i="24" s="1"/>
  <c r="AT219" i="25"/>
  <c r="AU219" i="25"/>
  <c r="AT217" i="25"/>
  <c r="AU217" i="25"/>
  <c r="AT209" i="25"/>
  <c r="AY209" i="25" s="1"/>
  <c r="AU209" i="25"/>
  <c r="BD127" i="24"/>
  <c r="AY127" i="24"/>
  <c r="AZ127" i="24" s="1"/>
  <c r="BE127" i="24"/>
  <c r="BT127" i="24" s="1"/>
  <c r="BB170" i="25"/>
  <c r="BS170" i="25" s="1"/>
  <c r="BA170" i="25"/>
  <c r="BC170" i="25"/>
  <c r="BT170" i="25" s="1"/>
  <c r="AT63" i="25"/>
  <c r="AY63" i="25" s="1"/>
  <c r="AU63" i="25"/>
  <c r="BE207" i="24"/>
  <c r="BT207" i="24" s="1"/>
  <c r="BD207" i="24"/>
  <c r="AY207" i="24"/>
  <c r="AZ207" i="24" s="1"/>
  <c r="AT79" i="25"/>
  <c r="AY79" i="25" s="1"/>
  <c r="AU79" i="25"/>
  <c r="AT146" i="25"/>
  <c r="AY146" i="25" s="1"/>
  <c r="AU146" i="25"/>
  <c r="BB206" i="25"/>
  <c r="BS206" i="25" s="1"/>
  <c r="BA206" i="25"/>
  <c r="BC206" i="25"/>
  <c r="BT206" i="25" s="1"/>
  <c r="AT137" i="25"/>
  <c r="AY137" i="25" s="1"/>
  <c r="AU137" i="25"/>
  <c r="AY173" i="24"/>
  <c r="AZ173" i="24" s="1"/>
  <c r="BE173" i="24"/>
  <c r="BT173" i="24" s="1"/>
  <c r="BD173" i="24"/>
  <c r="AT159" i="25"/>
  <c r="AY159" i="25" s="1"/>
  <c r="AU159" i="25"/>
  <c r="AT10" i="25"/>
  <c r="AY10" i="25" s="1"/>
  <c r="AU10" i="25"/>
  <c r="AY49" i="24"/>
  <c r="AZ49" i="24" s="1"/>
  <c r="BD49" i="24"/>
  <c r="BE49" i="24"/>
  <c r="BT49" i="24" s="1"/>
  <c r="AT121" i="25"/>
  <c r="AY121" i="25" s="1"/>
  <c r="AU121" i="25"/>
  <c r="BD77" i="24"/>
  <c r="BE77" i="24"/>
  <c r="BT77" i="24" s="1"/>
  <c r="AY77" i="24"/>
  <c r="AZ77" i="24" s="1"/>
  <c r="BS6" i="24"/>
  <c r="BG6" i="24"/>
  <c r="BM6" i="24" s="1"/>
  <c r="AY196" i="24"/>
  <c r="AZ196" i="24" s="1"/>
  <c r="BD196" i="24"/>
  <c r="BE196" i="24"/>
  <c r="BT196" i="24" s="1"/>
  <c r="BA178" i="25"/>
  <c r="BB178" i="25"/>
  <c r="BS178" i="25" s="1"/>
  <c r="BC178" i="25"/>
  <c r="BT178" i="25" s="1"/>
  <c r="AT141" i="25"/>
  <c r="AY141" i="25" s="1"/>
  <c r="AU141" i="25"/>
  <c r="BA34" i="25"/>
  <c r="BC34" i="25"/>
  <c r="BT34" i="25" s="1"/>
  <c r="BB34" i="25"/>
  <c r="BS34" i="25" s="1"/>
  <c r="BE67" i="24"/>
  <c r="BT67" i="24" s="1"/>
  <c r="BD67" i="24"/>
  <c r="AY67" i="24"/>
  <c r="AZ67" i="24" s="1"/>
  <c r="AT253" i="25"/>
  <c r="AU253" i="25"/>
  <c r="AY88" i="24"/>
  <c r="AZ88" i="24" s="1"/>
  <c r="BE88" i="24"/>
  <c r="BT88" i="24" s="1"/>
  <c r="BD88" i="24"/>
  <c r="BB89" i="25"/>
  <c r="BS89" i="25" s="1"/>
  <c r="BA89" i="25"/>
  <c r="BC89" i="25"/>
  <c r="BT89" i="25" s="1"/>
  <c r="AT294" i="25"/>
  <c r="AU294" i="25"/>
  <c r="BS248" i="24"/>
  <c r="BG248" i="24"/>
  <c r="AT40" i="25"/>
  <c r="AY40" i="25" s="1"/>
  <c r="AU40" i="25"/>
  <c r="BA291" i="25"/>
  <c r="BC291" i="25"/>
  <c r="BT291" i="25" s="1"/>
  <c r="BB291" i="25"/>
  <c r="BS291" i="25" s="1"/>
  <c r="AT9" i="25"/>
  <c r="AY9" i="25" s="1"/>
  <c r="AU9" i="25"/>
  <c r="AT24" i="25"/>
  <c r="AY24" i="25" s="1"/>
  <c r="AU24" i="25"/>
  <c r="BE235" i="24"/>
  <c r="BT235" i="24" s="1"/>
  <c r="BD235" i="24"/>
  <c r="AY235" i="24"/>
  <c r="AZ235" i="24" s="1"/>
  <c r="BE241" i="24"/>
  <c r="BT241" i="24" s="1"/>
  <c r="AY241" i="24"/>
  <c r="AZ241" i="24" s="1"/>
  <c r="BD241" i="24"/>
  <c r="BE74" i="24"/>
  <c r="BT74" i="24" s="1"/>
  <c r="BD74" i="24"/>
  <c r="AY74" i="24"/>
  <c r="AZ74" i="24" s="1"/>
  <c r="BA97" i="25"/>
  <c r="BC97" i="25"/>
  <c r="BT97" i="25" s="1"/>
  <c r="BD261" i="24"/>
  <c r="AY261" i="24"/>
  <c r="AZ261" i="24" s="1"/>
  <c r="BE261" i="24"/>
  <c r="BT261" i="24" s="1"/>
  <c r="BE116" i="24"/>
  <c r="BT116" i="24" s="1"/>
  <c r="BD116" i="24"/>
  <c r="AY116" i="24"/>
  <c r="AZ116" i="24" s="1"/>
  <c r="AT222" i="25"/>
  <c r="AU222" i="25"/>
  <c r="BA238" i="25"/>
  <c r="BC238" i="25"/>
  <c r="BT238" i="25" s="1"/>
  <c r="BB238" i="25"/>
  <c r="BS238" i="25" s="1"/>
  <c r="BD164" i="24"/>
  <c r="BE164" i="24"/>
  <c r="BT164" i="24" s="1"/>
  <c r="AY164" i="24"/>
  <c r="AZ164" i="24" s="1"/>
  <c r="AT53" i="25"/>
  <c r="AY53" i="25" s="1"/>
  <c r="AU53" i="25"/>
  <c r="AT22" i="25"/>
  <c r="AY22" i="25" s="1"/>
  <c r="AU22" i="25"/>
  <c r="AT231" i="25"/>
  <c r="AU231" i="25"/>
  <c r="AT90" i="25"/>
  <c r="AY90" i="25" s="1"/>
  <c r="AU90" i="25"/>
  <c r="BE98" i="24"/>
  <c r="BT98" i="24" s="1"/>
  <c r="BD98" i="24"/>
  <c r="AY98" i="24"/>
  <c r="AZ98" i="24" s="1"/>
  <c r="BD69" i="24"/>
  <c r="AY69" i="24"/>
  <c r="AZ69" i="24" s="1"/>
  <c r="BE69" i="24"/>
  <c r="BT69" i="24" s="1"/>
  <c r="BC94" i="25"/>
  <c r="BT94" i="25" s="1"/>
  <c r="BB94" i="25"/>
  <c r="BS94" i="25" s="1"/>
  <c r="BA94" i="25"/>
  <c r="AY149" i="24"/>
  <c r="AZ149" i="24" s="1"/>
  <c r="BD149" i="24"/>
  <c r="BE149" i="24"/>
  <c r="BT149" i="24" s="1"/>
  <c r="AY64" i="24"/>
  <c r="AZ64" i="24" s="1"/>
  <c r="BE64" i="24"/>
  <c r="BT64" i="24" s="1"/>
  <c r="BD64" i="24"/>
  <c r="AY82" i="24"/>
  <c r="AZ82" i="24" s="1"/>
  <c r="BD82" i="24"/>
  <c r="BE82" i="24"/>
  <c r="BT82" i="24" s="1"/>
  <c r="AY180" i="24"/>
  <c r="AZ180" i="24" s="1"/>
  <c r="BD180" i="24"/>
  <c r="BE180" i="24"/>
  <c r="BT180" i="24" s="1"/>
  <c r="BA167" i="25"/>
  <c r="BC167" i="25"/>
  <c r="BT167" i="25" s="1"/>
  <c r="BB167" i="25"/>
  <c r="BS167" i="25" s="1"/>
  <c r="BG264" i="24"/>
  <c r="BS264" i="24"/>
  <c r="BX264" i="24" s="1"/>
  <c r="BE308" i="24"/>
  <c r="BT308" i="24" s="1"/>
  <c r="AY308" i="24"/>
  <c r="AZ308" i="24" s="1"/>
  <c r="BD308" i="24"/>
  <c r="AT203" i="25"/>
  <c r="AY203" i="25" s="1"/>
  <c r="AU203" i="25"/>
  <c r="BE200" i="24"/>
  <c r="BT200" i="24" s="1"/>
  <c r="AY200" i="24"/>
  <c r="AZ200" i="24" s="1"/>
  <c r="BD200" i="24"/>
  <c r="AT221" i="25"/>
  <c r="AU221" i="25"/>
  <c r="BD170" i="24"/>
  <c r="BE170" i="24"/>
  <c r="BT170" i="24" s="1"/>
  <c r="AY170" i="24"/>
  <c r="AZ170" i="24" s="1"/>
  <c r="BE23" i="24"/>
  <c r="BT23" i="24" s="1"/>
  <c r="BD23" i="24"/>
  <c r="AY23" i="24"/>
  <c r="AZ23" i="24" s="1"/>
  <c r="AY155" i="24"/>
  <c r="AZ155" i="24" s="1"/>
  <c r="BD155" i="24"/>
  <c r="BE155" i="24"/>
  <c r="BT155" i="24" s="1"/>
  <c r="AT116" i="25"/>
  <c r="AY116" i="25" s="1"/>
  <c r="AU116" i="25"/>
  <c r="AT74" i="25"/>
  <c r="AY74" i="25" s="1"/>
  <c r="AU74" i="25"/>
  <c r="AT47" i="25"/>
  <c r="AY47" i="25" s="1"/>
  <c r="AU47" i="25"/>
  <c r="AT298" i="25"/>
  <c r="AU298" i="25"/>
  <c r="BD81" i="24"/>
  <c r="AY81" i="24"/>
  <c r="AZ81" i="24" s="1"/>
  <c r="BE81" i="24"/>
  <c r="BT81" i="24" s="1"/>
  <c r="BB155" i="25"/>
  <c r="BS155" i="25" s="1"/>
  <c r="BC155" i="25"/>
  <c r="BT155" i="25" s="1"/>
  <c r="BA155" i="25"/>
  <c r="AT142" i="25"/>
  <c r="AY142" i="25" s="1"/>
  <c r="AU142" i="25"/>
  <c r="BD43" i="24"/>
  <c r="BE43" i="24"/>
  <c r="BT43" i="24" s="1"/>
  <c r="AY43" i="24"/>
  <c r="AZ43" i="24" s="1"/>
  <c r="BD199" i="24"/>
  <c r="BE199" i="24"/>
  <c r="BT199" i="24" s="1"/>
  <c r="AY199" i="24"/>
  <c r="AZ199" i="24" s="1"/>
  <c r="AY178" i="24"/>
  <c r="AZ178" i="24" s="1"/>
  <c r="BE178" i="24"/>
  <c r="BT178" i="24" s="1"/>
  <c r="BD178" i="24"/>
  <c r="AT132" i="25"/>
  <c r="AY132" i="25" s="1"/>
  <c r="AU132" i="25"/>
  <c r="BA14" i="25"/>
  <c r="BC14" i="25"/>
  <c r="BT14" i="25" s="1"/>
  <c r="BB14" i="25"/>
  <c r="BS14" i="25" s="1"/>
  <c r="AT45" i="25"/>
  <c r="AY45" i="25" s="1"/>
  <c r="AU45" i="25"/>
  <c r="BA192" i="25"/>
  <c r="BC192" i="25"/>
  <c r="BT192" i="25" s="1"/>
  <c r="BB192" i="25"/>
  <c r="BS192" i="25" s="1"/>
  <c r="BC283" i="25"/>
  <c r="BT283" i="25" s="1"/>
  <c r="BA283" i="25"/>
  <c r="BB283" i="25"/>
  <c r="BS283" i="25" s="1"/>
  <c r="BE9" i="24"/>
  <c r="BT9" i="24" s="1"/>
  <c r="AY9" i="24"/>
  <c r="AZ9" i="24" s="1"/>
  <c r="BD9" i="24"/>
  <c r="AT84" i="25"/>
  <c r="AY84" i="25" s="1"/>
  <c r="AU84" i="25"/>
  <c r="BB204" i="25"/>
  <c r="BS204" i="25" s="1"/>
  <c r="BA204" i="25"/>
  <c r="BC204" i="25"/>
  <c r="BT204" i="25" s="1"/>
  <c r="BE194" i="24"/>
  <c r="BT194" i="24" s="1"/>
  <c r="BD194" i="24"/>
  <c r="AY194" i="24"/>
  <c r="AZ194" i="24" s="1"/>
  <c r="AT234" i="25"/>
  <c r="AU234" i="25"/>
  <c r="BE229" i="24"/>
  <c r="BT229" i="24" s="1"/>
  <c r="BD229" i="24"/>
  <c r="AY229" i="24"/>
  <c r="AZ229" i="24" s="1"/>
  <c r="AY201" i="24"/>
  <c r="AZ201" i="24" s="1"/>
  <c r="BE201" i="24"/>
  <c r="BT201" i="24" s="1"/>
  <c r="BD201" i="24"/>
  <c r="BG191" i="24"/>
  <c r="BS191" i="24"/>
  <c r="BX191" i="24" s="1"/>
  <c r="AT83" i="25"/>
  <c r="AY83" i="25" s="1"/>
  <c r="AU83" i="25"/>
  <c r="BE42" i="24"/>
  <c r="BT42" i="24" s="1"/>
  <c r="AY42" i="24"/>
  <c r="AZ42" i="24" s="1"/>
  <c r="BD42" i="24"/>
  <c r="BE139" i="24"/>
  <c r="BT139" i="24" s="1"/>
  <c r="BD139" i="24"/>
  <c r="AY139" i="24"/>
  <c r="AZ139" i="24" s="1"/>
  <c r="AT35" i="25"/>
  <c r="AY35" i="25" s="1"/>
  <c r="AU35" i="25"/>
  <c r="AY278" i="24"/>
  <c r="AZ278" i="24" s="1"/>
  <c r="BE278" i="24"/>
  <c r="BT278" i="24" s="1"/>
  <c r="BD278" i="24"/>
  <c r="AT230" i="25"/>
  <c r="AU230" i="25"/>
  <c r="BE275" i="24"/>
  <c r="BT275" i="24" s="1"/>
  <c r="AY275" i="24"/>
  <c r="AZ275" i="24" s="1"/>
  <c r="BD275" i="24"/>
  <c r="AT236" i="25"/>
  <c r="AU236" i="25"/>
  <c r="AT123" i="25"/>
  <c r="AY123" i="25" s="1"/>
  <c r="AU123" i="25"/>
  <c r="BE126" i="24"/>
  <c r="BT126" i="24" s="1"/>
  <c r="AY126" i="24"/>
  <c r="AZ126" i="24" s="1"/>
  <c r="BD126" i="24"/>
  <c r="BE284" i="24"/>
  <c r="BT284" i="24" s="1"/>
  <c r="AY284" i="24"/>
  <c r="AZ284" i="24" s="1"/>
  <c r="BD284" i="24"/>
  <c r="BD30" i="24"/>
  <c r="AY30" i="24"/>
  <c r="AZ30" i="24" s="1"/>
  <c r="BE30" i="24"/>
  <c r="BT30" i="24" s="1"/>
  <c r="AY114" i="24"/>
  <c r="AZ114" i="24" s="1"/>
  <c r="BE114" i="24"/>
  <c r="BT114" i="24" s="1"/>
  <c r="BD114" i="24"/>
  <c r="AT250" i="25"/>
  <c r="AU250" i="25"/>
  <c r="AT33" i="25"/>
  <c r="AY33" i="25" s="1"/>
  <c r="AU33" i="25"/>
  <c r="BD136" i="24"/>
  <c r="AY136" i="24"/>
  <c r="AZ136" i="24" s="1"/>
  <c r="BE136" i="24"/>
  <c r="BT136" i="24" s="1"/>
  <c r="AT112" i="25"/>
  <c r="AY112" i="25" s="1"/>
  <c r="AU112" i="25"/>
  <c r="BD177" i="24"/>
  <c r="AY177" i="24"/>
  <c r="AZ177" i="24" s="1"/>
  <c r="BE177" i="24"/>
  <c r="BT177" i="24" s="1"/>
  <c r="AT7" i="25"/>
  <c r="AY7" i="25" s="1"/>
  <c r="AU7" i="25"/>
  <c r="AT256" i="25"/>
  <c r="AU256" i="25"/>
  <c r="BA30" i="25"/>
  <c r="BB30" i="25"/>
  <c r="BS30" i="25" s="1"/>
  <c r="BC30" i="25"/>
  <c r="BT30" i="25" s="1"/>
  <c r="BA113" i="25"/>
  <c r="BC113" i="25"/>
  <c r="BT113" i="25" s="1"/>
  <c r="BB113" i="25"/>
  <c r="BS113" i="25" s="1"/>
  <c r="AY203" i="24"/>
  <c r="AZ203" i="24" s="1"/>
  <c r="BD203" i="24"/>
  <c r="BE203" i="24"/>
  <c r="BT203" i="24" s="1"/>
  <c r="AT8" i="25"/>
  <c r="AY8" i="25" s="1"/>
  <c r="AU8" i="25"/>
  <c r="BE63" i="24"/>
  <c r="BT63" i="24" s="1"/>
  <c r="BD63" i="24"/>
  <c r="AY63" i="24"/>
  <c r="AZ63" i="24" s="1"/>
  <c r="AT15" i="25"/>
  <c r="AY15" i="25" s="1"/>
  <c r="AU15" i="25"/>
  <c r="AT239" i="25"/>
  <c r="AU239" i="25"/>
  <c r="BD76" i="24"/>
  <c r="BE76" i="24"/>
  <c r="BT76" i="24" s="1"/>
  <c r="AY76" i="24"/>
  <c r="AZ76" i="24" s="1"/>
  <c r="BG44" i="24"/>
  <c r="BM44" i="24" s="1"/>
  <c r="BS44" i="24"/>
  <c r="BV44" i="24" s="1"/>
  <c r="BX44" i="24" s="1"/>
  <c r="AT70" i="25"/>
  <c r="AY70" i="25" s="1"/>
  <c r="AU70" i="25"/>
  <c r="AT76" i="25"/>
  <c r="AY76" i="25" s="1"/>
  <c r="AU76" i="25"/>
  <c r="BE27" i="24"/>
  <c r="BT27" i="24" s="1"/>
  <c r="AY27" i="24"/>
  <c r="AZ27" i="24" s="1"/>
  <c r="BD27" i="24"/>
  <c r="BD301" i="24"/>
  <c r="BE301" i="24"/>
  <c r="BT301" i="24" s="1"/>
  <c r="AY301" i="24"/>
  <c r="AZ301" i="24" s="1"/>
  <c r="BE17" i="24"/>
  <c r="BT17" i="24" s="1"/>
  <c r="BD17" i="24"/>
  <c r="AY17" i="24"/>
  <c r="AZ17" i="24" s="1"/>
  <c r="BE156" i="24"/>
  <c r="BT156" i="24" s="1"/>
  <c r="BD156" i="24"/>
  <c r="AY156" i="24"/>
  <c r="AZ156" i="24" s="1"/>
  <c r="AY174" i="24"/>
  <c r="AZ174" i="24" s="1"/>
  <c r="BE174" i="24"/>
  <c r="BT174" i="24" s="1"/>
  <c r="BD174" i="24"/>
  <c r="BE290" i="24"/>
  <c r="BT290" i="24" s="1"/>
  <c r="AY290" i="24"/>
  <c r="AZ290" i="24" s="1"/>
  <c r="BD290" i="24"/>
  <c r="AT202" i="25"/>
  <c r="AY202" i="25" s="1"/>
  <c r="AU202" i="25"/>
  <c r="BD131" i="24"/>
  <c r="AY131" i="24"/>
  <c r="AZ131" i="24" s="1"/>
  <c r="BE131" i="24"/>
  <c r="BT131" i="24" s="1"/>
  <c r="AY249" i="24"/>
  <c r="AZ249" i="24" s="1"/>
  <c r="BE249" i="24"/>
  <c r="BT249" i="24" s="1"/>
  <c r="BD249" i="24"/>
  <c r="BD183" i="24"/>
  <c r="AY183" i="24"/>
  <c r="AZ183" i="24" s="1"/>
  <c r="BE183" i="24"/>
  <c r="BT183" i="24" s="1"/>
  <c r="BE35" i="24"/>
  <c r="BT35" i="24" s="1"/>
  <c r="BD35" i="24"/>
  <c r="AY35" i="24"/>
  <c r="AZ35" i="24" s="1"/>
  <c r="BE89" i="24"/>
  <c r="BT89" i="24" s="1"/>
  <c r="BD89" i="24"/>
  <c r="AY89" i="24"/>
  <c r="AZ89" i="24" s="1"/>
  <c r="AT180" i="25"/>
  <c r="AY180" i="25" s="1"/>
  <c r="AU180" i="25"/>
  <c r="BC21" i="25"/>
  <c r="BT21" i="25" s="1"/>
  <c r="BB21" i="25"/>
  <c r="BS21" i="25" s="1"/>
  <c r="BA21" i="25"/>
  <c r="AT223" i="25"/>
  <c r="AU223" i="25"/>
  <c r="BB190" i="25"/>
  <c r="BS190" i="25" s="1"/>
  <c r="BC190" i="25"/>
  <c r="BT190" i="25" s="1"/>
  <c r="BA190" i="25"/>
  <c r="BE268" i="24"/>
  <c r="BT268" i="24" s="1"/>
  <c r="BD268" i="24"/>
  <c r="AY268" i="24"/>
  <c r="AZ268" i="24" s="1"/>
  <c r="AT64" i="25"/>
  <c r="AY64" i="25" s="1"/>
  <c r="AU64" i="25"/>
  <c r="AT200" i="25"/>
  <c r="AY200" i="25" s="1"/>
  <c r="AU200" i="25"/>
  <c r="AT55" i="25"/>
  <c r="AY55" i="25" s="1"/>
  <c r="AU55" i="25"/>
  <c r="AT122" i="25"/>
  <c r="AY122" i="25" s="1"/>
  <c r="AU122" i="25"/>
  <c r="AT73" i="25"/>
  <c r="AY73" i="25" s="1"/>
  <c r="AU73" i="25"/>
  <c r="AY205" i="24"/>
  <c r="AZ205" i="24" s="1"/>
  <c r="BE205" i="24"/>
  <c r="BT205" i="24" s="1"/>
  <c r="BD205" i="24"/>
  <c r="BE309" i="24"/>
  <c r="BT309" i="24" s="1"/>
  <c r="AY309" i="24"/>
  <c r="AZ309" i="24" s="1"/>
  <c r="BD309" i="24"/>
  <c r="AT72" i="25"/>
  <c r="AY72" i="25" s="1"/>
  <c r="AU72" i="25"/>
  <c r="BG259" i="24"/>
  <c r="BS259" i="24"/>
  <c r="BC82" i="25"/>
  <c r="BT82" i="25" s="1"/>
  <c r="BB82" i="25"/>
  <c r="BS82" i="25" s="1"/>
  <c r="BA82" i="25"/>
  <c r="BE193" i="24"/>
  <c r="BT193" i="24" s="1"/>
  <c r="BD193" i="24"/>
  <c r="AY193" i="24"/>
  <c r="AZ193" i="24" s="1"/>
  <c r="AT125" i="25"/>
  <c r="AY125" i="25" s="1"/>
  <c r="AU125" i="25"/>
  <c r="BE65" i="24"/>
  <c r="BT65" i="24" s="1"/>
  <c r="BD65" i="24"/>
  <c r="AY65" i="24"/>
  <c r="AZ65" i="24" s="1"/>
  <c r="AT37" i="25"/>
  <c r="AY37" i="25" s="1"/>
  <c r="AU37" i="25"/>
  <c r="BE110" i="25"/>
  <c r="BR110" i="25"/>
  <c r="BX110" i="25" s="1"/>
  <c r="BD97" i="24"/>
  <c r="BE97" i="24"/>
  <c r="BT97" i="24" s="1"/>
  <c r="AY97" i="24"/>
  <c r="AZ97" i="24" s="1"/>
  <c r="AY243" i="24"/>
  <c r="AZ243" i="24" s="1"/>
  <c r="BD243" i="24"/>
  <c r="BE243" i="24"/>
  <c r="BT243" i="24" s="1"/>
  <c r="BA259" i="25"/>
  <c r="BB259" i="25"/>
  <c r="BS259" i="25" s="1"/>
  <c r="BC259" i="25"/>
  <c r="BT259" i="25" s="1"/>
  <c r="BG294" i="24"/>
  <c r="BS294" i="24"/>
  <c r="BX294" i="24" s="1"/>
  <c r="AT277" i="25"/>
  <c r="AU277" i="25"/>
  <c r="BD87" i="24"/>
  <c r="AY87" i="24"/>
  <c r="AZ87" i="24" s="1"/>
  <c r="BE87" i="24"/>
  <c r="BT87" i="24" s="1"/>
  <c r="AT75" i="25"/>
  <c r="AY75" i="25" s="1"/>
  <c r="AU75" i="25"/>
  <c r="AT268" i="25"/>
  <c r="AU268" i="25"/>
  <c r="AT46" i="25"/>
  <c r="AY46" i="25" s="1"/>
  <c r="AU46" i="25"/>
  <c r="BA161" i="25"/>
  <c r="BC161" i="25"/>
  <c r="BT161" i="25" s="1"/>
  <c r="BB161" i="25"/>
  <c r="BS161" i="25" s="1"/>
  <c r="AT184" i="25"/>
  <c r="AY184" i="25" s="1"/>
  <c r="AU184" i="25"/>
  <c r="AT80" i="25"/>
  <c r="AY80" i="25" s="1"/>
  <c r="AU80" i="25"/>
  <c r="BE46" i="24"/>
  <c r="BT46" i="24" s="1"/>
  <c r="AY46" i="24"/>
  <c r="AZ46" i="24" s="1"/>
  <c r="BD46" i="24"/>
  <c r="BE47" i="24"/>
  <c r="BT47" i="24" s="1"/>
  <c r="BD47" i="24"/>
  <c r="AY47" i="24"/>
  <c r="AZ47" i="24" s="1"/>
  <c r="AT175" i="25"/>
  <c r="AY175" i="25" s="1"/>
  <c r="AU175" i="25"/>
  <c r="BE197" i="24"/>
  <c r="BT197" i="24" s="1"/>
  <c r="BD197" i="24"/>
  <c r="AY197" i="24"/>
  <c r="AZ197" i="24" s="1"/>
  <c r="AY159" i="24"/>
  <c r="AZ159" i="24" s="1"/>
  <c r="BD159" i="24"/>
  <c r="BE159" i="24"/>
  <c r="BT159" i="24" s="1"/>
  <c r="AT56" i="25"/>
  <c r="AY56" i="25" s="1"/>
  <c r="AU56" i="25"/>
  <c r="BC314" i="25"/>
  <c r="BT314" i="25" s="1"/>
  <c r="BB314" i="25"/>
  <c r="BS314" i="25" s="1"/>
  <c r="BA314" i="25"/>
  <c r="AT313" i="25"/>
  <c r="AU313" i="25"/>
  <c r="BE79" i="24"/>
  <c r="BT79" i="24" s="1"/>
  <c r="BD79" i="24"/>
  <c r="AY79" i="24"/>
  <c r="AZ79" i="24" s="1"/>
  <c r="BC13" i="25"/>
  <c r="BT13" i="25" s="1"/>
  <c r="BB13" i="25"/>
  <c r="BS13" i="25" s="1"/>
  <c r="BA13" i="25"/>
  <c r="AY93" i="24"/>
  <c r="AZ93" i="24" s="1"/>
  <c r="BE93" i="24"/>
  <c r="BT93" i="24" s="1"/>
  <c r="BD93" i="24"/>
  <c r="AT23" i="25"/>
  <c r="AY23" i="25" s="1"/>
  <c r="AU23" i="25"/>
  <c r="AT207" i="25"/>
  <c r="AY207" i="25" s="1"/>
  <c r="AU207" i="25"/>
  <c r="BD286" i="24"/>
  <c r="AY286" i="24"/>
  <c r="AZ286" i="24" s="1"/>
  <c r="BE286" i="24"/>
  <c r="BT286" i="24" s="1"/>
  <c r="AT36" i="25"/>
  <c r="AY36" i="25" s="1"/>
  <c r="AU36" i="25"/>
  <c r="AT27" i="25"/>
  <c r="AY27" i="25" s="1"/>
  <c r="AU27" i="25"/>
  <c r="BE52" i="24"/>
  <c r="BT52" i="24" s="1"/>
  <c r="AY52" i="24"/>
  <c r="AZ52" i="24" s="1"/>
  <c r="BD52" i="24"/>
  <c r="AT12" i="25"/>
  <c r="AY12" i="25" s="1"/>
  <c r="AU12" i="25"/>
  <c r="BE181" i="24"/>
  <c r="BT181" i="24" s="1"/>
  <c r="BD181" i="24"/>
  <c r="AY181" i="24"/>
  <c r="AZ181" i="24" s="1"/>
  <c r="AT19" i="25"/>
  <c r="AY19" i="25" s="1"/>
  <c r="AU19" i="25"/>
  <c r="BC148" i="25"/>
  <c r="BT148" i="25" s="1"/>
  <c r="BA148" i="25"/>
  <c r="BB148" i="25"/>
  <c r="BS148" i="25" s="1"/>
  <c r="BD176" i="24"/>
  <c r="AY176" i="24"/>
  <c r="AZ176" i="24" s="1"/>
  <c r="BE176" i="24"/>
  <c r="BT176" i="24" s="1"/>
  <c r="BG101" i="24"/>
  <c r="BM101" i="24" s="1"/>
  <c r="BS101" i="24"/>
  <c r="BV101" i="24" s="1"/>
  <c r="BX101" i="24" s="1"/>
  <c r="BE217" i="24"/>
  <c r="BT217" i="24" s="1"/>
  <c r="BD217" i="24"/>
  <c r="AY217" i="24"/>
  <c r="AZ217" i="24" s="1"/>
  <c r="BD274" i="24"/>
  <c r="AY274" i="24"/>
  <c r="AZ274" i="24" s="1"/>
  <c r="BE274" i="24"/>
  <c r="BT274" i="24" s="1"/>
  <c r="BA174" i="25"/>
  <c r="BB174" i="25"/>
  <c r="BS174" i="25" s="1"/>
  <c r="BC174" i="25"/>
  <c r="BT174" i="25" s="1"/>
  <c r="BD289" i="24"/>
  <c r="AY289" i="24"/>
  <c r="AZ289" i="24" s="1"/>
  <c r="BE289" i="24"/>
  <c r="BT289" i="24" s="1"/>
  <c r="BE86" i="24"/>
  <c r="BT86" i="24" s="1"/>
  <c r="BD86" i="24"/>
  <c r="AY86" i="24"/>
  <c r="AZ86" i="24" s="1"/>
  <c r="AT44" i="25"/>
  <c r="AY44" i="25" s="1"/>
  <c r="AU44" i="25"/>
  <c r="BS7" i="24"/>
  <c r="BV7" i="24" s="1"/>
  <c r="BX7" i="24" s="1"/>
  <c r="BG7" i="24"/>
  <c r="BM7" i="24" s="1"/>
  <c r="BD270" i="24"/>
  <c r="BE270" i="24"/>
  <c r="BT270" i="24" s="1"/>
  <c r="AY270" i="24"/>
  <c r="AZ270" i="24" s="1"/>
  <c r="AT284" i="25"/>
  <c r="AU284" i="25"/>
  <c r="BC71" i="25"/>
  <c r="BT71" i="25" s="1"/>
  <c r="BB71" i="25"/>
  <c r="BS71" i="25" s="1"/>
  <c r="BA71" i="25"/>
  <c r="AT126" i="25"/>
  <c r="AY126" i="25" s="1"/>
  <c r="AU126" i="25"/>
  <c r="AY304" i="24"/>
  <c r="AZ304" i="24" s="1"/>
  <c r="BE304" i="24"/>
  <c r="BT304" i="24" s="1"/>
  <c r="BD304" i="24"/>
  <c r="AT168" i="25"/>
  <c r="AY168" i="25" s="1"/>
  <c r="AU168" i="25"/>
  <c r="BA96" i="25"/>
  <c r="BB96" i="25"/>
  <c r="BS96" i="25" s="1"/>
  <c r="BC96" i="25"/>
  <c r="BT96" i="25" s="1"/>
  <c r="AT145" i="25"/>
  <c r="AY145" i="25" s="1"/>
  <c r="AU145" i="25"/>
  <c r="BE189" i="24"/>
  <c r="BT189" i="24" s="1"/>
  <c r="AY189" i="24"/>
  <c r="AZ189" i="24" s="1"/>
  <c r="BD189" i="24"/>
  <c r="AT150" i="25"/>
  <c r="AY150" i="25" s="1"/>
  <c r="AU150" i="25"/>
  <c r="AY230" i="24"/>
  <c r="AZ230" i="24" s="1"/>
  <c r="BE230" i="24"/>
  <c r="BT230" i="24" s="1"/>
  <c r="BD230" i="24"/>
  <c r="BA240" i="25"/>
  <c r="BC240" i="25"/>
  <c r="BT240" i="25" s="1"/>
  <c r="BB240" i="25"/>
  <c r="BS240" i="25" s="1"/>
  <c r="AT98" i="25"/>
  <c r="AY98" i="25" s="1"/>
  <c r="AU98" i="25"/>
  <c r="AT228" i="25"/>
  <c r="AU228" i="25"/>
  <c r="BE187" i="24"/>
  <c r="BT187" i="24" s="1"/>
  <c r="AY187" i="24"/>
  <c r="AZ187" i="24" s="1"/>
  <c r="BD187" i="24"/>
  <c r="BD300" i="24"/>
  <c r="BE300" i="24"/>
  <c r="BT300" i="24" s="1"/>
  <c r="AY300" i="24"/>
  <c r="AZ300" i="24" s="1"/>
  <c r="AY168" i="24"/>
  <c r="AZ168" i="24" s="1"/>
  <c r="BE168" i="24"/>
  <c r="BT168" i="24" s="1"/>
  <c r="BD168" i="24"/>
  <c r="BD113" i="24"/>
  <c r="AY113" i="24"/>
  <c r="AZ113" i="24" s="1"/>
  <c r="BE113" i="24"/>
  <c r="BT113" i="24" s="1"/>
  <c r="BE15" i="24"/>
  <c r="BT15" i="24" s="1"/>
  <c r="BD15" i="24"/>
  <c r="AY15" i="24"/>
  <c r="AZ15" i="24" s="1"/>
  <c r="BE208" i="24"/>
  <c r="BT208" i="24" s="1"/>
  <c r="BD208" i="24"/>
  <c r="AY208" i="24"/>
  <c r="AZ208" i="24" s="1"/>
  <c r="AT144" i="25"/>
  <c r="AY144" i="25" s="1"/>
  <c r="AU144" i="25"/>
  <c r="BB247" i="25"/>
  <c r="BS247" i="25" s="1"/>
  <c r="BA247" i="25"/>
  <c r="BC247" i="25"/>
  <c r="BT247" i="25" s="1"/>
  <c r="AT51" i="25"/>
  <c r="AY51" i="25" s="1"/>
  <c r="AU51" i="25"/>
  <c r="AT61" i="25"/>
  <c r="AY61" i="25" s="1"/>
  <c r="AU61" i="25"/>
  <c r="AY293" i="24"/>
  <c r="AZ293" i="24" s="1"/>
  <c r="BD293" i="24"/>
  <c r="BE293" i="24"/>
  <c r="BT293" i="24" s="1"/>
  <c r="BE288" i="24"/>
  <c r="BT288" i="24" s="1"/>
  <c r="AY288" i="24"/>
  <c r="AZ288" i="24" s="1"/>
  <c r="BD288" i="24"/>
  <c r="BC267" i="25"/>
  <c r="BT267" i="25" s="1"/>
  <c r="BB267" i="25"/>
  <c r="BS267" i="25" s="1"/>
  <c r="BA267" i="25"/>
  <c r="BE118" i="24"/>
  <c r="BT118" i="24" s="1"/>
  <c r="BD118" i="24"/>
  <c r="AY118" i="24"/>
  <c r="AZ118" i="24" s="1"/>
  <c r="BE266" i="24"/>
  <c r="BT266" i="24" s="1"/>
  <c r="AY266" i="24"/>
  <c r="AZ266" i="24" s="1"/>
  <c r="BD266" i="24"/>
  <c r="AT208" i="25"/>
  <c r="AY208" i="25" s="1"/>
  <c r="AU208" i="25"/>
  <c r="BB29" i="25"/>
  <c r="BS29" i="25" s="1"/>
  <c r="BC29" i="25"/>
  <c r="BT29" i="25" s="1"/>
  <c r="BA29" i="25"/>
  <c r="AT105" i="25"/>
  <c r="B140" i="2"/>
  <c r="B130" i="2"/>
  <c r="AU105" i="25"/>
  <c r="BD175" i="24"/>
  <c r="AY175" i="24"/>
  <c r="AZ175" i="24" s="1"/>
  <c r="BE175" i="24"/>
  <c r="BT175" i="24" s="1"/>
  <c r="AT42" i="25"/>
  <c r="AY42" i="25" s="1"/>
  <c r="AU42" i="25"/>
  <c r="AT171" i="25"/>
  <c r="AY171" i="25" s="1"/>
  <c r="AU171" i="25"/>
  <c r="AY202" i="24"/>
  <c r="AZ202" i="24" s="1"/>
  <c r="BE202" i="24"/>
  <c r="BT202" i="24" s="1"/>
  <c r="BD202" i="24"/>
  <c r="BD206" i="24"/>
  <c r="AY206" i="24"/>
  <c r="AZ206" i="24" s="1"/>
  <c r="BE206" i="24"/>
  <c r="BT206" i="24" s="1"/>
  <c r="AY188" i="24"/>
  <c r="AZ188" i="24" s="1"/>
  <c r="BD188" i="24"/>
  <c r="BE188" i="24"/>
  <c r="BT188" i="24" s="1"/>
  <c r="AY66" i="24"/>
  <c r="AZ66" i="24" s="1"/>
  <c r="BE66" i="24"/>
  <c r="BT66" i="24" s="1"/>
  <c r="BD66" i="24"/>
  <c r="BE179" i="24"/>
  <c r="BT179" i="24" s="1"/>
  <c r="BD179" i="24"/>
  <c r="AY179" i="24"/>
  <c r="AZ179" i="24" s="1"/>
  <c r="BD153" i="24"/>
  <c r="AY153" i="24"/>
  <c r="AZ153" i="24" s="1"/>
  <c r="BE153" i="24"/>
  <c r="BT153" i="24" s="1"/>
  <c r="AT86" i="25"/>
  <c r="AY86" i="25" s="1"/>
  <c r="AU86" i="25"/>
  <c r="BA11" i="25"/>
  <c r="BB11" i="25"/>
  <c r="BS11" i="25" s="1"/>
  <c r="BC11" i="25"/>
  <c r="BT11" i="25" s="1"/>
  <c r="AT188" i="25"/>
  <c r="AY188" i="25" s="1"/>
  <c r="AU188" i="25"/>
  <c r="BE133" i="24"/>
  <c r="BT133" i="24" s="1"/>
  <c r="BD133" i="24"/>
  <c r="AY133" i="24"/>
  <c r="AZ133" i="24" s="1"/>
  <c r="AY246" i="24"/>
  <c r="AZ246" i="24" s="1"/>
  <c r="BD246" i="24"/>
  <c r="BE246" i="24"/>
  <c r="BT246" i="24" s="1"/>
  <c r="AY209" i="24"/>
  <c r="AZ209" i="24" s="1"/>
  <c r="BE209" i="24"/>
  <c r="BT209" i="24" s="1"/>
  <c r="BD209" i="24"/>
  <c r="BB131" i="25"/>
  <c r="BS131" i="25" s="1"/>
  <c r="BC131" i="25"/>
  <c r="BT131" i="25" s="1"/>
  <c r="BA131" i="25"/>
  <c r="AT43" i="25"/>
  <c r="AY43" i="25" s="1"/>
  <c r="AU43" i="25"/>
  <c r="BG240" i="24"/>
  <c r="BS240" i="24"/>
  <c r="AT102" i="25"/>
  <c r="AY102" i="25" s="1"/>
  <c r="AU102" i="25"/>
  <c r="AY25" i="24"/>
  <c r="AZ25" i="24" s="1"/>
  <c r="BD25" i="24"/>
  <c r="BE25" i="24"/>
  <c r="BT25" i="24" s="1"/>
  <c r="AO78" i="29" l="1"/>
  <c r="AO437" i="29"/>
  <c r="AO124" i="29"/>
  <c r="AO452" i="29"/>
  <c r="AO599" i="29"/>
  <c r="BG152" i="24"/>
  <c r="AO442" i="29"/>
  <c r="AO110" i="29"/>
  <c r="AO231" i="29"/>
  <c r="AO323" i="29"/>
  <c r="AO541" i="29"/>
  <c r="U541" i="29" s="1"/>
  <c r="AO544" i="29"/>
  <c r="U544" i="29" s="1"/>
  <c r="AO352" i="29"/>
  <c r="U352" i="29" s="1"/>
  <c r="AO508" i="29"/>
  <c r="V508" i="29" s="1"/>
  <c r="AO521" i="29"/>
  <c r="U521" i="29" s="1"/>
  <c r="BX240" i="24"/>
  <c r="AO63" i="29"/>
  <c r="U63" i="29" s="1"/>
  <c r="AO584" i="29"/>
  <c r="V584" i="29" s="1"/>
  <c r="AO380" i="29"/>
  <c r="V380" i="29" s="1"/>
  <c r="AO591" i="29"/>
  <c r="U591" i="29" s="1"/>
  <c r="AO576" i="29"/>
  <c r="V576" i="29" s="1"/>
  <c r="AO163" i="29"/>
  <c r="V163" i="29" s="1"/>
  <c r="AO485" i="29"/>
  <c r="U485" i="29" s="1"/>
  <c r="AO478" i="29"/>
  <c r="U478" i="29" s="1"/>
  <c r="AO304" i="29"/>
  <c r="U304" i="29" s="1"/>
  <c r="BG120" i="24"/>
  <c r="BY120" i="24" s="1"/>
  <c r="CA120" i="24" s="1"/>
  <c r="BC265" i="25"/>
  <c r="BT265" i="25" s="1"/>
  <c r="BA265" i="25"/>
  <c r="BE265" i="25" s="1"/>
  <c r="AO271" i="29"/>
  <c r="U271" i="29" s="1"/>
  <c r="AO566" i="29"/>
  <c r="V566" i="29" s="1"/>
  <c r="AO181" i="29"/>
  <c r="U181" i="29" s="1"/>
  <c r="AO261" i="29"/>
  <c r="V261" i="29" s="1"/>
  <c r="AO279" i="29"/>
  <c r="V279" i="29" s="1"/>
  <c r="AO59" i="29"/>
  <c r="U59" i="29" s="1"/>
  <c r="AO253" i="29"/>
  <c r="V253" i="29" s="1"/>
  <c r="AO393" i="29"/>
  <c r="U393" i="29" s="1"/>
  <c r="AO64" i="29"/>
  <c r="V64" i="29" s="1"/>
  <c r="AO445" i="29"/>
  <c r="U445" i="29" s="1"/>
  <c r="AO551" i="29"/>
  <c r="U551" i="29" s="1"/>
  <c r="AO66" i="29"/>
  <c r="U66" i="29" s="1"/>
  <c r="AO337" i="29"/>
  <c r="U337" i="29" s="1"/>
  <c r="AO606" i="29"/>
  <c r="V606" i="29" s="1"/>
  <c r="AO363" i="29"/>
  <c r="U363" i="29" s="1"/>
  <c r="AO483" i="29"/>
  <c r="V483" i="29" s="1"/>
  <c r="AO223" i="29"/>
  <c r="V223" i="29" s="1"/>
  <c r="AO137" i="29"/>
  <c r="V137" i="29" s="1"/>
  <c r="AO225" i="29"/>
  <c r="V225" i="29" s="1"/>
  <c r="AO602" i="29"/>
  <c r="U602" i="29" s="1"/>
  <c r="AO113" i="29"/>
  <c r="V113" i="29" s="1"/>
  <c r="AO371" i="29"/>
  <c r="U371" i="29" s="1"/>
  <c r="AO536" i="29"/>
  <c r="U536" i="29" s="1"/>
  <c r="AO248" i="29"/>
  <c r="V248" i="29" s="1"/>
  <c r="AO74" i="29"/>
  <c r="U74" i="29" s="1"/>
  <c r="AO46" i="29"/>
  <c r="U46" i="29" s="1"/>
  <c r="AO212" i="29"/>
  <c r="U212" i="29" s="1"/>
  <c r="AO148" i="29"/>
  <c r="V148" i="29" s="1"/>
  <c r="AO24" i="29"/>
  <c r="V24" i="29" s="1"/>
  <c r="AO206" i="29"/>
  <c r="U206" i="29" s="1"/>
  <c r="AO374" i="29"/>
  <c r="U374" i="29" s="1"/>
  <c r="AO85" i="29"/>
  <c r="V85" i="29" s="1"/>
  <c r="AO159" i="29"/>
  <c r="U159" i="29" s="1"/>
  <c r="BG283" i="24"/>
  <c r="BY283" i="24" s="1"/>
  <c r="CA283" i="24" s="1"/>
  <c r="CB283" i="24" s="1"/>
  <c r="CB292" i="24"/>
  <c r="CF292" i="24"/>
  <c r="BS12" i="24"/>
  <c r="BV12" i="24" s="1"/>
  <c r="BX12" i="24" s="1"/>
  <c r="BS219" i="24"/>
  <c r="BX219" i="24" s="1"/>
  <c r="AO106" i="29"/>
  <c r="U106" i="29" s="1"/>
  <c r="BS147" i="24"/>
  <c r="BX147" i="24" s="1"/>
  <c r="BS242" i="24"/>
  <c r="BX242" i="24" s="1"/>
  <c r="BX260" i="24"/>
  <c r="BG18" i="24"/>
  <c r="BM18" i="24" s="1"/>
  <c r="BY18" i="24" s="1"/>
  <c r="CA18" i="24" s="1"/>
  <c r="CB18" i="24" s="1"/>
  <c r="BS34" i="24"/>
  <c r="BV34" i="24" s="1"/>
  <c r="BX34" i="24" s="1"/>
  <c r="BA154" i="25"/>
  <c r="BE154" i="25" s="1"/>
  <c r="BC154" i="25"/>
  <c r="BT154" i="25" s="1"/>
  <c r="BS265" i="24"/>
  <c r="BX265" i="24" s="1"/>
  <c r="BX259" i="24"/>
  <c r="BX283" i="24"/>
  <c r="BG121" i="24"/>
  <c r="BM121" i="24" s="1"/>
  <c r="BN121" i="24" s="1"/>
  <c r="BX120" i="24"/>
  <c r="BV26" i="24"/>
  <c r="BX26" i="24" s="1"/>
  <c r="BX111" i="24"/>
  <c r="AO49" i="29"/>
  <c r="V49" i="29" s="1"/>
  <c r="AO397" i="29"/>
  <c r="U397" i="29" s="1"/>
  <c r="AO510" i="29"/>
  <c r="U510" i="29" s="1"/>
  <c r="AO194" i="29"/>
  <c r="V194" i="29" s="1"/>
  <c r="AO284" i="29"/>
  <c r="V284" i="29" s="1"/>
  <c r="AO454" i="29"/>
  <c r="U454" i="29" s="1"/>
  <c r="AO384" i="29"/>
  <c r="U384" i="29" s="1"/>
  <c r="AO340" i="29"/>
  <c r="U340" i="29" s="1"/>
  <c r="AO98" i="29"/>
  <c r="V98" i="29" s="1"/>
  <c r="AO107" i="29"/>
  <c r="V107" i="29" s="1"/>
  <c r="AO127" i="29"/>
  <c r="U127" i="29" s="1"/>
  <c r="AO289" i="29"/>
  <c r="V289" i="29" s="1"/>
  <c r="BX152" i="24"/>
  <c r="AO73" i="29"/>
  <c r="V73" i="29" s="1"/>
  <c r="AO22" i="29"/>
  <c r="U22" i="29" s="1"/>
  <c r="AO367" i="29"/>
  <c r="U367" i="29" s="1"/>
  <c r="AO123" i="29"/>
  <c r="V123" i="29" s="1"/>
  <c r="AO470" i="29"/>
  <c r="U470" i="29" s="1"/>
  <c r="AO161" i="29"/>
  <c r="U161" i="29" s="1"/>
  <c r="AO222" i="29"/>
  <c r="V222" i="29" s="1"/>
  <c r="AO379" i="29"/>
  <c r="V379" i="29" s="1"/>
  <c r="AO298" i="29"/>
  <c r="U298" i="29" s="1"/>
  <c r="AO257" i="29"/>
  <c r="U257" i="29" s="1"/>
  <c r="AO417" i="29"/>
  <c r="V417" i="29" s="1"/>
  <c r="AO603" i="29"/>
  <c r="V603" i="29" s="1"/>
  <c r="AO229" i="29"/>
  <c r="U229" i="29" s="1"/>
  <c r="AO471" i="29"/>
  <c r="U471" i="29" s="1"/>
  <c r="AO152" i="29"/>
  <c r="U152" i="29" s="1"/>
  <c r="AO590" i="29"/>
  <c r="U590" i="29" s="1"/>
  <c r="AO558" i="29"/>
  <c r="U558" i="29" s="1"/>
  <c r="AO111" i="29"/>
  <c r="V111" i="29" s="1"/>
  <c r="AO391" i="29"/>
  <c r="U391" i="29" s="1"/>
  <c r="AO557" i="29"/>
  <c r="V557" i="29" s="1"/>
  <c r="AO361" i="29"/>
  <c r="U361" i="29" s="1"/>
  <c r="AO515" i="29"/>
  <c r="V515" i="29" s="1"/>
  <c r="AO233" i="29"/>
  <c r="U233" i="29" s="1"/>
  <c r="AO327" i="29"/>
  <c r="U327" i="29" s="1"/>
  <c r="AO596" i="29"/>
  <c r="U596" i="29" s="1"/>
  <c r="AO373" i="29"/>
  <c r="V373" i="29" s="1"/>
  <c r="AO54" i="29"/>
  <c r="U54" i="29" s="1"/>
  <c r="AO613" i="29"/>
  <c r="U613" i="29" s="1"/>
  <c r="AO493" i="29"/>
  <c r="V493" i="29" s="1"/>
  <c r="AO475" i="29"/>
  <c r="V475" i="29" s="1"/>
  <c r="AO53" i="29"/>
  <c r="U53" i="29" s="1"/>
  <c r="AO322" i="29"/>
  <c r="V322" i="29" s="1"/>
  <c r="AO242" i="29"/>
  <c r="V242" i="29" s="1"/>
  <c r="AO205" i="29"/>
  <c r="U205" i="29" s="1"/>
  <c r="AO19" i="29"/>
  <c r="V19" i="29" s="1"/>
  <c r="AO466" i="29"/>
  <c r="U466" i="29" s="1"/>
  <c r="AO586" i="29"/>
  <c r="U586" i="29" s="1"/>
  <c r="AO144" i="29"/>
  <c r="V144" i="29" s="1"/>
  <c r="AO43" i="29"/>
  <c r="U43" i="29" s="1"/>
  <c r="BS130" i="24"/>
  <c r="BY130" i="24" s="1"/>
  <c r="CA130" i="24" s="1"/>
  <c r="BX135" i="24"/>
  <c r="AO168" i="29"/>
  <c r="U168" i="29" s="1"/>
  <c r="AO608" i="29"/>
  <c r="V608" i="29" s="1"/>
  <c r="AO563" i="29"/>
  <c r="U563" i="29" s="1"/>
  <c r="AO577" i="29"/>
  <c r="U577" i="29" s="1"/>
  <c r="AO598" i="29"/>
  <c r="V598" i="29" s="1"/>
  <c r="AO443" i="29"/>
  <c r="U443" i="29" s="1"/>
  <c r="AO293" i="29"/>
  <c r="U293" i="29" s="1"/>
  <c r="AO400" i="29"/>
  <c r="U400" i="29" s="1"/>
  <c r="AO578" i="29"/>
  <c r="U578" i="29" s="1"/>
  <c r="AO604" i="29"/>
  <c r="U604" i="29" s="1"/>
  <c r="AO203" i="29"/>
  <c r="U203" i="29" s="1"/>
  <c r="AO326" i="29"/>
  <c r="V326" i="29" s="1"/>
  <c r="BX121" i="24"/>
  <c r="BS232" i="24"/>
  <c r="BX232" i="24" s="1"/>
  <c r="BS295" i="24"/>
  <c r="BX295" i="24" s="1"/>
  <c r="BS253" i="24"/>
  <c r="BX253" i="24" s="1"/>
  <c r="BV6" i="24"/>
  <c r="BX6" i="24" s="1"/>
  <c r="BS238" i="24"/>
  <c r="BX238" i="24" s="1"/>
  <c r="BS298" i="24"/>
  <c r="BX298" i="24" s="1"/>
  <c r="BS296" i="24"/>
  <c r="BX296" i="24" s="1"/>
  <c r="BS305" i="24"/>
  <c r="BX305" i="24" s="1"/>
  <c r="BS280" i="24"/>
  <c r="BX280" i="24" s="1"/>
  <c r="BS112" i="24"/>
  <c r="BX112" i="24" s="1"/>
  <c r="BG28" i="24"/>
  <c r="BM28" i="24" s="1"/>
  <c r="BY28" i="24" s="1"/>
  <c r="CA28" i="24" s="1"/>
  <c r="CB28" i="24" s="1"/>
  <c r="AO105" i="29"/>
  <c r="V105" i="29" s="1"/>
  <c r="AO511" i="29"/>
  <c r="V511" i="29" s="1"/>
  <c r="AO412" i="29"/>
  <c r="V412" i="29" s="1"/>
  <c r="AO555" i="29"/>
  <c r="V555" i="29" s="1"/>
  <c r="AO499" i="29"/>
  <c r="U499" i="29" s="1"/>
  <c r="AO208" i="29"/>
  <c r="U208" i="29" s="1"/>
  <c r="AO71" i="29"/>
  <c r="U71" i="29" s="1"/>
  <c r="AO118" i="29"/>
  <c r="U118" i="29" s="1"/>
  <c r="AO186" i="29"/>
  <c r="V186" i="29" s="1"/>
  <c r="AO316" i="29"/>
  <c r="V316" i="29" s="1"/>
  <c r="AO104" i="29"/>
  <c r="V104" i="29" s="1"/>
  <c r="AO35" i="29"/>
  <c r="U35" i="29" s="1"/>
  <c r="AO571" i="29"/>
  <c r="V571" i="29" s="1"/>
  <c r="AO428" i="29"/>
  <c r="U428" i="29" s="1"/>
  <c r="AO309" i="29"/>
  <c r="U309" i="29" s="1"/>
  <c r="AO514" i="29"/>
  <c r="V514" i="29" s="1"/>
  <c r="AO362" i="29"/>
  <c r="V362" i="29" s="1"/>
  <c r="AO438" i="29"/>
  <c r="U438" i="29" s="1"/>
  <c r="AO32" i="29"/>
  <c r="V32" i="29" s="1"/>
  <c r="AO48" i="29"/>
  <c r="U48" i="29" s="1"/>
  <c r="AO319" i="29"/>
  <c r="V319" i="29" s="1"/>
  <c r="AO447" i="29"/>
  <c r="V447" i="29" s="1"/>
  <c r="AO507" i="29"/>
  <c r="V507" i="29" s="1"/>
  <c r="AO120" i="29"/>
  <c r="V120" i="29" s="1"/>
  <c r="AO553" i="29"/>
  <c r="U553" i="29" s="1"/>
  <c r="AO236" i="29"/>
  <c r="U236" i="29" s="1"/>
  <c r="AO505" i="29"/>
  <c r="U505" i="29" s="1"/>
  <c r="AO246" i="29"/>
  <c r="V246" i="29" s="1"/>
  <c r="AO529" i="29"/>
  <c r="V529" i="29" s="1"/>
  <c r="AO486" i="29"/>
  <c r="U486" i="29" s="1"/>
  <c r="AO338" i="29"/>
  <c r="V338" i="29" s="1"/>
  <c r="AO17" i="29"/>
  <c r="U17" i="29" s="1"/>
  <c r="AO207" i="29"/>
  <c r="V207" i="29" s="1"/>
  <c r="AO390" i="29"/>
  <c r="V390" i="29" s="1"/>
  <c r="AO151" i="29"/>
  <c r="U151" i="29" s="1"/>
  <c r="AO512" i="29"/>
  <c r="U512" i="29" s="1"/>
  <c r="AO494" i="29"/>
  <c r="U494" i="29" s="1"/>
  <c r="AO339" i="29"/>
  <c r="U339" i="29" s="1"/>
  <c r="AO556" i="29"/>
  <c r="V556" i="29" s="1"/>
  <c r="AO448" i="29"/>
  <c r="V448" i="29" s="1"/>
  <c r="AO349" i="29"/>
  <c r="V349" i="29" s="1"/>
  <c r="AO239" i="29"/>
  <c r="U239" i="29" s="1"/>
  <c r="AO370" i="29"/>
  <c r="U370" i="29" s="1"/>
  <c r="AO418" i="29"/>
  <c r="U418" i="29" s="1"/>
  <c r="AO609" i="29"/>
  <c r="V609" i="29" s="1"/>
  <c r="AO543" i="29"/>
  <c r="U543" i="29" s="1"/>
  <c r="AO540" i="29"/>
  <c r="V540" i="29" s="1"/>
  <c r="AO580" i="29"/>
  <c r="U580" i="29" s="1"/>
  <c r="AO368" i="29"/>
  <c r="U368" i="29" s="1"/>
  <c r="AO39" i="29"/>
  <c r="U39" i="29" s="1"/>
  <c r="AO587" i="29"/>
  <c r="V587" i="29" s="1"/>
  <c r="AO388" i="29"/>
  <c r="U388" i="29" s="1"/>
  <c r="AO413" i="29"/>
  <c r="U413" i="29" s="1"/>
  <c r="AO89" i="29"/>
  <c r="V89" i="29" s="1"/>
  <c r="AO250" i="29"/>
  <c r="U250" i="29" s="1"/>
  <c r="AO402" i="29"/>
  <c r="U402" i="29" s="1"/>
  <c r="AO136" i="29"/>
  <c r="U136" i="29" s="1"/>
  <c r="AO365" i="29"/>
  <c r="V365" i="29" s="1"/>
  <c r="AO516" i="29"/>
  <c r="U516" i="29" s="1"/>
  <c r="AO334" i="29"/>
  <c r="U334" i="29" s="1"/>
  <c r="AO488" i="29"/>
  <c r="V488" i="29" s="1"/>
  <c r="AO597" i="29"/>
  <c r="U597" i="29" s="1"/>
  <c r="AO330" i="29"/>
  <c r="V330" i="29" s="1"/>
  <c r="AO165" i="29"/>
  <c r="V165" i="29" s="1"/>
  <c r="AO461" i="29"/>
  <c r="U461" i="29" s="1"/>
  <c r="AO57" i="29"/>
  <c r="U57" i="29" s="1"/>
  <c r="AO359" i="29"/>
  <c r="U359" i="29" s="1"/>
  <c r="AO387" i="29"/>
  <c r="V387" i="29" s="1"/>
  <c r="AO40" i="29"/>
  <c r="U40" i="29" s="1"/>
  <c r="AO220" i="29"/>
  <c r="U220" i="29" s="1"/>
  <c r="AO612" i="29"/>
  <c r="U612" i="29" s="1"/>
  <c r="AO50" i="29"/>
  <c r="V50" i="29" s="1"/>
  <c r="BV19" i="24"/>
  <c r="BX19" i="24" s="1"/>
  <c r="BS279" i="24"/>
  <c r="BX279" i="24" s="1"/>
  <c r="BS299" i="24"/>
  <c r="BX299" i="24" s="1"/>
  <c r="AO354" i="29"/>
  <c r="U354" i="29" s="1"/>
  <c r="AO376" i="29"/>
  <c r="U376" i="29" s="1"/>
  <c r="AO216" i="29"/>
  <c r="V216" i="29" s="1"/>
  <c r="AO125" i="29"/>
  <c r="U125" i="29" s="1"/>
  <c r="AO244" i="29"/>
  <c r="V244" i="29" s="1"/>
  <c r="AO395" i="29"/>
  <c r="U395" i="29" s="1"/>
  <c r="AO550" i="29"/>
  <c r="U550" i="29" s="1"/>
  <c r="AO254" i="29"/>
  <c r="V254" i="29" s="1"/>
  <c r="AO266" i="29"/>
  <c r="V266" i="29" s="1"/>
  <c r="AO25" i="29"/>
  <c r="V25" i="29" s="1"/>
  <c r="AO404" i="29"/>
  <c r="U404" i="29" s="1"/>
  <c r="AO210" i="29"/>
  <c r="V210" i="29" s="1"/>
  <c r="AO275" i="29"/>
  <c r="U275" i="29" s="1"/>
  <c r="AO502" i="29"/>
  <c r="V502" i="29" s="1"/>
  <c r="AO154" i="29"/>
  <c r="V154" i="29" s="1"/>
  <c r="AO217" i="29"/>
  <c r="U217" i="29" s="1"/>
  <c r="AO503" i="29"/>
  <c r="U503" i="29" s="1"/>
  <c r="AO342" i="29"/>
  <c r="U342" i="29" s="1"/>
  <c r="AO347" i="29"/>
  <c r="V347" i="29" s="1"/>
  <c r="AO259" i="29"/>
  <c r="U259" i="29" s="1"/>
  <c r="AO103" i="29"/>
  <c r="V103" i="29" s="1"/>
  <c r="AO433" i="29"/>
  <c r="V433" i="29" s="1"/>
  <c r="AO117" i="29"/>
  <c r="V117" i="29" s="1"/>
  <c r="AO582" i="29"/>
  <c r="U582" i="29" s="1"/>
  <c r="AO308" i="29"/>
  <c r="U308" i="29" s="1"/>
  <c r="AO268" i="29"/>
  <c r="U268" i="29" s="1"/>
  <c r="AO480" i="29"/>
  <c r="V480" i="29" s="1"/>
  <c r="AO112" i="29"/>
  <c r="V112" i="29" s="1"/>
  <c r="AO272" i="29"/>
  <c r="U272" i="29" s="1"/>
  <c r="AO378" i="29"/>
  <c r="U378" i="29" s="1"/>
  <c r="AO358" i="29"/>
  <c r="U358" i="29" s="1"/>
  <c r="BG26" i="24"/>
  <c r="BM26" i="24" s="1"/>
  <c r="BN26" i="24" s="1"/>
  <c r="AO86" i="29"/>
  <c r="V86" i="29" s="1"/>
  <c r="AO190" i="29"/>
  <c r="U190" i="29" s="1"/>
  <c r="AO185" i="29"/>
  <c r="V185" i="29" s="1"/>
  <c r="AO219" i="29"/>
  <c r="V219" i="29" s="1"/>
  <c r="AO409" i="29"/>
  <c r="U409" i="29" s="1"/>
  <c r="AO593" i="29"/>
  <c r="U593" i="29" s="1"/>
  <c r="AO267" i="29"/>
  <c r="U267" i="29" s="1"/>
  <c r="AO79" i="29"/>
  <c r="U79" i="29" s="1"/>
  <c r="BS148" i="24"/>
  <c r="BX148" i="24" s="1"/>
  <c r="BS282" i="24"/>
  <c r="BX282" i="24" s="1"/>
  <c r="BS54" i="24"/>
  <c r="BV54" i="24" s="1"/>
  <c r="BX54" i="24" s="1"/>
  <c r="BS247" i="24"/>
  <c r="BX247" i="24" s="1"/>
  <c r="BG228" i="24"/>
  <c r="BM228" i="24" s="1"/>
  <c r="BN228" i="24" s="1"/>
  <c r="BS20" i="24"/>
  <c r="BV20" i="24" s="1"/>
  <c r="BX20" i="24" s="1"/>
  <c r="BX248" i="24"/>
  <c r="AO141" i="29"/>
  <c r="U141" i="29" s="1"/>
  <c r="AO230" i="29"/>
  <c r="V230" i="29" s="1"/>
  <c r="AO44" i="29"/>
  <c r="U44" i="29" s="1"/>
  <c r="AO332" i="29"/>
  <c r="V332" i="29" s="1"/>
  <c r="AO389" i="29"/>
  <c r="V389" i="29" s="1"/>
  <c r="AO320" i="29"/>
  <c r="U320" i="29" s="1"/>
  <c r="AO446" i="29"/>
  <c r="U446" i="29" s="1"/>
  <c r="AO100" i="29"/>
  <c r="V100" i="29" s="1"/>
  <c r="AO301" i="29"/>
  <c r="V301" i="29" s="1"/>
  <c r="AO214" i="29"/>
  <c r="U214" i="29" s="1"/>
  <c r="AO440" i="29"/>
  <c r="V440" i="29" s="1"/>
  <c r="AO345" i="29"/>
  <c r="U345" i="29" s="1"/>
  <c r="AO381" i="29"/>
  <c r="V381" i="29" s="1"/>
  <c r="AO243" i="29"/>
  <c r="U243" i="29" s="1"/>
  <c r="AO164" i="29"/>
  <c r="V164" i="29" s="1"/>
  <c r="AO547" i="29"/>
  <c r="V547" i="29" s="1"/>
  <c r="AO291" i="29"/>
  <c r="V291" i="29" s="1"/>
  <c r="AO114" i="29"/>
  <c r="U114" i="29" s="1"/>
  <c r="AO299" i="29"/>
  <c r="U299" i="29" s="1"/>
  <c r="AO237" i="29"/>
  <c r="U237" i="29" s="1"/>
  <c r="AO588" i="29"/>
  <c r="V588" i="29" s="1"/>
  <c r="AO407" i="29"/>
  <c r="U407" i="29" s="1"/>
  <c r="AO252" i="29"/>
  <c r="V252" i="29" s="1"/>
  <c r="AO600" i="29"/>
  <c r="U600" i="29" s="1"/>
  <c r="AO465" i="29"/>
  <c r="V465" i="29" s="1"/>
  <c r="AO274" i="29"/>
  <c r="U274" i="29" s="1"/>
  <c r="AO122" i="29"/>
  <c r="V122" i="29" s="1"/>
  <c r="AO306" i="29"/>
  <c r="U306" i="29" s="1"/>
  <c r="AO273" i="29"/>
  <c r="U273" i="29" s="1"/>
  <c r="AO83" i="29"/>
  <c r="U83" i="29" s="1"/>
  <c r="AO70" i="29"/>
  <c r="V70" i="29" s="1"/>
  <c r="AO410" i="29"/>
  <c r="V410" i="29" s="1"/>
  <c r="AO147" i="29"/>
  <c r="V147" i="29" s="1"/>
  <c r="AO183" i="29"/>
  <c r="V183" i="29" s="1"/>
  <c r="AO377" i="29"/>
  <c r="U377" i="29" s="1"/>
  <c r="AO146" i="29"/>
  <c r="V146" i="29" s="1"/>
  <c r="AO351" i="29"/>
  <c r="V351" i="29" s="1"/>
  <c r="AO132" i="29"/>
  <c r="V132" i="29" s="1"/>
  <c r="AO343" i="29"/>
  <c r="V343" i="29" s="1"/>
  <c r="AO52" i="29"/>
  <c r="V52" i="29" s="1"/>
  <c r="AO424" i="29"/>
  <c r="U424" i="29" s="1"/>
  <c r="AO84" i="29"/>
  <c r="V84" i="29" s="1"/>
  <c r="AO526" i="29"/>
  <c r="V526" i="29" s="1"/>
  <c r="AO504" i="29"/>
  <c r="V504" i="29" s="1"/>
  <c r="AO434" i="29"/>
  <c r="V434" i="29" s="1"/>
  <c r="AO195" i="29"/>
  <c r="V195" i="29" s="1"/>
  <c r="AO297" i="29"/>
  <c r="V297" i="29" s="1"/>
  <c r="AO501" i="29"/>
  <c r="U501" i="29" s="1"/>
  <c r="AO167" i="29"/>
  <c r="U167" i="29" s="1"/>
  <c r="AO559" i="29"/>
  <c r="V559" i="29" s="1"/>
  <c r="AO423" i="29"/>
  <c r="U423" i="29" s="1"/>
  <c r="AO116" i="29"/>
  <c r="V116" i="29" s="1"/>
  <c r="AO548" i="29"/>
  <c r="U548" i="29" s="1"/>
  <c r="AO108" i="29"/>
  <c r="V108" i="29" s="1"/>
  <c r="AO166" i="29"/>
  <c r="V166" i="29" s="1"/>
  <c r="AO270" i="29"/>
  <c r="V270" i="29" s="1"/>
  <c r="AO422" i="29"/>
  <c r="V422" i="29" s="1"/>
  <c r="AO325" i="29"/>
  <c r="V325" i="29" s="1"/>
  <c r="AO265" i="29"/>
  <c r="V265" i="29" s="1"/>
  <c r="AO569" i="29"/>
  <c r="V569" i="29" s="1"/>
  <c r="AO202" i="29"/>
  <c r="V202" i="29" s="1"/>
  <c r="AO562" i="29"/>
  <c r="V562" i="29" s="1"/>
  <c r="AO592" i="29"/>
  <c r="U592" i="29" s="1"/>
  <c r="AO140" i="29"/>
  <c r="V140" i="29" s="1"/>
  <c r="AO346" i="29"/>
  <c r="U346" i="29" s="1"/>
  <c r="AO468" i="29"/>
  <c r="U468" i="29" s="1"/>
  <c r="AO95" i="29"/>
  <c r="U95" i="29" s="1"/>
  <c r="AO283" i="29"/>
  <c r="U283" i="29" s="1"/>
  <c r="AO27" i="29"/>
  <c r="U27" i="29" s="1"/>
  <c r="AO198" i="29"/>
  <c r="V198" i="29" s="1"/>
  <c r="AO427" i="29"/>
  <c r="U427" i="29" s="1"/>
  <c r="AO350" i="29"/>
  <c r="V350" i="29" s="1"/>
  <c r="AO321" i="29"/>
  <c r="U321" i="29" s="1"/>
  <c r="AO331" i="29"/>
  <c r="U331" i="29" s="1"/>
  <c r="AO421" i="29"/>
  <c r="V421" i="29" s="1"/>
  <c r="AO92" i="29"/>
  <c r="V92" i="29" s="1"/>
  <c r="AO517" i="29"/>
  <c r="U517" i="29" s="1"/>
  <c r="AO130" i="29"/>
  <c r="V130" i="29" s="1"/>
  <c r="AO315" i="29"/>
  <c r="V315" i="29" s="1"/>
  <c r="AO221" i="29"/>
  <c r="V221" i="29" s="1"/>
  <c r="AO324" i="29"/>
  <c r="V324" i="29" s="1"/>
  <c r="AO256" i="29"/>
  <c r="U256" i="29" s="1"/>
  <c r="AO38" i="29"/>
  <c r="V38" i="29" s="1"/>
  <c r="AO91" i="29"/>
  <c r="V91" i="29" s="1"/>
  <c r="BV33" i="24"/>
  <c r="BX33" i="24" s="1"/>
  <c r="BS24" i="24"/>
  <c r="BV24" i="24" s="1"/>
  <c r="BX24" i="24" s="1"/>
  <c r="AO414" i="29"/>
  <c r="U414" i="29" s="1"/>
  <c r="AO235" i="29"/>
  <c r="U235" i="29" s="1"/>
  <c r="AO138" i="29"/>
  <c r="U138" i="29" s="1"/>
  <c r="AO102" i="29"/>
  <c r="U102" i="29" s="1"/>
  <c r="AO177" i="29"/>
  <c r="V177" i="29" s="1"/>
  <c r="AO492" i="29"/>
  <c r="V492" i="29" s="1"/>
  <c r="AO453" i="29"/>
  <c r="V453" i="29" s="1"/>
  <c r="AO506" i="29"/>
  <c r="U506" i="29" s="1"/>
  <c r="AO567" i="29"/>
  <c r="U567" i="29" s="1"/>
  <c r="AO314" i="29"/>
  <c r="V314" i="29" s="1"/>
  <c r="AO462" i="29"/>
  <c r="U462" i="29" s="1"/>
  <c r="AO303" i="29"/>
  <c r="U303" i="29" s="1"/>
  <c r="AO188" i="29"/>
  <c r="U188" i="29" s="1"/>
  <c r="AO94" i="29"/>
  <c r="U94" i="29" s="1"/>
  <c r="AO467" i="29"/>
  <c r="U467" i="29" s="1"/>
  <c r="AO156" i="29"/>
  <c r="V156" i="29" s="1"/>
  <c r="AO439" i="29"/>
  <c r="V439" i="29" s="1"/>
  <c r="AO312" i="29"/>
  <c r="V312" i="29" s="1"/>
  <c r="AO15" i="29"/>
  <c r="V15" i="29" s="1"/>
  <c r="AO451" i="29"/>
  <c r="U451" i="29" s="1"/>
  <c r="AO68" i="29"/>
  <c r="U68" i="29" s="1"/>
  <c r="AO23" i="29"/>
  <c r="V23" i="29" s="1"/>
  <c r="AO20" i="29"/>
  <c r="U20" i="29" s="1"/>
  <c r="AO21" i="29"/>
  <c r="U21" i="29" s="1"/>
  <c r="AO546" i="29"/>
  <c r="U546" i="29" s="1"/>
  <c r="AO121" i="29"/>
  <c r="V121" i="29" s="1"/>
  <c r="AO527" i="29"/>
  <c r="V527" i="29" s="1"/>
  <c r="AO449" i="29"/>
  <c r="V449" i="29" s="1"/>
  <c r="AO199" i="29"/>
  <c r="V199" i="29" s="1"/>
  <c r="AO200" i="29"/>
  <c r="V200" i="29" s="1"/>
  <c r="BV58" i="24"/>
  <c r="BX58" i="24" s="1"/>
  <c r="AO204" i="29"/>
  <c r="V204" i="29" s="1"/>
  <c r="AO415" i="29"/>
  <c r="U415" i="29" s="1"/>
  <c r="AO180" i="29"/>
  <c r="V180" i="29" s="1"/>
  <c r="AO482" i="29"/>
  <c r="U482" i="29" s="1"/>
  <c r="AO278" i="29"/>
  <c r="V278" i="29" s="1"/>
  <c r="AO240" i="29"/>
  <c r="V240" i="29" s="1"/>
  <c r="AO160" i="29"/>
  <c r="U160" i="29" s="1"/>
  <c r="AO457" i="29"/>
  <c r="U457" i="29" s="1"/>
  <c r="AO429" i="29"/>
  <c r="V429" i="29" s="1"/>
  <c r="AO90" i="29"/>
  <c r="V90" i="29" s="1"/>
  <c r="AO534" i="29"/>
  <c r="V534" i="29" s="1"/>
  <c r="AO360" i="29"/>
  <c r="V360" i="29" s="1"/>
  <c r="AO277" i="29"/>
  <c r="V277" i="29" s="1"/>
  <c r="AO583" i="29"/>
  <c r="V583" i="29" s="1"/>
  <c r="AO172" i="29"/>
  <c r="V172" i="29" s="1"/>
  <c r="AO535" i="29"/>
  <c r="U535" i="29" s="1"/>
  <c r="AO153" i="29"/>
  <c r="V153" i="29" s="1"/>
  <c r="AO552" i="29"/>
  <c r="U552" i="29" s="1"/>
  <c r="AO75" i="29"/>
  <c r="V75" i="29" s="1"/>
  <c r="AO524" i="29"/>
  <c r="V524" i="29" s="1"/>
  <c r="AO157" i="29"/>
  <c r="V157" i="29" s="1"/>
  <c r="AO135" i="29"/>
  <c r="U135" i="29" s="1"/>
  <c r="AO489" i="29"/>
  <c r="V489" i="29" s="1"/>
  <c r="AO490" i="29"/>
  <c r="V490" i="29" s="1"/>
  <c r="AO611" i="29"/>
  <c r="V611" i="29" s="1"/>
  <c r="AO479" i="29"/>
  <c r="U479" i="29" s="1"/>
  <c r="AO143" i="29"/>
  <c r="V143" i="29" s="1"/>
  <c r="AO335" i="29"/>
  <c r="V335" i="29" s="1"/>
  <c r="AO385" i="29"/>
  <c r="U385" i="29" s="1"/>
  <c r="AO430" i="29"/>
  <c r="V430" i="29" s="1"/>
  <c r="AO356" i="29"/>
  <c r="V356" i="29" s="1"/>
  <c r="AO317" i="29"/>
  <c r="U317" i="29" s="1"/>
  <c r="AO408" i="29"/>
  <c r="U408" i="29" s="1"/>
  <c r="AO96" i="29"/>
  <c r="U96" i="29" s="1"/>
  <c r="AO474" i="29"/>
  <c r="V474" i="29" s="1"/>
  <c r="AO62" i="29"/>
  <c r="U62" i="29" s="1"/>
  <c r="AO542" i="29"/>
  <c r="V542" i="29" s="1"/>
  <c r="AO455" i="29"/>
  <c r="V455" i="29" s="1"/>
  <c r="AO191" i="29"/>
  <c r="U191" i="29" s="1"/>
  <c r="AO476" i="29"/>
  <c r="U476" i="29" s="1"/>
  <c r="AO481" i="29"/>
  <c r="U481" i="29" s="1"/>
  <c r="AO530" i="29"/>
  <c r="V530" i="29" s="1"/>
  <c r="AO13" i="29"/>
  <c r="V13" i="29" s="1"/>
  <c r="AO99" i="29"/>
  <c r="V99" i="29" s="1"/>
  <c r="AO182" i="29"/>
  <c r="U182" i="29" s="1"/>
  <c r="AO375" i="29"/>
  <c r="V375" i="29" s="1"/>
  <c r="AO575" i="29"/>
  <c r="U575" i="29" s="1"/>
  <c r="AO333" i="29"/>
  <c r="U333" i="29" s="1"/>
  <c r="AO65" i="29"/>
  <c r="U65" i="29" s="1"/>
  <c r="AO69" i="29"/>
  <c r="U69" i="29" s="1"/>
  <c r="AO574" i="29"/>
  <c r="V574" i="29" s="1"/>
  <c r="AO209" i="29"/>
  <c r="V209" i="29" s="1"/>
  <c r="AO525" i="29"/>
  <c r="V525" i="29" s="1"/>
  <c r="AO416" i="29"/>
  <c r="U416" i="29" s="1"/>
  <c r="AO119" i="29"/>
  <c r="V119" i="29" s="1"/>
  <c r="AO336" i="29"/>
  <c r="V336" i="29" s="1"/>
  <c r="AO398" i="29"/>
  <c r="V398" i="29" s="1"/>
  <c r="AO341" i="29"/>
  <c r="V341" i="29" s="1"/>
  <c r="AO463" i="29"/>
  <c r="V463" i="29" s="1"/>
  <c r="AO131" i="29"/>
  <c r="U131" i="29" s="1"/>
  <c r="AO227" i="29"/>
  <c r="U227" i="29" s="1"/>
  <c r="AO76" i="29"/>
  <c r="U76" i="29" s="1"/>
  <c r="AO318" i="29"/>
  <c r="V318" i="29" s="1"/>
  <c r="AO344" i="29"/>
  <c r="U344" i="29" s="1"/>
  <c r="AO56" i="29"/>
  <c r="V56" i="29" s="1"/>
  <c r="AO45" i="29"/>
  <c r="V45" i="29" s="1"/>
  <c r="AO519" i="29"/>
  <c r="U519" i="29" s="1"/>
  <c r="AO372" i="29"/>
  <c r="U372" i="29" s="1"/>
  <c r="AO300" i="29"/>
  <c r="U300" i="29" s="1"/>
  <c r="AO364" i="29"/>
  <c r="U364" i="29" s="1"/>
  <c r="AO16" i="29"/>
  <c r="U16" i="29" s="1"/>
  <c r="AO178" i="29"/>
  <c r="U178" i="29" s="1"/>
  <c r="AO518" i="29"/>
  <c r="V518" i="29" s="1"/>
  <c r="AO218" i="29"/>
  <c r="V218" i="29" s="1"/>
  <c r="AO129" i="29"/>
  <c r="U129" i="29" s="1"/>
  <c r="AO459" i="29"/>
  <c r="V459" i="29" s="1"/>
  <c r="AO281" i="29"/>
  <c r="U281" i="29" s="1"/>
  <c r="AO232" i="29"/>
  <c r="V232" i="29" s="1"/>
  <c r="AO450" i="29"/>
  <c r="V450" i="29" s="1"/>
  <c r="AO472" i="29"/>
  <c r="U472" i="29" s="1"/>
  <c r="AO513" i="29"/>
  <c r="V513" i="29" s="1"/>
  <c r="AO139" i="29"/>
  <c r="V139" i="29" s="1"/>
  <c r="AO383" i="29"/>
  <c r="V383" i="29" s="1"/>
  <c r="AO564" i="29"/>
  <c r="V564" i="29" s="1"/>
  <c r="AO396" i="29"/>
  <c r="U396" i="29" s="1"/>
  <c r="AO533" i="29"/>
  <c r="V533" i="29" s="1"/>
  <c r="AO403" i="29"/>
  <c r="U403" i="29" s="1"/>
  <c r="AO357" i="29"/>
  <c r="V357" i="29" s="1"/>
  <c r="AO292" i="29"/>
  <c r="U292" i="29" s="1"/>
  <c r="AO594" i="29"/>
  <c r="V594" i="29" s="1"/>
  <c r="BB237" i="25"/>
  <c r="BS237" i="25" s="1"/>
  <c r="BA237" i="25"/>
  <c r="BC237" i="25"/>
  <c r="BT237" i="25" s="1"/>
  <c r="AO169" i="29"/>
  <c r="U169" i="29" s="1"/>
  <c r="AO67" i="29"/>
  <c r="U67" i="29" s="1"/>
  <c r="AO435" i="29"/>
  <c r="U435" i="29" s="1"/>
  <c r="AO34" i="29"/>
  <c r="U34" i="29" s="1"/>
  <c r="AO554" i="29"/>
  <c r="U554" i="29" s="1"/>
  <c r="AO81" i="29"/>
  <c r="U81" i="29" s="1"/>
  <c r="AO549" i="29"/>
  <c r="U549" i="29" s="1"/>
  <c r="AO37" i="29"/>
  <c r="V37" i="29" s="1"/>
  <c r="AO51" i="29"/>
  <c r="U51" i="29" s="1"/>
  <c r="AO313" i="29"/>
  <c r="U313" i="29" s="1"/>
  <c r="AO264" i="29"/>
  <c r="V264" i="29" s="1"/>
  <c r="AO353" i="29"/>
  <c r="V353" i="29" s="1"/>
  <c r="AO294" i="29"/>
  <c r="V294" i="29" s="1"/>
  <c r="BS117" i="24"/>
  <c r="BX117" i="24" s="1"/>
  <c r="AJ212" i="25"/>
  <c r="AM212" i="25"/>
  <c r="AX212" i="25"/>
  <c r="AW212" i="25"/>
  <c r="AO187" i="29"/>
  <c r="V187" i="29" s="1"/>
  <c r="AO520" i="29"/>
  <c r="V520" i="29" s="1"/>
  <c r="AO101" i="29"/>
  <c r="U101" i="29" s="1"/>
  <c r="AO311" i="29"/>
  <c r="U311" i="29" s="1"/>
  <c r="AO93" i="29"/>
  <c r="U93" i="29" s="1"/>
  <c r="AO366" i="29"/>
  <c r="V366" i="29" s="1"/>
  <c r="AO282" i="29"/>
  <c r="U282" i="29" s="1"/>
  <c r="AO179" i="29"/>
  <c r="V179" i="29" s="1"/>
  <c r="AO87" i="29"/>
  <c r="U87" i="29" s="1"/>
  <c r="AO456" i="29"/>
  <c r="U456" i="29" s="1"/>
  <c r="BG224" i="24"/>
  <c r="BY224" i="24" s="1"/>
  <c r="CA224" i="24" s="1"/>
  <c r="AO523" i="29"/>
  <c r="V523" i="29" s="1"/>
  <c r="AO296" i="29"/>
  <c r="V296" i="29" s="1"/>
  <c r="AO269" i="29"/>
  <c r="U269" i="29" s="1"/>
  <c r="AO498" i="29"/>
  <c r="V498" i="29" s="1"/>
  <c r="AO607" i="29"/>
  <c r="U607" i="29" s="1"/>
  <c r="AO109" i="29"/>
  <c r="V109" i="29" s="1"/>
  <c r="AO142" i="29"/>
  <c r="V142" i="29" s="1"/>
  <c r="AO605" i="29"/>
  <c r="U605" i="29" s="1"/>
  <c r="AO420" i="29"/>
  <c r="U420" i="29" s="1"/>
  <c r="AO173" i="29"/>
  <c r="V173" i="29" s="1"/>
  <c r="AO565" i="29"/>
  <c r="V565" i="29" s="1"/>
  <c r="AO260" i="29"/>
  <c r="V260" i="29" s="1"/>
  <c r="AO158" i="29"/>
  <c r="V158" i="29" s="1"/>
  <c r="AO560" i="29"/>
  <c r="V560" i="29" s="1"/>
  <c r="AO115" i="29"/>
  <c r="V115" i="29" s="1"/>
  <c r="AO286" i="29"/>
  <c r="V286" i="29" s="1"/>
  <c r="AO211" i="29"/>
  <c r="U211" i="29" s="1"/>
  <c r="AO532" i="29"/>
  <c r="V532" i="29" s="1"/>
  <c r="AO405" i="29"/>
  <c r="U405" i="29" s="1"/>
  <c r="AO355" i="29"/>
  <c r="U355" i="29" s="1"/>
  <c r="AO444" i="29"/>
  <c r="V444" i="29" s="1"/>
  <c r="AO258" i="29"/>
  <c r="U258" i="29" s="1"/>
  <c r="AO469" i="29"/>
  <c r="U469" i="29" s="1"/>
  <c r="AO88" i="29"/>
  <c r="V88" i="29" s="1"/>
  <c r="AO36" i="29"/>
  <c r="U36" i="29" s="1"/>
  <c r="AO394" i="29"/>
  <c r="U394" i="29" s="1"/>
  <c r="AO263" i="29"/>
  <c r="U263" i="29" s="1"/>
  <c r="AO228" i="29"/>
  <c r="U228" i="29" s="1"/>
  <c r="AO215" i="29"/>
  <c r="U215" i="29" s="1"/>
  <c r="AO460" i="29"/>
  <c r="V460" i="29" s="1"/>
  <c r="AO201" i="29"/>
  <c r="V201" i="29" s="1"/>
  <c r="AO30" i="29"/>
  <c r="U30" i="29" s="1"/>
  <c r="AO55" i="29"/>
  <c r="V55" i="29" s="1"/>
  <c r="AO31" i="29"/>
  <c r="V31" i="29" s="1"/>
  <c r="AO42" i="29"/>
  <c r="U42" i="29" s="1"/>
  <c r="AO573" i="29"/>
  <c r="V573" i="29" s="1"/>
  <c r="AO307" i="29"/>
  <c r="U307" i="29" s="1"/>
  <c r="AO348" i="29"/>
  <c r="V348" i="29" s="1"/>
  <c r="AO175" i="29"/>
  <c r="U175" i="29" s="1"/>
  <c r="AO522" i="29"/>
  <c r="V522" i="29" s="1"/>
  <c r="AO213" i="29"/>
  <c r="V213" i="29" s="1"/>
  <c r="AO386" i="29"/>
  <c r="U386" i="29" s="1"/>
  <c r="AO26" i="29"/>
  <c r="V26" i="29" s="1"/>
  <c r="AO262" i="29"/>
  <c r="U262" i="29" s="1"/>
  <c r="AO47" i="29"/>
  <c r="U47" i="29" s="1"/>
  <c r="AO192" i="29"/>
  <c r="V192" i="29" s="1"/>
  <c r="AO305" i="29"/>
  <c r="V305" i="29" s="1"/>
  <c r="AO610" i="29"/>
  <c r="V610" i="29" s="1"/>
  <c r="AO288" i="29"/>
  <c r="U288" i="29" s="1"/>
  <c r="AO82" i="29"/>
  <c r="V82" i="29" s="1"/>
  <c r="AO595" i="29"/>
  <c r="V595" i="29" s="1"/>
  <c r="AO134" i="29"/>
  <c r="U134" i="29" s="1"/>
  <c r="AO280" i="29"/>
  <c r="V280" i="29" s="1"/>
  <c r="AO473" i="29"/>
  <c r="U473" i="29" s="1"/>
  <c r="AO241" i="29"/>
  <c r="U241" i="29" s="1"/>
  <c r="AO401" i="29"/>
  <c r="V401" i="29" s="1"/>
  <c r="AO496" i="29"/>
  <c r="U496" i="29" s="1"/>
  <c r="AO28" i="29"/>
  <c r="U28" i="29" s="1"/>
  <c r="AO601" i="29"/>
  <c r="U601" i="29" s="1"/>
  <c r="AO500" i="29"/>
  <c r="V500" i="29" s="1"/>
  <c r="AO77" i="29"/>
  <c r="U77" i="29" s="1"/>
  <c r="AO276" i="29"/>
  <c r="U276" i="29" s="1"/>
  <c r="AO411" i="29"/>
  <c r="U411" i="29" s="1"/>
  <c r="AO29" i="29"/>
  <c r="U29" i="29" s="1"/>
  <c r="AO128" i="29"/>
  <c r="V128" i="29" s="1"/>
  <c r="AO570" i="29"/>
  <c r="U570" i="29" s="1"/>
  <c r="AO579" i="29"/>
  <c r="U579" i="29" s="1"/>
  <c r="AO538" i="29"/>
  <c r="U538" i="29" s="1"/>
  <c r="AO484" i="29"/>
  <c r="U484" i="29" s="1"/>
  <c r="AO197" i="29"/>
  <c r="U197" i="29" s="1"/>
  <c r="AO572" i="29"/>
  <c r="U572" i="29" s="1"/>
  <c r="AO234" i="29"/>
  <c r="V234" i="29" s="1"/>
  <c r="AO431" i="29"/>
  <c r="V431" i="29" s="1"/>
  <c r="AO441" i="29"/>
  <c r="V441" i="29" s="1"/>
  <c r="AO150" i="29"/>
  <c r="V150" i="29" s="1"/>
  <c r="AO369" i="29"/>
  <c r="V369" i="29" s="1"/>
  <c r="AO528" i="29"/>
  <c r="V528" i="29" s="1"/>
  <c r="AO302" i="29"/>
  <c r="U302" i="29" s="1"/>
  <c r="AO245" i="29"/>
  <c r="V245" i="29" s="1"/>
  <c r="AO497" i="29"/>
  <c r="U497" i="29" s="1"/>
  <c r="AO399" i="29"/>
  <c r="U399" i="29" s="1"/>
  <c r="AO162" i="29"/>
  <c r="U162" i="29" s="1"/>
  <c r="AO226" i="29"/>
  <c r="V226" i="29" s="1"/>
  <c r="AO247" i="29"/>
  <c r="U247" i="29" s="1"/>
  <c r="AO436" i="29"/>
  <c r="U436" i="29" s="1"/>
  <c r="AO33" i="29"/>
  <c r="V33" i="29" s="1"/>
  <c r="AO382" i="29"/>
  <c r="V382" i="29" s="1"/>
  <c r="AO170" i="29"/>
  <c r="V170" i="29" s="1"/>
  <c r="AO545" i="29"/>
  <c r="U545" i="29" s="1"/>
  <c r="AO561" i="29"/>
  <c r="V561" i="29" s="1"/>
  <c r="AO72" i="29"/>
  <c r="V72" i="29" s="1"/>
  <c r="AO249" i="29"/>
  <c r="U249" i="29" s="1"/>
  <c r="AO531" i="29"/>
  <c r="V531" i="29" s="1"/>
  <c r="AO581" i="29"/>
  <c r="U581" i="29" s="1"/>
  <c r="AO589" i="29"/>
  <c r="U589" i="29" s="1"/>
  <c r="AO184" i="29"/>
  <c r="U184" i="29" s="1"/>
  <c r="AO487" i="29"/>
  <c r="U487" i="29" s="1"/>
  <c r="AO196" i="29"/>
  <c r="U196" i="29" s="1"/>
  <c r="AO458" i="29"/>
  <c r="U458" i="29" s="1"/>
  <c r="AO432" i="29"/>
  <c r="V432" i="29" s="1"/>
  <c r="AO426" i="29"/>
  <c r="V426" i="29" s="1"/>
  <c r="AO406" i="29"/>
  <c r="V406" i="29" s="1"/>
  <c r="AO80" i="29"/>
  <c r="U80" i="29" s="1"/>
  <c r="AO224" i="29"/>
  <c r="U224" i="29" s="1"/>
  <c r="AO495" i="29"/>
  <c r="V495" i="29" s="1"/>
  <c r="AO126" i="29"/>
  <c r="U126" i="29" s="1"/>
  <c r="AO290" i="29"/>
  <c r="V290" i="29" s="1"/>
  <c r="AO41" i="29"/>
  <c r="V41" i="29" s="1"/>
  <c r="AO392" i="29"/>
  <c r="U392" i="29" s="1"/>
  <c r="AO329" i="29"/>
  <c r="U329" i="29" s="1"/>
  <c r="AO477" i="29"/>
  <c r="U477" i="29" s="1"/>
  <c r="AO133" i="29"/>
  <c r="V133" i="29" s="1"/>
  <c r="AO491" i="29"/>
  <c r="U491" i="29" s="1"/>
  <c r="AO568" i="29"/>
  <c r="V568" i="29" s="1"/>
  <c r="AO176" i="29"/>
  <c r="U176" i="29" s="1"/>
  <c r="AO310" i="29"/>
  <c r="V310" i="29" s="1"/>
  <c r="AO419" i="29"/>
  <c r="U419" i="29" s="1"/>
  <c r="AO539" i="29"/>
  <c r="U539" i="29" s="1"/>
  <c r="AO14" i="29"/>
  <c r="U14" i="29" s="1"/>
  <c r="AO171" i="29"/>
  <c r="U171" i="29" s="1"/>
  <c r="AO287" i="29"/>
  <c r="V287" i="29" s="1"/>
  <c r="AO425" i="29"/>
  <c r="U425" i="29" s="1"/>
  <c r="AO255" i="29"/>
  <c r="V255" i="29" s="1"/>
  <c r="AO251" i="29"/>
  <c r="V251" i="29" s="1"/>
  <c r="AO145" i="29"/>
  <c r="V145" i="29" s="1"/>
  <c r="AO149" i="29"/>
  <c r="V149" i="29" s="1"/>
  <c r="AO295" i="29"/>
  <c r="U295" i="29" s="1"/>
  <c r="BB77" i="25"/>
  <c r="BS77" i="25" s="1"/>
  <c r="BA77" i="25"/>
  <c r="BC77" i="25"/>
  <c r="BT77" i="25" s="1"/>
  <c r="BS25" i="24"/>
  <c r="BV25" i="24" s="1"/>
  <c r="BX25" i="24" s="1"/>
  <c r="BG25" i="24"/>
  <c r="BM25" i="24" s="1"/>
  <c r="BG133" i="24"/>
  <c r="BS133" i="24"/>
  <c r="BX133" i="24" s="1"/>
  <c r="BC175" i="25"/>
  <c r="BT175" i="25" s="1"/>
  <c r="BA175" i="25"/>
  <c r="BB175" i="25"/>
  <c r="BS175" i="25" s="1"/>
  <c r="BA64" i="25"/>
  <c r="BB64" i="25"/>
  <c r="BS64" i="25" s="1"/>
  <c r="BC64" i="25"/>
  <c r="BT64" i="25" s="1"/>
  <c r="BB171" i="25"/>
  <c r="BS171" i="25" s="1"/>
  <c r="BA171" i="25"/>
  <c r="BC171" i="25"/>
  <c r="BT171" i="25" s="1"/>
  <c r="BR240" i="25"/>
  <c r="BX240" i="25" s="1"/>
  <c r="BE240" i="25"/>
  <c r="BG189" i="24"/>
  <c r="BS189" i="24"/>
  <c r="BX189" i="24" s="1"/>
  <c r="BG93" i="24"/>
  <c r="BM93" i="24" s="1"/>
  <c r="BS93" i="24"/>
  <c r="BV93" i="24" s="1"/>
  <c r="BX93" i="24" s="1"/>
  <c r="BC73" i="25"/>
  <c r="BT73" i="25" s="1"/>
  <c r="BA73" i="25"/>
  <c r="BB73" i="25"/>
  <c r="BS73" i="25" s="1"/>
  <c r="BS268" i="24"/>
  <c r="BX268" i="24" s="1"/>
  <c r="BG268" i="24"/>
  <c r="BR21" i="25"/>
  <c r="BV21" i="25" s="1"/>
  <c r="BX21" i="25" s="1"/>
  <c r="BE21" i="25"/>
  <c r="BK21" i="25" s="1"/>
  <c r="BN44" i="24"/>
  <c r="BY44" i="24"/>
  <c r="CA44" i="24" s="1"/>
  <c r="CB44" i="24" s="1"/>
  <c r="BB8" i="25"/>
  <c r="BS8" i="25" s="1"/>
  <c r="BA8" i="25"/>
  <c r="BC8" i="25"/>
  <c r="BT8" i="25" s="1"/>
  <c r="BG42" i="24"/>
  <c r="BM42" i="24" s="1"/>
  <c r="BS42" i="24"/>
  <c r="BV42" i="24" s="1"/>
  <c r="BX42" i="24" s="1"/>
  <c r="BY191" i="24"/>
  <c r="CA191" i="24" s="1"/>
  <c r="BM191" i="24"/>
  <c r="BN191" i="24" s="1"/>
  <c r="BA234" i="25"/>
  <c r="BC234" i="25"/>
  <c r="BT234" i="25" s="1"/>
  <c r="BB234" i="25"/>
  <c r="BS234" i="25" s="1"/>
  <c r="BB84" i="25"/>
  <c r="BS84" i="25" s="1"/>
  <c r="BC84" i="25"/>
  <c r="BT84" i="25" s="1"/>
  <c r="BA84" i="25"/>
  <c r="BS43" i="24"/>
  <c r="BV43" i="24" s="1"/>
  <c r="BX43" i="24" s="1"/>
  <c r="BG43" i="24"/>
  <c r="BM43" i="24" s="1"/>
  <c r="BC116" i="25"/>
  <c r="BT116" i="25" s="1"/>
  <c r="BB116" i="25"/>
  <c r="BS116" i="25" s="1"/>
  <c r="BA116" i="25"/>
  <c r="BG116" i="24"/>
  <c r="BS116" i="24"/>
  <c r="BX116" i="24" s="1"/>
  <c r="BE34" i="25"/>
  <c r="BK34" i="25" s="1"/>
  <c r="BR34" i="25"/>
  <c r="BV34" i="25" s="1"/>
  <c r="BX34" i="25" s="1"/>
  <c r="BG196" i="24"/>
  <c r="BS196" i="24"/>
  <c r="BX196" i="24" s="1"/>
  <c r="BG173" i="24"/>
  <c r="BS173" i="24"/>
  <c r="BX173" i="24" s="1"/>
  <c r="BB146" i="25"/>
  <c r="BS146" i="25" s="1"/>
  <c r="BC146" i="25"/>
  <c r="BT146" i="25" s="1"/>
  <c r="BA146" i="25"/>
  <c r="BC63" i="25"/>
  <c r="BT63" i="25" s="1"/>
  <c r="BB63" i="25"/>
  <c r="BS63" i="25" s="1"/>
  <c r="BA63" i="25"/>
  <c r="BA52" i="25"/>
  <c r="BB52" i="25"/>
  <c r="BS52" i="25" s="1"/>
  <c r="BC52" i="25"/>
  <c r="BT52" i="25" s="1"/>
  <c r="BB290" i="25"/>
  <c r="BS290" i="25" s="1"/>
  <c r="BC290" i="25"/>
  <c r="BT290" i="25" s="1"/>
  <c r="BA290" i="25"/>
  <c r="BG125" i="24"/>
  <c r="BS125" i="24"/>
  <c r="BX125" i="24" s="1"/>
  <c r="BS221" i="24"/>
  <c r="BX221" i="24" s="1"/>
  <c r="BG221" i="24"/>
  <c r="BB249" i="25"/>
  <c r="BS249" i="25" s="1"/>
  <c r="BA249" i="25"/>
  <c r="BC249" i="25"/>
  <c r="BT249" i="25" s="1"/>
  <c r="BE114" i="25"/>
  <c r="BR114" i="25"/>
  <c r="BX114" i="25" s="1"/>
  <c r="BB300" i="25"/>
  <c r="BS300" i="25" s="1"/>
  <c r="BA300" i="25"/>
  <c r="BC300" i="25"/>
  <c r="BT300" i="25" s="1"/>
  <c r="BG186" i="24"/>
  <c r="BS186" i="24"/>
  <c r="BX186" i="24" s="1"/>
  <c r="BA153" i="25"/>
  <c r="BB153" i="25"/>
  <c r="BS153" i="25" s="1"/>
  <c r="BC153" i="25"/>
  <c r="BT153" i="25" s="1"/>
  <c r="BN21" i="24"/>
  <c r="BY21" i="24"/>
  <c r="CA21" i="24" s="1"/>
  <c r="BG267" i="24"/>
  <c r="BS267" i="24"/>
  <c r="BX267" i="24" s="1"/>
  <c r="BG281" i="24"/>
  <c r="BS281" i="24"/>
  <c r="BX281" i="24" s="1"/>
  <c r="BS94" i="24"/>
  <c r="BV94" i="24" s="1"/>
  <c r="BX94" i="24" s="1"/>
  <c r="BG94" i="24"/>
  <c r="BM94" i="24" s="1"/>
  <c r="BS13" i="24"/>
  <c r="BV13" i="24" s="1"/>
  <c r="BX13" i="24" s="1"/>
  <c r="BG13" i="24"/>
  <c r="BM13" i="24" s="1"/>
  <c r="BA281" i="25"/>
  <c r="BC281" i="25"/>
  <c r="BT281" i="25" s="1"/>
  <c r="BB281" i="25"/>
  <c r="BS281" i="25" s="1"/>
  <c r="BG220" i="24"/>
  <c r="BS220" i="24"/>
  <c r="BX220" i="24" s="1"/>
  <c r="BE275" i="25"/>
  <c r="BR275" i="25"/>
  <c r="BX275" i="25" s="1"/>
  <c r="BA160" i="25"/>
  <c r="BB160" i="25"/>
  <c r="BS160" i="25" s="1"/>
  <c r="BC160" i="25"/>
  <c r="BT160" i="25" s="1"/>
  <c r="U452" i="29"/>
  <c r="V452" i="29"/>
  <c r="U97" i="29"/>
  <c r="V97" i="29"/>
  <c r="V285" i="29"/>
  <c r="U285" i="29"/>
  <c r="V599" i="29"/>
  <c r="U599" i="29"/>
  <c r="V193" i="29"/>
  <c r="U193" i="29"/>
  <c r="U58" i="29"/>
  <c r="V58" i="29"/>
  <c r="AO585" i="29"/>
  <c r="BG222" i="24"/>
  <c r="BS222" i="24"/>
  <c r="BX222" i="24" s="1"/>
  <c r="BS70" i="24"/>
  <c r="BV70" i="24" s="1"/>
  <c r="BX70" i="24" s="1"/>
  <c r="BG70" i="24"/>
  <c r="BM70" i="24" s="1"/>
  <c r="BE282" i="25"/>
  <c r="BR282" i="25"/>
  <c r="BX282" i="25" s="1"/>
  <c r="BB302" i="25"/>
  <c r="BS302" i="25" s="1"/>
  <c r="BC302" i="25"/>
  <c r="BT302" i="25" s="1"/>
  <c r="BA302" i="25"/>
  <c r="BB176" i="25"/>
  <c r="BS176" i="25" s="1"/>
  <c r="BC176" i="25"/>
  <c r="BT176" i="25" s="1"/>
  <c r="BA176" i="25"/>
  <c r="BG158" i="24"/>
  <c r="BS158" i="24"/>
  <c r="BX158" i="24" s="1"/>
  <c r="BR201" i="25"/>
  <c r="BX201" i="25" s="1"/>
  <c r="BE201" i="25"/>
  <c r="BG90" i="24"/>
  <c r="BM90" i="24" s="1"/>
  <c r="BS90" i="24"/>
  <c r="BV90" i="24" s="1"/>
  <c r="BX90" i="24" s="1"/>
  <c r="BE95" i="25"/>
  <c r="BK95" i="25" s="1"/>
  <c r="BR95" i="25"/>
  <c r="BV95" i="25" s="1"/>
  <c r="BX95" i="25" s="1"/>
  <c r="BA41" i="25"/>
  <c r="BB41" i="25"/>
  <c r="BS41" i="25" s="1"/>
  <c r="BC41" i="25"/>
  <c r="BT41" i="25" s="1"/>
  <c r="BA17" i="25"/>
  <c r="BB17" i="25"/>
  <c r="BS17" i="25" s="1"/>
  <c r="BC17" i="25"/>
  <c r="BT17" i="25" s="1"/>
  <c r="BS56" i="24"/>
  <c r="BV56" i="24" s="1"/>
  <c r="BX56" i="24" s="1"/>
  <c r="BG56" i="24"/>
  <c r="BM56" i="24" s="1"/>
  <c r="BS91" i="24"/>
  <c r="BV91" i="24" s="1"/>
  <c r="BX91" i="24" s="1"/>
  <c r="BG91" i="24"/>
  <c r="BM91" i="24" s="1"/>
  <c r="BE92" i="25"/>
  <c r="BK92" i="25" s="1"/>
  <c r="BR92" i="25"/>
  <c r="BV92" i="25" s="1"/>
  <c r="BX92" i="25" s="1"/>
  <c r="BN24" i="24"/>
  <c r="BY190" i="24"/>
  <c r="CA190" i="24" s="1"/>
  <c r="CB190" i="24" s="1"/>
  <c r="BM190" i="24"/>
  <c r="BN190" i="24" s="1"/>
  <c r="BS40" i="24"/>
  <c r="BV40" i="24" s="1"/>
  <c r="BX40" i="24" s="1"/>
  <c r="BG40" i="24"/>
  <c r="BM40" i="24" s="1"/>
  <c r="BG140" i="24"/>
  <c r="BS140" i="24"/>
  <c r="BX140" i="24" s="1"/>
  <c r="BC286" i="25"/>
  <c r="BT286" i="25" s="1"/>
  <c r="BB286" i="25"/>
  <c r="BS286" i="25" s="1"/>
  <c r="BA286" i="25"/>
  <c r="BA60" i="25"/>
  <c r="BC60" i="25"/>
  <c r="BT60" i="25" s="1"/>
  <c r="BB60" i="25"/>
  <c r="BS60" i="25" s="1"/>
  <c r="BG310" i="24"/>
  <c r="BS310" i="24"/>
  <c r="BX310" i="24" s="1"/>
  <c r="BA101" i="25"/>
  <c r="BC101" i="25"/>
  <c r="BT101" i="25" s="1"/>
  <c r="BB101" i="25"/>
  <c r="BS101" i="25" s="1"/>
  <c r="BB26" i="25"/>
  <c r="BS26" i="25" s="1"/>
  <c r="BC26" i="25"/>
  <c r="BT26" i="25" s="1"/>
  <c r="BA26" i="25"/>
  <c r="BE296" i="25"/>
  <c r="BR296" i="25"/>
  <c r="BX296" i="25" s="1"/>
  <c r="BN34" i="24"/>
  <c r="BA51" i="25"/>
  <c r="BC51" i="25"/>
  <c r="BT51" i="25" s="1"/>
  <c r="BB51" i="25"/>
  <c r="BS51" i="25" s="1"/>
  <c r="BG113" i="24"/>
  <c r="BS113" i="24"/>
  <c r="BX113" i="24" s="1"/>
  <c r="BA150" i="25"/>
  <c r="BB150" i="25"/>
  <c r="BS150" i="25" s="1"/>
  <c r="BC150" i="25"/>
  <c r="BT150" i="25" s="1"/>
  <c r="BG181" i="24"/>
  <c r="BS181" i="24"/>
  <c r="BX181" i="24" s="1"/>
  <c r="BS87" i="24"/>
  <c r="BV87" i="24" s="1"/>
  <c r="BX87" i="24" s="1"/>
  <c r="BG87" i="24"/>
  <c r="BM87" i="24" s="1"/>
  <c r="BG118" i="24"/>
  <c r="BS118" i="24"/>
  <c r="BX118" i="24" s="1"/>
  <c r="BE247" i="25"/>
  <c r="BR247" i="25"/>
  <c r="BX247" i="25" s="1"/>
  <c r="BG168" i="24"/>
  <c r="BS168" i="24"/>
  <c r="BX168" i="24" s="1"/>
  <c r="BB12" i="25"/>
  <c r="BS12" i="25" s="1"/>
  <c r="BC12" i="25"/>
  <c r="BT12" i="25" s="1"/>
  <c r="BA12" i="25"/>
  <c r="BG47" i="24"/>
  <c r="BM47" i="24" s="1"/>
  <c r="BS47" i="24"/>
  <c r="BV47" i="24" s="1"/>
  <c r="BX47" i="24" s="1"/>
  <c r="BA46" i="25"/>
  <c r="BB46" i="25"/>
  <c r="BS46" i="25" s="1"/>
  <c r="BC46" i="25"/>
  <c r="BT46" i="25" s="1"/>
  <c r="BB75" i="25"/>
  <c r="BS75" i="25" s="1"/>
  <c r="BC75" i="25"/>
  <c r="BT75" i="25" s="1"/>
  <c r="BA75" i="25"/>
  <c r="BG243" i="24"/>
  <c r="BS243" i="24"/>
  <c r="BX243" i="24" s="1"/>
  <c r="BG249" i="24"/>
  <c r="BS249" i="24"/>
  <c r="BX249" i="24" s="1"/>
  <c r="BA7" i="25"/>
  <c r="BB7" i="25"/>
  <c r="BS7" i="25" s="1"/>
  <c r="BC7" i="25"/>
  <c r="BT7" i="25" s="1"/>
  <c r="BC112" i="25"/>
  <c r="BT112" i="25" s="1"/>
  <c r="BB112" i="25"/>
  <c r="BS112" i="25" s="1"/>
  <c r="BA112" i="25"/>
  <c r="BC250" i="25"/>
  <c r="BT250" i="25" s="1"/>
  <c r="BA250" i="25"/>
  <c r="BB250" i="25"/>
  <c r="BS250" i="25" s="1"/>
  <c r="BG126" i="24"/>
  <c r="BS126" i="24"/>
  <c r="BX126" i="24" s="1"/>
  <c r="BG275" i="24"/>
  <c r="BS275" i="24"/>
  <c r="BX275" i="24" s="1"/>
  <c r="BG81" i="24"/>
  <c r="BM81" i="24" s="1"/>
  <c r="BS81" i="24"/>
  <c r="BV81" i="24" s="1"/>
  <c r="BX81" i="24" s="1"/>
  <c r="BG200" i="24"/>
  <c r="BS200" i="24"/>
  <c r="BX200" i="24" s="1"/>
  <c r="BS180" i="24"/>
  <c r="BX180" i="24" s="1"/>
  <c r="BG180" i="24"/>
  <c r="BC294" i="25"/>
  <c r="BT294" i="25" s="1"/>
  <c r="BB294" i="25"/>
  <c r="BS294" i="25" s="1"/>
  <c r="BA294" i="25"/>
  <c r="BE186" i="25"/>
  <c r="BR186" i="25"/>
  <c r="BX186" i="25" s="1"/>
  <c r="BE131" i="25"/>
  <c r="BR131" i="25"/>
  <c r="BX131" i="25" s="1"/>
  <c r="BG246" i="24"/>
  <c r="BS246" i="24"/>
  <c r="BX246" i="24" s="1"/>
  <c r="BS66" i="24"/>
  <c r="BV66" i="24" s="1"/>
  <c r="BX66" i="24" s="1"/>
  <c r="BG66" i="24"/>
  <c r="BM66" i="24" s="1"/>
  <c r="BG293" i="24"/>
  <c r="BS293" i="24"/>
  <c r="BX293" i="24" s="1"/>
  <c r="BG15" i="24"/>
  <c r="BM15" i="24" s="1"/>
  <c r="BS15" i="24"/>
  <c r="BV15" i="24" s="1"/>
  <c r="BX15" i="24" s="1"/>
  <c r="BG230" i="24"/>
  <c r="BS230" i="24"/>
  <c r="BX230" i="24" s="1"/>
  <c r="BB168" i="25"/>
  <c r="BS168" i="25" s="1"/>
  <c r="BC168" i="25"/>
  <c r="BT168" i="25" s="1"/>
  <c r="BA168" i="25"/>
  <c r="BE174" i="25"/>
  <c r="BR174" i="25"/>
  <c r="BX174" i="25" s="1"/>
  <c r="BE314" i="25"/>
  <c r="BR314" i="25"/>
  <c r="BX314" i="25" s="1"/>
  <c r="BB184" i="25"/>
  <c r="BS184" i="25" s="1"/>
  <c r="BC184" i="25"/>
  <c r="BT184" i="25" s="1"/>
  <c r="BA184" i="25"/>
  <c r="BY294" i="24"/>
  <c r="CA294" i="24" s="1"/>
  <c r="CB294" i="24" s="1"/>
  <c r="BM294" i="24"/>
  <c r="BN294" i="24" s="1"/>
  <c r="BR82" i="25"/>
  <c r="BV82" i="25" s="1"/>
  <c r="BX82" i="25" s="1"/>
  <c r="BE82" i="25"/>
  <c r="BK82" i="25" s="1"/>
  <c r="BG309" i="24"/>
  <c r="BS309" i="24"/>
  <c r="BX309" i="24" s="1"/>
  <c r="BG35" i="24"/>
  <c r="BM35" i="24" s="1"/>
  <c r="BS35" i="24"/>
  <c r="BV35" i="24" s="1"/>
  <c r="BX35" i="24" s="1"/>
  <c r="BC202" i="25"/>
  <c r="BT202" i="25" s="1"/>
  <c r="BB202" i="25"/>
  <c r="BS202" i="25" s="1"/>
  <c r="BA202" i="25"/>
  <c r="BG174" i="24"/>
  <c r="BS174" i="24"/>
  <c r="BX174" i="24" s="1"/>
  <c r="BC142" i="25"/>
  <c r="BT142" i="25" s="1"/>
  <c r="BB142" i="25"/>
  <c r="BS142" i="25" s="1"/>
  <c r="BA142" i="25"/>
  <c r="BC298" i="25"/>
  <c r="BT298" i="25" s="1"/>
  <c r="BB298" i="25"/>
  <c r="BS298" i="25" s="1"/>
  <c r="BA298" i="25"/>
  <c r="BS23" i="24"/>
  <c r="BV23" i="24" s="1"/>
  <c r="BX23" i="24" s="1"/>
  <c r="BG23" i="24"/>
  <c r="BM23" i="24" s="1"/>
  <c r="BA22" i="25"/>
  <c r="BC22" i="25"/>
  <c r="BT22" i="25" s="1"/>
  <c r="BB22" i="25"/>
  <c r="BS22" i="25" s="1"/>
  <c r="BG74" i="24"/>
  <c r="BM74" i="24" s="1"/>
  <c r="BS74" i="24"/>
  <c r="BV74" i="24" s="1"/>
  <c r="BX74" i="24" s="1"/>
  <c r="BB253" i="25"/>
  <c r="BS253" i="25" s="1"/>
  <c r="BC253" i="25"/>
  <c r="BT253" i="25" s="1"/>
  <c r="BA253" i="25"/>
  <c r="BA141" i="25"/>
  <c r="BC141" i="25"/>
  <c r="BT141" i="25" s="1"/>
  <c r="BB141" i="25"/>
  <c r="BS141" i="25" s="1"/>
  <c r="BG127" i="24"/>
  <c r="BS127" i="24"/>
  <c r="BX127" i="24" s="1"/>
  <c r="BB162" i="25"/>
  <c r="BS162" i="25" s="1"/>
  <c r="BC162" i="25"/>
  <c r="BT162" i="25" s="1"/>
  <c r="BA162" i="25"/>
  <c r="BE229" i="25"/>
  <c r="BR229" i="25"/>
  <c r="BX229" i="25" s="1"/>
  <c r="BG312" i="24"/>
  <c r="BS312" i="24"/>
  <c r="BX312" i="24" s="1"/>
  <c r="BS68" i="24"/>
  <c r="BV68" i="24" s="1"/>
  <c r="BX68" i="24" s="1"/>
  <c r="BG68" i="24"/>
  <c r="BM68" i="24" s="1"/>
  <c r="BM282" i="24"/>
  <c r="BN282" i="24" s="1"/>
  <c r="BS36" i="24"/>
  <c r="BV36" i="24" s="1"/>
  <c r="BX36" i="24" s="1"/>
  <c r="BG36" i="24"/>
  <c r="BM36" i="24" s="1"/>
  <c r="BA285" i="25"/>
  <c r="BB285" i="25"/>
  <c r="BS285" i="25" s="1"/>
  <c r="BC285" i="25"/>
  <c r="BT285" i="25" s="1"/>
  <c r="BG262" i="24"/>
  <c r="BS262" i="24"/>
  <c r="BX262" i="24" s="1"/>
  <c r="BA103" i="25"/>
  <c r="BC103" i="25"/>
  <c r="BT103" i="25" s="1"/>
  <c r="BB103" i="25"/>
  <c r="BS103" i="25" s="1"/>
  <c r="BA164" i="25"/>
  <c r="BC164" i="25"/>
  <c r="BT164" i="25" s="1"/>
  <c r="BB164" i="25"/>
  <c r="BS164" i="25" s="1"/>
  <c r="BG297" i="24"/>
  <c r="BS297" i="24"/>
  <c r="BX297" i="24" s="1"/>
  <c r="BS96" i="24"/>
  <c r="BV96" i="24" s="1"/>
  <c r="BX96" i="24" s="1"/>
  <c r="BG96" i="24"/>
  <c r="BM96" i="24" s="1"/>
  <c r="BS60" i="24"/>
  <c r="BV60" i="24" s="1"/>
  <c r="BX60" i="24" s="1"/>
  <c r="BG60" i="24"/>
  <c r="BM60" i="24" s="1"/>
  <c r="U110" i="29"/>
  <c r="V110" i="29"/>
  <c r="U231" i="29"/>
  <c r="V231" i="29"/>
  <c r="V464" i="29"/>
  <c r="U464" i="29"/>
  <c r="U155" i="29"/>
  <c r="V155" i="29"/>
  <c r="BE258" i="25"/>
  <c r="BR258" i="25"/>
  <c r="BX258" i="25" s="1"/>
  <c r="BA50" i="25"/>
  <c r="BB50" i="25"/>
  <c r="BS50" i="25" s="1"/>
  <c r="BC50" i="25"/>
  <c r="BT50" i="25" s="1"/>
  <c r="BR28" i="25"/>
  <c r="BV28" i="25" s="1"/>
  <c r="BX28" i="25" s="1"/>
  <c r="BE28" i="25"/>
  <c r="BK28" i="25" s="1"/>
  <c r="BA216" i="25"/>
  <c r="BB216" i="25"/>
  <c r="BS216" i="25" s="1"/>
  <c r="BC216" i="25"/>
  <c r="BT216" i="25" s="1"/>
  <c r="BG192" i="24"/>
  <c r="BS192" i="24"/>
  <c r="BX192" i="24" s="1"/>
  <c r="BE32" i="25"/>
  <c r="BK32" i="25" s="1"/>
  <c r="BR32" i="25"/>
  <c r="BV32" i="25" s="1"/>
  <c r="BX32" i="25" s="1"/>
  <c r="BA193" i="25"/>
  <c r="BB193" i="25"/>
  <c r="BS193" i="25" s="1"/>
  <c r="BC193" i="25"/>
  <c r="BT193" i="25" s="1"/>
  <c r="BG218" i="24"/>
  <c r="BS218" i="24"/>
  <c r="BX218" i="24" s="1"/>
  <c r="BM117" i="24"/>
  <c r="BN117" i="24" s="1"/>
  <c r="BA152" i="25"/>
  <c r="BB152" i="25"/>
  <c r="BS152" i="25" s="1"/>
  <c r="BC152" i="25"/>
  <c r="BT152" i="25" s="1"/>
  <c r="BS32" i="24"/>
  <c r="BV32" i="24" s="1"/>
  <c r="BX32" i="24" s="1"/>
  <c r="BG32" i="24"/>
  <c r="BM32" i="24" s="1"/>
  <c r="BB197" i="25"/>
  <c r="BS197" i="25" s="1"/>
  <c r="BC197" i="25"/>
  <c r="BT197" i="25" s="1"/>
  <c r="BA197" i="25"/>
  <c r="BG271" i="24"/>
  <c r="BS271" i="24"/>
  <c r="BX271" i="24" s="1"/>
  <c r="BC288" i="25"/>
  <c r="BT288" i="25" s="1"/>
  <c r="BB288" i="25"/>
  <c r="BS288" i="25" s="1"/>
  <c r="BA288" i="25"/>
  <c r="BS62" i="24"/>
  <c r="BV62" i="24" s="1"/>
  <c r="BX62" i="24" s="1"/>
  <c r="BG62" i="24"/>
  <c r="BM62" i="24" s="1"/>
  <c r="BC308" i="25"/>
  <c r="BT308" i="25" s="1"/>
  <c r="BB308" i="25"/>
  <c r="BS308" i="25" s="1"/>
  <c r="BA308" i="25"/>
  <c r="BS103" i="24"/>
  <c r="BV103" i="24" s="1"/>
  <c r="BX103" i="24" s="1"/>
  <c r="BG103" i="24"/>
  <c r="BM103" i="24" s="1"/>
  <c r="BS73" i="24"/>
  <c r="BV73" i="24" s="1"/>
  <c r="BX73" i="24" s="1"/>
  <c r="BG73" i="24"/>
  <c r="BM73" i="24" s="1"/>
  <c r="BY143" i="25"/>
  <c r="CA143" i="25" s="1"/>
  <c r="CB143" i="25" s="1"/>
  <c r="BL143" i="25"/>
  <c r="BK143" i="25"/>
  <c r="BG285" i="24"/>
  <c r="BS285" i="24"/>
  <c r="BX285" i="24" s="1"/>
  <c r="BE177" i="25"/>
  <c r="BR177" i="25"/>
  <c r="BX177" i="25" s="1"/>
  <c r="BG171" i="24"/>
  <c r="BS171" i="24"/>
  <c r="BX171" i="24" s="1"/>
  <c r="BB220" i="25"/>
  <c r="BS220" i="25" s="1"/>
  <c r="BC220" i="25"/>
  <c r="BT220" i="25" s="1"/>
  <c r="BA220" i="25"/>
  <c r="BA163" i="25"/>
  <c r="BC163" i="25"/>
  <c r="BT163" i="25" s="1"/>
  <c r="BB163" i="25"/>
  <c r="BS163" i="25" s="1"/>
  <c r="B138" i="2"/>
  <c r="B141" i="2"/>
  <c r="L36" i="1" s="1"/>
  <c r="BG176" i="24"/>
  <c r="BS176" i="24"/>
  <c r="BX176" i="24" s="1"/>
  <c r="BA27" i="25"/>
  <c r="BB27" i="25"/>
  <c r="BS27" i="25" s="1"/>
  <c r="BC27" i="25"/>
  <c r="BT27" i="25" s="1"/>
  <c r="BG153" i="24"/>
  <c r="BS153" i="24"/>
  <c r="BX153" i="24" s="1"/>
  <c r="BA208" i="25"/>
  <c r="BC208" i="25"/>
  <c r="BT208" i="25" s="1"/>
  <c r="BB208" i="25"/>
  <c r="BS208" i="25" s="1"/>
  <c r="BY240" i="24"/>
  <c r="CA240" i="24" s="1"/>
  <c r="CB240" i="24" s="1"/>
  <c r="BM240" i="24"/>
  <c r="BN240" i="24" s="1"/>
  <c r="BG175" i="24"/>
  <c r="BS175" i="24"/>
  <c r="BX175" i="24" s="1"/>
  <c r="BE267" i="25"/>
  <c r="BR267" i="25"/>
  <c r="BX267" i="25" s="1"/>
  <c r="BA228" i="25"/>
  <c r="BB228" i="25"/>
  <c r="BS228" i="25" s="1"/>
  <c r="BC228" i="25"/>
  <c r="BT228" i="25" s="1"/>
  <c r="BA126" i="25"/>
  <c r="BB126" i="25"/>
  <c r="BS126" i="25" s="1"/>
  <c r="BC126" i="25"/>
  <c r="BT126" i="25" s="1"/>
  <c r="BG86" i="24"/>
  <c r="BM86" i="24" s="1"/>
  <c r="BS86" i="24"/>
  <c r="BV86" i="24" s="1"/>
  <c r="BX86" i="24" s="1"/>
  <c r="BN101" i="24"/>
  <c r="BY101" i="24"/>
  <c r="CA101" i="24" s="1"/>
  <c r="BA19" i="25"/>
  <c r="BC19" i="25"/>
  <c r="BT19" i="25" s="1"/>
  <c r="BB19" i="25"/>
  <c r="BS19" i="25" s="1"/>
  <c r="BS52" i="24"/>
  <c r="BV52" i="24" s="1"/>
  <c r="BX52" i="24" s="1"/>
  <c r="BG52" i="24"/>
  <c r="BM52" i="24" s="1"/>
  <c r="BS79" i="24"/>
  <c r="BV79" i="24" s="1"/>
  <c r="BX79" i="24" s="1"/>
  <c r="BG79" i="24"/>
  <c r="BM79" i="24" s="1"/>
  <c r="BG197" i="24"/>
  <c r="BS197" i="24"/>
  <c r="BX197" i="24" s="1"/>
  <c r="BA268" i="25"/>
  <c r="BC268" i="25"/>
  <c r="BT268" i="25" s="1"/>
  <c r="BB268" i="25"/>
  <c r="BS268" i="25" s="1"/>
  <c r="BS65" i="24"/>
  <c r="BV65" i="24" s="1"/>
  <c r="BX65" i="24" s="1"/>
  <c r="BG65" i="24"/>
  <c r="BM65" i="24" s="1"/>
  <c r="BE190" i="25"/>
  <c r="BR190" i="25"/>
  <c r="BX190" i="25" s="1"/>
  <c r="BG17" i="24"/>
  <c r="BM17" i="24" s="1"/>
  <c r="BS17" i="24"/>
  <c r="BV17" i="24" s="1"/>
  <c r="BX17" i="24" s="1"/>
  <c r="BG114" i="24"/>
  <c r="BS114" i="24"/>
  <c r="BX114" i="24" s="1"/>
  <c r="BG30" i="24"/>
  <c r="BM30" i="24" s="1"/>
  <c r="BS30" i="24"/>
  <c r="BV30" i="24" s="1"/>
  <c r="BX30" i="24" s="1"/>
  <c r="BA35" i="25"/>
  <c r="BB35" i="25"/>
  <c r="BS35" i="25" s="1"/>
  <c r="BC35" i="25"/>
  <c r="BT35" i="25" s="1"/>
  <c r="BG201" i="24"/>
  <c r="BS201" i="24"/>
  <c r="BX201" i="24" s="1"/>
  <c r="BS9" i="24"/>
  <c r="BV9" i="24" s="1"/>
  <c r="BX9" i="24" s="1"/>
  <c r="BG9" i="24"/>
  <c r="BM9" i="24" s="1"/>
  <c r="BR192" i="25"/>
  <c r="BX192" i="25" s="1"/>
  <c r="BE192" i="25"/>
  <c r="BE238" i="25"/>
  <c r="BR238" i="25"/>
  <c r="BX238" i="25" s="1"/>
  <c r="BA24" i="25"/>
  <c r="BB24" i="25"/>
  <c r="BS24" i="25" s="1"/>
  <c r="BC24" i="25"/>
  <c r="BT24" i="25" s="1"/>
  <c r="BE291" i="25"/>
  <c r="BR291" i="25"/>
  <c r="BX291" i="25" s="1"/>
  <c r="BN6" i="24"/>
  <c r="BS49" i="24"/>
  <c r="BV49" i="24" s="1"/>
  <c r="BX49" i="24" s="1"/>
  <c r="BG49" i="24"/>
  <c r="BM49" i="24" s="1"/>
  <c r="BC79" i="25"/>
  <c r="BT79" i="25" s="1"/>
  <c r="BB79" i="25"/>
  <c r="BS79" i="25" s="1"/>
  <c r="BA79" i="25"/>
  <c r="BG223" i="24"/>
  <c r="BS223" i="24"/>
  <c r="BX223" i="24" s="1"/>
  <c r="BM279" i="24"/>
  <c r="BN279" i="24" s="1"/>
  <c r="BB169" i="25"/>
  <c r="BS169" i="25" s="1"/>
  <c r="BC169" i="25"/>
  <c r="BT169" i="25" s="1"/>
  <c r="BA169" i="25"/>
  <c r="BC310" i="25"/>
  <c r="BT310" i="25" s="1"/>
  <c r="BA310" i="25"/>
  <c r="BB310" i="25"/>
  <c r="BS310" i="25" s="1"/>
  <c r="BS39" i="24"/>
  <c r="BV39" i="24" s="1"/>
  <c r="BX39" i="24" s="1"/>
  <c r="BG39" i="24"/>
  <c r="BM39" i="24" s="1"/>
  <c r="BG314" i="24"/>
  <c r="BS314" i="24"/>
  <c r="BX314" i="24" s="1"/>
  <c r="BA135" i="25"/>
  <c r="BB135" i="25"/>
  <c r="BS135" i="25" s="1"/>
  <c r="BC135" i="25"/>
  <c r="BT135" i="25" s="1"/>
  <c r="BG307" i="24"/>
  <c r="BS307" i="24"/>
  <c r="BX307" i="24" s="1"/>
  <c r="BA301" i="25"/>
  <c r="BB301" i="25"/>
  <c r="BS301" i="25" s="1"/>
  <c r="BC301" i="25"/>
  <c r="BT301" i="25" s="1"/>
  <c r="BY152" i="24"/>
  <c r="CA152" i="24" s="1"/>
  <c r="CB152" i="24" s="1"/>
  <c r="BM152" i="24"/>
  <c r="BN152" i="24" s="1"/>
  <c r="BG124" i="24"/>
  <c r="BS124" i="24"/>
  <c r="BX124" i="24" s="1"/>
  <c r="BG163" i="24"/>
  <c r="BS163" i="24"/>
  <c r="BX163" i="24" s="1"/>
  <c r="BR261" i="25"/>
  <c r="BX261" i="25" s="1"/>
  <c r="BE261" i="25"/>
  <c r="BA304" i="25"/>
  <c r="BC304" i="25"/>
  <c r="BT304" i="25" s="1"/>
  <c r="BB304" i="25"/>
  <c r="BS304" i="25" s="1"/>
  <c r="BB195" i="25"/>
  <c r="BS195" i="25" s="1"/>
  <c r="BC195" i="25"/>
  <c r="BT195" i="25" s="1"/>
  <c r="BA195" i="25"/>
  <c r="U328" i="29"/>
  <c r="V328" i="29"/>
  <c r="V78" i="29"/>
  <c r="U78" i="29"/>
  <c r="V174" i="29"/>
  <c r="U174" i="29"/>
  <c r="BG184" i="24"/>
  <c r="BS184" i="24"/>
  <c r="BX184" i="24" s="1"/>
  <c r="BG157" i="24"/>
  <c r="BS157" i="24"/>
  <c r="BX157" i="24" s="1"/>
  <c r="BY260" i="24"/>
  <c r="CA260" i="24" s="1"/>
  <c r="CB260" i="24" s="1"/>
  <c r="BM260" i="24"/>
  <c r="BN260" i="24" s="1"/>
  <c r="BN58" i="24"/>
  <c r="BC272" i="25"/>
  <c r="BT272" i="25" s="1"/>
  <c r="BB272" i="25"/>
  <c r="BS272" i="25" s="1"/>
  <c r="BA272" i="25"/>
  <c r="BY22" i="24"/>
  <c r="CA22" i="24" s="1"/>
  <c r="BN22" i="24"/>
  <c r="BG123" i="24"/>
  <c r="BS123" i="24"/>
  <c r="BX123" i="24" s="1"/>
  <c r="BG198" i="24"/>
  <c r="BS198" i="24"/>
  <c r="BX198" i="24" s="1"/>
  <c r="BG258" i="24"/>
  <c r="BS258" i="24"/>
  <c r="BX258" i="24" s="1"/>
  <c r="BA303" i="25"/>
  <c r="BC303" i="25"/>
  <c r="BT303" i="25" s="1"/>
  <c r="BB303" i="25"/>
  <c r="BS303" i="25" s="1"/>
  <c r="BB205" i="25"/>
  <c r="BS205" i="25" s="1"/>
  <c r="BC205" i="25"/>
  <c r="BT205" i="25" s="1"/>
  <c r="BA205" i="25"/>
  <c r="BE31" i="25"/>
  <c r="BK31" i="25" s="1"/>
  <c r="BR31" i="25"/>
  <c r="BV31" i="25" s="1"/>
  <c r="BX31" i="25" s="1"/>
  <c r="BG71" i="24"/>
  <c r="BM71" i="24" s="1"/>
  <c r="BS71" i="24"/>
  <c r="BV71" i="24" s="1"/>
  <c r="BX71" i="24" s="1"/>
  <c r="BB295" i="25"/>
  <c r="BS295" i="25" s="1"/>
  <c r="BC295" i="25"/>
  <c r="BT295" i="25" s="1"/>
  <c r="BA295" i="25"/>
  <c r="BG195" i="24"/>
  <c r="BS195" i="24"/>
  <c r="BX195" i="24" s="1"/>
  <c r="BG129" i="24"/>
  <c r="BS129" i="24"/>
  <c r="BX129" i="24" s="1"/>
  <c r="BA38" i="25"/>
  <c r="BC38" i="25"/>
  <c r="BT38" i="25" s="1"/>
  <c r="BB38" i="25"/>
  <c r="BS38" i="25" s="1"/>
  <c r="BA20" i="25"/>
  <c r="BC20" i="25"/>
  <c r="BT20" i="25" s="1"/>
  <c r="BB20" i="25"/>
  <c r="BS20" i="25" s="1"/>
  <c r="BG104" i="24"/>
  <c r="BM104" i="24" s="1"/>
  <c r="BS104" i="24"/>
  <c r="BV104" i="24" s="1"/>
  <c r="BX104" i="24" s="1"/>
  <c r="BN20" i="24"/>
  <c r="BA307" i="25"/>
  <c r="BB307" i="25"/>
  <c r="BS307" i="25" s="1"/>
  <c r="BC307" i="25"/>
  <c r="BT307" i="25" s="1"/>
  <c r="BY142" i="24"/>
  <c r="CA142" i="24" s="1"/>
  <c r="CB142" i="24" s="1"/>
  <c r="BM142" i="24"/>
  <c r="BN142" i="24" s="1"/>
  <c r="BB315" i="25"/>
  <c r="BS315" i="25" s="1"/>
  <c r="BC315" i="25"/>
  <c r="BT315" i="25" s="1"/>
  <c r="BA315" i="25"/>
  <c r="BG144" i="24"/>
  <c r="BS144" i="24"/>
  <c r="BX144" i="24" s="1"/>
  <c r="BB133" i="25"/>
  <c r="BS133" i="25" s="1"/>
  <c r="BA133" i="25"/>
  <c r="BC133" i="25"/>
  <c r="BT133" i="25" s="1"/>
  <c r="BC134" i="25"/>
  <c r="BT134" i="25" s="1"/>
  <c r="BB134" i="25"/>
  <c r="BS134" i="25" s="1"/>
  <c r="BA134" i="25"/>
  <c r="BC140" i="25"/>
  <c r="BT140" i="25" s="1"/>
  <c r="BB140" i="25"/>
  <c r="BS140" i="25" s="1"/>
  <c r="BA140" i="25"/>
  <c r="BG304" i="24"/>
  <c r="BS304" i="24"/>
  <c r="BX304" i="24" s="1"/>
  <c r="BA70" i="25"/>
  <c r="BB70" i="25"/>
  <c r="BS70" i="25" s="1"/>
  <c r="BC70" i="25"/>
  <c r="BT70" i="25" s="1"/>
  <c r="BG206" i="24"/>
  <c r="BS206" i="24"/>
  <c r="BX206" i="24" s="1"/>
  <c r="BB61" i="25"/>
  <c r="BS61" i="25" s="1"/>
  <c r="BA61" i="25"/>
  <c r="BC61" i="25"/>
  <c r="BT61" i="25" s="1"/>
  <c r="BB145" i="25"/>
  <c r="BS145" i="25" s="1"/>
  <c r="BC145" i="25"/>
  <c r="BT145" i="25" s="1"/>
  <c r="BA145" i="25"/>
  <c r="BG286" i="24"/>
  <c r="BS286" i="24"/>
  <c r="BX286" i="24" s="1"/>
  <c r="BE13" i="25"/>
  <c r="BK13" i="25" s="1"/>
  <c r="BR13" i="25"/>
  <c r="BV13" i="25" s="1"/>
  <c r="BX13" i="25" s="1"/>
  <c r="BG46" i="24"/>
  <c r="BM46" i="24" s="1"/>
  <c r="BS46" i="24"/>
  <c r="BV46" i="24" s="1"/>
  <c r="BX46" i="24" s="1"/>
  <c r="BC122" i="25"/>
  <c r="BT122" i="25" s="1"/>
  <c r="BA122" i="25"/>
  <c r="BB122" i="25"/>
  <c r="BS122" i="25" s="1"/>
  <c r="BA180" i="25"/>
  <c r="BC180" i="25"/>
  <c r="BT180" i="25" s="1"/>
  <c r="BB180" i="25"/>
  <c r="BS180" i="25" s="1"/>
  <c r="BB76" i="25"/>
  <c r="BS76" i="25" s="1"/>
  <c r="BC76" i="25"/>
  <c r="BT76" i="25" s="1"/>
  <c r="BA76" i="25"/>
  <c r="BG76" i="24"/>
  <c r="BM76" i="24" s="1"/>
  <c r="BS76" i="24"/>
  <c r="BV76" i="24" s="1"/>
  <c r="BX76" i="24" s="1"/>
  <c r="BS203" i="24"/>
  <c r="BX203" i="24" s="1"/>
  <c r="BG203" i="24"/>
  <c r="BG284" i="24"/>
  <c r="BS284" i="24"/>
  <c r="BX284" i="24" s="1"/>
  <c r="BB230" i="25"/>
  <c r="BS230" i="25" s="1"/>
  <c r="BA230" i="25"/>
  <c r="BC230" i="25"/>
  <c r="BT230" i="25" s="1"/>
  <c r="BG194" i="24"/>
  <c r="BS194" i="24"/>
  <c r="BX194" i="24" s="1"/>
  <c r="BB45" i="25"/>
  <c r="BS45" i="25" s="1"/>
  <c r="BC45" i="25"/>
  <c r="BT45" i="25" s="1"/>
  <c r="BA45" i="25"/>
  <c r="BR14" i="25"/>
  <c r="BV14" i="25" s="1"/>
  <c r="BX14" i="25" s="1"/>
  <c r="BE14" i="25"/>
  <c r="BK14" i="25" s="1"/>
  <c r="BE155" i="25"/>
  <c r="BR155" i="25"/>
  <c r="BX155" i="25" s="1"/>
  <c r="BA47" i="25"/>
  <c r="BC47" i="25"/>
  <c r="BT47" i="25" s="1"/>
  <c r="BB47" i="25"/>
  <c r="BS47" i="25" s="1"/>
  <c r="BC203" i="25"/>
  <c r="BT203" i="25" s="1"/>
  <c r="BB203" i="25"/>
  <c r="BS203" i="25" s="1"/>
  <c r="BA203" i="25"/>
  <c r="BY264" i="24"/>
  <c r="CA264" i="24" s="1"/>
  <c r="CB264" i="24" s="1"/>
  <c r="BM264" i="24"/>
  <c r="BN264" i="24" s="1"/>
  <c r="BS82" i="24"/>
  <c r="BV82" i="24" s="1"/>
  <c r="BX82" i="24" s="1"/>
  <c r="BG82" i="24"/>
  <c r="BM82" i="24" s="1"/>
  <c r="BS69" i="24"/>
  <c r="BV69" i="24" s="1"/>
  <c r="BX69" i="24" s="1"/>
  <c r="BG69" i="24"/>
  <c r="BM69" i="24" s="1"/>
  <c r="BB53" i="25"/>
  <c r="BS53" i="25" s="1"/>
  <c r="BC53" i="25"/>
  <c r="BT53" i="25" s="1"/>
  <c r="BA53" i="25"/>
  <c r="BG241" i="24"/>
  <c r="BS241" i="24"/>
  <c r="BX241" i="24" s="1"/>
  <c r="BB137" i="25"/>
  <c r="BS137" i="25" s="1"/>
  <c r="BC137" i="25"/>
  <c r="BT137" i="25" s="1"/>
  <c r="BA137" i="25"/>
  <c r="BE170" i="25"/>
  <c r="BR170" i="25"/>
  <c r="BX170" i="25" s="1"/>
  <c r="BA209" i="25"/>
  <c r="BB209" i="25"/>
  <c r="BS209" i="25" s="1"/>
  <c r="BC209" i="25"/>
  <c r="BT209" i="25" s="1"/>
  <c r="BG302" i="24"/>
  <c r="BS302" i="24"/>
  <c r="BX302" i="24" s="1"/>
  <c r="BE246" i="25"/>
  <c r="BR246" i="25"/>
  <c r="BX246" i="25" s="1"/>
  <c r="BS84" i="24"/>
  <c r="BV84" i="24" s="1"/>
  <c r="BX84" i="24" s="1"/>
  <c r="BG84" i="24"/>
  <c r="BM84" i="24" s="1"/>
  <c r="BE305" i="25"/>
  <c r="BR305" i="25"/>
  <c r="BX305" i="25" s="1"/>
  <c r="BN54" i="24"/>
  <c r="BE306" i="25"/>
  <c r="BR306" i="25"/>
  <c r="BX306" i="25" s="1"/>
  <c r="BE255" i="25"/>
  <c r="BR255" i="25"/>
  <c r="BX255" i="25" s="1"/>
  <c r="BA254" i="25"/>
  <c r="BB254" i="25"/>
  <c r="BS254" i="25" s="1"/>
  <c r="BC254" i="25"/>
  <c r="BT254" i="25" s="1"/>
  <c r="BB210" i="25"/>
  <c r="BS210" i="25" s="1"/>
  <c r="BC210" i="25"/>
  <c r="BT210" i="25" s="1"/>
  <c r="BA210" i="25"/>
  <c r="BE273" i="25"/>
  <c r="BR273" i="25"/>
  <c r="BX273" i="25" s="1"/>
  <c r="BY41" i="24"/>
  <c r="CA41" i="24" s="1"/>
  <c r="CB41" i="24" s="1"/>
  <c r="BN41" i="24"/>
  <c r="BR62" i="25"/>
  <c r="BV62" i="25" s="1"/>
  <c r="BX62" i="25" s="1"/>
  <c r="BE62" i="25"/>
  <c r="BK62" i="25" s="1"/>
  <c r="BE59" i="25"/>
  <c r="BK59" i="25" s="1"/>
  <c r="BR59" i="25"/>
  <c r="BV59" i="25" s="1"/>
  <c r="BX59" i="25" s="1"/>
  <c r="BS95" i="24"/>
  <c r="BV95" i="24" s="1"/>
  <c r="BX95" i="24" s="1"/>
  <c r="BG95" i="24"/>
  <c r="BM95" i="24" s="1"/>
  <c r="BG244" i="24"/>
  <c r="BS244" i="24"/>
  <c r="BX244" i="24" s="1"/>
  <c r="BG272" i="24"/>
  <c r="BS272" i="24"/>
  <c r="BX272" i="24" s="1"/>
  <c r="BG227" i="24"/>
  <c r="BS227" i="24"/>
  <c r="BX227" i="24" s="1"/>
  <c r="BG59" i="24"/>
  <c r="BM59" i="24" s="1"/>
  <c r="BS59" i="24"/>
  <c r="BV59" i="24" s="1"/>
  <c r="BX59" i="24" s="1"/>
  <c r="BE179" i="25"/>
  <c r="BR179" i="25"/>
  <c r="BX179" i="25" s="1"/>
  <c r="BA16" i="25"/>
  <c r="BB16" i="25"/>
  <c r="BS16" i="25" s="1"/>
  <c r="BC16" i="25"/>
  <c r="BT16" i="25" s="1"/>
  <c r="V442" i="29"/>
  <c r="U442" i="29"/>
  <c r="BY236" i="24"/>
  <c r="CA236" i="24" s="1"/>
  <c r="BM236" i="24"/>
  <c r="BN236" i="24" s="1"/>
  <c r="BG53" i="24"/>
  <c r="BM53" i="24" s="1"/>
  <c r="BS53" i="24"/>
  <c r="BV53" i="24" s="1"/>
  <c r="BX53" i="24" s="1"/>
  <c r="BC111" i="25"/>
  <c r="BT111" i="25" s="1"/>
  <c r="BB111" i="25"/>
  <c r="BS111" i="25" s="1"/>
  <c r="BA111" i="25"/>
  <c r="BG85" i="24"/>
  <c r="BM85" i="24" s="1"/>
  <c r="BS85" i="24"/>
  <c r="BV85" i="24" s="1"/>
  <c r="BX85" i="24" s="1"/>
  <c r="BC181" i="25"/>
  <c r="BT181" i="25" s="1"/>
  <c r="BB181" i="25"/>
  <c r="BS181" i="25" s="1"/>
  <c r="BA181" i="25"/>
  <c r="BM148" i="24"/>
  <c r="BN148" i="24" s="1"/>
  <c r="BG276" i="24"/>
  <c r="BS276" i="24"/>
  <c r="BX276" i="24" s="1"/>
  <c r="BB287" i="25"/>
  <c r="BS287" i="25" s="1"/>
  <c r="BC287" i="25"/>
  <c r="BT287" i="25" s="1"/>
  <c r="BA287" i="25"/>
  <c r="BA57" i="25"/>
  <c r="BB57" i="25"/>
  <c r="BS57" i="25" s="1"/>
  <c r="BC57" i="25"/>
  <c r="BT57" i="25" s="1"/>
  <c r="BB151" i="25"/>
  <c r="BS151" i="25" s="1"/>
  <c r="BC151" i="25"/>
  <c r="BT151" i="25" s="1"/>
  <c r="BA151" i="25"/>
  <c r="BG182" i="24"/>
  <c r="BS182" i="24"/>
  <c r="BX182" i="24" s="1"/>
  <c r="BG138" i="24"/>
  <c r="BS138" i="24"/>
  <c r="BX138" i="24" s="1"/>
  <c r="BY233" i="24"/>
  <c r="CA233" i="24" s="1"/>
  <c r="BM233" i="24"/>
  <c r="BN233" i="24" s="1"/>
  <c r="BY257" i="24"/>
  <c r="CA257" i="24" s="1"/>
  <c r="BM257" i="24"/>
  <c r="BN257" i="24" s="1"/>
  <c r="BC252" i="25"/>
  <c r="BT252" i="25" s="1"/>
  <c r="BB252" i="25"/>
  <c r="BS252" i="25" s="1"/>
  <c r="BA252" i="25"/>
  <c r="BB271" i="25"/>
  <c r="BS271" i="25" s="1"/>
  <c r="BC271" i="25"/>
  <c r="BT271" i="25" s="1"/>
  <c r="BA271" i="25"/>
  <c r="BB91" i="25"/>
  <c r="BS91" i="25" s="1"/>
  <c r="BC91" i="25"/>
  <c r="BT91" i="25" s="1"/>
  <c r="BA91" i="25"/>
  <c r="BG185" i="24"/>
  <c r="BS185" i="24"/>
  <c r="BX185" i="24" s="1"/>
  <c r="BS8" i="24"/>
  <c r="BV8" i="24" s="1"/>
  <c r="BX8" i="24" s="1"/>
  <c r="BG8" i="24"/>
  <c r="BM8" i="24" s="1"/>
  <c r="BE173" i="25"/>
  <c r="BR173" i="25"/>
  <c r="BX173" i="25" s="1"/>
  <c r="BA183" i="25"/>
  <c r="BB183" i="25"/>
  <c r="BS183" i="25" s="1"/>
  <c r="BC183" i="25"/>
  <c r="BT183" i="25" s="1"/>
  <c r="BE248" i="25"/>
  <c r="BR248" i="25"/>
  <c r="BX248" i="25" s="1"/>
  <c r="BA157" i="25"/>
  <c r="BB157" i="25"/>
  <c r="BS157" i="25" s="1"/>
  <c r="BC157" i="25"/>
  <c r="BT157" i="25" s="1"/>
  <c r="BM265" i="24"/>
  <c r="BN265" i="24" s="1"/>
  <c r="BG105" i="24"/>
  <c r="BM105" i="24" s="1"/>
  <c r="BS105" i="24"/>
  <c r="BV105" i="24" s="1"/>
  <c r="BX105" i="24" s="1"/>
  <c r="BA289" i="25"/>
  <c r="BB289" i="25"/>
  <c r="BS289" i="25" s="1"/>
  <c r="BC289" i="25"/>
  <c r="BT289" i="25" s="1"/>
  <c r="BA118" i="25"/>
  <c r="BB118" i="25"/>
  <c r="BS118" i="25" s="1"/>
  <c r="BC118" i="25"/>
  <c r="BT118" i="25" s="1"/>
  <c r="BS99" i="24"/>
  <c r="BV99" i="24" s="1"/>
  <c r="BX99" i="24" s="1"/>
  <c r="BG99" i="24"/>
  <c r="BM99" i="24" s="1"/>
  <c r="BG269" i="24"/>
  <c r="BS269" i="24"/>
  <c r="BX269" i="24" s="1"/>
  <c r="BG274" i="24"/>
  <c r="BS274" i="24"/>
  <c r="BX274" i="24" s="1"/>
  <c r="BE11" i="25"/>
  <c r="BK11" i="25" s="1"/>
  <c r="BR11" i="25"/>
  <c r="BV11" i="25" s="1"/>
  <c r="BX11" i="25" s="1"/>
  <c r="BG179" i="24"/>
  <c r="BS179" i="24"/>
  <c r="BX179" i="24" s="1"/>
  <c r="BA105" i="25"/>
  <c r="BB105" i="25"/>
  <c r="BS105" i="25" s="1"/>
  <c r="BC105" i="25"/>
  <c r="BT105" i="25" s="1"/>
  <c r="BE29" i="25"/>
  <c r="BK29" i="25" s="1"/>
  <c r="BR29" i="25"/>
  <c r="BV29" i="25" s="1"/>
  <c r="BX29" i="25" s="1"/>
  <c r="BM295" i="24"/>
  <c r="BN295" i="24" s="1"/>
  <c r="BB144" i="25"/>
  <c r="BS144" i="25" s="1"/>
  <c r="BC144" i="25"/>
  <c r="BT144" i="25" s="1"/>
  <c r="BA144" i="25"/>
  <c r="BG209" i="24"/>
  <c r="BS209" i="24"/>
  <c r="BX209" i="24" s="1"/>
  <c r="BA86" i="25"/>
  <c r="BB86" i="25"/>
  <c r="BS86" i="25" s="1"/>
  <c r="BC86" i="25"/>
  <c r="BT86" i="25" s="1"/>
  <c r="BG202" i="24"/>
  <c r="BS202" i="24"/>
  <c r="BX202" i="24" s="1"/>
  <c r="B128" i="2"/>
  <c r="B131" i="2"/>
  <c r="E36" i="1" s="1"/>
  <c r="BG266" i="24"/>
  <c r="BS266" i="24"/>
  <c r="BX266" i="24" s="1"/>
  <c r="BG288" i="24"/>
  <c r="BS288" i="24"/>
  <c r="BX288" i="24" s="1"/>
  <c r="BA98" i="25"/>
  <c r="BB98" i="25"/>
  <c r="BS98" i="25" s="1"/>
  <c r="BC98" i="25"/>
  <c r="BT98" i="25" s="1"/>
  <c r="BR71" i="25"/>
  <c r="BV71" i="25" s="1"/>
  <c r="BX71" i="25" s="1"/>
  <c r="BE71" i="25"/>
  <c r="BK71" i="25" s="1"/>
  <c r="BG270" i="24"/>
  <c r="BS270" i="24"/>
  <c r="BX270" i="24" s="1"/>
  <c r="BA207" i="25"/>
  <c r="BC207" i="25"/>
  <c r="BT207" i="25" s="1"/>
  <c r="BB207" i="25"/>
  <c r="BS207" i="25" s="1"/>
  <c r="BA56" i="25"/>
  <c r="BB56" i="25"/>
  <c r="BS56" i="25" s="1"/>
  <c r="BC56" i="25"/>
  <c r="BT56" i="25" s="1"/>
  <c r="BG97" i="24"/>
  <c r="BM97" i="24" s="1"/>
  <c r="BS97" i="24"/>
  <c r="BV97" i="24" s="1"/>
  <c r="BX97" i="24" s="1"/>
  <c r="BB125" i="25"/>
  <c r="BS125" i="25" s="1"/>
  <c r="BC125" i="25"/>
  <c r="BT125" i="25" s="1"/>
  <c r="BA125" i="25"/>
  <c r="BG205" i="24"/>
  <c r="BS205" i="24"/>
  <c r="BX205" i="24" s="1"/>
  <c r="BS63" i="24"/>
  <c r="BV63" i="24" s="1"/>
  <c r="BX63" i="24" s="1"/>
  <c r="BG63" i="24"/>
  <c r="BM63" i="24" s="1"/>
  <c r="BE30" i="25"/>
  <c r="BK30" i="25" s="1"/>
  <c r="BR30" i="25"/>
  <c r="BV30" i="25" s="1"/>
  <c r="BX30" i="25" s="1"/>
  <c r="BG177" i="24"/>
  <c r="BS177" i="24"/>
  <c r="BX177" i="24" s="1"/>
  <c r="BS136" i="24"/>
  <c r="BX136" i="24" s="1"/>
  <c r="BG136" i="24"/>
  <c r="BC123" i="25"/>
  <c r="BT123" i="25" s="1"/>
  <c r="BB123" i="25"/>
  <c r="BS123" i="25" s="1"/>
  <c r="BA123" i="25"/>
  <c r="BA83" i="25"/>
  <c r="BB83" i="25"/>
  <c r="BS83" i="25" s="1"/>
  <c r="BC83" i="25"/>
  <c r="BT83" i="25" s="1"/>
  <c r="BB132" i="25"/>
  <c r="BS132" i="25" s="1"/>
  <c r="BA132" i="25"/>
  <c r="BC132" i="25"/>
  <c r="BT132" i="25" s="1"/>
  <c r="BG199" i="24"/>
  <c r="BS199" i="24"/>
  <c r="BX199" i="24" s="1"/>
  <c r="BG155" i="24"/>
  <c r="BS155" i="24"/>
  <c r="BX155" i="24" s="1"/>
  <c r="BG149" i="24"/>
  <c r="BS149" i="24"/>
  <c r="BX149" i="24" s="1"/>
  <c r="BB90" i="25"/>
  <c r="BS90" i="25" s="1"/>
  <c r="BC90" i="25"/>
  <c r="BT90" i="25" s="1"/>
  <c r="BA90" i="25"/>
  <c r="BC222" i="25"/>
  <c r="BT222" i="25" s="1"/>
  <c r="BB222" i="25"/>
  <c r="BS222" i="25" s="1"/>
  <c r="BA222" i="25"/>
  <c r="BG261" i="24"/>
  <c r="BS261" i="24"/>
  <c r="BX261" i="24" s="1"/>
  <c r="BA40" i="25"/>
  <c r="BB40" i="25"/>
  <c r="BS40" i="25" s="1"/>
  <c r="BC40" i="25"/>
  <c r="BT40" i="25" s="1"/>
  <c r="BE89" i="25"/>
  <c r="BK89" i="25" s="1"/>
  <c r="BR89" i="25"/>
  <c r="BV89" i="25" s="1"/>
  <c r="BX89" i="25" s="1"/>
  <c r="BG67" i="24"/>
  <c r="BM67" i="24" s="1"/>
  <c r="BS67" i="24"/>
  <c r="BV67" i="24" s="1"/>
  <c r="BX67" i="24" s="1"/>
  <c r="BB10" i="25"/>
  <c r="BS10" i="25" s="1"/>
  <c r="BA10" i="25"/>
  <c r="BC10" i="25"/>
  <c r="BT10" i="25" s="1"/>
  <c r="BB120" i="25"/>
  <c r="BS120" i="25" s="1"/>
  <c r="BC120" i="25"/>
  <c r="BT120" i="25" s="1"/>
  <c r="BA120" i="25"/>
  <c r="BG251" i="24"/>
  <c r="BS251" i="24"/>
  <c r="BX251" i="24" s="1"/>
  <c r="BM238" i="24"/>
  <c r="BN238" i="24" s="1"/>
  <c r="BE262" i="25"/>
  <c r="BR262" i="25"/>
  <c r="BX262" i="25" s="1"/>
  <c r="BA156" i="25"/>
  <c r="BB156" i="25"/>
  <c r="BS156" i="25" s="1"/>
  <c r="BC156" i="25"/>
  <c r="BT156" i="25" s="1"/>
  <c r="BE280" i="25"/>
  <c r="BR280" i="25"/>
  <c r="BX280" i="25" s="1"/>
  <c r="BM219" i="24"/>
  <c r="BN219" i="24" s="1"/>
  <c r="BA263" i="25"/>
  <c r="BB263" i="25"/>
  <c r="BS263" i="25" s="1"/>
  <c r="BC263" i="25"/>
  <c r="BT263" i="25" s="1"/>
  <c r="BA49" i="25"/>
  <c r="BB49" i="25"/>
  <c r="BS49" i="25" s="1"/>
  <c r="BC49" i="25"/>
  <c r="BT49" i="25" s="1"/>
  <c r="BA218" i="25"/>
  <c r="BC218" i="25"/>
  <c r="BT218" i="25" s="1"/>
  <c r="BB218" i="25"/>
  <c r="BS218" i="25" s="1"/>
  <c r="BC127" i="25"/>
  <c r="BT127" i="25" s="1"/>
  <c r="BB127" i="25"/>
  <c r="BS127" i="25" s="1"/>
  <c r="BA127" i="25"/>
  <c r="BM296" i="24"/>
  <c r="BN296" i="24" s="1"/>
  <c r="BG115" i="24"/>
  <c r="BS115" i="24"/>
  <c r="BX115" i="24" s="1"/>
  <c r="BC311" i="25"/>
  <c r="BT311" i="25" s="1"/>
  <c r="BB311" i="25"/>
  <c r="BS311" i="25" s="1"/>
  <c r="BA311" i="25"/>
  <c r="BC196" i="25"/>
  <c r="BT196" i="25" s="1"/>
  <c r="BB196" i="25"/>
  <c r="BS196" i="25" s="1"/>
  <c r="BA196" i="25"/>
  <c r="BB54" i="25"/>
  <c r="BS54" i="25" s="1"/>
  <c r="BA54" i="25"/>
  <c r="BC54" i="25"/>
  <c r="BT54" i="25" s="1"/>
  <c r="BE243" i="25"/>
  <c r="BR243" i="25"/>
  <c r="BX243" i="25" s="1"/>
  <c r="BB119" i="25"/>
  <c r="BS119" i="25" s="1"/>
  <c r="BC119" i="25"/>
  <c r="BT119" i="25" s="1"/>
  <c r="BA119" i="25"/>
  <c r="D58" i="29"/>
  <c r="D50" i="29" s="1"/>
  <c r="D51" i="29" s="1"/>
  <c r="D60" i="29" s="1"/>
  <c r="U60" i="29"/>
  <c r="V60" i="29"/>
  <c r="U189" i="29"/>
  <c r="V189" i="29"/>
  <c r="U238" i="29"/>
  <c r="V238" i="29"/>
  <c r="V18" i="29"/>
  <c r="U18" i="29"/>
  <c r="BG250" i="24"/>
  <c r="BS250" i="24"/>
  <c r="BX250" i="24" s="1"/>
  <c r="BS50" i="24"/>
  <c r="BV50" i="24" s="1"/>
  <c r="BX50" i="24" s="1"/>
  <c r="BG50" i="24"/>
  <c r="BM50" i="24" s="1"/>
  <c r="BM130" i="24"/>
  <c r="BN130" i="24" s="1"/>
  <c r="BN12" i="24"/>
  <c r="BM147" i="24"/>
  <c r="BN147" i="24" s="1"/>
  <c r="BG145" i="24"/>
  <c r="BS145" i="24"/>
  <c r="BX145" i="24" s="1"/>
  <c r="BG255" i="24"/>
  <c r="BS255" i="24"/>
  <c r="BX255" i="24" s="1"/>
  <c r="BA235" i="25"/>
  <c r="BB235" i="25"/>
  <c r="BS235" i="25" s="1"/>
  <c r="BC235" i="25"/>
  <c r="BT235" i="25" s="1"/>
  <c r="BC309" i="25"/>
  <c r="BT309" i="25" s="1"/>
  <c r="BB309" i="25"/>
  <c r="BS309" i="25" s="1"/>
  <c r="BA309" i="25"/>
  <c r="BC251" i="25"/>
  <c r="BT251" i="25" s="1"/>
  <c r="BA251" i="25"/>
  <c r="BB251" i="25"/>
  <c r="BS251" i="25" s="1"/>
  <c r="BG252" i="24"/>
  <c r="BS252" i="24"/>
  <c r="BX252" i="24" s="1"/>
  <c r="BN55" i="24"/>
  <c r="BY55" i="24"/>
  <c r="CA55" i="24" s="1"/>
  <c r="BG151" i="24"/>
  <c r="BS151" i="24"/>
  <c r="BX151" i="24" s="1"/>
  <c r="BR104" i="25"/>
  <c r="BV104" i="25" s="1"/>
  <c r="BX104" i="25" s="1"/>
  <c r="BE104" i="25"/>
  <c r="BK104" i="25" s="1"/>
  <c r="BA65" i="25"/>
  <c r="BB65" i="25"/>
  <c r="BS65" i="25" s="1"/>
  <c r="BC65" i="25"/>
  <c r="BT65" i="25" s="1"/>
  <c r="BN45" i="24"/>
  <c r="BY45" i="24"/>
  <c r="CA45" i="24" s="1"/>
  <c r="BS10" i="24"/>
  <c r="BV10" i="24" s="1"/>
  <c r="BX10" i="24" s="1"/>
  <c r="BG10" i="24"/>
  <c r="BM10" i="24" s="1"/>
  <c r="BA264" i="25"/>
  <c r="BC264" i="25"/>
  <c r="BT264" i="25" s="1"/>
  <c r="BB264" i="25"/>
  <c r="BS264" i="25" s="1"/>
  <c r="BE257" i="25"/>
  <c r="BR257" i="25"/>
  <c r="BX257" i="25" s="1"/>
  <c r="BA68" i="25"/>
  <c r="BC68" i="25"/>
  <c r="BT68" i="25" s="1"/>
  <c r="BB68" i="25"/>
  <c r="BS68" i="25" s="1"/>
  <c r="BE198" i="25"/>
  <c r="BR198" i="25"/>
  <c r="BX198" i="25" s="1"/>
  <c r="BG316" i="24"/>
  <c r="BS316" i="24"/>
  <c r="BX316" i="24" s="1"/>
  <c r="BA278" i="25"/>
  <c r="BB278" i="25"/>
  <c r="BS278" i="25" s="1"/>
  <c r="BC278" i="25"/>
  <c r="BT278" i="25" s="1"/>
  <c r="BC297" i="25"/>
  <c r="BT297" i="25" s="1"/>
  <c r="BB297" i="25"/>
  <c r="BS297" i="25" s="1"/>
  <c r="BA297" i="25"/>
  <c r="BG169" i="24"/>
  <c r="BS169" i="24"/>
  <c r="BX169" i="24" s="1"/>
  <c r="BS154" i="24"/>
  <c r="BX154" i="24" s="1"/>
  <c r="BG154" i="24"/>
  <c r="BA224" i="25"/>
  <c r="BC224" i="25"/>
  <c r="BT224" i="25" s="1"/>
  <c r="BB224" i="25"/>
  <c r="BS224" i="25" s="1"/>
  <c r="BY7" i="24"/>
  <c r="CA7" i="24" s="1"/>
  <c r="CB7" i="24" s="1"/>
  <c r="BN7" i="24"/>
  <c r="BB74" i="25"/>
  <c r="BS74" i="25" s="1"/>
  <c r="BC74" i="25"/>
  <c r="BT74" i="25" s="1"/>
  <c r="BA74" i="25"/>
  <c r="BG170" i="24"/>
  <c r="BS170" i="24"/>
  <c r="BX170" i="24" s="1"/>
  <c r="BM280" i="24"/>
  <c r="BN280" i="24" s="1"/>
  <c r="BE178" i="25"/>
  <c r="BR178" i="25"/>
  <c r="BX178" i="25" s="1"/>
  <c r="BG207" i="24"/>
  <c r="BS207" i="24"/>
  <c r="BX207" i="24" s="1"/>
  <c r="BA217" i="25"/>
  <c r="BB217" i="25"/>
  <c r="BS217" i="25" s="1"/>
  <c r="BC217" i="25"/>
  <c r="BT217" i="25" s="1"/>
  <c r="BG141" i="24"/>
  <c r="BS141" i="24"/>
  <c r="BX141" i="24" s="1"/>
  <c r="BA260" i="25"/>
  <c r="BC260" i="25"/>
  <c r="BT260" i="25" s="1"/>
  <c r="BB260" i="25"/>
  <c r="BS260" i="25" s="1"/>
  <c r="BA226" i="25"/>
  <c r="BC226" i="25"/>
  <c r="BT226" i="25" s="1"/>
  <c r="BB226" i="25"/>
  <c r="BS226" i="25" s="1"/>
  <c r="BR87" i="25"/>
  <c r="BV87" i="25" s="1"/>
  <c r="BX87" i="25" s="1"/>
  <c r="BE87" i="25"/>
  <c r="BK87" i="25" s="1"/>
  <c r="BA172" i="25"/>
  <c r="BC172" i="25"/>
  <c r="BT172" i="25" s="1"/>
  <c r="BB172" i="25"/>
  <c r="BS172" i="25" s="1"/>
  <c r="BG78" i="24"/>
  <c r="BM78" i="24" s="1"/>
  <c r="BS78" i="24"/>
  <c r="BV78" i="24" s="1"/>
  <c r="BX78" i="24" s="1"/>
  <c r="BA242" i="25"/>
  <c r="BC242" i="25"/>
  <c r="BT242" i="25" s="1"/>
  <c r="BB242" i="25"/>
  <c r="BS242" i="25" s="1"/>
  <c r="BG167" i="24"/>
  <c r="BS167" i="24"/>
  <c r="BX167" i="24" s="1"/>
  <c r="BE6" i="25"/>
  <c r="BK6" i="25" s="1"/>
  <c r="BR6" i="25"/>
  <c r="BV6" i="25" s="1"/>
  <c r="BX6" i="25" s="1"/>
  <c r="BC182" i="25"/>
  <c r="BT182" i="25" s="1"/>
  <c r="BB182" i="25"/>
  <c r="BS182" i="25" s="1"/>
  <c r="BA182" i="25"/>
  <c r="BN19" i="24"/>
  <c r="BG245" i="24"/>
  <c r="BS245" i="24"/>
  <c r="BX245" i="24" s="1"/>
  <c r="BG37" i="24"/>
  <c r="BM37" i="24" s="1"/>
  <c r="BS37" i="24"/>
  <c r="BV37" i="24" s="1"/>
  <c r="BX37" i="24" s="1"/>
  <c r="BC227" i="25"/>
  <c r="BT227" i="25" s="1"/>
  <c r="BB227" i="25"/>
  <c r="BS227" i="25" s="1"/>
  <c r="BA227" i="25"/>
  <c r="U323" i="29"/>
  <c r="V323" i="29"/>
  <c r="BC312" i="25"/>
  <c r="BT312" i="25" s="1"/>
  <c r="BA312" i="25"/>
  <c r="BB312" i="25"/>
  <c r="BS312" i="25" s="1"/>
  <c r="BG237" i="24"/>
  <c r="BS237" i="24"/>
  <c r="BX237" i="24" s="1"/>
  <c r="BC269" i="25"/>
  <c r="BT269" i="25" s="1"/>
  <c r="BB269" i="25"/>
  <c r="BS269" i="25" s="1"/>
  <c r="BA269" i="25"/>
  <c r="BE147" i="25"/>
  <c r="BR147" i="25"/>
  <c r="BX147" i="25" s="1"/>
  <c r="BL129" i="25"/>
  <c r="BY129" i="25"/>
  <c r="CA129" i="25" s="1"/>
  <c r="CB129" i="25" s="1"/>
  <c r="BK129" i="25"/>
  <c r="BG226" i="24"/>
  <c r="BS226" i="24"/>
  <c r="BX226" i="24" s="1"/>
  <c r="BC78" i="25"/>
  <c r="BT78" i="25" s="1"/>
  <c r="BA78" i="25"/>
  <c r="BB78" i="25"/>
  <c r="BS78" i="25" s="1"/>
  <c r="BC138" i="25"/>
  <c r="BT138" i="25" s="1"/>
  <c r="BB138" i="25"/>
  <c r="BS138" i="25" s="1"/>
  <c r="BA138" i="25"/>
  <c r="BR158" i="25"/>
  <c r="BX158" i="25" s="1"/>
  <c r="BE158" i="25"/>
  <c r="BM298" i="24"/>
  <c r="BN298" i="24" s="1"/>
  <c r="BA166" i="25"/>
  <c r="BC166" i="25"/>
  <c r="BT166" i="25" s="1"/>
  <c r="BB166" i="25"/>
  <c r="BS166" i="25" s="1"/>
  <c r="BC149" i="25"/>
  <c r="BT149" i="25" s="1"/>
  <c r="BB149" i="25"/>
  <c r="BS149" i="25" s="1"/>
  <c r="BA149" i="25"/>
  <c r="BG128" i="24"/>
  <c r="BS128" i="24"/>
  <c r="BX128" i="24" s="1"/>
  <c r="BB266" i="25"/>
  <c r="BS266" i="25" s="1"/>
  <c r="BC266" i="25"/>
  <c r="BT266" i="25" s="1"/>
  <c r="BA266" i="25"/>
  <c r="BB69" i="25"/>
  <c r="BS69" i="25" s="1"/>
  <c r="BC69" i="25"/>
  <c r="BT69" i="25" s="1"/>
  <c r="BA69" i="25"/>
  <c r="BS61" i="24"/>
  <c r="BV61" i="24" s="1"/>
  <c r="BX61" i="24" s="1"/>
  <c r="BG61" i="24"/>
  <c r="BM61" i="24" s="1"/>
  <c r="BG263" i="24"/>
  <c r="BS263" i="24"/>
  <c r="BX263" i="24" s="1"/>
  <c r="BC81" i="25"/>
  <c r="BT81" i="25" s="1"/>
  <c r="BA81" i="25"/>
  <c r="BB81" i="25"/>
  <c r="BS81" i="25" s="1"/>
  <c r="BG234" i="24"/>
  <c r="BS234" i="24"/>
  <c r="BX234" i="24" s="1"/>
  <c r="BY160" i="24"/>
  <c r="CA160" i="24" s="1"/>
  <c r="CB160" i="24" s="1"/>
  <c r="BM160" i="24"/>
  <c r="BN160" i="24" s="1"/>
  <c r="BA244" i="25"/>
  <c r="BC244" i="25"/>
  <c r="BT244" i="25" s="1"/>
  <c r="BB244" i="25"/>
  <c r="BS244" i="25" s="1"/>
  <c r="BB130" i="25"/>
  <c r="BS130" i="25" s="1"/>
  <c r="BC130" i="25"/>
  <c r="BT130" i="25" s="1"/>
  <c r="BA130" i="25"/>
  <c r="BB55" i="25"/>
  <c r="BS55" i="25" s="1"/>
  <c r="BA55" i="25"/>
  <c r="BC55" i="25"/>
  <c r="BT55" i="25" s="1"/>
  <c r="BG183" i="24"/>
  <c r="BS183" i="24"/>
  <c r="BX183" i="24" s="1"/>
  <c r="BC239" i="25"/>
  <c r="BT239" i="25" s="1"/>
  <c r="BB239" i="25"/>
  <c r="BS239" i="25" s="1"/>
  <c r="BA239" i="25"/>
  <c r="BG278" i="24"/>
  <c r="BS278" i="24"/>
  <c r="BX278" i="24" s="1"/>
  <c r="BG139" i="24"/>
  <c r="BS139" i="24"/>
  <c r="BX139" i="24" s="1"/>
  <c r="BA43" i="25"/>
  <c r="BB43" i="25"/>
  <c r="BS43" i="25" s="1"/>
  <c r="BC43" i="25"/>
  <c r="BT43" i="25" s="1"/>
  <c r="BG188" i="24"/>
  <c r="BS188" i="24"/>
  <c r="BX188" i="24" s="1"/>
  <c r="BC42" i="25"/>
  <c r="BT42" i="25" s="1"/>
  <c r="BB42" i="25"/>
  <c r="BS42" i="25" s="1"/>
  <c r="BA42" i="25"/>
  <c r="B159" i="2"/>
  <c r="AY105" i="25"/>
  <c r="BG208" i="24"/>
  <c r="BS208" i="24"/>
  <c r="BX208" i="24" s="1"/>
  <c r="BG300" i="24"/>
  <c r="BS300" i="24"/>
  <c r="BX300" i="24" s="1"/>
  <c r="BG289" i="24"/>
  <c r="BS289" i="24"/>
  <c r="BX289" i="24" s="1"/>
  <c r="BC23" i="25"/>
  <c r="BT23" i="25" s="1"/>
  <c r="BB23" i="25"/>
  <c r="BS23" i="25" s="1"/>
  <c r="BA23" i="25"/>
  <c r="BA313" i="25"/>
  <c r="BC313" i="25"/>
  <c r="BT313" i="25" s="1"/>
  <c r="BB313" i="25"/>
  <c r="BS313" i="25" s="1"/>
  <c r="BE161" i="25"/>
  <c r="BR161" i="25"/>
  <c r="BX161" i="25" s="1"/>
  <c r="BA277" i="25"/>
  <c r="BB277" i="25"/>
  <c r="BS277" i="25" s="1"/>
  <c r="BC277" i="25"/>
  <c r="BT277" i="25" s="1"/>
  <c r="BE259" i="25"/>
  <c r="BR259" i="25"/>
  <c r="BX259" i="25" s="1"/>
  <c r="BL110" i="25"/>
  <c r="BY110" i="25"/>
  <c r="CA110" i="25" s="1"/>
  <c r="CB110" i="25" s="1"/>
  <c r="BK110" i="25"/>
  <c r="BA72" i="25"/>
  <c r="BC72" i="25"/>
  <c r="BT72" i="25" s="1"/>
  <c r="BB72" i="25"/>
  <c r="BS72" i="25" s="1"/>
  <c r="BG89" i="24"/>
  <c r="BM89" i="24" s="1"/>
  <c r="BS89" i="24"/>
  <c r="BV89" i="24" s="1"/>
  <c r="BX89" i="24" s="1"/>
  <c r="BG131" i="24"/>
  <c r="BS131" i="24"/>
  <c r="BX131" i="24" s="1"/>
  <c r="BS290" i="24"/>
  <c r="BX290" i="24" s="1"/>
  <c r="BG290" i="24"/>
  <c r="BG156" i="24"/>
  <c r="BS156" i="24"/>
  <c r="BX156" i="24" s="1"/>
  <c r="BG301" i="24"/>
  <c r="BS301" i="24"/>
  <c r="BX301" i="24" s="1"/>
  <c r="BC256" i="25"/>
  <c r="BT256" i="25" s="1"/>
  <c r="BB256" i="25"/>
  <c r="BS256" i="25" s="1"/>
  <c r="BA256" i="25"/>
  <c r="BM299" i="24"/>
  <c r="BN299" i="24" s="1"/>
  <c r="BA33" i="25"/>
  <c r="BB33" i="25"/>
  <c r="BS33" i="25" s="1"/>
  <c r="BC33" i="25"/>
  <c r="BT33" i="25" s="1"/>
  <c r="BC236" i="25"/>
  <c r="BT236" i="25" s="1"/>
  <c r="BA236" i="25"/>
  <c r="BB236" i="25"/>
  <c r="BS236" i="25" s="1"/>
  <c r="BG229" i="24"/>
  <c r="BS229" i="24"/>
  <c r="BX229" i="24" s="1"/>
  <c r="BE204" i="25"/>
  <c r="BR204" i="25"/>
  <c r="BX204" i="25" s="1"/>
  <c r="BE283" i="25"/>
  <c r="BR283" i="25"/>
  <c r="BX283" i="25" s="1"/>
  <c r="BG178" i="24"/>
  <c r="BS178" i="24"/>
  <c r="BX178" i="24" s="1"/>
  <c r="BA221" i="25"/>
  <c r="BB221" i="25"/>
  <c r="BS221" i="25" s="1"/>
  <c r="BC221" i="25"/>
  <c r="BT221" i="25" s="1"/>
  <c r="BG308" i="24"/>
  <c r="BS308" i="24"/>
  <c r="BX308" i="24" s="1"/>
  <c r="BR167" i="25"/>
  <c r="BX167" i="25" s="1"/>
  <c r="BE167" i="25"/>
  <c r="BS64" i="24"/>
  <c r="BV64" i="24" s="1"/>
  <c r="BX64" i="24" s="1"/>
  <c r="BG64" i="24"/>
  <c r="BM64" i="24" s="1"/>
  <c r="BE94" i="25"/>
  <c r="BK94" i="25" s="1"/>
  <c r="BR94" i="25"/>
  <c r="BV94" i="25" s="1"/>
  <c r="BX94" i="25" s="1"/>
  <c r="BA231" i="25"/>
  <c r="BB231" i="25"/>
  <c r="BS231" i="25" s="1"/>
  <c r="BC231" i="25"/>
  <c r="BT231" i="25" s="1"/>
  <c r="BA9" i="25"/>
  <c r="BB9" i="25"/>
  <c r="BS9" i="25" s="1"/>
  <c r="BC9" i="25"/>
  <c r="BT9" i="25" s="1"/>
  <c r="BY248" i="24"/>
  <c r="CA248" i="24" s="1"/>
  <c r="CB248" i="24" s="1"/>
  <c r="BM248" i="24"/>
  <c r="BN248" i="24" s="1"/>
  <c r="BS88" i="24"/>
  <c r="BV88" i="24" s="1"/>
  <c r="BX88" i="24" s="1"/>
  <c r="BG88" i="24"/>
  <c r="BM88" i="24" s="1"/>
  <c r="BG77" i="24"/>
  <c r="BM77" i="24" s="1"/>
  <c r="BS77" i="24"/>
  <c r="BV77" i="24" s="1"/>
  <c r="BX77" i="24" s="1"/>
  <c r="BA159" i="25"/>
  <c r="BB159" i="25"/>
  <c r="BS159" i="25" s="1"/>
  <c r="BC159" i="25"/>
  <c r="BT159" i="25" s="1"/>
  <c r="BR206" i="25"/>
  <c r="BX206" i="25" s="1"/>
  <c r="BE206" i="25"/>
  <c r="BC25" i="25"/>
  <c r="BT25" i="25" s="1"/>
  <c r="BB25" i="25"/>
  <c r="BS25" i="25" s="1"/>
  <c r="BA25" i="25"/>
  <c r="BM242" i="24"/>
  <c r="BN242" i="24" s="1"/>
  <c r="BM253" i="24"/>
  <c r="BN253" i="24" s="1"/>
  <c r="BE293" i="25"/>
  <c r="BR293" i="25"/>
  <c r="BX293" i="25" s="1"/>
  <c r="BG287" i="24"/>
  <c r="BS287" i="24"/>
  <c r="BX287" i="24" s="1"/>
  <c r="BC18" i="25"/>
  <c r="BT18" i="25" s="1"/>
  <c r="BB18" i="25"/>
  <c r="BS18" i="25" s="1"/>
  <c r="BA18" i="25"/>
  <c r="BG225" i="24"/>
  <c r="BS225" i="24"/>
  <c r="BX225" i="24" s="1"/>
  <c r="BA274" i="25"/>
  <c r="BB274" i="25"/>
  <c r="BS274" i="25" s="1"/>
  <c r="BC274" i="25"/>
  <c r="BT274" i="25" s="1"/>
  <c r="BC233" i="25"/>
  <c r="BT233" i="25" s="1"/>
  <c r="BA233" i="25"/>
  <c r="BB233" i="25"/>
  <c r="BS233" i="25" s="1"/>
  <c r="BG11" i="24"/>
  <c r="BM11" i="24" s="1"/>
  <c r="BS11" i="24"/>
  <c r="BV11" i="24" s="1"/>
  <c r="BX11" i="24" s="1"/>
  <c r="BS134" i="24"/>
  <c r="BX134" i="24" s="1"/>
  <c r="BG134" i="24"/>
  <c r="BB185" i="25"/>
  <c r="BS185" i="25" s="1"/>
  <c r="BC185" i="25"/>
  <c r="BT185" i="25" s="1"/>
  <c r="BA185" i="25"/>
  <c r="BE232" i="25"/>
  <c r="BR232" i="25"/>
  <c r="BX232" i="25" s="1"/>
  <c r="V437" i="29"/>
  <c r="U437" i="29"/>
  <c r="U509" i="29"/>
  <c r="V509" i="29"/>
  <c r="U124" i="29"/>
  <c r="V124" i="29"/>
  <c r="U537" i="29"/>
  <c r="V537" i="29"/>
  <c r="BN33" i="24"/>
  <c r="BC128" i="25"/>
  <c r="BT128" i="25" s="1"/>
  <c r="BA128" i="25"/>
  <c r="BB128" i="25"/>
  <c r="BS128" i="25" s="1"/>
  <c r="BB194" i="25"/>
  <c r="BS194" i="25" s="1"/>
  <c r="BC194" i="25"/>
  <c r="BT194" i="25" s="1"/>
  <c r="BA194" i="25"/>
  <c r="BG204" i="24"/>
  <c r="BS204" i="24"/>
  <c r="BX204" i="24" s="1"/>
  <c r="BG166" i="24"/>
  <c r="BS166" i="24"/>
  <c r="BX166" i="24" s="1"/>
  <c r="BB136" i="25"/>
  <c r="BS136" i="25" s="1"/>
  <c r="BC136" i="25"/>
  <c r="BT136" i="25" s="1"/>
  <c r="BA136" i="25"/>
  <c r="BA100" i="25"/>
  <c r="BB100" i="25"/>
  <c r="BS100" i="25" s="1"/>
  <c r="BC100" i="25"/>
  <c r="BT100" i="25" s="1"/>
  <c r="BG161" i="24"/>
  <c r="BS161" i="24"/>
  <c r="BX161" i="24" s="1"/>
  <c r="BB48" i="25"/>
  <c r="BS48" i="25" s="1"/>
  <c r="BA48" i="25"/>
  <c r="BC48" i="25"/>
  <c r="BT48" i="25" s="1"/>
  <c r="BY132" i="24"/>
  <c r="CA132" i="24" s="1"/>
  <c r="BM132" i="24"/>
  <c r="BN132" i="24" s="1"/>
  <c r="BS273" i="24"/>
  <c r="BX273" i="24" s="1"/>
  <c r="BG273" i="24"/>
  <c r="BE189" i="25"/>
  <c r="BR189" i="25"/>
  <c r="BX189" i="25" s="1"/>
  <c r="BA124" i="25"/>
  <c r="BC124" i="25"/>
  <c r="BT124" i="25" s="1"/>
  <c r="BB124" i="25"/>
  <c r="BS124" i="25" s="1"/>
  <c r="BS38" i="24"/>
  <c r="BV38" i="24" s="1"/>
  <c r="BX38" i="24" s="1"/>
  <c r="BG38" i="24"/>
  <c r="BM38" i="24" s="1"/>
  <c r="BA67" i="25"/>
  <c r="BC67" i="25"/>
  <c r="BT67" i="25" s="1"/>
  <c r="BB67" i="25"/>
  <c r="BS67" i="25" s="1"/>
  <c r="BG14" i="24"/>
  <c r="BM14" i="24" s="1"/>
  <c r="BS14" i="24"/>
  <c r="BV14" i="24" s="1"/>
  <c r="BX14" i="24" s="1"/>
  <c r="BG137" i="24"/>
  <c r="BS137" i="24"/>
  <c r="BX137" i="24" s="1"/>
  <c r="BY162" i="24"/>
  <c r="CA162" i="24" s="1"/>
  <c r="BM162" i="24"/>
  <c r="BN162" i="24" s="1"/>
  <c r="BG122" i="24"/>
  <c r="BS122" i="24"/>
  <c r="BX122" i="24" s="1"/>
  <c r="BA270" i="25"/>
  <c r="BC270" i="25"/>
  <c r="BT270" i="25" s="1"/>
  <c r="BB270" i="25"/>
  <c r="BS270" i="25" s="1"/>
  <c r="BY111" i="24"/>
  <c r="CA111" i="24" s="1"/>
  <c r="BM111" i="24"/>
  <c r="BN111" i="24" s="1"/>
  <c r="BS256" i="24"/>
  <c r="BX256" i="24" s="1"/>
  <c r="BG256" i="24"/>
  <c r="BE276" i="25"/>
  <c r="BR276" i="25"/>
  <c r="BX276" i="25" s="1"/>
  <c r="BG75" i="24"/>
  <c r="BM75" i="24" s="1"/>
  <c r="BS75" i="24"/>
  <c r="BV75" i="24" s="1"/>
  <c r="BX75" i="24" s="1"/>
  <c r="BB241" i="25"/>
  <c r="BS241" i="25" s="1"/>
  <c r="BC241" i="25"/>
  <c r="BT241" i="25" s="1"/>
  <c r="BA241" i="25"/>
  <c r="BY119" i="24"/>
  <c r="CA119" i="24" s="1"/>
  <c r="BM119" i="24"/>
  <c r="BN119" i="24" s="1"/>
  <c r="BG31" i="24"/>
  <c r="BM31" i="24" s="1"/>
  <c r="BS31" i="24"/>
  <c r="BV31" i="24" s="1"/>
  <c r="BX31" i="24" s="1"/>
  <c r="BB139" i="25"/>
  <c r="BS139" i="25" s="1"/>
  <c r="BC139" i="25"/>
  <c r="BT139" i="25" s="1"/>
  <c r="BA139" i="25"/>
  <c r="BS29" i="24"/>
  <c r="BV29" i="24" s="1"/>
  <c r="BX29" i="24" s="1"/>
  <c r="BG29" i="24"/>
  <c r="BM29" i="24" s="1"/>
  <c r="BY259" i="24"/>
  <c r="CA259" i="24" s="1"/>
  <c r="CB259" i="24" s="1"/>
  <c r="BM259" i="24"/>
  <c r="BN259" i="24" s="1"/>
  <c r="BA223" i="25"/>
  <c r="BC223" i="25"/>
  <c r="BT223" i="25" s="1"/>
  <c r="BB223" i="25"/>
  <c r="BS223" i="25" s="1"/>
  <c r="BA102" i="25"/>
  <c r="BB102" i="25"/>
  <c r="BS102" i="25" s="1"/>
  <c r="BC102" i="25"/>
  <c r="BT102" i="25" s="1"/>
  <c r="BA188" i="25"/>
  <c r="BC188" i="25"/>
  <c r="BT188" i="25" s="1"/>
  <c r="BB188" i="25"/>
  <c r="BS188" i="25" s="1"/>
  <c r="BG187" i="24"/>
  <c r="BS187" i="24"/>
  <c r="BX187" i="24" s="1"/>
  <c r="BE96" i="25"/>
  <c r="BK96" i="25" s="1"/>
  <c r="BR96" i="25"/>
  <c r="BV96" i="25" s="1"/>
  <c r="BX96" i="25" s="1"/>
  <c r="BA284" i="25"/>
  <c r="BB284" i="25"/>
  <c r="BS284" i="25" s="1"/>
  <c r="BC284" i="25"/>
  <c r="BT284" i="25" s="1"/>
  <c r="BC44" i="25"/>
  <c r="BT44" i="25" s="1"/>
  <c r="BB44" i="25"/>
  <c r="BS44" i="25" s="1"/>
  <c r="BA44" i="25"/>
  <c r="BG217" i="24"/>
  <c r="BS217" i="24"/>
  <c r="BX217" i="24" s="1"/>
  <c r="BE148" i="25"/>
  <c r="BR148" i="25"/>
  <c r="BX148" i="25" s="1"/>
  <c r="BB36" i="25"/>
  <c r="BS36" i="25" s="1"/>
  <c r="BA36" i="25"/>
  <c r="BC36" i="25"/>
  <c r="BT36" i="25" s="1"/>
  <c r="BG159" i="24"/>
  <c r="BS159" i="24"/>
  <c r="BX159" i="24" s="1"/>
  <c r="BA80" i="25"/>
  <c r="BB80" i="25"/>
  <c r="BS80" i="25" s="1"/>
  <c r="BC80" i="25"/>
  <c r="BT80" i="25" s="1"/>
  <c r="BB37" i="25"/>
  <c r="BS37" i="25" s="1"/>
  <c r="BC37" i="25"/>
  <c r="BT37" i="25" s="1"/>
  <c r="BA37" i="25"/>
  <c r="BG193" i="24"/>
  <c r="BS193" i="24"/>
  <c r="BX193" i="24" s="1"/>
  <c r="BA200" i="25"/>
  <c r="BB200" i="25"/>
  <c r="BS200" i="25" s="1"/>
  <c r="BC200" i="25"/>
  <c r="BT200" i="25" s="1"/>
  <c r="BS27" i="24"/>
  <c r="BV27" i="24" s="1"/>
  <c r="BX27" i="24" s="1"/>
  <c r="BG27" i="24"/>
  <c r="BM27" i="24" s="1"/>
  <c r="BB15" i="25"/>
  <c r="BS15" i="25" s="1"/>
  <c r="BC15" i="25"/>
  <c r="BT15" i="25" s="1"/>
  <c r="BA15" i="25"/>
  <c r="BE113" i="25"/>
  <c r="BR113" i="25"/>
  <c r="BX113" i="25" s="1"/>
  <c r="BG98" i="24"/>
  <c r="BM98" i="24" s="1"/>
  <c r="BS98" i="24"/>
  <c r="BV98" i="24" s="1"/>
  <c r="BX98" i="24" s="1"/>
  <c r="BG164" i="24"/>
  <c r="BS164" i="24"/>
  <c r="BX164" i="24" s="1"/>
  <c r="BE97" i="25"/>
  <c r="BK97" i="25" s="1"/>
  <c r="BR97" i="25"/>
  <c r="BV97" i="25" s="1"/>
  <c r="BX97" i="25" s="1"/>
  <c r="BG235" i="24"/>
  <c r="BS235" i="24"/>
  <c r="BX235" i="24" s="1"/>
  <c r="BA121" i="25"/>
  <c r="BB121" i="25"/>
  <c r="BS121" i="25" s="1"/>
  <c r="BC121" i="25"/>
  <c r="BT121" i="25" s="1"/>
  <c r="BB219" i="25"/>
  <c r="BS219" i="25" s="1"/>
  <c r="BC219" i="25"/>
  <c r="BT219" i="25" s="1"/>
  <c r="BA219" i="25"/>
  <c r="BG102" i="24"/>
  <c r="BM102" i="24" s="1"/>
  <c r="BS102" i="24"/>
  <c r="BV102" i="24" s="1"/>
  <c r="BX102" i="24" s="1"/>
  <c r="BG291" i="24"/>
  <c r="BS291" i="24"/>
  <c r="BX291" i="24" s="1"/>
  <c r="BS80" i="24"/>
  <c r="BV80" i="24" s="1"/>
  <c r="BX80" i="24" s="1"/>
  <c r="BG80" i="24"/>
  <c r="BM80" i="24" s="1"/>
  <c r="BA88" i="25"/>
  <c r="BC88" i="25"/>
  <c r="BT88" i="25" s="1"/>
  <c r="BB88" i="25"/>
  <c r="BS88" i="25" s="1"/>
  <c r="BA117" i="25"/>
  <c r="BC117" i="25"/>
  <c r="BT117" i="25" s="1"/>
  <c r="BB117" i="25"/>
  <c r="BS117" i="25" s="1"/>
  <c r="BB99" i="25"/>
  <c r="BS99" i="25" s="1"/>
  <c r="BC99" i="25"/>
  <c r="BT99" i="25" s="1"/>
  <c r="BA99" i="25"/>
  <c r="BA316" i="25"/>
  <c r="BC316" i="25"/>
  <c r="BT316" i="25" s="1"/>
  <c r="BB316" i="25"/>
  <c r="BS316" i="25" s="1"/>
  <c r="BC39" i="25"/>
  <c r="BT39" i="25" s="1"/>
  <c r="BA39" i="25"/>
  <c r="BB39" i="25"/>
  <c r="BS39" i="25" s="1"/>
  <c r="BG277" i="24"/>
  <c r="BS277" i="24"/>
  <c r="BX277" i="24" s="1"/>
  <c r="BS92" i="24"/>
  <c r="BV92" i="24" s="1"/>
  <c r="BX92" i="24" s="1"/>
  <c r="BG92" i="24"/>
  <c r="BM92" i="24" s="1"/>
  <c r="BM112" i="24"/>
  <c r="BN112" i="24" s="1"/>
  <c r="BY135" i="24"/>
  <c r="CA135" i="24" s="1"/>
  <c r="BM135" i="24"/>
  <c r="BN135" i="24" s="1"/>
  <c r="BA93" i="25"/>
  <c r="BC93" i="25"/>
  <c r="BT93" i="25" s="1"/>
  <c r="BB93" i="25"/>
  <c r="BS93" i="25" s="1"/>
  <c r="BG303" i="24"/>
  <c r="BS303" i="24"/>
  <c r="BX303" i="24" s="1"/>
  <c r="BS231" i="24"/>
  <c r="BX231" i="24" s="1"/>
  <c r="BG231" i="24"/>
  <c r="BM232" i="24"/>
  <c r="BN232" i="24" s="1"/>
  <c r="BG210" i="24"/>
  <c r="E19" i="1"/>
  <c r="BS210" i="24"/>
  <c r="BX210" i="24" s="1"/>
  <c r="BM247" i="24"/>
  <c r="BN247" i="24" s="1"/>
  <c r="BG150" i="24"/>
  <c r="BS150" i="24"/>
  <c r="BX150" i="24" s="1"/>
  <c r="BM305" i="24"/>
  <c r="BN305" i="24" s="1"/>
  <c r="BG315" i="24"/>
  <c r="BS315" i="24"/>
  <c r="BX315" i="24" s="1"/>
  <c r="BG146" i="24"/>
  <c r="BS146" i="24"/>
  <c r="BX146" i="24" s="1"/>
  <c r="BB299" i="25"/>
  <c r="BS299" i="25" s="1"/>
  <c r="BC299" i="25"/>
  <c r="BT299" i="25" s="1"/>
  <c r="BA299" i="25"/>
  <c r="BG254" i="24"/>
  <c r="BS254" i="24"/>
  <c r="BX254" i="24" s="1"/>
  <c r="U61" i="29"/>
  <c r="V61" i="29"/>
  <c r="BA165" i="25"/>
  <c r="BC165" i="25"/>
  <c r="BT165" i="25" s="1"/>
  <c r="BB165" i="25"/>
  <c r="BS165" i="25" s="1"/>
  <c r="BG172" i="24"/>
  <c r="BS172" i="24"/>
  <c r="BX172" i="24" s="1"/>
  <c r="BG165" i="24"/>
  <c r="BS165" i="24"/>
  <c r="BX165" i="24" s="1"/>
  <c r="BG239" i="24"/>
  <c r="BS239" i="24"/>
  <c r="BX239" i="24" s="1"/>
  <c r="BS72" i="24"/>
  <c r="BV72" i="24" s="1"/>
  <c r="BX72" i="24" s="1"/>
  <c r="BG72" i="24"/>
  <c r="BM72" i="24" s="1"/>
  <c r="BC191" i="25"/>
  <c r="BT191" i="25" s="1"/>
  <c r="BA191" i="25"/>
  <c r="BB191" i="25"/>
  <c r="BS191" i="25" s="1"/>
  <c r="BG143" i="24"/>
  <c r="BS143" i="24"/>
  <c r="BX143" i="24" s="1"/>
  <c r="BS57" i="24"/>
  <c r="BV57" i="24" s="1"/>
  <c r="BX57" i="24" s="1"/>
  <c r="BG57" i="24"/>
  <c r="BM57" i="24" s="1"/>
  <c r="BA58" i="25"/>
  <c r="BB58" i="25"/>
  <c r="BS58" i="25" s="1"/>
  <c r="BC58" i="25"/>
  <c r="BT58" i="25" s="1"/>
  <c r="BS83" i="24"/>
  <c r="BV83" i="24" s="1"/>
  <c r="BX83" i="24" s="1"/>
  <c r="BG83" i="24"/>
  <c r="BM83" i="24" s="1"/>
  <c r="BR199" i="25"/>
  <c r="BX199" i="25" s="1"/>
  <c r="BE199" i="25"/>
  <c r="BB225" i="25"/>
  <c r="BS225" i="25" s="1"/>
  <c r="BA225" i="25"/>
  <c r="BC225" i="25"/>
  <c r="BT225" i="25" s="1"/>
  <c r="BB187" i="25"/>
  <c r="BS187" i="25" s="1"/>
  <c r="BC187" i="25"/>
  <c r="BT187" i="25" s="1"/>
  <c r="BA187" i="25"/>
  <c r="BA245" i="25"/>
  <c r="BC245" i="25"/>
  <c r="BT245" i="25" s="1"/>
  <c r="BB245" i="25"/>
  <c r="BS245" i="25" s="1"/>
  <c r="BC115" i="25"/>
  <c r="BT115" i="25" s="1"/>
  <c r="BB115" i="25"/>
  <c r="BS115" i="25" s="1"/>
  <c r="BA115" i="25"/>
  <c r="BS48" i="24"/>
  <c r="BV48" i="24" s="1"/>
  <c r="BX48" i="24" s="1"/>
  <c r="BG48" i="24"/>
  <c r="BM48" i="24" s="1"/>
  <c r="BB279" i="25"/>
  <c r="BS279" i="25" s="1"/>
  <c r="BC279" i="25"/>
  <c r="BT279" i="25" s="1"/>
  <c r="BA279" i="25"/>
  <c r="BS100" i="24"/>
  <c r="BV100" i="24" s="1"/>
  <c r="BX100" i="24" s="1"/>
  <c r="BG100" i="24"/>
  <c r="BM100" i="24" s="1"/>
  <c r="BS16" i="24"/>
  <c r="BV16" i="24" s="1"/>
  <c r="BX16" i="24" s="1"/>
  <c r="BG16" i="24"/>
  <c r="BM16" i="24" s="1"/>
  <c r="BG313" i="24"/>
  <c r="BS313" i="24"/>
  <c r="BX313" i="24" s="1"/>
  <c r="BS51" i="24"/>
  <c r="BV51" i="24" s="1"/>
  <c r="BX51" i="24" s="1"/>
  <c r="BG51" i="24"/>
  <c r="BM51" i="24" s="1"/>
  <c r="BG311" i="24"/>
  <c r="BS311" i="24"/>
  <c r="BX311" i="24" s="1"/>
  <c r="BB85" i="25"/>
  <c r="BS85" i="25" s="1"/>
  <c r="BC85" i="25"/>
  <c r="BT85" i="25" s="1"/>
  <c r="BA85" i="25"/>
  <c r="BE292" i="25"/>
  <c r="BR292" i="25"/>
  <c r="BX292" i="25" s="1"/>
  <c r="BG306" i="24"/>
  <c r="BS306" i="24"/>
  <c r="BX306" i="24" s="1"/>
  <c r="BB66" i="25"/>
  <c r="BS66" i="25" s="1"/>
  <c r="BA66" i="25"/>
  <c r="BC66" i="25"/>
  <c r="BT66" i="25" s="1"/>
  <c r="U508" i="29" l="1"/>
  <c r="V541" i="29"/>
  <c r="V544" i="29"/>
  <c r="V352" i="29"/>
  <c r="CB120" i="24"/>
  <c r="CF120" i="24"/>
  <c r="CB130" i="24"/>
  <c r="CF130" i="24"/>
  <c r="CB236" i="24"/>
  <c r="CF236" i="24"/>
  <c r="V521" i="29"/>
  <c r="X521" i="29" s="1"/>
  <c r="Y521" i="29" s="1"/>
  <c r="CB224" i="24"/>
  <c r="CF224" i="24"/>
  <c r="AP212" i="25"/>
  <c r="BG212" i="25"/>
  <c r="BJ212" i="25" s="1"/>
  <c r="V63" i="29"/>
  <c r="AH63" i="29" s="1"/>
  <c r="U584" i="29"/>
  <c r="AG584" i="29" s="1"/>
  <c r="U380" i="29"/>
  <c r="AG380" i="29" s="1"/>
  <c r="V591" i="29"/>
  <c r="X591" i="29" s="1"/>
  <c r="Y591" i="29" s="1"/>
  <c r="U483" i="29"/>
  <c r="W483" i="29" s="1"/>
  <c r="U576" i="29"/>
  <c r="W576" i="29" s="1"/>
  <c r="CB132" i="24"/>
  <c r="CF132" i="24"/>
  <c r="CB233" i="24"/>
  <c r="CF233" i="24"/>
  <c r="CB21" i="24"/>
  <c r="CF21" i="24"/>
  <c r="CB22" i="24"/>
  <c r="CF22" i="24"/>
  <c r="CB119" i="24"/>
  <c r="CF119" i="24"/>
  <c r="U163" i="29"/>
  <c r="AG163" i="29" s="1"/>
  <c r="CB111" i="24"/>
  <c r="CF111" i="24"/>
  <c r="V536" i="29"/>
  <c r="AH536" i="29" s="1"/>
  <c r="V551" i="29"/>
  <c r="AH551" i="29" s="1"/>
  <c r="BR265" i="25"/>
  <c r="BX265" i="25" s="1"/>
  <c r="V485" i="29"/>
  <c r="X485" i="29" s="1"/>
  <c r="Y485" i="29" s="1"/>
  <c r="V445" i="29"/>
  <c r="X445" i="29" s="1"/>
  <c r="Y445" i="29" s="1"/>
  <c r="V371" i="29"/>
  <c r="AH371" i="29" s="1"/>
  <c r="BM120" i="24"/>
  <c r="BN120" i="24" s="1"/>
  <c r="U225" i="29"/>
  <c r="AG225" i="29" s="1"/>
  <c r="V393" i="29"/>
  <c r="AH393" i="29" s="1"/>
  <c r="V478" i="29"/>
  <c r="AH478" i="29" s="1"/>
  <c r="U24" i="29"/>
  <c r="W24" i="29" s="1"/>
  <c r="V74" i="29"/>
  <c r="AH74" i="29" s="1"/>
  <c r="V304" i="29"/>
  <c r="X304" i="29" s="1"/>
  <c r="Y304" i="29" s="1"/>
  <c r="V66" i="29"/>
  <c r="AH66" i="29" s="1"/>
  <c r="V271" i="29"/>
  <c r="X271" i="29" s="1"/>
  <c r="Y271" i="29" s="1"/>
  <c r="U566" i="29"/>
  <c r="AG566" i="29" s="1"/>
  <c r="U148" i="29"/>
  <c r="W148" i="29" s="1"/>
  <c r="V212" i="29"/>
  <c r="AH212" i="29" s="1"/>
  <c r="V181" i="29"/>
  <c r="AH181" i="29" s="1"/>
  <c r="U223" i="29"/>
  <c r="AG223" i="29" s="1"/>
  <c r="U261" i="29"/>
  <c r="AG261" i="29" s="1"/>
  <c r="V59" i="29"/>
  <c r="AH59" i="29" s="1"/>
  <c r="U137" i="29"/>
  <c r="AG137" i="29" s="1"/>
  <c r="V206" i="29"/>
  <c r="AH206" i="29" s="1"/>
  <c r="U279" i="29"/>
  <c r="W279" i="29" s="1"/>
  <c r="V374" i="29"/>
  <c r="X374" i="29" s="1"/>
  <c r="Y374" i="29" s="1"/>
  <c r="U253" i="29"/>
  <c r="AG253" i="29" s="1"/>
  <c r="U113" i="29"/>
  <c r="AG113" i="29" s="1"/>
  <c r="V159" i="29"/>
  <c r="X159" i="29" s="1"/>
  <c r="Y159" i="29" s="1"/>
  <c r="V602" i="29"/>
  <c r="AH602" i="29" s="1"/>
  <c r="U248" i="29"/>
  <c r="W248" i="29" s="1"/>
  <c r="U64" i="29"/>
  <c r="W64" i="29" s="1"/>
  <c r="V337" i="29"/>
  <c r="AH337" i="29" s="1"/>
  <c r="V363" i="29"/>
  <c r="AH363" i="29" s="1"/>
  <c r="V106" i="29"/>
  <c r="AH106" i="29" s="1"/>
  <c r="U606" i="29"/>
  <c r="W606" i="29" s="1"/>
  <c r="V46" i="29"/>
  <c r="X46" i="29" s="1"/>
  <c r="Y46" i="29" s="1"/>
  <c r="BY219" i="24"/>
  <c r="CA219" i="24" s="1"/>
  <c r="CB219" i="24" s="1"/>
  <c r="BM283" i="24"/>
  <c r="BN283" i="24" s="1"/>
  <c r="BY295" i="24"/>
  <c r="CA295" i="24" s="1"/>
  <c r="CB295" i="24" s="1"/>
  <c r="U85" i="29"/>
  <c r="W85" i="29" s="1"/>
  <c r="CB257" i="24"/>
  <c r="CF257" i="24"/>
  <c r="CB101" i="24"/>
  <c r="CF101" i="24"/>
  <c r="CB191" i="24"/>
  <c r="CF191" i="24"/>
  <c r="BY147" i="24"/>
  <c r="CA147" i="24" s="1"/>
  <c r="CB147" i="24" s="1"/>
  <c r="BY12" i="24"/>
  <c r="CA12" i="24" s="1"/>
  <c r="CB12" i="24" s="1"/>
  <c r="BY242" i="24"/>
  <c r="CA242" i="24" s="1"/>
  <c r="CB242" i="24" s="1"/>
  <c r="BY121" i="24"/>
  <c r="CA121" i="24" s="1"/>
  <c r="CB121" i="24" s="1"/>
  <c r="V71" i="29"/>
  <c r="X71" i="29" s="1"/>
  <c r="Y71" i="29" s="1"/>
  <c r="BN18" i="24"/>
  <c r="U19" i="29"/>
  <c r="AG19" i="29" s="1"/>
  <c r="V604" i="29"/>
  <c r="X604" i="29" s="1"/>
  <c r="Y604" i="29" s="1"/>
  <c r="U266" i="29"/>
  <c r="W266" i="29" s="1"/>
  <c r="BR154" i="25"/>
  <c r="BX154" i="25" s="1"/>
  <c r="BY265" i="24"/>
  <c r="CA265" i="24" s="1"/>
  <c r="CB265" i="24" s="1"/>
  <c r="U603" i="29"/>
  <c r="AG603" i="29" s="1"/>
  <c r="V309" i="29"/>
  <c r="AH309" i="29" s="1"/>
  <c r="U379" i="29"/>
  <c r="W379" i="29" s="1"/>
  <c r="U338" i="29"/>
  <c r="W338" i="29" s="1"/>
  <c r="U507" i="29"/>
  <c r="AG507" i="29" s="1"/>
  <c r="BY112" i="24"/>
  <c r="CA112" i="24" s="1"/>
  <c r="CB112" i="24" s="1"/>
  <c r="U284" i="29"/>
  <c r="W284" i="29" s="1"/>
  <c r="BX130" i="24"/>
  <c r="U322" i="29"/>
  <c r="AG322" i="29" s="1"/>
  <c r="V384" i="29"/>
  <c r="AH384" i="29" s="1"/>
  <c r="V168" i="29"/>
  <c r="X168" i="29" s="1"/>
  <c r="Y168" i="29" s="1"/>
  <c r="U186" i="29"/>
  <c r="W186" i="29" s="1"/>
  <c r="U105" i="29"/>
  <c r="W105" i="29" s="1"/>
  <c r="V205" i="29"/>
  <c r="X205" i="29" s="1"/>
  <c r="Y205" i="29" s="1"/>
  <c r="U562" i="29"/>
  <c r="AG562" i="29" s="1"/>
  <c r="U198" i="29"/>
  <c r="AG198" i="29" s="1"/>
  <c r="V367" i="29"/>
  <c r="AH367" i="29" s="1"/>
  <c r="V578" i="29"/>
  <c r="AH578" i="29" s="1"/>
  <c r="U608" i="29"/>
  <c r="W608" i="29" s="1"/>
  <c r="BY6" i="24"/>
  <c r="CA6" i="24" s="1"/>
  <c r="U373" i="29"/>
  <c r="AG373" i="29" s="1"/>
  <c r="V391" i="29"/>
  <c r="AH391" i="29" s="1"/>
  <c r="V257" i="29"/>
  <c r="AH257" i="29" s="1"/>
  <c r="V22" i="29"/>
  <c r="X22" i="29" s="1"/>
  <c r="Y22" i="29" s="1"/>
  <c r="U511" i="29"/>
  <c r="W511" i="29" s="1"/>
  <c r="U417" i="29"/>
  <c r="W417" i="29" s="1"/>
  <c r="BY238" i="24"/>
  <c r="CA238" i="24" s="1"/>
  <c r="U207" i="29"/>
  <c r="AG207" i="29" s="1"/>
  <c r="U111" i="29"/>
  <c r="W111" i="29" s="1"/>
  <c r="V553" i="29"/>
  <c r="AH553" i="29" s="1"/>
  <c r="U362" i="29"/>
  <c r="W362" i="29" s="1"/>
  <c r="U343" i="29"/>
  <c r="AG343" i="29" s="1"/>
  <c r="V340" i="29"/>
  <c r="AH340" i="29" s="1"/>
  <c r="V54" i="29"/>
  <c r="AH54" i="29" s="1"/>
  <c r="BY279" i="24"/>
  <c r="CA279" i="24" s="1"/>
  <c r="CB279" i="24" s="1"/>
  <c r="U108" i="29"/>
  <c r="AG108" i="29" s="1"/>
  <c r="V358" i="29"/>
  <c r="X358" i="29" s="1"/>
  <c r="Y358" i="29" s="1"/>
  <c r="BY27" i="24"/>
  <c r="CA27" i="24" s="1"/>
  <c r="CB27" i="24" s="1"/>
  <c r="V457" i="29"/>
  <c r="AH457" i="29" s="1"/>
  <c r="V79" i="29"/>
  <c r="AH79" i="29" s="1"/>
  <c r="V370" i="29"/>
  <c r="AH370" i="29" s="1"/>
  <c r="V276" i="29"/>
  <c r="AH276" i="29" s="1"/>
  <c r="U348" i="29"/>
  <c r="AG348" i="29" s="1"/>
  <c r="BY298" i="24"/>
  <c r="CA298" i="24" s="1"/>
  <c r="CB298" i="24" s="1"/>
  <c r="V317" i="29"/>
  <c r="AH317" i="29" s="1"/>
  <c r="U252" i="29"/>
  <c r="W252" i="29" s="1"/>
  <c r="U365" i="29"/>
  <c r="W365" i="29" s="1"/>
  <c r="V203" i="29"/>
  <c r="X203" i="29" s="1"/>
  <c r="Y203" i="29" s="1"/>
  <c r="U70" i="29"/>
  <c r="AG70" i="29" s="1"/>
  <c r="U357" i="29"/>
  <c r="AG357" i="29" s="1"/>
  <c r="V258" i="29"/>
  <c r="AH258" i="29" s="1"/>
  <c r="U123" i="29"/>
  <c r="W123" i="29" s="1"/>
  <c r="BY299" i="24"/>
  <c r="CA299" i="24" s="1"/>
  <c r="U109" i="29"/>
  <c r="AG109" i="29" s="1"/>
  <c r="U560" i="29"/>
  <c r="W560" i="29" s="1"/>
  <c r="V466" i="29"/>
  <c r="X466" i="29" s="1"/>
  <c r="Y466" i="29" s="1"/>
  <c r="U107" i="29"/>
  <c r="AG107" i="29" s="1"/>
  <c r="U475" i="29"/>
  <c r="W475" i="29" s="1"/>
  <c r="CB55" i="24"/>
  <c r="B287" i="2" s="1"/>
  <c r="CF55" i="24"/>
  <c r="U115" i="29"/>
  <c r="AG115" i="29" s="1"/>
  <c r="U254" i="29"/>
  <c r="AG254" i="29" s="1"/>
  <c r="V80" i="29"/>
  <c r="AH80" i="29" s="1"/>
  <c r="V516" i="29"/>
  <c r="X516" i="29" s="1"/>
  <c r="Y516" i="29" s="1"/>
  <c r="V563" i="29"/>
  <c r="AH563" i="29" s="1"/>
  <c r="V34" i="29"/>
  <c r="X34" i="29" s="1"/>
  <c r="Y34" i="29" s="1"/>
  <c r="V408" i="29"/>
  <c r="AH408" i="29" s="1"/>
  <c r="V501" i="29"/>
  <c r="AH501" i="29" s="1"/>
  <c r="U429" i="29"/>
  <c r="AG429" i="29" s="1"/>
  <c r="U156" i="29"/>
  <c r="AG156" i="29" s="1"/>
  <c r="V151" i="29"/>
  <c r="AH151" i="29" s="1"/>
  <c r="U49" i="29"/>
  <c r="AG49" i="29" s="1"/>
  <c r="U587" i="29"/>
  <c r="AG587" i="29" s="1"/>
  <c r="V582" i="29"/>
  <c r="AH582" i="29" s="1"/>
  <c r="V217" i="29"/>
  <c r="AH217" i="29" s="1"/>
  <c r="U611" i="29"/>
  <c r="W611" i="29" s="1"/>
  <c r="V359" i="29"/>
  <c r="X359" i="29" s="1"/>
  <c r="Y359" i="29" s="1"/>
  <c r="U557" i="29"/>
  <c r="AG557" i="29" s="1"/>
  <c r="BY24" i="24"/>
  <c r="CA24" i="24" s="1"/>
  <c r="CB24" i="24" s="1"/>
  <c r="U166" i="29"/>
  <c r="AG166" i="29" s="1"/>
  <c r="U104" i="29"/>
  <c r="W104" i="29" s="1"/>
  <c r="U153" i="29"/>
  <c r="AG153" i="29" s="1"/>
  <c r="V589" i="29"/>
  <c r="X589" i="29" s="1"/>
  <c r="Y589" i="29" s="1"/>
  <c r="U98" i="29"/>
  <c r="AG98" i="29" s="1"/>
  <c r="V292" i="29"/>
  <c r="AH292" i="29" s="1"/>
  <c r="U513" i="29"/>
  <c r="W513" i="29" s="1"/>
  <c r="V613" i="29"/>
  <c r="AH613" i="29" s="1"/>
  <c r="V477" i="29"/>
  <c r="X477" i="29" s="1"/>
  <c r="Y477" i="29" s="1"/>
  <c r="U52" i="29"/>
  <c r="AG52" i="29" s="1"/>
  <c r="U204" i="29"/>
  <c r="W204" i="29" s="1"/>
  <c r="BY282" i="24"/>
  <c r="CA282" i="24" s="1"/>
  <c r="CB282" i="24" s="1"/>
  <c r="U571" i="29"/>
  <c r="AG571" i="29" s="1"/>
  <c r="V161" i="29"/>
  <c r="X161" i="29" s="1"/>
  <c r="Y161" i="29" s="1"/>
  <c r="V235" i="29"/>
  <c r="X235" i="29" s="1"/>
  <c r="Y235" i="29" s="1"/>
  <c r="U598" i="29"/>
  <c r="AG598" i="29" s="1"/>
  <c r="U144" i="29"/>
  <c r="W144" i="29" s="1"/>
  <c r="V510" i="29"/>
  <c r="X510" i="29" s="1"/>
  <c r="Y510" i="29" s="1"/>
  <c r="U515" i="29"/>
  <c r="W515" i="29" s="1"/>
  <c r="V471" i="29"/>
  <c r="AH471" i="29" s="1"/>
  <c r="BY305" i="24"/>
  <c r="CA305" i="24" s="1"/>
  <c r="V127" i="29"/>
  <c r="X127" i="29" s="1"/>
  <c r="Y127" i="29" s="1"/>
  <c r="U216" i="29"/>
  <c r="AG216" i="29" s="1"/>
  <c r="U326" i="29"/>
  <c r="AG326" i="29" s="1"/>
  <c r="BY296" i="24"/>
  <c r="CA296" i="24" s="1"/>
  <c r="CB296" i="24" s="1"/>
  <c r="U555" i="29"/>
  <c r="W555" i="29" s="1"/>
  <c r="V361" i="29"/>
  <c r="X361" i="29" s="1"/>
  <c r="Y361" i="29" s="1"/>
  <c r="V397" i="29"/>
  <c r="X397" i="29" s="1"/>
  <c r="Y397" i="29" s="1"/>
  <c r="U493" i="29"/>
  <c r="AG493" i="29" s="1"/>
  <c r="V229" i="29"/>
  <c r="X229" i="29" s="1"/>
  <c r="Y229" i="29" s="1"/>
  <c r="V35" i="29"/>
  <c r="AH35" i="29" s="1"/>
  <c r="V470" i="29"/>
  <c r="X470" i="29" s="1"/>
  <c r="Y470" i="29" s="1"/>
  <c r="V577" i="29"/>
  <c r="X577" i="29" s="1"/>
  <c r="Y577" i="29" s="1"/>
  <c r="V586" i="29"/>
  <c r="AH586" i="29" s="1"/>
  <c r="U270" i="29"/>
  <c r="AG270" i="29" s="1"/>
  <c r="U90" i="29"/>
  <c r="AG90" i="29" s="1"/>
  <c r="V241" i="29"/>
  <c r="AH241" i="29" s="1"/>
  <c r="U325" i="29"/>
  <c r="W325" i="29" s="1"/>
  <c r="V377" i="29"/>
  <c r="AH377" i="29" s="1"/>
  <c r="U532" i="29"/>
  <c r="W532" i="29" s="1"/>
  <c r="V339" i="29"/>
  <c r="X339" i="29" s="1"/>
  <c r="Y339" i="29" s="1"/>
  <c r="U194" i="29"/>
  <c r="W194" i="29" s="1"/>
  <c r="U347" i="29"/>
  <c r="AG347" i="29" s="1"/>
  <c r="V152" i="29"/>
  <c r="X152" i="29" s="1"/>
  <c r="Y152" i="29" s="1"/>
  <c r="V345" i="29"/>
  <c r="X345" i="29" s="1"/>
  <c r="Y345" i="29" s="1"/>
  <c r="V256" i="29"/>
  <c r="X256" i="29" s="1"/>
  <c r="Y256" i="29" s="1"/>
  <c r="U89" i="29"/>
  <c r="AG89" i="29" s="1"/>
  <c r="BY232" i="24"/>
  <c r="CA232" i="24" s="1"/>
  <c r="V220" i="29"/>
  <c r="AH220" i="29" s="1"/>
  <c r="U559" i="29"/>
  <c r="W559" i="29" s="1"/>
  <c r="V299" i="29"/>
  <c r="AH299" i="29" s="1"/>
  <c r="V138" i="29"/>
  <c r="X138" i="29" s="1"/>
  <c r="Y138" i="29" s="1"/>
  <c r="V462" i="29"/>
  <c r="AH462" i="29" s="1"/>
  <c r="BY280" i="24"/>
  <c r="CA280" i="24" s="1"/>
  <c r="CB280" i="24" s="1"/>
  <c r="V597" i="29"/>
  <c r="X597" i="29" s="1"/>
  <c r="Y597" i="29" s="1"/>
  <c r="U185" i="29"/>
  <c r="AG185" i="29" s="1"/>
  <c r="U332" i="29"/>
  <c r="W332" i="29" s="1"/>
  <c r="U222" i="29"/>
  <c r="AG222" i="29" s="1"/>
  <c r="U480" i="29"/>
  <c r="AG480" i="29" s="1"/>
  <c r="V443" i="29"/>
  <c r="X443" i="29" s="1"/>
  <c r="Y443" i="29" s="1"/>
  <c r="V43" i="29"/>
  <c r="AH43" i="29" s="1"/>
  <c r="V331" i="29"/>
  <c r="AH331" i="29" s="1"/>
  <c r="U526" i="29"/>
  <c r="AG526" i="29" s="1"/>
  <c r="U122" i="29"/>
  <c r="AG122" i="29" s="1"/>
  <c r="V543" i="29"/>
  <c r="X543" i="29" s="1"/>
  <c r="Y543" i="29" s="1"/>
  <c r="BY54" i="24"/>
  <c r="CA54" i="24" s="1"/>
  <c r="V53" i="29"/>
  <c r="AH53" i="29" s="1"/>
  <c r="V468" i="29"/>
  <c r="X468" i="29" s="1"/>
  <c r="Y468" i="29" s="1"/>
  <c r="V404" i="29"/>
  <c r="AH404" i="29" s="1"/>
  <c r="V233" i="29"/>
  <c r="AH233" i="29" s="1"/>
  <c r="U289" i="29"/>
  <c r="AG289" i="29" s="1"/>
  <c r="V327" i="29"/>
  <c r="AH327" i="29" s="1"/>
  <c r="V93" i="29"/>
  <c r="X93" i="29" s="1"/>
  <c r="Y93" i="29" s="1"/>
  <c r="U73" i="29"/>
  <c r="W73" i="29" s="1"/>
  <c r="U165" i="29"/>
  <c r="W165" i="29" s="1"/>
  <c r="V293" i="29"/>
  <c r="AH293" i="29" s="1"/>
  <c r="V402" i="29"/>
  <c r="AH402" i="29" s="1"/>
  <c r="V596" i="29"/>
  <c r="AH596" i="29" s="1"/>
  <c r="V590" i="29"/>
  <c r="X590" i="29" s="1"/>
  <c r="Y590" i="29" s="1"/>
  <c r="V580" i="29"/>
  <c r="AH580" i="29" s="1"/>
  <c r="BN28" i="24"/>
  <c r="V454" i="29"/>
  <c r="X454" i="29" s="1"/>
  <c r="Y454" i="29" s="1"/>
  <c r="U50" i="29"/>
  <c r="W50" i="29" s="1"/>
  <c r="U448" i="29"/>
  <c r="AG448" i="29" s="1"/>
  <c r="U556" i="29"/>
  <c r="AG556" i="29" s="1"/>
  <c r="V558" i="29"/>
  <c r="X558" i="29" s="1"/>
  <c r="Y558" i="29" s="1"/>
  <c r="V298" i="29"/>
  <c r="AH298" i="29" s="1"/>
  <c r="V400" i="29"/>
  <c r="X400" i="29" s="1"/>
  <c r="Y400" i="29" s="1"/>
  <c r="U242" i="29"/>
  <c r="AG242" i="29" s="1"/>
  <c r="BY253" i="24"/>
  <c r="CA253" i="24" s="1"/>
  <c r="CB253" i="24" s="1"/>
  <c r="V303" i="29"/>
  <c r="AH303" i="29" s="1"/>
  <c r="V503" i="29"/>
  <c r="AH503" i="29" s="1"/>
  <c r="U139" i="29"/>
  <c r="W139" i="29" s="1"/>
  <c r="V48" i="29"/>
  <c r="AH48" i="29" s="1"/>
  <c r="V308" i="29"/>
  <c r="AH308" i="29" s="1"/>
  <c r="V184" i="29"/>
  <c r="AH184" i="29" s="1"/>
  <c r="V546" i="29"/>
  <c r="X546" i="29" s="1"/>
  <c r="Y546" i="29" s="1"/>
  <c r="U246" i="29"/>
  <c r="W246" i="29" s="1"/>
  <c r="U387" i="29"/>
  <c r="W387" i="29" s="1"/>
  <c r="U610" i="29"/>
  <c r="AG610" i="29" s="1"/>
  <c r="V497" i="29"/>
  <c r="AH497" i="29" s="1"/>
  <c r="CB45" i="24"/>
  <c r="CF45" i="24"/>
  <c r="CB135" i="24"/>
  <c r="CF135" i="24"/>
  <c r="U530" i="29"/>
  <c r="W530" i="29" s="1"/>
  <c r="V96" i="29"/>
  <c r="X96" i="29" s="1"/>
  <c r="Y96" i="29" s="1"/>
  <c r="U439" i="29"/>
  <c r="AG439" i="29" s="1"/>
  <c r="U86" i="29"/>
  <c r="W86" i="29" s="1"/>
  <c r="V512" i="29"/>
  <c r="AH512" i="29" s="1"/>
  <c r="U218" i="29"/>
  <c r="AG218" i="29" s="1"/>
  <c r="U221" i="29"/>
  <c r="AG221" i="29" s="1"/>
  <c r="U350" i="29"/>
  <c r="AG350" i="29" s="1"/>
  <c r="BM224" i="24"/>
  <c r="BN224" i="24" s="1"/>
  <c r="V567" i="29"/>
  <c r="AH567" i="29" s="1"/>
  <c r="V414" i="29"/>
  <c r="AH414" i="29" s="1"/>
  <c r="U401" i="29"/>
  <c r="AG401" i="29" s="1"/>
  <c r="V214" i="29"/>
  <c r="X214" i="29" s="1"/>
  <c r="Y214" i="29" s="1"/>
  <c r="V29" i="29"/>
  <c r="AH29" i="29" s="1"/>
  <c r="U45" i="29"/>
  <c r="W45" i="29" s="1"/>
  <c r="U522" i="29"/>
  <c r="AG522" i="29" s="1"/>
  <c r="V30" i="29"/>
  <c r="AH30" i="29" s="1"/>
  <c r="V171" i="29"/>
  <c r="X171" i="29" s="1"/>
  <c r="Y171" i="29" s="1"/>
  <c r="U88" i="29"/>
  <c r="W88" i="29" s="1"/>
  <c r="V224" i="29"/>
  <c r="X224" i="29" s="1"/>
  <c r="Y224" i="29" s="1"/>
  <c r="V605" i="29"/>
  <c r="X605" i="29" s="1"/>
  <c r="Y605" i="29" s="1"/>
  <c r="V101" i="29"/>
  <c r="AH101" i="29" s="1"/>
  <c r="U234" i="29"/>
  <c r="AG234" i="29" s="1"/>
  <c r="V418" i="29"/>
  <c r="AH418" i="29" s="1"/>
  <c r="U529" i="29"/>
  <c r="AG529" i="29" s="1"/>
  <c r="U140" i="29"/>
  <c r="AG140" i="29" s="1"/>
  <c r="U133" i="29"/>
  <c r="AG133" i="29" s="1"/>
  <c r="V554" i="29"/>
  <c r="AH554" i="29" s="1"/>
  <c r="U465" i="29"/>
  <c r="AG465" i="29" s="1"/>
  <c r="U341" i="29"/>
  <c r="AG341" i="29" s="1"/>
  <c r="U291" i="29"/>
  <c r="AG291" i="29" s="1"/>
  <c r="V388" i="29"/>
  <c r="AH388" i="29" s="1"/>
  <c r="U594" i="29"/>
  <c r="W594" i="29" s="1"/>
  <c r="V552" i="29"/>
  <c r="AH552" i="29" s="1"/>
  <c r="V499" i="29"/>
  <c r="AH499" i="29" s="1"/>
  <c r="V354" i="29"/>
  <c r="X354" i="29" s="1"/>
  <c r="Y354" i="29" s="1"/>
  <c r="V334" i="29"/>
  <c r="AH334" i="29" s="1"/>
  <c r="U230" i="29"/>
  <c r="W230" i="29" s="1"/>
  <c r="V69" i="29"/>
  <c r="AH69" i="29" s="1"/>
  <c r="V479" i="29"/>
  <c r="AH479" i="29" s="1"/>
  <c r="V415" i="29"/>
  <c r="AH415" i="29" s="1"/>
  <c r="U286" i="29"/>
  <c r="W286" i="29" s="1"/>
  <c r="V167" i="29"/>
  <c r="AH167" i="29" s="1"/>
  <c r="V424" i="29"/>
  <c r="AH424" i="29" s="1"/>
  <c r="U147" i="29"/>
  <c r="AG147" i="29" s="1"/>
  <c r="U170" i="29"/>
  <c r="AG170" i="29" s="1"/>
  <c r="U294" i="29"/>
  <c r="W294" i="29" s="1"/>
  <c r="U319" i="29"/>
  <c r="W319" i="29" s="1"/>
  <c r="U25" i="29"/>
  <c r="AG25" i="29" s="1"/>
  <c r="V44" i="29"/>
  <c r="AH44" i="29" s="1"/>
  <c r="V190" i="29"/>
  <c r="X190" i="29" s="1"/>
  <c r="Y190" i="29" s="1"/>
  <c r="V376" i="29"/>
  <c r="AH376" i="29" s="1"/>
  <c r="V342" i="29"/>
  <c r="AH342" i="29" s="1"/>
  <c r="V413" i="29"/>
  <c r="AH413" i="29" s="1"/>
  <c r="V81" i="29"/>
  <c r="X81" i="29" s="1"/>
  <c r="Y81" i="29" s="1"/>
  <c r="U440" i="29"/>
  <c r="W440" i="29" s="1"/>
  <c r="U422" i="29"/>
  <c r="AG422" i="29" s="1"/>
  <c r="V428" i="29"/>
  <c r="AH428" i="29" s="1"/>
  <c r="V40" i="29"/>
  <c r="AH40" i="29" s="1"/>
  <c r="V268" i="29"/>
  <c r="AH268" i="29" s="1"/>
  <c r="U609" i="29"/>
  <c r="W609" i="29" s="1"/>
  <c r="V486" i="29"/>
  <c r="X486" i="29" s="1"/>
  <c r="Y486" i="29" s="1"/>
  <c r="V321" i="29"/>
  <c r="X321" i="29" s="1"/>
  <c r="Y321" i="29" s="1"/>
  <c r="U447" i="29"/>
  <c r="W447" i="29" s="1"/>
  <c r="U84" i="29"/>
  <c r="AG84" i="29" s="1"/>
  <c r="V208" i="29"/>
  <c r="X208" i="29" s="1"/>
  <c r="Y208" i="29" s="1"/>
  <c r="U180" i="29"/>
  <c r="W180" i="29" s="1"/>
  <c r="V274" i="29"/>
  <c r="AH274" i="29" s="1"/>
  <c r="U488" i="29"/>
  <c r="W488" i="29" s="1"/>
  <c r="V494" i="29"/>
  <c r="X494" i="29" s="1"/>
  <c r="Y494" i="29" s="1"/>
  <c r="U183" i="29"/>
  <c r="AG183" i="29" s="1"/>
  <c r="V114" i="29"/>
  <c r="AH114" i="29" s="1"/>
  <c r="U463" i="29"/>
  <c r="AG463" i="29" s="1"/>
  <c r="U474" i="29"/>
  <c r="AG474" i="29" s="1"/>
  <c r="U324" i="29"/>
  <c r="W324" i="29" s="1"/>
  <c r="V346" i="29"/>
  <c r="X346" i="29" s="1"/>
  <c r="Y346" i="29" s="1"/>
  <c r="U13" i="29"/>
  <c r="AG13" i="29" s="1"/>
  <c r="BY26" i="24"/>
  <c r="CA26" i="24" s="1"/>
  <c r="CB26" i="24" s="1"/>
  <c r="BY148" i="24"/>
  <c r="CA148" i="24" s="1"/>
  <c r="CB148" i="24" s="1"/>
  <c r="V550" i="29"/>
  <c r="X550" i="29" s="1"/>
  <c r="Y550" i="29" s="1"/>
  <c r="U406" i="29"/>
  <c r="AG406" i="29" s="1"/>
  <c r="V581" i="29"/>
  <c r="X581" i="29" s="1"/>
  <c r="Y581" i="29" s="1"/>
  <c r="U453" i="29"/>
  <c r="W453" i="29" s="1"/>
  <c r="U33" i="29"/>
  <c r="W33" i="29" s="1"/>
  <c r="V57" i="29"/>
  <c r="AH57" i="29" s="1"/>
  <c r="U187" i="29"/>
  <c r="AG187" i="29" s="1"/>
  <c r="V302" i="29"/>
  <c r="X302" i="29" s="1"/>
  <c r="Y302" i="29" s="1"/>
  <c r="V197" i="29"/>
  <c r="AH197" i="29" s="1"/>
  <c r="BY58" i="24"/>
  <c r="CA58" i="24" s="1"/>
  <c r="CB58" i="24" s="1"/>
  <c r="V239" i="29"/>
  <c r="X239" i="29" s="1"/>
  <c r="Y239" i="29" s="1"/>
  <c r="U154" i="29"/>
  <c r="AG154" i="29" s="1"/>
  <c r="U336" i="29"/>
  <c r="AG336" i="29" s="1"/>
  <c r="V333" i="29"/>
  <c r="X333" i="29" s="1"/>
  <c r="Y333" i="29" s="1"/>
  <c r="U32" i="29"/>
  <c r="W32" i="29" s="1"/>
  <c r="U412" i="29"/>
  <c r="AG412" i="29" s="1"/>
  <c r="V267" i="29"/>
  <c r="X267" i="29" s="1"/>
  <c r="Y267" i="29" s="1"/>
  <c r="U117" i="29"/>
  <c r="W117" i="29" s="1"/>
  <c r="U390" i="29"/>
  <c r="W390" i="29" s="1"/>
  <c r="V178" i="29"/>
  <c r="AH178" i="29" s="1"/>
  <c r="U130" i="29"/>
  <c r="AG130" i="29" s="1"/>
  <c r="V505" i="29"/>
  <c r="AH505" i="29" s="1"/>
  <c r="U149" i="29"/>
  <c r="AG149" i="29" s="1"/>
  <c r="V329" i="29"/>
  <c r="AH329" i="29" s="1"/>
  <c r="BY33" i="24"/>
  <c r="CA33" i="24" s="1"/>
  <c r="CB33" i="24" s="1"/>
  <c r="V535" i="29"/>
  <c r="AH535" i="29" s="1"/>
  <c r="V467" i="29"/>
  <c r="X467" i="29" s="1"/>
  <c r="Y467" i="29" s="1"/>
  <c r="U164" i="29"/>
  <c r="AG164" i="29" s="1"/>
  <c r="U100" i="29"/>
  <c r="W100" i="29" s="1"/>
  <c r="U192" i="29"/>
  <c r="W192" i="29" s="1"/>
  <c r="V472" i="29"/>
  <c r="AH472" i="29" s="1"/>
  <c r="U297" i="29"/>
  <c r="AG297" i="29" s="1"/>
  <c r="V435" i="29"/>
  <c r="X435" i="29" s="1"/>
  <c r="Y435" i="29" s="1"/>
  <c r="V20" i="29"/>
  <c r="X20" i="29" s="1"/>
  <c r="Y20" i="29" s="1"/>
  <c r="V344" i="29"/>
  <c r="AH344" i="29" s="1"/>
  <c r="U460" i="29"/>
  <c r="W460" i="29" s="1"/>
  <c r="V476" i="29"/>
  <c r="AH476" i="29" s="1"/>
  <c r="V87" i="29"/>
  <c r="X87" i="29" s="1"/>
  <c r="Y87" i="29" s="1"/>
  <c r="U264" i="29"/>
  <c r="W264" i="29" s="1"/>
  <c r="U490" i="29"/>
  <c r="W490" i="29" s="1"/>
  <c r="V39" i="29"/>
  <c r="X39" i="29" s="1"/>
  <c r="Y39" i="29" s="1"/>
  <c r="V473" i="29"/>
  <c r="X473" i="29" s="1"/>
  <c r="Y473" i="29" s="1"/>
  <c r="V118" i="29"/>
  <c r="X118" i="29" s="1"/>
  <c r="Y118" i="29" s="1"/>
  <c r="V306" i="29"/>
  <c r="AH306" i="29" s="1"/>
  <c r="U540" i="29"/>
  <c r="W540" i="29" s="1"/>
  <c r="U330" i="29"/>
  <c r="AG330" i="29" s="1"/>
  <c r="U514" i="29"/>
  <c r="AG514" i="29" s="1"/>
  <c r="V17" i="29"/>
  <c r="X17" i="29" s="1"/>
  <c r="Y17" i="29" s="1"/>
  <c r="U120" i="29"/>
  <c r="W120" i="29" s="1"/>
  <c r="BY247" i="24"/>
  <c r="CA247" i="24" s="1"/>
  <c r="CB247" i="24" s="1"/>
  <c r="U210" i="29"/>
  <c r="AG210" i="29" s="1"/>
  <c r="U574" i="29"/>
  <c r="W574" i="29" s="1"/>
  <c r="V236" i="29"/>
  <c r="X236" i="29" s="1"/>
  <c r="Y236" i="29" s="1"/>
  <c r="U349" i="29"/>
  <c r="W349" i="29" s="1"/>
  <c r="U316" i="29"/>
  <c r="W316" i="29" s="1"/>
  <c r="BY19" i="24"/>
  <c r="CA19" i="24" s="1"/>
  <c r="CB19" i="24" s="1"/>
  <c r="V461" i="29"/>
  <c r="AH461" i="29" s="1"/>
  <c r="V136" i="29"/>
  <c r="X136" i="29" s="1"/>
  <c r="Y136" i="29" s="1"/>
  <c r="V438" i="29"/>
  <c r="X438" i="29" s="1"/>
  <c r="Y438" i="29" s="1"/>
  <c r="U23" i="29"/>
  <c r="AG23" i="29" s="1"/>
  <c r="V368" i="29"/>
  <c r="AH368" i="29" s="1"/>
  <c r="V612" i="29"/>
  <c r="X612" i="29" s="1"/>
  <c r="Y612" i="29" s="1"/>
  <c r="V250" i="29"/>
  <c r="AH250" i="29" s="1"/>
  <c r="U128" i="29"/>
  <c r="W128" i="29" s="1"/>
  <c r="V125" i="29"/>
  <c r="X125" i="29" s="1"/>
  <c r="Y125" i="29" s="1"/>
  <c r="U112" i="29"/>
  <c r="W112" i="29" s="1"/>
  <c r="U277" i="29"/>
  <c r="W277" i="29" s="1"/>
  <c r="U72" i="29"/>
  <c r="W72" i="29" s="1"/>
  <c r="U146" i="29"/>
  <c r="W146" i="29" s="1"/>
  <c r="U498" i="29"/>
  <c r="AG498" i="29" s="1"/>
  <c r="U219" i="29"/>
  <c r="AG219" i="29" s="1"/>
  <c r="U150" i="29"/>
  <c r="AG150" i="29" s="1"/>
  <c r="V281" i="29"/>
  <c r="AH281" i="29" s="1"/>
  <c r="V259" i="29"/>
  <c r="AH259" i="29" s="1"/>
  <c r="U366" i="29"/>
  <c r="W366" i="29" s="1"/>
  <c r="U569" i="29"/>
  <c r="W569" i="29" s="1"/>
  <c r="V262" i="29"/>
  <c r="AH262" i="29" s="1"/>
  <c r="U116" i="29"/>
  <c r="AG116" i="29" s="1"/>
  <c r="U588" i="29"/>
  <c r="AG588" i="29" s="1"/>
  <c r="BY228" i="24"/>
  <c r="CA228" i="24" s="1"/>
  <c r="CB228" i="24" s="1"/>
  <c r="U455" i="29"/>
  <c r="W455" i="29" s="1"/>
  <c r="V320" i="29"/>
  <c r="X320" i="29" s="1"/>
  <c r="Y320" i="29" s="1"/>
  <c r="U430" i="29"/>
  <c r="AG430" i="29" s="1"/>
  <c r="U432" i="29"/>
  <c r="AG432" i="29" s="1"/>
  <c r="U240" i="29"/>
  <c r="AG240" i="29" s="1"/>
  <c r="U351" i="29"/>
  <c r="AG351" i="29" s="1"/>
  <c r="V272" i="29"/>
  <c r="AH272" i="29" s="1"/>
  <c r="U199" i="29"/>
  <c r="AG199" i="29" s="1"/>
  <c r="V538" i="29"/>
  <c r="X538" i="29" s="1"/>
  <c r="Y538" i="29" s="1"/>
  <c r="V228" i="29"/>
  <c r="AH228" i="29" s="1"/>
  <c r="U41" i="29"/>
  <c r="AG41" i="29" s="1"/>
  <c r="V135" i="29"/>
  <c r="X135" i="29" s="1"/>
  <c r="Y135" i="29" s="1"/>
  <c r="U434" i="29"/>
  <c r="AG434" i="29" s="1"/>
  <c r="U38" i="29"/>
  <c r="W38" i="29" s="1"/>
  <c r="U177" i="29"/>
  <c r="AG177" i="29" s="1"/>
  <c r="V409" i="29"/>
  <c r="AH409" i="29" s="1"/>
  <c r="V76" i="29"/>
  <c r="X76" i="29" s="1"/>
  <c r="Y76" i="29" s="1"/>
  <c r="U244" i="29"/>
  <c r="W244" i="29" s="1"/>
  <c r="U583" i="29"/>
  <c r="W583" i="29" s="1"/>
  <c r="V273" i="29"/>
  <c r="AH273" i="29" s="1"/>
  <c r="V283" i="29"/>
  <c r="X283" i="29" s="1"/>
  <c r="Y283" i="29" s="1"/>
  <c r="V169" i="29"/>
  <c r="AH169" i="29" s="1"/>
  <c r="U103" i="29"/>
  <c r="W103" i="29" s="1"/>
  <c r="U92" i="29"/>
  <c r="W92" i="29" s="1"/>
  <c r="V355" i="29"/>
  <c r="X355" i="29" s="1"/>
  <c r="Y355" i="29" s="1"/>
  <c r="V249" i="29"/>
  <c r="X249" i="29" s="1"/>
  <c r="Y249" i="29" s="1"/>
  <c r="V188" i="29"/>
  <c r="X188" i="29" s="1"/>
  <c r="Y188" i="29" s="1"/>
  <c r="U232" i="29"/>
  <c r="W232" i="29" s="1"/>
  <c r="V275" i="29"/>
  <c r="X275" i="29" s="1"/>
  <c r="Y275" i="29" s="1"/>
  <c r="BY34" i="24"/>
  <c r="CA34" i="24" s="1"/>
  <c r="CB34" i="24" s="1"/>
  <c r="U260" i="29"/>
  <c r="W260" i="29" s="1"/>
  <c r="V395" i="29"/>
  <c r="AH395" i="29" s="1"/>
  <c r="V378" i="29"/>
  <c r="AH378" i="29" s="1"/>
  <c r="V539" i="29"/>
  <c r="AH539" i="29" s="1"/>
  <c r="V403" i="29"/>
  <c r="X403" i="29" s="1"/>
  <c r="Y403" i="29" s="1"/>
  <c r="V575" i="29"/>
  <c r="AH575" i="29" s="1"/>
  <c r="V446" i="29"/>
  <c r="X446" i="29" s="1"/>
  <c r="Y446" i="29" s="1"/>
  <c r="U433" i="29"/>
  <c r="AG433" i="29" s="1"/>
  <c r="U195" i="29"/>
  <c r="W195" i="29" s="1"/>
  <c r="V407" i="29"/>
  <c r="X407" i="29" s="1"/>
  <c r="Y407" i="29" s="1"/>
  <c r="V593" i="29"/>
  <c r="AH593" i="29" s="1"/>
  <c r="V484" i="29"/>
  <c r="X484" i="29" s="1"/>
  <c r="Y484" i="29" s="1"/>
  <c r="U502" i="29"/>
  <c r="AG502" i="29" s="1"/>
  <c r="V94" i="29"/>
  <c r="AH94" i="29" s="1"/>
  <c r="BY20" i="24"/>
  <c r="CA20" i="24" s="1"/>
  <c r="CB20" i="24" s="1"/>
  <c r="V295" i="29"/>
  <c r="X295" i="29" s="1"/>
  <c r="Y295" i="29" s="1"/>
  <c r="U201" i="29"/>
  <c r="W201" i="29" s="1"/>
  <c r="U523" i="29"/>
  <c r="W523" i="29" s="1"/>
  <c r="U383" i="29"/>
  <c r="AG383" i="29" s="1"/>
  <c r="V519" i="29"/>
  <c r="AH519" i="29" s="1"/>
  <c r="V36" i="29"/>
  <c r="AH36" i="29" s="1"/>
  <c r="V469" i="29"/>
  <c r="AH469" i="29" s="1"/>
  <c r="U245" i="29"/>
  <c r="AG245" i="29" s="1"/>
  <c r="V572" i="29"/>
  <c r="X572" i="29" s="1"/>
  <c r="Y572" i="29" s="1"/>
  <c r="U305" i="29"/>
  <c r="AG305" i="29" s="1"/>
  <c r="V411" i="29"/>
  <c r="AH411" i="29" s="1"/>
  <c r="U410" i="29"/>
  <c r="AG410" i="29" s="1"/>
  <c r="V21" i="29"/>
  <c r="AH21" i="29" s="1"/>
  <c r="U518" i="29"/>
  <c r="W518" i="29" s="1"/>
  <c r="U520" i="29"/>
  <c r="W520" i="29" s="1"/>
  <c r="V592" i="29"/>
  <c r="X592" i="29" s="1"/>
  <c r="Y592" i="29" s="1"/>
  <c r="V141" i="29"/>
  <c r="AH141" i="29" s="1"/>
  <c r="V14" i="29"/>
  <c r="AH14" i="29" s="1"/>
  <c r="V481" i="29"/>
  <c r="X481" i="29" s="1"/>
  <c r="Y481" i="29" s="1"/>
  <c r="U142" i="29"/>
  <c r="AG142" i="29" s="1"/>
  <c r="U382" i="29"/>
  <c r="AG382" i="29" s="1"/>
  <c r="V506" i="29"/>
  <c r="X506" i="29" s="1"/>
  <c r="Y506" i="29" s="1"/>
  <c r="V600" i="29"/>
  <c r="AH600" i="29" s="1"/>
  <c r="U353" i="29"/>
  <c r="AG353" i="29" s="1"/>
  <c r="U547" i="29"/>
  <c r="AG547" i="29" s="1"/>
  <c r="U315" i="29"/>
  <c r="AG315" i="29" s="1"/>
  <c r="V65" i="29"/>
  <c r="X65" i="29" s="1"/>
  <c r="Y65" i="29" s="1"/>
  <c r="U398" i="29"/>
  <c r="W398" i="29" s="1"/>
  <c r="U56" i="29"/>
  <c r="AG56" i="29" s="1"/>
  <c r="V456" i="29"/>
  <c r="X456" i="29" s="1"/>
  <c r="Y456" i="29" s="1"/>
  <c r="U301" i="29"/>
  <c r="AG301" i="29" s="1"/>
  <c r="V427" i="29"/>
  <c r="X427" i="29" s="1"/>
  <c r="Y427" i="29" s="1"/>
  <c r="V175" i="29"/>
  <c r="X175" i="29" s="1"/>
  <c r="Y175" i="29" s="1"/>
  <c r="V263" i="29"/>
  <c r="AH263" i="29" s="1"/>
  <c r="U145" i="29"/>
  <c r="W145" i="29" s="1"/>
  <c r="U356" i="29"/>
  <c r="AG356" i="29" s="1"/>
  <c r="U91" i="29"/>
  <c r="AG91" i="29" s="1"/>
  <c r="V243" i="29"/>
  <c r="X243" i="29" s="1"/>
  <c r="Y243" i="29" s="1"/>
  <c r="U450" i="29"/>
  <c r="AG450" i="29" s="1"/>
  <c r="U200" i="29"/>
  <c r="AG200" i="29" s="1"/>
  <c r="U531" i="29"/>
  <c r="AG531" i="29" s="1"/>
  <c r="U179" i="29"/>
  <c r="AG179" i="29" s="1"/>
  <c r="U202" i="29"/>
  <c r="W202" i="29" s="1"/>
  <c r="U426" i="29"/>
  <c r="W426" i="29" s="1"/>
  <c r="U172" i="29"/>
  <c r="W172" i="29" s="1"/>
  <c r="V191" i="29"/>
  <c r="AH191" i="29" s="1"/>
  <c r="V77" i="29"/>
  <c r="X77" i="29" s="1"/>
  <c r="Y77" i="29" s="1"/>
  <c r="V47" i="29"/>
  <c r="X47" i="29" s="1"/>
  <c r="Y47" i="29" s="1"/>
  <c r="V27" i="29"/>
  <c r="X27" i="29" s="1"/>
  <c r="Y27" i="29" s="1"/>
  <c r="U318" i="29"/>
  <c r="W318" i="29" s="1"/>
  <c r="V307" i="29"/>
  <c r="AH307" i="29" s="1"/>
  <c r="U119" i="29"/>
  <c r="W119" i="29" s="1"/>
  <c r="V160" i="29"/>
  <c r="AH160" i="29" s="1"/>
  <c r="V67" i="29"/>
  <c r="AH67" i="29" s="1"/>
  <c r="V313" i="29"/>
  <c r="X313" i="29" s="1"/>
  <c r="Y313" i="29" s="1"/>
  <c r="V16" i="29"/>
  <c r="X16" i="29" s="1"/>
  <c r="Y16" i="29" s="1"/>
  <c r="U158" i="29"/>
  <c r="W158" i="29" s="1"/>
  <c r="V392" i="29"/>
  <c r="X392" i="29" s="1"/>
  <c r="Y392" i="29" s="1"/>
  <c r="V548" i="29"/>
  <c r="AH548" i="29" s="1"/>
  <c r="U489" i="29"/>
  <c r="W489" i="29" s="1"/>
  <c r="U280" i="29"/>
  <c r="AG280" i="29" s="1"/>
  <c r="U444" i="29"/>
  <c r="AG444" i="29" s="1"/>
  <c r="U132" i="29"/>
  <c r="AG132" i="29" s="1"/>
  <c r="V83" i="29"/>
  <c r="AH83" i="29" s="1"/>
  <c r="V607" i="29"/>
  <c r="AH607" i="29" s="1"/>
  <c r="U492" i="29"/>
  <c r="AG492" i="29" s="1"/>
  <c r="V436" i="29"/>
  <c r="AH436" i="29" s="1"/>
  <c r="U528" i="29"/>
  <c r="AG528" i="29" s="1"/>
  <c r="V517" i="29"/>
  <c r="AH517" i="29" s="1"/>
  <c r="V215" i="29"/>
  <c r="AH215" i="29" s="1"/>
  <c r="V385" i="29"/>
  <c r="X385" i="29" s="1"/>
  <c r="Y385" i="29" s="1"/>
  <c r="U157" i="29"/>
  <c r="W157" i="29" s="1"/>
  <c r="U504" i="29"/>
  <c r="W504" i="29" s="1"/>
  <c r="V458" i="29"/>
  <c r="AH458" i="29" s="1"/>
  <c r="U449" i="29"/>
  <c r="W449" i="29" s="1"/>
  <c r="V237" i="29"/>
  <c r="X237" i="29" s="1"/>
  <c r="Y237" i="29" s="1"/>
  <c r="U226" i="29"/>
  <c r="W226" i="29" s="1"/>
  <c r="V601" i="29"/>
  <c r="AH601" i="29" s="1"/>
  <c r="U595" i="29"/>
  <c r="AG595" i="29" s="1"/>
  <c r="U26" i="29"/>
  <c r="AG26" i="29" s="1"/>
  <c r="V42" i="29"/>
  <c r="AH42" i="29" s="1"/>
  <c r="U265" i="29"/>
  <c r="W265" i="29" s="1"/>
  <c r="U542" i="29"/>
  <c r="AG542" i="29" s="1"/>
  <c r="U565" i="29"/>
  <c r="W565" i="29" s="1"/>
  <c r="U381" i="29"/>
  <c r="W381" i="29" s="1"/>
  <c r="U389" i="29"/>
  <c r="W389" i="29" s="1"/>
  <c r="V396" i="29"/>
  <c r="AH396" i="29" s="1"/>
  <c r="V95" i="29"/>
  <c r="X95" i="29" s="1"/>
  <c r="Y95" i="29" s="1"/>
  <c r="V182" i="29"/>
  <c r="AH182" i="29" s="1"/>
  <c r="V579" i="29"/>
  <c r="AH579" i="29" s="1"/>
  <c r="V269" i="29"/>
  <c r="AH269" i="29" s="1"/>
  <c r="V451" i="29"/>
  <c r="AH451" i="29" s="1"/>
  <c r="V102" i="29"/>
  <c r="X102" i="29" s="1"/>
  <c r="Y102" i="29" s="1"/>
  <c r="U37" i="29"/>
  <c r="AG37" i="29" s="1"/>
  <c r="U421" i="29"/>
  <c r="AG421" i="29" s="1"/>
  <c r="V300" i="29"/>
  <c r="X300" i="29" s="1"/>
  <c r="Y300" i="29" s="1"/>
  <c r="V227" i="29"/>
  <c r="AH227" i="29" s="1"/>
  <c r="V405" i="29"/>
  <c r="X405" i="29" s="1"/>
  <c r="Y405" i="29" s="1"/>
  <c r="U290" i="29"/>
  <c r="W290" i="29" s="1"/>
  <c r="V423" i="29"/>
  <c r="AH423" i="29" s="1"/>
  <c r="U278" i="29"/>
  <c r="AG278" i="29" s="1"/>
  <c r="U525" i="29"/>
  <c r="AG525" i="29" s="1"/>
  <c r="U568" i="29"/>
  <c r="W568" i="29" s="1"/>
  <c r="V126" i="29"/>
  <c r="AH126" i="29" s="1"/>
  <c r="CB162" i="24"/>
  <c r="CF162" i="24"/>
  <c r="U524" i="29"/>
  <c r="W524" i="29" s="1"/>
  <c r="U561" i="29"/>
  <c r="W561" i="29" s="1"/>
  <c r="U255" i="29"/>
  <c r="W255" i="29" s="1"/>
  <c r="V247" i="29"/>
  <c r="AH247" i="29" s="1"/>
  <c r="V134" i="29"/>
  <c r="X134" i="29" s="1"/>
  <c r="Y134" i="29" s="1"/>
  <c r="U287" i="29"/>
  <c r="W287" i="29" s="1"/>
  <c r="U533" i="29"/>
  <c r="AG533" i="29" s="1"/>
  <c r="U573" i="29"/>
  <c r="AG573" i="29" s="1"/>
  <c r="U375" i="29"/>
  <c r="AG375" i="29" s="1"/>
  <c r="U251" i="29"/>
  <c r="AG251" i="29" s="1"/>
  <c r="V51" i="29"/>
  <c r="AH51" i="29" s="1"/>
  <c r="U310" i="29"/>
  <c r="AG310" i="29" s="1"/>
  <c r="V68" i="29"/>
  <c r="AH68" i="29" s="1"/>
  <c r="V282" i="29"/>
  <c r="AH282" i="29" s="1"/>
  <c r="U369" i="29"/>
  <c r="AG369" i="29" s="1"/>
  <c r="U500" i="29"/>
  <c r="W500" i="29" s="1"/>
  <c r="V364" i="29"/>
  <c r="AH364" i="29" s="1"/>
  <c r="V416" i="29"/>
  <c r="X416" i="29" s="1"/>
  <c r="Y416" i="29" s="1"/>
  <c r="U15" i="29"/>
  <c r="AG15" i="29" s="1"/>
  <c r="U296" i="29"/>
  <c r="W296" i="29" s="1"/>
  <c r="V386" i="29"/>
  <c r="X386" i="29" s="1"/>
  <c r="Y386" i="29" s="1"/>
  <c r="U31" i="29"/>
  <c r="W31" i="29" s="1"/>
  <c r="V491" i="29"/>
  <c r="AH491" i="29" s="1"/>
  <c r="V211" i="29"/>
  <c r="AH211" i="29" s="1"/>
  <c r="U75" i="29"/>
  <c r="AG75" i="29" s="1"/>
  <c r="U534" i="29"/>
  <c r="W534" i="29" s="1"/>
  <c r="V399" i="29"/>
  <c r="AH399" i="29" s="1"/>
  <c r="U82" i="29"/>
  <c r="AG82" i="29" s="1"/>
  <c r="V570" i="29"/>
  <c r="AH570" i="29" s="1"/>
  <c r="U459" i="29"/>
  <c r="W459" i="29" s="1"/>
  <c r="V549" i="29"/>
  <c r="AH549" i="29" s="1"/>
  <c r="U99" i="29"/>
  <c r="AG99" i="29" s="1"/>
  <c r="U527" i="29"/>
  <c r="W527" i="29" s="1"/>
  <c r="U312" i="29"/>
  <c r="AG312" i="29" s="1"/>
  <c r="U314" i="29"/>
  <c r="W314" i="29" s="1"/>
  <c r="U431" i="29"/>
  <c r="AG431" i="29" s="1"/>
  <c r="V131" i="29"/>
  <c r="X131" i="29" s="1"/>
  <c r="Y131" i="29" s="1"/>
  <c r="U55" i="29"/>
  <c r="W55" i="29" s="1"/>
  <c r="V425" i="29"/>
  <c r="AH425" i="29" s="1"/>
  <c r="V394" i="29"/>
  <c r="X394" i="29" s="1"/>
  <c r="Y394" i="29" s="1"/>
  <c r="U143" i="29"/>
  <c r="W143" i="29" s="1"/>
  <c r="V482" i="29"/>
  <c r="X482" i="29" s="1"/>
  <c r="Y482" i="29" s="1"/>
  <c r="V487" i="29"/>
  <c r="AH487" i="29" s="1"/>
  <c r="U564" i="29"/>
  <c r="W564" i="29" s="1"/>
  <c r="V419" i="29"/>
  <c r="AH419" i="29" s="1"/>
  <c r="U173" i="29"/>
  <c r="W173" i="29" s="1"/>
  <c r="V420" i="29"/>
  <c r="AH420" i="29" s="1"/>
  <c r="U121" i="29"/>
  <c r="W121" i="29" s="1"/>
  <c r="V545" i="29"/>
  <c r="X545" i="29" s="1"/>
  <c r="Y545" i="29" s="1"/>
  <c r="V28" i="29"/>
  <c r="X28" i="29" s="1"/>
  <c r="Y28" i="29" s="1"/>
  <c r="V496" i="29"/>
  <c r="AH496" i="29" s="1"/>
  <c r="U441" i="29"/>
  <c r="AG441" i="29" s="1"/>
  <c r="BY117" i="24"/>
  <c r="CA117" i="24" s="1"/>
  <c r="U213" i="29"/>
  <c r="AG213" i="29" s="1"/>
  <c r="V372" i="29"/>
  <c r="AH372" i="29" s="1"/>
  <c r="U209" i="29"/>
  <c r="W209" i="29" s="1"/>
  <c r="V62" i="29"/>
  <c r="AH62" i="29" s="1"/>
  <c r="U495" i="29"/>
  <c r="AG495" i="29" s="1"/>
  <c r="U335" i="29"/>
  <c r="AG335" i="29" s="1"/>
  <c r="U360" i="29"/>
  <c r="AG360" i="29" s="1"/>
  <c r="V196" i="29"/>
  <c r="X196" i="29" s="1"/>
  <c r="Y196" i="29" s="1"/>
  <c r="V311" i="29"/>
  <c r="AH311" i="29" s="1"/>
  <c r="V162" i="29"/>
  <c r="AH162" i="29" s="1"/>
  <c r="V288" i="29"/>
  <c r="AH288" i="29" s="1"/>
  <c r="V129" i="29"/>
  <c r="AH129" i="29" s="1"/>
  <c r="BE237" i="25"/>
  <c r="BR237" i="25"/>
  <c r="BX237" i="25" s="1"/>
  <c r="V176" i="29"/>
  <c r="X176" i="29" s="1"/>
  <c r="Y176" i="29" s="1"/>
  <c r="AR212" i="25"/>
  <c r="CE212" i="25"/>
  <c r="BH212" i="25"/>
  <c r="BW212" i="25"/>
  <c r="BU212" i="25"/>
  <c r="BF212" i="25"/>
  <c r="BR77" i="25"/>
  <c r="BV77" i="25" s="1"/>
  <c r="BX77" i="25" s="1"/>
  <c r="BE77" i="25"/>
  <c r="BK77" i="25" s="1"/>
  <c r="CF279" i="24"/>
  <c r="AH24" i="29"/>
  <c r="X24" i="29"/>
  <c r="Y24" i="29" s="1"/>
  <c r="BN16" i="24"/>
  <c r="BY16" i="24"/>
  <c r="CA16" i="24" s="1"/>
  <c r="CB16" i="24" s="1"/>
  <c r="BE191" i="25"/>
  <c r="BR191" i="25"/>
  <c r="BX191" i="25" s="1"/>
  <c r="X455" i="29"/>
  <c r="Y455" i="29" s="1"/>
  <c r="AH455" i="29"/>
  <c r="X116" i="29"/>
  <c r="Y116" i="29" s="1"/>
  <c r="AH116" i="29"/>
  <c r="BY311" i="24"/>
  <c r="CA311" i="24" s="1"/>
  <c r="BM311" i="24"/>
  <c r="BN311" i="24" s="1"/>
  <c r="BR225" i="25"/>
  <c r="BX225" i="25" s="1"/>
  <c r="BE225" i="25"/>
  <c r="BR58" i="25"/>
  <c r="BV58" i="25" s="1"/>
  <c r="BX58" i="25" s="1"/>
  <c r="BE58" i="25"/>
  <c r="BK58" i="25" s="1"/>
  <c r="BY72" i="24"/>
  <c r="CA72" i="24" s="1"/>
  <c r="CB72" i="24" s="1"/>
  <c r="BN72" i="24"/>
  <c r="AH606" i="29"/>
  <c r="X606" i="29"/>
  <c r="Y606" i="29" s="1"/>
  <c r="AH584" i="29"/>
  <c r="X584" i="29"/>
  <c r="Y584" i="29" s="1"/>
  <c r="W355" i="29"/>
  <c r="AG355" i="29"/>
  <c r="X270" i="29"/>
  <c r="Y270" i="29" s="1"/>
  <c r="AH270" i="29"/>
  <c r="X248" i="29"/>
  <c r="Y248" i="29" s="1"/>
  <c r="AH248" i="29"/>
  <c r="X133" i="29"/>
  <c r="Y133" i="29" s="1"/>
  <c r="AH133" i="29"/>
  <c r="AG408" i="29"/>
  <c r="W408" i="29"/>
  <c r="W392" i="29"/>
  <c r="AG392" i="29"/>
  <c r="X290" i="29"/>
  <c r="Y290" i="29" s="1"/>
  <c r="AH290" i="29"/>
  <c r="AH143" i="29"/>
  <c r="X143" i="29"/>
  <c r="Y143" i="29" s="1"/>
  <c r="AG404" i="29"/>
  <c r="W404" i="29"/>
  <c r="AG35" i="29"/>
  <c r="W35" i="29"/>
  <c r="W423" i="29"/>
  <c r="AG423" i="29"/>
  <c r="X611" i="29"/>
  <c r="Y611" i="29" s="1"/>
  <c r="AH611" i="29"/>
  <c r="BY303" i="24"/>
  <c r="CA303" i="24" s="1"/>
  <c r="CB303" i="24" s="1"/>
  <c r="BM303" i="24"/>
  <c r="BN303" i="24" s="1"/>
  <c r="BY92" i="24"/>
  <c r="CA92" i="24" s="1"/>
  <c r="BN92" i="24"/>
  <c r="BN102" i="24"/>
  <c r="BY102" i="24"/>
  <c r="CA102" i="24" s="1"/>
  <c r="BY235" i="24"/>
  <c r="CA235" i="24" s="1"/>
  <c r="CB235" i="24" s="1"/>
  <c r="BM235" i="24"/>
  <c r="BN235" i="24" s="1"/>
  <c r="BY113" i="25"/>
  <c r="CA113" i="25" s="1"/>
  <c r="BL113" i="25"/>
  <c r="BK113" i="25"/>
  <c r="BE200" i="25"/>
  <c r="BR200" i="25"/>
  <c r="BX200" i="25" s="1"/>
  <c r="BE80" i="25"/>
  <c r="BK80" i="25" s="1"/>
  <c r="BR80" i="25"/>
  <c r="BV80" i="25" s="1"/>
  <c r="BX80" i="25" s="1"/>
  <c r="BE188" i="25"/>
  <c r="BR188" i="25"/>
  <c r="BX188" i="25" s="1"/>
  <c r="BL276" i="25"/>
  <c r="BY276" i="25"/>
  <c r="CA276" i="25" s="1"/>
  <c r="CB276" i="25" s="1"/>
  <c r="BK276" i="25"/>
  <c r="W257" i="29"/>
  <c r="AG257" i="29"/>
  <c r="AG118" i="29"/>
  <c r="W118" i="29"/>
  <c r="W135" i="29"/>
  <c r="AG135" i="29"/>
  <c r="AH406" i="29"/>
  <c r="X406" i="29"/>
  <c r="Y406" i="29" s="1"/>
  <c r="AG124" i="29"/>
  <c r="W124" i="29"/>
  <c r="AG66" i="29"/>
  <c r="W66" i="29"/>
  <c r="AG535" i="29"/>
  <c r="W535" i="29"/>
  <c r="AH583" i="29"/>
  <c r="X583" i="29"/>
  <c r="Y583" i="29" s="1"/>
  <c r="X277" i="29"/>
  <c r="Y277" i="29" s="1"/>
  <c r="AH277" i="29"/>
  <c r="W208" i="29"/>
  <c r="AG208" i="29"/>
  <c r="W457" i="29"/>
  <c r="AG457" i="29"/>
  <c r="W499" i="29"/>
  <c r="AG499" i="29"/>
  <c r="AH278" i="29"/>
  <c r="X278" i="29"/>
  <c r="Y278" i="29" s="1"/>
  <c r="AG482" i="29"/>
  <c r="W482" i="29"/>
  <c r="AG487" i="29"/>
  <c r="W487" i="29"/>
  <c r="X123" i="29"/>
  <c r="Y123" i="29" s="1"/>
  <c r="AH123" i="29"/>
  <c r="AH412" i="29"/>
  <c r="X412" i="29"/>
  <c r="Y412" i="29" s="1"/>
  <c r="AG415" i="29"/>
  <c r="W415" i="29"/>
  <c r="BE159" i="25"/>
  <c r="BR159" i="25"/>
  <c r="BX159" i="25" s="1"/>
  <c r="BE256" i="25"/>
  <c r="BR256" i="25"/>
  <c r="BX256" i="25" s="1"/>
  <c r="BR42" i="25"/>
  <c r="BV42" i="25" s="1"/>
  <c r="BX42" i="25" s="1"/>
  <c r="BE42" i="25"/>
  <c r="BK42" i="25" s="1"/>
  <c r="BY183" i="24"/>
  <c r="CA183" i="24" s="1"/>
  <c r="CB183" i="24" s="1"/>
  <c r="BM183" i="24"/>
  <c r="BN183" i="24" s="1"/>
  <c r="BE266" i="25"/>
  <c r="BR266" i="25"/>
  <c r="BX266" i="25" s="1"/>
  <c r="BY237" i="24"/>
  <c r="CA237" i="24" s="1"/>
  <c r="CB237" i="24" s="1"/>
  <c r="BM237" i="24"/>
  <c r="BN237" i="24" s="1"/>
  <c r="AG384" i="29"/>
  <c r="W384" i="29"/>
  <c r="AH323" i="29"/>
  <c r="X323" i="29"/>
  <c r="Y323" i="29" s="1"/>
  <c r="W303" i="29"/>
  <c r="AG303" i="29"/>
  <c r="BY37" i="24"/>
  <c r="CA37" i="24" s="1"/>
  <c r="CB37" i="24" s="1"/>
  <c r="BN37" i="24"/>
  <c r="BY78" i="24"/>
  <c r="CA78" i="24" s="1"/>
  <c r="BN78" i="24"/>
  <c r="BL198" i="25"/>
  <c r="BY198" i="25"/>
  <c r="CA198" i="25" s="1"/>
  <c r="BK198" i="25"/>
  <c r="BE264" i="25"/>
  <c r="BR264" i="25"/>
  <c r="BX264" i="25" s="1"/>
  <c r="BL104" i="25"/>
  <c r="BY104" i="25"/>
  <c r="CA104" i="25" s="1"/>
  <c r="BE235" i="25"/>
  <c r="BR235" i="25"/>
  <c r="BX235" i="25" s="1"/>
  <c r="AG456" i="29"/>
  <c r="W456" i="29"/>
  <c r="AH341" i="29"/>
  <c r="X341" i="29"/>
  <c r="Y341" i="29" s="1"/>
  <c r="X252" i="29"/>
  <c r="Y252" i="29" s="1"/>
  <c r="AH252" i="29"/>
  <c r="AG436" i="29"/>
  <c r="W436" i="29"/>
  <c r="W40" i="29"/>
  <c r="AG40" i="29"/>
  <c r="AG57" i="29"/>
  <c r="W57" i="29"/>
  <c r="AG272" i="29"/>
  <c r="W272" i="29"/>
  <c r="AH398" i="29"/>
  <c r="X398" i="29"/>
  <c r="Y398" i="29" s="1"/>
  <c r="W114" i="29"/>
  <c r="AG114" i="29"/>
  <c r="AG578" i="29"/>
  <c r="W578" i="29"/>
  <c r="AG334" i="29"/>
  <c r="W334" i="29"/>
  <c r="X490" i="29"/>
  <c r="Y490" i="29" s="1"/>
  <c r="AH490" i="29"/>
  <c r="X365" i="29"/>
  <c r="Y365" i="29" s="1"/>
  <c r="AH365" i="29"/>
  <c r="AG293" i="29"/>
  <c r="W293" i="29"/>
  <c r="AH187" i="29"/>
  <c r="X187" i="29"/>
  <c r="Y187" i="29" s="1"/>
  <c r="BE127" i="25"/>
  <c r="BR127" i="25"/>
  <c r="BX127" i="25" s="1"/>
  <c r="BR49" i="25"/>
  <c r="BV49" i="25" s="1"/>
  <c r="BX49" i="25" s="1"/>
  <c r="BE49" i="25"/>
  <c r="BK49" i="25" s="1"/>
  <c r="BY251" i="24"/>
  <c r="CA251" i="24" s="1"/>
  <c r="CB251" i="24" s="1"/>
  <c r="BM251" i="24"/>
  <c r="BN251" i="24" s="1"/>
  <c r="BY67" i="24"/>
  <c r="CA67" i="24" s="1"/>
  <c r="CB67" i="24" s="1"/>
  <c r="BN67" i="24"/>
  <c r="BE222" i="25"/>
  <c r="BR222" i="25"/>
  <c r="BX222" i="25" s="1"/>
  <c r="BY177" i="24"/>
  <c r="CA177" i="24" s="1"/>
  <c r="CB177" i="24" s="1"/>
  <c r="BM177" i="24"/>
  <c r="BN177" i="24" s="1"/>
  <c r="BR98" i="25"/>
  <c r="BV98" i="25" s="1"/>
  <c r="BX98" i="25" s="1"/>
  <c r="BE98" i="25"/>
  <c r="BK98" i="25" s="1"/>
  <c r="BY202" i="24"/>
  <c r="CA202" i="24" s="1"/>
  <c r="BM202" i="24"/>
  <c r="BN202" i="24" s="1"/>
  <c r="BE183" i="25"/>
  <c r="BR183" i="25"/>
  <c r="BX183" i="25" s="1"/>
  <c r="BE151" i="25"/>
  <c r="BR151" i="25"/>
  <c r="BX151" i="25" s="1"/>
  <c r="AG402" i="29"/>
  <c r="W402" i="29"/>
  <c r="AG544" i="29"/>
  <c r="W544" i="29"/>
  <c r="AG313" i="29"/>
  <c r="W313" i="29"/>
  <c r="AH442" i="29"/>
  <c r="X442" i="29"/>
  <c r="Y442" i="29" s="1"/>
  <c r="AH598" i="29"/>
  <c r="X598" i="29"/>
  <c r="Y598" i="29" s="1"/>
  <c r="AG409" i="29"/>
  <c r="W409" i="29"/>
  <c r="AH587" i="29"/>
  <c r="X587" i="29"/>
  <c r="Y587" i="29" s="1"/>
  <c r="AG577" i="29"/>
  <c r="W577" i="29"/>
  <c r="AG591" i="29"/>
  <c r="W591" i="29"/>
  <c r="AH185" i="29"/>
  <c r="X185" i="29"/>
  <c r="Y185" i="29" s="1"/>
  <c r="W268" i="29"/>
  <c r="AG268" i="29"/>
  <c r="AH86" i="29"/>
  <c r="X86" i="29"/>
  <c r="Y86" i="29" s="1"/>
  <c r="W543" i="29"/>
  <c r="AG543" i="29"/>
  <c r="X148" i="29"/>
  <c r="Y148" i="29" s="1"/>
  <c r="AH148" i="29"/>
  <c r="X230" i="29"/>
  <c r="Y230" i="29" s="1"/>
  <c r="AH230" i="29"/>
  <c r="X609" i="29"/>
  <c r="Y609" i="29" s="1"/>
  <c r="AH609" i="29"/>
  <c r="X511" i="29"/>
  <c r="Y511" i="29" s="1"/>
  <c r="AH511" i="29"/>
  <c r="BY95" i="24"/>
  <c r="CA95" i="24" s="1"/>
  <c r="CB95" i="24" s="1"/>
  <c r="BN95" i="24"/>
  <c r="BN84" i="24"/>
  <c r="BY84" i="24"/>
  <c r="CA84" i="24" s="1"/>
  <c r="BE47" i="25"/>
  <c r="BK47" i="25" s="1"/>
  <c r="BR47" i="25"/>
  <c r="BV47" i="25" s="1"/>
  <c r="BX47" i="25" s="1"/>
  <c r="BE180" i="25"/>
  <c r="BR180" i="25"/>
  <c r="BX180" i="25" s="1"/>
  <c r="BR61" i="25"/>
  <c r="BV61" i="25" s="1"/>
  <c r="BX61" i="25" s="1"/>
  <c r="BE61" i="25"/>
  <c r="BK61" i="25" s="1"/>
  <c r="BY304" i="24"/>
  <c r="CA304" i="24" s="1"/>
  <c r="CB304" i="24" s="1"/>
  <c r="BM304" i="24"/>
  <c r="BN304" i="24" s="1"/>
  <c r="BE133" i="25"/>
  <c r="BR133" i="25"/>
  <c r="BX133" i="25" s="1"/>
  <c r="BY31" i="25"/>
  <c r="CA31" i="25" s="1"/>
  <c r="BL31" i="25"/>
  <c r="BY258" i="24"/>
  <c r="CA258" i="24" s="1"/>
  <c r="CB258" i="24" s="1"/>
  <c r="BM258" i="24"/>
  <c r="BN258" i="24" s="1"/>
  <c r="W206" i="29"/>
  <c r="AG206" i="29"/>
  <c r="AG174" i="29"/>
  <c r="W174" i="29"/>
  <c r="AH128" i="29"/>
  <c r="X128" i="29"/>
  <c r="Y128" i="29" s="1"/>
  <c r="AH19" i="29"/>
  <c r="X19" i="29"/>
  <c r="Y19" i="29" s="1"/>
  <c r="AH328" i="29"/>
  <c r="X328" i="29"/>
  <c r="Y328" i="29" s="1"/>
  <c r="AH322" i="29"/>
  <c r="X322" i="29"/>
  <c r="Y322" i="29" s="1"/>
  <c r="W393" i="29"/>
  <c r="AG393" i="29"/>
  <c r="BY307" i="24"/>
  <c r="CA307" i="24" s="1"/>
  <c r="BM307" i="24"/>
  <c r="BN307" i="24" s="1"/>
  <c r="BL192" i="25"/>
  <c r="BY192" i="25"/>
  <c r="CA192" i="25" s="1"/>
  <c r="BK192" i="25"/>
  <c r="BE35" i="25"/>
  <c r="BK35" i="25" s="1"/>
  <c r="BR35" i="25"/>
  <c r="BV35" i="25" s="1"/>
  <c r="BX35" i="25" s="1"/>
  <c r="BY190" i="25"/>
  <c r="CA190" i="25" s="1"/>
  <c r="BL190" i="25"/>
  <c r="BK190" i="25"/>
  <c r="BN79" i="24"/>
  <c r="BY79" i="24"/>
  <c r="CA79" i="24" s="1"/>
  <c r="BE228" i="25"/>
  <c r="BR228" i="25"/>
  <c r="BX228" i="25" s="1"/>
  <c r="BY176" i="24"/>
  <c r="CA176" i="24" s="1"/>
  <c r="CB176" i="24" s="1"/>
  <c r="BM176" i="24"/>
  <c r="BN176" i="24" s="1"/>
  <c r="BE288" i="25"/>
  <c r="BR288" i="25"/>
  <c r="BX288" i="25" s="1"/>
  <c r="BN32" i="24"/>
  <c r="BY32" i="24"/>
  <c r="CA32" i="24" s="1"/>
  <c r="BY218" i="24"/>
  <c r="CA218" i="24" s="1"/>
  <c r="CB218" i="24" s="1"/>
  <c r="BM218" i="24"/>
  <c r="BN218" i="24" s="1"/>
  <c r="AG327" i="29"/>
  <c r="W327" i="29"/>
  <c r="BY15" i="24"/>
  <c r="CA15" i="24" s="1"/>
  <c r="CB15" i="24" s="1"/>
  <c r="B288" i="2" s="1"/>
  <c r="BN15" i="24"/>
  <c r="BY131" i="25"/>
  <c r="CA131" i="25" s="1"/>
  <c r="CB131" i="25" s="1"/>
  <c r="BL131" i="25"/>
  <c r="BK131" i="25"/>
  <c r="BR7" i="25"/>
  <c r="BV7" i="25" s="1"/>
  <c r="BX7" i="25" s="1"/>
  <c r="BE7" i="25"/>
  <c r="BK7" i="25" s="1"/>
  <c r="BR60" i="25"/>
  <c r="BV60" i="25" s="1"/>
  <c r="BX60" i="25" s="1"/>
  <c r="BE60" i="25"/>
  <c r="BK60" i="25" s="1"/>
  <c r="BN56" i="24"/>
  <c r="BY56" i="24"/>
  <c r="CA56" i="24" s="1"/>
  <c r="BE176" i="25"/>
  <c r="BR176" i="25"/>
  <c r="BX176" i="25" s="1"/>
  <c r="BN70" i="24"/>
  <c r="BY70" i="24"/>
  <c r="CA70" i="24" s="1"/>
  <c r="CB70" i="24" s="1"/>
  <c r="AG416" i="29"/>
  <c r="W416" i="29"/>
  <c r="AG346" i="29"/>
  <c r="W346" i="29"/>
  <c r="AH55" i="29"/>
  <c r="X55" i="29"/>
  <c r="Y55" i="29" s="1"/>
  <c r="X201" i="29"/>
  <c r="Y201" i="29" s="1"/>
  <c r="AH201" i="29"/>
  <c r="X599" i="29"/>
  <c r="Y599" i="29" s="1"/>
  <c r="AH599" i="29"/>
  <c r="W65" i="29"/>
  <c r="AG65" i="29"/>
  <c r="AH460" i="29"/>
  <c r="X460" i="29"/>
  <c r="Y460" i="29" s="1"/>
  <c r="AG425" i="29"/>
  <c r="W425" i="29"/>
  <c r="W575" i="29"/>
  <c r="AG575" i="29"/>
  <c r="W171" i="29"/>
  <c r="AG171" i="29"/>
  <c r="AG438" i="29"/>
  <c r="W438" i="29"/>
  <c r="AH99" i="29"/>
  <c r="X99" i="29"/>
  <c r="Y99" i="29" s="1"/>
  <c r="AG176" i="29"/>
  <c r="W176" i="29"/>
  <c r="AG476" i="29"/>
  <c r="W476" i="29"/>
  <c r="BY281" i="24"/>
  <c r="CA281" i="24" s="1"/>
  <c r="BM281" i="24"/>
  <c r="BN281" i="24" s="1"/>
  <c r="BE249" i="25"/>
  <c r="BR249" i="25"/>
  <c r="BX249" i="25" s="1"/>
  <c r="BY42" i="24"/>
  <c r="CA42" i="24" s="1"/>
  <c r="CB42" i="24" s="1"/>
  <c r="BN42" i="24"/>
  <c r="BY268" i="24"/>
  <c r="CA268" i="24" s="1"/>
  <c r="BM268" i="24"/>
  <c r="BN268" i="24" s="1"/>
  <c r="BY189" i="24"/>
  <c r="CA189" i="24" s="1"/>
  <c r="CB189" i="24" s="1"/>
  <c r="BM189" i="24"/>
  <c r="BN189" i="24" s="1"/>
  <c r="BR64" i="25"/>
  <c r="BV64" i="25" s="1"/>
  <c r="BX64" i="25" s="1"/>
  <c r="BE64" i="25"/>
  <c r="BK64" i="25" s="1"/>
  <c r="BY165" i="24"/>
  <c r="CA165" i="24" s="1"/>
  <c r="BM165" i="24"/>
  <c r="BN165" i="24" s="1"/>
  <c r="AH61" i="29"/>
  <c r="X61" i="29"/>
  <c r="Y61" i="29" s="1"/>
  <c r="BE115" i="25"/>
  <c r="BR115" i="25"/>
  <c r="BX115" i="25" s="1"/>
  <c r="BN100" i="24"/>
  <c r="BY100" i="24"/>
  <c r="CA100" i="24" s="1"/>
  <c r="CB100" i="24" s="1"/>
  <c r="BY172" i="24"/>
  <c r="CA172" i="24" s="1"/>
  <c r="CB172" i="24" s="1"/>
  <c r="BM172" i="24"/>
  <c r="BN172" i="24" s="1"/>
  <c r="AH210" i="29"/>
  <c r="X210" i="29"/>
  <c r="Y210" i="29" s="1"/>
  <c r="BY306" i="24"/>
  <c r="CA306" i="24" s="1"/>
  <c r="BM306" i="24"/>
  <c r="BN306" i="24" s="1"/>
  <c r="BY51" i="24"/>
  <c r="CA51" i="24" s="1"/>
  <c r="CB51" i="24" s="1"/>
  <c r="BN51" i="24"/>
  <c r="BE279" i="25"/>
  <c r="BR279" i="25"/>
  <c r="BX279" i="25" s="1"/>
  <c r="BY57" i="24"/>
  <c r="CA57" i="24" s="1"/>
  <c r="CB57" i="24" s="1"/>
  <c r="BN57" i="24"/>
  <c r="AG74" i="29"/>
  <c r="W74" i="29"/>
  <c r="W508" i="29"/>
  <c r="AG508" i="29"/>
  <c r="AH286" i="29"/>
  <c r="X286" i="29"/>
  <c r="Y286" i="29" s="1"/>
  <c r="AH560" i="29"/>
  <c r="X560" i="29"/>
  <c r="Y560" i="29" s="1"/>
  <c r="AH25" i="29"/>
  <c r="X25" i="29"/>
  <c r="Y25" i="29" s="1"/>
  <c r="BY315" i="24"/>
  <c r="CA315" i="24" s="1"/>
  <c r="BM315" i="24"/>
  <c r="BN315" i="24" s="1"/>
  <c r="BE316" i="25"/>
  <c r="BR316" i="25"/>
  <c r="BX316" i="25" s="1"/>
  <c r="BE219" i="25"/>
  <c r="BR219" i="25"/>
  <c r="BX219" i="25" s="1"/>
  <c r="BR15" i="25"/>
  <c r="BV15" i="25" s="1"/>
  <c r="BX15" i="25" s="1"/>
  <c r="BE15" i="25"/>
  <c r="BK15" i="25" s="1"/>
  <c r="BY148" i="25"/>
  <c r="CA148" i="25" s="1"/>
  <c r="CB148" i="25" s="1"/>
  <c r="BL148" i="25"/>
  <c r="BK148" i="25"/>
  <c r="BE284" i="25"/>
  <c r="BR284" i="25"/>
  <c r="BX284" i="25" s="1"/>
  <c r="BY29" i="24"/>
  <c r="CA29" i="24" s="1"/>
  <c r="CB29" i="24" s="1"/>
  <c r="BN29" i="24"/>
  <c r="BY256" i="24"/>
  <c r="CA256" i="24" s="1"/>
  <c r="BM256" i="24"/>
  <c r="BN256" i="24" s="1"/>
  <c r="BY122" i="24"/>
  <c r="CA122" i="24" s="1"/>
  <c r="CB122" i="24" s="1"/>
  <c r="BM122" i="24"/>
  <c r="BN122" i="24" s="1"/>
  <c r="BL189" i="25"/>
  <c r="BY189" i="25"/>
  <c r="CA189" i="25" s="1"/>
  <c r="BK189" i="25"/>
  <c r="BR128" i="25"/>
  <c r="BX128" i="25" s="1"/>
  <c r="BE128" i="25"/>
  <c r="AH509" i="29"/>
  <c r="X509" i="29"/>
  <c r="Y509" i="29" s="1"/>
  <c r="X52" i="29"/>
  <c r="Y52" i="29" s="1"/>
  <c r="AH52" i="29"/>
  <c r="AH90" i="29"/>
  <c r="X90" i="29"/>
  <c r="Y90" i="29" s="1"/>
  <c r="AH216" i="29"/>
  <c r="X216" i="29"/>
  <c r="Y216" i="29" s="1"/>
  <c r="W367" i="29"/>
  <c r="AG367" i="29"/>
  <c r="BE25" i="25"/>
  <c r="BK25" i="25" s="1"/>
  <c r="BR25" i="25"/>
  <c r="BV25" i="25" s="1"/>
  <c r="BX25" i="25" s="1"/>
  <c r="BR9" i="25"/>
  <c r="BV9" i="25" s="1"/>
  <c r="BX9" i="25" s="1"/>
  <c r="BE9" i="25"/>
  <c r="BK9" i="25" s="1"/>
  <c r="BY167" i="25"/>
  <c r="CA167" i="25" s="1"/>
  <c r="CB167" i="25" s="1"/>
  <c r="BL167" i="25"/>
  <c r="BK167" i="25"/>
  <c r="BY178" i="24"/>
  <c r="CA178" i="24" s="1"/>
  <c r="BM178" i="24"/>
  <c r="BN178" i="24" s="1"/>
  <c r="BR236" i="25"/>
  <c r="BX236" i="25" s="1"/>
  <c r="BE236" i="25"/>
  <c r="BY161" i="25"/>
  <c r="CA161" i="25" s="1"/>
  <c r="BL161" i="25"/>
  <c r="BK161" i="25"/>
  <c r="BY289" i="24"/>
  <c r="CA289" i="24" s="1"/>
  <c r="CB289" i="24" s="1"/>
  <c r="BM289" i="24"/>
  <c r="BN289" i="24" s="1"/>
  <c r="BY139" i="24"/>
  <c r="CA139" i="24" s="1"/>
  <c r="BM139" i="24"/>
  <c r="BN139" i="24" s="1"/>
  <c r="BE244" i="25"/>
  <c r="BR244" i="25"/>
  <c r="BX244" i="25" s="1"/>
  <c r="AH183" i="29"/>
  <c r="X183" i="29"/>
  <c r="Y183" i="29" s="1"/>
  <c r="AH200" i="29"/>
  <c r="X200" i="29"/>
  <c r="Y200" i="29" s="1"/>
  <c r="AH173" i="29"/>
  <c r="X173" i="29"/>
  <c r="Y173" i="29" s="1"/>
  <c r="W420" i="29"/>
  <c r="AG420" i="29"/>
  <c r="AH121" i="29"/>
  <c r="X121" i="29"/>
  <c r="Y121" i="29" s="1"/>
  <c r="W605" i="29"/>
  <c r="AG605" i="29"/>
  <c r="AG273" i="29"/>
  <c r="W273" i="29"/>
  <c r="AH107" i="29"/>
  <c r="X107" i="29"/>
  <c r="Y107" i="29" s="1"/>
  <c r="AG607" i="29"/>
  <c r="W607" i="29"/>
  <c r="W323" i="29"/>
  <c r="AG323" i="29"/>
  <c r="W269" i="29"/>
  <c r="AG269" i="29"/>
  <c r="W68" i="29"/>
  <c r="AG68" i="29"/>
  <c r="AH439" i="29"/>
  <c r="X439" i="29"/>
  <c r="Y439" i="29" s="1"/>
  <c r="W545" i="29"/>
  <c r="AG545" i="29"/>
  <c r="X170" i="29"/>
  <c r="Y170" i="29" s="1"/>
  <c r="AH170" i="29"/>
  <c r="X465" i="29"/>
  <c r="Y465" i="29" s="1"/>
  <c r="AH465" i="29"/>
  <c r="X49" i="29"/>
  <c r="Y49" i="29" s="1"/>
  <c r="AH49" i="29"/>
  <c r="BY6" i="25"/>
  <c r="CA6" i="25" s="1"/>
  <c r="BL6" i="25"/>
  <c r="BY10" i="24"/>
  <c r="CA10" i="24" s="1"/>
  <c r="CB10" i="24" s="1"/>
  <c r="BN10" i="24"/>
  <c r="BE251" i="25"/>
  <c r="BR251" i="25"/>
  <c r="BX251" i="25" s="1"/>
  <c r="AH588" i="29"/>
  <c r="X588" i="29"/>
  <c r="Y588" i="29" s="1"/>
  <c r="AH326" i="29"/>
  <c r="X326" i="29"/>
  <c r="Y326" i="29" s="1"/>
  <c r="AH366" i="29"/>
  <c r="X366" i="29"/>
  <c r="Y366" i="29" s="1"/>
  <c r="AH223" i="29"/>
  <c r="X223" i="29"/>
  <c r="Y223" i="29" s="1"/>
  <c r="AH238" i="29"/>
  <c r="X238" i="29"/>
  <c r="Y238" i="29" s="1"/>
  <c r="BE311" i="25"/>
  <c r="BR311" i="25"/>
  <c r="BX311" i="25" s="1"/>
  <c r="BE120" i="25"/>
  <c r="BR120" i="25"/>
  <c r="BX120" i="25" s="1"/>
  <c r="BY155" i="24"/>
  <c r="CA155" i="24" s="1"/>
  <c r="CB155" i="24" s="1"/>
  <c r="BM155" i="24"/>
  <c r="BN155" i="24" s="1"/>
  <c r="BR83" i="25"/>
  <c r="BV83" i="25" s="1"/>
  <c r="BX83" i="25" s="1"/>
  <c r="BE83" i="25"/>
  <c r="BK83" i="25" s="1"/>
  <c r="BR207" i="25"/>
  <c r="BX207" i="25" s="1"/>
  <c r="BE207" i="25"/>
  <c r="BY179" i="24"/>
  <c r="CA179" i="24" s="1"/>
  <c r="BM179" i="24"/>
  <c r="BN179" i="24" s="1"/>
  <c r="BY269" i="24"/>
  <c r="CA269" i="24" s="1"/>
  <c r="BM269" i="24"/>
  <c r="BN269" i="24" s="1"/>
  <c r="BE118" i="25"/>
  <c r="BR118" i="25"/>
  <c r="BX118" i="25" s="1"/>
  <c r="BN85" i="24"/>
  <c r="BY85" i="24"/>
  <c r="CA85" i="24" s="1"/>
  <c r="CB85" i="24" s="1"/>
  <c r="AG601" i="29"/>
  <c r="W601" i="29"/>
  <c r="AG413" i="29"/>
  <c r="W413" i="29"/>
  <c r="AH150" i="29"/>
  <c r="X150" i="29"/>
  <c r="Y150" i="29" s="1"/>
  <c r="AG308" i="29"/>
  <c r="W308" i="29"/>
  <c r="W538" i="29"/>
  <c r="AG538" i="29"/>
  <c r="BY59" i="24"/>
  <c r="CA59" i="24" s="1"/>
  <c r="CB59" i="24" s="1"/>
  <c r="BN59" i="24"/>
  <c r="BL273" i="25"/>
  <c r="BY273" i="25"/>
  <c r="CA273" i="25" s="1"/>
  <c r="CB273" i="25" s="1"/>
  <c r="BK273" i="25"/>
  <c r="BY255" i="25"/>
  <c r="CA255" i="25" s="1"/>
  <c r="CB255" i="25" s="1"/>
  <c r="BL255" i="25"/>
  <c r="BK255" i="25"/>
  <c r="BY241" i="24"/>
  <c r="CA241" i="24" s="1"/>
  <c r="BM241" i="24"/>
  <c r="BN241" i="24" s="1"/>
  <c r="BY194" i="24"/>
  <c r="CA194" i="24" s="1"/>
  <c r="CB194" i="24" s="1"/>
  <c r="BM194" i="24"/>
  <c r="BN194" i="24" s="1"/>
  <c r="BY286" i="24"/>
  <c r="CA286" i="24" s="1"/>
  <c r="BM286" i="24"/>
  <c r="BN286" i="24" s="1"/>
  <c r="BE140" i="25"/>
  <c r="BR140" i="25"/>
  <c r="BX140" i="25" s="1"/>
  <c r="BY195" i="24"/>
  <c r="CA195" i="24" s="1"/>
  <c r="CB195" i="24" s="1"/>
  <c r="BM195" i="24"/>
  <c r="BN195" i="24" s="1"/>
  <c r="BR205" i="25"/>
  <c r="BX205" i="25" s="1"/>
  <c r="BE205" i="25"/>
  <c r="BY184" i="24"/>
  <c r="CA184" i="24" s="1"/>
  <c r="CB184" i="24" s="1"/>
  <c r="BM184" i="24"/>
  <c r="BN184" i="24" s="1"/>
  <c r="W51" i="29"/>
  <c r="AG51" i="29"/>
  <c r="X533" i="29"/>
  <c r="Y533" i="29" s="1"/>
  <c r="AH533" i="29"/>
  <c r="AH174" i="29"/>
  <c r="X174" i="29"/>
  <c r="Y174" i="29" s="1"/>
  <c r="AH383" i="29"/>
  <c r="X383" i="29"/>
  <c r="Y383" i="29" s="1"/>
  <c r="AG586" i="29"/>
  <c r="W586" i="29"/>
  <c r="W29" i="29"/>
  <c r="AG29" i="29"/>
  <c r="AH448" i="29"/>
  <c r="X448" i="29"/>
  <c r="Y448" i="29" s="1"/>
  <c r="W328" i="29"/>
  <c r="AG328" i="29"/>
  <c r="W276" i="29"/>
  <c r="AG276" i="29"/>
  <c r="AH450" i="29"/>
  <c r="X450" i="29"/>
  <c r="Y450" i="29" s="1"/>
  <c r="W281" i="29"/>
  <c r="AG281" i="29"/>
  <c r="W53" i="29"/>
  <c r="AG53" i="29"/>
  <c r="W47" i="29"/>
  <c r="AG47" i="29"/>
  <c r="BY124" i="24"/>
  <c r="CA124" i="24" s="1"/>
  <c r="CB124" i="24" s="1"/>
  <c r="BM124" i="24"/>
  <c r="BN124" i="24" s="1"/>
  <c r="BE310" i="25"/>
  <c r="BR310" i="25"/>
  <c r="BX310" i="25" s="1"/>
  <c r="BY223" i="24"/>
  <c r="CA223" i="24" s="1"/>
  <c r="CB223" i="24" s="1"/>
  <c r="BM223" i="24"/>
  <c r="BN223" i="24" s="1"/>
  <c r="BN65" i="24"/>
  <c r="BY65" i="24"/>
  <c r="CA65" i="24" s="1"/>
  <c r="CB65" i="24" s="1"/>
  <c r="BR208" i="25"/>
  <c r="BX208" i="25" s="1"/>
  <c r="BE208" i="25"/>
  <c r="BY177" i="25"/>
  <c r="CA177" i="25" s="1"/>
  <c r="BL177" i="25"/>
  <c r="BK177" i="25"/>
  <c r="BN103" i="24"/>
  <c r="BY103" i="24"/>
  <c r="CA103" i="24" s="1"/>
  <c r="BL258" i="25"/>
  <c r="BY258" i="25"/>
  <c r="CA258" i="25" s="1"/>
  <c r="CB258" i="25" s="1"/>
  <c r="BK258" i="25"/>
  <c r="AH207" i="29"/>
  <c r="X207" i="29"/>
  <c r="Y207" i="29" s="1"/>
  <c r="AH338" i="29"/>
  <c r="X338" i="29"/>
  <c r="Y338" i="29" s="1"/>
  <c r="X221" i="29"/>
  <c r="Y221" i="29" s="1"/>
  <c r="AH221" i="29"/>
  <c r="AH113" i="29"/>
  <c r="X113" i="29"/>
  <c r="Y113" i="29" s="1"/>
  <c r="AG517" i="29"/>
  <c r="W517" i="29"/>
  <c r="AH421" i="29"/>
  <c r="X421" i="29"/>
  <c r="Y421" i="29" s="1"/>
  <c r="AH557" i="29"/>
  <c r="X557" i="29"/>
  <c r="Y557" i="29" s="1"/>
  <c r="AH350" i="29"/>
  <c r="X350" i="29"/>
  <c r="Y350" i="29" s="1"/>
  <c r="W427" i="29"/>
  <c r="AG427" i="29"/>
  <c r="AG27" i="29"/>
  <c r="W27" i="29"/>
  <c r="AG217" i="29"/>
  <c r="W217" i="29"/>
  <c r="AH522" i="29"/>
  <c r="X522" i="29"/>
  <c r="Y522" i="29" s="1"/>
  <c r="X318" i="29"/>
  <c r="Y318" i="29" s="1"/>
  <c r="AH318" i="29"/>
  <c r="AG227" i="29"/>
  <c r="W227" i="29"/>
  <c r="AG590" i="29"/>
  <c r="W590" i="29"/>
  <c r="AG95" i="29"/>
  <c r="W95" i="29"/>
  <c r="AG152" i="29"/>
  <c r="W152" i="29"/>
  <c r="BY297" i="24"/>
  <c r="CA297" i="24" s="1"/>
  <c r="BM297" i="24"/>
  <c r="BN297" i="24" s="1"/>
  <c r="BY262" i="24"/>
  <c r="CA262" i="24" s="1"/>
  <c r="BM262" i="24"/>
  <c r="BN262" i="24" s="1"/>
  <c r="BY68" i="24"/>
  <c r="CA68" i="24" s="1"/>
  <c r="CB68" i="24" s="1"/>
  <c r="BN68" i="24"/>
  <c r="BE298" i="25"/>
  <c r="BR298" i="25"/>
  <c r="BX298" i="25" s="1"/>
  <c r="BE184" i="25"/>
  <c r="BR184" i="25"/>
  <c r="BX184" i="25" s="1"/>
  <c r="BY200" i="24"/>
  <c r="CA200" i="24" s="1"/>
  <c r="BM200" i="24"/>
  <c r="BN200" i="24" s="1"/>
  <c r="BR250" i="25"/>
  <c r="BX250" i="25" s="1"/>
  <c r="BE250" i="25"/>
  <c r="BY168" i="24"/>
  <c r="CA168" i="24" s="1"/>
  <c r="BM168" i="24"/>
  <c r="BN168" i="24" s="1"/>
  <c r="BY181" i="24"/>
  <c r="CA181" i="24" s="1"/>
  <c r="CB181" i="24" s="1"/>
  <c r="BM181" i="24"/>
  <c r="BN181" i="24" s="1"/>
  <c r="BR51" i="25"/>
  <c r="BV51" i="25" s="1"/>
  <c r="BX51" i="25" s="1"/>
  <c r="BE51" i="25"/>
  <c r="BK51" i="25" s="1"/>
  <c r="BR286" i="25"/>
  <c r="BX286" i="25" s="1"/>
  <c r="BE286" i="25"/>
  <c r="BY95" i="25"/>
  <c r="CA95" i="25" s="1"/>
  <c r="CB95" i="25" s="1"/>
  <c r="BL95" i="25"/>
  <c r="AG295" i="29"/>
  <c r="W295" i="29"/>
  <c r="AG193" i="29"/>
  <c r="W193" i="29"/>
  <c r="W333" i="29"/>
  <c r="AG333" i="29"/>
  <c r="AG285" i="29"/>
  <c r="W285" i="29"/>
  <c r="X562" i="29"/>
  <c r="Y562" i="29" s="1"/>
  <c r="AH562" i="29"/>
  <c r="AH569" i="29"/>
  <c r="X569" i="29"/>
  <c r="Y569" i="29" s="1"/>
  <c r="AH265" i="29"/>
  <c r="X265" i="29"/>
  <c r="Y265" i="29" s="1"/>
  <c r="BY186" i="24"/>
  <c r="CA186" i="24" s="1"/>
  <c r="BM186" i="24"/>
  <c r="BN186" i="24" s="1"/>
  <c r="BY116" i="24"/>
  <c r="CA116" i="24" s="1"/>
  <c r="CB116" i="24" s="1"/>
  <c r="BM116" i="24"/>
  <c r="BN116" i="24" s="1"/>
  <c r="BL240" i="25"/>
  <c r="BY240" i="25"/>
  <c r="CA240" i="25" s="1"/>
  <c r="CB240" i="25" s="1"/>
  <c r="BK240" i="25"/>
  <c r="AH514" i="29"/>
  <c r="X514" i="29"/>
  <c r="Y514" i="29" s="1"/>
  <c r="AG309" i="29"/>
  <c r="W309" i="29"/>
  <c r="W62" i="29"/>
  <c r="AG62" i="29"/>
  <c r="AH422" i="29"/>
  <c r="X422" i="29"/>
  <c r="Y422" i="29" s="1"/>
  <c r="AH166" i="29"/>
  <c r="X166" i="29"/>
  <c r="Y166" i="29" s="1"/>
  <c r="AG477" i="29"/>
  <c r="W477" i="29"/>
  <c r="X508" i="29"/>
  <c r="Y508" i="29" s="1"/>
  <c r="AH508" i="29"/>
  <c r="X41" i="29"/>
  <c r="Y41" i="29" s="1"/>
  <c r="AH41" i="29"/>
  <c r="AH495" i="29"/>
  <c r="X495" i="29"/>
  <c r="Y495" i="29" s="1"/>
  <c r="AH335" i="29"/>
  <c r="X335" i="29"/>
  <c r="Y335" i="29" s="1"/>
  <c r="AG479" i="29"/>
  <c r="W479" i="29"/>
  <c r="W550" i="29"/>
  <c r="AG550" i="29"/>
  <c r="AH559" i="29"/>
  <c r="X559" i="29"/>
  <c r="Y559" i="29" s="1"/>
  <c r="BY254" i="24"/>
  <c r="CA254" i="24" s="1"/>
  <c r="CB254" i="24" s="1"/>
  <c r="BM254" i="24"/>
  <c r="BN254" i="24" s="1"/>
  <c r="BY210" i="24"/>
  <c r="CA210" i="24" s="1"/>
  <c r="BM210" i="24"/>
  <c r="BN210" i="24" s="1"/>
  <c r="BE99" i="25"/>
  <c r="BK99" i="25" s="1"/>
  <c r="BR99" i="25"/>
  <c r="BV99" i="25" s="1"/>
  <c r="BX99" i="25" s="1"/>
  <c r="BE88" i="25"/>
  <c r="BK88" i="25" s="1"/>
  <c r="BR88" i="25"/>
  <c r="BV88" i="25" s="1"/>
  <c r="BX88" i="25" s="1"/>
  <c r="BY97" i="25"/>
  <c r="CA97" i="25" s="1"/>
  <c r="BL97" i="25"/>
  <c r="BY193" i="24"/>
  <c r="CA193" i="24" s="1"/>
  <c r="BM193" i="24"/>
  <c r="BN193" i="24" s="1"/>
  <c r="BY159" i="24"/>
  <c r="CA159" i="24" s="1"/>
  <c r="CB159" i="24" s="1"/>
  <c r="BM159" i="24"/>
  <c r="BN159" i="24" s="1"/>
  <c r="BE241" i="25"/>
  <c r="BR241" i="25"/>
  <c r="BX241" i="25" s="1"/>
  <c r="BE67" i="25"/>
  <c r="BK67" i="25" s="1"/>
  <c r="BR67" i="25"/>
  <c r="BV67" i="25" s="1"/>
  <c r="BX67" i="25" s="1"/>
  <c r="BY273" i="24"/>
  <c r="CA273" i="24" s="1"/>
  <c r="CB273" i="24" s="1"/>
  <c r="BM273" i="24"/>
  <c r="BN273" i="24" s="1"/>
  <c r="BY161" i="24"/>
  <c r="CA161" i="24" s="1"/>
  <c r="BM161" i="24"/>
  <c r="BN161" i="24" s="1"/>
  <c r="BY166" i="24"/>
  <c r="CA166" i="24" s="1"/>
  <c r="BM166" i="24"/>
  <c r="BN166" i="24" s="1"/>
  <c r="AG80" i="29"/>
  <c r="W80" i="29"/>
  <c r="AH85" i="29"/>
  <c r="X85" i="29"/>
  <c r="Y85" i="29" s="1"/>
  <c r="AH157" i="29"/>
  <c r="X157" i="29"/>
  <c r="Y157" i="29" s="1"/>
  <c r="X426" i="29"/>
  <c r="Y426" i="29" s="1"/>
  <c r="AH426" i="29"/>
  <c r="X434" i="29"/>
  <c r="Y434" i="29" s="1"/>
  <c r="AH434" i="29"/>
  <c r="W509" i="29"/>
  <c r="AG509" i="29"/>
  <c r="AH84" i="29"/>
  <c r="X84" i="29"/>
  <c r="Y84" i="29" s="1"/>
  <c r="AH222" i="29"/>
  <c r="X222" i="29"/>
  <c r="Y222" i="29" s="1"/>
  <c r="AH360" i="29"/>
  <c r="X360" i="29"/>
  <c r="Y360" i="29" s="1"/>
  <c r="AG458" i="29"/>
  <c r="W458" i="29"/>
  <c r="W470" i="29"/>
  <c r="AG470" i="29"/>
  <c r="W196" i="29"/>
  <c r="AG196" i="29"/>
  <c r="AH351" i="29"/>
  <c r="X351" i="29"/>
  <c r="Y351" i="29" s="1"/>
  <c r="AH146" i="29"/>
  <c r="X146" i="29"/>
  <c r="Y146" i="29" s="1"/>
  <c r="W377" i="29"/>
  <c r="AG377" i="29"/>
  <c r="BY134" i="24"/>
  <c r="CA134" i="24" s="1"/>
  <c r="CB134" i="24" s="1"/>
  <c r="BM134" i="24"/>
  <c r="BN134" i="24" s="1"/>
  <c r="BY287" i="24"/>
  <c r="CA287" i="24" s="1"/>
  <c r="CB287" i="24" s="1"/>
  <c r="BM287" i="24"/>
  <c r="BN287" i="24" s="1"/>
  <c r="BY77" i="24"/>
  <c r="CA77" i="24" s="1"/>
  <c r="CB77" i="24" s="1"/>
  <c r="BN77" i="24"/>
  <c r="BY131" i="24"/>
  <c r="CA131" i="24" s="1"/>
  <c r="CB131" i="24" s="1"/>
  <c r="BM131" i="24"/>
  <c r="BN131" i="24" s="1"/>
  <c r="BE55" i="25"/>
  <c r="BK55" i="25" s="1"/>
  <c r="BR55" i="25"/>
  <c r="BV55" i="25" s="1"/>
  <c r="BX55" i="25" s="1"/>
  <c r="BY263" i="24"/>
  <c r="CA263" i="24" s="1"/>
  <c r="BM263" i="24"/>
  <c r="BN263" i="24" s="1"/>
  <c r="BE166" i="25"/>
  <c r="BR166" i="25"/>
  <c r="BX166" i="25" s="1"/>
  <c r="BE312" i="25"/>
  <c r="BR312" i="25"/>
  <c r="BX312" i="25" s="1"/>
  <c r="X260" i="29"/>
  <c r="Y260" i="29" s="1"/>
  <c r="AH260" i="29"/>
  <c r="AG235" i="29"/>
  <c r="W235" i="29"/>
  <c r="W546" i="29"/>
  <c r="AG546" i="29"/>
  <c r="W454" i="29"/>
  <c r="AG454" i="29"/>
  <c r="AH498" i="29"/>
  <c r="X498" i="29"/>
  <c r="Y498" i="29" s="1"/>
  <c r="AH561" i="29"/>
  <c r="X561" i="29"/>
  <c r="Y561" i="29" s="1"/>
  <c r="W462" i="29"/>
  <c r="AG462" i="29"/>
  <c r="AH523" i="29"/>
  <c r="X523" i="29"/>
  <c r="Y523" i="29" s="1"/>
  <c r="BY245" i="24"/>
  <c r="CA245" i="24" s="1"/>
  <c r="BM245" i="24"/>
  <c r="BN245" i="24" s="1"/>
  <c r="BE226" i="25"/>
  <c r="BR226" i="25"/>
  <c r="BX226" i="25" s="1"/>
  <c r="BE217" i="25"/>
  <c r="BR217" i="25"/>
  <c r="BX217" i="25" s="1"/>
  <c r="BY170" i="24"/>
  <c r="CA170" i="24" s="1"/>
  <c r="BM170" i="24"/>
  <c r="BN170" i="24" s="1"/>
  <c r="BE224" i="25"/>
  <c r="BR224" i="25"/>
  <c r="BX224" i="25" s="1"/>
  <c r="BY255" i="24"/>
  <c r="CA255" i="24" s="1"/>
  <c r="CB255" i="24" s="1"/>
  <c r="BM255" i="24"/>
  <c r="BN255" i="24" s="1"/>
  <c r="W87" i="29"/>
  <c r="AG87" i="29"/>
  <c r="AH294" i="29"/>
  <c r="X294" i="29"/>
  <c r="Y294" i="29" s="1"/>
  <c r="X33" i="29"/>
  <c r="Y33" i="29" s="1"/>
  <c r="AH33" i="29"/>
  <c r="W407" i="29"/>
  <c r="AG407" i="29"/>
  <c r="X137" i="29"/>
  <c r="Y137" i="29" s="1"/>
  <c r="AH137" i="29"/>
  <c r="W247" i="29"/>
  <c r="AG247" i="29"/>
  <c r="AG461" i="29"/>
  <c r="W461" i="29"/>
  <c r="AH291" i="29"/>
  <c r="X291" i="29"/>
  <c r="Y291" i="29" s="1"/>
  <c r="W311" i="29"/>
  <c r="AG311" i="29"/>
  <c r="W162" i="29"/>
  <c r="AG162" i="29"/>
  <c r="AH164" i="29"/>
  <c r="X164" i="29"/>
  <c r="Y164" i="29" s="1"/>
  <c r="AG238" i="29"/>
  <c r="W238" i="29"/>
  <c r="AG400" i="29"/>
  <c r="W400" i="29"/>
  <c r="X480" i="29"/>
  <c r="Y480" i="29" s="1"/>
  <c r="AH480" i="29"/>
  <c r="AH489" i="29"/>
  <c r="X489" i="29"/>
  <c r="Y489" i="29" s="1"/>
  <c r="BY243" i="25"/>
  <c r="CA243" i="25" s="1"/>
  <c r="CB243" i="25" s="1"/>
  <c r="BL243" i="25"/>
  <c r="BK243" i="25"/>
  <c r="BE156" i="25"/>
  <c r="BR156" i="25"/>
  <c r="BX156" i="25" s="1"/>
  <c r="BY89" i="25"/>
  <c r="CA89" i="25" s="1"/>
  <c r="BL89" i="25"/>
  <c r="BE123" i="25"/>
  <c r="BR123" i="25"/>
  <c r="BX123" i="25" s="1"/>
  <c r="BY30" i="25"/>
  <c r="CA30" i="25" s="1"/>
  <c r="BL30" i="25"/>
  <c r="BY288" i="24"/>
  <c r="CA288" i="24" s="1"/>
  <c r="BM288" i="24"/>
  <c r="BN288" i="24" s="1"/>
  <c r="BY173" i="25"/>
  <c r="CA173" i="25" s="1"/>
  <c r="BL173" i="25"/>
  <c r="BK173" i="25"/>
  <c r="BE271" i="25"/>
  <c r="BR271" i="25"/>
  <c r="BX271" i="25" s="1"/>
  <c r="BY276" i="24"/>
  <c r="CA276" i="24" s="1"/>
  <c r="BM276" i="24"/>
  <c r="BN276" i="24" s="1"/>
  <c r="BE111" i="25"/>
  <c r="BR111" i="25"/>
  <c r="BX111" i="25" s="1"/>
  <c r="W267" i="29"/>
  <c r="AG267" i="29"/>
  <c r="AG250" i="29"/>
  <c r="W250" i="29"/>
  <c r="AH528" i="29"/>
  <c r="X528" i="29"/>
  <c r="Y528" i="29" s="1"/>
  <c r="AH369" i="29"/>
  <c r="X369" i="29"/>
  <c r="Y369" i="29" s="1"/>
  <c r="X440" i="29"/>
  <c r="Y440" i="29" s="1"/>
  <c r="AH440" i="29"/>
  <c r="X301" i="29"/>
  <c r="Y301" i="29" s="1"/>
  <c r="AH301" i="29"/>
  <c r="AG39" i="29"/>
  <c r="W39" i="29"/>
  <c r="W320" i="29"/>
  <c r="AG320" i="29"/>
  <c r="X431" i="29"/>
  <c r="Y431" i="29" s="1"/>
  <c r="AH431" i="29"/>
  <c r="AH380" i="29"/>
  <c r="X380" i="29"/>
  <c r="Y380" i="29" s="1"/>
  <c r="AG572" i="29"/>
  <c r="W572" i="29"/>
  <c r="W197" i="29"/>
  <c r="AG197" i="29"/>
  <c r="AG44" i="29"/>
  <c r="W44" i="29"/>
  <c r="AG418" i="29"/>
  <c r="W418" i="29"/>
  <c r="W536" i="29"/>
  <c r="AG536" i="29"/>
  <c r="BE210" i="25"/>
  <c r="BR210" i="25"/>
  <c r="BX210" i="25" s="1"/>
  <c r="BR209" i="25"/>
  <c r="BX209" i="25" s="1"/>
  <c r="BE209" i="25"/>
  <c r="BE53" i="25"/>
  <c r="BK53" i="25" s="1"/>
  <c r="BR53" i="25"/>
  <c r="BV53" i="25" s="1"/>
  <c r="BX53" i="25" s="1"/>
  <c r="BY155" i="25"/>
  <c r="CA155" i="25" s="1"/>
  <c r="CB155" i="25" s="1"/>
  <c r="BL155" i="25"/>
  <c r="BK155" i="25"/>
  <c r="BN76" i="24"/>
  <c r="BY76" i="24"/>
  <c r="CA76" i="24" s="1"/>
  <c r="CB76" i="24" s="1"/>
  <c r="BE122" i="25"/>
  <c r="BR122" i="25"/>
  <c r="BX122" i="25" s="1"/>
  <c r="BE20" i="25"/>
  <c r="BK20" i="25" s="1"/>
  <c r="BR20" i="25"/>
  <c r="BV20" i="25" s="1"/>
  <c r="BX20" i="25" s="1"/>
  <c r="BE295" i="25"/>
  <c r="BR295" i="25"/>
  <c r="BX295" i="25" s="1"/>
  <c r="BY198" i="24"/>
  <c r="CA198" i="24" s="1"/>
  <c r="CB198" i="24" s="1"/>
  <c r="BM198" i="24"/>
  <c r="BN198" i="24" s="1"/>
  <c r="AG239" i="29"/>
  <c r="W239" i="29"/>
  <c r="AG78" i="29"/>
  <c r="W78" i="29"/>
  <c r="X347" i="29"/>
  <c r="Y347" i="29" s="1"/>
  <c r="AH347" i="29"/>
  <c r="X513" i="29"/>
  <c r="Y513" i="29" s="1"/>
  <c r="AH513" i="29"/>
  <c r="AG205" i="29"/>
  <c r="W205" i="29"/>
  <c r="BR79" i="25"/>
  <c r="BV79" i="25" s="1"/>
  <c r="BX79" i="25" s="1"/>
  <c r="BE79" i="25"/>
  <c r="BK79" i="25" s="1"/>
  <c r="BY291" i="25"/>
  <c r="CA291" i="25" s="1"/>
  <c r="CB291" i="25" s="1"/>
  <c r="BL291" i="25"/>
  <c r="BK291" i="25"/>
  <c r="BY9" i="24"/>
  <c r="CA9" i="24" s="1"/>
  <c r="CB9" i="24" s="1"/>
  <c r="BN9" i="24"/>
  <c r="BY30" i="24"/>
  <c r="CA30" i="24" s="1"/>
  <c r="BN30" i="24"/>
  <c r="BY52" i="24"/>
  <c r="CA52" i="24" s="1"/>
  <c r="CB52" i="24" s="1"/>
  <c r="BN52" i="24"/>
  <c r="BY86" i="24"/>
  <c r="CA86" i="24" s="1"/>
  <c r="CB86" i="24" s="1"/>
  <c r="BN86" i="24"/>
  <c r="BL267" i="25"/>
  <c r="BY267" i="25"/>
  <c r="CA267" i="25" s="1"/>
  <c r="CB267" i="25" s="1"/>
  <c r="BK267" i="25"/>
  <c r="BE216" i="25"/>
  <c r="BR216" i="25"/>
  <c r="BX216" i="25" s="1"/>
  <c r="AG549" i="29"/>
  <c r="W549" i="29"/>
  <c r="AG76" i="29"/>
  <c r="W76" i="29"/>
  <c r="BY35" i="24"/>
  <c r="CA35" i="24" s="1"/>
  <c r="CB35" i="24" s="1"/>
  <c r="BN35" i="24"/>
  <c r="BE168" i="25"/>
  <c r="BR168" i="25"/>
  <c r="BX168" i="25" s="1"/>
  <c r="BY293" i="24"/>
  <c r="CA293" i="24" s="1"/>
  <c r="CB293" i="24" s="1"/>
  <c r="BM293" i="24"/>
  <c r="BN293" i="24" s="1"/>
  <c r="BY186" i="25"/>
  <c r="CA186" i="25" s="1"/>
  <c r="BL186" i="25"/>
  <c r="BK186" i="25"/>
  <c r="BY249" i="24"/>
  <c r="CA249" i="24" s="1"/>
  <c r="CB249" i="24" s="1"/>
  <c r="BM249" i="24"/>
  <c r="BN249" i="24" s="1"/>
  <c r="BR46" i="25"/>
  <c r="BV46" i="25" s="1"/>
  <c r="BX46" i="25" s="1"/>
  <c r="BE46" i="25"/>
  <c r="BK46" i="25" s="1"/>
  <c r="AG468" i="29"/>
  <c r="W468" i="29"/>
  <c r="AH507" i="29"/>
  <c r="X507" i="29"/>
  <c r="Y507" i="29" s="1"/>
  <c r="AH447" i="29"/>
  <c r="X447" i="29"/>
  <c r="Y447" i="29" s="1"/>
  <c r="AH209" i="29"/>
  <c r="X209" i="29"/>
  <c r="Y209" i="29" s="1"/>
  <c r="W30" i="29"/>
  <c r="AG30" i="29"/>
  <c r="X193" i="29"/>
  <c r="Y193" i="29" s="1"/>
  <c r="AH193" i="29"/>
  <c r="AH140" i="29"/>
  <c r="X140" i="29"/>
  <c r="Y140" i="29" s="1"/>
  <c r="X285" i="29"/>
  <c r="Y285" i="29" s="1"/>
  <c r="AH285" i="29"/>
  <c r="X202" i="29"/>
  <c r="Y202" i="29" s="1"/>
  <c r="AH202" i="29"/>
  <c r="W182" i="29"/>
  <c r="AG182" i="29"/>
  <c r="AG419" i="29"/>
  <c r="W419" i="29"/>
  <c r="AG228" i="29"/>
  <c r="W228" i="29"/>
  <c r="AG159" i="29"/>
  <c r="W159" i="29"/>
  <c r="BE281" i="25"/>
  <c r="BR281" i="25"/>
  <c r="BX281" i="25" s="1"/>
  <c r="BY267" i="24"/>
  <c r="CA267" i="24" s="1"/>
  <c r="BM267" i="24"/>
  <c r="BN267" i="24" s="1"/>
  <c r="BY221" i="24"/>
  <c r="CA221" i="24" s="1"/>
  <c r="CB221" i="24" s="1"/>
  <c r="BM221" i="24"/>
  <c r="BN221" i="24" s="1"/>
  <c r="BE116" i="25"/>
  <c r="BR116" i="25"/>
  <c r="BX116" i="25" s="1"/>
  <c r="BE8" i="25"/>
  <c r="BK8" i="25" s="1"/>
  <c r="BR8" i="25"/>
  <c r="BV8" i="25" s="1"/>
  <c r="BX8" i="25" s="1"/>
  <c r="BE175" i="25"/>
  <c r="BR175" i="25"/>
  <c r="BX175" i="25" s="1"/>
  <c r="AG258" i="29"/>
  <c r="W258" i="29"/>
  <c r="BL292" i="25"/>
  <c r="BY292" i="25"/>
  <c r="CA292" i="25" s="1"/>
  <c r="CB292" i="25" s="1"/>
  <c r="BK292" i="25"/>
  <c r="BE245" i="25"/>
  <c r="BR245" i="25"/>
  <c r="BX245" i="25" s="1"/>
  <c r="BY239" i="24"/>
  <c r="CA239" i="24" s="1"/>
  <c r="CB239" i="24" s="1"/>
  <c r="BM239" i="24"/>
  <c r="BN239" i="24" s="1"/>
  <c r="W81" i="29"/>
  <c r="AG81" i="29"/>
  <c r="X108" i="29"/>
  <c r="Y108" i="29" s="1"/>
  <c r="AH108" i="29"/>
  <c r="X266" i="29"/>
  <c r="Y266" i="29" s="1"/>
  <c r="AH266" i="29"/>
  <c r="AH104" i="29"/>
  <c r="X104" i="29"/>
  <c r="Y104" i="29" s="1"/>
  <c r="BE299" i="25"/>
  <c r="BR299" i="25"/>
  <c r="BX299" i="25" s="1"/>
  <c r="BR93" i="25"/>
  <c r="BV93" i="25" s="1"/>
  <c r="BX93" i="25" s="1"/>
  <c r="BE93" i="25"/>
  <c r="BK93" i="25" s="1"/>
  <c r="BY277" i="24"/>
  <c r="CA277" i="24" s="1"/>
  <c r="CB277" i="24" s="1"/>
  <c r="BM277" i="24"/>
  <c r="BN277" i="24" s="1"/>
  <c r="BN80" i="24"/>
  <c r="BY80" i="24"/>
  <c r="CA80" i="24" s="1"/>
  <c r="BE37" i="25"/>
  <c r="BK37" i="25" s="1"/>
  <c r="BR37" i="25"/>
  <c r="BV37" i="25" s="1"/>
  <c r="BX37" i="25" s="1"/>
  <c r="BY217" i="24"/>
  <c r="CA217" i="24" s="1"/>
  <c r="BM217" i="24"/>
  <c r="BN217" i="24" s="1"/>
  <c r="BL96" i="25"/>
  <c r="BY96" i="25"/>
  <c r="CA96" i="25" s="1"/>
  <c r="BE102" i="25"/>
  <c r="BK102" i="25" s="1"/>
  <c r="BR102" i="25"/>
  <c r="BV102" i="25" s="1"/>
  <c r="BX102" i="25" s="1"/>
  <c r="BE139" i="25"/>
  <c r="BR139" i="25"/>
  <c r="BX139" i="25" s="1"/>
  <c r="BY38" i="24"/>
  <c r="CA38" i="24" s="1"/>
  <c r="CB38" i="24" s="1"/>
  <c r="BN38" i="24"/>
  <c r="AG437" i="29"/>
  <c r="W437" i="29"/>
  <c r="BE274" i="25"/>
  <c r="BR274" i="25"/>
  <c r="BX274" i="25" s="1"/>
  <c r="BN88" i="24"/>
  <c r="BY88" i="24"/>
  <c r="CA88" i="24" s="1"/>
  <c r="BY283" i="25"/>
  <c r="CA283" i="25" s="1"/>
  <c r="CB283" i="25" s="1"/>
  <c r="BL283" i="25"/>
  <c r="BK283" i="25"/>
  <c r="BY300" i="24"/>
  <c r="CA300" i="24" s="1"/>
  <c r="CB300" i="24" s="1"/>
  <c r="BM300" i="24"/>
  <c r="BN300" i="24" s="1"/>
  <c r="BY278" i="24"/>
  <c r="CA278" i="24" s="1"/>
  <c r="CB278" i="24" s="1"/>
  <c r="BM278" i="24"/>
  <c r="BN278" i="24" s="1"/>
  <c r="BY61" i="24"/>
  <c r="CA61" i="24" s="1"/>
  <c r="BN61" i="24"/>
  <c r="BR78" i="25"/>
  <c r="BV78" i="25" s="1"/>
  <c r="BX78" i="25" s="1"/>
  <c r="BE78" i="25"/>
  <c r="BK78" i="25" s="1"/>
  <c r="BY147" i="25"/>
  <c r="CA147" i="25" s="1"/>
  <c r="BL147" i="25"/>
  <c r="BK147" i="25"/>
  <c r="X531" i="29"/>
  <c r="Y531" i="29" s="1"/>
  <c r="AH531" i="29"/>
  <c r="AH410" i="29"/>
  <c r="X410" i="29"/>
  <c r="Y410" i="29" s="1"/>
  <c r="X289" i="29"/>
  <c r="Y289" i="29" s="1"/>
  <c r="AH289" i="29"/>
  <c r="W127" i="29"/>
  <c r="AG127" i="29"/>
  <c r="AH98" i="29"/>
  <c r="X98" i="29"/>
  <c r="Y98" i="29" s="1"/>
  <c r="AG510" i="29"/>
  <c r="W510" i="29"/>
  <c r="W20" i="29"/>
  <c r="AG20" i="29"/>
  <c r="AG451" i="29"/>
  <c r="W451" i="29"/>
  <c r="W94" i="29"/>
  <c r="AG94" i="29"/>
  <c r="AH382" i="29"/>
  <c r="X382" i="29"/>
  <c r="Y382" i="29" s="1"/>
  <c r="W506" i="29"/>
  <c r="AG506" i="29"/>
  <c r="BY167" i="24"/>
  <c r="CA167" i="24" s="1"/>
  <c r="CB167" i="24" s="1"/>
  <c r="BM167" i="24"/>
  <c r="BN167" i="24" s="1"/>
  <c r="BE74" i="25"/>
  <c r="BK74" i="25" s="1"/>
  <c r="BR74" i="25"/>
  <c r="BV74" i="25" s="1"/>
  <c r="BX74" i="25" s="1"/>
  <c r="BY154" i="24"/>
  <c r="CA154" i="24" s="1"/>
  <c r="CB154" i="24" s="1"/>
  <c r="BM154" i="24"/>
  <c r="BN154" i="24" s="1"/>
  <c r="BE68" i="25"/>
  <c r="BK68" i="25" s="1"/>
  <c r="BR68" i="25"/>
  <c r="BV68" i="25" s="1"/>
  <c r="BX68" i="25" s="1"/>
  <c r="BY151" i="24"/>
  <c r="CA151" i="24" s="1"/>
  <c r="BM151" i="24"/>
  <c r="BN151" i="24" s="1"/>
  <c r="BE309" i="25"/>
  <c r="BR309" i="25"/>
  <c r="BX309" i="25" s="1"/>
  <c r="BY50" i="24"/>
  <c r="CA50" i="24" s="1"/>
  <c r="CB50" i="24" s="1"/>
  <c r="BN50" i="24"/>
  <c r="AG18" i="29"/>
  <c r="W18" i="29"/>
  <c r="AH387" i="29"/>
  <c r="X387" i="29"/>
  <c r="Y387" i="29" s="1"/>
  <c r="X330" i="29"/>
  <c r="Y330" i="29" s="1"/>
  <c r="AH330" i="29"/>
  <c r="AH189" i="29"/>
  <c r="X189" i="29"/>
  <c r="Y189" i="29" s="1"/>
  <c r="AH60" i="29"/>
  <c r="X60" i="29"/>
  <c r="Y60" i="29" s="1"/>
  <c r="BE263" i="25"/>
  <c r="BR263" i="25"/>
  <c r="BX263" i="25" s="1"/>
  <c r="BR90" i="25"/>
  <c r="BV90" i="25" s="1"/>
  <c r="BX90" i="25" s="1"/>
  <c r="BE90" i="25"/>
  <c r="BK90" i="25" s="1"/>
  <c r="BY199" i="24"/>
  <c r="CA199" i="24" s="1"/>
  <c r="BM199" i="24"/>
  <c r="BN199" i="24" s="1"/>
  <c r="BN63" i="24"/>
  <c r="BY63" i="24"/>
  <c r="CA63" i="24" s="1"/>
  <c r="CB63" i="24" s="1"/>
  <c r="BN97" i="24"/>
  <c r="BY97" i="24"/>
  <c r="CA97" i="24" s="1"/>
  <c r="BY270" i="24"/>
  <c r="CA270" i="24" s="1"/>
  <c r="CB270" i="24" s="1"/>
  <c r="BM270" i="24"/>
  <c r="BN270" i="24" s="1"/>
  <c r="BR86" i="25"/>
  <c r="BV86" i="25" s="1"/>
  <c r="BX86" i="25" s="1"/>
  <c r="BE86" i="25"/>
  <c r="BK86" i="25" s="1"/>
  <c r="BY11" i="25"/>
  <c r="CA11" i="25" s="1"/>
  <c r="CB11" i="25" s="1"/>
  <c r="BL11" i="25"/>
  <c r="BE157" i="25"/>
  <c r="BR157" i="25"/>
  <c r="BX157" i="25" s="1"/>
  <c r="BN8" i="24"/>
  <c r="BY8" i="24"/>
  <c r="CA8" i="24" s="1"/>
  <c r="CB8" i="24" s="1"/>
  <c r="AG446" i="29"/>
  <c r="W446" i="29"/>
  <c r="W484" i="29"/>
  <c r="AG484" i="29"/>
  <c r="BY227" i="24"/>
  <c r="CA227" i="24" s="1"/>
  <c r="CB227" i="24" s="1"/>
  <c r="BM227" i="24"/>
  <c r="BN227" i="24" s="1"/>
  <c r="BY59" i="25"/>
  <c r="CA59" i="25" s="1"/>
  <c r="CB59" i="25" s="1"/>
  <c r="BL59" i="25"/>
  <c r="BY306" i="25"/>
  <c r="CA306" i="25" s="1"/>
  <c r="CB306" i="25" s="1"/>
  <c r="BL306" i="25"/>
  <c r="BK306" i="25"/>
  <c r="BE203" i="25"/>
  <c r="BR203" i="25"/>
  <c r="BX203" i="25" s="1"/>
  <c r="BY14" i="25"/>
  <c r="CA14" i="25" s="1"/>
  <c r="BL14" i="25"/>
  <c r="BE230" i="25"/>
  <c r="BR230" i="25"/>
  <c r="BX230" i="25" s="1"/>
  <c r="BR76" i="25"/>
  <c r="BV76" i="25" s="1"/>
  <c r="BX76" i="25" s="1"/>
  <c r="BE76" i="25"/>
  <c r="BK76" i="25" s="1"/>
  <c r="BY206" i="24"/>
  <c r="CA206" i="24" s="1"/>
  <c r="BM206" i="24"/>
  <c r="BN206" i="24" s="1"/>
  <c r="BY144" i="24"/>
  <c r="CA144" i="24" s="1"/>
  <c r="CB144" i="24" s="1"/>
  <c r="BM144" i="24"/>
  <c r="BN144" i="24" s="1"/>
  <c r="BE307" i="25"/>
  <c r="BR307" i="25"/>
  <c r="BX307" i="25" s="1"/>
  <c r="X594" i="29"/>
  <c r="Y594" i="29" s="1"/>
  <c r="AH594" i="29"/>
  <c r="AG582" i="29"/>
  <c r="W582" i="29"/>
  <c r="X82" i="29"/>
  <c r="Y82" i="29" s="1"/>
  <c r="AH82" i="29"/>
  <c r="W370" i="29"/>
  <c r="AG370" i="29"/>
  <c r="W570" i="29"/>
  <c r="AG570" i="29"/>
  <c r="AH78" i="29"/>
  <c r="X78" i="29"/>
  <c r="Y78" i="29" s="1"/>
  <c r="AH103" i="29"/>
  <c r="X103" i="29"/>
  <c r="Y103" i="29" s="1"/>
  <c r="AH139" i="29"/>
  <c r="X139" i="29"/>
  <c r="Y139" i="29" s="1"/>
  <c r="X261" i="29"/>
  <c r="Y261" i="29" s="1"/>
  <c r="AH261" i="29"/>
  <c r="AG77" i="29"/>
  <c r="W77" i="29"/>
  <c r="AH459" i="29"/>
  <c r="X459" i="29"/>
  <c r="Y459" i="29" s="1"/>
  <c r="AG494" i="29"/>
  <c r="W494" i="29"/>
  <c r="W151" i="29"/>
  <c r="AG151" i="29"/>
  <c r="W613" i="29"/>
  <c r="AG613" i="29"/>
  <c r="AH218" i="29"/>
  <c r="X218" i="29"/>
  <c r="Y218" i="29" s="1"/>
  <c r="BE304" i="25"/>
  <c r="BR304" i="25"/>
  <c r="BX304" i="25" s="1"/>
  <c r="BE135" i="25"/>
  <c r="BR135" i="25"/>
  <c r="BX135" i="25" s="1"/>
  <c r="BE169" i="25"/>
  <c r="BR169" i="25"/>
  <c r="BX169" i="25" s="1"/>
  <c r="BY153" i="24"/>
  <c r="CA153" i="24" s="1"/>
  <c r="CB153" i="24" s="1"/>
  <c r="BM153" i="24"/>
  <c r="BN153" i="24" s="1"/>
  <c r="BY285" i="24"/>
  <c r="CA285" i="24" s="1"/>
  <c r="BM285" i="24"/>
  <c r="BN285" i="24" s="1"/>
  <c r="BE308" i="25"/>
  <c r="BR308" i="25"/>
  <c r="BX308" i="25" s="1"/>
  <c r="BE193" i="25"/>
  <c r="BR193" i="25"/>
  <c r="BX193" i="25" s="1"/>
  <c r="BL28" i="25"/>
  <c r="BY28" i="25"/>
  <c r="CA28" i="25" s="1"/>
  <c r="CB28" i="25" s="1"/>
  <c r="AG262" i="29"/>
  <c r="W262" i="29"/>
  <c r="W17" i="29"/>
  <c r="AG17" i="29"/>
  <c r="AG233" i="29"/>
  <c r="W233" i="29"/>
  <c r="W178" i="29"/>
  <c r="AG178" i="29"/>
  <c r="W386" i="29"/>
  <c r="AG386" i="29"/>
  <c r="AG361" i="29"/>
  <c r="W361" i="29"/>
  <c r="AG602" i="29"/>
  <c r="W602" i="29"/>
  <c r="AG16" i="29"/>
  <c r="W16" i="29"/>
  <c r="AH529" i="29"/>
  <c r="X529" i="29"/>
  <c r="Y529" i="29" s="1"/>
  <c r="AG519" i="29"/>
  <c r="W519" i="29"/>
  <c r="W391" i="29"/>
  <c r="AG391" i="29"/>
  <c r="X56" i="29"/>
  <c r="Y56" i="29" s="1"/>
  <c r="AH56" i="29"/>
  <c r="W344" i="29"/>
  <c r="AG344" i="29"/>
  <c r="AG505" i="29"/>
  <c r="W505" i="29"/>
  <c r="W175" i="29"/>
  <c r="AG175" i="29"/>
  <c r="AG553" i="29"/>
  <c r="W553" i="29"/>
  <c r="AH463" i="29"/>
  <c r="X463" i="29"/>
  <c r="Y463" i="29" s="1"/>
  <c r="BY127" i="24"/>
  <c r="CA127" i="24" s="1"/>
  <c r="BM127" i="24"/>
  <c r="BN127" i="24" s="1"/>
  <c r="BY74" i="24"/>
  <c r="CA74" i="24" s="1"/>
  <c r="BN74" i="24"/>
  <c r="BY66" i="24"/>
  <c r="CA66" i="24" s="1"/>
  <c r="BN66" i="24"/>
  <c r="BR294" i="25"/>
  <c r="BX294" i="25" s="1"/>
  <c r="BE294" i="25"/>
  <c r="BY81" i="24"/>
  <c r="CA81" i="24" s="1"/>
  <c r="BN81" i="24"/>
  <c r="BE112" i="25"/>
  <c r="BR112" i="25"/>
  <c r="BX112" i="25" s="1"/>
  <c r="BY247" i="25"/>
  <c r="CA247" i="25" s="1"/>
  <c r="CB247" i="25" s="1"/>
  <c r="BL247" i="25"/>
  <c r="BK247" i="25"/>
  <c r="BR101" i="25"/>
  <c r="BV101" i="25" s="1"/>
  <c r="BX101" i="25" s="1"/>
  <c r="BE101" i="25"/>
  <c r="BK101" i="25" s="1"/>
  <c r="BY90" i="24"/>
  <c r="CA90" i="24" s="1"/>
  <c r="CB90" i="24" s="1"/>
  <c r="BN90" i="24"/>
  <c r="BE302" i="25"/>
  <c r="BR302" i="25"/>
  <c r="BX302" i="25" s="1"/>
  <c r="BY222" i="24"/>
  <c r="CA222" i="24" s="1"/>
  <c r="CB222" i="24" s="1"/>
  <c r="BM222" i="24"/>
  <c r="BN222" i="24" s="1"/>
  <c r="AH603" i="29"/>
  <c r="X603" i="29"/>
  <c r="Y603" i="29" s="1"/>
  <c r="AH287" i="29"/>
  <c r="X287" i="29"/>
  <c r="Y287" i="29" s="1"/>
  <c r="W485" i="29"/>
  <c r="AG485" i="29"/>
  <c r="W263" i="29"/>
  <c r="AG263" i="29"/>
  <c r="BR160" i="25"/>
  <c r="BX160" i="25" s="1"/>
  <c r="BE160" i="25"/>
  <c r="BY13" i="24"/>
  <c r="CA13" i="24" s="1"/>
  <c r="CB13" i="24" s="1"/>
  <c r="BN13" i="24"/>
  <c r="BE300" i="25"/>
  <c r="BR300" i="25"/>
  <c r="BX300" i="25" s="1"/>
  <c r="BE52" i="25"/>
  <c r="BK52" i="25" s="1"/>
  <c r="BR52" i="25"/>
  <c r="BV52" i="25" s="1"/>
  <c r="BX52" i="25" s="1"/>
  <c r="BY173" i="24"/>
  <c r="CA173" i="24" s="1"/>
  <c r="BM173" i="24"/>
  <c r="BN173" i="24" s="1"/>
  <c r="BR73" i="25"/>
  <c r="BV73" i="25" s="1"/>
  <c r="BX73" i="25" s="1"/>
  <c r="BE73" i="25"/>
  <c r="BK73" i="25" s="1"/>
  <c r="BE85" i="25"/>
  <c r="BK85" i="25" s="1"/>
  <c r="BR85" i="25"/>
  <c r="BV85" i="25" s="1"/>
  <c r="BX85" i="25" s="1"/>
  <c r="X568" i="29"/>
  <c r="Y568" i="29" s="1"/>
  <c r="AH568" i="29"/>
  <c r="X474" i="29"/>
  <c r="Y474" i="29" s="1"/>
  <c r="AH474" i="29"/>
  <c r="AH532" i="29"/>
  <c r="X532" i="29"/>
  <c r="Y532" i="29" s="1"/>
  <c r="AG428" i="29"/>
  <c r="W428" i="29"/>
  <c r="AG96" i="29"/>
  <c r="W96" i="29"/>
  <c r="W329" i="29"/>
  <c r="AG329" i="29"/>
  <c r="AH356" i="29"/>
  <c r="X356" i="29"/>
  <c r="Y356" i="29" s="1"/>
  <c r="W126" i="29"/>
  <c r="AG126" i="29"/>
  <c r="AH430" i="29"/>
  <c r="X430" i="29"/>
  <c r="Y430" i="29" s="1"/>
  <c r="AH115" i="29"/>
  <c r="X115" i="29"/>
  <c r="Y115" i="29" s="1"/>
  <c r="AH158" i="29"/>
  <c r="X158" i="29"/>
  <c r="Y158" i="29" s="1"/>
  <c r="AH316" i="29"/>
  <c r="X316" i="29"/>
  <c r="Y316" i="29" s="1"/>
  <c r="AH244" i="29"/>
  <c r="X244" i="29"/>
  <c r="Y244" i="29" s="1"/>
  <c r="BY164" i="24"/>
  <c r="CA164" i="24" s="1"/>
  <c r="CB164" i="24" s="1"/>
  <c r="BM164" i="24"/>
  <c r="BN164" i="24" s="1"/>
  <c r="BN27" i="24"/>
  <c r="BE44" i="25"/>
  <c r="BK44" i="25" s="1"/>
  <c r="BR44" i="25"/>
  <c r="BV44" i="25" s="1"/>
  <c r="BX44" i="25" s="1"/>
  <c r="BY204" i="24"/>
  <c r="CA204" i="24" s="1"/>
  <c r="BM204" i="24"/>
  <c r="BN204" i="24" s="1"/>
  <c r="AH91" i="29"/>
  <c r="X91" i="29"/>
  <c r="Y91" i="29" s="1"/>
  <c r="AG501" i="29"/>
  <c r="W501" i="29"/>
  <c r="X524" i="29"/>
  <c r="Y524" i="29" s="1"/>
  <c r="AH524" i="29"/>
  <c r="AH432" i="29"/>
  <c r="X432" i="29"/>
  <c r="Y432" i="29" s="1"/>
  <c r="AG298" i="29"/>
  <c r="W298" i="29"/>
  <c r="AH526" i="29"/>
  <c r="X526" i="29"/>
  <c r="Y526" i="29" s="1"/>
  <c r="AH379" i="29"/>
  <c r="X379" i="29"/>
  <c r="Y379" i="29" s="1"/>
  <c r="AG424" i="29"/>
  <c r="W424" i="29"/>
  <c r="AH437" i="29"/>
  <c r="X437" i="29"/>
  <c r="Y437" i="29" s="1"/>
  <c r="AG161" i="29"/>
  <c r="W161" i="29"/>
  <c r="AG125" i="29"/>
  <c r="W125" i="29"/>
  <c r="W160" i="29"/>
  <c r="AG160" i="29"/>
  <c r="AH555" i="29"/>
  <c r="X555" i="29"/>
  <c r="Y555" i="29" s="1"/>
  <c r="AG551" i="29"/>
  <c r="W551" i="29"/>
  <c r="AH343" i="29"/>
  <c r="X343" i="29"/>
  <c r="Y343" i="29" s="1"/>
  <c r="W184" i="29"/>
  <c r="AG184" i="29"/>
  <c r="AG589" i="29"/>
  <c r="W589" i="29"/>
  <c r="AH180" i="29"/>
  <c r="X180" i="29"/>
  <c r="Y180" i="29" s="1"/>
  <c r="W181" i="29"/>
  <c r="AG181" i="29"/>
  <c r="BL293" i="25"/>
  <c r="BY293" i="25"/>
  <c r="CA293" i="25" s="1"/>
  <c r="CB293" i="25" s="1"/>
  <c r="BK293" i="25"/>
  <c r="BL206" i="25"/>
  <c r="BY206" i="25"/>
  <c r="CA206" i="25" s="1"/>
  <c r="BK206" i="25"/>
  <c r="BE231" i="25"/>
  <c r="BR231" i="25"/>
  <c r="BX231" i="25" s="1"/>
  <c r="BY308" i="24"/>
  <c r="CA308" i="24" s="1"/>
  <c r="BM308" i="24"/>
  <c r="BN308" i="24" s="1"/>
  <c r="BY301" i="24"/>
  <c r="CA301" i="24" s="1"/>
  <c r="CB301" i="24" s="1"/>
  <c r="BM301" i="24"/>
  <c r="BN301" i="24" s="1"/>
  <c r="BN89" i="24"/>
  <c r="BY89" i="24"/>
  <c r="CA89" i="24" s="1"/>
  <c r="CB89" i="24" s="1"/>
  <c r="BY259" i="25"/>
  <c r="CA259" i="25" s="1"/>
  <c r="CB259" i="25" s="1"/>
  <c r="BL259" i="25"/>
  <c r="BK259" i="25"/>
  <c r="BE313" i="25"/>
  <c r="BR313" i="25"/>
  <c r="BX313" i="25" s="1"/>
  <c r="BY188" i="24"/>
  <c r="CA188" i="24" s="1"/>
  <c r="CB188" i="24" s="1"/>
  <c r="BM188" i="24"/>
  <c r="BN188" i="24" s="1"/>
  <c r="BR239" i="25"/>
  <c r="BX239" i="25" s="1"/>
  <c r="BE239" i="25"/>
  <c r="BE130" i="25"/>
  <c r="BR130" i="25"/>
  <c r="BX130" i="25" s="1"/>
  <c r="BY128" i="24"/>
  <c r="CA128" i="24" s="1"/>
  <c r="CB128" i="24" s="1"/>
  <c r="BM128" i="24"/>
  <c r="BN128" i="24" s="1"/>
  <c r="BE269" i="25"/>
  <c r="BR269" i="25"/>
  <c r="BX269" i="25" s="1"/>
  <c r="AH449" i="29"/>
  <c r="X449" i="29"/>
  <c r="Y449" i="29" s="1"/>
  <c r="W249" i="29"/>
  <c r="AG249" i="29"/>
  <c r="X225" i="29"/>
  <c r="Y225" i="29" s="1"/>
  <c r="AH225" i="29"/>
  <c r="AH72" i="29"/>
  <c r="X72" i="29"/>
  <c r="Y72" i="29" s="1"/>
  <c r="AH156" i="29"/>
  <c r="X156" i="29"/>
  <c r="Y156" i="29" s="1"/>
  <c r="BE227" i="25"/>
  <c r="BR227" i="25"/>
  <c r="BX227" i="25" s="1"/>
  <c r="BY207" i="24"/>
  <c r="CA207" i="24" s="1"/>
  <c r="CB207" i="24" s="1"/>
  <c r="BM207" i="24"/>
  <c r="BN207" i="24" s="1"/>
  <c r="BE278" i="25"/>
  <c r="BR278" i="25"/>
  <c r="BX278" i="25" s="1"/>
  <c r="BY145" i="24"/>
  <c r="CA145" i="24" s="1"/>
  <c r="CB145" i="24" s="1"/>
  <c r="BM145" i="24"/>
  <c r="BN145" i="24" s="1"/>
  <c r="AG414" i="29"/>
  <c r="W414" i="29"/>
  <c r="AH518" i="29"/>
  <c r="X518" i="29"/>
  <c r="Y518" i="29" s="1"/>
  <c r="AH179" i="29"/>
  <c r="X179" i="29"/>
  <c r="Y179" i="29" s="1"/>
  <c r="AH264" i="29"/>
  <c r="X264" i="29"/>
  <c r="Y264" i="29" s="1"/>
  <c r="AH18" i="29"/>
  <c r="X18" i="29"/>
  <c r="Y18" i="29" s="1"/>
  <c r="AG237" i="29"/>
  <c r="W237" i="29"/>
  <c r="X204" i="29"/>
  <c r="Y204" i="29" s="1"/>
  <c r="AH204" i="29"/>
  <c r="AH165" i="29"/>
  <c r="X165" i="29"/>
  <c r="Y165" i="29" s="1"/>
  <c r="AG597" i="29"/>
  <c r="W597" i="29"/>
  <c r="W93" i="29"/>
  <c r="AG93" i="29"/>
  <c r="AG191" i="29"/>
  <c r="W191" i="29"/>
  <c r="W101" i="29"/>
  <c r="AG101" i="29"/>
  <c r="W516" i="29"/>
  <c r="AG516" i="29"/>
  <c r="AG189" i="29"/>
  <c r="W189" i="29"/>
  <c r="W60" i="29"/>
  <c r="AG60" i="29"/>
  <c r="W374" i="29"/>
  <c r="AG374" i="29"/>
  <c r="AG497" i="29"/>
  <c r="W497" i="29"/>
  <c r="BE54" i="25"/>
  <c r="BK54" i="25" s="1"/>
  <c r="BR54" i="25"/>
  <c r="BV54" i="25" s="1"/>
  <c r="BX54" i="25" s="1"/>
  <c r="BY262" i="25"/>
  <c r="CA262" i="25" s="1"/>
  <c r="CB262" i="25" s="1"/>
  <c r="BL262" i="25"/>
  <c r="BK262" i="25"/>
  <c r="BL71" i="25"/>
  <c r="BY71" i="25"/>
  <c r="CA71" i="25" s="1"/>
  <c r="BY266" i="24"/>
  <c r="CA266" i="24" s="1"/>
  <c r="CB266" i="24" s="1"/>
  <c r="BM266" i="24"/>
  <c r="BN266" i="24" s="1"/>
  <c r="BY29" i="25"/>
  <c r="CA29" i="25" s="1"/>
  <c r="CB29" i="25" s="1"/>
  <c r="BL29" i="25"/>
  <c r="BE289" i="25"/>
  <c r="BR289" i="25"/>
  <c r="BX289" i="25" s="1"/>
  <c r="W79" i="29"/>
  <c r="AG79" i="29"/>
  <c r="W593" i="29"/>
  <c r="AG593" i="29"/>
  <c r="AG443" i="29"/>
  <c r="W443" i="29"/>
  <c r="AG28" i="29"/>
  <c r="W28" i="29"/>
  <c r="W496" i="29"/>
  <c r="AG496" i="29"/>
  <c r="X401" i="29"/>
  <c r="Y401" i="29" s="1"/>
  <c r="AH401" i="29"/>
  <c r="X441" i="29"/>
  <c r="Y441" i="29" s="1"/>
  <c r="AH441" i="29"/>
  <c r="W214" i="29"/>
  <c r="AG214" i="29"/>
  <c r="W241" i="29"/>
  <c r="AG241" i="29"/>
  <c r="W563" i="29"/>
  <c r="AG563" i="29"/>
  <c r="W473" i="29"/>
  <c r="AG473" i="29"/>
  <c r="X234" i="29"/>
  <c r="Y234" i="29" s="1"/>
  <c r="AH234" i="29"/>
  <c r="W580" i="29"/>
  <c r="AG580" i="29"/>
  <c r="X332" i="29"/>
  <c r="Y332" i="29" s="1"/>
  <c r="AH332" i="29"/>
  <c r="AG134" i="29"/>
  <c r="W134" i="29"/>
  <c r="W46" i="29"/>
  <c r="AG46" i="29"/>
  <c r="W579" i="29"/>
  <c r="AG579" i="29"/>
  <c r="BL62" i="25"/>
  <c r="BY62" i="25"/>
  <c r="CA62" i="25" s="1"/>
  <c r="BL170" i="25"/>
  <c r="BY170" i="25"/>
  <c r="CA170" i="25" s="1"/>
  <c r="BK170" i="25"/>
  <c r="BR145" i="25"/>
  <c r="BX145" i="25" s="1"/>
  <c r="BE145" i="25"/>
  <c r="BE134" i="25"/>
  <c r="BR134" i="25"/>
  <c r="BX134" i="25" s="1"/>
  <c r="BE315" i="25"/>
  <c r="BR315" i="25"/>
  <c r="BX315" i="25" s="1"/>
  <c r="BY123" i="24"/>
  <c r="CA123" i="24" s="1"/>
  <c r="BM123" i="24"/>
  <c r="BN123" i="24" s="1"/>
  <c r="AG403" i="29"/>
  <c r="W403" i="29"/>
  <c r="AG106" i="29"/>
  <c r="W106" i="29"/>
  <c r="W339" i="29"/>
  <c r="AG339" i="29"/>
  <c r="X475" i="29"/>
  <c r="Y475" i="29" s="1"/>
  <c r="AH475" i="29"/>
  <c r="BL261" i="25"/>
  <c r="BY261" i="25"/>
  <c r="CA261" i="25" s="1"/>
  <c r="CB261" i="25" s="1"/>
  <c r="BK261" i="25"/>
  <c r="BY114" i="24"/>
  <c r="CA114" i="24" s="1"/>
  <c r="CB114" i="24" s="1"/>
  <c r="BM114" i="24"/>
  <c r="BN114" i="24" s="1"/>
  <c r="BY175" i="24"/>
  <c r="CA175" i="24" s="1"/>
  <c r="BM175" i="24"/>
  <c r="BN175" i="24" s="1"/>
  <c r="BY271" i="24"/>
  <c r="CA271" i="24" s="1"/>
  <c r="BM271" i="24"/>
  <c r="BN271" i="24" s="1"/>
  <c r="BE152" i="25"/>
  <c r="BR152" i="25"/>
  <c r="BX152" i="25" s="1"/>
  <c r="AH483" i="29"/>
  <c r="X483" i="29"/>
  <c r="Y483" i="29" s="1"/>
  <c r="X155" i="29"/>
  <c r="Y155" i="29" s="1"/>
  <c r="AH155" i="29"/>
  <c r="AG256" i="29"/>
  <c r="W256" i="29"/>
  <c r="AH198" i="29"/>
  <c r="X198" i="29"/>
  <c r="Y198" i="29" s="1"/>
  <c r="AH154" i="29"/>
  <c r="X154" i="29"/>
  <c r="Y154" i="29" s="1"/>
  <c r="W464" i="29"/>
  <c r="AG464" i="29"/>
  <c r="X110" i="29"/>
  <c r="Y110" i="29" s="1"/>
  <c r="AH110" i="29"/>
  <c r="BY60" i="24"/>
  <c r="CA60" i="24" s="1"/>
  <c r="CB60" i="24" s="1"/>
  <c r="BN60" i="24"/>
  <c r="BE164" i="25"/>
  <c r="BR164" i="25"/>
  <c r="BX164" i="25" s="1"/>
  <c r="BE285" i="25"/>
  <c r="BR285" i="25"/>
  <c r="BX285" i="25" s="1"/>
  <c r="BY312" i="24"/>
  <c r="CA312" i="24" s="1"/>
  <c r="BM312" i="24"/>
  <c r="BN312" i="24" s="1"/>
  <c r="BE142" i="25"/>
  <c r="BR142" i="25"/>
  <c r="BX142" i="25" s="1"/>
  <c r="BY309" i="24"/>
  <c r="CA309" i="24" s="1"/>
  <c r="BM309" i="24"/>
  <c r="BN309" i="24" s="1"/>
  <c r="BY243" i="24"/>
  <c r="CA243" i="24" s="1"/>
  <c r="BM243" i="24"/>
  <c r="BN243" i="24" s="1"/>
  <c r="BY47" i="24"/>
  <c r="CA47" i="24" s="1"/>
  <c r="CB47" i="24" s="1"/>
  <c r="BN47" i="24"/>
  <c r="BE150" i="25"/>
  <c r="BR150" i="25"/>
  <c r="BX150" i="25" s="1"/>
  <c r="BE17" i="25"/>
  <c r="BK17" i="25" s="1"/>
  <c r="BR17" i="25"/>
  <c r="BV17" i="25" s="1"/>
  <c r="BX17" i="25" s="1"/>
  <c r="BY201" i="25"/>
  <c r="CA201" i="25" s="1"/>
  <c r="BL201" i="25"/>
  <c r="BK201" i="25"/>
  <c r="AG307" i="29"/>
  <c r="W307" i="29"/>
  <c r="X573" i="29"/>
  <c r="Y573" i="29" s="1"/>
  <c r="AH573" i="29"/>
  <c r="AH525" i="29"/>
  <c r="X525" i="29"/>
  <c r="Y525" i="29" s="1"/>
  <c r="AH319" i="29"/>
  <c r="X319" i="29"/>
  <c r="Y319" i="29" s="1"/>
  <c r="AG229" i="29"/>
  <c r="W229" i="29"/>
  <c r="AG478" i="29"/>
  <c r="W478" i="29"/>
  <c r="X251" i="29"/>
  <c r="Y251" i="29" s="1"/>
  <c r="AH251" i="29"/>
  <c r="AG69" i="29"/>
  <c r="W69" i="29"/>
  <c r="AG48" i="29"/>
  <c r="W48" i="29"/>
  <c r="AH417" i="29"/>
  <c r="X417" i="29"/>
  <c r="Y417" i="29" s="1"/>
  <c r="AG14" i="29"/>
  <c r="W14" i="29"/>
  <c r="AH362" i="29"/>
  <c r="X362" i="29"/>
  <c r="Y362" i="29" s="1"/>
  <c r="AG481" i="29"/>
  <c r="W481" i="29"/>
  <c r="AG394" i="29"/>
  <c r="W394" i="29"/>
  <c r="BR63" i="25"/>
  <c r="BV63" i="25" s="1"/>
  <c r="BX63" i="25" s="1"/>
  <c r="BE63" i="25"/>
  <c r="BK63" i="25" s="1"/>
  <c r="BE234" i="25"/>
  <c r="BR234" i="25"/>
  <c r="BX234" i="25" s="1"/>
  <c r="BE171" i="25"/>
  <c r="BR171" i="25"/>
  <c r="BX171" i="25" s="1"/>
  <c r="BR165" i="25"/>
  <c r="BX165" i="25" s="1"/>
  <c r="BE165" i="25"/>
  <c r="BN48" i="24"/>
  <c r="BY48" i="24"/>
  <c r="CA48" i="24" s="1"/>
  <c r="CB48" i="24" s="1"/>
  <c r="BE187" i="25"/>
  <c r="BR187" i="25"/>
  <c r="BX187" i="25" s="1"/>
  <c r="BY143" i="24"/>
  <c r="CA143" i="24" s="1"/>
  <c r="CB143" i="24" s="1"/>
  <c r="BM143" i="24"/>
  <c r="BN143" i="24" s="1"/>
  <c r="AH352" i="29"/>
  <c r="X352" i="29"/>
  <c r="Y352" i="29" s="1"/>
  <c r="AG541" i="29"/>
  <c r="W541" i="29"/>
  <c r="AH186" i="29"/>
  <c r="X186" i="29"/>
  <c r="Y186" i="29" s="1"/>
  <c r="BY150" i="24"/>
  <c r="CA150" i="24" s="1"/>
  <c r="BM150" i="24"/>
  <c r="BN150" i="24" s="1"/>
  <c r="BY231" i="24"/>
  <c r="CA231" i="24" s="1"/>
  <c r="CB231" i="24" s="1"/>
  <c r="BM231" i="24"/>
  <c r="BN231" i="24" s="1"/>
  <c r="BR39" i="25"/>
  <c r="BV39" i="25" s="1"/>
  <c r="BX39" i="25" s="1"/>
  <c r="BE39" i="25"/>
  <c r="BK39" i="25" s="1"/>
  <c r="BY187" i="24"/>
  <c r="CA187" i="24" s="1"/>
  <c r="CB187" i="24" s="1"/>
  <c r="BM187" i="24"/>
  <c r="BN187" i="24" s="1"/>
  <c r="BY137" i="24"/>
  <c r="CA137" i="24" s="1"/>
  <c r="BM137" i="24"/>
  <c r="BN137" i="24" s="1"/>
  <c r="BE100" i="25"/>
  <c r="BK100" i="25" s="1"/>
  <c r="BR100" i="25"/>
  <c r="BV100" i="25" s="1"/>
  <c r="BX100" i="25" s="1"/>
  <c r="BE194" i="25"/>
  <c r="BR194" i="25"/>
  <c r="BX194" i="25" s="1"/>
  <c r="X537" i="29"/>
  <c r="Y537" i="29" s="1"/>
  <c r="AH537" i="29"/>
  <c r="X153" i="29"/>
  <c r="Y153" i="29" s="1"/>
  <c r="AH153" i="29"/>
  <c r="AG71" i="29"/>
  <c r="W71" i="29"/>
  <c r="AG376" i="29"/>
  <c r="W376" i="29"/>
  <c r="AH64" i="29"/>
  <c r="X64" i="29"/>
  <c r="Y64" i="29" s="1"/>
  <c r="BY11" i="24"/>
  <c r="CA11" i="24" s="1"/>
  <c r="CB11" i="24" s="1"/>
  <c r="BN11" i="24"/>
  <c r="BY225" i="24"/>
  <c r="CA225" i="24" s="1"/>
  <c r="BM225" i="24"/>
  <c r="BN225" i="24" s="1"/>
  <c r="BY204" i="25"/>
  <c r="CA204" i="25" s="1"/>
  <c r="BL204" i="25"/>
  <c r="BK204" i="25"/>
  <c r="BE33" i="25"/>
  <c r="BK33" i="25" s="1"/>
  <c r="BR33" i="25"/>
  <c r="BV33" i="25" s="1"/>
  <c r="BX33" i="25" s="1"/>
  <c r="BE23" i="25"/>
  <c r="BK23" i="25" s="1"/>
  <c r="BR23" i="25"/>
  <c r="BV23" i="25" s="1"/>
  <c r="BX23" i="25" s="1"/>
  <c r="BY208" i="24"/>
  <c r="CA208" i="24" s="1"/>
  <c r="BM208" i="24"/>
  <c r="BN208" i="24" s="1"/>
  <c r="BY234" i="24"/>
  <c r="CA234" i="24" s="1"/>
  <c r="CB234" i="24" s="1"/>
  <c r="BM234" i="24"/>
  <c r="BN234" i="24" s="1"/>
  <c r="BR69" i="25"/>
  <c r="BV69" i="25" s="1"/>
  <c r="BX69" i="25" s="1"/>
  <c r="BE69" i="25"/>
  <c r="BK69" i="25" s="1"/>
  <c r="BR149" i="25"/>
  <c r="BX149" i="25" s="1"/>
  <c r="BE149" i="25"/>
  <c r="BY158" i="25"/>
  <c r="CA158" i="25" s="1"/>
  <c r="CB158" i="25" s="1"/>
  <c r="BL158" i="25"/>
  <c r="BK158" i="25"/>
  <c r="AG138" i="29"/>
  <c r="W138" i="29"/>
  <c r="AH565" i="29"/>
  <c r="X565" i="29"/>
  <c r="Y565" i="29" s="1"/>
  <c r="W371" i="29"/>
  <c r="AG371" i="29"/>
  <c r="AH147" i="29"/>
  <c r="X147" i="29"/>
  <c r="Y147" i="29" s="1"/>
  <c r="AG67" i="29"/>
  <c r="W67" i="29"/>
  <c r="X142" i="29"/>
  <c r="Y142" i="29" s="1"/>
  <c r="AH142" i="29"/>
  <c r="W21" i="29"/>
  <c r="AG21" i="29"/>
  <c r="AG306" i="29"/>
  <c r="W306" i="29"/>
  <c r="X284" i="29"/>
  <c r="Y284" i="29" s="1"/>
  <c r="AH284" i="29"/>
  <c r="AH15" i="29"/>
  <c r="X15" i="29"/>
  <c r="Y15" i="29" s="1"/>
  <c r="AH296" i="29"/>
  <c r="X296" i="29"/>
  <c r="Y296" i="29" s="1"/>
  <c r="AG274" i="29"/>
  <c r="W274" i="29"/>
  <c r="W397" i="29"/>
  <c r="AG397" i="29"/>
  <c r="X453" i="29"/>
  <c r="Y453" i="29" s="1"/>
  <c r="AH453" i="29"/>
  <c r="BE182" i="25"/>
  <c r="BR182" i="25"/>
  <c r="BX182" i="25" s="1"/>
  <c r="BE172" i="25"/>
  <c r="BR172" i="25"/>
  <c r="BX172" i="25" s="1"/>
  <c r="BE260" i="25"/>
  <c r="BR260" i="25"/>
  <c r="BX260" i="25" s="1"/>
  <c r="BY257" i="25"/>
  <c r="CA257" i="25" s="1"/>
  <c r="CB257" i="25" s="1"/>
  <c r="BL257" i="25"/>
  <c r="BK257" i="25"/>
  <c r="AG612" i="29"/>
  <c r="W612" i="29"/>
  <c r="AG220" i="29"/>
  <c r="W220" i="29"/>
  <c r="AH226" i="29"/>
  <c r="X226" i="29"/>
  <c r="Y226" i="29" s="1"/>
  <c r="D64" i="29"/>
  <c r="E59" i="1" s="1"/>
  <c r="D61" i="29"/>
  <c r="BY115" i="24"/>
  <c r="CA115" i="24" s="1"/>
  <c r="CB115" i="24" s="1"/>
  <c r="BM115" i="24"/>
  <c r="BN115" i="24" s="1"/>
  <c r="BE218" i="25"/>
  <c r="BR218" i="25"/>
  <c r="BX218" i="25" s="1"/>
  <c r="BE10" i="25"/>
  <c r="BK10" i="25" s="1"/>
  <c r="BR10" i="25"/>
  <c r="BV10" i="25" s="1"/>
  <c r="BX10" i="25" s="1"/>
  <c r="BR40" i="25"/>
  <c r="BV40" i="25" s="1"/>
  <c r="BX40" i="25" s="1"/>
  <c r="BE40" i="25"/>
  <c r="BK40" i="25" s="1"/>
  <c r="BE132" i="25"/>
  <c r="BR132" i="25"/>
  <c r="BX132" i="25" s="1"/>
  <c r="BY136" i="24"/>
  <c r="CA136" i="24" s="1"/>
  <c r="CB136" i="24" s="1"/>
  <c r="BM136" i="24"/>
  <c r="BN136" i="24" s="1"/>
  <c r="BY209" i="24"/>
  <c r="CA209" i="24" s="1"/>
  <c r="BM209" i="24"/>
  <c r="BN209" i="24" s="1"/>
  <c r="BY274" i="24"/>
  <c r="CA274" i="24" s="1"/>
  <c r="BM274" i="24"/>
  <c r="BN274" i="24" s="1"/>
  <c r="BY99" i="24"/>
  <c r="CA99" i="24" s="1"/>
  <c r="CB99" i="24" s="1"/>
  <c r="BN99" i="24"/>
  <c r="BY248" i="25"/>
  <c r="CA248" i="25" s="1"/>
  <c r="CB248" i="25" s="1"/>
  <c r="BL248" i="25"/>
  <c r="BK248" i="25"/>
  <c r="BE252" i="25"/>
  <c r="BR252" i="25"/>
  <c r="BX252" i="25" s="1"/>
  <c r="BY138" i="24"/>
  <c r="CA138" i="24" s="1"/>
  <c r="CB138" i="24" s="1"/>
  <c r="BM138" i="24"/>
  <c r="BN138" i="24" s="1"/>
  <c r="BR57" i="25"/>
  <c r="BV57" i="25" s="1"/>
  <c r="BX57" i="25" s="1"/>
  <c r="BE57" i="25"/>
  <c r="BK57" i="25" s="1"/>
  <c r="BE181" i="25"/>
  <c r="BR181" i="25"/>
  <c r="BX181" i="25" s="1"/>
  <c r="W302" i="29"/>
  <c r="AG302" i="29"/>
  <c r="AG345" i="29"/>
  <c r="W345" i="29"/>
  <c r="X595" i="29"/>
  <c r="Y595" i="29" s="1"/>
  <c r="AH595" i="29"/>
  <c r="BE16" i="25"/>
  <c r="BK16" i="25" s="1"/>
  <c r="BR16" i="25"/>
  <c r="BV16" i="25" s="1"/>
  <c r="BX16" i="25" s="1"/>
  <c r="BY272" i="24"/>
  <c r="CA272" i="24" s="1"/>
  <c r="BM272" i="24"/>
  <c r="BN272" i="24" s="1"/>
  <c r="BY246" i="25"/>
  <c r="CA246" i="25" s="1"/>
  <c r="CB246" i="25" s="1"/>
  <c r="BL246" i="25"/>
  <c r="BK246" i="25"/>
  <c r="BE137" i="25"/>
  <c r="BR137" i="25"/>
  <c r="BX137" i="25" s="1"/>
  <c r="BY69" i="24"/>
  <c r="CA69" i="24" s="1"/>
  <c r="CB69" i="24" s="1"/>
  <c r="BN69" i="24"/>
  <c r="BR45" i="25"/>
  <c r="BV45" i="25" s="1"/>
  <c r="BX45" i="25" s="1"/>
  <c r="BE45" i="25"/>
  <c r="BK45" i="25" s="1"/>
  <c r="BN46" i="24"/>
  <c r="BY46" i="24"/>
  <c r="CA46" i="24" s="1"/>
  <c r="CB46" i="24" s="1"/>
  <c r="BR38" i="25"/>
  <c r="BV38" i="25" s="1"/>
  <c r="BX38" i="25" s="1"/>
  <c r="BE38" i="25"/>
  <c r="BK38" i="25" s="1"/>
  <c r="AH253" i="29"/>
  <c r="X253" i="29"/>
  <c r="Y253" i="29" s="1"/>
  <c r="AG292" i="29"/>
  <c r="W292" i="29"/>
  <c r="X117" i="29"/>
  <c r="Y117" i="29" s="1"/>
  <c r="AH117" i="29"/>
  <c r="W396" i="29"/>
  <c r="AG396" i="29"/>
  <c r="X564" i="29"/>
  <c r="Y564" i="29" s="1"/>
  <c r="AH564" i="29"/>
  <c r="X433" i="29"/>
  <c r="Y433" i="29" s="1"/>
  <c r="AH433" i="29"/>
  <c r="X610" i="29"/>
  <c r="Y610" i="29" s="1"/>
  <c r="AH610" i="29"/>
  <c r="AH349" i="29"/>
  <c r="X349" i="29"/>
  <c r="Y349" i="29" s="1"/>
  <c r="AH305" i="29"/>
  <c r="X305" i="29"/>
  <c r="Y305" i="29" s="1"/>
  <c r="W411" i="29"/>
  <c r="AG411" i="29"/>
  <c r="W503" i="29"/>
  <c r="AG503" i="29"/>
  <c r="AH232" i="29"/>
  <c r="X232" i="29"/>
  <c r="Y232" i="29" s="1"/>
  <c r="AG512" i="29"/>
  <c r="W512" i="29"/>
  <c r="X390" i="29"/>
  <c r="Y390" i="29" s="1"/>
  <c r="AH390" i="29"/>
  <c r="AG54" i="29"/>
  <c r="W54" i="29"/>
  <c r="BY314" i="24"/>
  <c r="CA314" i="24" s="1"/>
  <c r="CB314" i="24" s="1"/>
  <c r="BM314" i="24"/>
  <c r="BN314" i="24" s="1"/>
  <c r="BY49" i="24"/>
  <c r="CA49" i="24" s="1"/>
  <c r="CB49" i="24" s="1"/>
  <c r="BN49" i="24"/>
  <c r="BE24" i="25"/>
  <c r="BK24" i="25" s="1"/>
  <c r="BR24" i="25"/>
  <c r="BV24" i="25" s="1"/>
  <c r="BX24" i="25" s="1"/>
  <c r="BY201" i="24"/>
  <c r="CA201" i="24" s="1"/>
  <c r="BM201" i="24"/>
  <c r="BN201" i="24" s="1"/>
  <c r="BE268" i="25"/>
  <c r="BR268" i="25"/>
  <c r="BX268" i="25" s="1"/>
  <c r="BE126" i="25"/>
  <c r="BR126" i="25"/>
  <c r="BX126" i="25" s="1"/>
  <c r="BE163" i="25"/>
  <c r="BR163" i="25"/>
  <c r="BX163" i="25" s="1"/>
  <c r="BY171" i="24"/>
  <c r="CA171" i="24" s="1"/>
  <c r="CB171" i="24" s="1"/>
  <c r="BM171" i="24"/>
  <c r="BN171" i="24" s="1"/>
  <c r="BE197" i="25"/>
  <c r="BR197" i="25"/>
  <c r="BX197" i="25" s="1"/>
  <c r="BY32" i="25"/>
  <c r="CA32" i="25" s="1"/>
  <c r="CB32" i="25" s="1"/>
  <c r="BL32" i="25"/>
  <c r="AH37" i="29"/>
  <c r="X37" i="29"/>
  <c r="Y37" i="29" s="1"/>
  <c r="W155" i="29"/>
  <c r="AG155" i="29"/>
  <c r="AG486" i="29"/>
  <c r="W486" i="29"/>
  <c r="AH515" i="29"/>
  <c r="X515" i="29"/>
  <c r="Y515" i="29" s="1"/>
  <c r="AH92" i="29"/>
  <c r="X92" i="29"/>
  <c r="Y92" i="29" s="1"/>
  <c r="W331" i="29"/>
  <c r="AG331" i="29"/>
  <c r="AG321" i="29"/>
  <c r="W321" i="29"/>
  <c r="W300" i="29"/>
  <c r="AG300" i="29"/>
  <c r="AH45" i="29"/>
  <c r="X45" i="29"/>
  <c r="Y45" i="29" s="1"/>
  <c r="AH502" i="29"/>
  <c r="X502" i="29"/>
  <c r="Y502" i="29" s="1"/>
  <c r="AG283" i="29"/>
  <c r="W283" i="29"/>
  <c r="W131" i="29"/>
  <c r="AG131" i="29"/>
  <c r="AH464" i="29"/>
  <c r="X464" i="29"/>
  <c r="Y464" i="29" s="1"/>
  <c r="W110" i="29"/>
  <c r="AG110" i="29"/>
  <c r="BY36" i="24"/>
  <c r="CA36" i="24" s="1"/>
  <c r="CB36" i="24" s="1"/>
  <c r="BN36" i="24"/>
  <c r="BY174" i="24"/>
  <c r="CA174" i="24" s="1"/>
  <c r="CB174" i="24" s="1"/>
  <c r="BM174" i="24"/>
  <c r="BN174" i="24" s="1"/>
  <c r="BL82" i="25"/>
  <c r="BY82" i="25"/>
  <c r="CA82" i="25" s="1"/>
  <c r="BY314" i="25"/>
  <c r="CA314" i="25" s="1"/>
  <c r="CB314" i="25" s="1"/>
  <c r="BL314" i="25"/>
  <c r="BK314" i="25"/>
  <c r="BY275" i="24"/>
  <c r="CA275" i="24" s="1"/>
  <c r="CB275" i="24" s="1"/>
  <c r="BM275" i="24"/>
  <c r="BN275" i="24" s="1"/>
  <c r="BR75" i="25"/>
  <c r="BV75" i="25" s="1"/>
  <c r="BX75" i="25" s="1"/>
  <c r="BE75" i="25"/>
  <c r="BK75" i="25" s="1"/>
  <c r="BR12" i="25"/>
  <c r="BV12" i="25" s="1"/>
  <c r="BX12" i="25" s="1"/>
  <c r="BE12" i="25"/>
  <c r="BK12" i="25" s="1"/>
  <c r="BY118" i="24"/>
  <c r="CA118" i="24" s="1"/>
  <c r="BM118" i="24"/>
  <c r="BN118" i="24" s="1"/>
  <c r="BL296" i="25"/>
  <c r="BY296" i="25"/>
  <c r="CA296" i="25" s="1"/>
  <c r="CB296" i="25" s="1"/>
  <c r="BK296" i="25"/>
  <c r="BY310" i="24"/>
  <c r="CA310" i="24" s="1"/>
  <c r="BM310" i="24"/>
  <c r="BN310" i="24" s="1"/>
  <c r="BY140" i="24"/>
  <c r="CA140" i="24" s="1"/>
  <c r="CB140" i="24" s="1"/>
  <c r="BM140" i="24"/>
  <c r="BN140" i="24" s="1"/>
  <c r="BY92" i="25"/>
  <c r="CA92" i="25" s="1"/>
  <c r="BL92" i="25"/>
  <c r="X348" i="29"/>
  <c r="Y348" i="29" s="1"/>
  <c r="AH348" i="29"/>
  <c r="AH58" i="29"/>
  <c r="X58" i="29"/>
  <c r="Y58" i="29" s="1"/>
  <c r="X32" i="29"/>
  <c r="Y32" i="29" s="1"/>
  <c r="AH32" i="29"/>
  <c r="AH13" i="29"/>
  <c r="X13" i="29"/>
  <c r="Y13" i="29" s="1"/>
  <c r="X97" i="29"/>
  <c r="Y97" i="29" s="1"/>
  <c r="AH97" i="29"/>
  <c r="AH452" i="29"/>
  <c r="X452" i="29"/>
  <c r="Y452" i="29" s="1"/>
  <c r="BL275" i="25"/>
  <c r="BY275" i="25"/>
  <c r="CA275" i="25" s="1"/>
  <c r="CB275" i="25" s="1"/>
  <c r="BK275" i="25"/>
  <c r="BN94" i="24"/>
  <c r="BY94" i="24"/>
  <c r="CA94" i="24" s="1"/>
  <c r="CB94" i="24" s="1"/>
  <c r="BY125" i="24"/>
  <c r="CA125" i="24" s="1"/>
  <c r="CB125" i="24" s="1"/>
  <c r="BM125" i="24"/>
  <c r="BN125" i="24" s="1"/>
  <c r="BY196" i="24"/>
  <c r="CA196" i="24" s="1"/>
  <c r="CB196" i="24" s="1"/>
  <c r="BM196" i="24"/>
  <c r="BN196" i="24" s="1"/>
  <c r="BY43" i="24"/>
  <c r="CA43" i="24" s="1"/>
  <c r="CB43" i="24" s="1"/>
  <c r="BN43" i="24"/>
  <c r="BY133" i="24"/>
  <c r="CA133" i="24" s="1"/>
  <c r="CB133" i="24" s="1"/>
  <c r="BM133" i="24"/>
  <c r="BN133" i="24" s="1"/>
  <c r="BR66" i="25"/>
  <c r="BV66" i="25" s="1"/>
  <c r="BX66" i="25" s="1"/>
  <c r="BE66" i="25"/>
  <c r="BK66" i="25" s="1"/>
  <c r="BY313" i="24"/>
  <c r="CA313" i="24" s="1"/>
  <c r="CB313" i="24" s="1"/>
  <c r="BM313" i="24"/>
  <c r="BN313" i="24" s="1"/>
  <c r="BY83" i="24"/>
  <c r="CA83" i="24" s="1"/>
  <c r="CB83" i="24" s="1"/>
  <c r="BN83" i="24"/>
  <c r="AH325" i="29"/>
  <c r="X325" i="29"/>
  <c r="Y325" i="29" s="1"/>
  <c r="W469" i="29"/>
  <c r="AG469" i="29"/>
  <c r="AH444" i="29"/>
  <c r="X444" i="29"/>
  <c r="Y444" i="29" s="1"/>
  <c r="AH542" i="29"/>
  <c r="X542" i="29"/>
  <c r="Y542" i="29" s="1"/>
  <c r="AG554" i="29"/>
  <c r="W554" i="29"/>
  <c r="AG34" i="29"/>
  <c r="W34" i="29"/>
  <c r="W491" i="29"/>
  <c r="AG491" i="29"/>
  <c r="AG61" i="29"/>
  <c r="W61" i="29"/>
  <c r="AG317" i="29"/>
  <c r="W317" i="29"/>
  <c r="AG211" i="29"/>
  <c r="W211" i="29"/>
  <c r="AG548" i="29"/>
  <c r="W548" i="29"/>
  <c r="AG385" i="29"/>
  <c r="W385" i="29"/>
  <c r="W352" i="29"/>
  <c r="AG352" i="29"/>
  <c r="AG224" i="29"/>
  <c r="W224" i="29"/>
  <c r="AH541" i="29"/>
  <c r="X541" i="29"/>
  <c r="Y541" i="29" s="1"/>
  <c r="AH254" i="29"/>
  <c r="X254" i="29"/>
  <c r="Y254" i="29" s="1"/>
  <c r="AH105" i="29"/>
  <c r="X105" i="29"/>
  <c r="Y105" i="29" s="1"/>
  <c r="BY291" i="24"/>
  <c r="CA291" i="24" s="1"/>
  <c r="BM291" i="24"/>
  <c r="BN291" i="24" s="1"/>
  <c r="BE121" i="25"/>
  <c r="BR121" i="25"/>
  <c r="BX121" i="25" s="1"/>
  <c r="BN98" i="24"/>
  <c r="BY98" i="24"/>
  <c r="CA98" i="24" s="1"/>
  <c r="BE36" i="25"/>
  <c r="BK36" i="25" s="1"/>
  <c r="BR36" i="25"/>
  <c r="BV36" i="25" s="1"/>
  <c r="BX36" i="25" s="1"/>
  <c r="BE223" i="25"/>
  <c r="BR223" i="25"/>
  <c r="BX223" i="25" s="1"/>
  <c r="BN75" i="24"/>
  <c r="BY75" i="24"/>
  <c r="CA75" i="24" s="1"/>
  <c r="CB75" i="24" s="1"/>
  <c r="BE136" i="25"/>
  <c r="BR136" i="25"/>
  <c r="BX136" i="25" s="1"/>
  <c r="AG169" i="29"/>
  <c r="W169" i="29"/>
  <c r="W167" i="29"/>
  <c r="AG167" i="29"/>
  <c r="W537" i="29"/>
  <c r="AG537" i="29"/>
  <c r="X297" i="29"/>
  <c r="Y297" i="29" s="1"/>
  <c r="AH297" i="29"/>
  <c r="X75" i="29"/>
  <c r="Y75" i="29" s="1"/>
  <c r="AH75" i="29"/>
  <c r="AH504" i="29"/>
  <c r="X504" i="29"/>
  <c r="Y504" i="29" s="1"/>
  <c r="W552" i="29"/>
  <c r="AG552" i="29"/>
  <c r="AH172" i="29"/>
  <c r="X172" i="29"/>
  <c r="Y172" i="29" s="1"/>
  <c r="X534" i="29"/>
  <c r="Y534" i="29" s="1"/>
  <c r="AH534" i="29"/>
  <c r="AH429" i="29"/>
  <c r="X429" i="29"/>
  <c r="Y429" i="29" s="1"/>
  <c r="X240" i="29"/>
  <c r="Y240" i="29" s="1"/>
  <c r="AH240" i="29"/>
  <c r="W354" i="29"/>
  <c r="AG354" i="29"/>
  <c r="AH132" i="29"/>
  <c r="X132" i="29"/>
  <c r="Y132" i="29" s="1"/>
  <c r="AG22" i="29"/>
  <c r="W22" i="29"/>
  <c r="AH73" i="29"/>
  <c r="X73" i="29"/>
  <c r="Y73" i="29" s="1"/>
  <c r="BL232" i="25"/>
  <c r="BY232" i="25"/>
  <c r="CA232" i="25" s="1"/>
  <c r="CB232" i="25" s="1"/>
  <c r="BK232" i="25"/>
  <c r="BR18" i="25"/>
  <c r="BV18" i="25" s="1"/>
  <c r="BX18" i="25" s="1"/>
  <c r="BE18" i="25"/>
  <c r="BK18" i="25" s="1"/>
  <c r="BL94" i="25"/>
  <c r="BY94" i="25"/>
  <c r="CA94" i="25" s="1"/>
  <c r="CB94" i="25" s="1"/>
  <c r="BY156" i="24"/>
  <c r="CA156" i="24" s="1"/>
  <c r="BM156" i="24"/>
  <c r="BN156" i="24" s="1"/>
  <c r="BY226" i="24"/>
  <c r="CA226" i="24" s="1"/>
  <c r="BM226" i="24"/>
  <c r="BN226" i="24" s="1"/>
  <c r="W581" i="29"/>
  <c r="AG581" i="29"/>
  <c r="AH70" i="29"/>
  <c r="X70" i="29"/>
  <c r="Y70" i="29" s="1"/>
  <c r="X109" i="29"/>
  <c r="Y109" i="29" s="1"/>
  <c r="AH109" i="29"/>
  <c r="W340" i="29"/>
  <c r="AG340" i="29"/>
  <c r="AG358" i="29"/>
  <c r="W358" i="29"/>
  <c r="BE242" i="25"/>
  <c r="BR242" i="25"/>
  <c r="BX242" i="25" s="1"/>
  <c r="BY87" i="25"/>
  <c r="CA87" i="25" s="1"/>
  <c r="CB87" i="25" s="1"/>
  <c r="BL87" i="25"/>
  <c r="BY178" i="25"/>
  <c r="CA178" i="25" s="1"/>
  <c r="CB178" i="25" s="1"/>
  <c r="BL178" i="25"/>
  <c r="BK178" i="25"/>
  <c r="BY169" i="24"/>
  <c r="CA169" i="24" s="1"/>
  <c r="CB169" i="24" s="1"/>
  <c r="BM169" i="24"/>
  <c r="BN169" i="24" s="1"/>
  <c r="BY316" i="24"/>
  <c r="CA316" i="24" s="1"/>
  <c r="BM316" i="24"/>
  <c r="BY250" i="24"/>
  <c r="CA250" i="24" s="1"/>
  <c r="CB250" i="24" s="1"/>
  <c r="BM250" i="24"/>
  <c r="BN250" i="24" s="1"/>
  <c r="W600" i="29"/>
  <c r="AG600" i="29"/>
  <c r="AH353" i="29"/>
  <c r="X353" i="29"/>
  <c r="Y353" i="29" s="1"/>
  <c r="AH566" i="29"/>
  <c r="X566" i="29"/>
  <c r="Y566" i="29" s="1"/>
  <c r="W299" i="29"/>
  <c r="AG299" i="29"/>
  <c r="W359" i="29"/>
  <c r="AG359" i="29"/>
  <c r="W282" i="29"/>
  <c r="AG282" i="29"/>
  <c r="AG102" i="29"/>
  <c r="W102" i="29"/>
  <c r="AG203" i="29"/>
  <c r="W203" i="29"/>
  <c r="W604" i="29"/>
  <c r="AG604" i="29"/>
  <c r="X488" i="29"/>
  <c r="Y488" i="29" s="1"/>
  <c r="AH488" i="29"/>
  <c r="AH547" i="29"/>
  <c r="X547" i="29"/>
  <c r="Y547" i="29" s="1"/>
  <c r="W399" i="29"/>
  <c r="AG399" i="29"/>
  <c r="X520" i="29"/>
  <c r="Y520" i="29" s="1"/>
  <c r="AH520" i="29"/>
  <c r="W243" i="29"/>
  <c r="AG243" i="29"/>
  <c r="W136" i="29"/>
  <c r="AG136" i="29"/>
  <c r="BR119" i="25"/>
  <c r="BX119" i="25" s="1"/>
  <c r="BE119" i="25"/>
  <c r="BR196" i="25"/>
  <c r="BX196" i="25" s="1"/>
  <c r="BE196" i="25"/>
  <c r="BY205" i="24"/>
  <c r="CA205" i="24" s="1"/>
  <c r="BM205" i="24"/>
  <c r="BN205" i="24" s="1"/>
  <c r="BR56" i="25"/>
  <c r="BV56" i="25" s="1"/>
  <c r="BX56" i="25" s="1"/>
  <c r="BE56" i="25"/>
  <c r="BK56" i="25" s="1"/>
  <c r="BE144" i="25"/>
  <c r="BR144" i="25"/>
  <c r="BX144" i="25" s="1"/>
  <c r="BN105" i="24"/>
  <c r="BY105" i="24"/>
  <c r="CA105" i="24" s="1"/>
  <c r="BY185" i="24"/>
  <c r="CA185" i="24" s="1"/>
  <c r="BM185" i="24"/>
  <c r="BN185" i="24" s="1"/>
  <c r="BE287" i="25"/>
  <c r="BR287" i="25"/>
  <c r="BX287" i="25" s="1"/>
  <c r="BN53" i="24"/>
  <c r="BY53" i="24"/>
  <c r="CA53" i="24" s="1"/>
  <c r="CB53" i="24" s="1"/>
  <c r="AH245" i="29"/>
  <c r="X245" i="29"/>
  <c r="Y245" i="29" s="1"/>
  <c r="AH381" i="29"/>
  <c r="X381" i="29"/>
  <c r="Y381" i="29" s="1"/>
  <c r="AG521" i="29"/>
  <c r="W521" i="29"/>
  <c r="X576" i="29"/>
  <c r="Y576" i="29" s="1"/>
  <c r="AH576" i="29"/>
  <c r="AG388" i="29"/>
  <c r="W388" i="29"/>
  <c r="X219" i="29"/>
  <c r="Y219" i="29" s="1"/>
  <c r="AH219" i="29"/>
  <c r="X100" i="29"/>
  <c r="Y100" i="29" s="1"/>
  <c r="AH100" i="29"/>
  <c r="AG368" i="29"/>
  <c r="W368" i="29"/>
  <c r="X389" i="29"/>
  <c r="Y389" i="29" s="1"/>
  <c r="AH389" i="29"/>
  <c r="AG63" i="29"/>
  <c r="W63" i="29"/>
  <c r="AG190" i="29"/>
  <c r="W190" i="29"/>
  <c r="AH540" i="29"/>
  <c r="X540" i="29"/>
  <c r="Y540" i="29" s="1"/>
  <c r="X280" i="29"/>
  <c r="Y280" i="29" s="1"/>
  <c r="AH280" i="29"/>
  <c r="AG212" i="29"/>
  <c r="W212" i="29"/>
  <c r="W168" i="29"/>
  <c r="AG168" i="29"/>
  <c r="W141" i="29"/>
  <c r="AG141" i="29"/>
  <c r="BY284" i="24"/>
  <c r="CA284" i="24" s="1"/>
  <c r="BM284" i="24"/>
  <c r="BN284" i="24" s="1"/>
  <c r="BR70" i="25"/>
  <c r="BV70" i="25" s="1"/>
  <c r="BX70" i="25" s="1"/>
  <c r="BE70" i="25"/>
  <c r="BK70" i="25" s="1"/>
  <c r="BY71" i="24"/>
  <c r="CA71" i="24" s="1"/>
  <c r="CB71" i="24" s="1"/>
  <c r="BN71" i="24"/>
  <c r="BE303" i="25"/>
  <c r="BR303" i="25"/>
  <c r="BX303" i="25" s="1"/>
  <c r="AH357" i="29"/>
  <c r="X357" i="29"/>
  <c r="Y357" i="29" s="1"/>
  <c r="W342" i="29"/>
  <c r="AG342" i="29"/>
  <c r="AH556" i="29"/>
  <c r="X556" i="29"/>
  <c r="Y556" i="29" s="1"/>
  <c r="BE195" i="25"/>
  <c r="BR195" i="25"/>
  <c r="BX195" i="25" s="1"/>
  <c r="BE301" i="25"/>
  <c r="BR301" i="25"/>
  <c r="BX301" i="25" s="1"/>
  <c r="BN39" i="24"/>
  <c r="BY39" i="24"/>
  <c r="CA39" i="24" s="1"/>
  <c r="CB39" i="24" s="1"/>
  <c r="BY17" i="24"/>
  <c r="CA17" i="24" s="1"/>
  <c r="BN17" i="24"/>
  <c r="BR19" i="25"/>
  <c r="BV19" i="25" s="1"/>
  <c r="BX19" i="25" s="1"/>
  <c r="BE19" i="25"/>
  <c r="BK19" i="25" s="1"/>
  <c r="BE27" i="25"/>
  <c r="BK27" i="25" s="1"/>
  <c r="BR27" i="25"/>
  <c r="BV27" i="25" s="1"/>
  <c r="BX27" i="25" s="1"/>
  <c r="BE220" i="25"/>
  <c r="BR220" i="25"/>
  <c r="BX220" i="25" s="1"/>
  <c r="BN62" i="24"/>
  <c r="BY62" i="24"/>
  <c r="CA62" i="24" s="1"/>
  <c r="X26" i="29"/>
  <c r="Y26" i="29" s="1"/>
  <c r="AH26" i="29"/>
  <c r="AG596" i="29"/>
  <c r="W596" i="29"/>
  <c r="AH231" i="29"/>
  <c r="X231" i="29"/>
  <c r="Y231" i="29" s="1"/>
  <c r="AH120" i="29"/>
  <c r="X120" i="29"/>
  <c r="Y120" i="29" s="1"/>
  <c r="BY96" i="24"/>
  <c r="CA96" i="24" s="1"/>
  <c r="CB96" i="24" s="1"/>
  <c r="BN96" i="24"/>
  <c r="BL229" i="25"/>
  <c r="BY229" i="25"/>
  <c r="CA229" i="25" s="1"/>
  <c r="CB229" i="25" s="1"/>
  <c r="BK229" i="25"/>
  <c r="BE141" i="25"/>
  <c r="BR141" i="25"/>
  <c r="BX141" i="25" s="1"/>
  <c r="BE22" i="25"/>
  <c r="BK22" i="25" s="1"/>
  <c r="BR22" i="25"/>
  <c r="BV22" i="25" s="1"/>
  <c r="BX22" i="25" s="1"/>
  <c r="BR202" i="25"/>
  <c r="BX202" i="25" s="1"/>
  <c r="BE202" i="25"/>
  <c r="BY230" i="24"/>
  <c r="CA230" i="24" s="1"/>
  <c r="CB230" i="24" s="1"/>
  <c r="BM230" i="24"/>
  <c r="BN230" i="24" s="1"/>
  <c r="BY246" i="24"/>
  <c r="CA246" i="24" s="1"/>
  <c r="CB246" i="24" s="1"/>
  <c r="BM246" i="24"/>
  <c r="BN246" i="24" s="1"/>
  <c r="BY180" i="24"/>
  <c r="CA180" i="24" s="1"/>
  <c r="BM180" i="24"/>
  <c r="BN180" i="24" s="1"/>
  <c r="BN87" i="24"/>
  <c r="BY87" i="24"/>
  <c r="CA87" i="24" s="1"/>
  <c r="BY113" i="24"/>
  <c r="CA113" i="24" s="1"/>
  <c r="CB113" i="24" s="1"/>
  <c r="BM113" i="24"/>
  <c r="BN113" i="24" s="1"/>
  <c r="BR26" i="25"/>
  <c r="BV26" i="25" s="1"/>
  <c r="BX26" i="25" s="1"/>
  <c r="BE26" i="25"/>
  <c r="BK26" i="25" s="1"/>
  <c r="BN40" i="24"/>
  <c r="BY40" i="24"/>
  <c r="CA40" i="24" s="1"/>
  <c r="CB40" i="24" s="1"/>
  <c r="BN91" i="24"/>
  <c r="BY91" i="24"/>
  <c r="CA91" i="24" s="1"/>
  <c r="CB91" i="24" s="1"/>
  <c r="V585" i="29"/>
  <c r="U585" i="29"/>
  <c r="AH149" i="29"/>
  <c r="X149" i="29"/>
  <c r="Y149" i="29" s="1"/>
  <c r="AH119" i="29"/>
  <c r="X119" i="29"/>
  <c r="Y119" i="29" s="1"/>
  <c r="AG58" i="29"/>
  <c r="W58" i="29"/>
  <c r="W42" i="29"/>
  <c r="AG42" i="29"/>
  <c r="X31" i="29"/>
  <c r="Y31" i="29" s="1"/>
  <c r="AH31" i="29"/>
  <c r="AH574" i="29"/>
  <c r="X574" i="29"/>
  <c r="Y574" i="29" s="1"/>
  <c r="AG304" i="29"/>
  <c r="W304" i="29"/>
  <c r="X255" i="29"/>
  <c r="Y255" i="29" s="1"/>
  <c r="AH255" i="29"/>
  <c r="AG271" i="29"/>
  <c r="W271" i="29"/>
  <c r="AG592" i="29"/>
  <c r="W592" i="29"/>
  <c r="W215" i="29"/>
  <c r="AG215" i="29"/>
  <c r="X375" i="29"/>
  <c r="Y375" i="29" s="1"/>
  <c r="AH375" i="29"/>
  <c r="W539" i="29"/>
  <c r="AG539" i="29"/>
  <c r="AH310" i="29"/>
  <c r="X310" i="29"/>
  <c r="Y310" i="29" s="1"/>
  <c r="AG97" i="29"/>
  <c r="W97" i="29"/>
  <c r="W452" i="29"/>
  <c r="AG452" i="29"/>
  <c r="BY114" i="25"/>
  <c r="CA114" i="25" s="1"/>
  <c r="CB114" i="25" s="1"/>
  <c r="BL114" i="25"/>
  <c r="BK114" i="25"/>
  <c r="BE290" i="25"/>
  <c r="BR290" i="25"/>
  <c r="BX290" i="25" s="1"/>
  <c r="BY21" i="25"/>
  <c r="CA21" i="25" s="1"/>
  <c r="BL21" i="25"/>
  <c r="BY93" i="24"/>
  <c r="CA93" i="24" s="1"/>
  <c r="CB93" i="24" s="1"/>
  <c r="BN93" i="24"/>
  <c r="BY25" i="24"/>
  <c r="CA25" i="24" s="1"/>
  <c r="CB25" i="24" s="1"/>
  <c r="BN25" i="24"/>
  <c r="BY199" i="25"/>
  <c r="CA199" i="25" s="1"/>
  <c r="BL199" i="25"/>
  <c r="BK199" i="25"/>
  <c r="X88" i="29"/>
  <c r="Y88" i="29" s="1"/>
  <c r="AH88" i="29"/>
  <c r="X571" i="29"/>
  <c r="Y571" i="29" s="1"/>
  <c r="AH571" i="29"/>
  <c r="AG405" i="29"/>
  <c r="W405" i="29"/>
  <c r="W395" i="29"/>
  <c r="AG395" i="29"/>
  <c r="BY146" i="24"/>
  <c r="CA146" i="24" s="1"/>
  <c r="CB146" i="24" s="1"/>
  <c r="BM146" i="24"/>
  <c r="BN146" i="24" s="1"/>
  <c r="BE117" i="25"/>
  <c r="BR117" i="25"/>
  <c r="BX117" i="25" s="1"/>
  <c r="BN31" i="24"/>
  <c r="BY31" i="24"/>
  <c r="CA31" i="24" s="1"/>
  <c r="BE270" i="25"/>
  <c r="BR270" i="25"/>
  <c r="BX270" i="25" s="1"/>
  <c r="BY14" i="24"/>
  <c r="CA14" i="24" s="1"/>
  <c r="BN14" i="24"/>
  <c r="BE124" i="25"/>
  <c r="BR124" i="25"/>
  <c r="BX124" i="25" s="1"/>
  <c r="BR48" i="25"/>
  <c r="BV48" i="25" s="1"/>
  <c r="BX48" i="25" s="1"/>
  <c r="BE48" i="25"/>
  <c r="BK48" i="25" s="1"/>
  <c r="AH195" i="29"/>
  <c r="X195" i="29"/>
  <c r="Y195" i="29" s="1"/>
  <c r="AH124" i="29"/>
  <c r="X124" i="29"/>
  <c r="Y124" i="29" s="1"/>
  <c r="BR185" i="25"/>
  <c r="BX185" i="25" s="1"/>
  <c r="BE185" i="25"/>
  <c r="BE233" i="25"/>
  <c r="BR233" i="25"/>
  <c r="BX233" i="25" s="1"/>
  <c r="BY64" i="24"/>
  <c r="CA64" i="24" s="1"/>
  <c r="CB64" i="24" s="1"/>
  <c r="BN64" i="24"/>
  <c r="BE221" i="25"/>
  <c r="BR221" i="25"/>
  <c r="BX221" i="25" s="1"/>
  <c r="BY229" i="24"/>
  <c r="CA229" i="24" s="1"/>
  <c r="BM229" i="24"/>
  <c r="BN229" i="24" s="1"/>
  <c r="BY290" i="24"/>
  <c r="CA290" i="24" s="1"/>
  <c r="CB290" i="24" s="1"/>
  <c r="BM290" i="24"/>
  <c r="BN290" i="24" s="1"/>
  <c r="BR72" i="25"/>
  <c r="BV72" i="25" s="1"/>
  <c r="BX72" i="25" s="1"/>
  <c r="BE72" i="25"/>
  <c r="BK72" i="25" s="1"/>
  <c r="BE277" i="25"/>
  <c r="BR277" i="25"/>
  <c r="BX277" i="25" s="1"/>
  <c r="B154" i="2"/>
  <c r="B160" i="2"/>
  <c r="E32" i="1" s="1"/>
  <c r="BR43" i="25"/>
  <c r="BV43" i="25" s="1"/>
  <c r="BX43" i="25" s="1"/>
  <c r="BE43" i="25"/>
  <c r="BK43" i="25" s="1"/>
  <c r="BR81" i="25"/>
  <c r="BV81" i="25" s="1"/>
  <c r="BX81" i="25" s="1"/>
  <c r="BE81" i="25"/>
  <c r="BK81" i="25" s="1"/>
  <c r="BE138" i="25"/>
  <c r="BR138" i="25"/>
  <c r="BX138" i="25" s="1"/>
  <c r="X38" i="29"/>
  <c r="Y38" i="29" s="1"/>
  <c r="AH38" i="29"/>
  <c r="W435" i="29"/>
  <c r="AG435" i="29"/>
  <c r="AH199" i="29"/>
  <c r="X199" i="29"/>
  <c r="Y199" i="29" s="1"/>
  <c r="AH527" i="29"/>
  <c r="X527" i="29"/>
  <c r="Y527" i="29" s="1"/>
  <c r="AG83" i="29"/>
  <c r="W83" i="29"/>
  <c r="X122" i="29"/>
  <c r="Y122" i="29" s="1"/>
  <c r="AH122" i="29"/>
  <c r="AH194" i="29"/>
  <c r="X194" i="29"/>
  <c r="Y194" i="29" s="1"/>
  <c r="AH23" i="29"/>
  <c r="X23" i="29"/>
  <c r="Y23" i="29" s="1"/>
  <c r="X312" i="29"/>
  <c r="Y312" i="29" s="1"/>
  <c r="AH312" i="29"/>
  <c r="AG467" i="29"/>
  <c r="W467" i="29"/>
  <c r="AG188" i="29"/>
  <c r="W188" i="29"/>
  <c r="AH314" i="29"/>
  <c r="X314" i="29"/>
  <c r="Y314" i="29" s="1"/>
  <c r="W567" i="29"/>
  <c r="AG567" i="29"/>
  <c r="X492" i="29"/>
  <c r="Y492" i="29" s="1"/>
  <c r="AH492" i="29"/>
  <c r="BY141" i="24"/>
  <c r="CA141" i="24" s="1"/>
  <c r="CB141" i="24" s="1"/>
  <c r="BM141" i="24"/>
  <c r="BN141" i="24" s="1"/>
  <c r="BE297" i="25"/>
  <c r="BR297" i="25"/>
  <c r="BX297" i="25" s="1"/>
  <c r="BR65" i="25"/>
  <c r="BV65" i="25" s="1"/>
  <c r="BX65" i="25" s="1"/>
  <c r="BE65" i="25"/>
  <c r="BK65" i="25" s="1"/>
  <c r="BY252" i="24"/>
  <c r="CA252" i="24" s="1"/>
  <c r="CB252" i="24" s="1"/>
  <c r="BM252" i="24"/>
  <c r="BN252" i="24" s="1"/>
  <c r="X50" i="29"/>
  <c r="Y50" i="29" s="1"/>
  <c r="AH50" i="29"/>
  <c r="AH177" i="29"/>
  <c r="X177" i="29"/>
  <c r="Y177" i="29" s="1"/>
  <c r="W378" i="29"/>
  <c r="AG378" i="29"/>
  <c r="AH112" i="29"/>
  <c r="X112" i="29"/>
  <c r="Y112" i="29" s="1"/>
  <c r="BY280" i="25"/>
  <c r="CA280" i="25" s="1"/>
  <c r="CB280" i="25" s="1"/>
  <c r="BL280" i="25"/>
  <c r="BK280" i="25"/>
  <c r="BY261" i="24"/>
  <c r="CA261" i="24" s="1"/>
  <c r="CB261" i="24" s="1"/>
  <c r="BM261" i="24"/>
  <c r="BN261" i="24" s="1"/>
  <c r="BY149" i="24"/>
  <c r="CA149" i="24" s="1"/>
  <c r="CB149" i="24" s="1"/>
  <c r="BM149" i="24"/>
  <c r="BN149" i="24" s="1"/>
  <c r="BR125" i="25"/>
  <c r="BX125" i="25" s="1"/>
  <c r="BE125" i="25"/>
  <c r="BE105" i="25"/>
  <c r="BK105" i="25" s="1"/>
  <c r="BR105" i="25"/>
  <c r="BV105" i="25" s="1"/>
  <c r="BX105" i="25" s="1"/>
  <c r="BL265" i="25"/>
  <c r="BK265" i="25"/>
  <c r="BE91" i="25"/>
  <c r="BK91" i="25" s="1"/>
  <c r="BR91" i="25"/>
  <c r="BV91" i="25" s="1"/>
  <c r="BX91" i="25" s="1"/>
  <c r="BY182" i="24"/>
  <c r="CA182" i="24" s="1"/>
  <c r="BM182" i="24"/>
  <c r="BN182" i="24" s="1"/>
  <c r="AH544" i="29"/>
  <c r="X544" i="29"/>
  <c r="Y544" i="29" s="1"/>
  <c r="X89" i="29"/>
  <c r="Y89" i="29" s="1"/>
  <c r="AH89" i="29"/>
  <c r="AG442" i="29"/>
  <c r="W442" i="29"/>
  <c r="AH608" i="29"/>
  <c r="X608" i="29"/>
  <c r="Y608" i="29" s="1"/>
  <c r="BL179" i="25"/>
  <c r="BY179" i="25"/>
  <c r="CA179" i="25" s="1"/>
  <c r="BK179" i="25"/>
  <c r="BY244" i="24"/>
  <c r="CA244" i="24" s="1"/>
  <c r="CB244" i="24" s="1"/>
  <c r="BM244" i="24"/>
  <c r="BN244" i="24" s="1"/>
  <c r="BE254" i="25"/>
  <c r="BR254" i="25"/>
  <c r="BX254" i="25" s="1"/>
  <c r="BL305" i="25"/>
  <c r="BY305" i="25"/>
  <c r="CA305" i="25" s="1"/>
  <c r="CB305" i="25" s="1"/>
  <c r="BK305" i="25"/>
  <c r="BY302" i="24"/>
  <c r="CA302" i="24" s="1"/>
  <c r="CB302" i="24" s="1"/>
  <c r="BM302" i="24"/>
  <c r="BN302" i="24" s="1"/>
  <c r="BN82" i="24"/>
  <c r="BY82" i="24"/>
  <c r="CA82" i="24" s="1"/>
  <c r="CB82" i="24" s="1"/>
  <c r="BY203" i="24"/>
  <c r="CA203" i="24" s="1"/>
  <c r="BM203" i="24"/>
  <c r="BN203" i="24" s="1"/>
  <c r="BL13" i="25"/>
  <c r="BY13" i="25"/>
  <c r="CA13" i="25" s="1"/>
  <c r="CB13" i="25" s="1"/>
  <c r="BY104" i="24"/>
  <c r="CA104" i="24" s="1"/>
  <c r="BN104" i="24"/>
  <c r="BY129" i="24"/>
  <c r="CA129" i="24" s="1"/>
  <c r="CB129" i="24" s="1"/>
  <c r="BM129" i="24"/>
  <c r="BN129" i="24" s="1"/>
  <c r="BE272" i="25"/>
  <c r="BR272" i="25"/>
  <c r="BX272" i="25" s="1"/>
  <c r="BY157" i="24"/>
  <c r="CA157" i="24" s="1"/>
  <c r="BM157" i="24"/>
  <c r="BN157" i="24" s="1"/>
  <c r="AG337" i="29"/>
  <c r="W337" i="29"/>
  <c r="AH163" i="29"/>
  <c r="X163" i="29"/>
  <c r="Y163" i="29" s="1"/>
  <c r="AG43" i="29"/>
  <c r="W43" i="29"/>
  <c r="AG288" i="29"/>
  <c r="W288" i="29"/>
  <c r="W59" i="29"/>
  <c r="AG59" i="29"/>
  <c r="X144" i="29"/>
  <c r="Y144" i="29" s="1"/>
  <c r="AH144" i="29"/>
  <c r="W259" i="29"/>
  <c r="AG259" i="29"/>
  <c r="W466" i="29"/>
  <c r="AG466" i="29"/>
  <c r="AH192" i="29"/>
  <c r="X192" i="29"/>
  <c r="Y192" i="29" s="1"/>
  <c r="AG472" i="29"/>
  <c r="W472" i="29"/>
  <c r="AH242" i="29"/>
  <c r="X242" i="29"/>
  <c r="Y242" i="29" s="1"/>
  <c r="W129" i="29"/>
  <c r="AG129" i="29"/>
  <c r="W445" i="29"/>
  <c r="AG445" i="29"/>
  <c r="AH493" i="29"/>
  <c r="X493" i="29"/>
  <c r="Y493" i="29" s="1"/>
  <c r="AH500" i="29"/>
  <c r="X500" i="29"/>
  <c r="Y500" i="29" s="1"/>
  <c r="BY163" i="24"/>
  <c r="CA163" i="24" s="1"/>
  <c r="BM163" i="24"/>
  <c r="BN163" i="24" s="1"/>
  <c r="BL238" i="25"/>
  <c r="BY238" i="25"/>
  <c r="CA238" i="25" s="1"/>
  <c r="CB238" i="25" s="1"/>
  <c r="BK238" i="25"/>
  <c r="BY197" i="24"/>
  <c r="CA197" i="24" s="1"/>
  <c r="CB197" i="24" s="1"/>
  <c r="BM197" i="24"/>
  <c r="BN197" i="24" s="1"/>
  <c r="BL154" i="25"/>
  <c r="BK154" i="25"/>
  <c r="BY73" i="24"/>
  <c r="CA73" i="24" s="1"/>
  <c r="BN73" i="24"/>
  <c r="BY192" i="24"/>
  <c r="CA192" i="24" s="1"/>
  <c r="CB192" i="24" s="1"/>
  <c r="BM192" i="24"/>
  <c r="BN192" i="24" s="1"/>
  <c r="BE50" i="25"/>
  <c r="BK50" i="25" s="1"/>
  <c r="BR50" i="25"/>
  <c r="BV50" i="25" s="1"/>
  <c r="BX50" i="25" s="1"/>
  <c r="X373" i="29"/>
  <c r="Y373" i="29" s="1"/>
  <c r="AH373" i="29"/>
  <c r="X324" i="29"/>
  <c r="Y324" i="29" s="1"/>
  <c r="AH324" i="29"/>
  <c r="X315" i="29"/>
  <c r="Y315" i="29" s="1"/>
  <c r="AH315" i="29"/>
  <c r="X130" i="29"/>
  <c r="Y130" i="29" s="1"/>
  <c r="AH130" i="29"/>
  <c r="W363" i="29"/>
  <c r="AG363" i="29"/>
  <c r="AH213" i="29"/>
  <c r="X213" i="29"/>
  <c r="Y213" i="29" s="1"/>
  <c r="W364" i="29"/>
  <c r="AG364" i="29"/>
  <c r="AG372" i="29"/>
  <c r="W372" i="29"/>
  <c r="AH246" i="29"/>
  <c r="X246" i="29"/>
  <c r="Y246" i="29" s="1"/>
  <c r="X111" i="29"/>
  <c r="Y111" i="29" s="1"/>
  <c r="AH111" i="29"/>
  <c r="W558" i="29"/>
  <c r="AG558" i="29"/>
  <c r="X279" i="29"/>
  <c r="Y279" i="29" s="1"/>
  <c r="AH279" i="29"/>
  <c r="W275" i="29"/>
  <c r="AG275" i="29"/>
  <c r="AG236" i="29"/>
  <c r="W236" i="29"/>
  <c r="W231" i="29"/>
  <c r="AG231" i="29"/>
  <c r="BE103" i="25"/>
  <c r="BK103" i="25" s="1"/>
  <c r="BR103" i="25"/>
  <c r="BV103" i="25" s="1"/>
  <c r="BX103" i="25" s="1"/>
  <c r="BE162" i="25"/>
  <c r="BR162" i="25"/>
  <c r="BX162" i="25" s="1"/>
  <c r="BE253" i="25"/>
  <c r="BR253" i="25"/>
  <c r="BX253" i="25" s="1"/>
  <c r="BY23" i="24"/>
  <c r="CA23" i="24" s="1"/>
  <c r="BN23" i="24"/>
  <c r="BL174" i="25"/>
  <c r="BY174" i="25"/>
  <c r="CA174" i="25" s="1"/>
  <c r="BK174" i="25"/>
  <c r="BY126" i="24"/>
  <c r="CA126" i="24" s="1"/>
  <c r="BM126" i="24"/>
  <c r="BN126" i="24" s="1"/>
  <c r="BR41" i="25"/>
  <c r="BV41" i="25" s="1"/>
  <c r="BX41" i="25" s="1"/>
  <c r="BE41" i="25"/>
  <c r="BK41" i="25" s="1"/>
  <c r="BY158" i="24"/>
  <c r="CA158" i="24" s="1"/>
  <c r="CB158" i="24" s="1"/>
  <c r="BM158" i="24"/>
  <c r="BN158" i="24" s="1"/>
  <c r="BY282" i="25"/>
  <c r="CA282" i="25" s="1"/>
  <c r="CB282" i="25" s="1"/>
  <c r="BL282" i="25"/>
  <c r="BK282" i="25"/>
  <c r="AH336" i="29"/>
  <c r="X336" i="29"/>
  <c r="Y336" i="29" s="1"/>
  <c r="X145" i="29"/>
  <c r="Y145" i="29" s="1"/>
  <c r="AH145" i="29"/>
  <c r="AG471" i="29"/>
  <c r="W471" i="29"/>
  <c r="W599" i="29"/>
  <c r="AG599" i="29"/>
  <c r="AH530" i="29"/>
  <c r="X530" i="29"/>
  <c r="Y530" i="29" s="1"/>
  <c r="W36" i="29"/>
  <c r="AG36" i="29"/>
  <c r="BY220" i="24"/>
  <c r="CA220" i="24" s="1"/>
  <c r="CB220" i="24" s="1"/>
  <c r="BM220" i="24"/>
  <c r="BN220" i="24" s="1"/>
  <c r="BE153" i="25"/>
  <c r="BR153" i="25"/>
  <c r="BX153" i="25" s="1"/>
  <c r="BE146" i="25"/>
  <c r="BR146" i="25"/>
  <c r="BX146" i="25" s="1"/>
  <c r="BY34" i="25"/>
  <c r="CA34" i="25" s="1"/>
  <c r="CB34" i="25" s="1"/>
  <c r="BL34" i="25"/>
  <c r="BR84" i="25"/>
  <c r="BV84" i="25" s="1"/>
  <c r="BX84" i="25" s="1"/>
  <c r="BE84" i="25"/>
  <c r="BK84" i="25" s="1"/>
  <c r="AH521" i="29" l="1"/>
  <c r="X63" i="29"/>
  <c r="Y63" i="29" s="1"/>
  <c r="CB17" i="24"/>
  <c r="CF17" i="24"/>
  <c r="CB226" i="24"/>
  <c r="CF226" i="24"/>
  <c r="CB31" i="24"/>
  <c r="CF31" i="24"/>
  <c r="CB32" i="24"/>
  <c r="CF32" i="24"/>
  <c r="CB31" i="25"/>
  <c r="CF31" i="25"/>
  <c r="CB229" i="24"/>
  <c r="CF229" i="24"/>
  <c r="CB123" i="24"/>
  <c r="CF123" i="24"/>
  <c r="CB281" i="24"/>
  <c r="CF281" i="24"/>
  <c r="CB84" i="24"/>
  <c r="CF84" i="24"/>
  <c r="CB175" i="24"/>
  <c r="CF175" i="24"/>
  <c r="L110" i="2"/>
  <c r="W584" i="29"/>
  <c r="AJ583" i="29" s="1"/>
  <c r="AK583" i="29" s="1"/>
  <c r="CB54" i="24"/>
  <c r="CF54" i="24"/>
  <c r="CB256" i="24"/>
  <c r="CF256" i="24"/>
  <c r="CB150" i="24"/>
  <c r="CF150" i="24"/>
  <c r="AG576" i="29"/>
  <c r="W380" i="29"/>
  <c r="AJ380" i="29" s="1"/>
  <c r="AK380" i="29" s="1"/>
  <c r="AH591" i="29"/>
  <c r="AG483" i="29"/>
  <c r="W163" i="29"/>
  <c r="AA163" i="29" s="1"/>
  <c r="CB113" i="25"/>
  <c r="CF113" i="25"/>
  <c r="CB118" i="24"/>
  <c r="CF118" i="24"/>
  <c r="X551" i="29"/>
  <c r="Y551" i="29" s="1"/>
  <c r="X371" i="29"/>
  <c r="Y371" i="29" s="1"/>
  <c r="CB30" i="25"/>
  <c r="CF30" i="25"/>
  <c r="W225" i="29"/>
  <c r="AJ224" i="29" s="1"/>
  <c r="AK224" i="29" s="1"/>
  <c r="CB238" i="24"/>
  <c r="CF238" i="24"/>
  <c r="CB21" i="25"/>
  <c r="CF21" i="25"/>
  <c r="CB127" i="24"/>
  <c r="CF127" i="24"/>
  <c r="CB23" i="24"/>
  <c r="CF23" i="24"/>
  <c r="CB30" i="24"/>
  <c r="CF30" i="24"/>
  <c r="BY265" i="25"/>
  <c r="CA265" i="25" s="1"/>
  <c r="CB265" i="25" s="1"/>
  <c r="X536" i="29"/>
  <c r="Y536" i="29" s="1"/>
  <c r="CB232" i="24"/>
  <c r="CF232" i="24"/>
  <c r="CB126" i="24"/>
  <c r="CF126" i="24"/>
  <c r="AH485" i="29"/>
  <c r="CB78" i="24"/>
  <c r="CF78" i="24"/>
  <c r="AH159" i="29"/>
  <c r="CB62" i="24"/>
  <c r="CF62" i="24"/>
  <c r="AH445" i="29"/>
  <c r="CB243" i="24"/>
  <c r="CF243" i="24"/>
  <c r="CB61" i="24"/>
  <c r="CF61" i="24"/>
  <c r="CB137" i="24"/>
  <c r="CF137" i="24"/>
  <c r="CB117" i="24"/>
  <c r="CF117" i="24"/>
  <c r="CB225" i="24"/>
  <c r="CF225" i="24"/>
  <c r="CB14" i="24"/>
  <c r="CF14" i="24"/>
  <c r="CB14" i="25"/>
  <c r="CF14" i="25"/>
  <c r="CB312" i="24"/>
  <c r="CF312" i="24"/>
  <c r="CB206" i="24"/>
  <c r="CF206" i="24"/>
  <c r="CB66" i="24"/>
  <c r="CF66" i="24"/>
  <c r="CB6" i="24"/>
  <c r="CF6" i="24"/>
  <c r="CB217" i="24"/>
  <c r="CF217" i="24"/>
  <c r="CB6" i="25"/>
  <c r="CF6" i="25"/>
  <c r="X393" i="29"/>
  <c r="Y393" i="29" s="1"/>
  <c r="X478" i="29"/>
  <c r="Y478" i="29" s="1"/>
  <c r="X74" i="29"/>
  <c r="Y74" i="29" s="1"/>
  <c r="X66" i="29"/>
  <c r="Y66" i="29" s="1"/>
  <c r="AH374" i="29"/>
  <c r="AH304" i="29"/>
  <c r="W566" i="29"/>
  <c r="AJ565" i="29" s="1"/>
  <c r="AK565" i="29" s="1"/>
  <c r="AH271" i="29"/>
  <c r="AG148" i="29"/>
  <c r="W223" i="29"/>
  <c r="AA223" i="29" s="1"/>
  <c r="X106" i="29"/>
  <c r="Y106" i="29" s="1"/>
  <c r="AG24" i="29"/>
  <c r="X59" i="29"/>
  <c r="Y59" i="29" s="1"/>
  <c r="X602" i="29"/>
  <c r="Y602" i="29" s="1"/>
  <c r="X212" i="29"/>
  <c r="Y212" i="29" s="1"/>
  <c r="X181" i="29"/>
  <c r="Y181" i="29" s="1"/>
  <c r="W261" i="29"/>
  <c r="AA261" i="29" s="1"/>
  <c r="X206" i="29"/>
  <c r="Y206" i="29" s="1"/>
  <c r="W137" i="29"/>
  <c r="AJ137" i="29" s="1"/>
  <c r="AK137" i="29" s="1"/>
  <c r="AG279" i="29"/>
  <c r="AG248" i="29"/>
  <c r="W113" i="29"/>
  <c r="AJ112" i="29" s="1"/>
  <c r="AK112" i="29" s="1"/>
  <c r="W253" i="29"/>
  <c r="AA253" i="29" s="1"/>
  <c r="AG64" i="29"/>
  <c r="X337" i="29"/>
  <c r="Y337" i="29" s="1"/>
  <c r="CB262" i="24"/>
  <c r="CF262" i="24"/>
  <c r="CB87" i="24"/>
  <c r="CF87" i="24"/>
  <c r="CB156" i="24"/>
  <c r="CF156" i="24"/>
  <c r="AG606" i="29"/>
  <c r="CB269" i="24"/>
  <c r="CF269" i="24"/>
  <c r="CB163" i="24"/>
  <c r="CF163" i="24"/>
  <c r="AH46" i="29"/>
  <c r="X363" i="29"/>
  <c r="Y363" i="29" s="1"/>
  <c r="AG85" i="29"/>
  <c r="W19" i="29"/>
  <c r="AJ18" i="29" s="1"/>
  <c r="AK18" i="29" s="1"/>
  <c r="CB271" i="24"/>
  <c r="CF271" i="24"/>
  <c r="CB165" i="24"/>
  <c r="CF165" i="24"/>
  <c r="AH71" i="29"/>
  <c r="CB96" i="25"/>
  <c r="CF96" i="25"/>
  <c r="CB305" i="24"/>
  <c r="CF305" i="24"/>
  <c r="CB199" i="24"/>
  <c r="CF199" i="24"/>
  <c r="CB97" i="24"/>
  <c r="CF97" i="24"/>
  <c r="CB206" i="25"/>
  <c r="CF206" i="25"/>
  <c r="AG338" i="29"/>
  <c r="W108" i="29"/>
  <c r="AA108" i="29" s="1"/>
  <c r="CB161" i="24"/>
  <c r="CF161" i="24"/>
  <c r="CB267" i="24"/>
  <c r="CF267" i="24"/>
  <c r="CB73" i="24"/>
  <c r="CF73" i="24"/>
  <c r="CB147" i="25"/>
  <c r="CF147" i="25"/>
  <c r="CB56" i="24"/>
  <c r="CF56" i="24"/>
  <c r="CB151" i="24"/>
  <c r="CF151" i="24"/>
  <c r="CB177" i="25"/>
  <c r="CF177" i="25"/>
  <c r="CB316" i="24"/>
  <c r="CF316" i="24"/>
  <c r="CB210" i="24"/>
  <c r="CF210" i="24"/>
  <c r="CB198" i="25"/>
  <c r="CF198" i="25"/>
  <c r="CB173" i="25"/>
  <c r="CF173" i="25"/>
  <c r="CB192" i="25"/>
  <c r="CF192" i="25"/>
  <c r="CB182" i="24"/>
  <c r="CF182" i="24"/>
  <c r="CB288" i="24"/>
  <c r="CF288" i="24"/>
  <c r="CB80" i="24"/>
  <c r="CF80" i="24"/>
  <c r="CB208" i="24"/>
  <c r="CF208" i="24"/>
  <c r="CB174" i="25"/>
  <c r="CF174" i="25"/>
  <c r="CB193" i="24"/>
  <c r="CF193" i="24"/>
  <c r="CB299" i="24"/>
  <c r="CF299" i="24"/>
  <c r="CB88" i="24"/>
  <c r="CF88" i="24"/>
  <c r="CB89" i="25"/>
  <c r="CF89" i="25"/>
  <c r="CB104" i="24"/>
  <c r="CF104" i="24"/>
  <c r="CB308" i="24"/>
  <c r="CF308" i="24"/>
  <c r="CB202" i="24"/>
  <c r="CF202" i="24"/>
  <c r="CB204" i="25"/>
  <c r="CF204" i="25"/>
  <c r="CB297" i="24"/>
  <c r="CF297" i="24"/>
  <c r="CB82" i="25"/>
  <c r="CF82" i="25"/>
  <c r="CB180" i="24"/>
  <c r="CF180" i="24"/>
  <c r="CB286" i="24"/>
  <c r="CF286" i="24"/>
  <c r="CB81" i="24"/>
  <c r="CF81" i="24"/>
  <c r="AH604" i="29"/>
  <c r="CB204" i="24"/>
  <c r="CF204" i="24"/>
  <c r="CB310" i="24"/>
  <c r="CF310" i="24"/>
  <c r="CB190" i="25"/>
  <c r="CF190" i="25"/>
  <c r="CB98" i="24"/>
  <c r="CF98" i="24"/>
  <c r="CB306" i="24"/>
  <c r="CF306" i="24"/>
  <c r="CB200" i="24"/>
  <c r="CF200" i="24"/>
  <c r="CB179" i="25"/>
  <c r="CF179" i="25"/>
  <c r="W562" i="29"/>
  <c r="AJ562" i="29" s="1"/>
  <c r="AK562" i="29" s="1"/>
  <c r="CB203" i="24"/>
  <c r="CF203" i="24"/>
  <c r="CB309" i="24"/>
  <c r="CF309" i="24"/>
  <c r="CB307" i="24"/>
  <c r="CF307" i="24"/>
  <c r="CB201" i="24"/>
  <c r="CF201" i="24"/>
  <c r="CB103" i="24"/>
  <c r="CF103" i="24"/>
  <c r="AG266" i="29"/>
  <c r="CB62" i="25"/>
  <c r="CF62" i="25"/>
  <c r="CB71" i="25"/>
  <c r="CF71" i="25"/>
  <c r="W603" i="29"/>
  <c r="AJ602" i="29" s="1"/>
  <c r="AK602" i="29" s="1"/>
  <c r="CB104" i="25"/>
  <c r="CF104" i="25"/>
  <c r="AG511" i="29"/>
  <c r="AH203" i="29"/>
  <c r="W49" i="29"/>
  <c r="AJ48" i="29" s="1"/>
  <c r="AK48" i="29" s="1"/>
  <c r="AH543" i="29"/>
  <c r="AH477" i="29"/>
  <c r="W322" i="29"/>
  <c r="AJ322" i="29" s="1"/>
  <c r="AK322" i="29" s="1"/>
  <c r="X309" i="29"/>
  <c r="Y309" i="29" s="1"/>
  <c r="AG475" i="29"/>
  <c r="AG417" i="29"/>
  <c r="X384" i="29"/>
  <c r="Y384" i="29" s="1"/>
  <c r="AH34" i="29"/>
  <c r="W153" i="29"/>
  <c r="AJ152" i="29" s="1"/>
  <c r="AK152" i="29" s="1"/>
  <c r="X578" i="29"/>
  <c r="Y578" i="29" s="1"/>
  <c r="AH339" i="29"/>
  <c r="X220" i="29"/>
  <c r="Y220" i="29" s="1"/>
  <c r="AH577" i="29"/>
  <c r="AH466" i="29"/>
  <c r="AH22" i="29"/>
  <c r="X79" i="29"/>
  <c r="Y79" i="29" s="1"/>
  <c r="AG144" i="29"/>
  <c r="W198" i="29"/>
  <c r="AJ197" i="29" s="1"/>
  <c r="AK197" i="29" s="1"/>
  <c r="W166" i="29"/>
  <c r="AJ166" i="29" s="1"/>
  <c r="AK166" i="29" s="1"/>
  <c r="AG284" i="29"/>
  <c r="AG332" i="29"/>
  <c r="AH516" i="29"/>
  <c r="BY154" i="25"/>
  <c r="CA154" i="25" s="1"/>
  <c r="CB154" i="25" s="1"/>
  <c r="AH93" i="29"/>
  <c r="W343" i="29"/>
  <c r="AJ343" i="29" s="1"/>
  <c r="AK343" i="29" s="1"/>
  <c r="CB311" i="24"/>
  <c r="CF311" i="24"/>
  <c r="CB205" i="24"/>
  <c r="CF205" i="24"/>
  <c r="AG379" i="29"/>
  <c r="X408" i="29"/>
  <c r="Y408" i="29" s="1"/>
  <c r="AH589" i="29"/>
  <c r="CB189" i="25"/>
  <c r="CF189" i="25"/>
  <c r="CB199" i="25"/>
  <c r="CF199" i="25"/>
  <c r="AH168" i="29"/>
  <c r="X217" i="29"/>
  <c r="Y217" i="29" s="1"/>
  <c r="AG608" i="29"/>
  <c r="CB186" i="25"/>
  <c r="CF186" i="25"/>
  <c r="CB201" i="25"/>
  <c r="CF201" i="25"/>
  <c r="AG611" i="29"/>
  <c r="AG186" i="29"/>
  <c r="W207" i="29"/>
  <c r="AA207" i="29" s="1"/>
  <c r="W98" i="29"/>
  <c r="AJ97" i="29" s="1"/>
  <c r="AK97" i="29" s="1"/>
  <c r="W109" i="29"/>
  <c r="AJ109" i="29" s="1"/>
  <c r="AK109" i="29" s="1"/>
  <c r="AG252" i="29"/>
  <c r="X391" i="29"/>
  <c r="Y391" i="29" s="1"/>
  <c r="AG123" i="29"/>
  <c r="W493" i="29"/>
  <c r="AA493" i="29" s="1"/>
  <c r="AH205" i="29"/>
  <c r="X553" i="29"/>
  <c r="Y553" i="29" s="1"/>
  <c r="W557" i="29"/>
  <c r="AJ557" i="29" s="1"/>
  <c r="AK557" i="29" s="1"/>
  <c r="W571" i="29"/>
  <c r="AJ570" i="29" s="1"/>
  <c r="AK570" i="29" s="1"/>
  <c r="X241" i="29"/>
  <c r="Y241" i="29" s="1"/>
  <c r="X501" i="29"/>
  <c r="Y501" i="29" s="1"/>
  <c r="W89" i="29"/>
  <c r="AA89" i="29" s="1"/>
  <c r="AG349" i="29"/>
  <c r="W507" i="29"/>
  <c r="AJ506" i="29" s="1"/>
  <c r="AK506" i="29" s="1"/>
  <c r="AG488" i="29"/>
  <c r="X596" i="29"/>
  <c r="Y596" i="29" s="1"/>
  <c r="AH229" i="29"/>
  <c r="AG105" i="29"/>
  <c r="AH359" i="29"/>
  <c r="W115" i="29"/>
  <c r="AJ114" i="29" s="1"/>
  <c r="AH161" i="29"/>
  <c r="CB105" i="24"/>
  <c r="CF105" i="24"/>
  <c r="CB161" i="25"/>
  <c r="CF161" i="25"/>
  <c r="CB186" i="24"/>
  <c r="CF186" i="24"/>
  <c r="X367" i="29"/>
  <c r="Y367" i="29" s="1"/>
  <c r="W70" i="29"/>
  <c r="AA70" i="29" s="1"/>
  <c r="X340" i="29"/>
  <c r="Y340" i="29" s="1"/>
  <c r="X415" i="29"/>
  <c r="Y415" i="29" s="1"/>
  <c r="X370" i="29"/>
  <c r="Y370" i="29" s="1"/>
  <c r="W107" i="29"/>
  <c r="AJ106" i="29" s="1"/>
  <c r="W357" i="29"/>
  <c r="AJ357" i="29" s="1"/>
  <c r="AK357" i="29" s="1"/>
  <c r="AG204" i="29"/>
  <c r="X54" i="29"/>
  <c r="Y54" i="29" s="1"/>
  <c r="X582" i="29"/>
  <c r="Y582" i="29" s="1"/>
  <c r="X276" i="29"/>
  <c r="Y276" i="29" s="1"/>
  <c r="X151" i="29"/>
  <c r="Y151" i="29" s="1"/>
  <c r="AG365" i="29"/>
  <c r="W291" i="29"/>
  <c r="AJ290" i="29" s="1"/>
  <c r="AK290" i="29" s="1"/>
  <c r="W185" i="29"/>
  <c r="AJ185" i="29" s="1"/>
  <c r="AK185" i="29" s="1"/>
  <c r="AG560" i="29"/>
  <c r="W234" i="29"/>
  <c r="AA234" i="29" s="1"/>
  <c r="W326" i="29"/>
  <c r="AJ325" i="29" s="1"/>
  <c r="AK325" i="29" s="1"/>
  <c r="X457" i="29"/>
  <c r="Y457" i="29" s="1"/>
  <c r="X257" i="29"/>
  <c r="Y257" i="29" s="1"/>
  <c r="W122" i="29"/>
  <c r="AJ121" i="29" s="1"/>
  <c r="AK121" i="29" s="1"/>
  <c r="AG294" i="29"/>
  <c r="W598" i="29"/>
  <c r="AJ598" i="29" s="1"/>
  <c r="AK598" i="29" s="1"/>
  <c r="AH302" i="29"/>
  <c r="AG362" i="29"/>
  <c r="X580" i="29"/>
  <c r="Y580" i="29" s="1"/>
  <c r="X184" i="29"/>
  <c r="Y184" i="29" s="1"/>
  <c r="AG532" i="29"/>
  <c r="X613" i="29"/>
  <c r="Y613" i="29" s="1"/>
  <c r="X327" i="29"/>
  <c r="Y327" i="29" s="1"/>
  <c r="X80" i="29"/>
  <c r="Y80" i="29" s="1"/>
  <c r="AG45" i="29"/>
  <c r="AH400" i="29"/>
  <c r="AH470" i="29"/>
  <c r="AH17" i="29"/>
  <c r="AH81" i="29"/>
  <c r="W330" i="29"/>
  <c r="AA330" i="29" s="1"/>
  <c r="AG325" i="29"/>
  <c r="W13" i="29"/>
  <c r="AA13" i="29" s="1"/>
  <c r="AG111" i="29"/>
  <c r="W373" i="29"/>
  <c r="AJ372" i="29" s="1"/>
  <c r="AK372" i="29" s="1"/>
  <c r="AG192" i="29"/>
  <c r="W547" i="29"/>
  <c r="AJ546" i="29" s="1"/>
  <c r="AK546" i="29" s="1"/>
  <c r="X292" i="29"/>
  <c r="Y292" i="29" s="1"/>
  <c r="W147" i="29"/>
  <c r="AA147" i="29" s="1"/>
  <c r="AH214" i="29"/>
  <c r="AH333" i="29"/>
  <c r="X512" i="29"/>
  <c r="Y512" i="29" s="1"/>
  <c r="W433" i="29"/>
  <c r="AA433" i="29" s="1"/>
  <c r="W498" i="29"/>
  <c r="AA498" i="29" s="1"/>
  <c r="AG609" i="29"/>
  <c r="AH358" i="29"/>
  <c r="X42" i="29"/>
  <c r="Y42" i="29" s="1"/>
  <c r="W429" i="29"/>
  <c r="AA429" i="29" s="1"/>
  <c r="X169" i="29"/>
  <c r="Y169" i="29" s="1"/>
  <c r="X317" i="29"/>
  <c r="Y317" i="29" s="1"/>
  <c r="X331" i="29"/>
  <c r="Y331" i="29" s="1"/>
  <c r="AH612" i="29"/>
  <c r="AH256" i="29"/>
  <c r="AH127" i="29"/>
  <c r="W465" i="29"/>
  <c r="AJ464" i="29" s="1"/>
  <c r="AK464" i="29" s="1"/>
  <c r="X342" i="29"/>
  <c r="Y342" i="29" s="1"/>
  <c r="X334" i="29"/>
  <c r="Y334" i="29" s="1"/>
  <c r="X57" i="29"/>
  <c r="Y57" i="29" s="1"/>
  <c r="AH558" i="29"/>
  <c r="AG38" i="29"/>
  <c r="X141" i="29"/>
  <c r="Y141" i="29" s="1"/>
  <c r="X48" i="29"/>
  <c r="Y48" i="29" s="1"/>
  <c r="X505" i="29"/>
  <c r="Y505" i="29" s="1"/>
  <c r="X233" i="29"/>
  <c r="Y233" i="29" s="1"/>
  <c r="W348" i="29"/>
  <c r="AA348" i="29" s="1"/>
  <c r="X471" i="29"/>
  <c r="Y471" i="29" s="1"/>
  <c r="AH397" i="29"/>
  <c r="X258" i="29"/>
  <c r="Y258" i="29" s="1"/>
  <c r="X293" i="29"/>
  <c r="Y293" i="29" s="1"/>
  <c r="AH605" i="29"/>
  <c r="W116" i="29"/>
  <c r="AH87" i="29"/>
  <c r="W351" i="29"/>
  <c r="AA351" i="29" s="1"/>
  <c r="AH175" i="29"/>
  <c r="AH572" i="29"/>
  <c r="AG230" i="29"/>
  <c r="X35" i="29"/>
  <c r="Y35" i="29" s="1"/>
  <c r="W526" i="29"/>
  <c r="AA526" i="29" s="1"/>
  <c r="W216" i="29"/>
  <c r="AA216" i="29" s="1"/>
  <c r="X377" i="29"/>
  <c r="Y377" i="29" s="1"/>
  <c r="W219" i="29"/>
  <c r="AJ219" i="29" s="1"/>
  <c r="AK219" i="29" s="1"/>
  <c r="W341" i="29"/>
  <c r="AJ341" i="29" s="1"/>
  <c r="AK341" i="29" s="1"/>
  <c r="W289" i="29"/>
  <c r="AJ288" i="29" s="1"/>
  <c r="AK288" i="29" s="1"/>
  <c r="W156" i="29"/>
  <c r="AJ155" i="29" s="1"/>
  <c r="AK155" i="29" s="1"/>
  <c r="W254" i="29"/>
  <c r="AJ254" i="29" s="1"/>
  <c r="AK254" i="29" s="1"/>
  <c r="AH597" i="29"/>
  <c r="AH235" i="29"/>
  <c r="AG513" i="29"/>
  <c r="W187" i="29"/>
  <c r="AA187" i="29" s="1"/>
  <c r="W52" i="29"/>
  <c r="AJ52" i="29" s="1"/>
  <c r="AK52" i="29" s="1"/>
  <c r="W529" i="29"/>
  <c r="AA529" i="29" s="1"/>
  <c r="W587" i="29"/>
  <c r="AA587" i="29" s="1"/>
  <c r="AG246" i="29"/>
  <c r="AG73" i="29"/>
  <c r="X586" i="29"/>
  <c r="Y586" i="29" s="1"/>
  <c r="AH473" i="29"/>
  <c r="AH20" i="29"/>
  <c r="X563" i="29"/>
  <c r="Y563" i="29" s="1"/>
  <c r="AH510" i="29"/>
  <c r="AG530" i="29"/>
  <c r="AG117" i="29"/>
  <c r="AH484" i="29"/>
  <c r="AG104" i="29"/>
  <c r="CB245" i="24"/>
  <c r="CF245" i="24"/>
  <c r="CB139" i="24"/>
  <c r="CF139" i="24"/>
  <c r="X299" i="29"/>
  <c r="Y299" i="29" s="1"/>
  <c r="AH171" i="29"/>
  <c r="AG165" i="29"/>
  <c r="W270" i="29"/>
  <c r="AJ269" i="29" s="1"/>
  <c r="AK269" i="29" s="1"/>
  <c r="AH136" i="29"/>
  <c r="AG390" i="29"/>
  <c r="AG594" i="29"/>
  <c r="W140" i="29"/>
  <c r="AJ140" i="29" s="1"/>
  <c r="AK140" i="29" s="1"/>
  <c r="AH320" i="29"/>
  <c r="X303" i="29"/>
  <c r="Y303" i="29" s="1"/>
  <c r="W347" i="29"/>
  <c r="AH454" i="29"/>
  <c r="W480" i="29"/>
  <c r="AJ479" i="29" s="1"/>
  <c r="AK479" i="29" s="1"/>
  <c r="W222" i="29"/>
  <c r="AA222" i="29" s="1"/>
  <c r="AG194" i="29"/>
  <c r="AG387" i="29"/>
  <c r="W463" i="29"/>
  <c r="AA463" i="29" s="1"/>
  <c r="AH361" i="29"/>
  <c r="X259" i="29"/>
  <c r="Y259" i="29" s="1"/>
  <c r="AG515" i="29"/>
  <c r="AG555" i="29"/>
  <c r="AH96" i="29"/>
  <c r="W25" i="29"/>
  <c r="AA25" i="29" s="1"/>
  <c r="X30" i="29"/>
  <c r="Y30" i="29" s="1"/>
  <c r="W84" i="29"/>
  <c r="AJ84" i="29" s="1"/>
  <c r="AK84" i="29" s="1"/>
  <c r="AG559" i="29"/>
  <c r="W41" i="29"/>
  <c r="AA41" i="29" s="1"/>
  <c r="W210" i="29"/>
  <c r="AA210" i="29" s="1"/>
  <c r="X535" i="29"/>
  <c r="Y535" i="29" s="1"/>
  <c r="W406" i="29"/>
  <c r="AJ406" i="29" s="1"/>
  <c r="AK406" i="29" s="1"/>
  <c r="W422" i="29"/>
  <c r="AA422" i="29" s="1"/>
  <c r="X53" i="29"/>
  <c r="Y53" i="29" s="1"/>
  <c r="AG50" i="29"/>
  <c r="X499" i="29"/>
  <c r="Y499" i="29" s="1"/>
  <c r="X40" i="29"/>
  <c r="Y40" i="29" s="1"/>
  <c r="AG460" i="29"/>
  <c r="W90" i="29"/>
  <c r="AA90" i="29" s="1"/>
  <c r="AH152" i="29"/>
  <c r="X503" i="29"/>
  <c r="Y503" i="29" s="1"/>
  <c r="AH355" i="29"/>
  <c r="W154" i="29"/>
  <c r="AJ154" i="29" s="1"/>
  <c r="AK154" i="29" s="1"/>
  <c r="AH468" i="29"/>
  <c r="AG324" i="29"/>
  <c r="W133" i="29"/>
  <c r="AJ133" i="29" s="1"/>
  <c r="AK133" i="29" s="1"/>
  <c r="AH190" i="29"/>
  <c r="AH295" i="29"/>
  <c r="X162" i="29"/>
  <c r="Y162" i="29" s="1"/>
  <c r="W610" i="29"/>
  <c r="AJ610" i="29" s="1"/>
  <c r="AK610" i="29" s="1"/>
  <c r="X306" i="29"/>
  <c r="Y306" i="29" s="1"/>
  <c r="AH138" i="29"/>
  <c r="AG88" i="29"/>
  <c r="X178" i="29"/>
  <c r="Y178" i="29" s="1"/>
  <c r="X414" i="29"/>
  <c r="Y414" i="29" s="1"/>
  <c r="AG180" i="29"/>
  <c r="X167" i="29"/>
  <c r="Y167" i="29" s="1"/>
  <c r="AG574" i="29"/>
  <c r="AG453" i="29"/>
  <c r="AH443" i="29"/>
  <c r="X402" i="29"/>
  <c r="Y402" i="29" s="1"/>
  <c r="X404" i="29"/>
  <c r="Y404" i="29" s="1"/>
  <c r="AH345" i="29"/>
  <c r="X43" i="29"/>
  <c r="Y43" i="29" s="1"/>
  <c r="X462" i="29"/>
  <c r="Y462" i="29" s="1"/>
  <c r="W448" i="29"/>
  <c r="AJ448" i="29" s="1"/>
  <c r="AK448" i="29" s="1"/>
  <c r="W439" i="29"/>
  <c r="AJ438" i="29" s="1"/>
  <c r="AK438" i="29" s="1"/>
  <c r="W164" i="29"/>
  <c r="AA164" i="29" s="1"/>
  <c r="AH385" i="29"/>
  <c r="X376" i="29"/>
  <c r="Y376" i="29" s="1"/>
  <c r="X274" i="29"/>
  <c r="Y274" i="29" s="1"/>
  <c r="AH236" i="29"/>
  <c r="AG139" i="29"/>
  <c r="AG100" i="29"/>
  <c r="W556" i="29"/>
  <c r="AA556" i="29" s="1"/>
  <c r="W130" i="29"/>
  <c r="AJ129" i="29" s="1"/>
  <c r="AK129" i="29" s="1"/>
  <c r="X497" i="29"/>
  <c r="Y497" i="29" s="1"/>
  <c r="X476" i="29"/>
  <c r="Y476" i="29" s="1"/>
  <c r="AG540" i="29"/>
  <c r="AH346" i="29"/>
  <c r="AH354" i="29"/>
  <c r="CB209" i="24"/>
  <c r="CF209" i="24"/>
  <c r="CB315" i="24"/>
  <c r="CF315" i="24"/>
  <c r="X368" i="29"/>
  <c r="Y368" i="29" s="1"/>
  <c r="X268" i="29"/>
  <c r="Y268" i="29" s="1"/>
  <c r="W401" i="29"/>
  <c r="AJ401" i="29" s="1"/>
  <c r="AK401" i="29" s="1"/>
  <c r="AG33" i="29"/>
  <c r="AG459" i="29"/>
  <c r="W336" i="29"/>
  <c r="AJ336" i="29" s="1"/>
  <c r="AK336" i="29" s="1"/>
  <c r="X554" i="29"/>
  <c r="Y554" i="29" s="1"/>
  <c r="AG86" i="29"/>
  <c r="AH224" i="29"/>
  <c r="X424" i="29"/>
  <c r="Y424" i="29" s="1"/>
  <c r="X101" i="29"/>
  <c r="Y101" i="29" s="1"/>
  <c r="X413" i="29"/>
  <c r="Y413" i="29" s="1"/>
  <c r="AG316" i="29"/>
  <c r="W218" i="29"/>
  <c r="AA218" i="29" s="1"/>
  <c r="X298" i="29"/>
  <c r="Y298" i="29" s="1"/>
  <c r="AH590" i="29"/>
  <c r="AH494" i="29"/>
  <c r="X308" i="29"/>
  <c r="Y308" i="29" s="1"/>
  <c r="X29" i="29"/>
  <c r="Y29" i="29" s="1"/>
  <c r="W170" i="29"/>
  <c r="AA170" i="29" s="1"/>
  <c r="AH486" i="29"/>
  <c r="W177" i="29"/>
  <c r="AA177" i="29" s="1"/>
  <c r="W514" i="29"/>
  <c r="AJ514" i="29" s="1"/>
  <c r="AK514" i="29" s="1"/>
  <c r="AH435" i="29"/>
  <c r="W242" i="29"/>
  <c r="AJ241" i="29" s="1"/>
  <c r="AH546" i="29"/>
  <c r="AH581" i="29"/>
  <c r="AH118" i="29"/>
  <c r="AH239" i="29"/>
  <c r="W474" i="29"/>
  <c r="AA474" i="29" s="1"/>
  <c r="X44" i="29"/>
  <c r="Y44" i="29" s="1"/>
  <c r="AH208" i="29"/>
  <c r="X567" i="29"/>
  <c r="Y567" i="29" s="1"/>
  <c r="AG286" i="29"/>
  <c r="X552" i="29"/>
  <c r="Y552" i="29" s="1"/>
  <c r="W502" i="29"/>
  <c r="AJ501" i="29" s="1"/>
  <c r="AK501" i="29" s="1"/>
  <c r="X428" i="29"/>
  <c r="Y428" i="29" s="1"/>
  <c r="X344" i="29"/>
  <c r="Y344" i="29" s="1"/>
  <c r="AH188" i="29"/>
  <c r="AH467" i="29"/>
  <c r="CB241" i="24"/>
  <c r="CF241" i="24"/>
  <c r="CB284" i="24"/>
  <c r="CF284" i="24"/>
  <c r="CB178" i="24"/>
  <c r="CF178" i="24"/>
  <c r="CB291" i="24"/>
  <c r="CF291" i="24"/>
  <c r="X451" i="29"/>
  <c r="Y451" i="29" s="1"/>
  <c r="CB185" i="24"/>
  <c r="CF185" i="24"/>
  <c r="X329" i="29"/>
  <c r="Y329" i="29" s="1"/>
  <c r="W522" i="29"/>
  <c r="AA522" i="29" s="1"/>
  <c r="AH321" i="29"/>
  <c r="AG565" i="29"/>
  <c r="AG319" i="29"/>
  <c r="W150" i="29"/>
  <c r="AJ150" i="29" s="1"/>
  <c r="AK150" i="29" s="1"/>
  <c r="AH267" i="29"/>
  <c r="AG120" i="29"/>
  <c r="W297" i="29"/>
  <c r="AJ297" i="29" s="1"/>
  <c r="AK297" i="29" s="1"/>
  <c r="W221" i="29"/>
  <c r="AA221" i="29" s="1"/>
  <c r="AG490" i="29"/>
  <c r="X114" i="29"/>
  <c r="Y114" i="29" s="1"/>
  <c r="W412" i="29"/>
  <c r="AJ412" i="29" s="1"/>
  <c r="AK412" i="29" s="1"/>
  <c r="X69" i="29"/>
  <c r="Y69" i="29" s="1"/>
  <c r="AG128" i="29"/>
  <c r="AH39" i="29"/>
  <c r="X479" i="29"/>
  <c r="Y479" i="29" s="1"/>
  <c r="X388" i="29"/>
  <c r="Y388" i="29" s="1"/>
  <c r="AG447" i="29"/>
  <c r="X418" i="29"/>
  <c r="Y418" i="29" s="1"/>
  <c r="X197" i="29"/>
  <c r="Y197" i="29" s="1"/>
  <c r="AG440" i="29"/>
  <c r="W350" i="29"/>
  <c r="W183" i="29"/>
  <c r="AA183" i="29" s="1"/>
  <c r="AG92" i="29"/>
  <c r="AH550" i="29"/>
  <c r="W142" i="29"/>
  <c r="AJ142" i="29" s="1"/>
  <c r="AK142" i="29" s="1"/>
  <c r="AG426" i="29"/>
  <c r="AG527" i="29"/>
  <c r="X364" i="29"/>
  <c r="Y364" i="29" s="1"/>
  <c r="AH28" i="29"/>
  <c r="AG201" i="29"/>
  <c r="X250" i="29"/>
  <c r="Y250" i="29" s="1"/>
  <c r="X272" i="29"/>
  <c r="Y272" i="29" s="1"/>
  <c r="W149" i="29"/>
  <c r="AG264" i="29"/>
  <c r="AG260" i="29"/>
  <c r="AG103" i="29"/>
  <c r="W588" i="29"/>
  <c r="AA588" i="29" s="1"/>
  <c r="AG32" i="29"/>
  <c r="X472" i="29"/>
  <c r="Y472" i="29" s="1"/>
  <c r="AH416" i="29"/>
  <c r="AG398" i="29"/>
  <c r="AH125" i="29"/>
  <c r="X461" i="29"/>
  <c r="Y461" i="29" s="1"/>
  <c r="X281" i="29"/>
  <c r="Y281" i="29" s="1"/>
  <c r="X423" i="29"/>
  <c r="Y423" i="29" s="1"/>
  <c r="X409" i="29"/>
  <c r="Y409" i="29" s="1"/>
  <c r="X548" i="29"/>
  <c r="Y548" i="29" s="1"/>
  <c r="X378" i="29"/>
  <c r="Y378" i="29" s="1"/>
  <c r="AG455" i="29"/>
  <c r="AG561" i="29"/>
  <c r="AH482" i="29"/>
  <c r="W356" i="29"/>
  <c r="AJ355" i="29" s="1"/>
  <c r="AK355" i="29" s="1"/>
  <c r="W410" i="29"/>
  <c r="AA410" i="29" s="1"/>
  <c r="W528" i="29"/>
  <c r="X395" i="29"/>
  <c r="Y395" i="29" s="1"/>
  <c r="AG119" i="29"/>
  <c r="AH76" i="29"/>
  <c r="X593" i="29"/>
  <c r="Y593" i="29" s="1"/>
  <c r="AH237" i="29"/>
  <c r="AH538" i="29"/>
  <c r="W383" i="29"/>
  <c r="AJ383" i="29" s="1"/>
  <c r="AK383" i="29" s="1"/>
  <c r="W312" i="29"/>
  <c r="AJ311" i="29" s="1"/>
  <c r="W251" i="29"/>
  <c r="AA251" i="29" s="1"/>
  <c r="AG489" i="29"/>
  <c r="AG366" i="29"/>
  <c r="AH438" i="29"/>
  <c r="AH403" i="29"/>
  <c r="AG112" i="29"/>
  <c r="AG277" i="29"/>
  <c r="W430" i="29"/>
  <c r="AA430" i="29" s="1"/>
  <c r="AG583" i="29"/>
  <c r="AG72" i="29"/>
  <c r="AG232" i="29"/>
  <c r="X575" i="29"/>
  <c r="Y575" i="29" s="1"/>
  <c r="AH135" i="29"/>
  <c r="AG520" i="29"/>
  <c r="W23" i="29"/>
  <c r="AA23" i="29" s="1"/>
  <c r="AH77" i="29"/>
  <c r="X273" i="29"/>
  <c r="Y273" i="29" s="1"/>
  <c r="W132" i="29"/>
  <c r="AA132" i="29" s="1"/>
  <c r="AG569" i="29"/>
  <c r="AH283" i="29"/>
  <c r="AH446" i="29"/>
  <c r="W434" i="29"/>
  <c r="AA434" i="29" s="1"/>
  <c r="X469" i="29"/>
  <c r="Y469" i="29" s="1"/>
  <c r="AH592" i="29"/>
  <c r="X262" i="29"/>
  <c r="Y262" i="29" s="1"/>
  <c r="X94" i="29"/>
  <c r="Y94" i="29" s="1"/>
  <c r="W301" i="29"/>
  <c r="AJ301" i="29" s="1"/>
  <c r="AK301" i="29" s="1"/>
  <c r="AH275" i="29"/>
  <c r="W240" i="29"/>
  <c r="AJ240" i="29" s="1"/>
  <c r="AK240" i="29" s="1"/>
  <c r="W432" i="29"/>
  <c r="AA432" i="29" s="1"/>
  <c r="AG146" i="29"/>
  <c r="AG157" i="29"/>
  <c r="AH65" i="29"/>
  <c r="AG449" i="29"/>
  <c r="X411" i="29"/>
  <c r="Y411" i="29" s="1"/>
  <c r="AG143" i="29"/>
  <c r="W199" i="29"/>
  <c r="AA199" i="29" s="1"/>
  <c r="W375" i="29"/>
  <c r="AJ375" i="29" s="1"/>
  <c r="AK375" i="29" s="1"/>
  <c r="AG524" i="29"/>
  <c r="AG202" i="29"/>
  <c r="AG145" i="29"/>
  <c r="X436" i="29"/>
  <c r="Y436" i="29" s="1"/>
  <c r="X129" i="29"/>
  <c r="Y129" i="29" s="1"/>
  <c r="AG290" i="29"/>
  <c r="W75" i="29"/>
  <c r="AJ75" i="29" s="1"/>
  <c r="AK75" i="29" s="1"/>
  <c r="AG523" i="29"/>
  <c r="W542" i="29"/>
  <c r="AA542" i="29" s="1"/>
  <c r="AH481" i="29"/>
  <c r="X307" i="29"/>
  <c r="Y307" i="29" s="1"/>
  <c r="AH407" i="29"/>
  <c r="X51" i="29"/>
  <c r="Y51" i="29" s="1"/>
  <c r="AG244" i="29"/>
  <c r="W56" i="29"/>
  <c r="AA56" i="29" s="1"/>
  <c r="X539" i="29"/>
  <c r="Y539" i="29" s="1"/>
  <c r="X228" i="29"/>
  <c r="Y228" i="29" s="1"/>
  <c r="AH249" i="29"/>
  <c r="X21" i="29"/>
  <c r="Y21" i="29" s="1"/>
  <c r="AG172" i="29"/>
  <c r="W91" i="29"/>
  <c r="W573" i="29"/>
  <c r="AJ573" i="29" s="1"/>
  <c r="AK573" i="29" s="1"/>
  <c r="AG500" i="29"/>
  <c r="W315" i="29"/>
  <c r="AA315" i="29" s="1"/>
  <c r="W492" i="29"/>
  <c r="W305" i="29"/>
  <c r="AJ305" i="29" s="1"/>
  <c r="AK305" i="29" s="1"/>
  <c r="AG195" i="29"/>
  <c r="AG265" i="29"/>
  <c r="AH392" i="29"/>
  <c r="W99" i="29"/>
  <c r="AJ99" i="29" s="1"/>
  <c r="AK99" i="29" s="1"/>
  <c r="X263" i="29"/>
  <c r="Y263" i="29" s="1"/>
  <c r="X14" i="29"/>
  <c r="Y14" i="29" s="1"/>
  <c r="X579" i="29"/>
  <c r="Y579" i="29" s="1"/>
  <c r="AH394" i="29"/>
  <c r="W179" i="29"/>
  <c r="AJ178" i="29" s="1"/>
  <c r="AK178" i="29" s="1"/>
  <c r="X211" i="29"/>
  <c r="Y211" i="29" s="1"/>
  <c r="X160" i="29"/>
  <c r="Y160" i="29" s="1"/>
  <c r="X487" i="29"/>
  <c r="Y487" i="29" s="1"/>
  <c r="X399" i="29"/>
  <c r="Y399" i="29" s="1"/>
  <c r="W382" i="29"/>
  <c r="AJ381" i="29" s="1"/>
  <c r="AK381" i="29" s="1"/>
  <c r="X519" i="29"/>
  <c r="Y519" i="29" s="1"/>
  <c r="X517" i="29"/>
  <c r="Y517" i="29" s="1"/>
  <c r="AG226" i="29"/>
  <c r="AH102" i="29"/>
  <c r="W15" i="29"/>
  <c r="AA15" i="29" s="1"/>
  <c r="W278" i="29"/>
  <c r="AJ277" i="29" s="1"/>
  <c r="AK277" i="29" s="1"/>
  <c r="AG314" i="29"/>
  <c r="AG255" i="29"/>
  <c r="W280" i="29"/>
  <c r="AA280" i="29" s="1"/>
  <c r="AG381" i="29"/>
  <c r="X496" i="29"/>
  <c r="Y496" i="29" s="1"/>
  <c r="W335" i="29"/>
  <c r="W353" i="29"/>
  <c r="AA353" i="29" s="1"/>
  <c r="AH386" i="29"/>
  <c r="AH427" i="29"/>
  <c r="W595" i="29"/>
  <c r="AA595" i="29" s="1"/>
  <c r="X570" i="29"/>
  <c r="Y570" i="29" s="1"/>
  <c r="X419" i="29"/>
  <c r="Y419" i="29" s="1"/>
  <c r="W450" i="29"/>
  <c r="AJ450" i="29" s="1"/>
  <c r="AK450" i="29" s="1"/>
  <c r="AH313" i="29"/>
  <c r="W213" i="29"/>
  <c r="AA213" i="29" s="1"/>
  <c r="X600" i="29"/>
  <c r="Y600" i="29" s="1"/>
  <c r="AG568" i="29"/>
  <c r="AH196" i="29"/>
  <c r="AH47" i="29"/>
  <c r="X68" i="29"/>
  <c r="Y68" i="29" s="1"/>
  <c r="W245" i="29"/>
  <c r="AJ245" i="29" s="1"/>
  <c r="AK245" i="29" s="1"/>
  <c r="AH131" i="29"/>
  <c r="X126" i="29"/>
  <c r="Y126" i="29" s="1"/>
  <c r="X396" i="29"/>
  <c r="Y396" i="29" s="1"/>
  <c r="AH134" i="29"/>
  <c r="W421" i="29"/>
  <c r="X36" i="29"/>
  <c r="Y36" i="29" s="1"/>
  <c r="X458" i="29"/>
  <c r="Y458" i="29" s="1"/>
  <c r="AG318" i="29"/>
  <c r="AH405" i="29"/>
  <c r="AG209" i="29"/>
  <c r="AH456" i="29"/>
  <c r="AH243" i="29"/>
  <c r="X601" i="29"/>
  <c r="Y601" i="29" s="1"/>
  <c r="AG121" i="29"/>
  <c r="W444" i="29"/>
  <c r="AJ443" i="29" s="1"/>
  <c r="AK443" i="29" s="1"/>
  <c r="AG389" i="29"/>
  <c r="AG518" i="29"/>
  <c r="W310" i="29"/>
  <c r="AJ310" i="29" s="1"/>
  <c r="AK310" i="29" s="1"/>
  <c r="X67" i="29"/>
  <c r="Y67" i="29" s="1"/>
  <c r="X215" i="29"/>
  <c r="Y215" i="29" s="1"/>
  <c r="W37" i="29"/>
  <c r="AJ36" i="29" s="1"/>
  <c r="AK36" i="29" s="1"/>
  <c r="X191" i="29"/>
  <c r="Y191" i="29" s="1"/>
  <c r="W525" i="29"/>
  <c r="AH506" i="29"/>
  <c r="X425" i="29"/>
  <c r="Y425" i="29" s="1"/>
  <c r="X282" i="29"/>
  <c r="Y282" i="29" s="1"/>
  <c r="AG504" i="29"/>
  <c r="W369" i="29"/>
  <c r="AA369" i="29" s="1"/>
  <c r="X311" i="29"/>
  <c r="Y311" i="29" s="1"/>
  <c r="X227" i="29"/>
  <c r="Y227" i="29" s="1"/>
  <c r="AH27" i="29"/>
  <c r="AG173" i="29"/>
  <c r="AG55" i="29"/>
  <c r="W26" i="29"/>
  <c r="X83" i="29"/>
  <c r="Y83" i="29" s="1"/>
  <c r="AG158" i="29"/>
  <c r="AH16" i="29"/>
  <c r="X182" i="29"/>
  <c r="Y182" i="29" s="1"/>
  <c r="W533" i="29"/>
  <c r="AJ532" i="29" s="1"/>
  <c r="AK532" i="29" s="1"/>
  <c r="W200" i="29"/>
  <c r="AJ200" i="29" s="1"/>
  <c r="AK200" i="29" s="1"/>
  <c r="X372" i="29"/>
  <c r="Y372" i="29" s="1"/>
  <c r="AH300" i="29"/>
  <c r="X549" i="29"/>
  <c r="Y549" i="29" s="1"/>
  <c r="AH95" i="29"/>
  <c r="X420" i="29"/>
  <c r="Y420" i="29" s="1"/>
  <c r="AG31" i="29"/>
  <c r="X491" i="29"/>
  <c r="Y491" i="29" s="1"/>
  <c r="AG287" i="29"/>
  <c r="W531" i="29"/>
  <c r="AJ531" i="29" s="1"/>
  <c r="AK531" i="29" s="1"/>
  <c r="X607" i="29"/>
  <c r="Y607" i="29" s="1"/>
  <c r="AH545" i="29"/>
  <c r="X62" i="29"/>
  <c r="Y62" i="29" s="1"/>
  <c r="X269" i="29"/>
  <c r="Y269" i="29" s="1"/>
  <c r="CB170" i="25"/>
  <c r="CF170" i="25"/>
  <c r="CB170" i="24"/>
  <c r="CF170" i="24"/>
  <c r="CB276" i="24"/>
  <c r="CF276" i="24"/>
  <c r="W360" i="29"/>
  <c r="AJ359" i="29" s="1"/>
  <c r="AK359" i="29" s="1"/>
  <c r="CB166" i="24"/>
  <c r="CF166" i="24"/>
  <c r="CB272" i="24"/>
  <c r="CF272" i="24"/>
  <c r="CB102" i="24"/>
  <c r="CF102" i="24"/>
  <c r="W441" i="29"/>
  <c r="AA441" i="29" s="1"/>
  <c r="CB92" i="25"/>
  <c r="CF92" i="25"/>
  <c r="CB92" i="24"/>
  <c r="CF92" i="24"/>
  <c r="AH176" i="29"/>
  <c r="W82" i="29"/>
  <c r="AA82" i="29" s="1"/>
  <c r="AG564" i="29"/>
  <c r="AG296" i="29"/>
  <c r="W431" i="29"/>
  <c r="AA431" i="29" s="1"/>
  <c r="X247" i="29"/>
  <c r="Y247" i="29" s="1"/>
  <c r="CB268" i="24"/>
  <c r="CF268" i="24"/>
  <c r="CB157" i="24"/>
  <c r="CF157" i="24"/>
  <c r="CB263" i="24"/>
  <c r="CF263" i="24"/>
  <c r="CB79" i="24"/>
  <c r="CF79" i="24"/>
  <c r="CB274" i="24"/>
  <c r="CF274" i="24"/>
  <c r="CB168" i="24"/>
  <c r="CF168" i="24"/>
  <c r="CB285" i="24"/>
  <c r="CF285" i="24"/>
  <c r="CB179" i="24"/>
  <c r="CF179" i="24"/>
  <c r="W495" i="29"/>
  <c r="AJ494" i="29" s="1"/>
  <c r="AK494" i="29" s="1"/>
  <c r="X288" i="29"/>
  <c r="Y288" i="29" s="1"/>
  <c r="AG534" i="29"/>
  <c r="BY237" i="25"/>
  <c r="CA237" i="25" s="1"/>
  <c r="CB237" i="25" s="1"/>
  <c r="BL237" i="25"/>
  <c r="BK237" i="25"/>
  <c r="AT212" i="25"/>
  <c r="AY212" i="25" s="1"/>
  <c r="AU212" i="25"/>
  <c r="BY77" i="25"/>
  <c r="CA77" i="25" s="1"/>
  <c r="BL77" i="25"/>
  <c r="CB173" i="24"/>
  <c r="CF173" i="24"/>
  <c r="CB74" i="24"/>
  <c r="CF74" i="24"/>
  <c r="AA599" i="29"/>
  <c r="AJ58" i="29"/>
  <c r="AK58" i="29" s="1"/>
  <c r="AA59" i="29"/>
  <c r="AA201" i="29"/>
  <c r="BY72" i="25"/>
  <c r="CA72" i="25" s="1"/>
  <c r="BL72" i="25"/>
  <c r="AA325" i="29"/>
  <c r="AJ324" i="29"/>
  <c r="AK324" i="29" s="1"/>
  <c r="BL146" i="25"/>
  <c r="BY146" i="25"/>
  <c r="CA146" i="25" s="1"/>
  <c r="CB146" i="25" s="1"/>
  <c r="BK146" i="25"/>
  <c r="AA460" i="29"/>
  <c r="AJ459" i="29"/>
  <c r="AK459" i="29" s="1"/>
  <c r="AJ54" i="29"/>
  <c r="AK54" i="29" s="1"/>
  <c r="AA55" i="29"/>
  <c r="BL41" i="25"/>
  <c r="BY41" i="25"/>
  <c r="CA41" i="25" s="1"/>
  <c r="CB41" i="25" s="1"/>
  <c r="AJ119" i="29"/>
  <c r="AK119" i="29" s="1"/>
  <c r="AA120" i="29"/>
  <c r="AA445" i="29"/>
  <c r="AJ258" i="29"/>
  <c r="AK258" i="29" s="1"/>
  <c r="AA259" i="29"/>
  <c r="AA148" i="29"/>
  <c r="BL125" i="25"/>
  <c r="BY125" i="25"/>
  <c r="CA125" i="25" s="1"/>
  <c r="BK125" i="25"/>
  <c r="AA490" i="29"/>
  <c r="AJ489" i="29"/>
  <c r="AK489" i="29" s="1"/>
  <c r="AA435" i="29"/>
  <c r="AA277" i="29"/>
  <c r="AJ276" i="29"/>
  <c r="AK276" i="29" s="1"/>
  <c r="AJ214" i="29"/>
  <c r="AK214" i="29" s="1"/>
  <c r="AA215" i="29"/>
  <c r="AA246" i="29"/>
  <c r="AA596" i="29"/>
  <c r="AA63" i="29"/>
  <c r="AJ62" i="29"/>
  <c r="AK62" i="29" s="1"/>
  <c r="AA521" i="29"/>
  <c r="AJ520" i="29"/>
  <c r="AK520" i="29" s="1"/>
  <c r="BY119" i="25"/>
  <c r="CA119" i="25" s="1"/>
  <c r="BL119" i="25"/>
  <c r="BK119" i="25"/>
  <c r="AJ202" i="29"/>
  <c r="AK202" i="29" s="1"/>
  <c r="AA203" i="29"/>
  <c r="BN316" i="24"/>
  <c r="AJ313" i="29"/>
  <c r="AK313" i="29" s="1"/>
  <c r="AA314" i="29"/>
  <c r="AJ339" i="29"/>
  <c r="AK339" i="29" s="1"/>
  <c r="AA340" i="29"/>
  <c r="AA38" i="29"/>
  <c r="AA64" i="29"/>
  <c r="AJ63" i="29"/>
  <c r="AK63" i="29" s="1"/>
  <c r="AJ168" i="29"/>
  <c r="AK168" i="29" s="1"/>
  <c r="AA169" i="29"/>
  <c r="AA224" i="29"/>
  <c r="AA211" i="29"/>
  <c r="AJ30" i="29"/>
  <c r="AK30" i="29" s="1"/>
  <c r="AA31" i="29"/>
  <c r="BL75" i="25"/>
  <c r="BY75" i="25"/>
  <c r="CA75" i="25" s="1"/>
  <c r="CB75" i="25" s="1"/>
  <c r="BY163" i="25"/>
  <c r="CA163" i="25" s="1"/>
  <c r="BL163" i="25"/>
  <c r="BK163" i="25"/>
  <c r="BY24" i="25"/>
  <c r="CA24" i="25" s="1"/>
  <c r="CB24" i="25" s="1"/>
  <c r="BL24" i="25"/>
  <c r="AA100" i="29"/>
  <c r="AA576" i="29"/>
  <c r="AJ575" i="29"/>
  <c r="AK575" i="29" s="1"/>
  <c r="AA306" i="29"/>
  <c r="AA67" i="29"/>
  <c r="AJ66" i="29"/>
  <c r="AK66" i="29" s="1"/>
  <c r="BY23" i="25"/>
  <c r="CA23" i="25" s="1"/>
  <c r="CB23" i="25" s="1"/>
  <c r="BL23" i="25"/>
  <c r="BL39" i="25"/>
  <c r="BY39" i="25"/>
  <c r="CA39" i="25" s="1"/>
  <c r="CB39" i="25" s="1"/>
  <c r="AA481" i="29"/>
  <c r="AA69" i="29"/>
  <c r="AJ68" i="29"/>
  <c r="AK68" i="29" s="1"/>
  <c r="BY150" i="25"/>
  <c r="CA150" i="25" s="1"/>
  <c r="CB150" i="25" s="1"/>
  <c r="BL150" i="25"/>
  <c r="BK150" i="25"/>
  <c r="BY142" i="25"/>
  <c r="CA142" i="25" s="1"/>
  <c r="CB142" i="25" s="1"/>
  <c r="BL142" i="25"/>
  <c r="BK142" i="25"/>
  <c r="AA403" i="29"/>
  <c r="AJ402" i="29"/>
  <c r="AK402" i="29" s="1"/>
  <c r="AA241" i="29"/>
  <c r="AA496" i="29"/>
  <c r="AJ78" i="29"/>
  <c r="AK78" i="29" s="1"/>
  <c r="AA79" i="29"/>
  <c r="AA497" i="29"/>
  <c r="AJ496" i="29"/>
  <c r="AK496" i="29" s="1"/>
  <c r="AJ596" i="29"/>
  <c r="AK596" i="29" s="1"/>
  <c r="AA597" i="29"/>
  <c r="AA565" i="29"/>
  <c r="AJ564" i="29"/>
  <c r="AK564" i="29" s="1"/>
  <c r="AA184" i="29"/>
  <c r="AJ159" i="29"/>
  <c r="AK159" i="29" s="1"/>
  <c r="AA160" i="29"/>
  <c r="BY85" i="25"/>
  <c r="CA85" i="25" s="1"/>
  <c r="CB85" i="25" s="1"/>
  <c r="BL85" i="25"/>
  <c r="BL300" i="25"/>
  <c r="BY300" i="25"/>
  <c r="CA300" i="25" s="1"/>
  <c r="CB300" i="25" s="1"/>
  <c r="BK300" i="25"/>
  <c r="AJ262" i="29"/>
  <c r="AK262" i="29" s="1"/>
  <c r="AA263" i="29"/>
  <c r="BL294" i="25"/>
  <c r="BY294" i="25"/>
  <c r="CA294" i="25" s="1"/>
  <c r="CB294" i="25" s="1"/>
  <c r="BK294" i="25"/>
  <c r="AA519" i="29"/>
  <c r="AJ518" i="29"/>
  <c r="AK518" i="29" s="1"/>
  <c r="AA361" i="29"/>
  <c r="AJ76" i="29"/>
  <c r="AK76" i="29" s="1"/>
  <c r="AA77" i="29"/>
  <c r="AA582" i="29"/>
  <c r="AJ581" i="29"/>
  <c r="AK581" i="29" s="1"/>
  <c r="AA264" i="29"/>
  <c r="AJ263" i="29"/>
  <c r="AK263" i="29" s="1"/>
  <c r="BL175" i="25"/>
  <c r="BY175" i="25"/>
  <c r="CA175" i="25" s="1"/>
  <c r="BK175" i="25"/>
  <c r="AA205" i="29"/>
  <c r="AJ204" i="29"/>
  <c r="AK204" i="29" s="1"/>
  <c r="BL53" i="25"/>
  <c r="BY53" i="25"/>
  <c r="CA53" i="25" s="1"/>
  <c r="CB53" i="25" s="1"/>
  <c r="AJ196" i="29"/>
  <c r="AK196" i="29" s="1"/>
  <c r="AA197" i="29"/>
  <c r="AA320" i="29"/>
  <c r="AJ319" i="29"/>
  <c r="AK319" i="29" s="1"/>
  <c r="AA311" i="29"/>
  <c r="AJ86" i="29"/>
  <c r="AK86" i="29" s="1"/>
  <c r="AA87" i="29"/>
  <c r="BL217" i="25"/>
  <c r="BY217" i="25"/>
  <c r="CA217" i="25" s="1"/>
  <c r="CB217" i="25" s="1"/>
  <c r="BK217" i="25"/>
  <c r="BY67" i="25"/>
  <c r="CA67" i="25" s="1"/>
  <c r="CB67" i="25" s="1"/>
  <c r="BL67" i="25"/>
  <c r="CB97" i="25"/>
  <c r="CF97" i="25"/>
  <c r="AJ285" i="29"/>
  <c r="AK285" i="29" s="1"/>
  <c r="AA286" i="29"/>
  <c r="AJ192" i="29"/>
  <c r="AK192" i="29" s="1"/>
  <c r="AA193" i="29"/>
  <c r="BL286" i="25"/>
  <c r="BY286" i="25"/>
  <c r="CA286" i="25" s="1"/>
  <c r="CB286" i="25" s="1"/>
  <c r="BK286" i="25"/>
  <c r="BL250" i="25"/>
  <c r="BY250" i="25"/>
  <c r="CA250" i="25" s="1"/>
  <c r="CB250" i="25" s="1"/>
  <c r="BK250" i="25"/>
  <c r="AA95" i="29"/>
  <c r="AJ94" i="29"/>
  <c r="BL83" i="25"/>
  <c r="BY83" i="25"/>
  <c r="CA83" i="25" s="1"/>
  <c r="CB83" i="25" s="1"/>
  <c r="BY284" i="25"/>
  <c r="CA284" i="25" s="1"/>
  <c r="CB284" i="25" s="1"/>
  <c r="BL284" i="25"/>
  <c r="BK284" i="25"/>
  <c r="AJ424" i="29"/>
  <c r="AK424" i="29" s="1"/>
  <c r="AA425" i="29"/>
  <c r="AA416" i="29"/>
  <c r="AJ415" i="29"/>
  <c r="AK415" i="29" s="1"/>
  <c r="AJ392" i="29"/>
  <c r="AK392" i="29" s="1"/>
  <c r="AA393" i="29"/>
  <c r="BY133" i="25"/>
  <c r="CA133" i="25" s="1"/>
  <c r="CB133" i="25" s="1"/>
  <c r="BL133" i="25"/>
  <c r="BK133" i="25"/>
  <c r="BL47" i="25"/>
  <c r="BY47" i="25"/>
  <c r="CA47" i="25" s="1"/>
  <c r="CB47" i="25" s="1"/>
  <c r="AA50" i="29"/>
  <c r="AA195" i="29"/>
  <c r="AJ194" i="29"/>
  <c r="AK194" i="29" s="1"/>
  <c r="BY80" i="25"/>
  <c r="CA80" i="25" s="1"/>
  <c r="BL80" i="25"/>
  <c r="BL225" i="25"/>
  <c r="BY225" i="25"/>
  <c r="CA225" i="25" s="1"/>
  <c r="CB225" i="25" s="1"/>
  <c r="BK225" i="25"/>
  <c r="AJ371" i="29"/>
  <c r="AK371" i="29" s="1"/>
  <c r="AA372" i="29"/>
  <c r="AA43" i="29"/>
  <c r="AJ42" i="29"/>
  <c r="AK42" i="29" s="1"/>
  <c r="AA398" i="29"/>
  <c r="AJ397" i="29"/>
  <c r="AK397" i="29" s="1"/>
  <c r="BY65" i="25"/>
  <c r="CA65" i="25" s="1"/>
  <c r="BL65" i="25"/>
  <c r="BY43" i="25"/>
  <c r="CA43" i="25" s="1"/>
  <c r="CB43" i="25" s="1"/>
  <c r="BL43" i="25"/>
  <c r="AA611" i="29"/>
  <c r="AJ404" i="29"/>
  <c r="AK404" i="29" s="1"/>
  <c r="AA405" i="29"/>
  <c r="AA592" i="29"/>
  <c r="AJ591" i="29"/>
  <c r="AK591" i="29" s="1"/>
  <c r="BY220" i="25"/>
  <c r="CA220" i="25" s="1"/>
  <c r="CB220" i="25" s="1"/>
  <c r="BL220" i="25"/>
  <c r="BK220" i="25"/>
  <c r="AA342" i="29"/>
  <c r="BL144" i="25"/>
  <c r="BY144" i="25"/>
  <c r="CA144" i="25" s="1"/>
  <c r="CB144" i="25" s="1"/>
  <c r="BK144" i="25"/>
  <c r="AA399" i="29"/>
  <c r="AJ398" i="29"/>
  <c r="AK398" i="29" s="1"/>
  <c r="AA359" i="29"/>
  <c r="AJ358" i="29"/>
  <c r="AK358" i="29" s="1"/>
  <c r="AA358" i="29"/>
  <c r="BY36" i="25"/>
  <c r="CA36" i="25" s="1"/>
  <c r="CB36" i="25" s="1"/>
  <c r="BL36" i="25"/>
  <c r="AA475" i="29"/>
  <c r="BL252" i="25"/>
  <c r="BY252" i="25"/>
  <c r="CA252" i="25" s="1"/>
  <c r="CB252" i="25" s="1"/>
  <c r="BK252" i="25"/>
  <c r="BY260" i="25"/>
  <c r="CA260" i="25" s="1"/>
  <c r="CB260" i="25" s="1"/>
  <c r="BL260" i="25"/>
  <c r="BK260" i="25"/>
  <c r="AJ396" i="29"/>
  <c r="AK396" i="29" s="1"/>
  <c r="AA397" i="29"/>
  <c r="BL69" i="25"/>
  <c r="BY69" i="25"/>
  <c r="CA69" i="25" s="1"/>
  <c r="CB69" i="25" s="1"/>
  <c r="BL194" i="25"/>
  <c r="BY194" i="25"/>
  <c r="CA194" i="25" s="1"/>
  <c r="BK194" i="25"/>
  <c r="BY187" i="25"/>
  <c r="CA187" i="25" s="1"/>
  <c r="CB187" i="25" s="1"/>
  <c r="BL187" i="25"/>
  <c r="BK187" i="25"/>
  <c r="BY234" i="25"/>
  <c r="CA234" i="25" s="1"/>
  <c r="CB234" i="25" s="1"/>
  <c r="BL234" i="25"/>
  <c r="BK234" i="25"/>
  <c r="AJ338" i="29"/>
  <c r="AK338" i="29" s="1"/>
  <c r="AA339" i="29"/>
  <c r="BL315" i="25"/>
  <c r="BY315" i="25"/>
  <c r="CA315" i="25" s="1"/>
  <c r="CB315" i="25" s="1"/>
  <c r="BK315" i="25"/>
  <c r="AA134" i="29"/>
  <c r="AJ27" i="29"/>
  <c r="AK27" i="29" s="1"/>
  <c r="AA28" i="29"/>
  <c r="AJ515" i="29"/>
  <c r="AK515" i="29" s="1"/>
  <c r="AA516" i="29"/>
  <c r="AJ386" i="29"/>
  <c r="AK386" i="29" s="1"/>
  <c r="AA387" i="29"/>
  <c r="BY278" i="25"/>
  <c r="CA278" i="25" s="1"/>
  <c r="CB278" i="25" s="1"/>
  <c r="BL278" i="25"/>
  <c r="BK278" i="25"/>
  <c r="BL130" i="25"/>
  <c r="BY130" i="25"/>
  <c r="CA130" i="25" s="1"/>
  <c r="BK130" i="25"/>
  <c r="AA125" i="29"/>
  <c r="AJ124" i="29"/>
  <c r="AK124" i="29" s="1"/>
  <c r="BY73" i="25"/>
  <c r="CA73" i="25" s="1"/>
  <c r="CB73" i="25" s="1"/>
  <c r="BL73" i="25"/>
  <c r="BL193" i="25"/>
  <c r="BY193" i="25"/>
  <c r="CA193" i="25" s="1"/>
  <c r="BK193" i="25"/>
  <c r="BL169" i="25"/>
  <c r="BY169" i="25"/>
  <c r="CA169" i="25" s="1"/>
  <c r="BK169" i="25"/>
  <c r="AJ613" i="29"/>
  <c r="AK613" i="29" s="1"/>
  <c r="AA613" i="29"/>
  <c r="AJ612" i="29"/>
  <c r="AK612" i="29" s="1"/>
  <c r="BY203" i="25"/>
  <c r="CA203" i="25" s="1"/>
  <c r="BL203" i="25"/>
  <c r="BK203" i="25"/>
  <c r="BL263" i="25"/>
  <c r="BY263" i="25"/>
  <c r="CA263" i="25" s="1"/>
  <c r="CB263" i="25" s="1"/>
  <c r="BK263" i="25"/>
  <c r="AA204" i="29"/>
  <c r="AJ203" i="29"/>
  <c r="AK203" i="29" s="1"/>
  <c r="AJ505" i="29"/>
  <c r="AK505" i="29" s="1"/>
  <c r="AA506" i="29"/>
  <c r="AJ560" i="29"/>
  <c r="AK560" i="29" s="1"/>
  <c r="AA561" i="29"/>
  <c r="AJ126" i="29"/>
  <c r="AA127" i="29"/>
  <c r="AA180" i="29"/>
  <c r="BL102" i="25"/>
  <c r="BY102" i="25"/>
  <c r="CA102" i="25" s="1"/>
  <c r="AJ243" i="29"/>
  <c r="AK243" i="29" s="1"/>
  <c r="AA244" i="29"/>
  <c r="AJ157" i="29"/>
  <c r="AK157" i="29" s="1"/>
  <c r="AA158" i="29"/>
  <c r="AJ80" i="29"/>
  <c r="AA81" i="29"/>
  <c r="BY245" i="25"/>
  <c r="CA245" i="25" s="1"/>
  <c r="CB245" i="25" s="1"/>
  <c r="BL245" i="25"/>
  <c r="BK245" i="25"/>
  <c r="AJ418" i="29"/>
  <c r="AK418" i="29" s="1"/>
  <c r="AA419" i="29"/>
  <c r="BL168" i="25"/>
  <c r="BY168" i="25"/>
  <c r="CA168" i="25" s="1"/>
  <c r="BK168" i="25"/>
  <c r="AJ593" i="29"/>
  <c r="AK593" i="29" s="1"/>
  <c r="AA594" i="29"/>
  <c r="BY122" i="25"/>
  <c r="CA122" i="25" s="1"/>
  <c r="BL122" i="25"/>
  <c r="BK122" i="25"/>
  <c r="BY209" i="25"/>
  <c r="CA209" i="25" s="1"/>
  <c r="BL209" i="25"/>
  <c r="BK209" i="25"/>
  <c r="AA572" i="29"/>
  <c r="AA39" i="29"/>
  <c r="AJ38" i="29"/>
  <c r="AK38" i="29" s="1"/>
  <c r="AJ237" i="29"/>
  <c r="AK237" i="29" s="1"/>
  <c r="AA238" i="29"/>
  <c r="AA560" i="29"/>
  <c r="AJ559" i="29"/>
  <c r="AK559" i="29" s="1"/>
  <c r="BL310" i="25"/>
  <c r="BY310" i="25"/>
  <c r="CA310" i="25" s="1"/>
  <c r="CB310" i="25" s="1"/>
  <c r="BK310" i="25"/>
  <c r="AA53" i="29"/>
  <c r="AJ275" i="29"/>
  <c r="AK275" i="29" s="1"/>
  <c r="AA276" i="29"/>
  <c r="AJ28" i="29"/>
  <c r="AK28" i="29" s="1"/>
  <c r="AA29" i="29"/>
  <c r="BY118" i="25"/>
  <c r="CA118" i="25" s="1"/>
  <c r="BL118" i="25"/>
  <c r="BK118" i="25"/>
  <c r="AA489" i="29"/>
  <c r="AJ488" i="29"/>
  <c r="AK488" i="29" s="1"/>
  <c r="AA33" i="29"/>
  <c r="AJ32" i="29"/>
  <c r="AK32" i="29" s="1"/>
  <c r="AA68" i="29"/>
  <c r="AJ67" i="29"/>
  <c r="AK67" i="29" s="1"/>
  <c r="AA146" i="29"/>
  <c r="AJ145" i="29"/>
  <c r="AK145" i="29" s="1"/>
  <c r="AA85" i="29"/>
  <c r="BY316" i="25"/>
  <c r="CA316" i="25" s="1"/>
  <c r="CB316" i="25" s="1"/>
  <c r="BL316" i="25"/>
  <c r="BK316" i="25"/>
  <c r="BL176" i="25"/>
  <c r="BY176" i="25"/>
  <c r="CA176" i="25" s="1"/>
  <c r="BK176" i="25"/>
  <c r="BY35" i="25"/>
  <c r="CA35" i="25" s="1"/>
  <c r="CB35" i="25" s="1"/>
  <c r="BL35" i="25"/>
  <c r="AA577" i="29"/>
  <c r="AJ576" i="29"/>
  <c r="AK576" i="29" s="1"/>
  <c r="AA402" i="29"/>
  <c r="BL98" i="25"/>
  <c r="BY98" i="25"/>
  <c r="CA98" i="25" s="1"/>
  <c r="AJ292" i="29"/>
  <c r="AK292" i="29" s="1"/>
  <c r="AA293" i="29"/>
  <c r="AJ577" i="29"/>
  <c r="AK577" i="29" s="1"/>
  <c r="AA578" i="29"/>
  <c r="AA272" i="29"/>
  <c r="AJ271" i="29"/>
  <c r="AK271" i="29" s="1"/>
  <c r="AJ302" i="29"/>
  <c r="AK302" i="29" s="1"/>
  <c r="AA303" i="29"/>
  <c r="BY256" i="25"/>
  <c r="CA256" i="25" s="1"/>
  <c r="CB256" i="25" s="1"/>
  <c r="BL256" i="25"/>
  <c r="BK256" i="25"/>
  <c r="AA499" i="29"/>
  <c r="AA257" i="29"/>
  <c r="AJ256" i="29"/>
  <c r="AK256" i="29" s="1"/>
  <c r="AJ391" i="29"/>
  <c r="AK391" i="29" s="1"/>
  <c r="AA392" i="29"/>
  <c r="AJ247" i="29"/>
  <c r="AK247" i="29" s="1"/>
  <c r="AA248" i="29"/>
  <c r="BL50" i="25"/>
  <c r="BY50" i="25"/>
  <c r="CA50" i="25" s="1"/>
  <c r="CB50" i="25" s="1"/>
  <c r="BL153" i="25"/>
  <c r="BY153" i="25"/>
  <c r="CA153" i="25" s="1"/>
  <c r="BK153" i="25"/>
  <c r="BL253" i="25"/>
  <c r="BY253" i="25"/>
  <c r="CA253" i="25" s="1"/>
  <c r="CB253" i="25" s="1"/>
  <c r="BK253" i="25"/>
  <c r="AJ230" i="29"/>
  <c r="AK230" i="29" s="1"/>
  <c r="AA231" i="29"/>
  <c r="AA558" i="29"/>
  <c r="AJ363" i="29"/>
  <c r="AK363" i="29" s="1"/>
  <c r="AA364" i="29"/>
  <c r="AJ128" i="29"/>
  <c r="AK128" i="29" s="1"/>
  <c r="AA129" i="29"/>
  <c r="BL272" i="25"/>
  <c r="BY272" i="25"/>
  <c r="CA272" i="25" s="1"/>
  <c r="CB272" i="25" s="1"/>
  <c r="BK272" i="25"/>
  <c r="AJ510" i="29"/>
  <c r="AK510" i="29" s="1"/>
  <c r="AA511" i="29"/>
  <c r="BL91" i="25"/>
  <c r="BY91" i="25"/>
  <c r="CA91" i="25" s="1"/>
  <c r="CB91" i="25" s="1"/>
  <c r="AA567" i="29"/>
  <c r="BY233" i="25"/>
  <c r="CA233" i="25" s="1"/>
  <c r="CB233" i="25" s="1"/>
  <c r="BL233" i="25"/>
  <c r="BK233" i="25"/>
  <c r="AA123" i="29"/>
  <c r="AJ582" i="29"/>
  <c r="AK582" i="29" s="1"/>
  <c r="AA583" i="29"/>
  <c r="BY270" i="25"/>
  <c r="CA270" i="25" s="1"/>
  <c r="CB270" i="25" s="1"/>
  <c r="BL270" i="25"/>
  <c r="BK270" i="25"/>
  <c r="AJ451" i="29"/>
  <c r="AK451" i="29" s="1"/>
  <c r="AA452" i="29"/>
  <c r="AA539" i="29"/>
  <c r="AJ538" i="29"/>
  <c r="AK538" i="29" s="1"/>
  <c r="BY22" i="25"/>
  <c r="CA22" i="25" s="1"/>
  <c r="BL22" i="25"/>
  <c r="BY56" i="25"/>
  <c r="CA56" i="25" s="1"/>
  <c r="BL56" i="25"/>
  <c r="AA102" i="29"/>
  <c r="AJ101" i="29"/>
  <c r="BY242" i="25"/>
  <c r="CA242" i="25" s="1"/>
  <c r="CB242" i="25" s="1"/>
  <c r="BL242" i="25"/>
  <c r="BK242" i="25"/>
  <c r="AA186" i="29"/>
  <c r="AA317" i="29"/>
  <c r="AJ316" i="29"/>
  <c r="AK316" i="29" s="1"/>
  <c r="AJ33" i="29"/>
  <c r="AK33" i="29" s="1"/>
  <c r="AA34" i="29"/>
  <c r="AA255" i="29"/>
  <c r="AA131" i="29"/>
  <c r="AA331" i="29"/>
  <c r="BL126" i="25"/>
  <c r="BY126" i="25"/>
  <c r="CA126" i="25" s="1"/>
  <c r="CB126" i="25" s="1"/>
  <c r="BK126" i="25"/>
  <c r="AA503" i="29"/>
  <c r="AA396" i="29"/>
  <c r="AJ395" i="29"/>
  <c r="AK395" i="29" s="1"/>
  <c r="BY10" i="25"/>
  <c r="CA10" i="25" s="1"/>
  <c r="BL10" i="25"/>
  <c r="AA274" i="29"/>
  <c r="AJ273" i="29"/>
  <c r="AK273" i="29" s="1"/>
  <c r="AJ71" i="29"/>
  <c r="AK71" i="29" s="1"/>
  <c r="AA72" i="29"/>
  <c r="AA138" i="29"/>
  <c r="BY33" i="25"/>
  <c r="CA33" i="25" s="1"/>
  <c r="CB33" i="25" s="1"/>
  <c r="BL33" i="25"/>
  <c r="AA73" i="29"/>
  <c r="AJ72" i="29"/>
  <c r="AK72" i="29" s="1"/>
  <c r="BY63" i="25"/>
  <c r="CA63" i="25" s="1"/>
  <c r="CB63" i="25" s="1"/>
  <c r="BL63" i="25"/>
  <c r="AA515" i="29"/>
  <c r="AJ231" i="29"/>
  <c r="AK231" i="29" s="1"/>
  <c r="AA232" i="29"/>
  <c r="AJ472" i="29"/>
  <c r="AK472" i="29" s="1"/>
  <c r="AA473" i="29"/>
  <c r="AA214" i="29"/>
  <c r="BY289" i="25"/>
  <c r="CA289" i="25" s="1"/>
  <c r="CB289" i="25" s="1"/>
  <c r="BL289" i="25"/>
  <c r="BK289" i="25"/>
  <c r="AJ236" i="29"/>
  <c r="AK236" i="29" s="1"/>
  <c r="AA237" i="29"/>
  <c r="BY239" i="25"/>
  <c r="CA239" i="25" s="1"/>
  <c r="CB239" i="25" s="1"/>
  <c r="BL239" i="25"/>
  <c r="BK239" i="25"/>
  <c r="BL231" i="25"/>
  <c r="BY231" i="25"/>
  <c r="CA231" i="25" s="1"/>
  <c r="CB231" i="25" s="1"/>
  <c r="BK231" i="25"/>
  <c r="AJ180" i="29"/>
  <c r="AK180" i="29" s="1"/>
  <c r="AA181" i="29"/>
  <c r="BY44" i="25"/>
  <c r="CA44" i="25" s="1"/>
  <c r="CB44" i="25" s="1"/>
  <c r="BL44" i="25"/>
  <c r="AA329" i="29"/>
  <c r="AJ328" i="29"/>
  <c r="AK328" i="29" s="1"/>
  <c r="AJ484" i="29"/>
  <c r="AK484" i="29" s="1"/>
  <c r="AA485" i="29"/>
  <c r="AJ318" i="29"/>
  <c r="AK318" i="29" s="1"/>
  <c r="AA319" i="29"/>
  <c r="AJ552" i="29"/>
  <c r="AK552" i="29" s="1"/>
  <c r="AA553" i="29"/>
  <c r="BY76" i="25"/>
  <c r="CA76" i="25" s="1"/>
  <c r="BL76" i="25"/>
  <c r="AJ331" i="29"/>
  <c r="AK331" i="29" s="1"/>
  <c r="AA332" i="29"/>
  <c r="BL157" i="25"/>
  <c r="BY157" i="25"/>
  <c r="CA157" i="25" s="1"/>
  <c r="CB157" i="25" s="1"/>
  <c r="BK157" i="25"/>
  <c r="AA451" i="29"/>
  <c r="AJ436" i="29"/>
  <c r="AK436" i="29" s="1"/>
  <c r="AA437" i="29"/>
  <c r="BL8" i="25"/>
  <c r="BY8" i="25"/>
  <c r="CA8" i="25" s="1"/>
  <c r="CB8" i="25" s="1"/>
  <c r="BL281" i="25"/>
  <c r="BY281" i="25"/>
  <c r="CA281" i="25" s="1"/>
  <c r="CB281" i="25" s="1"/>
  <c r="BK281" i="25"/>
  <c r="BY79" i="25"/>
  <c r="CA79" i="25" s="1"/>
  <c r="BL79" i="25"/>
  <c r="AA267" i="29"/>
  <c r="AJ266" i="29"/>
  <c r="AK266" i="29" s="1"/>
  <c r="BL271" i="25"/>
  <c r="BY271" i="25"/>
  <c r="CA271" i="25" s="1"/>
  <c r="CB271" i="25" s="1"/>
  <c r="BK271" i="25"/>
  <c r="AJ246" i="29"/>
  <c r="AK246" i="29" s="1"/>
  <c r="AA247" i="29"/>
  <c r="AA407" i="29"/>
  <c r="BY226" i="25"/>
  <c r="CA226" i="25" s="1"/>
  <c r="CB226" i="25" s="1"/>
  <c r="BL226" i="25"/>
  <c r="BK226" i="25"/>
  <c r="AA454" i="29"/>
  <c r="AJ453" i="29"/>
  <c r="AK453" i="29" s="1"/>
  <c r="BY55" i="25"/>
  <c r="CA55" i="25" s="1"/>
  <c r="BL55" i="25"/>
  <c r="BY241" i="25"/>
  <c r="CA241" i="25" s="1"/>
  <c r="CB241" i="25" s="1"/>
  <c r="BL241" i="25"/>
  <c r="BK241" i="25"/>
  <c r="BY88" i="25"/>
  <c r="CA88" i="25" s="1"/>
  <c r="BL88" i="25"/>
  <c r="AA285" i="29"/>
  <c r="AJ284" i="29"/>
  <c r="AK284" i="29" s="1"/>
  <c r="BY51" i="25"/>
  <c r="CA51" i="25" s="1"/>
  <c r="CB51" i="25" s="1"/>
  <c r="BL51" i="25"/>
  <c r="AJ589" i="29"/>
  <c r="AK589" i="29" s="1"/>
  <c r="AA590" i="29"/>
  <c r="AA217" i="29"/>
  <c r="BL208" i="25"/>
  <c r="BY208" i="25"/>
  <c r="CA208" i="25" s="1"/>
  <c r="BK208" i="25"/>
  <c r="AA586" i="29"/>
  <c r="BY205" i="25"/>
  <c r="CA205" i="25" s="1"/>
  <c r="BL205" i="25"/>
  <c r="BK205" i="25"/>
  <c r="AA413" i="29"/>
  <c r="AA294" i="29"/>
  <c r="AJ293" i="29"/>
  <c r="AK293" i="29" s="1"/>
  <c r="BY9" i="25"/>
  <c r="CA9" i="25" s="1"/>
  <c r="CB9" i="25" s="1"/>
  <c r="BL9" i="25"/>
  <c r="AA476" i="29"/>
  <c r="AJ475" i="29"/>
  <c r="AK475" i="29" s="1"/>
  <c r="AA438" i="29"/>
  <c r="AJ437" i="29"/>
  <c r="AK437" i="29" s="1"/>
  <c r="BL228" i="25"/>
  <c r="BY228" i="25"/>
  <c r="CA228" i="25" s="1"/>
  <c r="CB228" i="25" s="1"/>
  <c r="BK228" i="25"/>
  <c r="AJ205" i="29"/>
  <c r="AK205" i="29" s="1"/>
  <c r="AA206" i="29"/>
  <c r="AJ607" i="29"/>
  <c r="AK607" i="29" s="1"/>
  <c r="AA608" i="29"/>
  <c r="AJ39" i="29"/>
  <c r="AK39" i="29" s="1"/>
  <c r="AA40" i="29"/>
  <c r="BY264" i="25"/>
  <c r="CA264" i="25" s="1"/>
  <c r="CB264" i="25" s="1"/>
  <c r="BL264" i="25"/>
  <c r="BK264" i="25"/>
  <c r="AJ486" i="29"/>
  <c r="AK486" i="29" s="1"/>
  <c r="AA487" i="29"/>
  <c r="AA535" i="29"/>
  <c r="AJ534" i="29"/>
  <c r="AK534" i="29" s="1"/>
  <c r="BY200" i="25"/>
  <c r="CA200" i="25" s="1"/>
  <c r="BL200" i="25"/>
  <c r="BK200" i="25"/>
  <c r="AA408" i="29"/>
  <c r="AJ407" i="29"/>
  <c r="AK407" i="29" s="1"/>
  <c r="BL162" i="25"/>
  <c r="BY162" i="25"/>
  <c r="CA162" i="25" s="1"/>
  <c r="BK162" i="25"/>
  <c r="BY84" i="25"/>
  <c r="CA84" i="25" s="1"/>
  <c r="CB84" i="25" s="1"/>
  <c r="BL84" i="25"/>
  <c r="AA471" i="29"/>
  <c r="AJ470" i="29"/>
  <c r="AK470" i="29" s="1"/>
  <c r="AA236" i="29"/>
  <c r="AJ235" i="29"/>
  <c r="AK235" i="29" s="1"/>
  <c r="BY254" i="25"/>
  <c r="CA254" i="25" s="1"/>
  <c r="CB254" i="25" s="1"/>
  <c r="BL254" i="25"/>
  <c r="BK254" i="25"/>
  <c r="BL185" i="25"/>
  <c r="BY185" i="25"/>
  <c r="CA185" i="25" s="1"/>
  <c r="BK185" i="25"/>
  <c r="BY48" i="25"/>
  <c r="CA48" i="25" s="1"/>
  <c r="CB48" i="25" s="1"/>
  <c r="BL48" i="25"/>
  <c r="AA97" i="29"/>
  <c r="AJ96" i="29"/>
  <c r="AK96" i="29" s="1"/>
  <c r="AA271" i="29"/>
  <c r="BL26" i="25"/>
  <c r="BY26" i="25"/>
  <c r="CA26" i="25" s="1"/>
  <c r="CB26" i="25" s="1"/>
  <c r="AA279" i="29"/>
  <c r="BL27" i="25"/>
  <c r="BY27" i="25"/>
  <c r="CA27" i="25" s="1"/>
  <c r="BL301" i="25"/>
  <c r="BY301" i="25"/>
  <c r="CA301" i="25" s="1"/>
  <c r="CB301" i="25" s="1"/>
  <c r="BK301" i="25"/>
  <c r="BY303" i="25"/>
  <c r="CA303" i="25" s="1"/>
  <c r="CB303" i="25" s="1"/>
  <c r="BL303" i="25"/>
  <c r="BK303" i="25"/>
  <c r="AA141" i="29"/>
  <c r="BL287" i="25"/>
  <c r="BY287" i="25"/>
  <c r="CA287" i="25" s="1"/>
  <c r="CB287" i="25" s="1"/>
  <c r="BK287" i="25"/>
  <c r="AJ135" i="29"/>
  <c r="AK135" i="29" s="1"/>
  <c r="AA136" i="29"/>
  <c r="AJ298" i="29"/>
  <c r="AK298" i="29" s="1"/>
  <c r="AA299" i="29"/>
  <c r="BL136" i="25"/>
  <c r="BY136" i="25"/>
  <c r="CA136" i="25" s="1"/>
  <c r="CB136" i="25" s="1"/>
  <c r="BK136" i="25"/>
  <c r="AA352" i="29"/>
  <c r="AJ468" i="29"/>
  <c r="AK468" i="29" s="1"/>
  <c r="AA469" i="29"/>
  <c r="AJ282" i="29"/>
  <c r="AK282" i="29" s="1"/>
  <c r="AA283" i="29"/>
  <c r="AA512" i="29"/>
  <c r="AJ511" i="29"/>
  <c r="AK511" i="29" s="1"/>
  <c r="BY38" i="25"/>
  <c r="CA38" i="25" s="1"/>
  <c r="CB38" i="25" s="1"/>
  <c r="BL38" i="25"/>
  <c r="BY16" i="25"/>
  <c r="CA16" i="25" s="1"/>
  <c r="CB16" i="25" s="1"/>
  <c r="BL16" i="25"/>
  <c r="BY181" i="25"/>
  <c r="CA181" i="25" s="1"/>
  <c r="BL181" i="25"/>
  <c r="BK181" i="25"/>
  <c r="AJ487" i="29"/>
  <c r="AK487" i="29" s="1"/>
  <c r="AA488" i="29"/>
  <c r="AA220" i="29"/>
  <c r="BY172" i="25"/>
  <c r="CA172" i="25" s="1"/>
  <c r="BL172" i="25"/>
  <c r="BK172" i="25"/>
  <c r="AA449" i="29"/>
  <c r="AA534" i="29"/>
  <c r="BY100" i="25"/>
  <c r="CA100" i="25" s="1"/>
  <c r="CB100" i="25" s="1"/>
  <c r="BL100" i="25"/>
  <c r="AJ286" i="29"/>
  <c r="AK286" i="29" s="1"/>
  <c r="AA287" i="29"/>
  <c r="AA390" i="29"/>
  <c r="AJ389" i="29"/>
  <c r="AK389" i="29" s="1"/>
  <c r="AJ563" i="29"/>
  <c r="AK563" i="29" s="1"/>
  <c r="AA564" i="29"/>
  <c r="BY134" i="25"/>
  <c r="CA134" i="25" s="1"/>
  <c r="CB134" i="25" s="1"/>
  <c r="BL134" i="25"/>
  <c r="BK134" i="25"/>
  <c r="AA443" i="29"/>
  <c r="AJ442" i="29"/>
  <c r="AK442" i="29" s="1"/>
  <c r="AA374" i="29"/>
  <c r="AJ100" i="29"/>
  <c r="AK100" i="29" s="1"/>
  <c r="AA101" i="29"/>
  <c r="AJ248" i="29"/>
  <c r="AK248" i="29" s="1"/>
  <c r="AA249" i="29"/>
  <c r="AA551" i="29"/>
  <c r="AJ550" i="29"/>
  <c r="AK550" i="29" s="1"/>
  <c r="AA161" i="29"/>
  <c r="AJ160" i="29"/>
  <c r="AK160" i="29" s="1"/>
  <c r="AA501" i="29"/>
  <c r="AJ500" i="29"/>
  <c r="AK500" i="29" s="1"/>
  <c r="BL160" i="25"/>
  <c r="BY160" i="25"/>
  <c r="CA160" i="25" s="1"/>
  <c r="BK160" i="25"/>
  <c r="AA344" i="29"/>
  <c r="AJ385" i="29"/>
  <c r="AK385" i="29" s="1"/>
  <c r="AA386" i="29"/>
  <c r="AA17" i="29"/>
  <c r="AJ16" i="29"/>
  <c r="AK16" i="29" s="1"/>
  <c r="BY308" i="25"/>
  <c r="CA308" i="25" s="1"/>
  <c r="CB308" i="25" s="1"/>
  <c r="BL308" i="25"/>
  <c r="BK308" i="25"/>
  <c r="BY135" i="25"/>
  <c r="CA135" i="25" s="1"/>
  <c r="BL135" i="25"/>
  <c r="BK135" i="25"/>
  <c r="AA151" i="29"/>
  <c r="AA570" i="29"/>
  <c r="AJ569" i="29"/>
  <c r="AK569" i="29" s="1"/>
  <c r="AA446" i="29"/>
  <c r="AJ445" i="29"/>
  <c r="AK445" i="29" s="1"/>
  <c r="BY309" i="25"/>
  <c r="CA309" i="25" s="1"/>
  <c r="CB309" i="25" s="1"/>
  <c r="BL309" i="25"/>
  <c r="BK309" i="25"/>
  <c r="BL74" i="25"/>
  <c r="BY74" i="25"/>
  <c r="CA74" i="25" s="1"/>
  <c r="AJ259" i="29"/>
  <c r="AK259" i="29" s="1"/>
  <c r="AA260" i="29"/>
  <c r="AA555" i="29"/>
  <c r="AJ554" i="29"/>
  <c r="AK554" i="29" s="1"/>
  <c r="AA316" i="29"/>
  <c r="AA532" i="29"/>
  <c r="AJ87" i="29"/>
  <c r="AK87" i="29" s="1"/>
  <c r="AA88" i="29"/>
  <c r="AA468" i="29"/>
  <c r="AJ467" i="29"/>
  <c r="AK467" i="29" s="1"/>
  <c r="BY216" i="25"/>
  <c r="CA216" i="25" s="1"/>
  <c r="CB216" i="25" s="1"/>
  <c r="BL216" i="25"/>
  <c r="BK216" i="25"/>
  <c r="AA103" i="29"/>
  <c r="AJ102" i="29"/>
  <c r="AK102" i="29" s="1"/>
  <c r="AA44" i="29"/>
  <c r="AJ43" i="29"/>
  <c r="AK43" i="29" s="1"/>
  <c r="BL123" i="25"/>
  <c r="BY123" i="25"/>
  <c r="CA123" i="25" s="1"/>
  <c r="CB123" i="25" s="1"/>
  <c r="BK123" i="25"/>
  <c r="AA328" i="29"/>
  <c r="AJ327" i="29"/>
  <c r="AK327" i="29" s="1"/>
  <c r="AJ537" i="29"/>
  <c r="AK537" i="29" s="1"/>
  <c r="AA538" i="29"/>
  <c r="AA269" i="29"/>
  <c r="AJ268" i="29"/>
  <c r="AK268" i="29" s="1"/>
  <c r="AA420" i="29"/>
  <c r="AJ419" i="29"/>
  <c r="AK419" i="29" s="1"/>
  <c r="BY244" i="25"/>
  <c r="CA244" i="25" s="1"/>
  <c r="CB244" i="25" s="1"/>
  <c r="BL244" i="25"/>
  <c r="BK244" i="25"/>
  <c r="BL236" i="25"/>
  <c r="BY236" i="25"/>
  <c r="CA236" i="25" s="1"/>
  <c r="CB236" i="25" s="1"/>
  <c r="BK236" i="25"/>
  <c r="AJ366" i="29"/>
  <c r="AK366" i="29" s="1"/>
  <c r="AA367" i="29"/>
  <c r="BY279" i="25"/>
  <c r="CA279" i="25" s="1"/>
  <c r="CB279" i="25" s="1"/>
  <c r="BL279" i="25"/>
  <c r="BK279" i="25"/>
  <c r="AJ144" i="29"/>
  <c r="AK144" i="29" s="1"/>
  <c r="AA145" i="29"/>
  <c r="AA327" i="29"/>
  <c r="AA174" i="29"/>
  <c r="AJ173" i="29"/>
  <c r="AK173" i="29" s="1"/>
  <c r="BY61" i="25"/>
  <c r="CA61" i="25" s="1"/>
  <c r="CB61" i="25" s="1"/>
  <c r="BL61" i="25"/>
  <c r="BY49" i="25"/>
  <c r="CA49" i="25" s="1"/>
  <c r="CB49" i="25" s="1"/>
  <c r="BL49" i="25"/>
  <c r="AA436" i="29"/>
  <c r="AJ435" i="29"/>
  <c r="AK435" i="29" s="1"/>
  <c r="AJ455" i="29"/>
  <c r="AK455" i="29" s="1"/>
  <c r="AA456" i="29"/>
  <c r="AJ172" i="29"/>
  <c r="AK172" i="29" s="1"/>
  <c r="AA173" i="29"/>
  <c r="BY266" i="25"/>
  <c r="CA266" i="25" s="1"/>
  <c r="CB266" i="25" s="1"/>
  <c r="BL266" i="25"/>
  <c r="BK266" i="25"/>
  <c r="BY159" i="25"/>
  <c r="CA159" i="25" s="1"/>
  <c r="BL159" i="25"/>
  <c r="BK159" i="25"/>
  <c r="AJ456" i="29"/>
  <c r="AK456" i="29" s="1"/>
  <c r="AA457" i="29"/>
  <c r="AA423" i="29"/>
  <c r="AJ454" i="29"/>
  <c r="AK454" i="29" s="1"/>
  <c r="AA455" i="29"/>
  <c r="AA609" i="29"/>
  <c r="AJ608" i="29"/>
  <c r="AK608" i="29" s="1"/>
  <c r="AJ85" i="29"/>
  <c r="AK85" i="29" s="1"/>
  <c r="AA86" i="29"/>
  <c r="BL297" i="25"/>
  <c r="BY297" i="25"/>
  <c r="CA297" i="25" s="1"/>
  <c r="CB297" i="25" s="1"/>
  <c r="BK297" i="25"/>
  <c r="AJ394" i="29"/>
  <c r="AK394" i="29" s="1"/>
  <c r="AA395" i="29"/>
  <c r="AA143" i="29"/>
  <c r="AJ605" i="29"/>
  <c r="AK605" i="29" s="1"/>
  <c r="AA606" i="29"/>
  <c r="BY141" i="25"/>
  <c r="CA141" i="25" s="1"/>
  <c r="CB141" i="25" s="1"/>
  <c r="BL141" i="25"/>
  <c r="BK141" i="25"/>
  <c r="BY19" i="25"/>
  <c r="CA19" i="25" s="1"/>
  <c r="CB19" i="25" s="1"/>
  <c r="BL19" i="25"/>
  <c r="AJ367" i="29"/>
  <c r="AK367" i="29" s="1"/>
  <c r="AA368" i="29"/>
  <c r="AA388" i="29"/>
  <c r="AJ387" i="29"/>
  <c r="AK387" i="29" s="1"/>
  <c r="AA194" i="29"/>
  <c r="AJ193" i="29"/>
  <c r="AK193" i="29" s="1"/>
  <c r="AA385" i="29"/>
  <c r="AJ384" i="29"/>
  <c r="AK384" i="29" s="1"/>
  <c r="AA61" i="29"/>
  <c r="AJ60" i="29"/>
  <c r="AK60" i="29" s="1"/>
  <c r="AJ553" i="29"/>
  <c r="AK553" i="29" s="1"/>
  <c r="AA554" i="29"/>
  <c r="AA155" i="29"/>
  <c r="BY197" i="25"/>
  <c r="CA197" i="25" s="1"/>
  <c r="CB197" i="25" s="1"/>
  <c r="BL197" i="25"/>
  <c r="BK197" i="25"/>
  <c r="BY268" i="25"/>
  <c r="CA268" i="25" s="1"/>
  <c r="CB268" i="25" s="1"/>
  <c r="BL268" i="25"/>
  <c r="BK268" i="25"/>
  <c r="BY137" i="25"/>
  <c r="CA137" i="25" s="1"/>
  <c r="CB137" i="25" s="1"/>
  <c r="BL137" i="25"/>
  <c r="BK137" i="25"/>
  <c r="AJ344" i="29"/>
  <c r="AK344" i="29" s="1"/>
  <c r="AA345" i="29"/>
  <c r="BY57" i="25"/>
  <c r="CA57" i="25" s="1"/>
  <c r="BL57" i="25"/>
  <c r="BL218" i="25"/>
  <c r="BY218" i="25"/>
  <c r="CA218" i="25" s="1"/>
  <c r="CB218" i="25" s="1"/>
  <c r="BK218" i="25"/>
  <c r="AA376" i="29"/>
  <c r="AA71" i="29"/>
  <c r="AA504" i="29"/>
  <c r="AJ503" i="29"/>
  <c r="AK503" i="29" s="1"/>
  <c r="AJ540" i="29"/>
  <c r="AK540" i="29" s="1"/>
  <c r="AA541" i="29"/>
  <c r="BY165" i="25"/>
  <c r="CA165" i="25" s="1"/>
  <c r="BL165" i="25"/>
  <c r="BK165" i="25"/>
  <c r="AA394" i="29"/>
  <c r="AJ393" i="29"/>
  <c r="AK393" i="29" s="1"/>
  <c r="AA14" i="29"/>
  <c r="AA478" i="29"/>
  <c r="AJ477" i="29"/>
  <c r="AK477" i="29" s="1"/>
  <c r="BL285" i="25"/>
  <c r="BY285" i="25"/>
  <c r="CA285" i="25" s="1"/>
  <c r="CB285" i="25" s="1"/>
  <c r="BK285" i="25"/>
  <c r="AA464" i="29"/>
  <c r="AA349" i="29"/>
  <c r="BY145" i="25"/>
  <c r="CA145" i="25" s="1"/>
  <c r="CB145" i="25" s="1"/>
  <c r="BL145" i="25"/>
  <c r="BK145" i="25"/>
  <c r="AJ578" i="29"/>
  <c r="AK578" i="29" s="1"/>
  <c r="AA579" i="29"/>
  <c r="AA563" i="29"/>
  <c r="AA191" i="29"/>
  <c r="AJ190" i="29"/>
  <c r="AK190" i="29" s="1"/>
  <c r="AA414" i="29"/>
  <c r="AJ413" i="29"/>
  <c r="AK413" i="29" s="1"/>
  <c r="AJ103" i="29"/>
  <c r="AK103" i="29" s="1"/>
  <c r="AA104" i="29"/>
  <c r="AJ361" i="29"/>
  <c r="AK361" i="29" s="1"/>
  <c r="AA362" i="29"/>
  <c r="BY302" i="25"/>
  <c r="CA302" i="25" s="1"/>
  <c r="CB302" i="25" s="1"/>
  <c r="BL302" i="25"/>
  <c r="BK302" i="25"/>
  <c r="AA16" i="29"/>
  <c r="AA262" i="29"/>
  <c r="AA494" i="29"/>
  <c r="BY86" i="25"/>
  <c r="CA86" i="25" s="1"/>
  <c r="BL86" i="25"/>
  <c r="BL93" i="25"/>
  <c r="BY93" i="25"/>
  <c r="CA93" i="25" s="1"/>
  <c r="CB93" i="25" s="1"/>
  <c r="BY116" i="25"/>
  <c r="CA116" i="25" s="1"/>
  <c r="BL116" i="25"/>
  <c r="BK116" i="25"/>
  <c r="AA265" i="29"/>
  <c r="AJ264" i="29"/>
  <c r="AK264" i="29" s="1"/>
  <c r="AA182" i="29"/>
  <c r="AJ181" i="29"/>
  <c r="AK181" i="29" s="1"/>
  <c r="AJ29" i="29"/>
  <c r="AK29" i="29" s="1"/>
  <c r="AA30" i="29"/>
  <c r="AA76" i="29"/>
  <c r="AA549" i="29"/>
  <c r="AJ548" i="29"/>
  <c r="AK548" i="29" s="1"/>
  <c r="AA459" i="29"/>
  <c r="AJ458" i="29"/>
  <c r="AK458" i="29" s="1"/>
  <c r="AA78" i="29"/>
  <c r="AJ77" i="29"/>
  <c r="AK77" i="29" s="1"/>
  <c r="BY210" i="25"/>
  <c r="CA210" i="25" s="1"/>
  <c r="BL210" i="25"/>
  <c r="BK210" i="25"/>
  <c r="BL224" i="25"/>
  <c r="BY224" i="25"/>
  <c r="CA224" i="25" s="1"/>
  <c r="CB224" i="25" s="1"/>
  <c r="BK224" i="25"/>
  <c r="AJ461" i="29"/>
  <c r="AK461" i="29" s="1"/>
  <c r="AA462" i="29"/>
  <c r="BY312" i="25"/>
  <c r="CA312" i="25" s="1"/>
  <c r="CB312" i="25" s="1"/>
  <c r="BL312" i="25"/>
  <c r="BK312" i="25"/>
  <c r="AJ376" i="29"/>
  <c r="AK376" i="29" s="1"/>
  <c r="AA377" i="29"/>
  <c r="AJ195" i="29"/>
  <c r="AK195" i="29" s="1"/>
  <c r="AA196" i="29"/>
  <c r="BL99" i="25"/>
  <c r="BY99" i="25"/>
  <c r="CA99" i="25" s="1"/>
  <c r="CB99" i="25" s="1"/>
  <c r="AA550" i="29"/>
  <c r="AJ549" i="29"/>
  <c r="AK549" i="29" s="1"/>
  <c r="AA209" i="29"/>
  <c r="AJ208" i="29"/>
  <c r="AK208" i="29" s="1"/>
  <c r="AA295" i="29"/>
  <c r="AJ294" i="29"/>
  <c r="AK294" i="29" s="1"/>
  <c r="AJ226" i="29"/>
  <c r="AK226" i="29" s="1"/>
  <c r="AA227" i="29"/>
  <c r="AA27" i="29"/>
  <c r="AA601" i="29"/>
  <c r="AJ600" i="29"/>
  <c r="AK600" i="29" s="1"/>
  <c r="AA273" i="29"/>
  <c r="AJ272" i="29"/>
  <c r="AK272" i="29" s="1"/>
  <c r="AA426" i="29"/>
  <c r="AJ425" i="29"/>
  <c r="AK425" i="29" s="1"/>
  <c r="BL128" i="25"/>
  <c r="BY128" i="25"/>
  <c r="CA128" i="25" s="1"/>
  <c r="CB128" i="25" s="1"/>
  <c r="BK128" i="25"/>
  <c r="BY15" i="25"/>
  <c r="CA15" i="25" s="1"/>
  <c r="BL15" i="25"/>
  <c r="AA74" i="29"/>
  <c r="AJ73" i="29"/>
  <c r="AK73" i="29" s="1"/>
  <c r="BY64" i="25"/>
  <c r="CA64" i="25" s="1"/>
  <c r="BL64" i="25"/>
  <c r="AA176" i="29"/>
  <c r="AJ175" i="29"/>
  <c r="AK175" i="29" s="1"/>
  <c r="AA346" i="29"/>
  <c r="AJ345" i="29"/>
  <c r="AK345" i="29" s="1"/>
  <c r="BL60" i="25"/>
  <c r="BY60" i="25"/>
  <c r="CA60" i="25" s="1"/>
  <c r="AJ267" i="29"/>
  <c r="AK267" i="29" s="1"/>
  <c r="AA268" i="29"/>
  <c r="BY151" i="25"/>
  <c r="CA151" i="25" s="1"/>
  <c r="BL151" i="25"/>
  <c r="BK151" i="25"/>
  <c r="AJ111" i="29"/>
  <c r="AK111" i="29" s="1"/>
  <c r="AA112" i="29"/>
  <c r="AA415" i="29"/>
  <c r="AJ414" i="29"/>
  <c r="AK414" i="29" s="1"/>
  <c r="AA482" i="29"/>
  <c r="AJ481" i="29"/>
  <c r="AK481" i="29" s="1"/>
  <c r="AJ65" i="29"/>
  <c r="AK65" i="29" s="1"/>
  <c r="AA66" i="29"/>
  <c r="AA35" i="29"/>
  <c r="AJ34" i="29"/>
  <c r="AK34" i="29" s="1"/>
  <c r="AJ287" i="29"/>
  <c r="AK287" i="29" s="1"/>
  <c r="AA288" i="29"/>
  <c r="AA337" i="29"/>
  <c r="AA442" i="29"/>
  <c r="AA188" i="29"/>
  <c r="BY290" i="25"/>
  <c r="CA290" i="25" s="1"/>
  <c r="CB290" i="25" s="1"/>
  <c r="BL290" i="25"/>
  <c r="BK290" i="25"/>
  <c r="AG585" i="29"/>
  <c r="W585" i="29"/>
  <c r="AJ585" i="29" s="1"/>
  <c r="AK585" i="29" s="1"/>
  <c r="BY195" i="25"/>
  <c r="CA195" i="25" s="1"/>
  <c r="CB195" i="25" s="1"/>
  <c r="BL195" i="25"/>
  <c r="BK195" i="25"/>
  <c r="AA192" i="29"/>
  <c r="AJ191" i="29"/>
  <c r="AK191" i="29" s="1"/>
  <c r="AJ143" i="29"/>
  <c r="AK143" i="29" s="1"/>
  <c r="AA144" i="29"/>
  <c r="AJ167" i="29"/>
  <c r="AK167" i="29" s="1"/>
  <c r="AA168" i="29"/>
  <c r="AA243" i="29"/>
  <c r="AJ281" i="29"/>
  <c r="AK281" i="29" s="1"/>
  <c r="AA282" i="29"/>
  <c r="AJ599" i="29"/>
  <c r="AK599" i="29" s="1"/>
  <c r="AA600" i="29"/>
  <c r="AA354" i="29"/>
  <c r="AJ551" i="29"/>
  <c r="AK551" i="29" s="1"/>
  <c r="AA552" i="29"/>
  <c r="AA537" i="29"/>
  <c r="AJ536" i="29"/>
  <c r="AK536" i="29" s="1"/>
  <c r="BY121" i="25"/>
  <c r="CA121" i="25" s="1"/>
  <c r="BL121" i="25"/>
  <c r="BK121" i="25"/>
  <c r="AA54" i="29"/>
  <c r="AJ53" i="29"/>
  <c r="AK53" i="29" s="1"/>
  <c r="AJ388" i="29"/>
  <c r="AK388" i="29" s="1"/>
  <c r="AA389" i="29"/>
  <c r="AA302" i="29"/>
  <c r="AA612" i="29"/>
  <c r="AJ611" i="29"/>
  <c r="AK611" i="29" s="1"/>
  <c r="BY182" i="25"/>
  <c r="CA182" i="25" s="1"/>
  <c r="BL182" i="25"/>
  <c r="BK182" i="25"/>
  <c r="AA21" i="29"/>
  <c r="AJ20" i="29"/>
  <c r="AK20" i="29" s="1"/>
  <c r="AA45" i="29"/>
  <c r="AJ44" i="29"/>
  <c r="AA256" i="29"/>
  <c r="AJ255" i="29"/>
  <c r="AK255" i="29" s="1"/>
  <c r="AJ59" i="29"/>
  <c r="AK59" i="29" s="1"/>
  <c r="AA60" i="29"/>
  <c r="BY227" i="25"/>
  <c r="CA227" i="25" s="1"/>
  <c r="CB227" i="25" s="1"/>
  <c r="BL227" i="25"/>
  <c r="BK227" i="25"/>
  <c r="AJ295" i="29"/>
  <c r="AK295" i="29" s="1"/>
  <c r="AA296" i="29"/>
  <c r="BY269" i="25"/>
  <c r="CA269" i="25" s="1"/>
  <c r="CB269" i="25" s="1"/>
  <c r="BL269" i="25"/>
  <c r="BK269" i="25"/>
  <c r="AA589" i="29"/>
  <c r="AA298" i="29"/>
  <c r="AJ95" i="29"/>
  <c r="AK95" i="29" s="1"/>
  <c r="AA96" i="29"/>
  <c r="BL112" i="25"/>
  <c r="BY112" i="25"/>
  <c r="CA112" i="25" s="1"/>
  <c r="BK112" i="25"/>
  <c r="AA175" i="29"/>
  <c r="AJ174" i="29"/>
  <c r="AK174" i="29" s="1"/>
  <c r="AA178" i="29"/>
  <c r="BL304" i="25"/>
  <c r="BY304" i="25"/>
  <c r="CA304" i="25" s="1"/>
  <c r="CB304" i="25" s="1"/>
  <c r="BK304" i="25"/>
  <c r="AA370" i="29"/>
  <c r="BY307" i="25"/>
  <c r="CA307" i="25" s="1"/>
  <c r="CB307" i="25" s="1"/>
  <c r="BL307" i="25"/>
  <c r="BK307" i="25"/>
  <c r="BY230" i="25"/>
  <c r="CA230" i="25" s="1"/>
  <c r="CB230" i="25" s="1"/>
  <c r="BL230" i="25"/>
  <c r="BK230" i="25"/>
  <c r="AA518" i="29"/>
  <c r="AJ517" i="29"/>
  <c r="AK517" i="29" s="1"/>
  <c r="AA20" i="29"/>
  <c r="BY274" i="25"/>
  <c r="CA274" i="25" s="1"/>
  <c r="CB274" i="25" s="1"/>
  <c r="BL274" i="25"/>
  <c r="BK274" i="25"/>
  <c r="AA24" i="29"/>
  <c r="AA258" i="29"/>
  <c r="AJ257" i="29"/>
  <c r="AK257" i="29" s="1"/>
  <c r="AA159" i="29"/>
  <c r="AJ158" i="29"/>
  <c r="AK158" i="29" s="1"/>
  <c r="BY295" i="25"/>
  <c r="CA295" i="25" s="1"/>
  <c r="CB295" i="25" s="1"/>
  <c r="BL295" i="25"/>
  <c r="BK295" i="25"/>
  <c r="AA479" i="29"/>
  <c r="AJ478" i="29"/>
  <c r="AK478" i="29" s="1"/>
  <c r="AA477" i="29"/>
  <c r="AJ476" i="29"/>
  <c r="AK476" i="29" s="1"/>
  <c r="AA333" i="29"/>
  <c r="AJ332" i="29"/>
  <c r="AK332" i="29" s="1"/>
  <c r="BL184" i="25"/>
  <c r="BY184" i="25"/>
  <c r="CA184" i="25" s="1"/>
  <c r="BK184" i="25"/>
  <c r="AA281" i="29"/>
  <c r="AJ50" i="29"/>
  <c r="AK50" i="29" s="1"/>
  <c r="AA51" i="29"/>
  <c r="BY120" i="25"/>
  <c r="CA120" i="25" s="1"/>
  <c r="CB120" i="25" s="1"/>
  <c r="BL120" i="25"/>
  <c r="BK120" i="25"/>
  <c r="AA545" i="29"/>
  <c r="AJ544" i="29"/>
  <c r="AK544" i="29" s="1"/>
  <c r="AA323" i="29"/>
  <c r="BY25" i="25"/>
  <c r="CA25" i="25" s="1"/>
  <c r="BL25" i="25"/>
  <c r="AA559" i="29"/>
  <c r="AJ558" i="29"/>
  <c r="AK558" i="29" s="1"/>
  <c r="BY115" i="25"/>
  <c r="CA115" i="25" s="1"/>
  <c r="BL115" i="25"/>
  <c r="BK115" i="25"/>
  <c r="BL249" i="25"/>
  <c r="BY249" i="25"/>
  <c r="CA249" i="25" s="1"/>
  <c r="CB249" i="25" s="1"/>
  <c r="BK249" i="25"/>
  <c r="AA171" i="29"/>
  <c r="AJ64" i="29"/>
  <c r="AK64" i="29" s="1"/>
  <c r="AA65" i="29"/>
  <c r="AA338" i="29"/>
  <c r="AJ337" i="29"/>
  <c r="AK337" i="29" s="1"/>
  <c r="AJ408" i="29"/>
  <c r="AK408" i="29" s="1"/>
  <c r="AA409" i="29"/>
  <c r="AA313" i="29"/>
  <c r="AA57" i="29"/>
  <c r="AA208" i="29"/>
  <c r="AJ134" i="29"/>
  <c r="AK134" i="29" s="1"/>
  <c r="AA135" i="29"/>
  <c r="AJ354" i="29"/>
  <c r="AK354" i="29" s="1"/>
  <c r="AA355" i="29"/>
  <c r="AJ364" i="29"/>
  <c r="AK364" i="29" s="1"/>
  <c r="AA365" i="29"/>
  <c r="AA36" i="29"/>
  <c r="AJ35" i="29"/>
  <c r="AK35" i="29" s="1"/>
  <c r="BY103" i="25"/>
  <c r="CA103" i="25" s="1"/>
  <c r="CB103" i="25" s="1"/>
  <c r="BL103" i="25"/>
  <c r="AJ274" i="29"/>
  <c r="AK274" i="29" s="1"/>
  <c r="AA275" i="29"/>
  <c r="AJ362" i="29"/>
  <c r="AK362" i="29" s="1"/>
  <c r="AA363" i="29"/>
  <c r="AA230" i="29"/>
  <c r="AJ229" i="29"/>
  <c r="AK229" i="29" s="1"/>
  <c r="AJ377" i="29"/>
  <c r="AK377" i="29" s="1"/>
  <c r="AA378" i="29"/>
  <c r="BY138" i="25"/>
  <c r="CA138" i="25" s="1"/>
  <c r="BL138" i="25"/>
  <c r="BK138" i="25"/>
  <c r="BY277" i="25"/>
  <c r="CA277" i="25" s="1"/>
  <c r="CB277" i="25" s="1"/>
  <c r="BL277" i="25"/>
  <c r="BK277" i="25"/>
  <c r="BL221" i="25"/>
  <c r="BY221" i="25"/>
  <c r="CA221" i="25" s="1"/>
  <c r="CB221" i="25" s="1"/>
  <c r="BK221" i="25"/>
  <c r="BY124" i="25"/>
  <c r="CA124" i="25" s="1"/>
  <c r="CB124" i="25" s="1"/>
  <c r="BL124" i="25"/>
  <c r="BK124" i="25"/>
  <c r="BY117" i="25"/>
  <c r="CA117" i="25" s="1"/>
  <c r="BL117" i="25"/>
  <c r="BK117" i="25"/>
  <c r="AA290" i="29"/>
  <c r="AA32" i="29"/>
  <c r="AJ31" i="29"/>
  <c r="AK31" i="29" s="1"/>
  <c r="AA42" i="29"/>
  <c r="AH585" i="29"/>
  <c r="X585" i="29"/>
  <c r="Y585" i="29" s="1"/>
  <c r="AA500" i="29"/>
  <c r="AJ499" i="29"/>
  <c r="AK499" i="29" s="1"/>
  <c r="BY70" i="25"/>
  <c r="CA70" i="25" s="1"/>
  <c r="CB70" i="25" s="1"/>
  <c r="BL70" i="25"/>
  <c r="AJ211" i="29"/>
  <c r="AK211" i="29" s="1"/>
  <c r="AA212" i="29"/>
  <c r="AA190" i="29"/>
  <c r="AJ189" i="29"/>
  <c r="AK189" i="29" s="1"/>
  <c r="BL196" i="25"/>
  <c r="BY196" i="25"/>
  <c r="CA196" i="25" s="1"/>
  <c r="BK196" i="25"/>
  <c r="AA581" i="29"/>
  <c r="AJ580" i="29"/>
  <c r="AK580" i="29" s="1"/>
  <c r="AA22" i="29"/>
  <c r="AJ21" i="29"/>
  <c r="AK21" i="29" s="1"/>
  <c r="AA548" i="29"/>
  <c r="BY66" i="25"/>
  <c r="CA66" i="25" s="1"/>
  <c r="CB66" i="25" s="1"/>
  <c r="BL66" i="25"/>
  <c r="AA574" i="29"/>
  <c r="AA119" i="29"/>
  <c r="AJ118" i="29"/>
  <c r="AK118" i="29" s="1"/>
  <c r="BY12" i="25"/>
  <c r="CA12" i="25" s="1"/>
  <c r="CB12" i="25" s="1"/>
  <c r="BL12" i="25"/>
  <c r="AA110" i="29"/>
  <c r="AA300" i="29"/>
  <c r="AJ299" i="29"/>
  <c r="AK299" i="29" s="1"/>
  <c r="AJ482" i="29"/>
  <c r="AK482" i="29" s="1"/>
  <c r="AA483" i="29"/>
  <c r="AA411" i="29"/>
  <c r="AA540" i="29"/>
  <c r="AJ539" i="29"/>
  <c r="AK539" i="29" s="1"/>
  <c r="BY132" i="25"/>
  <c r="CA132" i="25" s="1"/>
  <c r="BL132" i="25"/>
  <c r="BK132" i="25"/>
  <c r="AJ519" i="29"/>
  <c r="AK519" i="29" s="1"/>
  <c r="AA520" i="29"/>
  <c r="AA48" i="29"/>
  <c r="AJ47" i="29"/>
  <c r="AK47" i="29" s="1"/>
  <c r="AJ228" i="29"/>
  <c r="AK228" i="29" s="1"/>
  <c r="AA229" i="29"/>
  <c r="AA307" i="29"/>
  <c r="AJ306" i="29"/>
  <c r="AK306" i="29" s="1"/>
  <c r="BY17" i="25"/>
  <c r="CA17" i="25" s="1"/>
  <c r="BL17" i="25"/>
  <c r="BL164" i="25"/>
  <c r="BY164" i="25"/>
  <c r="CA164" i="25" s="1"/>
  <c r="BK164" i="25"/>
  <c r="BY152" i="25"/>
  <c r="CA152" i="25" s="1"/>
  <c r="BL152" i="25"/>
  <c r="BK152" i="25"/>
  <c r="AA106" i="29"/>
  <c r="AJ105" i="29"/>
  <c r="AK105" i="29" s="1"/>
  <c r="AA117" i="29"/>
  <c r="AA46" i="29"/>
  <c r="AJ45" i="29"/>
  <c r="AK45" i="29" s="1"/>
  <c r="AA580" i="29"/>
  <c r="AJ579" i="29"/>
  <c r="AK579" i="29" s="1"/>
  <c r="AA593" i="29"/>
  <c r="AJ592" i="29"/>
  <c r="AK592" i="29" s="1"/>
  <c r="AA189" i="29"/>
  <c r="AJ188" i="29"/>
  <c r="AK188" i="29" s="1"/>
  <c r="AJ265" i="29"/>
  <c r="AK265" i="29" s="1"/>
  <c r="AA266" i="29"/>
  <c r="AA126" i="29"/>
  <c r="AJ125" i="29"/>
  <c r="AK125" i="29" s="1"/>
  <c r="BY52" i="25"/>
  <c r="CA52" i="25" s="1"/>
  <c r="BL52" i="25"/>
  <c r="AA505" i="29"/>
  <c r="AJ504" i="29"/>
  <c r="AK504" i="29" s="1"/>
  <c r="AA602" i="29"/>
  <c r="AJ601" i="29"/>
  <c r="AK601" i="29" s="1"/>
  <c r="AJ232" i="29"/>
  <c r="AK232" i="29" s="1"/>
  <c r="AA233" i="29"/>
  <c r="AA484" i="29"/>
  <c r="AJ483" i="29"/>
  <c r="AK483" i="29" s="1"/>
  <c r="BL90" i="25"/>
  <c r="BY90" i="25"/>
  <c r="CA90" i="25" s="1"/>
  <c r="AA165" i="29"/>
  <c r="AA18" i="29"/>
  <c r="AJ17" i="29"/>
  <c r="AK17" i="29" s="1"/>
  <c r="AA510" i="29"/>
  <c r="AJ509" i="29"/>
  <c r="AK509" i="29" s="1"/>
  <c r="AA379" i="29"/>
  <c r="AJ378" i="29"/>
  <c r="AK378" i="29" s="1"/>
  <c r="AJ568" i="29"/>
  <c r="AK568" i="29" s="1"/>
  <c r="AA569" i="29"/>
  <c r="AA239" i="29"/>
  <c r="AJ238" i="29"/>
  <c r="AK238" i="29" s="1"/>
  <c r="AA536" i="29"/>
  <c r="AJ535" i="29"/>
  <c r="AK535" i="29" s="1"/>
  <c r="BL111" i="25"/>
  <c r="BY111" i="25"/>
  <c r="CA111" i="25" s="1"/>
  <c r="BK111" i="25"/>
  <c r="AA162" i="29"/>
  <c r="AJ161" i="29"/>
  <c r="AK161" i="29" s="1"/>
  <c r="AA366" i="29"/>
  <c r="AJ365" i="29"/>
  <c r="AK365" i="29" s="1"/>
  <c r="AJ545" i="29"/>
  <c r="AK545" i="29" s="1"/>
  <c r="AA546" i="29"/>
  <c r="BY166" i="25"/>
  <c r="CA166" i="25" s="1"/>
  <c r="BL166" i="25"/>
  <c r="BK166" i="25"/>
  <c r="AA470" i="29"/>
  <c r="AJ469" i="29"/>
  <c r="AK469" i="29" s="1"/>
  <c r="AJ508" i="29"/>
  <c r="AK508" i="29" s="1"/>
  <c r="AA509" i="29"/>
  <c r="AA62" i="29"/>
  <c r="AJ61" i="29"/>
  <c r="AK61" i="29" s="1"/>
  <c r="AA447" i="29"/>
  <c r="AJ446" i="29"/>
  <c r="AK446" i="29" s="1"/>
  <c r="AA152" i="29"/>
  <c r="AJ151" i="29"/>
  <c r="AK151" i="29" s="1"/>
  <c r="AA517" i="29"/>
  <c r="AJ516" i="29"/>
  <c r="AK516" i="29" s="1"/>
  <c r="AA308" i="29"/>
  <c r="AJ307" i="29"/>
  <c r="AK307" i="29" s="1"/>
  <c r="BY207" i="25"/>
  <c r="CA207" i="25" s="1"/>
  <c r="BL207" i="25"/>
  <c r="BK207" i="25"/>
  <c r="AA607" i="29"/>
  <c r="AJ606" i="29"/>
  <c r="AK606" i="29" s="1"/>
  <c r="AA530" i="29"/>
  <c r="BY7" i="25"/>
  <c r="CA7" i="25" s="1"/>
  <c r="CB7" i="25" s="1"/>
  <c r="BL7" i="25"/>
  <c r="AA318" i="29"/>
  <c r="AJ317" i="29"/>
  <c r="AK317" i="29" s="1"/>
  <c r="BY288" i="25"/>
  <c r="CA288" i="25" s="1"/>
  <c r="CB288" i="25" s="1"/>
  <c r="BL288" i="25"/>
  <c r="BK288" i="25"/>
  <c r="BY180" i="25"/>
  <c r="CA180" i="25" s="1"/>
  <c r="BL180" i="25"/>
  <c r="BK180" i="25"/>
  <c r="AA543" i="29"/>
  <c r="BY183" i="25"/>
  <c r="CA183" i="25" s="1"/>
  <c r="BL183" i="25"/>
  <c r="BK183" i="25"/>
  <c r="BY222" i="25"/>
  <c r="CA222" i="25" s="1"/>
  <c r="CB222" i="25" s="1"/>
  <c r="BL222" i="25"/>
  <c r="BK222" i="25"/>
  <c r="BY127" i="25"/>
  <c r="CA127" i="25" s="1"/>
  <c r="CB127" i="25" s="1"/>
  <c r="BL127" i="25"/>
  <c r="BK127" i="25"/>
  <c r="AA114" i="29"/>
  <c r="BY235" i="25"/>
  <c r="CA235" i="25" s="1"/>
  <c r="CB235" i="25" s="1"/>
  <c r="BL235" i="25"/>
  <c r="BK235" i="25"/>
  <c r="AA384" i="29"/>
  <c r="AA121" i="29"/>
  <c r="AJ120" i="29"/>
  <c r="AK120" i="29" s="1"/>
  <c r="BY42" i="25"/>
  <c r="CA42" i="25" s="1"/>
  <c r="CB42" i="25" s="1"/>
  <c r="BL42" i="25"/>
  <c r="AA124" i="29"/>
  <c r="AJ123" i="29"/>
  <c r="AK123" i="29" s="1"/>
  <c r="AA118" i="29"/>
  <c r="AJ117" i="29"/>
  <c r="AK117" i="29" s="1"/>
  <c r="BL188" i="25"/>
  <c r="BY188" i="25"/>
  <c r="CA188" i="25" s="1"/>
  <c r="CB188" i="25" s="1"/>
  <c r="BK188" i="25"/>
  <c r="AJ403" i="29"/>
  <c r="AK403" i="29" s="1"/>
  <c r="AA404" i="29"/>
  <c r="BL58" i="25"/>
  <c r="BY58" i="25"/>
  <c r="CA58" i="25" s="1"/>
  <c r="CB58" i="25" s="1"/>
  <c r="AA466" i="29"/>
  <c r="AA472" i="29"/>
  <c r="AJ471" i="29"/>
  <c r="AK471" i="29" s="1"/>
  <c r="BY105" i="25"/>
  <c r="CA105" i="25" s="1"/>
  <c r="BL105" i="25"/>
  <c r="AA252" i="29"/>
  <c r="AA467" i="29"/>
  <c r="AJ466" i="29"/>
  <c r="AK466" i="29" s="1"/>
  <c r="AA83" i="29"/>
  <c r="BL81" i="25"/>
  <c r="BY81" i="25"/>
  <c r="CA81" i="25" s="1"/>
  <c r="AJ303" i="29"/>
  <c r="AK303" i="29" s="1"/>
  <c r="AA304" i="29"/>
  <c r="AA58" i="29"/>
  <c r="AJ57" i="29"/>
  <c r="AK57" i="29" s="1"/>
  <c r="BL202" i="25"/>
  <c r="BY202" i="25"/>
  <c r="CA202" i="25" s="1"/>
  <c r="BK202" i="25"/>
  <c r="AJ110" i="29"/>
  <c r="AK110" i="29" s="1"/>
  <c r="AA111" i="29"/>
  <c r="AJ323" i="29"/>
  <c r="AK323" i="29" s="1"/>
  <c r="AA324" i="29"/>
  <c r="AA604" i="29"/>
  <c r="AA226" i="29"/>
  <c r="AA527" i="29"/>
  <c r="BY18" i="25"/>
  <c r="CA18" i="25" s="1"/>
  <c r="CB18" i="25" s="1"/>
  <c r="BL18" i="25"/>
  <c r="AA167" i="29"/>
  <c r="BY223" i="25"/>
  <c r="CA223" i="25" s="1"/>
  <c r="CB223" i="25" s="1"/>
  <c r="BL223" i="25"/>
  <c r="BK223" i="25"/>
  <c r="AA491" i="29"/>
  <c r="AJ490" i="29"/>
  <c r="AK490" i="29" s="1"/>
  <c r="AA321" i="29"/>
  <c r="AJ320" i="29"/>
  <c r="AK320" i="29" s="1"/>
  <c r="AA486" i="29"/>
  <c r="AJ485" i="29"/>
  <c r="AK485" i="29" s="1"/>
  <c r="AA292" i="29"/>
  <c r="BL45" i="25"/>
  <c r="BY45" i="25"/>
  <c r="CA45" i="25" s="1"/>
  <c r="AA381" i="29"/>
  <c r="BY40" i="25"/>
  <c r="CA40" i="25" s="1"/>
  <c r="CB40" i="25" s="1"/>
  <c r="BL40" i="25"/>
  <c r="D65" i="29"/>
  <c r="E61" i="1" s="1"/>
  <c r="D62" i="29"/>
  <c r="D66" i="29" s="1"/>
  <c r="E63" i="1" s="1"/>
  <c r="AJ370" i="29"/>
  <c r="AK370" i="29" s="1"/>
  <c r="AA371" i="29"/>
  <c r="BL149" i="25"/>
  <c r="BY149" i="25"/>
  <c r="CA149" i="25" s="1"/>
  <c r="CB149" i="25" s="1"/>
  <c r="BK149" i="25"/>
  <c r="AJ171" i="29"/>
  <c r="AK171" i="29" s="1"/>
  <c r="AA172" i="29"/>
  <c r="AA105" i="29"/>
  <c r="AJ104" i="29"/>
  <c r="AK104" i="29" s="1"/>
  <c r="BY171" i="25"/>
  <c r="CA171" i="25" s="1"/>
  <c r="BL171" i="25"/>
  <c r="BK171" i="25"/>
  <c r="AA92" i="29"/>
  <c r="BY54" i="25"/>
  <c r="CA54" i="25" s="1"/>
  <c r="CB54" i="25" s="1"/>
  <c r="BL54" i="25"/>
  <c r="AA93" i="29"/>
  <c r="AJ92" i="29"/>
  <c r="AK92" i="29" s="1"/>
  <c r="AA453" i="29"/>
  <c r="AJ452" i="29"/>
  <c r="AK452" i="29" s="1"/>
  <c r="AJ283" i="29"/>
  <c r="AK283" i="29" s="1"/>
  <c r="AA284" i="29"/>
  <c r="BL313" i="25"/>
  <c r="BY313" i="25"/>
  <c r="CA313" i="25" s="1"/>
  <c r="CB313" i="25" s="1"/>
  <c r="BK313" i="25"/>
  <c r="AJ423" i="29"/>
  <c r="AK423" i="29" s="1"/>
  <c r="AA424" i="29"/>
  <c r="AA428" i="29"/>
  <c r="AJ427" i="29"/>
  <c r="AK427" i="29" s="1"/>
  <c r="AA417" i="29"/>
  <c r="AJ416" i="29"/>
  <c r="AK416" i="29" s="1"/>
  <c r="BL101" i="25"/>
  <c r="BY101" i="25"/>
  <c r="CA101" i="25" s="1"/>
  <c r="AJ390" i="29"/>
  <c r="AK390" i="29" s="1"/>
  <c r="AA391" i="29"/>
  <c r="AJ512" i="29"/>
  <c r="AK512" i="29" s="1"/>
  <c r="AA513" i="29"/>
  <c r="BL68" i="25"/>
  <c r="BY68" i="25"/>
  <c r="CA68" i="25" s="1"/>
  <c r="CB68" i="25" s="1"/>
  <c r="AA523" i="29"/>
  <c r="AA94" i="29"/>
  <c r="AJ93" i="29"/>
  <c r="AK93" i="29" s="1"/>
  <c r="BY78" i="25"/>
  <c r="CA78" i="25" s="1"/>
  <c r="CB78" i="25" s="1"/>
  <c r="BL78" i="25"/>
  <c r="AJ523" i="29"/>
  <c r="AK523" i="29" s="1"/>
  <c r="AA524" i="29"/>
  <c r="BL139" i="25"/>
  <c r="BY139" i="25"/>
  <c r="CA139" i="25" s="1"/>
  <c r="CB139" i="25" s="1"/>
  <c r="BK139" i="25"/>
  <c r="BY37" i="25"/>
  <c r="CA37" i="25" s="1"/>
  <c r="CB37" i="25" s="1"/>
  <c r="BL37" i="25"/>
  <c r="BY299" i="25"/>
  <c r="CA299" i="25" s="1"/>
  <c r="CB299" i="25" s="1"/>
  <c r="BL299" i="25"/>
  <c r="BK299" i="25"/>
  <c r="AJ567" i="29"/>
  <c r="AK567" i="29" s="1"/>
  <c r="AA568" i="29"/>
  <c r="AJ227" i="29"/>
  <c r="AK227" i="29" s="1"/>
  <c r="AA228" i="29"/>
  <c r="BL46" i="25"/>
  <c r="BY46" i="25"/>
  <c r="CA46" i="25" s="1"/>
  <c r="CB46" i="25" s="1"/>
  <c r="AA139" i="29"/>
  <c r="AJ138" i="29"/>
  <c r="AK138" i="29" s="1"/>
  <c r="BY20" i="25"/>
  <c r="CA20" i="25" s="1"/>
  <c r="CB20" i="25" s="1"/>
  <c r="BL20" i="25"/>
  <c r="AJ417" i="29"/>
  <c r="AK417" i="29" s="1"/>
  <c r="AA418" i="29"/>
  <c r="AA250" i="29"/>
  <c r="AJ249" i="29"/>
  <c r="AK249" i="29" s="1"/>
  <c r="BL156" i="25"/>
  <c r="BY156" i="25"/>
  <c r="CA156" i="25" s="1"/>
  <c r="BK156" i="25"/>
  <c r="AA400" i="29"/>
  <c r="AJ399" i="29"/>
  <c r="AK399" i="29" s="1"/>
  <c r="AA461" i="29"/>
  <c r="AJ460" i="29"/>
  <c r="AK460" i="29" s="1"/>
  <c r="AA235" i="29"/>
  <c r="AJ457" i="29"/>
  <c r="AK457" i="29" s="1"/>
  <c r="AA458" i="29"/>
  <c r="AA80" i="29"/>
  <c r="AJ79" i="29"/>
  <c r="AK79" i="29" s="1"/>
  <c r="AA309" i="29"/>
  <c r="AJ308" i="29"/>
  <c r="AK308" i="29" s="1"/>
  <c r="AJ201" i="29"/>
  <c r="AK201" i="29" s="1"/>
  <c r="AA202" i="29"/>
  <c r="BL298" i="25"/>
  <c r="BY298" i="25"/>
  <c r="CA298" i="25" s="1"/>
  <c r="CB298" i="25" s="1"/>
  <c r="BK298" i="25"/>
  <c r="AA427" i="29"/>
  <c r="AJ426" i="29"/>
  <c r="AK426" i="29" s="1"/>
  <c r="AJ46" i="29"/>
  <c r="AK46" i="29" s="1"/>
  <c r="AA47" i="29"/>
  <c r="AJ127" i="29"/>
  <c r="AK127" i="29" s="1"/>
  <c r="AA128" i="29"/>
  <c r="BY140" i="25"/>
  <c r="CA140" i="25" s="1"/>
  <c r="CB140" i="25" s="1"/>
  <c r="BL140" i="25"/>
  <c r="BK140" i="25"/>
  <c r="AA440" i="29"/>
  <c r="BY311" i="25"/>
  <c r="CA311" i="25" s="1"/>
  <c r="CB311" i="25" s="1"/>
  <c r="BL311" i="25"/>
  <c r="BK311" i="25"/>
  <c r="BY251" i="25"/>
  <c r="CA251" i="25" s="1"/>
  <c r="CB251" i="25" s="1"/>
  <c r="BL251" i="25"/>
  <c r="BK251" i="25"/>
  <c r="AJ604" i="29"/>
  <c r="AK604" i="29" s="1"/>
  <c r="AA605" i="29"/>
  <c r="AA157" i="29"/>
  <c r="BL219" i="25"/>
  <c r="BY219" i="25"/>
  <c r="CA219" i="25" s="1"/>
  <c r="CB219" i="25" s="1"/>
  <c r="BK219" i="25"/>
  <c r="AA508" i="29"/>
  <c r="AJ574" i="29"/>
  <c r="AK574" i="29" s="1"/>
  <c r="AA575" i="29"/>
  <c r="AA591" i="29"/>
  <c r="AJ590" i="29"/>
  <c r="AK590" i="29" s="1"/>
  <c r="AA544" i="29"/>
  <c r="AJ543" i="29"/>
  <c r="AK543" i="29" s="1"/>
  <c r="AA334" i="29"/>
  <c r="AJ333" i="29"/>
  <c r="AK333" i="29" s="1"/>
  <c r="BY191" i="25"/>
  <c r="CA191" i="25" s="1"/>
  <c r="BL191" i="25"/>
  <c r="BK191" i="25"/>
  <c r="CB76" i="25" l="1"/>
  <c r="CF76" i="25"/>
  <c r="AK241" i="29"/>
  <c r="CB118" i="25"/>
  <c r="CF118" i="25"/>
  <c r="CB25" i="25"/>
  <c r="CF25" i="25"/>
  <c r="CB15" i="25"/>
  <c r="CF15" i="25"/>
  <c r="CB119" i="25"/>
  <c r="CF119" i="25"/>
  <c r="CB17" i="25"/>
  <c r="CF17" i="25"/>
  <c r="CB122" i="25"/>
  <c r="CF122" i="25"/>
  <c r="AA584" i="29"/>
  <c r="AK126" i="29"/>
  <c r="AK114" i="29"/>
  <c r="AA225" i="29"/>
  <c r="AJ162" i="29"/>
  <c r="AK162" i="29" s="1"/>
  <c r="AA380" i="29"/>
  <c r="AJ225" i="29"/>
  <c r="AK225" i="29" s="1"/>
  <c r="AK311" i="29"/>
  <c r="AJ379" i="29"/>
  <c r="AK379" i="29" s="1"/>
  <c r="CB57" i="25"/>
  <c r="CF57" i="25"/>
  <c r="L111" i="2"/>
  <c r="L112" i="2" s="1"/>
  <c r="L26" i="1" s="1"/>
  <c r="CB112" i="25"/>
  <c r="CF112" i="25"/>
  <c r="AK44" i="29"/>
  <c r="CB130" i="25"/>
  <c r="CF130" i="25"/>
  <c r="CB27" i="25"/>
  <c r="CF27" i="25"/>
  <c r="CB125" i="25"/>
  <c r="CF125" i="25"/>
  <c r="CB10" i="25"/>
  <c r="CF10" i="25"/>
  <c r="CB115" i="25"/>
  <c r="CF115" i="25"/>
  <c r="CB88" i="25"/>
  <c r="CF88" i="25"/>
  <c r="CB121" i="25"/>
  <c r="CF121" i="25"/>
  <c r="CB22" i="25"/>
  <c r="CF22" i="25"/>
  <c r="CB162" i="25"/>
  <c r="CF162" i="25"/>
  <c r="CB77" i="25"/>
  <c r="CF77" i="25"/>
  <c r="CB60" i="25"/>
  <c r="CF60" i="25"/>
  <c r="CB116" i="25"/>
  <c r="CF116" i="25"/>
  <c r="CB117" i="25"/>
  <c r="CF117" i="25"/>
  <c r="CB65" i="25"/>
  <c r="CF65" i="25"/>
  <c r="CB111" i="25"/>
  <c r="CF111" i="25"/>
  <c r="AK106" i="29"/>
  <c r="AA566" i="29"/>
  <c r="AK94" i="29"/>
  <c r="AJ261" i="29"/>
  <c r="AK261" i="29" s="1"/>
  <c r="AJ566" i="29"/>
  <c r="AK566" i="29" s="1"/>
  <c r="AJ223" i="29"/>
  <c r="AK223" i="29" s="1"/>
  <c r="AJ260" i="29"/>
  <c r="AK260" i="29" s="1"/>
  <c r="AJ136" i="29"/>
  <c r="AK136" i="29" s="1"/>
  <c r="AA137" i="29"/>
  <c r="AJ113" i="29"/>
  <c r="AK113" i="29" s="1"/>
  <c r="AA113" i="29"/>
  <c r="AJ252" i="29"/>
  <c r="AK252" i="29" s="1"/>
  <c r="AJ19" i="29"/>
  <c r="AK19" i="29" s="1"/>
  <c r="AJ49" i="29"/>
  <c r="AK49" i="29" s="1"/>
  <c r="CB86" i="25"/>
  <c r="CF86" i="25"/>
  <c r="AA19" i="29"/>
  <c r="CB152" i="25"/>
  <c r="CF152" i="25"/>
  <c r="AK101" i="29"/>
  <c r="CF154" i="25"/>
  <c r="CB56" i="25"/>
  <c r="CF56" i="25"/>
  <c r="CB205" i="25"/>
  <c r="CF205" i="25"/>
  <c r="CB200" i="25"/>
  <c r="CF200" i="25"/>
  <c r="CB153" i="25"/>
  <c r="CF153" i="25"/>
  <c r="CB64" i="25"/>
  <c r="CF64" i="25"/>
  <c r="CB193" i="25"/>
  <c r="CF193" i="25"/>
  <c r="CB159" i="25"/>
  <c r="CF159" i="25"/>
  <c r="CB81" i="25"/>
  <c r="CF81" i="25"/>
  <c r="CB164" i="25"/>
  <c r="CF164" i="25"/>
  <c r="CB101" i="25"/>
  <c r="CF101" i="25"/>
  <c r="CB185" i="25"/>
  <c r="CF185" i="25"/>
  <c r="CB169" i="25"/>
  <c r="CF169" i="25"/>
  <c r="CB181" i="25"/>
  <c r="CF181" i="25"/>
  <c r="AJ342" i="29"/>
  <c r="AK342" i="29" s="1"/>
  <c r="CB151" i="25"/>
  <c r="CF151" i="25"/>
  <c r="AA562" i="29"/>
  <c r="AJ561" i="29"/>
  <c r="AK561" i="29" s="1"/>
  <c r="AA603" i="29"/>
  <c r="CB98" i="25"/>
  <c r="CF98" i="25"/>
  <c r="AA49" i="29"/>
  <c r="AA343" i="29"/>
  <c r="AA153" i="29"/>
  <c r="CB191" i="25"/>
  <c r="CF191" i="25"/>
  <c r="CB184" i="25"/>
  <c r="CF184" i="25"/>
  <c r="CB203" i="25"/>
  <c r="CF203" i="25"/>
  <c r="AJ603" i="29"/>
  <c r="AK603" i="29" s="1"/>
  <c r="CB172" i="25"/>
  <c r="CF172" i="25"/>
  <c r="CB202" i="25"/>
  <c r="CF202" i="25"/>
  <c r="AJ507" i="29"/>
  <c r="AK507" i="29" s="1"/>
  <c r="AA322" i="29"/>
  <c r="AJ321" i="29"/>
  <c r="AK321" i="29" s="1"/>
  <c r="AA98" i="29"/>
  <c r="AJ165" i="29"/>
  <c r="AK165" i="29" s="1"/>
  <c r="AA166" i="29"/>
  <c r="AA198" i="29"/>
  <c r="AA109" i="29"/>
  <c r="CB183" i="25"/>
  <c r="CF183" i="25"/>
  <c r="AK80" i="29"/>
  <c r="AJ88" i="29"/>
  <c r="AK88" i="29" s="1"/>
  <c r="AJ493" i="29"/>
  <c r="AK493" i="29" s="1"/>
  <c r="AJ207" i="29"/>
  <c r="AK207" i="29" s="1"/>
  <c r="CB180" i="25"/>
  <c r="CF180" i="25"/>
  <c r="AJ206" i="29"/>
  <c r="AK206" i="29" s="1"/>
  <c r="CB80" i="25"/>
  <c r="CF80" i="25"/>
  <c r="CB52" i="25"/>
  <c r="CF52" i="25"/>
  <c r="CB90" i="25"/>
  <c r="CF90" i="25"/>
  <c r="AJ108" i="29"/>
  <c r="AK108" i="29" s="1"/>
  <c r="CB196" i="25"/>
  <c r="CF196" i="25"/>
  <c r="AJ492" i="29"/>
  <c r="AK492" i="29" s="1"/>
  <c r="AA357" i="29"/>
  <c r="AJ348" i="29"/>
  <c r="AK348" i="29" s="1"/>
  <c r="AA270" i="29"/>
  <c r="AJ122" i="29"/>
  <c r="AK122" i="29" s="1"/>
  <c r="AA507" i="29"/>
  <c r="AJ465" i="29"/>
  <c r="AK465" i="29" s="1"/>
  <c r="AJ329" i="29"/>
  <c r="AK329" i="29" s="1"/>
  <c r="AA465" i="29"/>
  <c r="AA122" i="29"/>
  <c r="AJ330" i="29"/>
  <c r="AK330" i="29" s="1"/>
  <c r="AA571" i="29"/>
  <c r="AJ216" i="29"/>
  <c r="AK216" i="29" s="1"/>
  <c r="AJ571" i="29"/>
  <c r="AK571" i="29" s="1"/>
  <c r="AA557" i="29"/>
  <c r="AJ146" i="29"/>
  <c r="AK146" i="29" s="1"/>
  <c r="AJ147" i="29"/>
  <c r="AK147" i="29" s="1"/>
  <c r="AJ351" i="29"/>
  <c r="AK351" i="29" s="1"/>
  <c r="AJ184" i="29"/>
  <c r="AK184" i="29" s="1"/>
  <c r="AJ13" i="29"/>
  <c r="AK13" i="29" s="1"/>
  <c r="AA185" i="29"/>
  <c r="AA598" i="29"/>
  <c r="AJ597" i="29"/>
  <c r="AK597" i="29" s="1"/>
  <c r="AJ69" i="29"/>
  <c r="AK69" i="29" s="1"/>
  <c r="AA107" i="29"/>
  <c r="AJ373" i="29"/>
  <c r="AK373" i="29" s="1"/>
  <c r="AJ234" i="29"/>
  <c r="AK234" i="29" s="1"/>
  <c r="AJ115" i="29"/>
  <c r="AK115" i="29" s="1"/>
  <c r="AA373" i="29"/>
  <c r="AA115" i="29"/>
  <c r="AJ233" i="29"/>
  <c r="AK233" i="29" s="1"/>
  <c r="CB105" i="25"/>
  <c r="B286" i="2" s="1"/>
  <c r="CF105" i="25"/>
  <c r="AA547" i="29"/>
  <c r="CB132" i="25"/>
  <c r="CF132" i="25"/>
  <c r="CB165" i="25"/>
  <c r="CF165" i="25"/>
  <c r="AJ107" i="29"/>
  <c r="AK107" i="29" s="1"/>
  <c r="AJ422" i="29"/>
  <c r="AK422" i="29" s="1"/>
  <c r="AJ340" i="29"/>
  <c r="AK340" i="29" s="1"/>
  <c r="AA341" i="29"/>
  <c r="AJ24" i="29"/>
  <c r="AK24" i="29" s="1"/>
  <c r="AJ51" i="29"/>
  <c r="AK51" i="29" s="1"/>
  <c r="AJ25" i="29"/>
  <c r="AK25" i="29" s="1"/>
  <c r="CB207" i="25"/>
  <c r="CF207" i="25"/>
  <c r="AJ70" i="29"/>
  <c r="AK70" i="29" s="1"/>
  <c r="AJ326" i="29"/>
  <c r="AK326" i="29" s="1"/>
  <c r="AJ156" i="29"/>
  <c r="AK156" i="29" s="1"/>
  <c r="AA52" i="29"/>
  <c r="AJ428" i="29"/>
  <c r="AK428" i="29" s="1"/>
  <c r="AJ291" i="29"/>
  <c r="AK291" i="29" s="1"/>
  <c r="AA291" i="29"/>
  <c r="AJ253" i="29"/>
  <c r="AK253" i="29" s="1"/>
  <c r="AA254" i="29"/>
  <c r="AJ513" i="29"/>
  <c r="AK513" i="29" s="1"/>
  <c r="AJ547" i="29"/>
  <c r="AK547" i="29" s="1"/>
  <c r="AA326" i="29"/>
  <c r="AJ498" i="29"/>
  <c r="AK498" i="29" s="1"/>
  <c r="AA156" i="29"/>
  <c r="AJ586" i="29"/>
  <c r="AK586" i="29" s="1"/>
  <c r="AJ497" i="29"/>
  <c r="AK497" i="29" s="1"/>
  <c r="CB209" i="25"/>
  <c r="CF209" i="25"/>
  <c r="AJ116" i="29"/>
  <c r="AK116" i="29" s="1"/>
  <c r="AA242" i="29"/>
  <c r="AJ270" i="29"/>
  <c r="AK270" i="29" s="1"/>
  <c r="AA116" i="29"/>
  <c r="AJ215" i="29"/>
  <c r="AK215" i="29" s="1"/>
  <c r="AA150" i="29"/>
  <c r="AJ209" i="29"/>
  <c r="AK209" i="29" s="1"/>
  <c r="AJ350" i="29"/>
  <c r="AK350" i="29" s="1"/>
  <c r="AJ347" i="29"/>
  <c r="AK347" i="29" s="1"/>
  <c r="AJ89" i="29"/>
  <c r="AK89" i="29" s="1"/>
  <c r="AA480" i="29"/>
  <c r="AJ480" i="29"/>
  <c r="AK480" i="29" s="1"/>
  <c r="AJ90" i="29"/>
  <c r="AK90" i="29" s="1"/>
  <c r="AJ526" i="29"/>
  <c r="AK526" i="29" s="1"/>
  <c r="AJ346" i="29"/>
  <c r="AK346" i="29" s="1"/>
  <c r="AA347" i="29"/>
  <c r="AJ525" i="29"/>
  <c r="AK525" i="29" s="1"/>
  <c r="AJ529" i="29"/>
  <c r="AK529" i="29" s="1"/>
  <c r="AJ289" i="29"/>
  <c r="AK289" i="29" s="1"/>
  <c r="AJ528" i="29"/>
  <c r="AK528" i="29" s="1"/>
  <c r="AA289" i="29"/>
  <c r="AJ139" i="29"/>
  <c r="AK139" i="29" s="1"/>
  <c r="AJ186" i="29"/>
  <c r="AK186" i="29" s="1"/>
  <c r="AJ187" i="29"/>
  <c r="AK187" i="29" s="1"/>
  <c r="AA219" i="29"/>
  <c r="AJ400" i="29"/>
  <c r="AK400" i="29" s="1"/>
  <c r="AA401" i="29"/>
  <c r="AA406" i="29"/>
  <c r="AJ222" i="29"/>
  <c r="AK222" i="29" s="1"/>
  <c r="AJ405" i="29"/>
  <c r="AK405" i="29" s="1"/>
  <c r="CB138" i="25"/>
  <c r="CF138" i="25"/>
  <c r="CB55" i="25"/>
  <c r="CF55" i="25"/>
  <c r="AA140" i="29"/>
  <c r="AJ164" i="29"/>
  <c r="AK164" i="29" s="1"/>
  <c r="AA514" i="29"/>
  <c r="AJ463" i="29"/>
  <c r="AK463" i="29" s="1"/>
  <c r="AJ83" i="29"/>
  <c r="AK83" i="29" s="1"/>
  <c r="AA84" i="29"/>
  <c r="AJ462" i="29"/>
  <c r="AK462" i="29" s="1"/>
  <c r="AJ130" i="29"/>
  <c r="AK130" i="29" s="1"/>
  <c r="AA130" i="29"/>
  <c r="AJ421" i="29"/>
  <c r="AK421" i="29" s="1"/>
  <c r="AJ163" i="29"/>
  <c r="AK163" i="29" s="1"/>
  <c r="AJ242" i="29"/>
  <c r="AK242" i="29" s="1"/>
  <c r="AJ210" i="29"/>
  <c r="AK210" i="29" s="1"/>
  <c r="AJ149" i="29"/>
  <c r="AK149" i="29" s="1"/>
  <c r="AA133" i="29"/>
  <c r="AJ41" i="29"/>
  <c r="AK41" i="29" s="1"/>
  <c r="AJ40" i="29"/>
  <c r="AK40" i="29" s="1"/>
  <c r="AA502" i="29"/>
  <c r="AJ555" i="29"/>
  <c r="AK555" i="29" s="1"/>
  <c r="AA154" i="29"/>
  <c r="AA439" i="29"/>
  <c r="AJ153" i="29"/>
  <c r="AK153" i="29" s="1"/>
  <c r="AJ439" i="29"/>
  <c r="AK439" i="29" s="1"/>
  <c r="AA142" i="29"/>
  <c r="AJ502" i="29"/>
  <c r="AK502" i="29" s="1"/>
  <c r="AJ169" i="29"/>
  <c r="AK169" i="29" s="1"/>
  <c r="AA91" i="29"/>
  <c r="AA610" i="29"/>
  <c r="AJ609" i="29"/>
  <c r="AK609" i="29" s="1"/>
  <c r="AJ447" i="29"/>
  <c r="AK447" i="29" s="1"/>
  <c r="AJ522" i="29"/>
  <c r="AK522" i="29" s="1"/>
  <c r="AJ170" i="29"/>
  <c r="AK170" i="29" s="1"/>
  <c r="AA448" i="29"/>
  <c r="AJ521" i="29"/>
  <c r="AK521" i="29" s="1"/>
  <c r="AJ132" i="29"/>
  <c r="AK132" i="29" s="1"/>
  <c r="AJ221" i="29"/>
  <c r="AK221" i="29" s="1"/>
  <c r="AJ220" i="29"/>
  <c r="AK220" i="29" s="1"/>
  <c r="AJ556" i="29"/>
  <c r="AK556" i="29" s="1"/>
  <c r="AJ176" i="29"/>
  <c r="AK176" i="29" s="1"/>
  <c r="AJ141" i="29"/>
  <c r="AK141" i="29" s="1"/>
  <c r="AA336" i="29"/>
  <c r="AJ474" i="29"/>
  <c r="AK474" i="29" s="1"/>
  <c r="AJ335" i="29"/>
  <c r="AK335" i="29" s="1"/>
  <c r="AJ218" i="29"/>
  <c r="AK218" i="29" s="1"/>
  <c r="AA149" i="29"/>
  <c r="AJ148" i="29"/>
  <c r="AK148" i="29" s="1"/>
  <c r="AJ217" i="29"/>
  <c r="AK217" i="29" s="1"/>
  <c r="AJ473" i="29"/>
  <c r="AK473" i="29" s="1"/>
  <c r="AJ177" i="29"/>
  <c r="AK177" i="29" s="1"/>
  <c r="AJ588" i="29"/>
  <c r="AK588" i="29" s="1"/>
  <c r="AJ349" i="29"/>
  <c r="AK349" i="29" s="1"/>
  <c r="AJ587" i="29"/>
  <c r="AK587" i="29" s="1"/>
  <c r="AA350" i="29"/>
  <c r="CB208" i="25"/>
  <c r="CF208" i="25"/>
  <c r="AJ356" i="29"/>
  <c r="AK356" i="29" s="1"/>
  <c r="AA99" i="29"/>
  <c r="AJ441" i="29"/>
  <c r="AK441" i="29" s="1"/>
  <c r="AJ98" i="29"/>
  <c r="AK98" i="29" s="1"/>
  <c r="AJ278" i="29"/>
  <c r="AK278" i="29" s="1"/>
  <c r="AA573" i="29"/>
  <c r="AJ572" i="29"/>
  <c r="AK572" i="29" s="1"/>
  <c r="CB45" i="25"/>
  <c r="CF45" i="25"/>
  <c r="AJ411" i="29"/>
  <c r="AK411" i="29" s="1"/>
  <c r="AJ239" i="29"/>
  <c r="AK239" i="29" s="1"/>
  <c r="CB135" i="25"/>
  <c r="CF135" i="25"/>
  <c r="AA412" i="29"/>
  <c r="CB175" i="25"/>
  <c r="CF175" i="25"/>
  <c r="AJ296" i="29"/>
  <c r="AK296" i="29" s="1"/>
  <c r="AA297" i="29"/>
  <c r="CB182" i="25"/>
  <c r="CF182" i="25"/>
  <c r="AJ429" i="29"/>
  <c r="AK429" i="29" s="1"/>
  <c r="AJ183" i="29"/>
  <c r="AK183" i="29" s="1"/>
  <c r="AA312" i="29"/>
  <c r="AJ182" i="29"/>
  <c r="AK182" i="29" s="1"/>
  <c r="AJ527" i="29"/>
  <c r="AK527" i="29" s="1"/>
  <c r="AJ74" i="29"/>
  <c r="AK74" i="29" s="1"/>
  <c r="AA75" i="29"/>
  <c r="AA240" i="29"/>
  <c r="AJ56" i="29"/>
  <c r="AK56" i="29" s="1"/>
  <c r="AA356" i="29"/>
  <c r="AJ430" i="29"/>
  <c r="AK430" i="29" s="1"/>
  <c r="AA528" i="29"/>
  <c r="AJ312" i="29"/>
  <c r="AK312" i="29" s="1"/>
  <c r="AA533" i="29"/>
  <c r="AA383" i="29"/>
  <c r="AJ250" i="29"/>
  <c r="AK250" i="29" s="1"/>
  <c r="AJ251" i="29"/>
  <c r="AK251" i="29" s="1"/>
  <c r="AJ542" i="29"/>
  <c r="AK542" i="29" s="1"/>
  <c r="AJ22" i="29"/>
  <c r="AK22" i="29" s="1"/>
  <c r="AJ23" i="29"/>
  <c r="AK23" i="29" s="1"/>
  <c r="AJ410" i="29"/>
  <c r="AK410" i="29" s="1"/>
  <c r="AJ279" i="29"/>
  <c r="AK279" i="29" s="1"/>
  <c r="AJ131" i="29"/>
  <c r="AK131" i="29" s="1"/>
  <c r="AJ409" i="29"/>
  <c r="AK409" i="29" s="1"/>
  <c r="AJ280" i="29"/>
  <c r="AK280" i="29" s="1"/>
  <c r="AJ541" i="29"/>
  <c r="AK541" i="29" s="1"/>
  <c r="AA492" i="29"/>
  <c r="AJ491" i="29"/>
  <c r="AK491" i="29" s="1"/>
  <c r="AJ449" i="29"/>
  <c r="AK449" i="29" s="1"/>
  <c r="AA450" i="29"/>
  <c r="AJ179" i="29"/>
  <c r="AK179" i="29" s="1"/>
  <c r="AA245" i="29"/>
  <c r="AJ244" i="29"/>
  <c r="AK244" i="29" s="1"/>
  <c r="AA179" i="29"/>
  <c r="AJ595" i="29"/>
  <c r="AK595" i="29" s="1"/>
  <c r="AA37" i="29"/>
  <c r="AJ433" i="29"/>
  <c r="AK433" i="29" s="1"/>
  <c r="AJ434" i="29"/>
  <c r="AK434" i="29" s="1"/>
  <c r="AA382" i="29"/>
  <c r="AJ55" i="29"/>
  <c r="AK55" i="29" s="1"/>
  <c r="AJ432" i="29"/>
  <c r="AK432" i="29" s="1"/>
  <c r="AJ315" i="29"/>
  <c r="AK315" i="29" s="1"/>
  <c r="AJ382" i="29"/>
  <c r="AK382" i="29" s="1"/>
  <c r="AJ374" i="29"/>
  <c r="AK374" i="29" s="1"/>
  <c r="AJ369" i="29"/>
  <c r="AK369" i="29" s="1"/>
  <c r="AJ314" i="29"/>
  <c r="AK314" i="29" s="1"/>
  <c r="AJ420" i="29"/>
  <c r="AK420" i="29" s="1"/>
  <c r="AA375" i="29"/>
  <c r="AA421" i="29"/>
  <c r="AJ368" i="29"/>
  <c r="AK368" i="29" s="1"/>
  <c r="AJ198" i="29"/>
  <c r="AK198" i="29" s="1"/>
  <c r="AJ37" i="29"/>
  <c r="AK37" i="29" s="1"/>
  <c r="AJ431" i="29"/>
  <c r="AK431" i="29" s="1"/>
  <c r="AJ594" i="29"/>
  <c r="AK594" i="29" s="1"/>
  <c r="AJ300" i="29"/>
  <c r="AK300" i="29" s="1"/>
  <c r="AJ91" i="29"/>
  <c r="AK91" i="29" s="1"/>
  <c r="AA301" i="29"/>
  <c r="AJ533" i="29"/>
  <c r="AK533" i="29" s="1"/>
  <c r="AJ304" i="29"/>
  <c r="AK304" i="29" s="1"/>
  <c r="AA305" i="29"/>
  <c r="AA525" i="29"/>
  <c r="AJ524" i="29"/>
  <c r="AK524" i="29" s="1"/>
  <c r="AA444" i="29"/>
  <c r="AA335" i="29"/>
  <c r="AJ14" i="29"/>
  <c r="AK14" i="29" s="1"/>
  <c r="AJ15" i="29"/>
  <c r="AK15" i="29" s="1"/>
  <c r="AJ353" i="29"/>
  <c r="AK353" i="29" s="1"/>
  <c r="AJ213" i="29"/>
  <c r="AK213" i="29" s="1"/>
  <c r="AJ352" i="29"/>
  <c r="AK352" i="29" s="1"/>
  <c r="AJ212" i="29"/>
  <c r="AK212" i="29" s="1"/>
  <c r="AA26" i="29"/>
  <c r="AA278" i="29"/>
  <c r="AJ334" i="29"/>
  <c r="AK334" i="29" s="1"/>
  <c r="AA531" i="29"/>
  <c r="AJ82" i="29"/>
  <c r="AK82" i="29" s="1"/>
  <c r="AJ530" i="29"/>
  <c r="AK530" i="29" s="1"/>
  <c r="AA360" i="29"/>
  <c r="AJ81" i="29"/>
  <c r="AK81" i="29" s="1"/>
  <c r="AJ360" i="29"/>
  <c r="AK360" i="29" s="1"/>
  <c r="AJ444" i="29"/>
  <c r="AK444" i="29" s="1"/>
  <c r="AJ495" i="29"/>
  <c r="AK495" i="29" s="1"/>
  <c r="AJ309" i="29"/>
  <c r="AK309" i="29" s="1"/>
  <c r="AJ26" i="29"/>
  <c r="AK26" i="29" s="1"/>
  <c r="AA310" i="29"/>
  <c r="AA200" i="29"/>
  <c r="AJ199" i="29"/>
  <c r="AK199" i="29" s="1"/>
  <c r="CB168" i="25"/>
  <c r="CF168" i="25"/>
  <c r="AJ440" i="29"/>
  <c r="AK440" i="29" s="1"/>
  <c r="CF211" i="24"/>
  <c r="AA495" i="29"/>
  <c r="CB102" i="25"/>
  <c r="CF102" i="25"/>
  <c r="CB163" i="25"/>
  <c r="CF163" i="25"/>
  <c r="CB156" i="25"/>
  <c r="CF156" i="25"/>
  <c r="CB79" i="25"/>
  <c r="CF79" i="25"/>
  <c r="CB166" i="25"/>
  <c r="CF166" i="25"/>
  <c r="CB176" i="25"/>
  <c r="CF176" i="25"/>
  <c r="BB212" i="25"/>
  <c r="BS212" i="25" s="1"/>
  <c r="BC212" i="25"/>
  <c r="BT212" i="25" s="1"/>
  <c r="BA212" i="25"/>
  <c r="CB210" i="25"/>
  <c r="CF210" i="25"/>
  <c r="CB72" i="25"/>
  <c r="CF72" i="25"/>
  <c r="CB171" i="25"/>
  <c r="CF171" i="25"/>
  <c r="CB74" i="25"/>
  <c r="CF74" i="25"/>
  <c r="CB160" i="25"/>
  <c r="CF160" i="25"/>
  <c r="AA585" i="29"/>
  <c r="AJ584" i="29"/>
  <c r="AK584" i="29" s="1"/>
  <c r="CB194" i="25"/>
  <c r="CF194" i="25"/>
  <c r="BE212" i="25" l="1"/>
  <c r="BR212" i="25"/>
  <c r="BX212" i="25" s="1"/>
  <c r="AK9" i="29"/>
  <c r="W5" i="29" s="1"/>
  <c r="B43" i="29" s="1"/>
  <c r="AK7" i="29"/>
  <c r="AL7" i="29" s="1"/>
  <c r="CF211" i="25"/>
  <c r="BL212" i="25" l="1"/>
  <c r="BY212" i="25"/>
  <c r="CA212" i="25" s="1"/>
  <c r="BK212" i="25"/>
  <c r="W4" i="29"/>
  <c r="G639" i="29" s="1"/>
  <c r="AL9" i="29"/>
  <c r="G617" i="29" l="1"/>
  <c r="J617" i="29" s="1"/>
  <c r="CB212" i="25"/>
  <c r="CF212" i="25"/>
  <c r="B42" i="29"/>
  <c r="G640" i="29"/>
  <c r="G618" i="29" l="1"/>
  <c r="G619" i="29" s="1"/>
  <c r="S617" i="29"/>
  <c r="I617" i="29"/>
  <c r="Q617" i="29"/>
  <c r="L617" i="29"/>
  <c r="AH617" i="29" s="1"/>
  <c r="K617" i="29"/>
  <c r="R617" i="29"/>
  <c r="O617" i="29"/>
  <c r="T617" i="29"/>
  <c r="P617" i="29"/>
  <c r="AG617" i="29" l="1"/>
  <c r="X617" i="29"/>
  <c r="Y617" i="29" s="1"/>
  <c r="AD617" i="29"/>
  <c r="AE617" i="29"/>
  <c r="W617" i="29"/>
  <c r="X620"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Xi, Youhao</author>
    <author>Hegarty, Timothy</author>
  </authors>
  <commentList>
    <comment ref="A3" authorId="0" shapeId="0" xr:uid="{00000000-0006-0000-0000-000001000000}">
      <text>
        <r>
          <rPr>
            <b/>
            <sz val="11"/>
            <color indexed="10"/>
            <rFont val="Tahoma"/>
            <family val="2"/>
          </rPr>
          <t>Welcome to the LM5185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LM5185 low I</t>
        </r>
        <r>
          <rPr>
            <b/>
            <vertAlign val="subscript"/>
            <sz val="9"/>
            <color indexed="81"/>
            <rFont val="Tahoma"/>
            <family val="2"/>
          </rPr>
          <t>Q</t>
        </r>
        <r>
          <rPr>
            <b/>
            <sz val="9"/>
            <color indexed="81"/>
            <rFont val="Tahoma"/>
            <family val="2"/>
          </rPr>
          <t xml:space="preserve"> PSR flyback controller.</t>
        </r>
        <r>
          <rPr>
            <sz val="9"/>
            <color indexed="81"/>
            <rFont val="Tahoma"/>
            <family val="2"/>
          </rPr>
          <t xml:space="preserve"> As such, the user can expeditiously arrive at an optimized design by virtue of the following:
- Select transformer parameters including turns ratio and mag inductance
- Select current sense resistor
- Select power MOSFET parameters including RdsON, Qg and Coss
- Determine input and output capacitances for specified ripple requirements (1% Vout and 5% Vin)
- Select components for feedback, soft-start, input UVLO, and temperature compensation
- Select desired open loop crossover frequency, and choose loop compensation network components 
- Advise componnets (usually optional) for SW voltage clamp and and flyback diode snubber
- Decide the optional use of dummy loads or output Zener clamp 
- Optimize the design using efficiency and solution size as key performance metrics
- Inspect converter efficiency and switching frequency over load and line
- Inspect open loop Bode Plots for appropriate loop design.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b/>
            <sz val="9"/>
            <color indexed="81"/>
            <rFont val="Tahoma"/>
            <family val="2"/>
          </rPr>
          <t>Dislcaimer:</t>
        </r>
        <r>
          <rPr>
            <u/>
            <sz val="9"/>
            <color indexed="12"/>
            <rFont val="Tahoma"/>
            <family val="2"/>
          </rPr>
          <t xml:space="preserve">
https://www.ti.com/legal/important-notice-and-disclaimer.html
</t>
        </r>
        <r>
          <rPr>
            <sz val="9"/>
            <color indexed="81"/>
            <rFont val="Tahoma"/>
            <family val="2"/>
          </rPr>
          <t xml:space="preserve">
</t>
        </r>
        <r>
          <rPr>
            <b/>
            <sz val="9"/>
            <color indexed="81"/>
            <rFont val="Tahoma"/>
            <family val="2"/>
          </rPr>
          <t xml:space="preserve">
Rev 3.3, Youhao Xi, Texas Instruments, Inc.</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LM5185-Q1 product datasheet and EVM user's guides for more details.
</t>
        </r>
        <r>
          <rPr>
            <b/>
            <sz val="9"/>
            <color indexed="81"/>
            <rFont val="Tahoma"/>
            <family val="2"/>
          </rPr>
          <t>Rev 0, WVB/SR/APP,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LM5185 input voltage operating range is 4.5V to 100V.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6" authorId="0" shapeId="0" xr:uid="{00000000-0006-0000-0000-000004000000}">
      <text>
        <r>
          <rPr>
            <b/>
            <u/>
            <sz val="9"/>
            <color indexed="81"/>
            <rFont val="Tahoma"/>
            <family val="2"/>
          </rPr>
          <t>Recommended Magnetizing Inductance</t>
        </r>
        <r>
          <rPr>
            <b/>
            <sz val="9"/>
            <color indexed="81"/>
            <rFont val="Tahoma"/>
            <family val="2"/>
          </rPr>
          <t xml:space="preserve">:
</t>
        </r>
        <r>
          <rPr>
            <sz val="9"/>
            <color indexed="81"/>
            <rFont val="Tahoma"/>
            <family val="2"/>
          </rPr>
          <t>The recommended magnetizing inductance is set to operate at about 200 to 250kHz switching in BCM under full load and Vin_nom. Try not to deviate much from this recommended inductances:
--If the inductance is too high, the transformer would be larger and more expensive.
--If the inductance is too small, the efficiency would be sacrificed due to increase conduction losses with higher peak current.</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LM5185 input voltage operating range is 4.5V to 100V.
</t>
        </r>
        <r>
          <rPr>
            <b/>
            <sz val="9"/>
            <color indexed="81"/>
            <rFont val="Tahoma"/>
            <family val="2"/>
          </rPr>
          <t xml:space="preserve">The text in this cell is red if:
</t>
        </r>
        <r>
          <rPr>
            <sz val="9"/>
            <color indexed="81"/>
            <rFont val="Tahoma"/>
            <family val="2"/>
          </rPr>
          <t>-The Nom Vin is less than Min Vin</t>
        </r>
        <r>
          <rPr>
            <b/>
            <sz val="9"/>
            <color indexed="81"/>
            <rFont val="Tahoma"/>
            <family val="2"/>
          </rPr>
          <t>.</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of your choice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is too small. Increase the choosen value.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LM5185 input voltage operating range is 4.5V to 100V.
</t>
        </r>
        <r>
          <rPr>
            <b/>
            <sz val="9"/>
            <color indexed="81"/>
            <rFont val="Tahoma"/>
            <family val="2"/>
          </rPr>
          <t xml:space="preserve">The text in this cell is red if:
</t>
        </r>
        <r>
          <rPr>
            <sz val="9"/>
            <color indexed="81"/>
            <rFont val="Tahoma"/>
            <family val="2"/>
          </rPr>
          <t xml:space="preserve">-The Max Vin is less than the Nom Vin.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text>
    </comment>
    <comment ref="M12" authorId="1" shapeId="0" xr:uid="{CAB962D0-E7B4-4770-8363-E972CE1155C9}">
      <text>
        <r>
          <rPr>
            <b/>
            <sz val="9"/>
            <color indexed="81"/>
            <rFont val="Tahoma"/>
            <family val="2"/>
          </rPr>
          <t xml:space="preserve">Proposed turns ratio.
</t>
        </r>
        <r>
          <rPr>
            <sz val="9"/>
            <color indexed="81"/>
            <rFont val="Tahoma"/>
            <family val="2"/>
          </rPr>
          <t xml:space="preserve">The cell will turn red if the duty cycle under VIN(min) exceeds 75%. The design may still work, but you may consider to adjust the turns ration slightly.
</t>
        </r>
      </text>
    </comment>
    <comment ref="F13" authorId="1" shapeId="0" xr:uid="{1722616E-F390-487A-A34E-2B05516BC09F}">
      <text>
        <r>
          <rPr>
            <b/>
            <sz val="9"/>
            <color indexed="81"/>
            <rFont val="Tahoma"/>
            <family val="2"/>
          </rPr>
          <t xml:space="preserve">Second Output Load Current.
</t>
        </r>
        <r>
          <rPr>
            <sz val="9"/>
            <color indexed="81"/>
            <rFont val="Tahoma"/>
            <family val="2"/>
          </rPr>
          <t>The text in the cell will turn</t>
        </r>
        <r>
          <rPr>
            <b/>
            <sz val="9"/>
            <color indexed="10"/>
            <rFont val="Tahoma"/>
            <family val="2"/>
          </rPr>
          <t xml:space="preserve"> red if</t>
        </r>
        <r>
          <rPr>
            <b/>
            <sz val="9"/>
            <color indexed="81"/>
            <rFont val="Tahoma"/>
            <family val="2"/>
          </rPr>
          <t xml:space="preserve"> </t>
        </r>
        <r>
          <rPr>
            <sz val="9"/>
            <color indexed="81"/>
            <rFont val="Tahoma"/>
            <family val="2"/>
          </rPr>
          <t>the current has a different sign from the VOUT2.</t>
        </r>
      </text>
    </comment>
    <comment ref="M15" authorId="0" shapeId="0" xr:uid="{00000000-0006-0000-0000-00000C000000}">
      <text>
        <r>
          <rPr>
            <b/>
            <u/>
            <sz val="9"/>
            <color indexed="81"/>
            <rFont val="Tahoma"/>
            <family val="2"/>
          </rPr>
          <t>Max Duty Cycle</t>
        </r>
        <r>
          <rPr>
            <b/>
            <sz val="9"/>
            <color indexed="81"/>
            <rFont val="Tahoma"/>
            <family val="2"/>
          </rPr>
          <t xml:space="preserve">:
</t>
        </r>
        <r>
          <rPr>
            <sz val="9"/>
            <color indexed="81"/>
            <rFont val="Tahoma"/>
            <family val="2"/>
          </rPr>
          <t>The max operating duty cycle is preferably kept below 75% to prevent high peak/rms currents in the flyback diode(s) and secondary winding(s).
If the cell shows "#VALUE!", reduce Rcs value in Cell E17.</t>
        </r>
      </text>
    </comment>
    <comment ref="M16" authorId="0" shapeId="0" xr:uid="{00000000-0006-0000-0000-00000D000000}">
      <text>
        <r>
          <rPr>
            <b/>
            <u/>
            <sz val="9"/>
            <color indexed="81"/>
            <rFont val="Tahoma"/>
            <family val="2"/>
          </rPr>
          <t>Max Output Current at VIN(min)</t>
        </r>
        <r>
          <rPr>
            <b/>
            <sz val="9"/>
            <color indexed="81"/>
            <rFont val="Tahoma"/>
            <family val="2"/>
          </rPr>
          <t xml:space="preserve">:
</t>
        </r>
        <r>
          <rPr>
            <sz val="9"/>
            <color indexed="81"/>
            <rFont val="Tahoma"/>
            <family val="2"/>
          </rPr>
          <t>The output power is most limited at minimum input voltage. Adjust the transformer turns ratio if needed. Allow at least a 10% margin viz-a-viz the required output power.
If the cell shows "#VALUE!", reduce Rcs value in E17.</t>
        </r>
      </text>
    </comment>
    <comment ref="F17" authorId="0" shapeId="0" xr:uid="{00000000-0006-0000-0000-00000E000000}">
      <text>
        <r>
          <rPr>
            <b/>
            <u/>
            <sz val="9"/>
            <color indexed="81"/>
            <rFont val="Tahoma"/>
            <family val="2"/>
          </rPr>
          <t>Current Sense Resistor</t>
        </r>
        <r>
          <rPr>
            <b/>
            <sz val="9"/>
            <color indexed="81"/>
            <rFont val="Tahoma"/>
            <family val="2"/>
          </rPr>
          <t xml:space="preserve">:
</t>
        </r>
        <r>
          <rPr>
            <sz val="9"/>
            <color indexed="81"/>
            <rFont val="Tahoma"/>
            <family val="2"/>
          </rPr>
          <t xml:space="preserve">Enter the current sense resistor value here.
The text in the cell will turn </t>
        </r>
        <r>
          <rPr>
            <b/>
            <sz val="9"/>
            <color indexed="10"/>
            <rFont val="Tahoma"/>
            <family val="2"/>
          </rPr>
          <t xml:space="preserve">  red </t>
        </r>
        <r>
          <rPr>
            <b/>
            <sz val="9"/>
            <color indexed="81"/>
            <rFont val="Tahoma"/>
            <family val="2"/>
          </rPr>
          <t xml:space="preserve"> if the selection is greater tha</t>
        </r>
        <r>
          <rPr>
            <sz val="9"/>
            <color indexed="81"/>
            <rFont val="Tahoma"/>
            <family val="2"/>
          </rPr>
          <t>n the recommended maximum Rcs value, and</t>
        </r>
        <r>
          <rPr>
            <b/>
            <sz val="9"/>
            <color indexed="81"/>
            <rFont val="Tahoma"/>
            <family val="2"/>
          </rPr>
          <t xml:space="preserve"> full load would not be guaranteed</t>
        </r>
        <r>
          <rPr>
            <sz val="9"/>
            <color indexed="81"/>
            <rFont val="Tahoma"/>
            <family val="2"/>
          </rPr>
          <t xml:space="preserve">. </t>
        </r>
      </text>
    </comment>
    <comment ref="F18" authorId="1" shapeId="0" xr:uid="{37226554-35AD-4B24-AFBD-ADB0FE41ABA9}">
      <text>
        <r>
          <rPr>
            <b/>
            <sz val="9"/>
            <color indexed="81"/>
            <rFont val="Tahoma"/>
            <family val="2"/>
          </rPr>
          <t xml:space="preserve">Important: The selected transformer Isat should </t>
        </r>
        <r>
          <rPr>
            <b/>
            <i/>
            <sz val="9"/>
            <color indexed="81"/>
            <rFont val="Tahoma"/>
            <family val="2"/>
          </rPr>
          <t>not</t>
        </r>
        <r>
          <rPr>
            <b/>
            <sz val="9"/>
            <color indexed="81"/>
            <rFont val="Tahoma"/>
            <family val="2"/>
          </rPr>
          <t xml:space="preserve"> be smaller than this value.</t>
        </r>
      </text>
    </comment>
    <comment ref="F23" authorId="1" shapeId="0" xr:uid="{8656CEB6-6ED9-41C6-8605-018CF280C9F0}">
      <text>
        <r>
          <rPr>
            <b/>
            <sz val="9"/>
            <color indexed="81"/>
            <rFont val="Tahoma"/>
            <family val="2"/>
          </rPr>
          <t>Selected Zener Rated Voltage.</t>
        </r>
        <r>
          <rPr>
            <sz val="9"/>
            <color indexed="81"/>
            <rFont val="Tahoma"/>
            <family val="2"/>
          </rPr>
          <t xml:space="preserve">
The text in the cell will turn </t>
        </r>
        <r>
          <rPr>
            <b/>
            <sz val="9"/>
            <color indexed="10"/>
            <rFont val="Tahoma"/>
            <family val="2"/>
          </rPr>
          <t>red if</t>
        </r>
        <r>
          <rPr>
            <sz val="9"/>
            <color indexed="81"/>
            <rFont val="Tahoma"/>
            <family val="2"/>
          </rPr>
          <t xml:space="preserve"> the selected Zener voltage is lower than the recommended value.</t>
        </r>
      </text>
    </comment>
    <comment ref="F24" authorId="1" shapeId="0" xr:uid="{31A291A4-31E5-44E3-9BAC-33CB570C70F5}">
      <text>
        <r>
          <rPr>
            <b/>
            <sz val="9"/>
            <color indexed="81"/>
            <rFont val="Tahoma"/>
            <family val="2"/>
          </rPr>
          <t>Power MOSFET Vds Rating</t>
        </r>
        <r>
          <rPr>
            <sz val="9"/>
            <color indexed="81"/>
            <rFont val="Tahoma"/>
            <family val="2"/>
          </rPr>
          <t xml:space="preserve"> should </t>
        </r>
        <r>
          <rPr>
            <b/>
            <i/>
            <sz val="9"/>
            <color indexed="81"/>
            <rFont val="Tahoma"/>
            <family val="2"/>
          </rPr>
          <t>not</t>
        </r>
        <r>
          <rPr>
            <sz val="9"/>
            <color indexed="81"/>
            <rFont val="Tahoma"/>
            <family val="2"/>
          </rPr>
          <t xml:space="preserve"> be less than this value. 
</t>
        </r>
      </text>
    </comment>
    <comment ref="M24" authorId="0" shapeId="0" xr:uid="{00000000-0006-0000-0000-00000F000000}">
      <text>
        <r>
          <rPr>
            <b/>
            <u/>
            <sz val="9"/>
            <color indexed="81"/>
            <rFont val="Tahoma"/>
            <family val="2"/>
          </rPr>
          <t>MOSFET Qg</t>
        </r>
        <r>
          <rPr>
            <b/>
            <sz val="9"/>
            <color indexed="81"/>
            <rFont val="Tahoma"/>
            <family val="2"/>
          </rPr>
          <t xml:space="preserve">:
</t>
        </r>
        <r>
          <rPr>
            <sz val="9"/>
            <color indexed="81"/>
            <rFont val="Tahoma"/>
            <family val="2"/>
          </rPr>
          <t>Choose a MOSFET having a total gate charge of less than the recommended Max Qg.</t>
        </r>
      </text>
    </comment>
    <comment ref="M25" authorId="0" shapeId="0" xr:uid="{00000000-0006-0000-0000-000010000000}">
      <text>
        <r>
          <rPr>
            <b/>
            <u/>
            <sz val="9"/>
            <color indexed="81"/>
            <rFont val="Tahoma"/>
            <family val="2"/>
          </rPr>
          <t>MOSFET Coss</t>
        </r>
        <r>
          <rPr>
            <sz val="9"/>
            <color indexed="81"/>
            <rFont val="Tahoma"/>
            <family val="2"/>
          </rPr>
          <t xml:space="preserve">
Enter the Coss parameter of selected MOSFET.</t>
        </r>
      </text>
    </comment>
    <comment ref="M26" authorId="0" shapeId="0" xr:uid="{CEB6B93C-5411-41EE-A8C1-47824136DD57}">
      <text>
        <r>
          <rPr>
            <b/>
            <u/>
            <sz val="9"/>
            <color indexed="81"/>
            <rFont val="Tahoma"/>
            <family val="2"/>
          </rPr>
          <t>MOSFET Power Dissipation</t>
        </r>
        <r>
          <rPr>
            <b/>
            <sz val="9"/>
            <color indexed="81"/>
            <rFont val="Tahoma"/>
            <family val="2"/>
          </rPr>
          <t xml:space="preserve">:
</t>
        </r>
        <r>
          <rPr>
            <sz val="9"/>
            <color indexed="81"/>
            <rFont val="Tahoma"/>
            <family val="2"/>
          </rPr>
          <t>Estimated maximum MOSFET power dissipation. Make sure to choose appropriate MOSFET package and/or heatsink for effective heat dissipation.</t>
        </r>
      </text>
    </comment>
    <comment ref="F29" authorId="0" shapeId="0" xr:uid="{00000000-0006-0000-0000-000011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30" authorId="0" shapeId="0" xr:uid="{00000000-0006-0000-0000-000012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derated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31" authorId="0" shapeId="0" xr:uid="{00000000-0006-0000-0000-000013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T31" authorId="1" shapeId="0" xr:uid="{29CE184D-A96B-4A3A-A63A-D90B0214AAB4}">
      <text>
        <r>
          <rPr>
            <b/>
            <sz val="9"/>
            <color indexed="81"/>
            <rFont val="Tahoma"/>
            <family val="2"/>
          </rPr>
          <t xml:space="preserve">Output #2 Diode Forward Voltage Drop at Rated Load Current.
</t>
        </r>
        <r>
          <rPr>
            <sz val="9"/>
            <color indexed="81"/>
            <rFont val="Tahoma"/>
            <family val="2"/>
          </rPr>
          <t>The text in the cell will turn</t>
        </r>
        <r>
          <rPr>
            <b/>
            <sz val="9"/>
            <color indexed="81"/>
            <rFont val="Tahoma"/>
            <family val="2"/>
          </rPr>
          <t xml:space="preserve"> </t>
        </r>
        <r>
          <rPr>
            <b/>
            <sz val="9"/>
            <color indexed="10"/>
            <rFont val="Tahoma"/>
            <family val="2"/>
          </rPr>
          <t>red</t>
        </r>
        <r>
          <rPr>
            <b/>
            <sz val="9"/>
            <color indexed="81"/>
            <rFont val="Tahoma"/>
            <family val="2"/>
          </rPr>
          <t xml:space="preserve"> </t>
        </r>
        <r>
          <rPr>
            <sz val="9"/>
            <color indexed="81"/>
            <rFont val="Tahoma"/>
            <family val="2"/>
          </rPr>
          <t xml:space="preserve">if the forward drop voltage is obviously wrong for being outside the normal 0.3V and 1.5V. 
</t>
        </r>
      </text>
    </comment>
    <comment ref="F33" authorId="0" shapeId="0" xr:uid="{00000000-0006-0000-0000-000014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34" authorId="0" shapeId="0" xr:uid="{00000000-0006-0000-0000-000015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35" authorId="0" shapeId="0" xr:uid="{00000000-0006-0000-0000-000016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40" authorId="1" shapeId="0" xr:uid="{8F39E3FF-D354-49C6-9CDD-AD8F94FD11ED}">
      <text>
        <r>
          <rPr>
            <b/>
            <u/>
            <sz val="9"/>
            <color indexed="81"/>
            <rFont val="Tahoma"/>
            <family val="2"/>
          </rPr>
          <t>Feedback Resistor:</t>
        </r>
        <r>
          <rPr>
            <b/>
            <sz val="9"/>
            <color indexed="81"/>
            <rFont val="Tahoma"/>
            <family val="2"/>
          </rPr>
          <t xml:space="preserve">
</t>
        </r>
        <r>
          <rPr>
            <sz val="9"/>
            <color indexed="81"/>
            <rFont val="Tahoma"/>
            <family val="2"/>
          </rPr>
          <t xml:space="preserve">Choose a standard resistor value most close to above recommend value. To be more precise on Vout setting, you may consider to use a combination of two resistors to sever as the Feedback Resistor.  </t>
        </r>
        <r>
          <rPr>
            <b/>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if the selected Feedback Resistor has more than 3% errors.</t>
        </r>
        <r>
          <rPr>
            <b/>
            <sz val="9"/>
            <color indexed="81"/>
            <rFont val="Tahoma"/>
            <family val="2"/>
          </rPr>
          <t xml:space="preserve">  </t>
        </r>
        <r>
          <rPr>
            <sz val="9"/>
            <color indexed="81"/>
            <rFont val="Tahoma"/>
            <family val="2"/>
          </rPr>
          <t>Correct it by choosing a closer value, or the output voltage would have more errors.</t>
        </r>
        <r>
          <rPr>
            <b/>
            <sz val="9"/>
            <color indexed="81"/>
            <rFont val="Tahoma"/>
            <family val="2"/>
          </rPr>
          <t xml:space="preserve">
</t>
        </r>
      </text>
    </comment>
    <comment ref="F41" authorId="0" shapeId="0" xr:uid="{00000000-0006-0000-0000-000017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 pin open circuit</t>
        </r>
        <r>
          <rPr>
            <sz val="9"/>
            <color indexed="81"/>
            <rFont val="Tahoma"/>
            <family val="2"/>
          </rPr>
          <t xml:space="preserve"> to provide a soft-start time of </t>
        </r>
        <r>
          <rPr>
            <b/>
            <sz val="9"/>
            <color indexed="81"/>
            <rFont val="Tahoma"/>
            <family val="2"/>
          </rPr>
          <t>6ms</t>
        </r>
        <r>
          <rPr>
            <sz val="9"/>
            <color indexed="81"/>
            <rFont val="Tahoma"/>
            <family val="2"/>
          </rPr>
          <t>.</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47" authorId="0" shapeId="0" xr:uid="{00000000-0006-0000-0000-000018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LM5185 input operating voltage range is</t>
        </r>
        <r>
          <rPr>
            <b/>
            <sz val="9"/>
            <color indexed="81"/>
            <rFont val="Tahoma"/>
            <family val="2"/>
          </rPr>
          <t xml:space="preserve"> 4.5V to 100V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100V</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58" authorId="1" shapeId="0" xr:uid="{66D463F3-366F-4049-B7E1-9889759B4CB5}">
      <text>
        <r>
          <rPr>
            <b/>
            <sz val="9"/>
            <color indexed="81"/>
            <rFont val="Tahoma"/>
            <family val="2"/>
          </rPr>
          <t>Selected crossover frequency.</t>
        </r>
        <r>
          <rPr>
            <sz val="9"/>
            <color indexed="81"/>
            <rFont val="Tahoma"/>
            <family val="2"/>
          </rPr>
          <t xml:space="preserve">
</t>
        </r>
        <r>
          <rPr>
            <b/>
            <sz val="9"/>
            <color indexed="10"/>
            <rFont val="Tahoma"/>
            <family val="2"/>
          </rPr>
          <t>Cell will turn red if</t>
        </r>
        <r>
          <rPr>
            <sz val="9"/>
            <color indexed="81"/>
            <rFont val="Tahoma"/>
            <family val="2"/>
          </rPr>
          <t xml:space="preserve"> the selected Fco is greater than the allowed max cross frequency. 
</t>
        </r>
      </text>
    </comment>
    <comment ref="F74" authorId="1" shapeId="0" xr:uid="{A51CBC47-A0CB-455A-87DD-88758B3FDBAB}">
      <text>
        <r>
          <rPr>
            <b/>
            <u/>
            <sz val="9"/>
            <color indexed="81"/>
            <rFont val="Tahoma"/>
            <family val="2"/>
          </rPr>
          <t xml:space="preserve">Max Output Voltage Limit
</t>
        </r>
        <r>
          <rPr>
            <sz val="9"/>
            <color indexed="81"/>
            <rFont val="Tahoma"/>
            <family val="2"/>
          </rPr>
          <t xml:space="preserve">Enter the max Vout limit. 
</t>
        </r>
        <r>
          <rPr>
            <b/>
            <u/>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 xml:space="preserve">if the limit is less than the regulation level +3%. 
</t>
        </r>
        <r>
          <rPr>
            <b/>
            <sz val="9"/>
            <color indexed="81"/>
            <rFont val="Tahoma"/>
            <family val="2"/>
          </rPr>
          <t xml:space="preserve"> 
</t>
        </r>
        <r>
          <rPr>
            <sz val="9"/>
            <color indexed="81"/>
            <rFont val="Tahoma"/>
            <family val="2"/>
          </rPr>
          <t xml:space="preserve">
</t>
        </r>
      </text>
    </comment>
    <comment ref="M74" authorId="1" shapeId="0" xr:uid="{27B7591D-3163-44B0-8F59-E6AA7979D1D3}">
      <text>
        <r>
          <rPr>
            <b/>
            <u/>
            <sz val="9"/>
            <color indexed="81"/>
            <rFont val="Tahoma"/>
            <family val="2"/>
          </rPr>
          <t>Max Output Voltage Limit</t>
        </r>
        <r>
          <rPr>
            <b/>
            <sz val="9"/>
            <color indexed="81"/>
            <rFont val="Tahoma"/>
            <family val="2"/>
          </rPr>
          <t xml:space="preserve">
</t>
        </r>
        <r>
          <rPr>
            <sz val="9"/>
            <color indexed="81"/>
            <rFont val="Tahoma"/>
            <family val="2"/>
          </rPr>
          <t xml:space="preserve">Enter the max Vout limit. </t>
        </r>
        <r>
          <rPr>
            <b/>
            <sz val="9"/>
            <color indexed="81"/>
            <rFont val="Tahoma"/>
            <family val="2"/>
          </rPr>
          <t xml:space="preserve">
</t>
        </r>
        <r>
          <rPr>
            <b/>
            <sz val="10"/>
            <color indexed="10"/>
            <rFont val="Arial"/>
            <family val="2"/>
          </rPr>
          <t>Cell will turn red</t>
        </r>
        <r>
          <rPr>
            <sz val="9"/>
            <color indexed="81"/>
            <rFont val="Tahoma"/>
            <family val="2"/>
          </rPr>
          <t xml:space="preserve"> if the limit is less than the regulation level +3%. </t>
        </r>
      </text>
    </comment>
    <comment ref="F80" authorId="2" shapeId="0" xr:uid="{00000000-0006-0000-0000-000019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feedback resistor calculation)
The text in the cell will turn </t>
        </r>
        <r>
          <rPr>
            <b/>
            <sz val="9"/>
            <color indexed="10"/>
            <rFont val="Tahoma"/>
            <family val="2"/>
          </rPr>
          <t>red</t>
        </r>
        <r>
          <rPr>
            <sz val="9"/>
            <color indexed="81"/>
            <rFont val="Tahoma"/>
            <family val="2"/>
          </rPr>
          <t xml:space="preserve"> if the no load voltage drop is smaller than full load voltage drop. Wrong calculated can be resulted.
</t>
        </r>
      </text>
    </comment>
    <comment ref="F81" authorId="2" shapeId="0" xr:uid="{00000000-0006-0000-0000-00001A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83" authorId="0" shapeId="0" xr:uid="{00000000-0006-0000-0000-00001C000000}">
      <text>
        <r>
          <rPr>
            <b/>
            <u/>
            <sz val="9"/>
            <color indexed="81"/>
            <rFont val="Tahoma"/>
            <family val="2"/>
          </rPr>
          <t>Ambient Operating Temperature</t>
        </r>
        <r>
          <rPr>
            <b/>
            <sz val="9"/>
            <color indexed="81"/>
            <rFont val="Tahoma"/>
            <family val="2"/>
          </rPr>
          <t xml:space="preserve">:
</t>
        </r>
        <r>
          <rPr>
            <sz val="9"/>
            <color indexed="81"/>
            <rFont val="Tahoma"/>
            <family val="2"/>
          </rPr>
          <t>Enter the LM5185's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85" authorId="0" shapeId="0" xr:uid="{00000000-0006-0000-0000-00001D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LM5185's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3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3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<sst xmlns="http://schemas.openxmlformats.org/spreadsheetml/2006/main" count="2461" uniqueCount="960">
  <si>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</si>
  <si>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</si>
  <si>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</si>
  <si>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</si>
  <si>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</si>
  <si>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</si>
  <si>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</si>
  <si>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</si>
  <si>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</si>
  <si>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</si>
  <si>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</si>
  <si>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</si>
  <si>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</si>
  <si>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</si>
  <si>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</si>
  <si>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</si>
  <si>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</si>
  <si>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</si>
  <si>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</si>
  <si>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</si>
  <si>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</si>
  <si>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</si>
  <si>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</si>
  <si>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</si>
  <si>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</si>
  <si>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</si>
  <si>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</si>
  <si>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</si>
  <si>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</si>
  <si>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</si>
  <si>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</si>
  <si>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</si>
  <si>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</si>
  <si>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</si>
  <si>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</si>
  <si>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</si>
  <si>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</si>
  <si>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</si>
  <si>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</si>
  <si>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</si>
  <si>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</si>
  <si>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</si>
  <si>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</si>
  <si>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</si>
  <si>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</si>
  <si>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</si>
  <si>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</si>
  <si>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</si>
  <si>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</si>
  <si>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</si>
  <si>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</si>
  <si>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</si>
  <si>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</si>
  <si>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</si>
  <si>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</si>
  <si>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</si>
  <si>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</si>
  <si>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</si>
  <si>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</si>
  <si>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</si>
  <si>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</si>
  <si>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</si>
  <si>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</si>
  <si>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</si>
  <si>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</si>
  <si>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</si>
  <si>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</si>
  <si>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</si>
  <si>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</si>
  <si>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</si>
  <si>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</si>
  <si>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</si>
  <si>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</si>
  <si>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</si>
  <si>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</si>
  <si>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</si>
  <si>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</si>
  <si>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</si>
  <si>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</si>
  <si>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</si>
  <si>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</si>
  <si>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</si>
  <si>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</si>
  <si>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</si>
  <si>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</si>
  <si>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</si>
  <si>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</si>
  <si>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</si>
  <si>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</si>
  <si>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</si>
  <si>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</si>
  <si>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</si>
  <si>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</si>
  <si>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</si>
  <si>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</si>
  <si>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</si>
  <si>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</si>
  <si>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</si>
  <si>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</si>
  <si>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</si>
  <si>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</si>
  <si>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</si>
  <si>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</si>
  <si>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</si>
  <si>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</si>
  <si>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</si>
  <si>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</si>
  <si>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</si>
  <si>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</si>
  <si>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</si>
  <si>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</si>
  <si>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</si>
  <si>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</si>
  <si>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</si>
  <si>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</si>
  <si>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</si>
  <si>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</si>
  <si>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</si>
  <si>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</si>
  <si>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</si>
  <si>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</si>
  <si>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</si>
  <si>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</si>
  <si>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</si>
  <si>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</si>
  <si>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</si>
  <si>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</si>
  <si>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</si>
  <si>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</si>
  <si>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</si>
  <si>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</si>
  <si>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</si>
  <si>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</si>
  <si>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</si>
  <si>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</si>
  <si>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</si>
  <si>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</si>
  <si>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</si>
  <si>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</si>
  <si>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</si>
  <si>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</si>
  <si>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</si>
  <si>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</si>
  <si>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</si>
  <si>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</si>
  <si>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</si>
  <si>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</si>
  <si>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</si>
  <si>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</si>
  <si>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</si>
  <si>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</si>
  <si>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</si>
  <si>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</si>
  <si>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</si>
  <si>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</si>
  <si>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</si>
  <si>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</si>
  <si>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</si>
  <si>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</si>
  <si>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</si>
  <si>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</si>
  <si>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</si>
  <si>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</si>
  <si>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</si>
  <si>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</si>
  <si>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</si>
  <si>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</si>
  <si>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</si>
  <si>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</si>
  <si>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</si>
  <si>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</si>
  <si>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</si>
  <si>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</si>
  <si>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</si>
  <si>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</si>
  <si>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</si>
  <si>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</si>
  <si>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</si>
  <si>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</si>
  <si>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</si>
  <si>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</si>
  <si>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</si>
  <si>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</si>
  <si>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</si>
  <si>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</si>
  <si>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</si>
  <si>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</si>
  <si>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</si>
  <si>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</si>
  <si>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</si>
  <si>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</si>
  <si>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</si>
  <si>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</si>
  <si>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</si>
  <si>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</si>
  <si>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</si>
  <si>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</si>
  <si>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</si>
  <si>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</si>
  <si>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</si>
  <si>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</si>
  <si>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</si>
  <si>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</si>
  <si>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</si>
  <si>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</si>
  <si>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</si>
  <si>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</si>
  <si>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</si>
  <si>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</si>
  <si>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</si>
  <si>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</si>
  <si>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</si>
  <si>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</si>
  <si>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</si>
  <si>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</si>
  <si>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</si>
  <si>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</si>
  <si>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</si>
  <si>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</si>
  <si>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</si>
  <si>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</si>
  <si>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</si>
  <si>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</si>
  <si>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</si>
  <si>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</si>
  <si>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</si>
  <si>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</si>
  <si>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</si>
  <si>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</si>
  <si>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</si>
  <si>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</si>
  <si>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</si>
  <si>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</si>
  <si>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</si>
  <si>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</si>
  <si>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</si>
  <si>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</si>
  <si>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</si>
  <si>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</si>
  <si>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</si>
  <si>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</si>
  <si>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</si>
  <si>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</si>
  <si>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</si>
  <si>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</si>
  <si>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</si>
  <si>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</si>
  <si>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</si>
  <si>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</si>
  <si>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</si>
  <si>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</si>
  <si>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</si>
  <si>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</si>
  <si>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</si>
  <si>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</si>
  <si>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</si>
  <si>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</si>
  <si>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</si>
  <si>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</si>
  <si>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</si>
  <si>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</si>
  <si>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</si>
  <si>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</si>
  <si>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</si>
  <si>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</si>
  <si>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</si>
  <si>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</si>
  <si>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</si>
  <si>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</si>
  <si>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Series resistance of body diode</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</si>
  <si>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</si>
  <si>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</si>
  <si>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</si>
  <si>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</si>
  <si>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</si>
  <si>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</si>
  <si>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</si>
  <si>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</si>
  <si>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</si>
  <si>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</si>
  <si>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</si>
  <si>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</si>
  <si>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</si>
  <si>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</si>
  <si>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</si>
  <si>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</si>
  <si>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</si>
  <si>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</si>
  <si>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</si>
  <si>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</si>
  <si>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</si>
  <si>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</si>
  <si>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</si>
  <si>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</si>
  <si>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VIN</t>
    </r>
    <r>
      <rPr>
        <vertAlign val="subscript"/>
        <sz val="10"/>
        <rFont val="Arial"/>
        <family val="2"/>
      </rPr>
      <t>UVLO_OFF</t>
    </r>
  </si>
  <si>
    <t>Rhys</t>
  </si>
  <si>
    <t>Soft Start</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</si>
  <si>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</si>
  <si>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</si>
  <si>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</si>
  <si>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</si>
  <si>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</si>
  <si>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</si>
  <si>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</si>
  <si>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</si>
  <si>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</si>
  <si>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</si>
  <si>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</si>
  <si>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</si>
  <si>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</si>
  <si>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</si>
  <si>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</si>
  <si>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</si>
  <si>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</si>
  <si>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</si>
  <si>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</si>
  <si>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</si>
  <si>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</si>
  <si>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</si>
  <si>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</si>
  <si>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</si>
  <si>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</si>
  <si>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</si>
  <si>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</si>
  <si>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</si>
  <si>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</si>
  <si>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</si>
  <si>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</si>
  <si>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</si>
  <si>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</si>
  <si>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</si>
  <si>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</si>
  <si>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</si>
  <si>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</si>
  <si>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</si>
  <si>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</si>
  <si>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</si>
  <si>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</si>
  <si>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</si>
  <si>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</si>
  <si>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</si>
  <si>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</si>
  <si>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</si>
  <si>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</si>
  <si>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</si>
  <si>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</si>
  <si>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</si>
  <si>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</si>
  <si>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</si>
  <si>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</si>
  <si>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</si>
  <si>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</si>
  <si>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</si>
  <si>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</si>
  <si>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</si>
  <si>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</si>
  <si>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</si>
  <si>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</si>
  <si>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</si>
  <si>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</si>
  <si>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</si>
  <si>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</si>
  <si>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</si>
  <si>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</si>
  <si>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</si>
  <si>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</si>
  <si>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t>Single Output or Dual Outputs</t>
  </si>
  <si>
    <r>
      <t>Input Voltage – Min, V</t>
    </r>
    <r>
      <rPr>
        <b/>
        <vertAlign val="subscript"/>
        <sz val="10"/>
        <color theme="1"/>
        <rFont val="Arial"/>
        <family val="2"/>
      </rPr>
      <t>IN(min)</t>
    </r>
    <r>
      <rPr>
        <b/>
        <sz val="10"/>
        <color theme="1"/>
        <rFont val="Arial"/>
        <family val="2"/>
      </rPr>
      <t xml:space="preserve"> </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</si>
  <si>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</si>
  <si>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</si>
  <si>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</si>
  <si>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</si>
  <si>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</si>
  <si>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</si>
  <si>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</si>
  <si>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</si>
  <si>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</si>
  <si>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</si>
  <si>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</si>
  <si>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</si>
  <si>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</si>
  <si>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</si>
  <si>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</si>
  <si>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</si>
  <si>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</si>
  <si>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</si>
  <si>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</si>
  <si>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</si>
  <si>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</si>
  <si>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</si>
  <si>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</si>
  <si>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</si>
  <si>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</si>
  <si>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</si>
  <si>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</si>
  <si>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</si>
  <si>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</si>
  <si>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</si>
  <si>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</si>
  <si>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</si>
  <si>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</si>
  <si>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</si>
  <si>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</si>
  <si>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</si>
  <si>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</si>
  <si>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</si>
  <si>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</si>
  <si>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</si>
  <si>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</si>
  <si>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</si>
  <si>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</si>
  <si>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</si>
  <si>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</si>
  <si>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</si>
  <si>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</si>
  <si>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</si>
  <si>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</si>
  <si>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</si>
  <si>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</si>
  <si>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</si>
  <si>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</si>
  <si>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</si>
  <si>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</si>
  <si>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</si>
  <si>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</si>
  <si>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</si>
  <si>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</si>
  <si>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</si>
  <si>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</si>
  <si>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</si>
  <si>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</si>
  <si>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</si>
  <si>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</si>
  <si>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</si>
  <si>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</si>
  <si>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</si>
  <si>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</si>
  <si>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</si>
  <si>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</si>
  <si>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</si>
  <si>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</si>
  <si>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</si>
  <si>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</si>
  <si>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</si>
  <si>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</si>
  <si>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</si>
  <si>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</si>
  <si>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</si>
  <si>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</si>
  <si>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</si>
  <si>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</si>
  <si>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</si>
  <si>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</si>
  <si>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</si>
  <si>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</si>
  <si>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</si>
  <si>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</si>
  <si>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</si>
  <si>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</si>
  <si>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</si>
  <si>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</si>
  <si>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</si>
  <si>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</si>
  <si>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</si>
  <si>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</si>
  <si>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</si>
  <si>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</si>
  <si>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</si>
  <si>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</si>
  <si>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</si>
  <si>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</si>
  <si>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</si>
  <si>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</si>
  <si>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</si>
  <si>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</si>
  <si>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</si>
  <si>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</si>
  <si>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</si>
  <si>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</si>
  <si>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</si>
  <si>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</si>
  <si>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Cout (µF) for 1%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</si>
  <si>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</si>
  <si>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</si>
  <si>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</si>
  <si>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</si>
  <si>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</si>
  <si>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</si>
  <si>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</si>
  <si>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</si>
  <si>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</si>
  <si>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</si>
  <si>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</si>
  <si>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</si>
  <si>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</si>
  <si>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</si>
  <si>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 xml:space="preserve">Resulting Input Voltage Ripple </t>
  </si>
  <si>
    <t>Check Iout-max</t>
  </si>
  <si>
    <t>Iout2</t>
  </si>
  <si>
    <t>Rout2</t>
  </si>
  <si>
    <t>Pout2</t>
  </si>
  <si>
    <t>Load resistance #2</t>
  </si>
  <si>
    <t>Output power #2</t>
  </si>
  <si>
    <t xml:space="preserve">Total Output Power </t>
  </si>
  <si>
    <t>Total power</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</si>
  <si>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</si>
  <si>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</si>
  <si>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</si>
  <si>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</si>
  <si>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</si>
  <si>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</si>
  <si>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</si>
  <si>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</si>
  <si>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</si>
  <si>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</si>
  <si>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</si>
  <si>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</si>
  <si>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</si>
  <si>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</si>
  <si>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</si>
  <si>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</si>
  <si>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</si>
  <si>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</si>
  <si>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</si>
  <si>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</si>
  <si>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</si>
  <si>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</si>
  <si>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</si>
  <si>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</si>
  <si>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</si>
  <si>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</si>
  <si>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</si>
  <si>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</si>
  <si>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</si>
  <si>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</si>
  <si>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</si>
  <si>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</si>
  <si>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</si>
  <si>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</si>
  <si>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</si>
  <si>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</si>
  <si>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</si>
  <si>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</si>
  <si>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</si>
  <si>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</si>
  <si>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</si>
  <si>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</si>
  <si>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</si>
  <si>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</si>
  <si>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</si>
  <si>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</si>
  <si>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</si>
  <si>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</si>
  <si>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</si>
  <si>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</si>
  <si>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</si>
  <si>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</si>
  <si>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</si>
  <si>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</si>
  <si>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</si>
  <si>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</si>
  <si>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</si>
  <si>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</si>
  <si>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</si>
  <si>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</si>
  <si>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</si>
  <si>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</si>
  <si>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</si>
  <si>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</si>
  <si>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</si>
  <si>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</si>
  <si>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</si>
  <si>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</si>
  <si>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</si>
  <si>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</si>
  <si>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</si>
  <si>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</si>
  <si>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</si>
  <si>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</si>
  <si>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</si>
  <si>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</si>
  <si>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</si>
  <si>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</si>
  <si>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</si>
  <si>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</si>
  <si>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</si>
  <si>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</si>
  <si>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</si>
  <si>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</si>
  <si>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</si>
  <si>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</si>
  <si>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</si>
  <si>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</si>
  <si>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</si>
  <si>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</si>
  <si>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</si>
  <si>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</si>
  <si>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</si>
  <si>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</si>
  <si>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</si>
  <si>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</si>
  <si>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</si>
  <si>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</si>
  <si>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</si>
  <si>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</si>
  <si>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r>
      <t>Max Output Power at V</t>
    </r>
    <r>
      <rPr>
        <vertAlign val="subscript"/>
        <sz val="10"/>
        <rFont val="Arial"/>
        <family val="2"/>
      </rPr>
      <t>IN(min)</t>
    </r>
  </si>
  <si>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</si>
  <si>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</si>
  <si>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</si>
  <si>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</si>
  <si>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</si>
  <si>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</si>
  <si>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</si>
  <si>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</si>
  <si>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</si>
  <si>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</si>
  <si>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</si>
  <si>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</si>
  <si>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</si>
  <si>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</si>
  <si>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</si>
  <si>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</si>
  <si>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</si>
  <si>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</si>
  <si>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t>24V</t>
  </si>
  <si>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</si>
  <si>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</si>
  <si>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</si>
  <si>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</si>
  <si>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</si>
  <si>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</si>
  <si>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</si>
  <si>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</si>
  <si>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</si>
  <si>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</si>
  <si>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</si>
  <si>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t>5.0 x 2.5</t>
  </si>
  <si>
    <t>3.6 x 1.8</t>
  </si>
  <si>
    <t>2.5 x 1.25</t>
  </si>
  <si>
    <t>SOD523</t>
  </si>
  <si>
    <t>Flyback Diode - forward current rating</t>
  </si>
  <si>
    <t>Flyback Diode - reverse voltage rating</t>
  </si>
  <si>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</si>
  <si>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</si>
  <si>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</si>
  <si>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</si>
  <si>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</si>
  <si>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</si>
  <si>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</si>
  <si>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</si>
  <si>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</si>
  <si>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</si>
  <si>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</si>
  <si>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</si>
  <si>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</si>
  <si>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</si>
  <si>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</si>
  <si>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</si>
  <si>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</si>
  <si>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</si>
  <si>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Lmin</t>
  </si>
  <si>
    <t>Lleak</t>
  </si>
  <si>
    <t>nH</t>
  </si>
  <si>
    <t>Pri-Sec Leakage Inductance</t>
  </si>
  <si>
    <t>Check Fsw at  Iout-max</t>
  </si>
  <si>
    <t>Check Pout-max at  Iout-max</t>
  </si>
  <si>
    <t>P-Transforer (W)</t>
  </si>
  <si>
    <t>P-Trans-Total (mW)</t>
  </si>
  <si>
    <t>RdsonTC</t>
  </si>
  <si>
    <t>ppm/°C</t>
  </si>
  <si>
    <t>Drain to Source Resistance Temp Co</t>
  </si>
  <si>
    <t>IC thermal impedance</t>
  </si>
  <si>
    <t>ThetaJA</t>
  </si>
  <si>
    <t>P-trans (W)</t>
  </si>
  <si>
    <t>**** Use a flyback diode RC snubber to dampen ringing if needed ****</t>
  </si>
  <si>
    <t>***** Use an output zener to clamp the output at no load *****</t>
  </si>
  <si>
    <t>*** Use a primary-side RC snubber from SW to VIN to dampen leakage inductance spike ***</t>
  </si>
  <si>
    <t>** Appropriately derate the effective input and output capacitances for applied voltage and temperature, particularly with ceramics **</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</si>
  <si>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</si>
  <si>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</si>
  <si>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</si>
  <si>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</si>
  <si>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</si>
  <si>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</si>
  <si>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</si>
  <si>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</si>
  <si>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</si>
  <si>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</si>
  <si>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</si>
  <si>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</si>
  <si>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</si>
  <si>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</si>
  <si>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</si>
  <si>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</si>
  <si>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</si>
  <si>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</si>
  <si>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</si>
  <si>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</si>
  <si>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</si>
  <si>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</si>
  <si>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</si>
  <si>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</si>
  <si>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</si>
  <si>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</si>
  <si>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</si>
  <si>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</si>
  <si>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</si>
  <si>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</si>
  <si>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</si>
  <si>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</si>
  <si>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</si>
  <si>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</si>
  <si>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</si>
  <si>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</si>
  <si>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</si>
  <si>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</si>
  <si>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</si>
  <si>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</si>
  <si>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</si>
  <si>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</si>
  <si>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</si>
  <si>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</si>
  <si>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</si>
  <si>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</si>
  <si>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</si>
  <si>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</si>
  <si>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</si>
  <si>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</si>
  <si>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</si>
  <si>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</si>
  <si>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</si>
  <si>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</si>
  <si>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</si>
  <si>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</si>
  <si>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</si>
  <si>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</si>
  <si>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</si>
  <si>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</si>
  <si>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</si>
  <si>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</si>
  <si>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</si>
  <si>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</si>
  <si>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</si>
  <si>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</si>
  <si>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</si>
  <si>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</si>
  <si>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</si>
  <si>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</si>
  <si>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</si>
  <si>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</si>
  <si>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</si>
  <si>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</si>
  <si>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</si>
  <si>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</si>
  <si>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</si>
  <si>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</si>
  <si>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</si>
  <si>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</si>
  <si>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</si>
  <si>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</si>
  <si>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</si>
  <si>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</si>
  <si>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</si>
  <si>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</si>
  <si>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</si>
  <si>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</si>
  <si>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</si>
  <si>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</si>
  <si>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</si>
  <si>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</si>
  <si>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</si>
  <si>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Rcs</t>
  </si>
  <si>
    <r>
      <t>Sense Resistor, R</t>
    </r>
    <r>
      <rPr>
        <b/>
        <vertAlign val="subscript"/>
        <sz val="10"/>
        <color theme="1"/>
        <rFont val="Arial"/>
        <family val="2"/>
      </rPr>
      <t>CS</t>
    </r>
    <r>
      <rPr>
        <b/>
        <sz val="10"/>
        <color theme="1"/>
        <rFont val="Arial"/>
        <family val="2"/>
      </rPr>
      <t xml:space="preserve"> </t>
    </r>
  </si>
  <si>
    <t>IpkCAL</t>
  </si>
  <si>
    <t>RCSmin</t>
  </si>
  <si>
    <t>LM5185 quiescent current</t>
  </si>
  <si>
    <t>P-FET-Total (W)</t>
  </si>
  <si>
    <t>P-IC-Total</t>
  </si>
  <si>
    <t>P-Total (mW)</t>
  </si>
  <si>
    <r>
      <t>LM5185 IC Power Dissipation at Full Load, P</t>
    </r>
    <r>
      <rPr>
        <vertAlign val="subscript"/>
        <sz val="10"/>
        <rFont val="Arial"/>
        <family val="2"/>
      </rPr>
      <t>D</t>
    </r>
  </si>
  <si>
    <r>
      <t>LM5185 Junction Temperature at Full Load, T</t>
    </r>
    <r>
      <rPr>
        <vertAlign val="subscript"/>
        <sz val="10"/>
        <rFont val="Arial"/>
        <family val="2"/>
      </rPr>
      <t>J</t>
    </r>
  </si>
  <si>
    <t>dB</t>
  </si>
  <si>
    <t>Reference voltage, updated</t>
  </si>
  <si>
    <t>10 kΩ</t>
  </si>
  <si>
    <t>10kΩ</t>
  </si>
  <si>
    <t>1.2 : 1</t>
  </si>
  <si>
    <t>1 : 1.2</t>
  </si>
  <si>
    <t>Fsw=</t>
  </si>
  <si>
    <t>Checking ro operatingmode at Vnom</t>
  </si>
  <si>
    <t>Lm=</t>
  </si>
  <si>
    <t>Ipk=</t>
  </si>
  <si>
    <t>Duty=</t>
  </si>
  <si>
    <t>Po</t>
  </si>
  <si>
    <t>Po actual</t>
  </si>
  <si>
    <t>LM5185 Parameters</t>
  </si>
  <si>
    <t>Primary Peak Current, Ipk</t>
  </si>
  <si>
    <t>Allawable max Fco</t>
  </si>
  <si>
    <r>
      <t>C</t>
    </r>
    <r>
      <rPr>
        <vertAlign val="subscript"/>
        <sz val="10"/>
        <rFont val="Arial"/>
        <family val="2"/>
      </rPr>
      <t>OUT</t>
    </r>
    <r>
      <rPr>
        <sz val="10"/>
        <rFont val="Arial"/>
        <family val="2"/>
      </rPr>
      <t xml:space="preserve"> ESR Zero Frequency </t>
    </r>
  </si>
  <si>
    <t>Flyback RHP Zero Frequency</t>
  </si>
  <si>
    <t>Allowed Maximum Crossover Frequency</t>
  </si>
  <si>
    <t>Load Pole Frequency</t>
  </si>
  <si>
    <t>Excessive</t>
  </si>
  <si>
    <t>FcoRange</t>
  </si>
  <si>
    <t>Fco_select</t>
  </si>
  <si>
    <t>AN</t>
  </si>
  <si>
    <t>AO</t>
  </si>
  <si>
    <t>AP</t>
  </si>
  <si>
    <t>AQ</t>
  </si>
  <si>
    <t>AR</t>
  </si>
  <si>
    <t>Sampling</t>
  </si>
  <si>
    <t>Power ckt</t>
  </si>
  <si>
    <t>Gain_pwr</t>
  </si>
  <si>
    <t>CHF</t>
  </si>
  <si>
    <r>
      <t>k</t>
    </r>
    <r>
      <rPr>
        <sz val="10"/>
        <rFont val="Calibri"/>
        <family val="2"/>
      </rPr>
      <t>Ω</t>
    </r>
  </si>
  <si>
    <r>
      <t>k</t>
    </r>
    <r>
      <rPr>
        <b/>
        <sz val="10"/>
        <rFont val="Calibri"/>
        <family val="2"/>
      </rPr>
      <t>Ω</t>
    </r>
  </si>
  <si>
    <r>
      <t>Recommended R</t>
    </r>
    <r>
      <rPr>
        <vertAlign val="subscript"/>
        <sz val="10"/>
        <rFont val="Arial"/>
        <family val="2"/>
      </rPr>
      <t>COMP</t>
    </r>
  </si>
  <si>
    <r>
      <t>Selected R</t>
    </r>
    <r>
      <rPr>
        <b/>
        <vertAlign val="subscript"/>
        <sz val="10"/>
        <rFont val="Arial"/>
        <family val="2"/>
      </rPr>
      <t>COMP</t>
    </r>
  </si>
  <si>
    <r>
      <t>Recommended C</t>
    </r>
    <r>
      <rPr>
        <vertAlign val="subscript"/>
        <sz val="10"/>
        <rFont val="Arial"/>
        <family val="2"/>
      </rPr>
      <t>COMP</t>
    </r>
  </si>
  <si>
    <r>
      <t>Selected C</t>
    </r>
    <r>
      <rPr>
        <b/>
        <vertAlign val="subscript"/>
        <sz val="10"/>
        <rFont val="Arial"/>
        <family val="2"/>
      </rPr>
      <t>COMP</t>
    </r>
  </si>
  <si>
    <r>
      <t>Recommended C</t>
    </r>
    <r>
      <rPr>
        <vertAlign val="subscript"/>
        <sz val="10"/>
        <rFont val="Arial"/>
        <family val="2"/>
      </rPr>
      <t>HF</t>
    </r>
  </si>
  <si>
    <r>
      <t>Selected C</t>
    </r>
    <r>
      <rPr>
        <b/>
        <vertAlign val="subscript"/>
        <sz val="10"/>
        <color theme="1"/>
        <rFont val="Arial"/>
        <family val="2"/>
      </rPr>
      <t>HF</t>
    </r>
  </si>
  <si>
    <r>
      <t>Upper UVLO Resistor, R</t>
    </r>
    <r>
      <rPr>
        <vertAlign val="subscript"/>
        <sz val="10"/>
        <rFont val="Arial"/>
        <family val="2"/>
      </rPr>
      <t>UVH</t>
    </r>
  </si>
  <si>
    <r>
      <t>Lower UVLO Resistor, R</t>
    </r>
    <r>
      <rPr>
        <vertAlign val="subscript"/>
        <sz val="10"/>
        <rFont val="Arial"/>
        <family val="2"/>
      </rPr>
      <t>UVL</t>
    </r>
  </si>
  <si>
    <t>Raw Calculation</t>
  </si>
  <si>
    <t>Fine tuning:  Calculations are performed at Vin(nom), Vin(min) and Vin(max) below</t>
  </si>
  <si>
    <t>secondaryt conduction time</t>
  </si>
  <si>
    <t>Ls1</t>
  </si>
  <si>
    <t>Ls2</t>
  </si>
  <si>
    <t>calculated D' based on raw calculation</t>
  </si>
  <si>
    <t>D1' based on raw calculation</t>
  </si>
  <si>
    <t>D2' based on raw calculation</t>
  </si>
  <si>
    <t xml:space="preserve">                       LM5185-Q1 PSR Flyback Controller Design Tool</t>
  </si>
  <si>
    <t>Recommended xfmr turns ratio</t>
  </si>
  <si>
    <t>uH</t>
  </si>
  <si>
    <t>Final chosen turns ratio should be close to this value.</t>
  </si>
  <si>
    <t>Recommned Magnetizing Inductance</t>
  </si>
  <si>
    <r>
      <t>Chosen Magnetizing Inductance, L</t>
    </r>
    <r>
      <rPr>
        <b/>
        <vertAlign val="subscript"/>
        <sz val="10"/>
        <color theme="1"/>
        <rFont val="Arial"/>
        <family val="2"/>
      </rPr>
      <t>MAG</t>
    </r>
    <r>
      <rPr>
        <b/>
        <sz val="10"/>
        <color theme="1"/>
        <rFont val="Arial"/>
        <family val="2"/>
      </rPr>
      <t xml:space="preserve"> </t>
    </r>
  </si>
  <si>
    <t>Fsw at Vin_min</t>
  </si>
  <si>
    <t>Ipkmax  Allowed (20% margin)</t>
  </si>
  <si>
    <t>Max Rcs_rec1</t>
  </si>
  <si>
    <t>Max Rcs_rec2</t>
  </si>
  <si>
    <t>By 100mV VCS pk limit</t>
  </si>
  <si>
    <t>By 450ns min decay time</t>
  </si>
  <si>
    <t>Proposed Transformer Turns Ratio PRI : SEC1</t>
  </si>
  <si>
    <r>
      <t>Maximum Power Dissipation in R</t>
    </r>
    <r>
      <rPr>
        <vertAlign val="subscript"/>
        <sz val="10"/>
        <color theme="1"/>
        <rFont val="Arial"/>
        <family val="2"/>
      </rPr>
      <t>CS</t>
    </r>
    <r>
      <rPr>
        <sz val="10"/>
        <color theme="1"/>
        <rFont val="Arial"/>
        <family val="2"/>
      </rPr>
      <t xml:space="preserve"> </t>
    </r>
  </si>
  <si>
    <t>with selected Lmag</t>
  </si>
  <si>
    <t>Lmin_abs</t>
  </si>
  <si>
    <t>Maximum RCS for IPEAK (10% Power Margin)</t>
  </si>
  <si>
    <r>
      <t>Select MOSFET R</t>
    </r>
    <r>
      <rPr>
        <b/>
        <vertAlign val="subscript"/>
        <sz val="10"/>
        <rFont val="Arial"/>
        <family val="2"/>
      </rPr>
      <t>DSON</t>
    </r>
  </si>
  <si>
    <t xml:space="preserve">power </t>
  </si>
  <si>
    <t>MOSFET Min Voltage Rating</t>
  </si>
  <si>
    <t>Min Drain Voltage Rating</t>
  </si>
  <si>
    <t>Can logic level FET be used?</t>
  </si>
  <si>
    <t>Can regular FET be used?</t>
  </si>
  <si>
    <t>Yes</t>
  </si>
  <si>
    <r>
      <t>Recommended Minimum D</t>
    </r>
    <r>
      <rPr>
        <vertAlign val="subscript"/>
        <sz val="10"/>
        <rFont val="Arial"/>
        <family val="2"/>
      </rPr>
      <t>CLAMP</t>
    </r>
    <r>
      <rPr>
        <sz val="10"/>
        <rFont val="Arial"/>
        <family val="2"/>
      </rPr>
      <t xml:space="preserve"> Voltage</t>
    </r>
  </si>
  <si>
    <r>
      <t>D</t>
    </r>
    <r>
      <rPr>
        <b/>
        <vertAlign val="subscript"/>
        <sz val="10"/>
        <rFont val="Arial"/>
        <family val="2"/>
      </rPr>
      <t>CLAMP</t>
    </r>
    <r>
      <rPr>
        <b/>
        <sz val="10"/>
        <rFont val="Arial"/>
        <family val="2"/>
      </rPr>
      <t xml:space="preserve"> Voltage </t>
    </r>
  </si>
  <si>
    <t>Recommended Max MOSFET Qg</t>
  </si>
  <si>
    <t>Selected MOSFET Qg</t>
  </si>
  <si>
    <r>
      <t>Selected MOSFET C</t>
    </r>
    <r>
      <rPr>
        <b/>
        <vertAlign val="subscript"/>
        <sz val="10"/>
        <rFont val="Arial"/>
        <family val="2"/>
      </rPr>
      <t>OSS</t>
    </r>
  </si>
  <si>
    <t>Step 4: Power MOSFET Suggetions and  Zener Clamp</t>
  </si>
  <si>
    <t>Step 5: Input &amp; Output Capacitors</t>
  </si>
  <si>
    <t>`</t>
  </si>
  <si>
    <r>
      <t>V</t>
    </r>
    <r>
      <rPr>
        <b/>
        <vertAlign val="subscript"/>
        <sz val="16"/>
        <rFont val="Calibri"/>
        <family val="2"/>
      </rPr>
      <t xml:space="preserve">IN </t>
    </r>
    <r>
      <rPr>
        <b/>
        <sz val="16"/>
        <rFont val="Calibri"/>
        <family val="2"/>
      </rPr>
      <t>=</t>
    </r>
  </si>
  <si>
    <t>Selected Crossover Frquency (Fco)</t>
  </si>
  <si>
    <t>Ccopm</t>
  </si>
  <si>
    <t>k</t>
  </si>
  <si>
    <t>m</t>
  </si>
  <si>
    <t>Cflt</t>
  </si>
  <si>
    <t>100pF</t>
  </si>
  <si>
    <t>Rflt</t>
  </si>
  <si>
    <r>
      <t>Recommended CS Pin Filter Resistor R</t>
    </r>
    <r>
      <rPr>
        <vertAlign val="subscript"/>
        <sz val="10"/>
        <rFont val="Arial"/>
        <family val="2"/>
      </rPr>
      <t>FLT</t>
    </r>
  </si>
  <si>
    <r>
      <t>Recommended CS Pin Filter Resistor C</t>
    </r>
    <r>
      <rPr>
        <vertAlign val="subscript"/>
        <sz val="10"/>
        <rFont val="Arial"/>
        <family val="2"/>
      </rPr>
      <t>FLT</t>
    </r>
  </si>
  <si>
    <t>Step 3: Current Sense Resistor and Noise Filter</t>
  </si>
  <si>
    <t>Step 6: Rectifier Diode(s)</t>
  </si>
  <si>
    <t>Vou2 Diode cond duration</t>
  </si>
  <si>
    <t>Vout1 Diode cond duration</t>
  </si>
  <si>
    <t>Min Diode Voltage Rating, Output #2</t>
  </si>
  <si>
    <t>Min Diode DC Current Rating, Output #2</t>
  </si>
  <si>
    <t>Step 7: Feedback, Soft-start, TC, UVLO</t>
  </si>
  <si>
    <t>Diode VF</t>
  </si>
  <si>
    <t>Vfwd22</t>
  </si>
  <si>
    <r>
      <t>Input Voltage – Nom, V</t>
    </r>
    <r>
      <rPr>
        <b/>
        <vertAlign val="subscript"/>
        <sz val="10"/>
        <color rgb="FF0000FF"/>
        <rFont val="Arial"/>
        <family val="2"/>
      </rPr>
      <t>IN(nom)</t>
    </r>
  </si>
  <si>
    <t>MOSFET Power dissipation (WC)</t>
  </si>
  <si>
    <t>Single output</t>
  </si>
  <si>
    <t>Dual</t>
  </si>
  <si>
    <t>Final</t>
  </si>
  <si>
    <t>Estimated Max MOSFET Power Dissipation</t>
  </si>
  <si>
    <t>MOSFET Loss</t>
  </si>
  <si>
    <t>Step 8:  Compensation Design</t>
  </si>
  <si>
    <t>Snubber Capacitor Voltage Rating&gt;</t>
  </si>
  <si>
    <t>Snubber Resistor Power Rating&gt;</t>
  </si>
  <si>
    <t>Initial Csnb2</t>
  </si>
  <si>
    <t>Initial Rsnb2</t>
  </si>
  <si>
    <t>Step 9:  Optional RC Snubber acorss Rectifier Diode(s)</t>
  </si>
  <si>
    <t>Step 10:  Output Zener Clamp and/or Dummy Load</t>
  </si>
  <si>
    <t>Step 11: Power Losses &amp; Thermals</t>
  </si>
  <si>
    <t>Selected Device Min Power Rating&gt;</t>
  </si>
  <si>
    <t>Rdym</t>
  </si>
  <si>
    <t>Rdym1</t>
  </si>
  <si>
    <t>Rdym2</t>
  </si>
  <si>
    <t>min Load</t>
  </si>
  <si>
    <t>min Load1</t>
  </si>
  <si>
    <t>min Load 2</t>
  </si>
  <si>
    <t xml:space="preserve">Customer Min Load </t>
  </si>
  <si>
    <t>Iout_min</t>
  </si>
  <si>
    <t>Po-min</t>
  </si>
  <si>
    <t>Required min load</t>
  </si>
  <si>
    <t>Ton Min</t>
  </si>
  <si>
    <t>Vin_max</t>
  </si>
  <si>
    <t>Fsw_min</t>
  </si>
  <si>
    <t>Po_cal</t>
  </si>
  <si>
    <t>Do you need a  Dummy Load</t>
  </si>
  <si>
    <t>Customer Min Load 1</t>
  </si>
  <si>
    <t>Customer Min Load 2</t>
  </si>
  <si>
    <t>Iout_min1</t>
  </si>
  <si>
    <t>Po-min1</t>
  </si>
  <si>
    <t>Iout_min2</t>
  </si>
  <si>
    <t>Po-min2</t>
  </si>
  <si>
    <t>Do you need a  Dummy Load1</t>
  </si>
  <si>
    <t>Do you need a  Dummy Load2</t>
  </si>
  <si>
    <t>LM5185EVM-SIO PCB Design, 2.4" x 3.6" (60mm x 90mm)</t>
  </si>
  <si>
    <t xml:space="preserve">&lt;--Please input the effective capacitance under the actual dc voltage bias of the designated outpt rail. </t>
  </si>
  <si>
    <t>Slecct  Diode Forward Drop VF, Output #2</t>
  </si>
  <si>
    <r>
      <t>Flyback Diode Voltage Drop, VF</t>
    </r>
    <r>
      <rPr>
        <b/>
        <vertAlign val="subscript"/>
        <sz val="10"/>
        <rFont val="Arial"/>
        <family val="2"/>
      </rPr>
      <t>(no-load)</t>
    </r>
  </si>
  <si>
    <r>
      <t>Flyback Diode Voltage Drop, VF</t>
    </r>
    <r>
      <rPr>
        <vertAlign val="subscript"/>
        <sz val="10"/>
        <rFont val="Arial"/>
        <family val="2"/>
      </rPr>
      <t>(full-load)</t>
    </r>
  </si>
  <si>
    <t xml:space="preserve">Important: Remember to update Cell E80 below, which is VF at no load, in order to get a more accurate output voltage setting in Step 7. </t>
  </si>
  <si>
    <r>
      <t>C</t>
    </r>
    <r>
      <rPr>
        <vertAlign val="subscript"/>
        <sz val="10"/>
        <rFont val="Arial"/>
        <family val="2"/>
      </rPr>
      <t>VCC</t>
    </r>
  </si>
  <si>
    <t>Capacitor, Ceramic, 1µF, 25V, X7R, 10%</t>
  </si>
  <si>
    <r>
      <t>C</t>
    </r>
    <r>
      <rPr>
        <vertAlign val="subscript"/>
        <sz val="10"/>
        <rFont val="Arial"/>
        <family val="2"/>
      </rPr>
      <t>COMP</t>
    </r>
  </si>
  <si>
    <r>
      <t>C</t>
    </r>
    <r>
      <rPr>
        <vertAlign val="subscript"/>
        <sz val="10"/>
        <rFont val="Arial"/>
        <family val="2"/>
      </rPr>
      <t>HF</t>
    </r>
  </si>
  <si>
    <r>
      <t>R</t>
    </r>
    <r>
      <rPr>
        <vertAlign val="subscript"/>
        <sz val="10"/>
        <rFont val="Arial"/>
        <family val="2"/>
      </rPr>
      <t>COMP</t>
    </r>
  </si>
  <si>
    <r>
      <t>R</t>
    </r>
    <r>
      <rPr>
        <vertAlign val="subscript"/>
        <sz val="10"/>
        <rFont val="Arial"/>
        <family val="2"/>
      </rPr>
      <t>CS</t>
    </r>
  </si>
  <si>
    <t>Non-inductive Chip Power Resistor, 1%</t>
  </si>
  <si>
    <r>
      <t>C</t>
    </r>
    <r>
      <rPr>
        <vertAlign val="subscript"/>
        <sz val="10"/>
        <rFont val="Arial"/>
        <family val="2"/>
      </rPr>
      <t>FLT</t>
    </r>
  </si>
  <si>
    <t>Capacitor, Ceramic, 100pF, 50V, X7R, 10%</t>
  </si>
  <si>
    <r>
      <t>R</t>
    </r>
    <r>
      <rPr>
        <vertAlign val="subscript"/>
        <sz val="10"/>
        <rFont val="Arial"/>
        <family val="2"/>
      </rPr>
      <t>FLT</t>
    </r>
  </si>
  <si>
    <r>
      <t>LM5185-Q1 Low I</t>
    </r>
    <r>
      <rPr>
        <b/>
        <vertAlign val="subscript"/>
        <sz val="16"/>
        <rFont val="Arial"/>
        <family val="2"/>
      </rPr>
      <t>Q</t>
    </r>
    <r>
      <rPr>
        <b/>
        <sz val="16"/>
        <rFont val="Arial"/>
        <family val="2"/>
      </rPr>
      <t>, High Efficiency, PSR Flyback Converter BOM</t>
    </r>
  </si>
  <si>
    <t>LM5185-Q1</t>
  </si>
  <si>
    <t>IC, LM5185-Q1, PSR Flyback Controller, 4.5V–100V Input</t>
  </si>
  <si>
    <t>HTSSOP14</t>
  </si>
  <si>
    <r>
      <t>D</t>
    </r>
    <r>
      <rPr>
        <vertAlign val="subscript"/>
        <sz val="10"/>
        <rFont val="Arial"/>
        <family val="2"/>
      </rPr>
      <t>Z1</t>
    </r>
  </si>
  <si>
    <r>
      <t>D</t>
    </r>
    <r>
      <rPr>
        <vertAlign val="subscript"/>
        <sz val="10"/>
        <rFont val="Arial"/>
        <family val="2"/>
      </rPr>
      <t>Z2</t>
    </r>
  </si>
  <si>
    <t>2510</t>
  </si>
  <si>
    <t>9.3 x 2.7</t>
  </si>
  <si>
    <t>(Always reserve the snubber position on PCB and validatate experimentally.)</t>
  </si>
  <si>
    <t>LM5185EVM-MIO PCB Design, (Multiple Outputs, coming soon)</t>
  </si>
  <si>
    <t>* Choose a transformer with saturation current rating higher than the max peak current limit setting for all operating temperatures *</t>
  </si>
  <si>
    <t xml:space="preserve"> LM5185-Q1 PSR Flyback Controller Design Tool</t>
  </si>
  <si>
    <r>
      <t>Q</t>
    </r>
    <r>
      <rPr>
        <vertAlign val="subscript"/>
        <sz val="10"/>
        <rFont val="Arial"/>
        <family val="2"/>
      </rPr>
      <t>1</t>
    </r>
  </si>
  <si>
    <t>Power MOSFET</t>
  </si>
  <si>
    <t>SO-8</t>
  </si>
  <si>
    <t>5.0 x 6.0</t>
  </si>
  <si>
    <t>5.0 x 6.4</t>
  </si>
  <si>
    <t>22mm x 17mm</t>
  </si>
  <si>
    <t>11 x 14</t>
  </si>
  <si>
    <t>23 x 17</t>
  </si>
  <si>
    <t>Toff Max</t>
  </si>
  <si>
    <r>
      <t xml:space="preserve">Estimated Thermal Impedance, </t>
    </r>
    <r>
      <rPr>
        <sz val="11"/>
        <rFont val="Symbol"/>
        <family val="1"/>
        <charset val="2"/>
      </rPr>
      <t>J</t>
    </r>
    <r>
      <rPr>
        <vertAlign val="subscript"/>
        <sz val="10"/>
        <rFont val="Arial"/>
        <family val="2"/>
      </rPr>
      <t>JA</t>
    </r>
  </si>
  <si>
    <t>Recommended Zener VoltageSelection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</si>
</sst>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_(* #,##0.00_);_(* \(#,##0.00\);_(* &quot;-&quot;??_);_(@_)"/>
    <numFmt numFmtId="177" formatCode="0.00000"/>
    <numFmt numFmtId="178" formatCode="0.0000"/>
    <numFmt numFmtId="179" formatCode="0.000"/>
    <numFmt numFmtId="180" formatCode="0.0"/>
    <numFmt numFmtId="181" formatCode="0.000E+00"/>
    <numFmt numFmtId="182" formatCode="#0.0#"/>
    <numFmt numFmtId="183" formatCode="General&quot;k&quot;"/>
    <numFmt numFmtId="184" formatCode="General&quot;µF&quot;"/>
    <numFmt numFmtId="185" formatCode="General&quot;µH&quot;"/>
    <numFmt numFmtId="186" formatCode="&quot;Inductor, &quot;General&quot;-µH, 10%&quot;"/>
    <numFmt numFmtId="187" formatCode="&quot;Resistor, Chip, &quot;General&quot;-kΩ, 1/16W, 1%&quot;"/>
    <numFmt numFmtId="188" formatCode="0.E+00"/>
    <numFmt numFmtId="189" formatCode="0.0E+00"/>
    <numFmt numFmtId="190" formatCode="&quot;Capacitor, Ceramic, &quot;General&quot;-µF, 100V, X7R, 20%&quot;"/>
    <numFmt numFmtId="191" formatCode="0.000%"/>
    <numFmt numFmtId="192" formatCode="&quot;Capacitor, Ceramic, &quot;General&quot;-µF, 16V, X7R, 20%&quot;"/>
    <numFmt numFmtId="193" formatCode="&quot;Resistor, Chip, &quot;General&quot; kΩ, 1/16W, 1%&quot;"/>
    <numFmt numFmtId="194" formatCode="General&quot;M&quot;"/>
    <numFmt numFmtId="195" formatCode="&quot;Resistor, Chip, &quot;General&quot;kΩ, 1/16W, 1%&quot;"/>
    <numFmt numFmtId="196" formatCode="0E+00"/>
    <numFmt numFmtId="197" formatCode="0.000000"/>
  </numFmts>
  <fonts count="93">
    <font>
      <sz val="10"/>
      <name val="Arial"/>
    </font>
    <font>
      <sz val="11"/>
      <color theme="1"/>
      <name val="Arial"/>
      <family val="2"/>
    </font>
    <font>
      <sz val="11"/>
      <color theme="1"/>
      <name val="宋体"/>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sz val="36"/>
      <color rgb="FFFF0000"/>
      <name val="Arial"/>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宋体"/>
      <family val="1"/>
      <scheme val="major"/>
    </font>
    <font>
      <b/>
      <sz val="10"/>
      <color indexed="8"/>
      <name val="Arial"/>
      <family val="2"/>
    </font>
    <font>
      <sz val="10"/>
      <name val="Times New Roman"/>
      <family val="1"/>
    </font>
    <font>
      <sz val="18"/>
      <name val="Arial"/>
      <family val="2"/>
    </font>
    <font>
      <b/>
      <sz val="10"/>
      <color rgb="FF0000FF"/>
      <name val="Arial"/>
      <family val="2"/>
    </font>
    <font>
      <u/>
      <sz val="10"/>
      <color theme="0" tint="-0.499984740745262"/>
      <name val="Arial"/>
      <family val="2"/>
    </font>
    <font>
      <vertAlign val="subscript"/>
      <sz val="9"/>
      <color indexed="81"/>
      <name val="Tahoma"/>
      <family val="2"/>
    </font>
    <font>
      <b/>
      <vertAlign val="subscript"/>
      <sz val="16"/>
      <name val="Arial"/>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sz val="6"/>
      <name val="ＭＳ Ｐゴシック"/>
      <family val="3"/>
      <charset val="128"/>
    </font>
    <font>
      <b/>
      <sz val="16"/>
      <name val="Calibri"/>
      <family val="2"/>
    </font>
    <font>
      <b/>
      <vertAlign val="subscript"/>
      <sz val="16"/>
      <name val="Calibri"/>
      <family val="2"/>
    </font>
    <font>
      <sz val="20"/>
      <color rgb="FFFF0000"/>
      <name val="Arial"/>
      <family val="2"/>
    </font>
    <font>
      <i/>
      <sz val="14"/>
      <color indexed="12"/>
      <name val="Arial"/>
      <family val="2"/>
    </font>
    <font>
      <vertAlign val="subscript"/>
      <sz val="10"/>
      <color theme="1"/>
      <name val="Arial"/>
      <family val="2"/>
    </font>
    <font>
      <b/>
      <i/>
      <sz val="9"/>
      <color indexed="81"/>
      <name val="Tahoma"/>
      <family val="2"/>
    </font>
    <font>
      <b/>
      <vertAlign val="subscript"/>
      <sz val="10"/>
      <color rgb="FF0000FF"/>
      <name val="Arial"/>
      <family val="2"/>
    </font>
    <font>
      <b/>
      <sz val="10"/>
      <color indexed="10"/>
      <name val="Arial"/>
      <family val="2"/>
    </font>
    <font>
      <sz val="11"/>
      <name val="Symbol"/>
      <family val="1"/>
      <charset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auto="1"/>
      </right>
      <top/>
      <bottom/>
      <diagonal/>
    </border>
  </borders>
  <cellStyleXfs count="8">
    <xf numFmtId="0" fontId="0" fillId="0" borderId="0"/>
    <xf numFmtId="0" fontId="4" fillId="0" borderId="0" applyNumberFormat="0" applyFill="0" applyBorder="0" applyAlignment="0" applyProtection="0"/>
    <xf numFmtId="176"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176" fontId="2" fillId="0" borderId="0" applyFont="0" applyFill="0" applyBorder="0" applyAlignment="0" applyProtection="0"/>
    <xf numFmtId="9" fontId="70" fillId="0" borderId="0" applyFont="0" applyFill="0" applyBorder="0" applyAlignment="0" applyProtection="0"/>
  </cellStyleXfs>
  <cellXfs count="840">
    <xf numFmtId="0" fontId="0" fillId="0" borderId="0" xfId="0"/>
    <xf numFmtId="0" fontId="23" fillId="24" borderId="0" xfId="0" applyFont="1" applyFill="1" applyAlignment="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4" borderId="2" xfId="0" applyFill="1" applyBorder="1"/>
    <xf numFmtId="0" fontId="0" fillId="4" borderId="0" xfId="0" applyFill="1"/>
    <xf numFmtId="0" fontId="15" fillId="0" borderId="0" xfId="0" applyFont="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82" fontId="17" fillId="3" borderId="0" xfId="0" applyNumberFormat="1" applyFont="1" applyFill="1" applyAlignment="1">
      <alignment horizontal="center"/>
    </xf>
    <xf numFmtId="0" fontId="0" fillId="0" borderId="22" xfId="0" applyBorder="1"/>
    <xf numFmtId="0" fontId="0" fillId="0" borderId="23" xfId="0" applyBorder="1"/>
    <xf numFmtId="0" fontId="8" fillId="0" borderId="22" xfId="0" applyFont="1" applyBorder="1"/>
    <xf numFmtId="0" fontId="0" fillId="11" borderId="0" xfId="0" applyFill="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xf numFmtId="0" fontId="0" fillId="10" borderId="0" xfId="0" applyFill="1"/>
    <xf numFmtId="0" fontId="0" fillId="0" borderId="25" xfId="0" applyBorder="1" applyAlignment="1">
      <alignment horizontal="right"/>
    </xf>
    <xf numFmtId="11" fontId="7" fillId="0" borderId="25" xfId="0" applyNumberFormat="1" applyFont="1" applyBorder="1"/>
    <xf numFmtId="11" fontId="0" fillId="4" borderId="0" xfId="0" applyNumberFormat="1" applyFill="1"/>
    <xf numFmtId="0" fontId="17" fillId="3" borderId="0" xfId="0" applyFont="1" applyFill="1"/>
    <xf numFmtId="0" fontId="18" fillId="8" borderId="0" xfId="0" applyFont="1" applyFill="1"/>
    <xf numFmtId="0" fontId="18" fillId="8" borderId="0" xfId="0" applyFont="1" applyFill="1" applyAlignment="1">
      <alignment horizontal="right"/>
    </xf>
    <xf numFmtId="0" fontId="17" fillId="8" borderId="0" xfId="0" applyFont="1" applyFill="1"/>
    <xf numFmtId="0" fontId="21" fillId="0" borderId="0" xfId="0" applyFont="1"/>
    <xf numFmtId="0" fontId="0" fillId="0" borderId="1" xfId="0" applyBorder="1"/>
    <xf numFmtId="0" fontId="0" fillId="0" borderId="2" xfId="0" applyBorder="1" applyAlignment="1">
      <alignment horizontal="right"/>
    </xf>
    <xf numFmtId="0" fontId="22" fillId="0" borderId="0" xfId="0" applyFont="1"/>
    <xf numFmtId="0" fontId="27" fillId="0" borderId="0" xfId="0" applyFont="1"/>
    <xf numFmtId="0" fontId="27" fillId="4" borderId="0" xfId="0" applyFont="1" applyFill="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xf numFmtId="2" fontId="17" fillId="8" borderId="0" xfId="0" applyNumberFormat="1" applyFont="1" applyFill="1"/>
    <xf numFmtId="178" fontId="17" fillId="8" borderId="0" xfId="0" applyNumberFormat="1" applyFont="1" applyFill="1"/>
    <xf numFmtId="0" fontId="17" fillId="12" borderId="0" xfId="0" applyFont="1" applyFill="1"/>
    <xf numFmtId="0" fontId="3" fillId="0" borderId="0" xfId="0" applyFont="1"/>
    <xf numFmtId="0" fontId="0" fillId="0" borderId="0" xfId="0" applyAlignment="1">
      <alignment horizontal="left"/>
    </xf>
    <xf numFmtId="0" fontId="3" fillId="0" borderId="2" xfId="0" applyFont="1" applyBorder="1"/>
    <xf numFmtId="0" fontId="3" fillId="0" borderId="25" xfId="0" applyFont="1" applyBorder="1"/>
    <xf numFmtId="0" fontId="30" fillId="8" borderId="0" xfId="0" applyFont="1" applyFill="1"/>
    <xf numFmtId="0" fontId="20" fillId="15" borderId="0" xfId="0" applyFont="1" applyFill="1" applyAlignment="1">
      <alignment vertical="center"/>
    </xf>
    <xf numFmtId="0" fontId="0" fillId="14" borderId="0" xfId="0" applyFill="1"/>
    <xf numFmtId="0" fontId="42" fillId="14" borderId="0" xfId="0" applyFont="1" applyFill="1"/>
    <xf numFmtId="0" fontId="4" fillId="8" borderId="0" xfId="0" applyFont="1" applyFill="1" applyAlignment="1">
      <alignment horizontal="right"/>
    </xf>
    <xf numFmtId="0" fontId="3" fillId="8" borderId="0" xfId="0" applyFont="1" applyFill="1" applyAlignment="1">
      <alignment horizontal="right"/>
    </xf>
    <xf numFmtId="0" fontId="3" fillId="8" borderId="22" xfId="0" applyFont="1" applyFill="1" applyBorder="1"/>
    <xf numFmtId="0" fontId="3" fillId="8" borderId="0" xfId="0" applyFont="1" applyFill="1"/>
    <xf numFmtId="0" fontId="45" fillId="8" borderId="0" xfId="0" applyFont="1" applyFill="1"/>
    <xf numFmtId="0" fontId="46" fillId="8" borderId="0" xfId="0" applyFont="1" applyFill="1"/>
    <xf numFmtId="0" fontId="47" fillId="8" borderId="0" xfId="0" applyFont="1" applyFill="1"/>
    <xf numFmtId="0" fontId="4" fillId="8" borderId="0" xfId="0" applyFont="1" applyFill="1"/>
    <xf numFmtId="180" fontId="4" fillId="8" borderId="0" xfId="0" applyNumberFormat="1" applyFont="1" applyFill="1"/>
    <xf numFmtId="0" fontId="4" fillId="8" borderId="22" xfId="0" applyFont="1" applyFill="1" applyBorder="1"/>
    <xf numFmtId="0" fontId="4" fillId="15" borderId="0" xfId="0" applyFont="1" applyFill="1" applyProtection="1">
      <protection locked="0"/>
    </xf>
    <xf numFmtId="1" fontId="44" fillId="8" borderId="0" xfId="0" applyNumberFormat="1" applyFont="1" applyFill="1" applyAlignment="1">
      <alignment horizontal="right"/>
    </xf>
    <xf numFmtId="0" fontId="50" fillId="8" borderId="0" xfId="0" applyFont="1" applyFill="1" applyAlignment="1">
      <alignment horizontal="right"/>
    </xf>
    <xf numFmtId="0" fontId="3" fillId="8" borderId="24" xfId="0" applyFont="1" applyFill="1" applyBorder="1"/>
    <xf numFmtId="0" fontId="3" fillId="8" borderId="25" xfId="0" applyFont="1" applyFill="1" applyBorder="1"/>
    <xf numFmtId="0" fontId="3" fillId="8" borderId="23" xfId="0" applyFont="1" applyFill="1" applyBorder="1"/>
    <xf numFmtId="0" fontId="3" fillId="8" borderId="39" xfId="0" applyFont="1" applyFill="1" applyBorder="1"/>
    <xf numFmtId="0" fontId="3" fillId="8" borderId="40" xfId="0" applyFont="1" applyFill="1" applyBorder="1"/>
    <xf numFmtId="0" fontId="22" fillId="8" borderId="22" xfId="0" applyFont="1" applyFill="1" applyBorder="1" applyAlignment="1">
      <alignment vertical="center"/>
    </xf>
    <xf numFmtId="0" fontId="17" fillId="3" borderId="22" xfId="0" applyFont="1" applyFill="1" applyBorder="1"/>
    <xf numFmtId="0" fontId="4" fillId="8" borderId="39" xfId="0" applyFont="1" applyFill="1" applyBorder="1"/>
    <xf numFmtId="0" fontId="3" fillId="0" borderId="1" xfId="0" applyFont="1" applyBorder="1"/>
    <xf numFmtId="0" fontId="3" fillId="0" borderId="22" xfId="0" applyFont="1" applyBorder="1"/>
    <xf numFmtId="2" fontId="0" fillId="0" borderId="0" xfId="0" applyNumberFormat="1" applyAlignment="1">
      <alignment horizontal="right"/>
    </xf>
    <xf numFmtId="0" fontId="53" fillId="0" borderId="0" xfId="0" applyFont="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83"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84" fontId="3" fillId="16" borderId="11" xfId="4" applyNumberFormat="1" applyFill="1" applyBorder="1" applyAlignment="1">
      <alignment horizontal="center" vertical="center"/>
    </xf>
    <xf numFmtId="0" fontId="3" fillId="12" borderId="0" xfId="4" applyFill="1"/>
    <xf numFmtId="1" fontId="0" fillId="4" borderId="0" xfId="0" applyNumberFormat="1" applyFill="1"/>
    <xf numFmtId="0" fontId="3" fillId="8" borderId="0" xfId="0" applyFont="1" applyFill="1" applyAlignment="1">
      <alignment vertical="center"/>
    </xf>
    <xf numFmtId="0" fontId="3" fillId="8" borderId="22" xfId="0" applyFont="1" applyFill="1" applyBorder="1" applyAlignment="1">
      <alignment vertical="center"/>
    </xf>
    <xf numFmtId="0" fontId="3" fillId="8" borderId="0" xfId="0" applyFont="1" applyFill="1" applyAlignment="1">
      <alignment horizontal="right" vertical="center"/>
    </xf>
    <xf numFmtId="0" fontId="3" fillId="8" borderId="23" xfId="0" applyFont="1" applyFill="1" applyBorder="1" applyAlignment="1">
      <alignment vertical="center"/>
    </xf>
    <xf numFmtId="0" fontId="3" fillId="8" borderId="24" xfId="0" applyFont="1" applyFill="1" applyBorder="1" applyAlignment="1">
      <alignment vertical="center"/>
    </xf>
    <xf numFmtId="0" fontId="3" fillId="8" borderId="25" xfId="0" applyFont="1" applyFill="1" applyBorder="1" applyAlignment="1">
      <alignment vertical="center"/>
    </xf>
    <xf numFmtId="0" fontId="3" fillId="8" borderId="26" xfId="0" applyFont="1" applyFill="1" applyBorder="1" applyAlignment="1">
      <alignment vertical="center"/>
    </xf>
    <xf numFmtId="0" fontId="3" fillId="8" borderId="37" xfId="0" applyFont="1" applyFill="1" applyBorder="1" applyAlignment="1">
      <alignment vertical="center"/>
    </xf>
    <xf numFmtId="0" fontId="3" fillId="8" borderId="2" xfId="0" applyFont="1" applyFill="1" applyBorder="1" applyAlignment="1">
      <alignment vertical="center"/>
    </xf>
    <xf numFmtId="0" fontId="50" fillId="8" borderId="0" xfId="0" applyFont="1" applyFill="1" applyAlignment="1">
      <alignment horizontal="right" vertical="center"/>
    </xf>
    <xf numFmtId="0" fontId="4" fillId="15" borderId="0" xfId="0" applyFont="1" applyFill="1" applyAlignment="1" applyProtection="1">
      <alignment vertical="center"/>
      <protection locked="0"/>
    </xf>
    <xf numFmtId="0" fontId="4" fillId="8" borderId="23" xfId="0" applyFont="1" applyFill="1" applyBorder="1" applyAlignment="1">
      <alignment vertical="center"/>
    </xf>
    <xf numFmtId="1" fontId="3" fillId="8" borderId="0" xfId="0" applyNumberFormat="1" applyFont="1" applyFill="1" applyAlignment="1">
      <alignment horizontal="right" vertical="center"/>
    </xf>
    <xf numFmtId="0" fontId="50" fillId="12" borderId="0" xfId="0" applyFont="1" applyFill="1" applyAlignment="1">
      <alignment horizontal="right" vertical="center"/>
    </xf>
    <xf numFmtId="0" fontId="4" fillId="8" borderId="0" xfId="0" applyFont="1" applyFill="1" applyAlignment="1">
      <alignment vertical="center"/>
    </xf>
    <xf numFmtId="0" fontId="4" fillId="8" borderId="0" xfId="0" applyFont="1" applyFill="1" applyAlignment="1">
      <alignment horizontal="right" vertical="center"/>
    </xf>
    <xf numFmtId="0" fontId="4" fillId="15" borderId="0" xfId="0" applyFont="1" applyFill="1" applyAlignment="1" applyProtection="1">
      <alignment horizontal="right" vertical="center"/>
      <protection locked="0"/>
    </xf>
    <xf numFmtId="0" fontId="3" fillId="8" borderId="39" xfId="0" applyFont="1" applyFill="1" applyBorder="1" applyAlignment="1">
      <alignment vertical="center"/>
    </xf>
    <xf numFmtId="0" fontId="0" fillId="0" borderId="35" xfId="0" applyBorder="1"/>
    <xf numFmtId="0" fontId="0" fillId="18" borderId="0" xfId="0" applyFill="1"/>
    <xf numFmtId="0" fontId="3" fillId="0" borderId="0" xfId="0" applyFont="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Alignment="1">
      <alignment horizontal="left"/>
    </xf>
    <xf numFmtId="179" fontId="7" fillId="10" borderId="0" xfId="0" applyNumberFormat="1" applyFont="1" applyFill="1"/>
    <xf numFmtId="2" fontId="0" fillId="18" borderId="0" xfId="0" applyNumberFormat="1" applyFill="1"/>
    <xf numFmtId="1" fontId="0" fillId="10" borderId="0" xfId="0" applyNumberFormat="1" applyFill="1"/>
    <xf numFmtId="0" fontId="3" fillId="0" borderId="35" xfId="0" applyFont="1" applyBorder="1"/>
    <xf numFmtId="0" fontId="3" fillId="0" borderId="24" xfId="0" applyFont="1" applyBorder="1"/>
    <xf numFmtId="0" fontId="7" fillId="0" borderId="25" xfId="0" applyFont="1" applyBorder="1"/>
    <xf numFmtId="180" fontId="0" fillId="0" borderId="0" xfId="0" applyNumberFormat="1"/>
    <xf numFmtId="0" fontId="4" fillId="0" borderId="45" xfId="0" applyFont="1" applyBorder="1"/>
    <xf numFmtId="0" fontId="0" fillId="20" borderId="0" xfId="0" applyFill="1"/>
    <xf numFmtId="0" fontId="3" fillId="0" borderId="0" xfId="4"/>
    <xf numFmtId="0" fontId="3" fillId="0" borderId="11" xfId="4" applyBorder="1"/>
    <xf numFmtId="2" fontId="3" fillId="0" borderId="0" xfId="4" applyNumberFormat="1"/>
    <xf numFmtId="179" fontId="0" fillId="0" borderId="0" xfId="0" applyNumberFormat="1"/>
    <xf numFmtId="1" fontId="7" fillId="10" borderId="0" xfId="0" applyNumberFormat="1" applyFont="1" applyFill="1"/>
    <xf numFmtId="0" fontId="3" fillId="0" borderId="49" xfId="0" applyFont="1" applyBorder="1"/>
    <xf numFmtId="179" fontId="3" fillId="0" borderId="50" xfId="0" applyNumberFormat="1" applyFont="1" applyBorder="1"/>
    <xf numFmtId="11" fontId="7" fillId="0" borderId="50" xfId="0" applyNumberFormat="1" applyFont="1" applyBorder="1"/>
    <xf numFmtId="0" fontId="53" fillId="0" borderId="50" xfId="0" applyFont="1" applyBorder="1"/>
    <xf numFmtId="0" fontId="49" fillId="0" borderId="0" xfId="0" applyFont="1"/>
    <xf numFmtId="0" fontId="0" fillId="0" borderId="39" xfId="0" applyBorder="1"/>
    <xf numFmtId="0" fontId="50" fillId="0" borderId="0" xfId="0" applyFont="1"/>
    <xf numFmtId="0" fontId="48" fillId="0" borderId="0" xfId="0" applyFont="1"/>
    <xf numFmtId="178" fontId="7" fillId="10" borderId="0" xfId="0" applyNumberFormat="1" applyFont="1" applyFill="1"/>
    <xf numFmtId="0" fontId="0" fillId="20" borderId="0" xfId="0" applyFill="1" applyAlignment="1">
      <alignment horizontal="right"/>
    </xf>
    <xf numFmtId="179" fontId="27" fillId="18" borderId="0" xfId="0" applyNumberFormat="1" applyFont="1" applyFill="1"/>
    <xf numFmtId="0" fontId="0" fillId="19" borderId="0" xfId="0" applyFill="1" applyAlignment="1">
      <alignment horizontal="right"/>
    </xf>
    <xf numFmtId="2" fontId="0" fillId="18" borderId="0" xfId="0" applyNumberFormat="1" applyFill="1" applyAlignment="1">
      <alignment horizontal="right"/>
    </xf>
    <xf numFmtId="179" fontId="3" fillId="0" borderId="11" xfId="4" applyNumberFormat="1" applyBorder="1"/>
    <xf numFmtId="0" fontId="0" fillId="19" borderId="0" xfId="0" applyFill="1"/>
    <xf numFmtId="2" fontId="3" fillId="0" borderId="0" xfId="0" applyNumberFormat="1" applyFont="1"/>
    <xf numFmtId="0" fontId="3" fillId="20" borderId="0" xfId="0" applyFont="1" applyFill="1"/>
    <xf numFmtId="0" fontId="3" fillId="0" borderId="8" xfId="4" applyBorder="1"/>
    <xf numFmtId="189" fontId="0" fillId="10" borderId="0" xfId="0" applyNumberFormat="1" applyFill="1"/>
    <xf numFmtId="189" fontId="0" fillId="4" borderId="25" xfId="0" applyNumberFormat="1" applyFill="1" applyBorder="1"/>
    <xf numFmtId="1" fontId="3" fillId="0" borderId="0" xfId="4" applyNumberFormat="1"/>
    <xf numFmtId="0" fontId="15" fillId="0" borderId="33" xfId="0" applyFont="1" applyBorder="1"/>
    <xf numFmtId="0" fontId="54" fillId="3" borderId="43" xfId="4" applyFont="1" applyFill="1" applyBorder="1" applyAlignment="1">
      <alignment horizontal="center" vertical="center"/>
    </xf>
    <xf numFmtId="0" fontId="54" fillId="3" borderId="44" xfId="4" applyFont="1" applyFill="1" applyBorder="1" applyAlignment="1">
      <alignment horizontal="center" vertical="center"/>
    </xf>
    <xf numFmtId="11" fontId="49" fillId="0" borderId="0" xfId="0" applyNumberFormat="1" applyFont="1"/>
    <xf numFmtId="0" fontId="59" fillId="0" borderId="0" xfId="0" applyFont="1"/>
    <xf numFmtId="0" fontId="3" fillId="8" borderId="35" xfId="0" applyFont="1" applyFill="1" applyBorder="1" applyAlignment="1">
      <alignment horizontal="right" vertical="center"/>
    </xf>
    <xf numFmtId="0" fontId="3" fillId="8" borderId="39" xfId="0" applyFont="1" applyFill="1" applyBorder="1" applyAlignment="1">
      <alignment horizontal="right"/>
    </xf>
    <xf numFmtId="1" fontId="3" fillId="8" borderId="39" xfId="0" applyNumberFormat="1" applyFont="1" applyFill="1" applyBorder="1"/>
    <xf numFmtId="179" fontId="17" fillId="12" borderId="0" xfId="0" applyNumberFormat="1" applyFont="1" applyFill="1"/>
    <xf numFmtId="0" fontId="3" fillId="12" borderId="0" xfId="0" applyFont="1" applyFill="1" applyAlignment="1">
      <alignment horizontal="right" vertical="center"/>
    </xf>
    <xf numFmtId="178" fontId="17" fillId="12" borderId="0" xfId="0" applyNumberFormat="1" applyFont="1" applyFill="1"/>
    <xf numFmtId="0" fontId="3" fillId="12" borderId="0" xfId="0" applyFont="1" applyFill="1" applyAlignment="1">
      <alignment vertical="center"/>
    </xf>
    <xf numFmtId="0" fontId="4" fillId="12" borderId="0" xfId="0" applyFont="1" applyFill="1" applyAlignment="1">
      <alignment vertical="center"/>
    </xf>
    <xf numFmtId="0" fontId="61" fillId="8" borderId="0" xfId="0" applyFont="1" applyFill="1" applyAlignment="1">
      <alignment horizontal="right" vertical="center"/>
    </xf>
    <xf numFmtId="178" fontId="3" fillId="0" borderId="0" xfId="4" applyNumberFormat="1"/>
    <xf numFmtId="179" fontId="3" fillId="0" borderId="0" xfId="4" applyNumberFormat="1"/>
    <xf numFmtId="177" fontId="3" fillId="0" borderId="0" xfId="4" applyNumberFormat="1"/>
    <xf numFmtId="10" fontId="3" fillId="0" borderId="0" xfId="4" applyNumberFormat="1"/>
    <xf numFmtId="0" fontId="4" fillId="4" borderId="49" xfId="4" applyFont="1" applyFill="1" applyBorder="1"/>
    <xf numFmtId="0" fontId="7" fillId="4" borderId="35" xfId="4" applyFont="1" applyFill="1" applyBorder="1"/>
    <xf numFmtId="178" fontId="3" fillId="4" borderId="52" xfId="4" applyNumberFormat="1" applyFill="1" applyBorder="1"/>
    <xf numFmtId="178" fontId="4" fillId="4" borderId="49" xfId="4" applyNumberFormat="1" applyFont="1" applyFill="1" applyBorder="1"/>
    <xf numFmtId="178" fontId="7" fillId="4" borderId="50" xfId="4" applyNumberFormat="1" applyFont="1" applyFill="1" applyBorder="1"/>
    <xf numFmtId="0" fontId="7" fillId="4" borderId="50" xfId="4" applyFont="1" applyFill="1" applyBorder="1"/>
    <xf numFmtId="178" fontId="15" fillId="4" borderId="52" xfId="4" applyNumberFormat="1" applyFont="1" applyFill="1" applyBorder="1"/>
    <xf numFmtId="179" fontId="4" fillId="4" borderId="50" xfId="4" applyNumberFormat="1" applyFont="1" applyFill="1" applyBorder="1" applyAlignment="1">
      <alignment horizontal="left"/>
    </xf>
    <xf numFmtId="178" fontId="7" fillId="4" borderId="50" xfId="4" applyNumberFormat="1" applyFont="1" applyFill="1" applyBorder="1" applyAlignment="1">
      <alignment horizontal="center"/>
    </xf>
    <xf numFmtId="177" fontId="3" fillId="4" borderId="50" xfId="4" applyNumberFormat="1" applyFill="1" applyBorder="1"/>
    <xf numFmtId="177" fontId="3" fillId="4" borderId="52" xfId="4" applyNumberFormat="1" applyFill="1" applyBorder="1"/>
    <xf numFmtId="178" fontId="4" fillId="4" borderId="41" xfId="4" applyNumberFormat="1" applyFont="1" applyFill="1" applyBorder="1"/>
    <xf numFmtId="178" fontId="3" fillId="4" borderId="42" xfId="4" applyNumberFormat="1" applyFill="1" applyBorder="1"/>
    <xf numFmtId="178" fontId="4" fillId="4" borderId="41" xfId="4" applyNumberFormat="1" applyFont="1" applyFill="1" applyBorder="1" applyAlignment="1">
      <alignment horizontal="left"/>
    </xf>
    <xf numFmtId="178" fontId="4" fillId="4" borderId="42" xfId="4" applyNumberFormat="1" applyFont="1" applyFill="1" applyBorder="1" applyAlignment="1">
      <alignment horizontal="left"/>
    </xf>
    <xf numFmtId="178"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78" fontId="4" fillId="2" borderId="7" xfId="4" applyNumberFormat="1" applyFont="1" applyFill="1" applyBorder="1" applyAlignment="1">
      <alignment horizontal="center" vertical="center" wrapText="1"/>
    </xf>
    <xf numFmtId="178"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78" fontId="4" fillId="2" borderId="5" xfId="4" applyNumberFormat="1" applyFont="1" applyFill="1" applyBorder="1" applyAlignment="1">
      <alignment horizontal="center" vertical="center" wrapText="1"/>
    </xf>
    <xf numFmtId="179" fontId="4" fillId="2" borderId="20" xfId="4" applyNumberFormat="1" applyFont="1" applyFill="1" applyBorder="1" applyAlignment="1">
      <alignment horizontal="center" vertical="center" wrapText="1"/>
    </xf>
    <xf numFmtId="177" fontId="4" fillId="2" borderId="6" xfId="4" applyNumberFormat="1" applyFont="1" applyFill="1" applyBorder="1" applyAlignment="1">
      <alignment horizontal="center" vertical="center" wrapText="1"/>
    </xf>
    <xf numFmtId="177" fontId="4" fillId="2" borderId="7"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21" xfId="4" applyNumberFormat="1" applyFont="1" applyFill="1" applyBorder="1" applyAlignment="1">
      <alignment horizontal="center" vertical="center" wrapText="1"/>
    </xf>
    <xf numFmtId="178" fontId="4" fillId="2" borderId="56" xfId="4" applyNumberFormat="1" applyFont="1" applyFill="1" applyBorder="1" applyAlignment="1">
      <alignment horizontal="center" vertical="center" wrapText="1"/>
    </xf>
    <xf numFmtId="178" fontId="4" fillId="2" borderId="57" xfId="4" applyNumberFormat="1" applyFont="1" applyFill="1" applyBorder="1" applyAlignment="1">
      <alignment horizontal="center" vertical="center" wrapText="1"/>
    </xf>
    <xf numFmtId="178"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Alignment="1">
      <alignment horizontal="center" vertical="center" wrapText="1"/>
    </xf>
    <xf numFmtId="0" fontId="3" fillId="0" borderId="0" xfId="4" quotePrefix="1"/>
    <xf numFmtId="0" fontId="4" fillId="2" borderId="0" xfId="4" applyFont="1" applyFill="1" applyAlignment="1">
      <alignment horizontal="center" vertical="center" wrapText="1"/>
    </xf>
    <xf numFmtId="0" fontId="4" fillId="5" borderId="8" xfId="4" applyFont="1" applyFill="1" applyBorder="1"/>
    <xf numFmtId="0" fontId="4" fillId="5" borderId="9" xfId="4" applyFont="1" applyFill="1" applyBorder="1"/>
    <xf numFmtId="0" fontId="4" fillId="5" borderId="10" xfId="4" applyFont="1" applyFill="1" applyBorder="1"/>
    <xf numFmtId="0" fontId="4" fillId="5" borderId="11" xfId="4" applyFont="1" applyFill="1" applyBorder="1"/>
    <xf numFmtId="0" fontId="4" fillId="0" borderId="0" xfId="4" applyFont="1"/>
    <xf numFmtId="181" fontId="3" fillId="0" borderId="0" xfId="4" applyNumberFormat="1"/>
    <xf numFmtId="11" fontId="3" fillId="0" borderId="0" xfId="4" applyNumberFormat="1"/>
    <xf numFmtId="2" fontId="3" fillId="0" borderId="11" xfId="4" applyNumberFormat="1" applyBorder="1"/>
    <xf numFmtId="1" fontId="3" fillId="0" borderId="0" xfId="4" applyNumberFormat="1" applyProtection="1">
      <protection locked="0"/>
    </xf>
    <xf numFmtId="10" fontId="3" fillId="0" borderId="0" xfId="4" applyNumberFormat="1" applyProtection="1">
      <protection locked="0"/>
    </xf>
    <xf numFmtId="0" fontId="4" fillId="6" borderId="12" xfId="4" applyFont="1" applyFill="1" applyBorder="1"/>
    <xf numFmtId="0" fontId="3" fillId="2" borderId="11" xfId="4" applyFill="1" applyBorder="1" applyProtection="1">
      <protection locked="0"/>
    </xf>
    <xf numFmtId="0" fontId="4" fillId="6" borderId="11" xfId="4" applyFont="1" applyFill="1" applyBorder="1"/>
    <xf numFmtId="0" fontId="53" fillId="0" borderId="11" xfId="4" applyFont="1" applyBorder="1"/>
    <xf numFmtId="0" fontId="3" fillId="4" borderId="11" xfId="4" applyFill="1" applyBorder="1"/>
    <xf numFmtId="0" fontId="3" fillId="4" borderId="11" xfId="4" applyFill="1" applyBorder="1" applyProtection="1">
      <protection locked="0"/>
    </xf>
    <xf numFmtId="0" fontId="14" fillId="3" borderId="0" xfId="4" applyFont="1" applyFill="1"/>
    <xf numFmtId="0" fontId="4" fillId="5" borderId="15" xfId="4" applyFont="1" applyFill="1" applyBorder="1"/>
    <xf numFmtId="179" fontId="15" fillId="22" borderId="11" xfId="4" applyNumberFormat="1" applyFont="1" applyFill="1" applyBorder="1"/>
    <xf numFmtId="0" fontId="3" fillId="0" borderId="15" xfId="4"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2"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88" fontId="3" fillId="0" borderId="11" xfId="4" applyNumberFormat="1" applyBorder="1"/>
    <xf numFmtId="0" fontId="4" fillId="6" borderId="8" xfId="4" applyFont="1" applyFill="1" applyBorder="1"/>
    <xf numFmtId="0" fontId="4" fillId="0" borderId="0" xfId="4" applyFont="1" applyAlignment="1">
      <alignment horizontal="right"/>
    </xf>
    <xf numFmtId="0" fontId="3" fillId="6" borderId="8" xfId="4" applyFill="1" applyBorder="1"/>
    <xf numFmtId="0" fontId="3" fillId="0" borderId="47" xfId="4" applyBorder="1"/>
    <xf numFmtId="0" fontId="53" fillId="0" borderId="15" xfId="4" applyFont="1" applyBorder="1"/>
    <xf numFmtId="189" fontId="3" fillId="0" borderId="47" xfId="4" applyNumberFormat="1" applyBorder="1"/>
    <xf numFmtId="0" fontId="4" fillId="0" borderId="11" xfId="4" applyFont="1" applyBorder="1"/>
    <xf numFmtId="0" fontId="4" fillId="6" borderId="48" xfId="4" applyFont="1" applyFill="1" applyBorder="1"/>
    <xf numFmtId="0" fontId="3" fillId="0" borderId="16" xfId="4" applyBorder="1"/>
    <xf numFmtId="11" fontId="3" fillId="0" borderId="48" xfId="4" applyNumberFormat="1" applyBorder="1"/>
    <xf numFmtId="0" fontId="3" fillId="0" borderId="12" xfId="4" applyBorder="1"/>
    <xf numFmtId="0" fontId="4" fillId="5" borderId="0" xfId="4" applyFont="1" applyFill="1"/>
    <xf numFmtId="0" fontId="4" fillId="5" borderId="14" xfId="4" applyFont="1" applyFill="1" applyBorder="1"/>
    <xf numFmtId="0" fontId="3" fillId="0" borderId="11" xfId="4" applyBorder="1" applyProtection="1">
      <protection locked="0"/>
    </xf>
    <xf numFmtId="0" fontId="3" fillId="6" borderId="9" xfId="4" applyFill="1" applyBorder="1"/>
    <xf numFmtId="0" fontId="3" fillId="0" borderId="47" xfId="4" applyBorder="1" applyProtection="1">
      <protection locked="0"/>
    </xf>
    <xf numFmtId="0" fontId="4" fillId="5" borderId="4" xfId="4" applyFont="1" applyFill="1" applyBorder="1"/>
    <xf numFmtId="0" fontId="4" fillId="5" borderId="12" xfId="4" applyFont="1" applyFill="1" applyBorder="1"/>
    <xf numFmtId="0" fontId="3" fillId="6" borderId="11" xfId="4" applyFill="1" applyBorder="1"/>
    <xf numFmtId="0" fontId="3" fillId="0" borderId="51" xfId="4" applyBorder="1" applyProtection="1">
      <protection locked="0"/>
    </xf>
    <xf numFmtId="0" fontId="3" fillId="21" borderId="51" xfId="4" applyFill="1" applyBorder="1" applyProtection="1">
      <protection locked="0"/>
    </xf>
    <xf numFmtId="189" fontId="3" fillId="0" borderId="11" xfId="4" applyNumberFormat="1" applyBorder="1"/>
    <xf numFmtId="0" fontId="4" fillId="5" borderId="0" xfId="4" applyFont="1" applyFill="1" applyProtection="1">
      <protection locked="0"/>
    </xf>
    <xf numFmtId="0" fontId="4" fillId="5" borderId="13" xfId="4" applyFont="1" applyFill="1" applyBorder="1"/>
    <xf numFmtId="180" fontId="58" fillId="0" borderId="0" xfId="4" applyNumberFormat="1" applyFont="1"/>
    <xf numFmtId="0" fontId="58" fillId="0" borderId="0" xfId="4" applyFont="1"/>
    <xf numFmtId="0" fontId="48" fillId="0" borderId="0" xfId="4" applyFont="1"/>
    <xf numFmtId="2" fontId="4" fillId="0" borderId="0" xfId="4" applyNumberFormat="1" applyFont="1"/>
    <xf numFmtId="178" fontId="48" fillId="0" borderId="0" xfId="4" applyNumberFormat="1" applyFont="1"/>
    <xf numFmtId="1" fontId="4" fillId="0" borderId="0" xfId="4" applyNumberFormat="1" applyFont="1"/>
    <xf numFmtId="178" fontId="4" fillId="0" borderId="0" xfId="4" applyNumberFormat="1" applyFont="1"/>
    <xf numFmtId="2" fontId="7" fillId="4" borderId="50" xfId="4" applyNumberFormat="1" applyFont="1" applyFill="1" applyBorder="1"/>
    <xf numFmtId="2" fontId="4" fillId="2" borderId="53" xfId="4" applyNumberFormat="1" applyFont="1" applyFill="1" applyBorder="1" applyAlignment="1">
      <alignment horizontal="center" vertical="center" wrapText="1"/>
    </xf>
    <xf numFmtId="2" fontId="7" fillId="4" borderId="52" xfId="4" applyNumberFormat="1" applyFont="1" applyFill="1" applyBorder="1"/>
    <xf numFmtId="2" fontId="4" fillId="2" borderId="18" xfId="4" applyNumberFormat="1" applyFont="1" applyFill="1" applyBorder="1" applyAlignment="1">
      <alignment horizontal="center" vertical="center" wrapText="1"/>
    </xf>
    <xf numFmtId="179" fontId="7" fillId="4" borderId="50" xfId="4" applyNumberFormat="1" applyFont="1" applyFill="1" applyBorder="1"/>
    <xf numFmtId="179" fontId="4" fillId="2" borderId="42" xfId="4" applyNumberFormat="1" applyFont="1" applyFill="1" applyBorder="1" applyAlignment="1">
      <alignment horizontal="center" vertical="center" wrapText="1"/>
    </xf>
    <xf numFmtId="191" fontId="3" fillId="0" borderId="0" xfId="4" applyNumberFormat="1"/>
    <xf numFmtId="191" fontId="7" fillId="4" borderId="50" xfId="4" applyNumberFormat="1" applyFont="1" applyFill="1" applyBorder="1"/>
    <xf numFmtId="191" fontId="4" fillId="2" borderId="6" xfId="4" applyNumberFormat="1" applyFont="1" applyFill="1" applyBorder="1" applyAlignment="1">
      <alignment horizontal="center" vertical="center" wrapText="1"/>
    </xf>
    <xf numFmtId="191" fontId="4" fillId="2" borderId="19" xfId="4" applyNumberFormat="1" applyFont="1" applyFill="1" applyBorder="1" applyAlignment="1">
      <alignment horizontal="center" vertical="center" wrapText="1"/>
    </xf>
    <xf numFmtId="191" fontId="4" fillId="2" borderId="41" xfId="4" applyNumberFormat="1" applyFont="1" applyFill="1" applyBorder="1" applyAlignment="1">
      <alignment horizontal="center" vertical="center" wrapText="1"/>
    </xf>
    <xf numFmtId="191" fontId="4" fillId="2" borderId="53" xfId="4" applyNumberFormat="1" applyFont="1" applyFill="1" applyBorder="1" applyAlignment="1">
      <alignment horizontal="center" vertical="center" wrapText="1"/>
    </xf>
    <xf numFmtId="191" fontId="4" fillId="2" borderId="42" xfId="4" applyNumberFormat="1" applyFont="1" applyFill="1" applyBorder="1" applyAlignment="1">
      <alignment horizontal="center" vertical="center" wrapText="1"/>
    </xf>
    <xf numFmtId="191" fontId="4" fillId="0" borderId="0" xfId="4" applyNumberFormat="1" applyFont="1"/>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Alignment="1">
      <alignment vertical="top"/>
    </xf>
    <xf numFmtId="180" fontId="3" fillId="2" borderId="11" xfId="4" applyNumberFormat="1" applyFill="1" applyBorder="1" applyProtection="1">
      <protection locked="0"/>
    </xf>
    <xf numFmtId="1" fontId="3" fillId="0" borderId="47" xfId="4" applyNumberFormat="1" applyBorder="1"/>
    <xf numFmtId="0" fontId="0" fillId="12" borderId="0" xfId="0" applyFill="1"/>
    <xf numFmtId="0" fontId="64" fillId="0" borderId="0" xfId="0" applyFont="1"/>
    <xf numFmtId="0" fontId="62" fillId="0" borderId="0" xfId="1" applyFont="1" applyFill="1"/>
    <xf numFmtId="1" fontId="15" fillId="4" borderId="0" xfId="0" applyNumberFormat="1" applyFont="1" applyFill="1" applyAlignment="1">
      <alignment horizontal="right"/>
    </xf>
    <xf numFmtId="1" fontId="49" fillId="8" borderId="0" xfId="0" applyNumberFormat="1" applyFont="1" applyFill="1" applyAlignment="1">
      <alignment horizontal="right"/>
    </xf>
    <xf numFmtId="1" fontId="0" fillId="0" borderId="0" xfId="0" applyNumberFormat="1"/>
    <xf numFmtId="0" fontId="3" fillId="8" borderId="25" xfId="0" applyFont="1" applyFill="1" applyBorder="1" applyAlignment="1">
      <alignment horizontal="right"/>
    </xf>
    <xf numFmtId="0" fontId="48" fillId="0" borderId="0" xfId="0" applyFont="1" applyAlignment="1">
      <alignment horizontal="left"/>
    </xf>
    <xf numFmtId="0" fontId="48" fillId="0" borderId="0" xfId="0" applyFont="1" applyAlignment="1">
      <alignment horizontal="right"/>
    </xf>
    <xf numFmtId="0" fontId="0" fillId="0" borderId="22" xfId="0" applyBorder="1" applyAlignment="1">
      <alignment horizontal="right"/>
    </xf>
    <xf numFmtId="0" fontId="48" fillId="0" borderId="0" xfId="4" applyFont="1" applyAlignment="1">
      <alignment horizontal="left"/>
    </xf>
    <xf numFmtId="0" fontId="48" fillId="0" borderId="0" xfId="0" applyFont="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xf numFmtId="0" fontId="3" fillId="0" borderId="0" xfId="0" applyFont="1" applyAlignment="1">
      <alignment horizontal="left"/>
    </xf>
    <xf numFmtId="0" fontId="3" fillId="12" borderId="0" xfId="0" applyFont="1" applyFill="1"/>
    <xf numFmtId="1" fontId="3" fillId="8" borderId="25" xfId="0" applyNumberFormat="1" applyFont="1" applyFill="1" applyBorder="1" applyAlignment="1">
      <alignment horizontal="right" vertical="center"/>
    </xf>
    <xf numFmtId="0" fontId="3" fillId="8" borderId="59" xfId="0" applyFont="1" applyFill="1" applyBorder="1" applyAlignment="1">
      <alignment vertical="center"/>
    </xf>
    <xf numFmtId="0" fontId="3" fillId="8" borderId="60" xfId="0" applyFont="1" applyFill="1" applyBorder="1" applyAlignment="1">
      <alignment vertical="center"/>
    </xf>
    <xf numFmtId="0" fontId="3" fillId="8" borderId="60" xfId="0" applyFont="1" applyFill="1" applyBorder="1" applyAlignment="1">
      <alignment horizontal="right" vertical="center"/>
    </xf>
    <xf numFmtId="0" fontId="4" fillId="8" borderId="60" xfId="0" applyFont="1" applyFill="1" applyBorder="1" applyAlignment="1">
      <alignment horizontal="right" vertical="center"/>
    </xf>
    <xf numFmtId="0" fontId="3" fillId="8" borderId="61" xfId="0" applyFont="1" applyFill="1" applyBorder="1" applyAlignment="1">
      <alignment vertical="center"/>
    </xf>
    <xf numFmtId="0" fontId="65" fillId="0" borderId="22" xfId="0" applyFont="1" applyBorder="1"/>
    <xf numFmtId="0" fontId="3" fillId="15" borderId="0" xfId="0" applyFont="1" applyFill="1"/>
    <xf numFmtId="0" fontId="24" fillId="24" borderId="22" xfId="0" applyFont="1" applyFill="1" applyBorder="1" applyAlignment="1">
      <alignment horizontal="left"/>
    </xf>
    <xf numFmtId="0" fontId="24" fillId="24" borderId="0" xfId="0" applyFont="1" applyFill="1" applyAlignment="1">
      <alignment horizontal="left"/>
    </xf>
    <xf numFmtId="0" fontId="23" fillId="24" borderId="22" xfId="0" applyFont="1" applyFill="1" applyBorder="1" applyAlignment="1">
      <alignment horizontal="left" vertical="center"/>
    </xf>
    <xf numFmtId="0" fontId="23" fillId="24" borderId="0" xfId="0" applyFont="1" applyFill="1" applyAlignment="1">
      <alignment horizontal="left" vertical="center"/>
    </xf>
    <xf numFmtId="0" fontId="52" fillId="24" borderId="0" xfId="0" applyFont="1" applyFill="1" applyAlignment="1">
      <alignment horizontal="left" vertical="center"/>
    </xf>
    <xf numFmtId="0" fontId="20" fillId="24" borderId="0" xfId="0" applyFont="1" applyFill="1" applyAlignment="1">
      <alignment vertical="center"/>
    </xf>
    <xf numFmtId="0" fontId="23" fillId="24" borderId="0" xfId="0" quotePrefix="1" applyFont="1" applyFill="1" applyAlignment="1">
      <alignment vertical="center"/>
    </xf>
    <xf numFmtId="0" fontId="26" fillId="24" borderId="0" xfId="0" applyFont="1" applyFill="1" applyAlignment="1">
      <alignment vertical="center"/>
    </xf>
    <xf numFmtId="0" fontId="26" fillId="24" borderId="0" xfId="0" applyFont="1" applyFill="1"/>
    <xf numFmtId="0" fontId="17" fillId="24" borderId="0" xfId="0" applyFont="1" applyFill="1"/>
    <xf numFmtId="0" fontId="28" fillId="24" borderId="24" xfId="0" applyFont="1" applyFill="1" applyBorder="1"/>
    <xf numFmtId="0" fontId="28" fillId="24" borderId="25" xfId="0" applyFont="1" applyFill="1" applyBorder="1"/>
    <xf numFmtId="0" fontId="20" fillId="24" borderId="25" xfId="0" applyFont="1" applyFill="1" applyBorder="1"/>
    <xf numFmtId="0" fontId="25" fillId="24" borderId="25" xfId="0" applyFont="1" applyFill="1" applyBorder="1"/>
    <xf numFmtId="0" fontId="66" fillId="24" borderId="0" xfId="3" applyFont="1" applyFill="1" applyAlignment="1" applyProtection="1"/>
    <xf numFmtId="0" fontId="66" fillId="24" borderId="0" xfId="3" applyFont="1" applyFill="1" applyBorder="1" applyAlignment="1" applyProtection="1">
      <alignment horizontal="left" vertical="center"/>
    </xf>
    <xf numFmtId="182" fontId="17" fillId="24" borderId="0" xfId="0" applyNumberFormat="1" applyFont="1" applyFill="1" applyAlignment="1">
      <alignment horizontal="center"/>
    </xf>
    <xf numFmtId="0" fontId="20" fillId="24" borderId="37" xfId="0" applyFont="1" applyFill="1" applyBorder="1"/>
    <xf numFmtId="0" fontId="20" fillId="24" borderId="35" xfId="0" applyFont="1" applyFill="1" applyBorder="1"/>
    <xf numFmtId="0" fontId="17" fillId="24" borderId="35" xfId="0" applyFont="1" applyFill="1" applyBorder="1"/>
    <xf numFmtId="0" fontId="4" fillId="5" borderId="48" xfId="4" applyFont="1" applyFill="1" applyBorder="1"/>
    <xf numFmtId="179" fontId="0" fillId="10" borderId="2" xfId="0" applyNumberFormat="1" applyFill="1" applyBorder="1"/>
    <xf numFmtId="179" fontId="0" fillId="18" borderId="0" xfId="0" applyNumberFormat="1" applyFill="1"/>
    <xf numFmtId="179" fontId="27" fillId="10" borderId="0" xfId="0" applyNumberFormat="1" applyFont="1" applyFill="1"/>
    <xf numFmtId="0" fontId="3" fillId="8" borderId="62" xfId="0" applyFont="1" applyFill="1" applyBorder="1"/>
    <xf numFmtId="0" fontId="3" fillId="8" borderId="63" xfId="0" applyFont="1" applyFill="1" applyBorder="1"/>
    <xf numFmtId="0" fontId="3" fillId="8" borderId="63" xfId="0" applyFont="1" applyFill="1" applyBorder="1" applyAlignment="1">
      <alignment horizontal="right"/>
    </xf>
    <xf numFmtId="0" fontId="17" fillId="12" borderId="22" xfId="0" applyFont="1" applyFill="1" applyBorder="1"/>
    <xf numFmtId="179" fontId="27" fillId="0" borderId="0" xfId="0" applyNumberFormat="1" applyFont="1"/>
    <xf numFmtId="0" fontId="4" fillId="12" borderId="23" xfId="0" applyFont="1" applyFill="1" applyBorder="1" applyAlignment="1">
      <alignment vertical="center"/>
    </xf>
    <xf numFmtId="1" fontId="3" fillId="0" borderId="64" xfId="0" applyNumberFormat="1" applyFont="1" applyBorder="1" applyAlignment="1">
      <alignment vertical="center"/>
    </xf>
    <xf numFmtId="0" fontId="4" fillId="12" borderId="23" xfId="0" applyFont="1" applyFill="1" applyBorder="1"/>
    <xf numFmtId="0" fontId="3" fillId="12" borderId="26" xfId="0" applyFont="1" applyFill="1" applyBorder="1"/>
    <xf numFmtId="1" fontId="3" fillId="8" borderId="0" xfId="0" applyNumberFormat="1" applyFont="1" applyFill="1"/>
    <xf numFmtId="0" fontId="0" fillId="0" borderId="63" xfId="0" applyBorder="1"/>
    <xf numFmtId="0" fontId="4" fillId="0" borderId="0" xfId="4" applyFont="1" applyAlignment="1">
      <alignment horizontal="left"/>
    </xf>
    <xf numFmtId="0" fontId="48" fillId="0" borderId="0" xfId="4" applyFont="1" applyAlignment="1">
      <alignment horizontal="center"/>
    </xf>
    <xf numFmtId="0" fontId="69" fillId="0" borderId="0" xfId="4" applyFont="1" applyAlignment="1">
      <alignment horizontal="right"/>
    </xf>
    <xf numFmtId="0" fontId="69" fillId="0" borderId="22" xfId="4" applyFont="1" applyBorder="1" applyAlignment="1">
      <alignment horizontal="right"/>
    </xf>
    <xf numFmtId="0" fontId="69" fillId="0" borderId="0" xfId="0" applyFont="1" applyAlignment="1">
      <alignment horizontal="right"/>
    </xf>
    <xf numFmtId="0" fontId="65" fillId="0" borderId="0" xfId="0" applyFont="1"/>
    <xf numFmtId="178" fontId="7" fillId="4" borderId="63" xfId="4" applyNumberFormat="1" applyFont="1" applyFill="1" applyBorder="1"/>
    <xf numFmtId="180" fontId="3" fillId="0" borderId="0" xfId="4" applyNumberFormat="1"/>
    <xf numFmtId="0" fontId="4" fillId="2" borderId="20" xfId="4" applyFont="1" applyFill="1" applyBorder="1" applyAlignment="1">
      <alignment horizontal="center" vertical="center" wrapText="1"/>
    </xf>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xf numFmtId="2" fontId="7" fillId="4" borderId="67" xfId="4" applyNumberFormat="1" applyFont="1" applyFill="1" applyBorder="1"/>
    <xf numFmtId="2" fontId="7" fillId="4" borderId="18" xfId="4" applyNumberFormat="1" applyFont="1" applyFill="1" applyBorder="1"/>
    <xf numFmtId="178" fontId="3" fillId="4" borderId="67" xfId="4" applyNumberFormat="1" applyFill="1" applyBorder="1"/>
    <xf numFmtId="0" fontId="3" fillId="8" borderId="62" xfId="0" applyFont="1" applyFill="1" applyBorder="1" applyAlignment="1">
      <alignment vertical="center"/>
    </xf>
    <xf numFmtId="0" fontId="22" fillId="8" borderId="24" xfId="0" applyFont="1" applyFill="1" applyBorder="1" applyAlignment="1">
      <alignment vertical="center"/>
    </xf>
    <xf numFmtId="177" fontId="3" fillId="0" borderId="0" xfId="7" applyNumberFormat="1" applyFont="1"/>
    <xf numFmtId="0" fontId="3" fillId="0" borderId="0" xfId="0" quotePrefix="1" applyFont="1"/>
    <xf numFmtId="0" fontId="4" fillId="8" borderId="11" xfId="4" applyFont="1" applyFill="1" applyBorder="1" applyAlignment="1">
      <alignment horizontal="center" vertical="center"/>
    </xf>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80" fontId="3" fillId="8" borderId="0" xfId="4" applyNumberFormat="1" applyFill="1" applyAlignment="1">
      <alignment horizontal="left"/>
    </xf>
    <xf numFmtId="0" fontId="4" fillId="8" borderId="0" xfId="4" applyFont="1" applyFill="1" applyAlignment="1">
      <alignment vertical="center"/>
    </xf>
    <xf numFmtId="180" fontId="3" fillId="8" borderId="0" xfId="4" applyNumberFormat="1" applyFill="1" applyAlignment="1">
      <alignment horizontal="right" vertical="center"/>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4" fillId="8" borderId="0" xfId="4" applyFont="1" applyFill="1"/>
    <xf numFmtId="180" fontId="74" fillId="8" borderId="0" xfId="4" applyNumberFormat="1" applyFont="1" applyFill="1" applyAlignment="1">
      <alignment horizontal="right"/>
    </xf>
    <xf numFmtId="0" fontId="74" fillId="8" borderId="0" xfId="4" applyFont="1" applyFill="1" applyAlignment="1">
      <alignment horizontal="left" vertical="center"/>
    </xf>
    <xf numFmtId="178" fontId="74" fillId="8" borderId="0" xfId="4" applyNumberFormat="1" applyFont="1" applyFill="1"/>
    <xf numFmtId="180" fontId="3" fillId="17" borderId="11" xfId="4" applyNumberFormat="1" applyFill="1" applyBorder="1" applyAlignment="1">
      <alignment horizontal="center" vertical="center"/>
    </xf>
    <xf numFmtId="180"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8" fillId="8" borderId="11" xfId="4" applyFont="1" applyFill="1" applyBorder="1" applyAlignment="1">
      <alignment horizontal="center" vertical="center"/>
    </xf>
    <xf numFmtId="0" fontId="59" fillId="8" borderId="0" xfId="4" applyFont="1" applyFill="1" applyAlignment="1">
      <alignment horizontal="left" vertical="center"/>
    </xf>
    <xf numFmtId="0" fontId="54" fillId="3" borderId="69" xfId="4" applyFont="1" applyFill="1" applyBorder="1" applyAlignment="1">
      <alignment horizontal="center" vertical="center"/>
    </xf>
    <xf numFmtId="49" fontId="72" fillId="14" borderId="68" xfId="4" applyNumberFormat="1" applyFont="1" applyFill="1" applyBorder="1" applyAlignment="1">
      <alignment horizontal="center" vertical="center"/>
    </xf>
    <xf numFmtId="0" fontId="72" fillId="14" borderId="47" xfId="4" applyFont="1" applyFill="1" applyBorder="1" applyAlignment="1">
      <alignment horizontal="center" vertical="center"/>
    </xf>
    <xf numFmtId="180" fontId="75" fillId="0" borderId="0" xfId="4" applyNumberFormat="1" applyFont="1" applyAlignment="1">
      <alignment horizontal="right" vertical="center"/>
    </xf>
    <xf numFmtId="178" fontId="75" fillId="8" borderId="0" xfId="4" applyNumberFormat="1" applyFont="1" applyFill="1" applyAlignment="1">
      <alignment vertical="center"/>
    </xf>
    <xf numFmtId="49" fontId="59" fillId="8" borderId="0" xfId="4" applyNumberFormat="1" applyFont="1" applyFill="1" applyAlignment="1" applyProtection="1">
      <alignment horizontal="left" vertical="center"/>
      <protection locked="0" hidden="1"/>
    </xf>
    <xf numFmtId="0" fontId="59" fillId="8" borderId="0" xfId="4" applyFont="1" applyFill="1" applyAlignment="1" applyProtection="1">
      <alignment horizontal="left" vertical="center"/>
      <protection locked="0" hidden="1"/>
    </xf>
    <xf numFmtId="0" fontId="3" fillId="8" borderId="0" xfId="4" applyFill="1" applyAlignment="1" applyProtection="1">
      <alignment vertical="center"/>
      <protection locked="0" hidden="1"/>
    </xf>
    <xf numFmtId="0" fontId="55" fillId="12" borderId="0" xfId="0" applyFont="1" applyFill="1"/>
    <xf numFmtId="0" fontId="59" fillId="8" borderId="0" xfId="4" applyFont="1" applyFill="1"/>
    <xf numFmtId="0" fontId="75" fillId="8" borderId="0" xfId="4" applyFont="1" applyFill="1" applyAlignment="1">
      <alignment horizontal="left"/>
    </xf>
    <xf numFmtId="0" fontId="48" fillId="0" borderId="22" xfId="0" applyFont="1" applyBorder="1"/>
    <xf numFmtId="0" fontId="17" fillId="12" borderId="35" xfId="0" applyFont="1" applyFill="1" applyBorder="1"/>
    <xf numFmtId="182" fontId="17" fillId="12" borderId="39" xfId="0" applyNumberFormat="1" applyFont="1" applyFill="1" applyBorder="1" applyAlignment="1">
      <alignment horizontal="center"/>
    </xf>
    <xf numFmtId="0" fontId="17" fillId="12" borderId="39" xfId="0" applyFont="1" applyFill="1" applyBorder="1"/>
    <xf numFmtId="0" fontId="17" fillId="8" borderId="39" xfId="0" applyFont="1" applyFill="1" applyBorder="1"/>
    <xf numFmtId="0" fontId="17" fillId="12" borderId="36" xfId="0" applyFont="1" applyFill="1" applyBorder="1"/>
    <xf numFmtId="0" fontId="17" fillId="12" borderId="23" xfId="0" applyFont="1" applyFill="1" applyBorder="1"/>
    <xf numFmtId="0" fontId="3" fillId="8" borderId="39" xfId="0" applyFont="1" applyFill="1" applyBorder="1" applyAlignment="1">
      <alignment horizontal="right" vertical="center"/>
    </xf>
    <xf numFmtId="0" fontId="3" fillId="8" borderId="35" xfId="0" applyFont="1" applyFill="1" applyBorder="1" applyAlignment="1">
      <alignment vertical="center"/>
    </xf>
    <xf numFmtId="0" fontId="3" fillId="8" borderId="35" xfId="0" applyFont="1" applyFill="1" applyBorder="1" applyAlignment="1">
      <alignment horizontal="right"/>
    </xf>
    <xf numFmtId="0" fontId="50" fillId="8" borderId="39" xfId="0" applyFont="1" applyFill="1" applyBorder="1" applyAlignment="1">
      <alignment horizontal="right" vertical="center"/>
    </xf>
    <xf numFmtId="0" fontId="4" fillId="15" borderId="39" xfId="0" applyFont="1" applyFill="1" applyBorder="1" applyAlignment="1" applyProtection="1">
      <alignment vertical="center"/>
      <protection locked="0"/>
    </xf>
    <xf numFmtId="1" fontId="49" fillId="8" borderId="25" xfId="0" applyNumberFormat="1" applyFont="1" applyFill="1" applyBorder="1" applyAlignment="1">
      <alignment horizontal="right"/>
    </xf>
    <xf numFmtId="0" fontId="3" fillId="8" borderId="36" xfId="0" applyFont="1" applyFill="1" applyBorder="1" applyAlignment="1">
      <alignment vertical="center"/>
    </xf>
    <xf numFmtId="0" fontId="60" fillId="13" borderId="35" xfId="0" applyFont="1" applyFill="1" applyBorder="1" applyAlignment="1">
      <alignment vertical="center"/>
    </xf>
    <xf numFmtId="0" fontId="17" fillId="13" borderId="35" xfId="0" applyFont="1" applyFill="1" applyBorder="1"/>
    <xf numFmtId="0" fontId="77" fillId="13" borderId="62" xfId="0" applyFont="1" applyFill="1" applyBorder="1" applyAlignment="1">
      <alignment vertical="center"/>
    </xf>
    <xf numFmtId="0" fontId="23" fillId="24" borderId="0" xfId="0" applyFont="1" applyFill="1" applyAlignment="1">
      <alignment horizontal="right" vertical="center"/>
    </xf>
    <xf numFmtId="196" fontId="0" fillId="0" borderId="0" xfId="0" applyNumberFormat="1" applyAlignment="1">
      <alignment horizontal="right"/>
    </xf>
    <xf numFmtId="196" fontId="0" fillId="19" borderId="0" xfId="0" applyNumberFormat="1" applyFill="1" applyAlignment="1">
      <alignment horizontal="right"/>
    </xf>
    <xf numFmtId="0" fontId="0" fillId="0" borderId="22" xfId="0" applyBorder="1" applyAlignment="1">
      <alignment horizontal="left"/>
    </xf>
    <xf numFmtId="1" fontId="3" fillId="8" borderId="39" xfId="0" applyNumberFormat="1" applyFont="1" applyFill="1" applyBorder="1" applyAlignment="1">
      <alignment horizontal="right" vertical="center"/>
    </xf>
    <xf numFmtId="0" fontId="3" fillId="8" borderId="40" xfId="0" applyFont="1" applyFill="1" applyBorder="1" applyAlignment="1">
      <alignment vertical="center"/>
    </xf>
    <xf numFmtId="178" fontId="3" fillId="4" borderId="35" xfId="4" applyNumberFormat="1" applyFill="1" applyBorder="1"/>
    <xf numFmtId="178" fontId="3" fillId="27" borderId="0" xfId="4" applyNumberFormat="1" applyFill="1" applyAlignment="1">
      <alignment horizontal="center" vertical="center" wrapText="1"/>
    </xf>
    <xf numFmtId="9" fontId="3" fillId="0" borderId="47" xfId="4" applyNumberFormat="1" applyBorder="1" applyProtection="1">
      <protection locked="0"/>
    </xf>
    <xf numFmtId="178" fontId="4" fillId="26" borderId="0" xfId="4" applyNumberFormat="1" applyFont="1" applyFill="1" applyAlignment="1">
      <alignment horizontal="center" vertical="center" wrapText="1"/>
    </xf>
    <xf numFmtId="178" fontId="0" fillId="0" borderId="0" xfId="0" applyNumberFormat="1"/>
    <xf numFmtId="2" fontId="3" fillId="0" borderId="0" xfId="7" applyNumberFormat="1" applyFont="1"/>
    <xf numFmtId="2" fontId="4" fillId="0" borderId="0" xfId="0" applyNumberFormat="1" applyFont="1"/>
    <xf numFmtId="180" fontId="4" fillId="0" borderId="0" xfId="4" applyNumberFormat="1" applyFont="1"/>
    <xf numFmtId="179" fontId="4" fillId="0" borderId="0" xfId="4" applyNumberFormat="1" applyFont="1"/>
    <xf numFmtId="0" fontId="4" fillId="4" borderId="0" xfId="4" applyFont="1" applyFill="1" applyAlignment="1">
      <alignment horizontal="left"/>
    </xf>
    <xf numFmtId="179" fontId="3" fillId="0" borderId="0" xfId="0" applyNumberFormat="1" applyFont="1"/>
    <xf numFmtId="179" fontId="4" fillId="0" borderId="0" xfId="0" applyNumberFormat="1" applyFont="1"/>
    <xf numFmtId="0" fontId="4" fillId="4" borderId="35" xfId="4" applyFont="1" applyFill="1" applyBorder="1"/>
    <xf numFmtId="180"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Border="1" applyAlignment="1">
      <alignment horizontal="center" vertical="center" wrapText="1"/>
    </xf>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xf numFmtId="180" fontId="15" fillId="18" borderId="0" xfId="0" applyNumberFormat="1" applyFont="1" applyFill="1" applyAlignment="1">
      <alignment horizontal="right"/>
    </xf>
    <xf numFmtId="189" fontId="27" fillId="0" borderId="0" xfId="0" applyNumberFormat="1" applyFont="1"/>
    <xf numFmtId="0" fontId="3" fillId="0" borderId="33" xfId="0" applyFont="1" applyBorder="1"/>
    <xf numFmtId="180" fontId="27" fillId="4" borderId="0" xfId="0" applyNumberFormat="1" applyFont="1" applyFill="1"/>
    <xf numFmtId="178" fontId="27" fillId="0" borderId="0" xfId="0" applyNumberFormat="1" applyFont="1"/>
    <xf numFmtId="179" fontId="3" fillId="5" borderId="0" xfId="0" applyNumberFormat="1" applyFont="1" applyFill="1"/>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xf numFmtId="0" fontId="17" fillId="12" borderId="40" xfId="0" applyFont="1" applyFill="1" applyBorder="1"/>
    <xf numFmtId="1" fontId="3" fillId="0" borderId="0" xfId="0" applyNumberFormat="1" applyFont="1"/>
    <xf numFmtId="180" fontId="3" fillId="0" borderId="0" xfId="0" applyNumberFormat="1" applyFont="1"/>
    <xf numFmtId="1" fontId="50" fillId="15" borderId="0" xfId="0" applyNumberFormat="1" applyFont="1" applyFill="1" applyAlignment="1" applyProtection="1">
      <alignment horizontal="right" vertical="center"/>
      <protection locked="0"/>
    </xf>
    <xf numFmtId="0" fontId="17" fillId="12" borderId="62" xfId="0" applyFont="1" applyFill="1" applyBorder="1"/>
    <xf numFmtId="0" fontId="4" fillId="12" borderId="35" xfId="0" applyFont="1" applyFill="1" applyBorder="1" applyAlignment="1">
      <alignment horizontal="right"/>
    </xf>
    <xf numFmtId="0" fontId="4" fillId="12" borderId="64" xfId="0" applyFont="1" applyFill="1" applyBorder="1"/>
    <xf numFmtId="0" fontId="79" fillId="0" borderId="0" xfId="0" applyFont="1" applyAlignment="1">
      <alignment vertical="center" wrapText="1"/>
    </xf>
    <xf numFmtId="0" fontId="4" fillId="15" borderId="35" xfId="0" applyFont="1" applyFill="1" applyBorder="1" applyProtection="1">
      <protection locked="0"/>
    </xf>
    <xf numFmtId="0" fontId="0" fillId="23" borderId="0" xfId="0" applyFill="1"/>
    <xf numFmtId="0" fontId="4" fillId="8" borderId="35" xfId="0" applyFont="1" applyFill="1" applyBorder="1"/>
    <xf numFmtId="0" fontId="3" fillId="8" borderId="35" xfId="0" applyFont="1" applyFill="1" applyBorder="1"/>
    <xf numFmtId="49" fontId="3" fillId="0" borderId="0" xfId="0" applyNumberFormat="1" applyFont="1" applyAlignment="1">
      <alignment horizontal="left"/>
    </xf>
    <xf numFmtId="180" fontId="49" fillId="12" borderId="35" xfId="0" applyNumberFormat="1" applyFont="1" applyFill="1" applyBorder="1" applyAlignment="1">
      <alignment vertical="center"/>
    </xf>
    <xf numFmtId="178" fontId="3" fillId="0" borderId="0" xfId="0" applyNumberFormat="1" applyFont="1"/>
    <xf numFmtId="1" fontId="4" fillId="12" borderId="0" xfId="0" applyNumberFormat="1" applyFont="1" applyFill="1" applyAlignment="1">
      <alignment vertical="center"/>
    </xf>
    <xf numFmtId="1" fontId="65" fillId="0" borderId="0" xfId="0" applyNumberFormat="1" applyFont="1" applyAlignment="1">
      <alignment horizontal="right" vertical="center"/>
    </xf>
    <xf numFmtId="180" fontId="4" fillId="15" borderId="0" xfId="0" applyNumberFormat="1" applyFont="1" applyFill="1" applyAlignment="1" applyProtection="1">
      <alignment horizontal="right" vertical="center"/>
      <protection locked="0"/>
    </xf>
    <xf numFmtId="0" fontId="22" fillId="8" borderId="67" xfId="0" applyFont="1" applyFill="1" applyBorder="1" applyAlignment="1">
      <alignment vertical="center"/>
    </xf>
    <xf numFmtId="0" fontId="17" fillId="8" borderId="35" xfId="0" applyFont="1" applyFill="1" applyBorder="1"/>
    <xf numFmtId="0" fontId="45" fillId="8" borderId="75" xfId="0" applyFont="1" applyFill="1" applyBorder="1"/>
    <xf numFmtId="0" fontId="45" fillId="8" borderId="76" xfId="0" applyFont="1" applyFill="1" applyBorder="1"/>
    <xf numFmtId="0" fontId="45" fillId="8" borderId="77" xfId="0" applyFont="1" applyFill="1" applyBorder="1"/>
    <xf numFmtId="2" fontId="3" fillId="18" borderId="0" xfId="0" applyNumberFormat="1" applyFont="1" applyFill="1"/>
    <xf numFmtId="2" fontId="4" fillId="0" borderId="0" xfId="0" applyNumberFormat="1" applyFont="1" applyAlignment="1">
      <alignment horizontal="right"/>
    </xf>
    <xf numFmtId="1" fontId="3" fillId="4" borderId="0" xfId="0" applyNumberFormat="1" applyFont="1" applyFill="1"/>
    <xf numFmtId="2" fontId="7" fillId="0" borderId="2" xfId="0" applyNumberFormat="1" applyFont="1" applyBorder="1"/>
    <xf numFmtId="179" fontId="4" fillId="0" borderId="2" xfId="0" applyNumberFormat="1" applyFont="1" applyBorder="1"/>
    <xf numFmtId="0" fontId="27" fillId="18" borderId="0" xfId="0" applyFont="1" applyFill="1" applyAlignment="1">
      <alignment horizontal="right"/>
    </xf>
    <xf numFmtId="192" fontId="3" fillId="16" borderId="8" xfId="4" applyNumberFormat="1" applyFill="1" applyBorder="1" applyAlignment="1">
      <alignment horizontal="left" vertical="center"/>
    </xf>
    <xf numFmtId="192" fontId="3" fillId="16" borderId="9" xfId="4" applyNumberFormat="1" applyFill="1" applyBorder="1" applyAlignment="1">
      <alignment horizontal="left" vertical="center"/>
    </xf>
    <xf numFmtId="0" fontId="3" fillId="8" borderId="0" xfId="0" applyFont="1" applyFill="1" applyAlignment="1">
      <alignment horizontal="right" vertical="top"/>
    </xf>
    <xf numFmtId="0" fontId="3" fillId="8" borderId="38" xfId="0" applyFont="1" applyFill="1" applyBorder="1" applyAlignment="1">
      <alignment horizontal="right"/>
    </xf>
    <xf numFmtId="0" fontId="4" fillId="2" borderId="19" xfId="4" applyFont="1" applyFill="1" applyBorder="1" applyAlignment="1">
      <alignment horizontal="center" vertical="center" wrapText="1"/>
    </xf>
    <xf numFmtId="178" fontId="4" fillId="26" borderId="19" xfId="4" applyNumberFormat="1" applyFont="1" applyFill="1" applyBorder="1" applyAlignment="1">
      <alignment horizontal="center" vertical="center" wrapText="1"/>
    </xf>
    <xf numFmtId="178" fontId="4" fillId="26" borderId="20" xfId="4" applyNumberFormat="1" applyFont="1" applyFill="1" applyBorder="1" applyAlignment="1">
      <alignment horizontal="center" vertical="center" wrapText="1"/>
    </xf>
    <xf numFmtId="178" fontId="4" fillId="26" borderId="73" xfId="4" applyNumberFormat="1" applyFont="1" applyFill="1" applyBorder="1" applyAlignment="1">
      <alignment horizontal="center" vertical="center" wrapText="1"/>
    </xf>
    <xf numFmtId="178"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80" fontId="3" fillId="8" borderId="35" xfId="0" applyNumberFormat="1" applyFont="1" applyFill="1" applyBorder="1" applyAlignment="1">
      <alignment horizontal="right" vertical="center"/>
    </xf>
    <xf numFmtId="179" fontId="0" fillId="0" borderId="0" xfId="0" applyNumberFormat="1" applyAlignment="1">
      <alignment horizontal="right"/>
    </xf>
    <xf numFmtId="0" fontId="3" fillId="23" borderId="0" xfId="0" applyFont="1" applyFill="1"/>
    <xf numFmtId="9" fontId="0" fillId="19" borderId="0" xfId="0" applyNumberFormat="1" applyFill="1"/>
    <xf numFmtId="0" fontId="3" fillId="12" borderId="70" xfId="4" applyFill="1" applyBorder="1" applyAlignment="1">
      <alignment horizontal="center" vertical="center"/>
    </xf>
    <xf numFmtId="180" fontId="3" fillId="12" borderId="11" xfId="4" applyNumberFormat="1" applyFill="1" applyBorder="1" applyAlignment="1">
      <alignment horizontal="center" vertical="center"/>
    </xf>
    <xf numFmtId="0" fontId="59" fillId="12" borderId="0" xfId="4" applyFont="1" applyFill="1" applyAlignment="1">
      <alignment horizontal="left" vertical="center"/>
    </xf>
    <xf numFmtId="0" fontId="3" fillId="12" borderId="0" xfId="4" applyFill="1" applyAlignment="1">
      <alignment vertical="center"/>
    </xf>
    <xf numFmtId="0" fontId="59" fillId="12" borderId="0" xfId="4" applyFont="1" applyFill="1" applyAlignment="1" applyProtection="1">
      <alignment horizontal="left" vertical="center"/>
      <protection locked="0" hidden="1"/>
    </xf>
    <xf numFmtId="193" fontId="3" fillId="12" borderId="8" xfId="4" applyNumberFormat="1" applyFill="1" applyBorder="1" applyAlignment="1">
      <alignment horizontal="left" vertical="center"/>
    </xf>
    <xf numFmtId="193" fontId="3" fillId="12" borderId="9" xfId="4" applyNumberFormat="1" applyFill="1" applyBorder="1" applyAlignment="1">
      <alignment horizontal="left" vertical="center"/>
    </xf>
    <xf numFmtId="0" fontId="3" fillId="17" borderId="11" xfId="4" applyFill="1" applyBorder="1" applyAlignment="1">
      <alignment horizontal="center" vertical="center"/>
    </xf>
    <xf numFmtId="180" fontId="3" fillId="8" borderId="63" xfId="0" applyNumberFormat="1" applyFont="1" applyFill="1" applyBorder="1" applyAlignment="1">
      <alignment horizontal="right" vertical="center"/>
    </xf>
    <xf numFmtId="2" fontId="7" fillId="10" borderId="0" xfId="0" applyNumberFormat="1" applyFont="1" applyFill="1"/>
    <xf numFmtId="0" fontId="3" fillId="12" borderId="64" xfId="0" applyFont="1" applyFill="1" applyBorder="1" applyAlignment="1">
      <alignment vertical="center"/>
    </xf>
    <xf numFmtId="177" fontId="0" fillId="0" borderId="0" xfId="0" applyNumberFormat="1"/>
    <xf numFmtId="0" fontId="3" fillId="12" borderId="23" xfId="0" applyFont="1" applyFill="1" applyBorder="1"/>
    <xf numFmtId="0" fontId="3" fillId="12" borderId="40" xfId="0" applyFont="1" applyFill="1" applyBorder="1"/>
    <xf numFmtId="2" fontId="3" fillId="8" borderId="39" xfId="0" applyNumberFormat="1" applyFont="1" applyFill="1" applyBorder="1" applyAlignment="1">
      <alignment horizontal="right"/>
    </xf>
    <xf numFmtId="181" fontId="7" fillId="0" borderId="0" xfId="0" applyNumberFormat="1" applyFont="1"/>
    <xf numFmtId="0" fontId="3" fillId="0" borderId="11" xfId="0" applyFont="1" applyBorder="1"/>
    <xf numFmtId="0" fontId="0" fillId="0" borderId="11" xfId="0" applyBorder="1"/>
    <xf numFmtId="0" fontId="80"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Border="1"/>
    <xf numFmtId="0" fontId="3" fillId="0" borderId="8" xfId="4" applyBorder="1" applyAlignment="1">
      <alignment horizontal="left"/>
    </xf>
    <xf numFmtId="1" fontId="3" fillId="0" borderId="11" xfId="4" applyNumberFormat="1" applyBorder="1"/>
    <xf numFmtId="180" fontId="3" fillId="0" borderId="8" xfId="4" applyNumberFormat="1" applyBorder="1"/>
    <xf numFmtId="0" fontId="3" fillId="2" borderId="0" xfId="4" applyFill="1"/>
    <xf numFmtId="0" fontId="3" fillId="0" borderId="21" xfId="4" applyBorder="1" applyAlignment="1">
      <alignment horizontal="left"/>
    </xf>
    <xf numFmtId="1" fontId="3" fillId="0" borderId="39" xfId="4" applyNumberFormat="1" applyBorder="1"/>
    <xf numFmtId="0" fontId="3" fillId="0" borderId="40" xfId="4" applyBorder="1"/>
    <xf numFmtId="0" fontId="3" fillId="0" borderId="39" xfId="4" applyBorder="1"/>
    <xf numFmtId="179" fontId="3" fillId="0" borderId="39" xfId="4" applyNumberFormat="1" applyBorder="1"/>
    <xf numFmtId="179" fontId="3" fillId="0" borderId="38" xfId="4" applyNumberFormat="1" applyBorder="1"/>
    <xf numFmtId="0" fontId="3" fillId="0" borderId="0" xfId="4" applyAlignment="1">
      <alignment horizontal="left"/>
    </xf>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2" fontId="7" fillId="0" borderId="7" xfId="4" applyNumberFormat="1" applyFont="1" applyBorder="1" applyAlignment="1">
      <alignment horizontal="center"/>
    </xf>
    <xf numFmtId="0" fontId="7" fillId="0" borderId="0" xfId="4" applyFont="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78" fontId="3" fillId="0" borderId="84" xfId="4" applyNumberFormat="1" applyBorder="1" applyAlignment="1">
      <alignment horizontal="center"/>
    </xf>
    <xf numFmtId="178" fontId="3" fillId="0" borderId="12" xfId="4" applyNumberFormat="1" applyBorder="1" applyAlignment="1">
      <alignment horizontal="center"/>
    </xf>
    <xf numFmtId="178" fontId="3" fillId="0" borderId="85" xfId="4" applyNumberFormat="1" applyBorder="1" applyAlignment="1">
      <alignment horizontal="center"/>
    </xf>
    <xf numFmtId="178" fontId="3" fillId="0" borderId="48" xfId="4" applyNumberFormat="1" applyBorder="1" applyAlignment="1">
      <alignment horizontal="center"/>
    </xf>
    <xf numFmtId="197" fontId="3" fillId="0" borderId="84" xfId="4" applyNumberFormat="1" applyBorder="1" applyAlignment="1">
      <alignment horizontal="center"/>
    </xf>
    <xf numFmtId="197"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78" fontId="3" fillId="0" borderId="11" xfId="4" applyNumberFormat="1" applyBorder="1" applyAlignment="1">
      <alignment horizontal="center"/>
    </xf>
    <xf numFmtId="178" fontId="3" fillId="0" borderId="79" xfId="4" applyNumberFormat="1" applyBorder="1" applyAlignment="1">
      <alignment horizontal="center"/>
    </xf>
    <xf numFmtId="0" fontId="3" fillId="0" borderId="0" xfId="4" applyAlignment="1">
      <alignment horizontal="center"/>
    </xf>
    <xf numFmtId="178" fontId="3" fillId="0" borderId="0" xfId="4" applyNumberFormat="1" applyAlignment="1">
      <alignment horizontal="center"/>
    </xf>
    <xf numFmtId="197" fontId="3" fillId="0" borderId="0" xfId="4" applyNumberFormat="1" applyAlignment="1">
      <alignment horizontal="center"/>
    </xf>
    <xf numFmtId="2" fontId="3" fillId="0" borderId="87" xfId="4" applyNumberFormat="1" applyBorder="1" applyAlignment="1">
      <alignment horizontal="center"/>
    </xf>
    <xf numFmtId="2" fontId="3" fillId="0" borderId="0" xfId="4" applyNumberFormat="1" applyAlignment="1">
      <alignment horizontal="center"/>
    </xf>
    <xf numFmtId="0" fontId="3" fillId="0" borderId="0" xfId="4" applyAlignment="1">
      <alignment horizontal="right"/>
    </xf>
    <xf numFmtId="178" fontId="3" fillId="0" borderId="17" xfId="4" applyNumberFormat="1" applyBorder="1" applyAlignment="1">
      <alignment horizontal="center"/>
    </xf>
    <xf numFmtId="178" fontId="3" fillId="0" borderId="8" xfId="4" applyNumberFormat="1" applyBorder="1" applyAlignment="1">
      <alignment horizontal="center"/>
    </xf>
    <xf numFmtId="197" fontId="3" fillId="0" borderId="79" xfId="4" applyNumberFormat="1" applyBorder="1" applyAlignment="1">
      <alignment horizontal="center"/>
    </xf>
    <xf numFmtId="1" fontId="3" fillId="0" borderId="0" xfId="4" applyNumberFormat="1"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3" fillId="0" borderId="0" xfId="4" applyFont="1"/>
    <xf numFmtId="0" fontId="3" fillId="0" borderId="23" xfId="4" applyBorder="1"/>
    <xf numFmtId="2" fontId="3" fillId="29" borderId="0" xfId="4" applyNumberFormat="1" applyFill="1"/>
    <xf numFmtId="0" fontId="3" fillId="29" borderId="0" xfId="4" applyFill="1"/>
    <xf numFmtId="189" fontId="3" fillId="0" borderId="0" xfId="4" applyNumberFormat="1"/>
    <xf numFmtId="1" fontId="3" fillId="0" borderId="8" xfId="4" applyNumberFormat="1" applyBorder="1" applyAlignment="1">
      <alignment horizontal="left"/>
    </xf>
    <xf numFmtId="0" fontId="3" fillId="18" borderId="0" xfId="4" applyFill="1"/>
    <xf numFmtId="179" fontId="3" fillId="18" borderId="0" xfId="4" applyNumberFormat="1" applyFill="1"/>
    <xf numFmtId="2" fontId="3" fillId="18" borderId="0" xfId="4" applyNumberFormat="1" applyFill="1"/>
    <xf numFmtId="180" fontId="3" fillId="18" borderId="0" xfId="4" applyNumberFormat="1" applyFill="1"/>
    <xf numFmtId="0" fontId="48" fillId="0" borderId="15" xfId="4" applyFont="1" applyBorder="1"/>
    <xf numFmtId="2" fontId="4" fillId="0" borderId="11" xfId="4" applyNumberFormat="1" applyFont="1" applyBorder="1"/>
    <xf numFmtId="0" fontId="4" fillId="0" borderId="79" xfId="4" applyFont="1" applyBorder="1"/>
    <xf numFmtId="180" fontId="4" fillId="0" borderId="11" xfId="4" applyNumberFormat="1" applyFont="1" applyBorder="1"/>
    <xf numFmtId="0" fontId="82" fillId="0" borderId="79" xfId="4" applyFont="1" applyBorder="1"/>
    <xf numFmtId="0" fontId="3" fillId="0" borderId="80" xfId="4" applyBorder="1"/>
    <xf numFmtId="178" fontId="7" fillId="0" borderId="0" xfId="0" applyNumberFormat="1" applyFont="1"/>
    <xf numFmtId="0" fontId="4" fillId="15" borderId="35" xfId="0" applyFont="1" applyFill="1" applyBorder="1" applyAlignment="1" applyProtection="1">
      <alignment vertical="center"/>
      <protection locked="0"/>
    </xf>
    <xf numFmtId="0" fontId="4" fillId="12" borderId="64" xfId="0" applyFont="1" applyFill="1" applyBorder="1" applyAlignment="1">
      <alignment vertical="center"/>
    </xf>
    <xf numFmtId="0" fontId="4" fillId="12" borderId="40" xfId="0" applyFont="1" applyFill="1" applyBorder="1" applyAlignment="1">
      <alignment vertical="center"/>
    </xf>
    <xf numFmtId="0" fontId="4" fillId="11" borderId="0" xfId="0" applyFont="1" applyFill="1"/>
    <xf numFmtId="0" fontId="58" fillId="0" borderId="0" xfId="0" applyFont="1"/>
    <xf numFmtId="0" fontId="84" fillId="8" borderId="0" xfId="0" applyFont="1" applyFill="1"/>
    <xf numFmtId="0" fontId="81" fillId="12" borderId="0" xfId="0" applyFont="1" applyFill="1" applyAlignment="1">
      <alignment vertical="center"/>
    </xf>
    <xf numFmtId="178" fontId="3" fillId="0" borderId="11" xfId="4" applyNumberFormat="1" applyBorder="1"/>
    <xf numFmtId="197" fontId="3" fillId="0" borderId="0" xfId="4" applyNumberFormat="1"/>
    <xf numFmtId="0" fontId="0" fillId="0" borderId="62" xfId="0" applyBorder="1"/>
    <xf numFmtId="0" fontId="0" fillId="0" borderId="64" xfId="0" applyBorder="1"/>
    <xf numFmtId="20" fontId="0" fillId="0" borderId="0" xfId="0" applyNumberFormat="1"/>
    <xf numFmtId="0" fontId="0" fillId="0" borderId="0" xfId="0" quotePrefix="1"/>
    <xf numFmtId="0" fontId="78" fillId="0" borderId="0" xfId="0" applyFont="1" applyAlignment="1">
      <alignment horizontal="right"/>
    </xf>
    <xf numFmtId="0" fontId="4" fillId="0" borderId="23" xfId="0" applyFont="1" applyBorder="1" applyAlignment="1">
      <alignment horizontal="right"/>
    </xf>
    <xf numFmtId="179" fontId="4" fillId="0" borderId="23" xfId="0" applyNumberFormat="1" applyFont="1" applyBorder="1" applyAlignment="1">
      <alignment horizontal="right"/>
    </xf>
    <xf numFmtId="179" fontId="48" fillId="0" borderId="0" xfId="0" applyNumberFormat="1" applyFont="1" applyAlignment="1">
      <alignment horizontal="left"/>
    </xf>
    <xf numFmtId="2" fontId="48" fillId="0" borderId="23" xfId="0" applyNumberFormat="1" applyFont="1" applyBorder="1" applyAlignment="1">
      <alignment horizontal="right"/>
    </xf>
    <xf numFmtId="2" fontId="48" fillId="0" borderId="0" xfId="0" applyNumberFormat="1" applyFont="1" applyAlignment="1">
      <alignment horizontal="left"/>
    </xf>
    <xf numFmtId="0" fontId="48" fillId="0" borderId="23" xfId="0" applyFont="1" applyBorder="1" applyAlignment="1">
      <alignment horizontal="right"/>
    </xf>
    <xf numFmtId="0" fontId="0" fillId="0" borderId="38" xfId="0" applyBorder="1"/>
    <xf numFmtId="0" fontId="0" fillId="0" borderId="39" xfId="0" applyBorder="1" applyAlignment="1">
      <alignment horizontal="left"/>
    </xf>
    <xf numFmtId="0" fontId="0" fillId="0" borderId="40" xfId="0" applyBorder="1"/>
    <xf numFmtId="0" fontId="4" fillId="0" borderId="62" xfId="0" applyFont="1" applyBorder="1"/>
    <xf numFmtId="0" fontId="4" fillId="8" borderId="23" xfId="0" applyFont="1" applyFill="1" applyBorder="1"/>
    <xf numFmtId="0" fontId="22" fillId="8" borderId="38" xfId="0" applyFont="1" applyFill="1" applyBorder="1" applyAlignment="1">
      <alignment vertical="center"/>
    </xf>
    <xf numFmtId="0" fontId="47" fillId="8" borderId="39" xfId="0" applyFont="1" applyFill="1" applyBorder="1"/>
    <xf numFmtId="0" fontId="4" fillId="8" borderId="40" xfId="0" applyFont="1" applyFill="1" applyBorder="1"/>
    <xf numFmtId="0" fontId="22" fillId="12" borderId="0" xfId="0" applyFont="1" applyFill="1" applyAlignment="1">
      <alignment vertical="center"/>
    </xf>
    <xf numFmtId="180" fontId="49" fillId="12" borderId="0" xfId="0" applyNumberFormat="1" applyFont="1" applyFill="1" applyAlignment="1">
      <alignment vertical="center"/>
    </xf>
    <xf numFmtId="0" fontId="10" fillId="0" borderId="0" xfId="3" applyAlignment="1" applyProtection="1"/>
    <xf numFmtId="0" fontId="50" fillId="0" borderId="0" xfId="4" applyFont="1"/>
    <xf numFmtId="0" fontId="58" fillId="0" borderId="86" xfId="4" applyFont="1" applyBorder="1" applyAlignment="1">
      <alignment horizontal="center"/>
    </xf>
    <xf numFmtId="0" fontId="58" fillId="0" borderId="74" xfId="4" applyFont="1" applyBorder="1" applyAlignment="1">
      <alignment horizontal="center"/>
    </xf>
    <xf numFmtId="178" fontId="58" fillId="0" borderId="84" xfId="4" applyNumberFormat="1" applyFont="1" applyBorder="1" applyAlignment="1">
      <alignment horizontal="center"/>
    </xf>
    <xf numFmtId="178" fontId="58" fillId="0" borderId="12" xfId="4" applyNumberFormat="1" applyFont="1" applyBorder="1" applyAlignment="1">
      <alignment horizontal="center"/>
    </xf>
    <xf numFmtId="178" fontId="58" fillId="0" borderId="85" xfId="4" applyNumberFormat="1" applyFont="1" applyBorder="1" applyAlignment="1">
      <alignment horizontal="center"/>
    </xf>
    <xf numFmtId="178" fontId="58" fillId="0" borderId="48" xfId="4" applyNumberFormat="1" applyFont="1" applyBorder="1" applyAlignment="1">
      <alignment horizontal="center"/>
    </xf>
    <xf numFmtId="178" fontId="58" fillId="0" borderId="11" xfId="4" applyNumberFormat="1" applyFont="1" applyBorder="1" applyAlignment="1">
      <alignment horizontal="center"/>
    </xf>
    <xf numFmtId="178" fontId="58" fillId="0" borderId="79" xfId="4" applyNumberFormat="1" applyFont="1" applyBorder="1" applyAlignment="1">
      <alignment horizontal="center"/>
    </xf>
    <xf numFmtId="197" fontId="58" fillId="0" borderId="84" xfId="4" applyNumberFormat="1" applyFont="1" applyBorder="1" applyAlignment="1">
      <alignment horizontal="center"/>
    </xf>
    <xf numFmtId="197" fontId="58" fillId="0" borderId="85" xfId="4" applyNumberFormat="1" applyFont="1" applyBorder="1" applyAlignment="1">
      <alignment horizontal="center"/>
    </xf>
    <xf numFmtId="2" fontId="58" fillId="0" borderId="84" xfId="4" applyNumberFormat="1" applyFont="1" applyBorder="1" applyAlignment="1">
      <alignment horizontal="center"/>
    </xf>
    <xf numFmtId="2" fontId="58" fillId="0" borderId="12" xfId="4" applyNumberFormat="1" applyFont="1" applyBorder="1" applyAlignment="1">
      <alignment horizontal="center"/>
    </xf>
    <xf numFmtId="2" fontId="58" fillId="0" borderId="79" xfId="4" applyNumberFormat="1" applyFont="1" applyBorder="1" applyAlignment="1">
      <alignment horizontal="center"/>
    </xf>
    <xf numFmtId="2" fontId="58" fillId="0" borderId="17" xfId="4" applyNumberFormat="1" applyFont="1" applyBorder="1" applyAlignment="1">
      <alignment horizontal="center"/>
    </xf>
    <xf numFmtId="1" fontId="49" fillId="12" borderId="0" xfId="0" applyNumberFormat="1" applyFont="1" applyFill="1" applyAlignment="1">
      <alignment vertical="center"/>
    </xf>
    <xf numFmtId="180" fontId="50" fillId="15" borderId="0" xfId="0" applyNumberFormat="1" applyFont="1" applyFill="1" applyAlignment="1" applyProtection="1">
      <alignment vertical="center"/>
      <protection locked="0"/>
    </xf>
    <xf numFmtId="0" fontId="86" fillId="0" borderId="0" xfId="0" applyFont="1"/>
    <xf numFmtId="180" fontId="3" fillId="12" borderId="0" xfId="0" applyNumberFormat="1" applyFont="1" applyFill="1" applyAlignment="1">
      <alignment horizontal="right"/>
    </xf>
    <xf numFmtId="0" fontId="0" fillId="0" borderId="0" xfId="0" quotePrefix="1" applyAlignment="1">
      <alignment wrapText="1"/>
    </xf>
    <xf numFmtId="0" fontId="0" fillId="0" borderId="0" xfId="0" applyAlignment="1">
      <alignment wrapText="1"/>
    </xf>
    <xf numFmtId="0" fontId="3" fillId="0" borderId="0" xfId="0" applyFont="1" applyAlignment="1">
      <alignment wrapText="1"/>
    </xf>
    <xf numFmtId="2" fontId="7" fillId="0" borderId="0" xfId="0" applyNumberFormat="1" applyFont="1"/>
    <xf numFmtId="180" fontId="49" fillId="8" borderId="35" xfId="2" applyNumberFormat="1" applyFont="1" applyFill="1" applyBorder="1" applyAlignment="1" applyProtection="1">
      <alignment horizontal="right" vertical="center"/>
    </xf>
    <xf numFmtId="180" fontId="17" fillId="8" borderId="35" xfId="0" applyNumberFormat="1" applyFont="1" applyFill="1" applyBorder="1" applyAlignment="1">
      <alignment horizontal="right"/>
    </xf>
    <xf numFmtId="0" fontId="3" fillId="8" borderId="38" xfId="0" applyFont="1" applyFill="1" applyBorder="1" applyAlignment="1">
      <alignment vertical="center"/>
    </xf>
    <xf numFmtId="0" fontId="50" fillId="8" borderId="35" xfId="0" applyFont="1" applyFill="1" applyBorder="1" applyAlignment="1">
      <alignment horizontal="right" vertical="center"/>
    </xf>
    <xf numFmtId="0" fontId="50" fillId="12" borderId="64" xfId="0" applyFont="1" applyFill="1" applyBorder="1" applyAlignment="1">
      <alignment vertical="center"/>
    </xf>
    <xf numFmtId="180" fontId="3" fillId="8" borderId="0" xfId="0" applyNumberFormat="1" applyFont="1" applyFill="1"/>
    <xf numFmtId="0" fontId="87" fillId="8" borderId="39" xfId="0" applyFont="1" applyFill="1" applyBorder="1"/>
    <xf numFmtId="0" fontId="49" fillId="8" borderId="39" xfId="0" applyFont="1" applyFill="1" applyBorder="1" applyAlignment="1">
      <alignment horizontal="right"/>
    </xf>
    <xf numFmtId="180" fontId="79" fillId="8" borderId="0" xfId="0" applyNumberFormat="1" applyFont="1" applyFill="1"/>
    <xf numFmtId="0" fontId="3" fillId="8" borderId="22" xfId="0" applyFont="1" applyFill="1" applyBorder="1" applyAlignment="1">
      <alignment horizontal="right"/>
    </xf>
    <xf numFmtId="0" fontId="22" fillId="12" borderId="62" xfId="0" applyFont="1" applyFill="1" applyBorder="1" applyAlignment="1">
      <alignment vertical="center"/>
    </xf>
    <xf numFmtId="0" fontId="47" fillId="8" borderId="35" xfId="0" applyFont="1" applyFill="1" applyBorder="1"/>
    <xf numFmtId="0" fontId="3" fillId="8" borderId="35" xfId="0" quotePrefix="1" applyFont="1" applyFill="1" applyBorder="1" applyAlignment="1">
      <alignment horizontal="right"/>
    </xf>
    <xf numFmtId="180" fontId="3" fillId="8" borderId="35" xfId="0" applyNumberFormat="1" applyFont="1" applyFill="1" applyBorder="1"/>
    <xf numFmtId="0" fontId="3" fillId="8" borderId="64" xfId="0" applyFont="1" applyFill="1" applyBorder="1"/>
    <xf numFmtId="0" fontId="22" fillId="12" borderId="22" xfId="0" applyFont="1" applyFill="1" applyBorder="1" applyAlignment="1">
      <alignment vertical="center"/>
    </xf>
    <xf numFmtId="0" fontId="17" fillId="12" borderId="38" xfId="0" applyFont="1" applyFill="1" applyBorder="1"/>
    <xf numFmtId="180" fontId="3" fillId="8" borderId="0" xfId="0" applyNumberFormat="1" applyFont="1" applyFill="1" applyAlignment="1">
      <alignment horizontal="right"/>
    </xf>
    <xf numFmtId="180" fontId="3" fillId="8" borderId="39" xfId="0" applyNumberFormat="1" applyFont="1" applyFill="1" applyBorder="1" applyAlignment="1">
      <alignment horizontal="right"/>
    </xf>
    <xf numFmtId="0" fontId="3" fillId="8" borderId="64" xfId="0" applyFont="1" applyFill="1" applyBorder="1" applyAlignment="1">
      <alignment vertical="center"/>
    </xf>
    <xf numFmtId="0" fontId="50" fillId="15" borderId="39" xfId="0" applyFont="1" applyFill="1" applyBorder="1" applyAlignment="1" applyProtection="1">
      <alignment horizontal="right" vertical="center"/>
      <protection locked="0"/>
    </xf>
    <xf numFmtId="0" fontId="4" fillId="8" borderId="40" xfId="0" applyFont="1" applyFill="1" applyBorder="1" applyAlignment="1">
      <alignment vertical="center"/>
    </xf>
    <xf numFmtId="0" fontId="84" fillId="8" borderId="11" xfId="0" applyFont="1" applyFill="1" applyBorder="1" applyAlignment="1">
      <alignment horizontal="right"/>
    </xf>
    <xf numFmtId="0" fontId="81" fillId="15" borderId="15" xfId="0" applyFont="1" applyFill="1" applyBorder="1" applyAlignment="1" applyProtection="1">
      <alignment vertical="center"/>
      <protection locked="0"/>
    </xf>
    <xf numFmtId="0" fontId="4" fillId="15" borderId="0" xfId="0" applyFont="1" applyFill="1" applyAlignment="1" applyProtection="1">
      <alignment horizontal="right"/>
      <protection locked="0"/>
    </xf>
    <xf numFmtId="0" fontId="4" fillId="8" borderId="35" xfId="0" applyFont="1" applyFill="1" applyBorder="1" applyAlignment="1">
      <alignment horizontal="right" vertical="center"/>
    </xf>
    <xf numFmtId="1" fontId="3" fillId="8" borderId="35" xfId="0" applyNumberFormat="1" applyFont="1" applyFill="1" applyBorder="1" applyAlignment="1">
      <alignment horizontal="right" vertical="center"/>
    </xf>
    <xf numFmtId="0" fontId="3" fillId="8" borderId="88" xfId="0" applyFont="1" applyFill="1" applyBorder="1" applyAlignment="1">
      <alignment vertical="center"/>
    </xf>
    <xf numFmtId="0" fontId="3" fillId="8" borderId="10" xfId="0" applyFont="1" applyFill="1" applyBorder="1" applyAlignment="1">
      <alignment vertical="center"/>
    </xf>
    <xf numFmtId="0" fontId="4" fillId="8" borderId="10" xfId="0" applyFont="1" applyFill="1" applyBorder="1" applyAlignment="1">
      <alignment vertical="center"/>
    </xf>
    <xf numFmtId="0" fontId="3" fillId="8" borderId="10" xfId="0" applyFont="1" applyFill="1" applyBorder="1" applyAlignment="1">
      <alignment horizontal="right" vertical="center"/>
    </xf>
    <xf numFmtId="0" fontId="3" fillId="0" borderId="10" xfId="0" applyFont="1" applyBorder="1" applyAlignment="1">
      <alignment horizontal="right" vertical="center"/>
    </xf>
    <xf numFmtId="0" fontId="3" fillId="8" borderId="89" xfId="0" applyFont="1" applyFill="1" applyBorder="1" applyAlignment="1">
      <alignment vertical="center"/>
    </xf>
    <xf numFmtId="0" fontId="3" fillId="8" borderId="48" xfId="0" applyFont="1" applyFill="1" applyBorder="1" applyAlignment="1">
      <alignment vertical="center"/>
    </xf>
    <xf numFmtId="0" fontId="3" fillId="8" borderId="4" xfId="0" applyFont="1" applyFill="1" applyBorder="1" applyAlignment="1">
      <alignment vertical="center"/>
    </xf>
    <xf numFmtId="0" fontId="3" fillId="8" borderId="4" xfId="0" applyFont="1" applyFill="1" applyBorder="1" applyAlignment="1">
      <alignment horizontal="right" vertical="center"/>
    </xf>
    <xf numFmtId="0" fontId="3" fillId="8" borderId="16" xfId="0" applyFont="1" applyFill="1" applyBorder="1" applyAlignment="1">
      <alignment vertical="center"/>
    </xf>
    <xf numFmtId="0" fontId="22" fillId="8" borderId="0" xfId="0" applyFont="1" applyFill="1" applyAlignment="1">
      <alignment vertical="center"/>
    </xf>
    <xf numFmtId="0" fontId="45" fillId="8" borderId="62" xfId="0" applyFont="1" applyFill="1" applyBorder="1"/>
    <xf numFmtId="0" fontId="45" fillId="8" borderId="38" xfId="0" applyFont="1" applyFill="1" applyBorder="1"/>
    <xf numFmtId="0" fontId="3" fillId="8" borderId="62" xfId="0" applyFont="1" applyFill="1" applyBorder="1" applyAlignment="1">
      <alignment horizontal="right"/>
    </xf>
    <xf numFmtId="0" fontId="49" fillId="12" borderId="0" xfId="0" applyFont="1" applyFill="1" applyAlignment="1">
      <alignment horizontal="right"/>
    </xf>
    <xf numFmtId="0" fontId="49" fillId="12" borderId="35" xfId="0" applyFont="1" applyFill="1" applyBorder="1" applyAlignment="1">
      <alignment horizontal="right"/>
    </xf>
    <xf numFmtId="0" fontId="17" fillId="12" borderId="90" xfId="0" applyFont="1" applyFill="1" applyBorder="1"/>
    <xf numFmtId="0" fontId="50" fillId="12" borderId="39" xfId="0" applyFont="1" applyFill="1" applyBorder="1" applyAlignment="1">
      <alignment horizontal="right"/>
    </xf>
    <xf numFmtId="0" fontId="3" fillId="0" borderId="0" xfId="0" applyFont="1" applyAlignment="1">
      <alignment vertical="center"/>
    </xf>
    <xf numFmtId="0" fontId="17" fillId="8" borderId="67" xfId="0" applyFont="1" applyFill="1" applyBorder="1"/>
    <xf numFmtId="0" fontId="3" fillId="12" borderId="0" xfId="0" applyFont="1" applyFill="1" applyAlignment="1">
      <alignment horizontal="right"/>
    </xf>
    <xf numFmtId="0" fontId="79" fillId="8" borderId="0" xfId="0" applyFont="1" applyFill="1" applyAlignment="1">
      <alignment horizontal="right" vertical="center"/>
    </xf>
    <xf numFmtId="0" fontId="65" fillId="8" borderId="0" xfId="0" applyFont="1" applyFill="1" applyAlignment="1">
      <alignment horizontal="right" vertical="center"/>
    </xf>
    <xf numFmtId="0" fontId="3" fillId="0" borderId="62" xfId="0" applyFont="1" applyBorder="1"/>
    <xf numFmtId="0" fontId="0" fillId="0" borderId="90" xfId="0" applyBorder="1"/>
    <xf numFmtId="0" fontId="3" fillId="0" borderId="38" xfId="0" applyFont="1" applyBorder="1"/>
    <xf numFmtId="0" fontId="4" fillId="8" borderId="35" xfId="0" applyFont="1" applyFill="1" applyBorder="1" applyAlignment="1">
      <alignment horizontal="right"/>
    </xf>
    <xf numFmtId="0" fontId="3" fillId="0" borderId="90" xfId="0" applyFont="1" applyBorder="1" applyAlignment="1">
      <alignment vertical="center"/>
    </xf>
    <xf numFmtId="0" fontId="4" fillId="12" borderId="90" xfId="0" applyFont="1" applyFill="1" applyBorder="1" applyAlignment="1">
      <alignment vertical="center"/>
    </xf>
    <xf numFmtId="0" fontId="3" fillId="8" borderId="38" xfId="0" applyFont="1" applyFill="1" applyBorder="1"/>
    <xf numFmtId="0" fontId="4" fillId="0" borderId="39" xfId="0" applyFont="1" applyBorder="1"/>
    <xf numFmtId="0" fontId="3" fillId="0" borderId="39" xfId="0" applyFont="1" applyBorder="1" applyAlignment="1">
      <alignment horizontal="right"/>
    </xf>
    <xf numFmtId="0" fontId="3" fillId="0" borderId="40" xfId="0" applyFont="1" applyBorder="1" applyAlignment="1">
      <alignment vertical="center"/>
    </xf>
    <xf numFmtId="180" fontId="3" fillId="0" borderId="39" xfId="0" applyNumberFormat="1" applyFont="1" applyBorder="1" applyAlignment="1">
      <alignment horizontal="right" vertical="center"/>
    </xf>
    <xf numFmtId="1" fontId="3" fillId="12" borderId="35" xfId="0" applyNumberFormat="1" applyFont="1" applyFill="1" applyBorder="1"/>
    <xf numFmtId="0" fontId="3" fillId="12" borderId="64" xfId="0" applyFont="1" applyFill="1" applyBorder="1"/>
    <xf numFmtId="0" fontId="3" fillId="12" borderId="90" xfId="0" applyFont="1" applyFill="1" applyBorder="1"/>
    <xf numFmtId="0" fontId="4" fillId="15" borderId="39" xfId="0" applyFont="1" applyFill="1" applyBorder="1" applyProtection="1">
      <protection locked="0"/>
    </xf>
    <xf numFmtId="0" fontId="4" fillId="12" borderId="40" xfId="0" applyFont="1" applyFill="1" applyBorder="1"/>
    <xf numFmtId="180" fontId="3" fillId="12" borderId="0" xfId="0" applyNumberFormat="1" applyFont="1" applyFill="1"/>
    <xf numFmtId="0" fontId="4" fillId="8" borderId="90" xfId="0" applyFont="1" applyFill="1" applyBorder="1" applyAlignment="1">
      <alignment vertical="center"/>
    </xf>
    <xf numFmtId="0" fontId="3" fillId="8" borderId="90" xfId="0" applyFont="1" applyFill="1" applyBorder="1" applyAlignment="1">
      <alignment horizontal="left" vertical="center"/>
    </xf>
    <xf numFmtId="0" fontId="3" fillId="8" borderId="90" xfId="0" applyFont="1" applyFill="1" applyBorder="1" applyAlignment="1">
      <alignment vertical="center"/>
    </xf>
    <xf numFmtId="0" fontId="3" fillId="8" borderId="40" xfId="0" applyFont="1" applyFill="1" applyBorder="1" applyAlignment="1">
      <alignment horizontal="left" vertical="center"/>
    </xf>
    <xf numFmtId="0" fontId="3" fillId="8" borderId="62" xfId="0" applyFont="1" applyFill="1" applyBorder="1" applyAlignment="1">
      <alignment horizontal="right" vertical="center"/>
    </xf>
    <xf numFmtId="0" fontId="3" fillId="12" borderId="35" xfId="0" applyFont="1" applyFill="1" applyBorder="1" applyAlignment="1">
      <alignment horizontal="right" vertical="center"/>
    </xf>
    <xf numFmtId="0" fontId="3" fillId="12" borderId="35" xfId="0" applyFont="1" applyFill="1" applyBorder="1" applyAlignment="1">
      <alignment vertical="center"/>
    </xf>
    <xf numFmtId="0" fontId="3" fillId="12" borderId="35" xfId="0" applyFont="1" applyFill="1" applyBorder="1"/>
    <xf numFmtId="0" fontId="3" fillId="8" borderId="22" xfId="0" applyFont="1" applyFill="1" applyBorder="1" applyAlignment="1">
      <alignment horizontal="right" vertical="center"/>
    </xf>
    <xf numFmtId="0" fontId="3" fillId="8" borderId="90" xfId="0" applyFont="1" applyFill="1" applyBorder="1"/>
    <xf numFmtId="178" fontId="17" fillId="8" borderId="39" xfId="0" applyNumberFormat="1" applyFont="1" applyFill="1" applyBorder="1"/>
    <xf numFmtId="2" fontId="3" fillId="8" borderId="39" xfId="0" applyNumberFormat="1" applyFont="1" applyFill="1" applyBorder="1"/>
    <xf numFmtId="179" fontId="3" fillId="8" borderId="39" xfId="0" applyNumberFormat="1" applyFont="1" applyFill="1" applyBorder="1" applyAlignment="1">
      <alignment horizontal="right" vertical="center"/>
    </xf>
    <xf numFmtId="0" fontId="3" fillId="8" borderId="76" xfId="0" applyFont="1" applyFill="1" applyBorder="1"/>
    <xf numFmtId="0" fontId="3" fillId="8" borderId="77" xfId="0" applyFont="1" applyFill="1" applyBorder="1"/>
    <xf numFmtId="0" fontId="3" fillId="15" borderId="0" xfId="0" applyFont="1" applyFill="1" applyAlignment="1" applyProtection="1">
      <alignment horizontal="right" vertical="center"/>
      <protection locked="0"/>
    </xf>
    <xf numFmtId="179" fontId="0" fillId="30" borderId="0" xfId="0" applyNumberFormat="1" applyFill="1"/>
    <xf numFmtId="189" fontId="0" fillId="0" borderId="0" xfId="0" applyNumberFormat="1"/>
    <xf numFmtId="0" fontId="3" fillId="15" borderId="35" xfId="0" applyFont="1" applyFill="1" applyBorder="1" applyAlignment="1" applyProtection="1">
      <alignment horizontal="right" vertical="center"/>
      <protection locked="0"/>
    </xf>
    <xf numFmtId="0" fontId="4" fillId="8" borderId="64" xfId="0" applyFont="1" applyFill="1" applyBorder="1" applyAlignment="1">
      <alignment horizontal="left" vertical="center"/>
    </xf>
    <xf numFmtId="0" fontId="4" fillId="8" borderId="90" xfId="0" applyFont="1" applyFill="1" applyBorder="1" applyAlignment="1">
      <alignment horizontal="left" vertical="center"/>
    </xf>
    <xf numFmtId="0" fontId="18" fillId="8" borderId="64" xfId="0" applyFont="1" applyFill="1" applyBorder="1"/>
    <xf numFmtId="0" fontId="18" fillId="8" borderId="90" xfId="0" applyFont="1" applyFill="1" applyBorder="1"/>
    <xf numFmtId="0" fontId="17" fillId="8" borderId="90" xfId="0" applyFont="1" applyFill="1" applyBorder="1"/>
    <xf numFmtId="0" fontId="3" fillId="8" borderId="38" xfId="0" applyFont="1" applyFill="1" applyBorder="1" applyAlignment="1">
      <alignment horizontal="right" vertical="center"/>
    </xf>
    <xf numFmtId="0" fontId="3" fillId="12" borderId="39" xfId="0" applyFont="1" applyFill="1" applyBorder="1" applyAlignment="1">
      <alignment horizontal="right" vertical="center"/>
    </xf>
    <xf numFmtId="0" fontId="3" fillId="12" borderId="39" xfId="0" applyFont="1" applyFill="1" applyBorder="1" applyAlignment="1">
      <alignment vertical="center"/>
    </xf>
    <xf numFmtId="0" fontId="3" fillId="8" borderId="75" xfId="0" applyFont="1" applyFill="1" applyBorder="1"/>
    <xf numFmtId="0" fontId="3" fillId="15" borderId="35" xfId="0" applyFont="1" applyFill="1" applyBorder="1" applyProtection="1">
      <protection locked="0"/>
    </xf>
    <xf numFmtId="0" fontId="3" fillId="15" borderId="0" xfId="0" applyFont="1" applyFill="1" applyProtection="1">
      <protection locked="0"/>
    </xf>
    <xf numFmtId="0" fontId="65" fillId="8" borderId="0" xfId="0" applyFont="1" applyFill="1" applyAlignment="1">
      <alignment horizontal="right"/>
    </xf>
    <xf numFmtId="187" fontId="3" fillId="17" borderId="8" xfId="4" applyNumberFormat="1" applyFill="1" applyBorder="1" applyAlignment="1">
      <alignment horizontal="left" vertical="center"/>
    </xf>
    <xf numFmtId="187" fontId="3" fillId="17" borderId="9" xfId="4" applyNumberFormat="1" applyFill="1" applyBorder="1" applyAlignment="1">
      <alignment horizontal="left" vertical="center"/>
    </xf>
    <xf numFmtId="0" fontId="48" fillId="8" borderId="0" xfId="0" applyFont="1" applyFill="1"/>
    <xf numFmtId="0" fontId="58" fillId="8" borderId="0" xfId="0" applyFont="1" applyFill="1"/>
    <xf numFmtId="187" fontId="3" fillId="12" borderId="8" xfId="4" applyNumberFormat="1" applyFill="1" applyBorder="1" applyAlignment="1">
      <alignment horizontal="left" vertical="center"/>
    </xf>
    <xf numFmtId="193" fontId="3" fillId="17" borderId="8" xfId="4" applyNumberFormat="1" applyFill="1" applyBorder="1" applyAlignment="1">
      <alignment horizontal="left" vertical="center"/>
    </xf>
    <xf numFmtId="193" fontId="3" fillId="17" borderId="9" xfId="4" applyNumberFormat="1" applyFill="1" applyBorder="1" applyAlignment="1">
      <alignment horizontal="left" vertical="center"/>
    </xf>
    <xf numFmtId="1" fontId="3" fillId="17" borderId="11" xfId="4" applyNumberFormat="1" applyFill="1" applyBorder="1" applyAlignment="1">
      <alignment horizontal="center" vertical="center"/>
    </xf>
    <xf numFmtId="194" fontId="3" fillId="12" borderId="11" xfId="4" applyNumberFormat="1" applyFill="1" applyBorder="1" applyAlignment="1">
      <alignment horizontal="center" vertical="center"/>
    </xf>
    <xf numFmtId="195" fontId="3" fillId="12" borderId="9" xfId="4" applyNumberFormat="1" applyFill="1" applyBorder="1" applyAlignment="1">
      <alignment horizontal="left" vertical="center"/>
    </xf>
    <xf numFmtId="185" fontId="3" fillId="17" borderId="11" xfId="4" applyNumberFormat="1" applyFill="1" applyBorder="1" applyAlignment="1">
      <alignment horizontal="center" vertical="center"/>
    </xf>
    <xf numFmtId="11" fontId="0" fillId="0" borderId="0" xfId="0" applyNumberFormat="1"/>
    <xf numFmtId="0" fontId="3" fillId="12" borderId="23" xfId="0" applyFont="1" applyFill="1" applyBorder="1" applyAlignment="1">
      <alignment vertical="center"/>
    </xf>
    <xf numFmtId="180" fontId="49" fillId="12" borderId="0" xfId="0" applyNumberFormat="1" applyFont="1" applyFill="1" applyAlignment="1">
      <alignment horizontal="right" vertical="center"/>
    </xf>
    <xf numFmtId="180" fontId="3" fillId="8" borderId="0" xfId="0" applyNumberFormat="1" applyFont="1" applyFill="1" applyAlignment="1">
      <alignment horizontal="right" vertical="center"/>
    </xf>
    <xf numFmtId="0" fontId="81" fillId="4" borderId="43" xfId="4" applyFont="1" applyFill="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xf numFmtId="0" fontId="4" fillId="4" borderId="81" xfId="4" applyFont="1" applyFill="1" applyBorder="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Border="1" applyAlignment="1">
      <alignment horizontal="center"/>
    </xf>
    <xf numFmtId="0" fontId="3" fillId="0" borderId="66" xfId="4" applyBorder="1" applyAlignment="1">
      <alignment horizontal="center"/>
    </xf>
    <xf numFmtId="0" fontId="4" fillId="0" borderId="66" xfId="4" applyFont="1" applyBorder="1" applyAlignment="1">
      <alignment horizontal="center"/>
    </xf>
    <xf numFmtId="0" fontId="81"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1" fillId="4" borderId="76" xfId="4" applyFont="1" applyFill="1" applyBorder="1" applyAlignment="1">
      <alignment horizontal="center" vertical="top"/>
    </xf>
    <xf numFmtId="0" fontId="81" fillId="4" borderId="82" xfId="4" applyFont="1" applyFill="1" applyBorder="1" applyAlignment="1">
      <alignment horizontal="center" vertical="top"/>
    </xf>
    <xf numFmtId="0" fontId="81" fillId="4" borderId="65" xfId="4" applyFont="1" applyFill="1" applyBorder="1" applyAlignment="1">
      <alignment horizontal="center"/>
    </xf>
    <xf numFmtId="0" fontId="81" fillId="4" borderId="78" xfId="4" applyFont="1" applyFill="1" applyBorder="1" applyAlignment="1">
      <alignment horizontal="center"/>
    </xf>
    <xf numFmtId="0" fontId="81" fillId="4" borderId="66" xfId="4" applyFont="1" applyFill="1" applyBorder="1" applyAlignment="1">
      <alignment horizontal="center"/>
    </xf>
    <xf numFmtId="0" fontId="81" fillId="4" borderId="81" xfId="4" applyFont="1" applyFill="1" applyBorder="1" applyAlignment="1">
      <alignment horizontal="center"/>
    </xf>
    <xf numFmtId="0" fontId="4" fillId="0" borderId="0" xfId="0" applyFont="1" applyAlignment="1">
      <alignment horizontal="center"/>
    </xf>
    <xf numFmtId="0" fontId="5" fillId="3" borderId="0" xfId="0" applyFont="1" applyFill="1" applyAlignment="1">
      <alignment horizontal="left"/>
    </xf>
    <xf numFmtId="0" fontId="13" fillId="3" borderId="0" xfId="4" applyFont="1" applyFill="1" applyAlignment="1">
      <alignment horizontal="left" vertical="center"/>
    </xf>
    <xf numFmtId="0" fontId="23" fillId="21" borderId="0" xfId="4" applyFont="1" applyFill="1" applyAlignment="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66" xfId="4" applyFont="1" applyFill="1" applyBorder="1" applyAlignment="1">
      <alignment horizontal="left"/>
    </xf>
    <xf numFmtId="0" fontId="4" fillId="4" borderId="78" xfId="4" applyFont="1" applyFill="1" applyBorder="1" applyAlignment="1">
      <alignment horizontal="left"/>
    </xf>
    <xf numFmtId="0" fontId="54" fillId="3" borderId="69" xfId="4" applyFont="1" applyFill="1" applyBorder="1" applyAlignment="1">
      <alignment horizontal="center" vertical="center"/>
    </xf>
    <xf numFmtId="0" fontId="54" fillId="3" borderId="71" xfId="4" applyFont="1" applyFill="1" applyBorder="1" applyAlignment="1">
      <alignment horizontal="center" vertical="center"/>
    </xf>
    <xf numFmtId="0" fontId="54" fillId="3" borderId="72" xfId="4" applyFont="1" applyFill="1" applyBorder="1" applyAlignment="1">
      <alignment horizontal="center" vertical="center"/>
    </xf>
    <xf numFmtId="195" fontId="3" fillId="12" borderId="8" xfId="4" applyNumberFormat="1" applyFill="1" applyBorder="1" applyAlignment="1">
      <alignment horizontal="left" vertical="center"/>
    </xf>
    <xf numFmtId="195" fontId="3" fillId="12" borderId="9" xfId="4" applyNumberFormat="1" applyFill="1" applyBorder="1" applyAlignment="1">
      <alignment horizontal="left" vertical="center"/>
    </xf>
    <xf numFmtId="193" fontId="3" fillId="12" borderId="8" xfId="4" applyNumberFormat="1" applyFill="1" applyBorder="1" applyAlignment="1">
      <alignment horizontal="left" vertical="center"/>
    </xf>
    <xf numFmtId="193" fontId="3" fillId="12" borderId="9" xfId="4" applyNumberFormat="1" applyFill="1" applyBorder="1" applyAlignment="1">
      <alignment horizontal="left" vertical="center"/>
    </xf>
    <xf numFmtId="187" fontId="3" fillId="12" borderId="8" xfId="4" applyNumberFormat="1" applyFill="1" applyBorder="1" applyAlignment="1">
      <alignment horizontal="left" vertical="center"/>
    </xf>
    <xf numFmtId="187" fontId="3" fillId="12" borderId="9" xfId="4" applyNumberFormat="1" applyFill="1" applyBorder="1" applyAlignment="1">
      <alignment horizontal="left" vertical="center"/>
    </xf>
    <xf numFmtId="192" fontId="3" fillId="16" borderId="8" xfId="4" applyNumberFormat="1" applyFill="1" applyBorder="1" applyAlignment="1">
      <alignment horizontal="left" vertical="center"/>
    </xf>
    <xf numFmtId="192" fontId="3" fillId="16" borderId="9" xfId="4" applyNumberFormat="1" applyFill="1" applyBorder="1" applyAlignment="1">
      <alignment horizontal="left" vertical="center"/>
    </xf>
    <xf numFmtId="187" fontId="3" fillId="17" borderId="8" xfId="4" applyNumberFormat="1" applyFill="1" applyBorder="1" applyAlignment="1">
      <alignment horizontal="left" vertical="center"/>
    </xf>
    <xf numFmtId="187" fontId="3" fillId="17" borderId="9" xfId="4" applyNumberFormat="1" applyFill="1" applyBorder="1" applyAlignment="1">
      <alignment horizontal="left" vertical="center"/>
    </xf>
    <xf numFmtId="0" fontId="75" fillId="8" borderId="0" xfId="4" applyFont="1" applyFill="1" applyAlignment="1">
      <alignment horizontal="right" wrapText="1"/>
    </xf>
    <xf numFmtId="190" fontId="3" fillId="16" borderId="8" xfId="4" applyNumberFormat="1" applyFill="1" applyBorder="1" applyAlignment="1">
      <alignment horizontal="left" vertical="center"/>
    </xf>
    <xf numFmtId="190" fontId="3" fillId="16" borderId="9" xfId="4" applyNumberFormat="1" applyFill="1" applyBorder="1" applyAlignment="1">
      <alignment horizontal="left" vertical="center"/>
    </xf>
    <xf numFmtId="186" fontId="3" fillId="17" borderId="8" xfId="4" applyNumberFormat="1" applyFill="1" applyBorder="1" applyAlignment="1">
      <alignment horizontal="left" vertical="center" wrapText="1"/>
    </xf>
    <xf numFmtId="186" fontId="3" fillId="17" borderId="9" xfId="4" applyNumberFormat="1" applyFill="1" applyBorder="1" applyAlignment="1">
      <alignment horizontal="left" vertical="center" wrapText="1"/>
    </xf>
    <xf numFmtId="186" fontId="3" fillId="17" borderId="15" xfId="4" applyNumberFormat="1" applyFill="1" applyBorder="1" applyAlignment="1">
      <alignment horizontal="left" vertical="center" wrapText="1"/>
    </xf>
    <xf numFmtId="195" fontId="3" fillId="12" borderId="8" xfId="4" quotePrefix="1" applyNumberFormat="1" applyFill="1" applyBorder="1" applyAlignment="1">
      <alignment horizontal="left" vertical="center"/>
    </xf>
    <xf numFmtId="0" fontId="40" fillId="12" borderId="22" xfId="0" applyFont="1" applyFill="1" applyBorder="1" applyAlignment="1">
      <alignment horizontal="left" vertical="center"/>
    </xf>
    <xf numFmtId="0" fontId="40" fillId="12" borderId="0" xfId="0" applyFont="1" applyFill="1" applyAlignment="1">
      <alignment horizontal="left" vertical="center"/>
    </xf>
  </cellXfs>
  <cellStyles count="8">
    <cellStyle name="Comma 2" xfId="6" xr:uid="{00000000-0005-0000-0000-000001000000}"/>
    <cellStyle name="Normal 2" xfId="4" xr:uid="{00000000-0005-0000-0000-000004000000}"/>
    <cellStyle name="Normal 3" xfId="5" xr:uid="{00000000-0005-0000-0000-000005000000}"/>
    <cellStyle name="RowLevel_1" xfId="1" builtinId="1" iLevel="0"/>
    <cellStyle name="百分比" xfId="7" builtinId="5"/>
    <cellStyle name="常规" xfId="0" builtinId="0"/>
    <cellStyle name="超链接" xfId="3" builtinId="8"/>
    <cellStyle name="千位分隔" xfId="2" builtinId="3"/>
  </cellStyles>
  <dxfs count="73">
    <dxf>
      <border>
        <left style="thin">
          <color indexed="64"/>
        </left>
        <right style="thin">
          <color indexed="64"/>
        </right>
        <top style="thin">
          <color indexed="64"/>
        </top>
        <bottom style="thin">
          <color indexed="64"/>
        </bottom>
      </border>
    </dxf>
    <dxf>
      <font>
        <color theme="0"/>
      </font>
    </dxf>
    <dxf>
      <font>
        <color rgb="FFFFFF99"/>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ndense val="0"/>
        <extend val="0"/>
        <color indexed="10"/>
      </font>
    </dxf>
    <dxf>
      <font>
        <strike/>
        <color rgb="FFFF0000"/>
      </font>
    </dxf>
    <dxf>
      <font>
        <color theme="0"/>
      </font>
      <fill>
        <patternFill>
          <bgColor theme="0"/>
        </patternFill>
      </fill>
      <border>
        <right/>
        <top/>
        <bottom/>
        <vertical/>
        <horizontal/>
      </border>
    </dxf>
    <dxf>
      <font>
        <color rgb="FFFF0000"/>
      </font>
    </dxf>
    <dxf>
      <font>
        <b/>
        <i val="0"/>
        <color theme="0"/>
      </font>
      <fill>
        <patternFill patternType="solid">
          <fgColor auto="1"/>
          <bgColor rgb="FFFF0000"/>
        </patternFill>
      </fill>
    </dxf>
    <dxf>
      <font>
        <strike val="0"/>
        <color theme="0"/>
      </font>
      <fill>
        <patternFill>
          <bgColor rgb="FFFF0000"/>
        </patternFill>
      </fill>
    </dxf>
    <dxf>
      <font>
        <strike val="0"/>
        <color theme="0"/>
      </font>
      <fill>
        <patternFill>
          <bgColor rgb="FFFF0000"/>
        </patternFill>
      </fill>
    </dxf>
    <dxf>
      <font>
        <strike/>
        <color rgb="FFFF0000"/>
      </font>
    </dxf>
    <dxf>
      <font>
        <color rgb="FFFF0000"/>
      </font>
    </dxf>
    <dxf>
      <font>
        <color rgb="FFFF0000"/>
      </font>
    </dxf>
    <dxf>
      <font>
        <color rgb="FFFF0000"/>
      </font>
    </dxf>
    <dxf>
      <font>
        <b/>
        <i val="0"/>
        <color rgb="FFFF0000"/>
      </font>
    </dxf>
    <dxf>
      <font>
        <color rgb="FFFF0000"/>
      </font>
    </dxf>
    <dxf>
      <font>
        <color theme="0"/>
      </font>
      <fill>
        <patternFill>
          <bgColor theme="0"/>
        </patternFill>
      </fill>
    </dxf>
    <dxf>
      <font>
        <strike/>
        <color rgb="FFFF0000"/>
      </font>
    </dxf>
    <dxf>
      <font>
        <color theme="0"/>
      </font>
      <fill>
        <patternFill>
          <bgColor theme="0"/>
        </patternFill>
      </fill>
      <border>
        <right/>
        <top/>
        <bottom/>
      </border>
    </dxf>
    <dxf>
      <font>
        <b/>
        <i val="0"/>
        <condense val="0"/>
        <extend val="0"/>
        <color indexed="12"/>
      </font>
    </dxf>
    <dxf>
      <font>
        <b/>
        <i val="0"/>
        <condense val="0"/>
        <extend val="0"/>
        <color indexed="10"/>
      </font>
    </dxf>
    <dxf>
      <border>
        <left/>
        <right/>
        <top/>
        <bottom/>
        <vertical/>
        <horizontal/>
      </border>
    </dxf>
    <dxf>
      <font>
        <color theme="0"/>
      </font>
      <fill>
        <patternFill>
          <bgColor theme="0"/>
        </patternFill>
      </fill>
      <border>
        <right/>
        <top/>
        <bottom/>
        <vertical/>
        <horizontal/>
      </border>
    </dxf>
    <dxf>
      <font>
        <color theme="0"/>
      </font>
      <fill>
        <patternFill>
          <bgColor theme="0"/>
        </patternFill>
      </fill>
      <border>
        <right/>
        <top/>
        <bottom/>
        <vertical/>
        <horizontal/>
      </border>
    </dxf>
    <dxf>
      <border>
        <top/>
        <bottom/>
        <vertical/>
        <horizontal/>
      </border>
    </dxf>
    <dxf>
      <font>
        <color theme="0"/>
      </font>
      <fill>
        <patternFill>
          <bgColor theme="0"/>
        </patternFill>
      </fill>
      <border>
        <right style="thin">
          <color auto="1"/>
        </right>
        <vertical/>
        <horizontal/>
      </border>
    </dxf>
    <dxf>
      <font>
        <color rgb="FFFF0000"/>
      </font>
    </dxf>
    <dxf>
      <font>
        <color rgb="FFFF0000"/>
      </font>
    </dxf>
    <dxf>
      <border>
        <right/>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rgb="FFFF0000"/>
      </font>
    </dxf>
    <dxf>
      <font>
        <color rgb="FFFF0000"/>
      </font>
    </dxf>
    <dxf>
      <font>
        <strike/>
        <color rgb="FFFF0000"/>
      </font>
    </dxf>
    <dxf>
      <font>
        <strike/>
        <color rgb="FFFF5050"/>
      </font>
    </dxf>
    <dxf>
      <font>
        <strike/>
        <color rgb="FFFF0000"/>
      </font>
    </dxf>
    <dxf>
      <font>
        <strike/>
        <color rgb="FFFF0000"/>
      </font>
    </dxf>
    <dxf>
      <font>
        <strike/>
        <color rgb="FFFF0000"/>
      </font>
    </dxf>
    <dxf>
      <font>
        <color rgb="FFFF0000"/>
      </font>
    </dxf>
    <dxf>
      <font>
        <strike/>
        <color rgb="FFFF0000"/>
      </font>
    </dxf>
    <dxf>
      <font>
        <color rgb="FFFF0000"/>
      </font>
    </dxf>
    <dxf>
      <font>
        <strike/>
        <color rgb="FFFF0000"/>
      </font>
    </dxf>
    <dxf>
      <font>
        <color rgb="FFFF0000"/>
      </font>
    </dxf>
    <dxf>
      <font>
        <color rgb="FFFF0000"/>
      </font>
    </dxf>
    <dxf>
      <font>
        <color rgb="FFFF0000"/>
      </font>
    </dxf>
    <dxf>
      <font>
        <color rgb="FFFF0000"/>
      </font>
    </dxf>
    <dxf>
      <font>
        <strike/>
        <color rgb="FFFF0000"/>
      </font>
    </dxf>
    <dxf>
      <font>
        <strike/>
        <color rgb="FFFF0000"/>
      </font>
    </dxf>
    <dxf>
      <font>
        <strike/>
        <color rgb="FFFF0000"/>
      </font>
    </dxf>
    <dxf>
      <font>
        <strike val="0"/>
        <color theme="0"/>
      </font>
      <fill>
        <patternFill>
          <bgColor theme="0"/>
        </patternFill>
      </fill>
    </dxf>
    <dxf>
      <font>
        <b/>
        <i val="0"/>
        <color rgb="FFFF0000"/>
      </font>
    </dxf>
    <dxf>
      <font>
        <b/>
        <i val="0"/>
        <color rgb="FFFF0000"/>
      </font>
    </dxf>
    <dxf>
      <font>
        <strike/>
        <color rgb="FFFF0000"/>
      </font>
    </dxf>
    <dxf>
      <font>
        <strike/>
        <color rgb="FFFF0000"/>
      </font>
    </dxf>
    <dxf>
      <font>
        <strike/>
        <color rgb="FFFF0000"/>
      </font>
    </dxf>
    <dxf>
      <font>
        <color theme="0"/>
      </font>
    </dxf>
    <dxf>
      <font>
        <b/>
        <i val="0"/>
        <color rgb="FFC00000"/>
      </font>
    </dxf>
    <dxf>
      <font>
        <b/>
        <i val="0"/>
        <color rgb="FFC00000"/>
      </font>
    </dxf>
    <dxf>
      <font>
        <b/>
        <i val="0"/>
        <color rgb="FFC00000"/>
      </font>
    </dxf>
    <dxf>
      <font>
        <color theme="0"/>
      </font>
      <border>
        <bottom style="thin">
          <color auto="1"/>
        </bottom>
        <vertical/>
        <horizontal/>
      </border>
    </dxf>
    <dxf>
      <font>
        <color theme="0"/>
      </font>
    </dxf>
    <dxf>
      <border>
        <bottom/>
        <vertical/>
        <horizontal/>
      </border>
    </dxf>
    <dxf>
      <border>
        <bottom/>
        <vertical/>
        <horizontal/>
      </border>
    </dxf>
  </dxfs>
  <tableStyles count="0" defaultTableStyle="TableStyleMedium9" defaultPivotStyle="PivotStyleLight16"/>
  <colors>
    <mruColors>
      <color rgb="FFFFFF66"/>
      <color rgb="FFFF5050"/>
      <color rgb="FF0000FF"/>
      <color rgb="FFFFFF99"/>
      <color rgb="FF33CC33"/>
      <color rgb="FFFF9900"/>
      <color rgb="FFCCFFFF"/>
      <color rgb="FF66FFFF"/>
      <color rgb="FF00FFFF"/>
      <color rgb="FFEE61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400" b="1" i="0" u="none" strike="noStrike" baseline="0">
                <a:solidFill>
                  <a:srgbClr val="000000"/>
                </a:solidFill>
                <a:latin typeface="Arial"/>
                <a:ea typeface="Arial"/>
                <a:cs typeface="Arial"/>
              </a:defRPr>
            </a:pPr>
            <a:r>
              <a:rPr lang="en-US" sz="1400"/>
              <a:t>Bode Plot, V</a:t>
            </a:r>
            <a:r>
              <a:rPr lang="en-US" sz="1400" baseline="-25000"/>
              <a:t>IN</a:t>
            </a:r>
            <a:r>
              <a:rPr lang="en-US" sz="1400"/>
              <a:t> = V</a:t>
            </a:r>
            <a:r>
              <a:rPr lang="en-US" sz="1400" baseline="-25000"/>
              <a:t>IN(nom)</a:t>
            </a:r>
          </a:p>
        </c:rich>
      </c:tx>
      <c:layout>
        <c:manualLayout>
          <c:xMode val="edge"/>
          <c:yMode val="edge"/>
          <c:x val="4.6802568469568491E-2"/>
          <c:y val="1.6752897184919666E-2"/>
        </c:manualLayout>
      </c:layout>
      <c:overlay val="0"/>
      <c:spPr>
        <a:noFill/>
        <a:ln w="25400">
          <a:noFill/>
        </a:ln>
      </c:spPr>
    </c:title>
    <c:autoTitleDeleted val="0"/>
    <c:plotArea>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81.768094956951529</c:v>
                </c:pt>
                <c:pt idx="1">
                  <c:v>80.969918025070072</c:v>
                </c:pt>
                <c:pt idx="2">
                  <c:v>80.171473696399545</c:v>
                </c:pt>
                <c:pt idx="3">
                  <c:v>79.372785191957448</c:v>
                </c:pt>
                <c:pt idx="4">
                  <c:v>78.574393307449199</c:v>
                </c:pt>
                <c:pt idx="5">
                  <c:v>77.774984028255801</c:v>
                </c:pt>
                <c:pt idx="6">
                  <c:v>76.975703399655998</c:v>
                </c:pt>
                <c:pt idx="7">
                  <c:v>76.176032506721029</c:v>
                </c:pt>
                <c:pt idx="8">
                  <c:v>75.376559228850311</c:v>
                </c:pt>
                <c:pt idx="9">
                  <c:v>74.576680497954243</c:v>
                </c:pt>
                <c:pt idx="10">
                  <c:v>73.776855716966281</c:v>
                </c:pt>
                <c:pt idx="11">
                  <c:v>72.976967768268054</c:v>
                </c:pt>
                <c:pt idx="12">
                  <c:v>72.176587177477131</c:v>
                </c:pt>
                <c:pt idx="13">
                  <c:v>71.376473452398542</c:v>
                </c:pt>
                <c:pt idx="14">
                  <c:v>70.575974958711271</c:v>
                </c:pt>
                <c:pt idx="15">
                  <c:v>69.775382479575711</c:v>
                </c:pt>
                <c:pt idx="16">
                  <c:v>68.974609673992944</c:v>
                </c:pt>
                <c:pt idx="17">
                  <c:v>68.173743051447659</c:v>
                </c:pt>
                <c:pt idx="18">
                  <c:v>67.372516032704922</c:v>
                </c:pt>
                <c:pt idx="19">
                  <c:v>66.571102057990913</c:v>
                </c:pt>
                <c:pt idx="20">
                  <c:v>65.769290241912046</c:v>
                </c:pt>
                <c:pt idx="21">
                  <c:v>64.967182176292212</c:v>
                </c:pt>
                <c:pt idx="22">
                  <c:v>64.164531807460477</c:v>
                </c:pt>
                <c:pt idx="23">
                  <c:v>63.361448048652775</c:v>
                </c:pt>
                <c:pt idx="24">
                  <c:v>62.557619054205787</c:v>
                </c:pt>
                <c:pt idx="25">
                  <c:v>61.753040643438659</c:v>
                </c:pt>
                <c:pt idx="26">
                  <c:v>60.947371619398758</c:v>
                </c:pt>
                <c:pt idx="27">
                  <c:v>60.140685210281781</c:v>
                </c:pt>
                <c:pt idx="28">
                  <c:v>59.33273223714879</c:v>
                </c:pt>
                <c:pt idx="29">
                  <c:v>58.523757056717677</c:v>
                </c:pt>
                <c:pt idx="30">
                  <c:v>57.71208310391458</c:v>
                </c:pt>
                <c:pt idx="31">
                  <c:v>56.898478194848479</c:v>
                </c:pt>
                <c:pt idx="32">
                  <c:v>56.081959717453429</c:v>
                </c:pt>
                <c:pt idx="33">
                  <c:v>55.262602657284816</c:v>
                </c:pt>
                <c:pt idx="34">
                  <c:v>54.439180013923441</c:v>
                </c:pt>
                <c:pt idx="35">
                  <c:v>53.611459264865964</c:v>
                </c:pt>
                <c:pt idx="36">
                  <c:v>52.778508563560464</c:v>
                </c:pt>
                <c:pt idx="37">
                  <c:v>51.93894493092067</c:v>
                </c:pt>
                <c:pt idx="38">
                  <c:v>51.092503919982121</c:v>
                </c:pt>
                <c:pt idx="39">
                  <c:v>50.23730087346091</c:v>
                </c:pt>
                <c:pt idx="40">
                  <c:v>49.372309889526704</c:v>
                </c:pt>
                <c:pt idx="41">
                  <c:v>48.495975698454885</c:v>
                </c:pt>
                <c:pt idx="42">
                  <c:v>47.60682146410673</c:v>
                </c:pt>
                <c:pt idx="43">
                  <c:v>46.702898307182679</c:v>
                </c:pt>
                <c:pt idx="44">
                  <c:v>45.78272009059296</c:v>
                </c:pt>
                <c:pt idx="45">
                  <c:v>44.844405688442883</c:v>
                </c:pt>
                <c:pt idx="46">
                  <c:v>43.886568003800051</c:v>
                </c:pt>
                <c:pt idx="47">
                  <c:v>42.907650205220698</c:v>
                </c:pt>
                <c:pt idx="48">
                  <c:v>41.906892751616411</c:v>
                </c:pt>
                <c:pt idx="49">
                  <c:v>40.883516696477322</c:v>
                </c:pt>
                <c:pt idx="50">
                  <c:v>39.837753673475618</c:v>
                </c:pt>
                <c:pt idx="51">
                  <c:v>38.770134839817239</c:v>
                </c:pt>
                <c:pt idx="52">
                  <c:v>37.682550247839742</c:v>
                </c:pt>
                <c:pt idx="53">
                  <c:v>36.577308919132363</c:v>
                </c:pt>
                <c:pt idx="54">
                  <c:v>35.45821597673369</c:v>
                </c:pt>
                <c:pt idx="55">
                  <c:v>34.327136100166229</c:v>
                </c:pt>
                <c:pt idx="56">
                  <c:v>33.189915308743764</c:v>
                </c:pt>
                <c:pt idx="57">
                  <c:v>32.050379717771634</c:v>
                </c:pt>
                <c:pt idx="58">
                  <c:v>30.914032596152808</c:v>
                </c:pt>
                <c:pt idx="59">
                  <c:v>29.784557686337379</c:v>
                </c:pt>
                <c:pt idx="60">
                  <c:v>28.666800987301396</c:v>
                </c:pt>
                <c:pt idx="61">
                  <c:v>27.564256808295561</c:v>
                </c:pt>
                <c:pt idx="62">
                  <c:v>26.479333284454984</c:v>
                </c:pt>
                <c:pt idx="63">
                  <c:v>25.415288161765815</c:v>
                </c:pt>
                <c:pt idx="64">
                  <c:v>24.372691014135839</c:v>
                </c:pt>
                <c:pt idx="65">
                  <c:v>23.352610633277585</c:v>
                </c:pt>
                <c:pt idx="66">
                  <c:v>22.354932329103193</c:v>
                </c:pt>
                <c:pt idx="67">
                  <c:v>21.379179819786998</c:v>
                </c:pt>
                <c:pt idx="68">
                  <c:v>20.42399684007837</c:v>
                </c:pt>
                <c:pt idx="69">
                  <c:v>19.488236078465295</c:v>
                </c:pt>
                <c:pt idx="70">
                  <c:v>18.57009290888541</c:v>
                </c:pt>
                <c:pt idx="71">
                  <c:v>17.668029660945717</c:v>
                </c:pt>
                <c:pt idx="72">
                  <c:v>16.780106778200906</c:v>
                </c:pt>
                <c:pt idx="73">
                  <c:v>15.904839199501982</c:v>
                </c:pt>
                <c:pt idx="74">
                  <c:v>15.040386807020131</c:v>
                </c:pt>
                <c:pt idx="75">
                  <c:v>14.185383192417799</c:v>
                </c:pt>
                <c:pt idx="76">
                  <c:v>13.338259054112285</c:v>
                </c:pt>
                <c:pt idx="77">
                  <c:v>12.498046170057922</c:v>
                </c:pt>
                <c:pt idx="78">
                  <c:v>11.66360066951427</c:v>
                </c:pt>
                <c:pt idx="79">
                  <c:v>10.834446714485338</c:v>
                </c:pt>
                <c:pt idx="80">
                  <c:v>10.00830332298399</c:v>
                </c:pt>
                <c:pt idx="81">
                  <c:v>9.1855405982083695</c:v>
                </c:pt>
                <c:pt idx="82">
                  <c:v>8.3648893697309887</c:v>
                </c:pt>
                <c:pt idx="83">
                  <c:v>7.546285412361236</c:v>
                </c:pt>
                <c:pt idx="84">
                  <c:v>6.7284939751532438</c:v>
                </c:pt>
                <c:pt idx="85">
                  <c:v>5.9114017357885391</c:v>
                </c:pt>
                <c:pt idx="86">
                  <c:v>5.094322824021619</c:v>
                </c:pt>
                <c:pt idx="87">
                  <c:v>4.2762529831276836</c:v>
                </c:pt>
                <c:pt idx="88">
                  <c:v>3.4573873451540504</c:v>
                </c:pt>
                <c:pt idx="89">
                  <c:v>2.6364449491674002</c:v>
                </c:pt>
                <c:pt idx="90">
                  <c:v>1.813058320703371</c:v>
                </c:pt>
                <c:pt idx="91">
                  <c:v>0.98640430421199343</c:v>
                </c:pt>
                <c:pt idx="92">
                  <c:v>0.15574918896738582</c:v>
                </c:pt>
                <c:pt idx="93">
                  <c:v>-0.68011751568989176</c:v>
                </c:pt>
                <c:pt idx="94">
                  <c:v>-0.88991797219802837</c:v>
                </c:pt>
                <c:pt idx="95">
                  <c:v>-0.99561931944465554</c:v>
                </c:pt>
                <c:pt idx="96">
                  <c:v>-1.1002136181872593</c:v>
                </c:pt>
                <c:pt idx="97">
                  <c:v>-1.2061141250896641</c:v>
                </c:pt>
                <c:pt idx="98">
                  <c:v>-1.3109103416320997</c:v>
                </c:pt>
                <c:pt idx="99">
                  <c:v>-1.4170466779013438</c:v>
                </c:pt>
                <c:pt idx="100">
                  <c:v>-1.5220809898947809</c:v>
                </c:pt>
                <c:pt idx="101">
                  <c:v>-1.6284078288069543</c:v>
                </c:pt>
                <c:pt idx="102">
                  <c:v>-1.7336361191419682</c:v>
                </c:pt>
                <c:pt idx="103">
                  <c:v>-1.8402664276828407</c:v>
                </c:pt>
                <c:pt idx="104">
                  <c:v>-1.9457996284115167</c:v>
                </c:pt>
                <c:pt idx="105">
                  <c:v>-2.0526857609658271</c:v>
                </c:pt>
                <c:pt idx="106">
                  <c:v>-2.1584775038307757</c:v>
                </c:pt>
                <c:pt idx="107">
                  <c:v>-2.2655756146554693</c:v>
                </c:pt>
                <c:pt idx="108">
                  <c:v>-2.3715832420732283</c:v>
                </c:pt>
                <c:pt idx="109">
                  <c:v>-2.4789258025759238</c:v>
                </c:pt>
                <c:pt idx="110">
                  <c:v>-2.5851814256695378</c:v>
                </c:pt>
                <c:pt idx="111">
                  <c:v>-2.6928697443692506</c:v>
                </c:pt>
                <c:pt idx="112">
                  <c:v>-2.7994729517127466</c:v>
                </c:pt>
                <c:pt idx="113">
                  <c:v>-2.9074608185422419</c:v>
                </c:pt>
                <c:pt idx="114">
                  <c:v>-3.0143666609198849</c:v>
                </c:pt>
                <c:pt idx="115">
                  <c:v>-3.1226800561685932</c:v>
                </c:pt>
                <c:pt idx="116">
                  <c:v>-3.2299143315154923</c:v>
                </c:pt>
                <c:pt idx="117">
                  <c:v>-3.3385774099162195</c:v>
                </c:pt>
                <c:pt idx="118">
                  <c:v>-3.4461641412197079</c:v>
                </c:pt>
                <c:pt idx="119">
                  <c:v>-3.5551336486869416</c:v>
                </c:pt>
                <c:pt idx="120">
                  <c:v>-3.6630307814279712</c:v>
                </c:pt>
                <c:pt idx="121">
                  <c:v>-3.7723315754608584</c:v>
                </c:pt>
                <c:pt idx="122">
                  <c:v>-3.8805638260943702</c:v>
                </c:pt>
                <c:pt idx="123">
                  <c:v>-3.9902824426740779</c:v>
                </c:pt>
                <c:pt idx="124">
                  <c:v>-4.0989350297355864</c:v>
                </c:pt>
                <c:pt idx="125">
                  <c:v>-4.2090277365143907</c:v>
                </c:pt>
                <c:pt idx="126">
                  <c:v>-4.318058148355405</c:v>
                </c:pt>
                <c:pt idx="127">
                  <c:v>-4.4285457102267518</c:v>
                </c:pt>
                <c:pt idx="128">
                  <c:v>-4.537974684300468</c:v>
                </c:pt>
                <c:pt idx="129">
                  <c:v>-4.6488767397760986</c:v>
                </c:pt>
                <c:pt idx="130">
                  <c:v>-4.758723918098231</c:v>
                </c:pt>
                <c:pt idx="131">
                  <c:v>-4.8700591003370421</c:v>
                </c:pt>
                <c:pt idx="132">
                  <c:v>-4.9253308955205517</c:v>
                </c:pt>
                <c:pt idx="133">
                  <c:v>-4.9803431468985684</c:v>
                </c:pt>
                <c:pt idx="134">
                  <c:v>-5.0363975747275225</c:v>
                </c:pt>
                <c:pt idx="135">
                  <c:v>-5.0921866340807931</c:v>
                </c:pt>
                <c:pt idx="136">
                  <c:v>-5.1477136059742108</c:v>
                </c:pt>
                <c:pt idx="137">
                  <c:v>-5.2029817134126581</c:v>
                </c:pt>
                <c:pt idx="138">
                  <c:v>-5.2592401703539036</c:v>
                </c:pt>
                <c:pt idx="139">
                  <c:v>-5.3152345134774768</c:v>
                </c:pt>
                <c:pt idx="140">
                  <c:v>-5.3709680105660098</c:v>
                </c:pt>
                <c:pt idx="141">
                  <c:v>-5.42644387154904</c:v>
                </c:pt>
                <c:pt idx="142">
                  <c:v>-5.4829716741981427</c:v>
                </c:pt>
                <c:pt idx="143">
                  <c:v>-5.5392361046177694</c:v>
                </c:pt>
                <c:pt idx="144">
                  <c:v>-5.5952404266503306</c:v>
                </c:pt>
                <c:pt idx="145">
                  <c:v>-5.6509878462145906</c:v>
                </c:pt>
                <c:pt idx="146">
                  <c:v>-5.7077639923586521</c:v>
                </c:pt>
                <c:pt idx="147">
                  <c:v>-5.7642778063847198</c:v>
                </c:pt>
                <c:pt idx="148">
                  <c:v>-5.8205325424212928</c:v>
                </c:pt>
                <c:pt idx="149">
                  <c:v>-5.8765313967288515</c:v>
                </c:pt>
                <c:pt idx="150">
                  <c:v>-5.9335634717502383</c:v>
                </c:pt>
                <c:pt idx="151">
                  <c:v>-5.9903342846360985</c:v>
                </c:pt>
                <c:pt idx="152">
                  <c:v>-6.046847078941104</c:v>
                </c:pt>
                <c:pt idx="153">
                  <c:v>-6.1031050404179936</c:v>
                </c:pt>
                <c:pt idx="154">
                  <c:v>-6.160426705805099</c:v>
                </c:pt>
                <c:pt idx="155">
                  <c:v>-6.2174879731047259</c:v>
                </c:pt>
                <c:pt idx="156">
                  <c:v>-6.2742920787628966</c:v>
                </c:pt>
                <c:pt idx="157">
                  <c:v>-6.3308422013972763</c:v>
                </c:pt>
                <c:pt idx="158">
                  <c:v>-6.3884592043999948</c:v>
                </c:pt>
                <c:pt idx="159">
                  <c:v>-6.4458167254287773</c:v>
                </c:pt>
                <c:pt idx="160">
                  <c:v>-6.5029179924389755</c:v>
                </c:pt>
                <c:pt idx="161">
                  <c:v>-6.5597661755532233</c:v>
                </c:pt>
                <c:pt idx="162">
                  <c:v>-6.6176587895215269</c:v>
                </c:pt>
                <c:pt idx="163">
                  <c:v>-6.6752931152248696</c:v>
                </c:pt>
                <c:pt idx="164">
                  <c:v>-6.7326723664790968</c:v>
                </c:pt>
                <c:pt idx="165">
                  <c:v>-6.7897996993870446</c:v>
                </c:pt>
                <c:pt idx="166">
                  <c:v>-6.8480247071947158</c:v>
                </c:pt>
                <c:pt idx="167">
                  <c:v>-6.9059922150106061</c:v>
                </c:pt>
                <c:pt idx="168">
                  <c:v>-6.9637054295035163</c:v>
                </c:pt>
                <c:pt idx="169">
                  <c:v>-7.0211674995712627</c:v>
                </c:pt>
                <c:pt idx="170">
                  <c:v>-7.0796065902039151</c:v>
                </c:pt>
                <c:pt idx="171">
                  <c:v>-7.1377901048439982</c:v>
                </c:pt>
                <c:pt idx="172">
                  <c:v>-7.1957212212522261</c:v>
                </c:pt>
                <c:pt idx="173">
                  <c:v>-7.2534030598713546</c:v>
                </c:pt>
                <c:pt idx="174">
                  <c:v>-7.3122834866770292</c:v>
                </c:pt>
                <c:pt idx="175">
                  <c:v>-7.3709083716711365</c:v>
                </c:pt>
                <c:pt idx="176">
                  <c:v>-7.429280898175552</c:v>
                </c:pt>
                <c:pt idx="177">
                  <c:v>-7.4874041918093788</c:v>
                </c:pt>
                <c:pt idx="178">
                  <c:v>-7.546701454637792</c:v>
                </c:pt>
                <c:pt idx="179">
                  <c:v>-7.6057435396392208</c:v>
                </c:pt>
                <c:pt idx="180">
                  <c:v>-7.664533628809366</c:v>
                </c:pt>
                <c:pt idx="181">
                  <c:v>-7.7230748462086254</c:v>
                </c:pt>
                <c:pt idx="182">
                  <c:v>-7.7825336811307047</c:v>
                </c:pt>
                <c:pt idx="183">
                  <c:v>-7.8417399769919847</c:v>
                </c:pt>
                <c:pt idx="184">
                  <c:v>-7.9006968712530057</c:v>
                </c:pt>
                <c:pt idx="185">
                  <c:v>-7.9594074442424425</c:v>
                </c:pt>
                <c:pt idx="186">
                  <c:v>-8.0194763019148549</c:v>
                </c:pt>
                <c:pt idx="187">
                  <c:v>-8.0792915422766338</c:v>
                </c:pt>
                <c:pt idx="188">
                  <c:v>-8.138856326484655</c:v>
                </c:pt>
                <c:pt idx="189">
                  <c:v>-8.1981737577020581</c:v>
                </c:pt>
                <c:pt idx="190">
                  <c:v>-8.2583718761515907</c:v>
                </c:pt>
                <c:pt idx="191">
                  <c:v>-8.3183194394260536</c:v>
                </c:pt>
                <c:pt idx="192">
                  <c:v>-8.37801955435393</c:v>
                </c:pt>
                <c:pt idx="193">
                  <c:v>-8.4374752707976004</c:v>
                </c:pt>
                <c:pt idx="194">
                  <c:v>-8.4982387975049587</c:v>
                </c:pt>
                <c:pt idx="195">
                  <c:v>-8.5587512722644767</c:v>
                </c:pt>
                <c:pt idx="196">
                  <c:v>-8.6190158125857117</c:v>
                </c:pt>
                <c:pt idx="197">
                  <c:v>-8.6790354784451811</c:v>
                </c:pt>
                <c:pt idx="198">
                  <c:v>-8.7401195925579938</c:v>
                </c:pt>
                <c:pt idx="199">
                  <c:v>-8.8009542731462105</c:v>
                </c:pt>
                <c:pt idx="200">
                  <c:v>-8.8615426079625177</c:v>
                </c:pt>
                <c:pt idx="201">
                  <c:v>-8.9218876276408938</c:v>
                </c:pt>
                <c:pt idx="202">
                  <c:v>-8.9832776558106477</c:v>
                </c:pt>
                <c:pt idx="203">
                  <c:v>-9.044420044319736</c:v>
                </c:pt>
                <c:pt idx="204">
                  <c:v>-9.1053178467237927</c:v>
                </c:pt>
                <c:pt idx="205">
                  <c:v>-9.1659740599787973</c:v>
                </c:pt>
                <c:pt idx="206">
                  <c:v>-9.2278674099102993</c:v>
                </c:pt>
                <c:pt idx="207">
                  <c:v>-9.2895133913395238</c:v>
                </c:pt>
                <c:pt idx="208">
                  <c:v>-9.3509150503836196</c:v>
                </c:pt>
                <c:pt idx="209">
                  <c:v>-9.412075376413906</c:v>
                </c:pt>
                <c:pt idx="210">
                  <c:v>-9.4746573846569575</c:v>
                </c:pt>
                <c:pt idx="211">
                  <c:v>-9.5369909188683053</c:v>
                </c:pt>
                <c:pt idx="212">
                  <c:v>-9.5990790415740701</c:v>
                </c:pt>
                <c:pt idx="213">
                  <c:v>-9.6609247578062512</c:v>
                </c:pt>
                <c:pt idx="214">
                  <c:v>-9.7237566338867349</c:v>
                </c:pt>
                <c:pt idx="215">
                  <c:v>-9.786342480570914</c:v>
                </c:pt>
                <c:pt idx="216">
                  <c:v>-9.8486853099298912</c:v>
                </c:pt>
                <c:pt idx="217">
                  <c:v>-9.9107880774537875</c:v>
                </c:pt>
                <c:pt idx="218">
                  <c:v>-9.9740615568311259</c:v>
                </c:pt>
                <c:pt idx="219">
                  <c:v>-10.037089980691238</c:v>
                </c:pt>
                <c:pt idx="220">
                  <c:v>-10.099876336159401</c:v>
                </c:pt>
                <c:pt idx="221">
                  <c:v>-10.162423554056952</c:v>
                </c:pt>
                <c:pt idx="222">
                  <c:v>-10.226120937550307</c:v>
                </c:pt>
                <c:pt idx="223">
                  <c:v>-10.28957442222017</c:v>
                </c:pt>
                <c:pt idx="224">
                  <c:v>-10.352786965309242</c:v>
                </c:pt>
                <c:pt idx="225">
                  <c:v>-10.415761468158912</c:v>
                </c:pt>
                <c:pt idx="226">
                  <c:v>-10.480061394410924</c:v>
                </c:pt>
                <c:pt idx="227">
                  <c:v>-10.544117264678214</c:v>
                </c:pt>
                <c:pt idx="228">
                  <c:v>-10.607932028398485</c:v>
                </c:pt>
                <c:pt idx="229">
                  <c:v>-10.671508578957127</c:v>
                </c:pt>
                <c:pt idx="230">
                  <c:v>-10.801021569483796</c:v>
                </c:pt>
                <c:pt idx="231">
                  <c:v>-10.865415048052995</c:v>
                </c:pt>
                <c:pt idx="232">
                  <c:v>-10.929570373165822</c:v>
                </c:pt>
                <c:pt idx="233">
                  <c:v>-10.995004921282893</c:v>
                </c:pt>
                <c:pt idx="234">
                  <c:v>-11.060195807285924</c:v>
                </c:pt>
                <c:pt idx="235">
                  <c:v>-11.125145946455179</c:v>
                </c:pt>
                <c:pt idx="236">
                  <c:v>-11.189858198194287</c:v>
                </c:pt>
                <c:pt idx="237">
                  <c:v>-11.255641185769264</c:v>
                </c:pt>
                <c:pt idx="238">
                  <c:v>-11.321182376199603</c:v>
                </c:pt>
                <c:pt idx="239">
                  <c:v>-11.386484635156018</c:v>
                </c:pt>
                <c:pt idx="240">
                  <c:v>-11.451550773362534</c:v>
                </c:pt>
                <c:pt idx="241">
                  <c:v>-11.518038168514508</c:v>
                </c:pt>
                <c:pt idx="242">
                  <c:v>-11.584283030701698</c:v>
                </c:pt>
                <c:pt idx="243">
                  <c:v>-11.650288220275417</c:v>
                </c:pt>
                <c:pt idx="244">
                  <c:v>-11.716056542453369</c:v>
                </c:pt>
                <c:pt idx="245">
                  <c:v>-11.783040399359709</c:v>
                </c:pt>
                <c:pt idx="246">
                  <c:v>-11.849782530509605</c:v>
                </c:pt>
                <c:pt idx="247">
                  <c:v>-11.916285761717337</c:v>
                </c:pt>
                <c:pt idx="248">
                  <c:v>-11.982552864239542</c:v>
                </c:pt>
                <c:pt idx="249">
                  <c:v>-12.050194240630496</c:v>
                </c:pt>
                <c:pt idx="250">
                  <c:v>-12.117593546677867</c:v>
                </c:pt>
                <c:pt idx="251">
                  <c:v>-12.184753591866404</c:v>
                </c:pt>
                <c:pt idx="252">
                  <c:v>-12.251677131250764</c:v>
                </c:pt>
                <c:pt idx="253">
                  <c:v>-12.319775782666023</c:v>
                </c:pt>
                <c:pt idx="254">
                  <c:v>-12.387633450276997</c:v>
                </c:pt>
                <c:pt idx="255">
                  <c:v>-12.455252900561234</c:v>
                </c:pt>
                <c:pt idx="256">
                  <c:v>-12.522636846403392</c:v>
                </c:pt>
                <c:pt idx="257">
                  <c:v>-12.591524543542974</c:v>
                </c:pt>
                <c:pt idx="258">
                  <c:v>-12.66016999291379</c:v>
                </c:pt>
                <c:pt idx="259">
                  <c:v>-12.728575956452419</c:v>
                </c:pt>
                <c:pt idx="260">
                  <c:v>-12.796745142374714</c:v>
                </c:pt>
                <c:pt idx="261">
                  <c:v>-12.866221484801185</c:v>
                </c:pt>
                <c:pt idx="262">
                  <c:v>-12.935455728177644</c:v>
                </c:pt>
                <c:pt idx="263">
                  <c:v>-13.004450603775886</c:v>
                </c:pt>
                <c:pt idx="264">
                  <c:v>-13.073208789723367</c:v>
                </c:pt>
                <c:pt idx="265">
                  <c:v>-13.143253031922145</c:v>
                </c:pt>
                <c:pt idx="266">
                  <c:v>-13.21305544292116</c:v>
                </c:pt>
                <c:pt idx="267">
                  <c:v>-13.282618719675769</c:v>
                </c:pt>
                <c:pt idx="268">
                  <c:v>-13.351945506703069</c:v>
                </c:pt>
                <c:pt idx="269">
                  <c:v>-13.422704436056998</c:v>
                </c:pt>
                <c:pt idx="270">
                  <c:v>-13.493220764768326</c:v>
                </c:pt>
                <c:pt idx="271">
                  <c:v>-13.563497171098211</c:v>
                </c:pt>
                <c:pt idx="272">
                  <c:v>-13.633536281210606</c:v>
                </c:pt>
                <c:pt idx="273">
                  <c:v>-13.704984187869174</c:v>
                </c:pt>
                <c:pt idx="274">
                  <c:v>-13.776188879415397</c:v>
                </c:pt>
                <c:pt idx="275">
                  <c:v>-13.847153011127045</c:v>
                </c:pt>
                <c:pt idx="276">
                  <c:v>-13.917879186680747</c:v>
                </c:pt>
                <c:pt idx="277">
                  <c:v>-13.98982927619228</c:v>
                </c:pt>
                <c:pt idx="278">
                  <c:v>-14.061536761174089</c:v>
                </c:pt>
                <c:pt idx="279">
                  <c:v>-14.133004252686064</c:v>
                </c:pt>
                <c:pt idx="280">
                  <c:v>-14.204234311277673</c:v>
                </c:pt>
                <c:pt idx="281">
                  <c:v>-14.277149322406055</c:v>
                </c:pt>
                <c:pt idx="282">
                  <c:v>-14.349819180539319</c:v>
                </c:pt>
                <c:pt idx="283">
                  <c:v>-14.422246502020622</c:v>
                </c:pt>
                <c:pt idx="284">
                  <c:v>-14.494433852552941</c:v>
                </c:pt>
                <c:pt idx="285">
                  <c:v>-14.56780455519767</c:v>
                </c:pt>
                <c:pt idx="286">
                  <c:v>-14.640930933592596</c:v>
                </c:pt>
                <c:pt idx="287">
                  <c:v>-14.713815554326546</c:v>
                </c:pt>
                <c:pt idx="288">
                  <c:v>-14.786460934688838</c:v>
                </c:pt>
                <c:pt idx="289">
                  <c:v>-14.860739061320199</c:v>
                </c:pt>
                <c:pt idx="290">
                  <c:v>-14.934770626202781</c:v>
                </c:pt>
                <c:pt idx="291">
                  <c:v>-15.008558193611099</c:v>
                </c:pt>
                <c:pt idx="292">
                  <c:v>-15.082104278710368</c:v>
                </c:pt>
                <c:pt idx="293">
                  <c:v>-15.157102613632944</c:v>
                </c:pt>
                <c:pt idx="294">
                  <c:v>-15.231853350796868</c:v>
                </c:pt>
                <c:pt idx="295">
                  <c:v>-15.306359032483739</c:v>
                </c:pt>
                <c:pt idx="296">
                  <c:v>-15.380622152626607</c:v>
                </c:pt>
                <c:pt idx="297">
                  <c:v>-15.456314381387042</c:v>
                </c:pt>
                <c:pt idx="298">
                  <c:v>-15.531758092609829</c:v>
                </c:pt>
                <c:pt idx="299">
                  <c:v>-15.606955804426303</c:v>
                </c:pt>
                <c:pt idx="300">
                  <c:v>-15.68190998750609</c:v>
                </c:pt>
                <c:pt idx="301">
                  <c:v>-15.758270651784084</c:v>
                </c:pt>
                <c:pt idx="302">
                  <c:v>-15.834381982972943</c:v>
                </c:pt>
                <c:pt idx="303">
                  <c:v>-15.910246473498788</c:v>
                </c:pt>
                <c:pt idx="304">
                  <c:v>-15.985866569326097</c:v>
                </c:pt>
                <c:pt idx="305">
                  <c:v>-16.063166700369361</c:v>
                </c:pt>
                <c:pt idx="306">
                  <c:v>-16.140214859611032</c:v>
                </c:pt>
                <c:pt idx="307">
                  <c:v>-16.217013541090946</c:v>
                </c:pt>
                <c:pt idx="308">
                  <c:v>-16.293565192794851</c:v>
                </c:pt>
                <c:pt idx="309">
                  <c:v>-16.371477605729304</c:v>
                </c:pt>
                <c:pt idx="310">
                  <c:v>-16.449137484794878</c:v>
                </c:pt>
                <c:pt idx="311">
                  <c:v>-16.52654729536096</c:v>
                </c:pt>
                <c:pt idx="312">
                  <c:v>-16.603709457980322</c:v>
                </c:pt>
                <c:pt idx="313">
                  <c:v>-16.682499327063944</c:v>
                </c:pt>
                <c:pt idx="314">
                  <c:v>-16.761034323671165</c:v>
                </c:pt>
                <c:pt idx="315">
                  <c:v>-16.839316911442626</c:v>
                </c:pt>
                <c:pt idx="316">
                  <c:v>-16.91734950987901</c:v>
                </c:pt>
                <c:pt idx="317">
                  <c:v>-16.99698352035249</c:v>
                </c:pt>
                <c:pt idx="318">
                  <c:v>-17.076360491538264</c:v>
                </c:pt>
                <c:pt idx="319">
                  <c:v>-17.155482883960481</c:v>
                </c:pt>
                <c:pt idx="320">
                  <c:v>-17.2343531148165</c:v>
                </c:pt>
                <c:pt idx="321">
                  <c:v>-17.314798988380687</c:v>
                </c:pt>
                <c:pt idx="322">
                  <c:v>-17.394985822517132</c:v>
                </c:pt>
                <c:pt idx="323">
                  <c:v>-17.474916073901355</c:v>
                </c:pt>
                <c:pt idx="324">
                  <c:v>-17.554592156818853</c:v>
                </c:pt>
                <c:pt idx="325">
                  <c:v>-17.635818633818346</c:v>
                </c:pt>
                <c:pt idx="326">
                  <c:v>-17.716784235263042</c:v>
                </c:pt>
                <c:pt idx="327">
                  <c:v>-17.797491413885172</c:v>
                </c:pt>
                <c:pt idx="328">
                  <c:v>-17.877942581073768</c:v>
                </c:pt>
                <c:pt idx="329">
                  <c:v>-17.960056276815724</c:v>
                </c:pt>
                <c:pt idx="330">
                  <c:v>-18.041906550049013</c:v>
                </c:pt>
                <c:pt idx="331">
                  <c:v>-18.123495862288305</c:v>
                </c:pt>
                <c:pt idx="332">
                  <c:v>-18.204826634583732</c:v>
                </c:pt>
                <c:pt idx="333">
                  <c:v>-18.287657975475241</c:v>
                </c:pt>
                <c:pt idx="334">
                  <c:v>-18.370224417713523</c:v>
                </c:pt>
                <c:pt idx="335">
                  <c:v>-18.452528419973035</c:v>
                </c:pt>
                <c:pt idx="336">
                  <c:v>-18.534572401714023</c:v>
                </c:pt>
                <c:pt idx="337">
                  <c:v>-18.618360096750457</c:v>
                </c:pt>
                <c:pt idx="338">
                  <c:v>-18.701879888925859</c:v>
                </c:pt>
                <c:pt idx="339">
                  <c:v>-18.785134259282007</c:v>
                </c:pt>
                <c:pt idx="340">
                  <c:v>-18.868125650490907</c:v>
                </c:pt>
                <c:pt idx="341">
                  <c:v>-18.952832502313225</c:v>
                </c:pt>
                <c:pt idx="342">
                  <c:v>-19.037268706460232</c:v>
                </c:pt>
                <c:pt idx="343">
                  <c:v>-19.121436767356055</c:v>
                </c:pt>
                <c:pt idx="344">
                  <c:v>-19.205339152027246</c:v>
                </c:pt>
                <c:pt idx="345">
                  <c:v>-19.290799282859652</c:v>
                </c:pt>
                <c:pt idx="346">
                  <c:v>-19.37598711708166</c:v>
                </c:pt>
                <c:pt idx="347">
                  <c:v>-19.460905172779281</c:v>
                </c:pt>
                <c:pt idx="348">
                  <c:v>-19.545555931948833</c:v>
                </c:pt>
                <c:pt idx="349">
                  <c:v>-19.63199674626582</c:v>
                </c:pt>
                <c:pt idx="350">
                  <c:v>-19.718162227387623</c:v>
                </c:pt>
                <c:pt idx="351">
                  <c:v>-19.804054932613198</c:v>
                </c:pt>
                <c:pt idx="352">
                  <c:v>-19.88967738412839</c:v>
                </c:pt>
                <c:pt idx="353">
                  <c:v>-19.977061081183422</c:v>
                </c:pt>
                <c:pt idx="354">
                  <c:v>-20.064166744341406</c:v>
                </c:pt>
                <c:pt idx="355">
                  <c:v>-20.150996972831344</c:v>
                </c:pt>
                <c:pt idx="356">
                  <c:v>-20.237554331879192</c:v>
                </c:pt>
                <c:pt idx="357">
                  <c:v>-20.325719619106238</c:v>
                </c:pt>
                <c:pt idx="358">
                  <c:v>-20.413605319760791</c:v>
                </c:pt>
                <c:pt idx="359">
                  <c:v>-20.501214067342541</c:v>
                </c:pt>
                <c:pt idx="360">
                  <c:v>-20.588548462767978</c:v>
                </c:pt>
                <c:pt idx="361">
                  <c:v>-20.677713085875318</c:v>
                </c:pt>
                <c:pt idx="362">
                  <c:v>-20.766595349745273</c:v>
                </c:pt>
                <c:pt idx="363">
                  <c:v>-20.855197949043365</c:v>
                </c:pt>
                <c:pt idx="364">
                  <c:v>-20.943523547026714</c:v>
                </c:pt>
                <c:pt idx="365">
                  <c:v>-21.033528374275793</c:v>
                </c:pt>
                <c:pt idx="366">
                  <c:v>-21.123249283979227</c:v>
                </c:pt>
                <c:pt idx="367">
                  <c:v>-21.21268902580336</c:v>
                </c:pt>
                <c:pt idx="368">
                  <c:v>-21.301850319495585</c:v>
                </c:pt>
                <c:pt idx="369">
                  <c:v>-21.392906255029907</c:v>
                </c:pt>
                <c:pt idx="370">
                  <c:v>-21.483675642892024</c:v>
                </c:pt>
                <c:pt idx="371">
                  <c:v>-21.574161316226117</c:v>
                </c:pt>
                <c:pt idx="372">
                  <c:v>-21.664366079581892</c:v>
                </c:pt>
                <c:pt idx="373">
                  <c:v>-21.756317048712582</c:v>
                </c:pt>
                <c:pt idx="374">
                  <c:v>-21.847980141895139</c:v>
                </c:pt>
                <c:pt idx="375">
                  <c:v>-21.939358271498676</c:v>
                </c:pt>
                <c:pt idx="376">
                  <c:v>-22.030454322956892</c:v>
                </c:pt>
                <c:pt idx="377">
                  <c:v>-22.123505683072004</c:v>
                </c:pt>
                <c:pt idx="378">
                  <c:v>-22.216266942163635</c:v>
                </c:pt>
                <c:pt idx="379">
                  <c:v>-22.308741122866174</c:v>
                </c:pt>
                <c:pt idx="380">
                  <c:v>-22.400931222470181</c:v>
                </c:pt>
                <c:pt idx="381">
                  <c:v>-22.494814934591304</c:v>
                </c:pt>
                <c:pt idx="382">
                  <c:v>-22.588408453943032</c:v>
                </c:pt>
                <c:pt idx="383">
                  <c:v>-22.681714900153285</c:v>
                </c:pt>
                <c:pt idx="384">
                  <c:v>-22.774737369587434</c:v>
                </c:pt>
                <c:pt idx="385">
                  <c:v>-22.869773823415827</c:v>
                </c:pt>
                <c:pt idx="386">
                  <c:v>-22.96451856393994</c:v>
                </c:pt>
                <c:pt idx="387">
                  <c:v>-23.058974854109628</c:v>
                </c:pt>
                <c:pt idx="388">
                  <c:v>-23.153145935626775</c:v>
                </c:pt>
                <c:pt idx="389">
                  <c:v>-23.249188806758397</c:v>
                </c:pt>
                <c:pt idx="390">
                  <c:v>-23.34494001266329</c:v>
                </c:pt>
                <c:pt idx="391">
                  <c:v>-23.440402961395463</c:v>
                </c:pt>
                <c:pt idx="392">
                  <c:v>-23.535581042228756</c:v>
                </c:pt>
                <c:pt idx="393">
                  <c:v>-23.632605667895458</c:v>
                </c:pt>
                <c:pt idx="394">
                  <c:v>-23.729339597015912</c:v>
                </c:pt>
                <c:pt idx="395">
                  <c:v>-23.825786398416497</c:v>
                </c:pt>
                <c:pt idx="396">
                  <c:v>-23.921949624999463</c:v>
                </c:pt>
                <c:pt idx="397">
                  <c:v>-24.020157162614062</c:v>
                </c:pt>
                <c:pt idx="398">
                  <c:v>-24.118074688387541</c:v>
                </c:pt>
                <c:pt idx="399">
                  <c:v>-24.215705975574025</c:v>
                </c:pt>
                <c:pt idx="400">
                  <c:v>-24.313054784705979</c:v>
                </c:pt>
                <c:pt idx="401">
                  <c:v>-24.412312875124055</c:v>
                </c:pt>
                <c:pt idx="402">
                  <c:v>-24.511283508083451</c:v>
                </c:pt>
                <c:pt idx="403">
                  <c:v>-24.609970670867504</c:v>
                </c:pt>
                <c:pt idx="404">
                  <c:v>-24.708378341899842</c:v>
                </c:pt>
                <c:pt idx="405">
                  <c:v>-24.80878184281719</c:v>
                </c:pt>
                <c:pt idx="406">
                  <c:v>-24.908901148676257</c:v>
                </c:pt>
                <c:pt idx="407">
                  <c:v>-25.008740500256351</c:v>
                </c:pt>
                <c:pt idx="408">
                  <c:v>-25.10830413401866</c:v>
                </c:pt>
                <c:pt idx="409">
                  <c:v>-25.209949468157301</c:v>
                </c:pt>
                <c:pt idx="410">
                  <c:v>-25.311314819357328</c:v>
                </c:pt>
                <c:pt idx="411">
                  <c:v>-25.412404727576224</c:v>
                </c:pt>
                <c:pt idx="412">
                  <c:v>-25.513223733891039</c:v>
                </c:pt>
                <c:pt idx="413">
                  <c:v>-25.616104300721521</c:v>
                </c:pt>
                <c:pt idx="414">
                  <c:v>-25.718710888022475</c:v>
                </c:pt>
                <c:pt idx="415">
                  <c:v>-25.821048373291319</c:v>
                </c:pt>
                <c:pt idx="416">
                  <c:v>-25.923121641716481</c:v>
                </c:pt>
                <c:pt idx="417">
                  <c:v>-26.027344142746756</c:v>
                </c:pt>
                <c:pt idx="418">
                  <c:v>-26.131300153425393</c:v>
                </c:pt>
                <c:pt idx="419">
                  <c:v>-26.234994950147659</c:v>
                </c:pt>
                <c:pt idx="420">
                  <c:v>-26.338433825017553</c:v>
                </c:pt>
                <c:pt idx="421">
                  <c:v>-26.443903138382133</c:v>
                </c:pt>
                <c:pt idx="422">
                  <c:v>-26.549116314438592</c:v>
                </c:pt>
                <c:pt idx="423">
                  <c:v>-26.654079067540522</c:v>
                </c:pt>
                <c:pt idx="424">
                  <c:v>-26.758797137431557</c:v>
                </c:pt>
                <c:pt idx="425">
                  <c:v>-26.865844174195018</c:v>
                </c:pt>
                <c:pt idx="426">
                  <c:v>-26.97264662866661</c:v>
                </c:pt>
                <c:pt idx="427">
                  <c:v>-27.079210771835722</c:v>
                </c:pt>
                <c:pt idx="428">
                  <c:v>-27.185542912285776</c:v>
                </c:pt>
                <c:pt idx="429">
                  <c:v>-27.294093047320867</c:v>
                </c:pt>
                <c:pt idx="430">
                  <c:v>-27.402413847937005</c:v>
                </c:pt>
                <c:pt idx="431">
                  <c:v>-27.510512207899062</c:v>
                </c:pt>
                <c:pt idx="432">
                  <c:v>-27.618395073476208</c:v>
                </c:pt>
                <c:pt idx="433">
                  <c:v>-27.728493563729725</c:v>
                </c:pt>
                <c:pt idx="434">
                  <c:v>-27.838381607980821</c:v>
                </c:pt>
                <c:pt idx="435">
                  <c:v>-27.948066822758406</c:v>
                </c:pt>
                <c:pt idx="436">
                  <c:v>-28.057556895489569</c:v>
                </c:pt>
                <c:pt idx="437">
                  <c:v>-28.16946697662295</c:v>
                </c:pt>
                <c:pt idx="438">
                  <c:v>-28.281189039808844</c:v>
                </c:pt>
                <c:pt idx="439">
                  <c:v>-28.392731591216954</c:v>
                </c:pt>
                <c:pt idx="440">
                  <c:v>-28.504103231347507</c:v>
                </c:pt>
                <c:pt idx="441">
                  <c:v>-28.617904019008279</c:v>
                </c:pt>
                <c:pt idx="442">
                  <c:v>-28.731544375796254</c:v>
                </c:pt>
                <c:pt idx="443">
                  <c:v>-28.845033854061253</c:v>
                </c:pt>
                <c:pt idx="444">
                  <c:v>-28.95838212978337</c:v>
                </c:pt>
                <c:pt idx="445">
                  <c:v>-29.074177430925353</c:v>
                </c:pt>
                <c:pt idx="446">
                  <c:v>-29.189845915050885</c:v>
                </c:pt>
                <c:pt idx="447">
                  <c:v>-29.305398372405904</c:v>
                </c:pt>
                <c:pt idx="448">
                  <c:v>-29.420845753595543</c:v>
                </c:pt>
                <c:pt idx="449">
                  <c:v>-29.538965806755542</c:v>
                </c:pt>
                <c:pt idx="450">
                  <c:v>-29.656999466121746</c:v>
                </c:pt>
                <c:pt idx="451">
                  <c:v>-29.774959057960867</c:v>
                </c:pt>
                <c:pt idx="452">
                  <c:v>-29.892857116494184</c:v>
                </c:pt>
                <c:pt idx="453">
                  <c:v>-30.013368632918521</c:v>
                </c:pt>
                <c:pt idx="454">
                  <c:v>-30.133843017191076</c:v>
                </c:pt>
                <c:pt idx="455">
                  <c:v>-30.254294404946876</c:v>
                </c:pt>
                <c:pt idx="456">
                  <c:v>-30.374737199363047</c:v>
                </c:pt>
                <c:pt idx="457">
                  <c:v>-30.498044721434844</c:v>
                </c:pt>
                <c:pt idx="458">
                  <c:v>-30.621374692474596</c:v>
                </c:pt>
                <c:pt idx="459">
                  <c:v>-30.744743511204295</c:v>
                </c:pt>
                <c:pt idx="460">
                  <c:v>-30.868167921889608</c:v>
                </c:pt>
                <c:pt idx="461">
                  <c:v>-30.994528872399862</c:v>
                </c:pt>
                <c:pt idx="462">
                  <c:v>-31.12098465747653</c:v>
                </c:pt>
                <c:pt idx="463">
                  <c:v>-31.247554432513653</c:v>
                </c:pt>
                <c:pt idx="464">
                  <c:v>-31.374257798713575</c:v>
                </c:pt>
                <c:pt idx="465">
                  <c:v>-31.504090041335566</c:v>
                </c:pt>
                <c:pt idx="466">
                  <c:v>-31.634105264723537</c:v>
                </c:pt>
                <c:pt idx="467">
                  <c:v>-31.764326057273493</c:v>
                </c:pt>
                <c:pt idx="468">
                  <c:v>-31.894775584541041</c:v>
                </c:pt>
                <c:pt idx="469">
                  <c:v>-32.02847393900624</c:v>
                </c:pt>
                <c:pt idx="470">
                  <c:v>-32.162462613009588</c:v>
                </c:pt>
                <c:pt idx="471">
                  <c:v>-32.296768441117052</c:v>
                </c:pt>
                <c:pt idx="472">
                  <c:v>-32.431419006327943</c:v>
                </c:pt>
                <c:pt idx="473">
                  <c:v>-32.569671918976454</c:v>
                </c:pt>
                <c:pt idx="474">
                  <c:v>-32.708347300548994</c:v>
                </c:pt>
                <c:pt idx="475">
                  <c:v>-32.847477419425594</c:v>
                </c:pt>
                <c:pt idx="476">
                  <c:v>-32.987095523188103</c:v>
                </c:pt>
                <c:pt idx="477">
                  <c:v>-33.13051097770478</c:v>
                </c:pt>
                <c:pt idx="478">
                  <c:v>-33.274511225252418</c:v>
                </c:pt>
                <c:pt idx="479">
                  <c:v>-33.419135381181761</c:v>
                </c:pt>
                <c:pt idx="480">
                  <c:v>-33.564423847473051</c:v>
                </c:pt>
                <c:pt idx="481">
                  <c:v>-33.713754450275097</c:v>
                </c:pt>
                <c:pt idx="482">
                  <c:v>-33.863869868630204</c:v>
                </c:pt>
                <c:pt idx="483">
                  <c:v>-34.014817921251947</c:v>
                </c:pt>
                <c:pt idx="484">
                  <c:v>-34.166648127328855</c:v>
                </c:pt>
                <c:pt idx="485">
                  <c:v>-34.322933766481981</c:v>
                </c:pt>
                <c:pt idx="486">
                  <c:v>-34.480253220123217</c:v>
                </c:pt>
                <c:pt idx="487">
                  <c:v>-34.638665600573134</c:v>
                </c:pt>
                <c:pt idx="488">
                  <c:v>-34.798232291212059</c:v>
                </c:pt>
                <c:pt idx="489">
                  <c:v>-34.96286327762305</c:v>
                </c:pt>
                <c:pt idx="490">
                  <c:v>-35.128842270806174</c:v>
                </c:pt>
                <c:pt idx="491">
                  <c:v>-35.296243366018217</c:v>
                </c:pt>
                <c:pt idx="492">
                  <c:v>-35.465143738734859</c:v>
                </c:pt>
                <c:pt idx="493">
                  <c:v>-35.639610582039644</c:v>
                </c:pt>
                <c:pt idx="494">
                  <c:v>-35.815821430196479</c:v>
                </c:pt>
                <c:pt idx="495">
                  <c:v>-35.99387018132343</c:v>
                </c:pt>
                <c:pt idx="496">
                  <c:v>-36.17385496553517</c:v>
                </c:pt>
                <c:pt idx="497">
                  <c:v>-36.360161519161892</c:v>
                </c:pt>
                <c:pt idx="498">
                  <c:v>-36.548718398604507</c:v>
                </c:pt>
                <c:pt idx="499">
                  <c:v>-36.739646330864851</c:v>
                </c:pt>
                <c:pt idx="500">
                  <c:v>-36.933071971087962</c:v>
                </c:pt>
                <c:pt idx="501">
                  <c:v>-37.133766810039759</c:v>
                </c:pt>
                <c:pt idx="502">
                  <c:v>-37.337367316580277</c:v>
                </c:pt>
                <c:pt idx="503">
                  <c:v>-37.544031326638894</c:v>
                </c:pt>
                <c:pt idx="504">
                  <c:v>-37.753925185194603</c:v>
                </c:pt>
                <c:pt idx="505">
                  <c:v>-37.972161626346505</c:v>
                </c:pt>
                <c:pt idx="506">
                  <c:v>-38.194160058034285</c:v>
                </c:pt>
                <c:pt idx="507">
                  <c:v>-38.420130600793179</c:v>
                </c:pt>
                <c:pt idx="508">
                  <c:v>-38.650295941600262</c:v>
                </c:pt>
                <c:pt idx="509">
                  <c:v>-38.890352685649901</c:v>
                </c:pt>
                <c:pt idx="510">
                  <c:v>-39.135316216663099</c:v>
                </c:pt>
                <c:pt idx="511">
                  <c:v>-39.385473245966473</c:v>
                </c:pt>
                <c:pt idx="512">
                  <c:v>-39.641129791739885</c:v>
                </c:pt>
                <c:pt idx="513">
                  <c:v>-39.908886525560334</c:v>
                </c:pt>
                <c:pt idx="514">
                  <c:v>-40.183125918972053</c:v>
                </c:pt>
                <c:pt idx="515">
                  <c:v>-40.464252473707774</c:v>
                </c:pt>
                <c:pt idx="516">
                  <c:v>-40.75270197088733</c:v>
                </c:pt>
                <c:pt idx="517">
                  <c:v>-41.055902763597985</c:v>
                </c:pt>
                <c:pt idx="518">
                  <c:v>-41.36780859279331</c:v>
                </c:pt>
                <c:pt idx="519">
                  <c:v>-41.689013445247475</c:v>
                </c:pt>
                <c:pt idx="520">
                  <c:v>-42.020165266946606</c:v>
                </c:pt>
                <c:pt idx="521">
                  <c:v>-42.370036771534352</c:v>
                </c:pt>
                <c:pt idx="522">
                  <c:v>-42.731900098884225</c:v>
                </c:pt>
                <c:pt idx="523">
                  <c:v>-43.106678145908752</c:v>
                </c:pt>
                <c:pt idx="524">
                  <c:v>-43.495395060619686</c:v>
                </c:pt>
                <c:pt idx="525">
                  <c:v>-43.908762064379509</c:v>
                </c:pt>
                <c:pt idx="526">
                  <c:v>-44.339291638357096</c:v>
                </c:pt>
                <c:pt idx="527">
                  <c:v>-44.78853461978774</c:v>
                </c:pt>
                <c:pt idx="528">
                  <c:v>-45.258254206027566</c:v>
                </c:pt>
                <c:pt idx="529">
                  <c:v>-45.762194876203822</c:v>
                </c:pt>
                <c:pt idx="530">
                  <c:v>-46.292188079850533</c:v>
                </c:pt>
                <c:pt idx="531">
                  <c:v>-46.851149858345821</c:v>
                </c:pt>
                <c:pt idx="532">
                  <c:v>-47.442516229677381</c:v>
                </c:pt>
                <c:pt idx="533">
                  <c:v>-48.085787227859349</c:v>
                </c:pt>
                <c:pt idx="534">
                  <c:v>-48.772619572796529</c:v>
                </c:pt>
                <c:pt idx="535">
                  <c:v>-49.509527514528301</c:v>
                </c:pt>
                <c:pt idx="536">
                  <c:v>-50.304639937733846</c:v>
                </c:pt>
                <c:pt idx="537">
                  <c:v>-51.188794006110932</c:v>
                </c:pt>
                <c:pt idx="538">
                  <c:v>-52.159068993343134</c:v>
                </c:pt>
                <c:pt idx="539">
                  <c:v>-53.234845425867377</c:v>
                </c:pt>
                <c:pt idx="540">
                  <c:v>-54.443054423861561</c:v>
                </c:pt>
                <c:pt idx="541">
                  <c:v>-55.857947290294945</c:v>
                </c:pt>
                <c:pt idx="542">
                  <c:v>-57.517087189375083</c:v>
                </c:pt>
                <c:pt idx="543">
                  <c:v>-59.528082040531658</c:v>
                </c:pt>
                <c:pt idx="544">
                  <c:v>-62.091563203805649</c:v>
                </c:pt>
                <c:pt idx="545">
                  <c:v>-65.755430874646621</c:v>
                </c:pt>
                <c:pt idx="546">
                  <c:v>-72.012608247434997</c:v>
                </c:pt>
                <c:pt idx="547">
                  <c:v>-102.09012025554976</c:v>
                </c:pt>
                <c:pt idx="548">
                  <c:v>-71.687204954880301</c:v>
                </c:pt>
                <c:pt idx="549">
                  <c:v>-65.810193196363386</c:v>
                </c:pt>
                <c:pt idx="550">
                  <c:v>-62.413665399039424</c:v>
                </c:pt>
                <c:pt idx="551">
                  <c:v>-60.037927875353787</c:v>
                </c:pt>
                <c:pt idx="552">
                  <c:v>-58.223699031401438</c:v>
                </c:pt>
                <c:pt idx="553">
                  <c:v>-56.735001952624188</c:v>
                </c:pt>
                <c:pt idx="554">
                  <c:v>-55.503307378152194</c:v>
                </c:pt>
                <c:pt idx="555">
                  <c:v>-54.459510701793803</c:v>
                </c:pt>
                <c:pt idx="556">
                  <c:v>-53.559329794452736</c:v>
                </c:pt>
                <c:pt idx="557">
                  <c:v>-52.047501984420691</c:v>
                </c:pt>
                <c:pt idx="558">
                  <c:v>-50.856994009951379</c:v>
                </c:pt>
                <c:pt idx="559">
                  <c:v>-49.87615260404656</c:v>
                </c:pt>
                <c:pt idx="560">
                  <c:v>-49.074964066311423</c:v>
                </c:pt>
                <c:pt idx="561">
                  <c:v>-48.399204011121057</c:v>
                </c:pt>
                <c:pt idx="562">
                  <c:v>-47.840037235643237</c:v>
                </c:pt>
                <c:pt idx="563">
                  <c:v>-47.36681458983297</c:v>
                </c:pt>
                <c:pt idx="564">
                  <c:v>-46.975478492824898</c:v>
                </c:pt>
                <c:pt idx="565">
                  <c:v>-46.645420248826923</c:v>
                </c:pt>
                <c:pt idx="566">
                  <c:v>-46.376262666652089</c:v>
                </c:pt>
                <c:pt idx="567">
                  <c:v>-46.154263857716593</c:v>
                </c:pt>
                <c:pt idx="568">
                  <c:v>-45.978921907592103</c:v>
                </c:pt>
                <c:pt idx="569">
                  <c:v>-45.841466619809125</c:v>
                </c:pt>
                <c:pt idx="570">
                  <c:v>-45.740194251741727</c:v>
                </c:pt>
                <c:pt idx="571">
                  <c:v>-45.668865851693013</c:v>
                </c:pt>
                <c:pt idx="572">
                  <c:v>-45.626446246665353</c:v>
                </c:pt>
                <c:pt idx="573">
                  <c:v>-45.609211372028525</c:v>
                </c:pt>
                <c:pt idx="574">
                  <c:v>-45.615001195087295</c:v>
                </c:pt>
                <c:pt idx="575">
                  <c:v>-45.642010312295909</c:v>
                </c:pt>
                <c:pt idx="576">
                  <c:v>-45.687877463771578</c:v>
                </c:pt>
                <c:pt idx="577">
                  <c:v>-46.047944885747924</c:v>
                </c:pt>
                <c:pt idx="578">
                  <c:v>-46.607925056490267</c:v>
                </c:pt>
                <c:pt idx="579">
                  <c:v>-48.367522819934514</c:v>
                </c:pt>
                <c:pt idx="580">
                  <c:v>-51.508555982913357</c:v>
                </c:pt>
                <c:pt idx="581">
                  <c:v>-60.411630996108904</c:v>
                </c:pt>
                <c:pt idx="582">
                  <c:v>-60.396271295371193</c:v>
                </c:pt>
                <c:pt idx="583">
                  <c:v>-55.368585972773367</c:v>
                </c:pt>
                <c:pt idx="584">
                  <c:v>-55.897204169731992</c:v>
                </c:pt>
                <c:pt idx="585">
                  <c:v>-59.552930051192263</c:v>
                </c:pt>
                <c:pt idx="586">
                  <c:v>-74.466581030005187</c:v>
                </c:pt>
                <c:pt idx="587">
                  <c:v>-60.904299230698477</c:v>
                </c:pt>
                <c:pt idx="588">
                  <c:v>-62.133329203179372</c:v>
                </c:pt>
                <c:pt idx="589">
                  <c:v>-96.823693628755905</c:v>
                </c:pt>
                <c:pt idx="590">
                  <c:v>-64.495585357777458</c:v>
                </c:pt>
                <c:pt idx="591">
                  <c:v>-68.866645862671419</c:v>
                </c:pt>
                <c:pt idx="592">
                  <c:v>-68.0345164731729</c:v>
                </c:pt>
                <c:pt idx="593">
                  <c:v>-70.537221219991494</c:v>
                </c:pt>
                <c:pt idx="594">
                  <c:v>-69.631413517743667</c:v>
                </c:pt>
                <c:pt idx="595">
                  <c:v>-85.18842023951072</c:v>
                </c:pt>
                <c:pt idx="596">
                  <c:v>-71.664969329099776</c:v>
                </c:pt>
                <c:pt idx="597">
                  <c:v>-72.7322968039431</c:v>
                </c:pt>
                <c:pt idx="598">
                  <c:v>-77.098884829680841</c:v>
                </c:pt>
                <c:pt idx="599">
                  <c:v>-86.229175154650505</c:v>
                </c:pt>
                <c:pt idx="600">
                  <c:v>-93.077375223512803</c:v>
                </c:pt>
              </c:numCache>
            </c:numRef>
          </c:yVal>
          <c:smooth val="1"/>
          <c:extLst>
            <c:ext xmlns:c16="http://schemas.microsoft.com/office/drawing/2014/chart" uri="{C3380CC4-5D6E-409C-BE32-E72D297353CC}">
              <c16:uniqueId val="{00000000-09BC-4E96-93F9-6DC345568360}"/>
            </c:ext>
          </c:extLst>
        </c:ser>
        <c:dLbls>
          <c:dLblPos val="r"/>
          <c:showLegendKey val="0"/>
          <c:showVal val="1"/>
          <c:showCatName val="1"/>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92.735022732087046</c:v>
                </c:pt>
                <c:pt idx="1">
                  <c:v>92.439081649233202</c:v>
                </c:pt>
                <c:pt idx="2">
                  <c:v>92.163738158142834</c:v>
                </c:pt>
                <c:pt idx="3">
                  <c:v>91.906673661373404</c:v>
                </c:pt>
                <c:pt idx="4">
                  <c:v>91.665874358429718</c:v>
                </c:pt>
                <c:pt idx="5">
                  <c:v>91.438915732352427</c:v>
                </c:pt>
                <c:pt idx="6">
                  <c:v>91.224217977094938</c:v>
                </c:pt>
                <c:pt idx="7">
                  <c:v>91.019822628682206</c:v>
                </c:pt>
                <c:pt idx="8">
                  <c:v>90.824149043738174</c:v>
                </c:pt>
                <c:pt idx="9">
                  <c:v>90.635392236413196</c:v>
                </c:pt>
                <c:pt idx="10">
                  <c:v>90.452065480991863</c:v>
                </c:pt>
                <c:pt idx="11">
                  <c:v>90.272589784883394</c:v>
                </c:pt>
                <c:pt idx="12">
                  <c:v>90.095353835686737</c:v>
                </c:pt>
                <c:pt idx="13">
                  <c:v>89.919030576493455</c:v>
                </c:pt>
                <c:pt idx="14">
                  <c:v>89.741989735006101</c:v>
                </c:pt>
                <c:pt idx="15">
                  <c:v>89.562806301320109</c:v>
                </c:pt>
                <c:pt idx="16">
                  <c:v>89.379957524149305</c:v>
                </c:pt>
                <c:pt idx="17">
                  <c:v>89.1919345547484</c:v>
                </c:pt>
                <c:pt idx="18">
                  <c:v>88.997107552453684</c:v>
                </c:pt>
                <c:pt idx="19">
                  <c:v>88.79390251529648</c:v>
                </c:pt>
                <c:pt idx="20">
                  <c:v>88.580590395658035</c:v>
                </c:pt>
                <c:pt idx="21">
                  <c:v>88.355452292617244</c:v>
                </c:pt>
                <c:pt idx="22">
                  <c:v>88.116591772909203</c:v>
                </c:pt>
                <c:pt idx="23">
                  <c:v>87.862124244245706</c:v>
                </c:pt>
                <c:pt idx="24">
                  <c:v>87.589934258291095</c:v>
                </c:pt>
                <c:pt idx="25">
                  <c:v>87.29789486665382</c:v>
                </c:pt>
                <c:pt idx="26">
                  <c:v>86.983642001437346</c:v>
                </c:pt>
                <c:pt idx="27">
                  <c:v>86.644853142291964</c:v>
                </c:pt>
                <c:pt idx="28">
                  <c:v>86.278971769384427</c:v>
                </c:pt>
                <c:pt idx="29">
                  <c:v>85.883580831641694</c:v>
                </c:pt>
                <c:pt idx="30">
                  <c:v>85.455198394176335</c:v>
                </c:pt>
                <c:pt idx="31">
                  <c:v>84.991489299829624</c:v>
                </c:pt>
                <c:pt idx="32">
                  <c:v>84.489160285663502</c:v>
                </c:pt>
                <c:pt idx="33">
                  <c:v>83.9455554923059</c:v>
                </c:pt>
                <c:pt idx="34">
                  <c:v>83.357254672993022</c:v>
                </c:pt>
                <c:pt idx="35">
                  <c:v>82.721669665344422</c:v>
                </c:pt>
                <c:pt idx="36">
                  <c:v>82.036011165695228</c:v>
                </c:pt>
                <c:pt idx="37">
                  <c:v>81.297498193990265</c:v>
                </c:pt>
                <c:pt idx="38">
                  <c:v>80.504958392885499</c:v>
                </c:pt>
                <c:pt idx="39">
                  <c:v>79.656603993370581</c:v>
                </c:pt>
                <c:pt idx="40">
                  <c:v>78.752539920506521</c:v>
                </c:pt>
                <c:pt idx="41">
                  <c:v>77.79376062539545</c:v>
                </c:pt>
                <c:pt idx="42">
                  <c:v>76.783068253134772</c:v>
                </c:pt>
                <c:pt idx="43">
                  <c:v>75.724770009271282</c:v>
                </c:pt>
                <c:pt idx="44">
                  <c:v>74.626046013997907</c:v>
                </c:pt>
                <c:pt idx="45">
                  <c:v>73.496190829302208</c:v>
                </c:pt>
                <c:pt idx="46">
                  <c:v>72.347793200480609</c:v>
                </c:pt>
                <c:pt idx="47">
                  <c:v>71.195914297209882</c:v>
                </c:pt>
                <c:pt idx="48">
                  <c:v>70.059000065506837</c:v>
                </c:pt>
                <c:pt idx="49">
                  <c:v>68.957453936315147</c:v>
                </c:pt>
                <c:pt idx="50">
                  <c:v>67.914076106469807</c:v>
                </c:pt>
                <c:pt idx="51">
                  <c:v>66.952334546720451</c:v>
                </c:pt>
                <c:pt idx="52">
                  <c:v>66.096196050650633</c:v>
                </c:pt>
                <c:pt idx="53">
                  <c:v>65.367926352662721</c:v>
                </c:pt>
                <c:pt idx="54">
                  <c:v>64.787484982658626</c:v>
                </c:pt>
                <c:pt idx="55">
                  <c:v>64.369723035723197</c:v>
                </c:pt>
                <c:pt idx="56">
                  <c:v>64.126146897791656</c:v>
                </c:pt>
                <c:pt idx="57">
                  <c:v>64.061577100459772</c:v>
                </c:pt>
                <c:pt idx="58">
                  <c:v>64.174876744850138</c:v>
                </c:pt>
                <c:pt idx="59">
                  <c:v>64.458835436966098</c:v>
                </c:pt>
                <c:pt idx="60">
                  <c:v>64.900367425033608</c:v>
                </c:pt>
                <c:pt idx="61">
                  <c:v>65.481649591024848</c:v>
                </c:pt>
                <c:pt idx="62">
                  <c:v>66.181472547046269</c:v>
                </c:pt>
                <c:pt idx="63">
                  <c:v>66.975074979614618</c:v>
                </c:pt>
                <c:pt idx="64">
                  <c:v>67.837792369168653</c:v>
                </c:pt>
                <c:pt idx="65">
                  <c:v>68.744104766834823</c:v>
                </c:pt>
                <c:pt idx="66">
                  <c:v>69.669986603339723</c:v>
                </c:pt>
                <c:pt idx="67">
                  <c:v>70.593148440857661</c:v>
                </c:pt>
                <c:pt idx="68">
                  <c:v>71.494174530486319</c:v>
                </c:pt>
                <c:pt idx="69">
                  <c:v>72.355886226599495</c:v>
                </c:pt>
                <c:pt idx="70">
                  <c:v>73.164305703974719</c:v>
                </c:pt>
                <c:pt idx="71">
                  <c:v>73.907764077133535</c:v>
                </c:pt>
                <c:pt idx="72">
                  <c:v>74.577286821444318</c:v>
                </c:pt>
                <c:pt idx="73">
                  <c:v>75.165608106259654</c:v>
                </c:pt>
                <c:pt idx="74">
                  <c:v>75.667427488994718</c:v>
                </c:pt>
                <c:pt idx="75">
                  <c:v>76.078480443177497</c:v>
                </c:pt>
                <c:pt idx="76">
                  <c:v>76.395586466532777</c:v>
                </c:pt>
                <c:pt idx="77">
                  <c:v>76.615984525178831</c:v>
                </c:pt>
                <c:pt idx="78">
                  <c:v>76.737389823036565</c:v>
                </c:pt>
                <c:pt idx="79">
                  <c:v>76.757611457370174</c:v>
                </c:pt>
                <c:pt idx="80">
                  <c:v>76.674292654515028</c:v>
                </c:pt>
                <c:pt idx="81">
                  <c:v>76.484831861596774</c:v>
                </c:pt>
                <c:pt idx="82">
                  <c:v>76.186072457834229</c:v>
                </c:pt>
                <c:pt idx="83">
                  <c:v>75.774669876508852</c:v>
                </c:pt>
                <c:pt idx="84">
                  <c:v>75.246102847500467</c:v>
                </c:pt>
                <c:pt idx="85">
                  <c:v>74.595710264677805</c:v>
                </c:pt>
                <c:pt idx="86">
                  <c:v>73.817717527356663</c:v>
                </c:pt>
                <c:pt idx="87">
                  <c:v>72.905041939715773</c:v>
                </c:pt>
                <c:pt idx="88">
                  <c:v>71.851063756966525</c:v>
                </c:pt>
                <c:pt idx="89">
                  <c:v>70.646519581019064</c:v>
                </c:pt>
                <c:pt idx="90">
                  <c:v>69.282365038396719</c:v>
                </c:pt>
                <c:pt idx="91">
                  <c:v>67.748029754899306</c:v>
                </c:pt>
                <c:pt idx="92">
                  <c:v>66.032256153349948</c:v>
                </c:pt>
                <c:pt idx="93">
                  <c:v>64.121998464919926</c:v>
                </c:pt>
                <c:pt idx="94">
                  <c:v>63.612732690655776</c:v>
                </c:pt>
                <c:pt idx="95">
                  <c:v>63.351549847303986</c:v>
                </c:pt>
                <c:pt idx="96">
                  <c:v>63.09004753716313</c:v>
                </c:pt>
                <c:pt idx="97">
                  <c:v>62.82217051173815</c:v>
                </c:pt>
                <c:pt idx="98">
                  <c:v>62.553994729144264</c:v>
                </c:pt>
                <c:pt idx="99">
                  <c:v>62.279241912127134</c:v>
                </c:pt>
                <c:pt idx="100">
                  <c:v>62.004211330958455</c:v>
                </c:pt>
                <c:pt idx="101">
                  <c:v>61.722612366926427</c:v>
                </c:pt>
                <c:pt idx="102">
                  <c:v>61.440757383447362</c:v>
                </c:pt>
                <c:pt idx="103">
                  <c:v>61.151923437382294</c:v>
                </c:pt>
                <c:pt idx="104">
                  <c:v>60.862855258842487</c:v>
                </c:pt>
                <c:pt idx="105">
                  <c:v>60.566819413510657</c:v>
                </c:pt>
                <c:pt idx="106">
                  <c:v>60.270571983013113</c:v>
                </c:pt>
                <c:pt idx="107">
                  <c:v>59.967370297281889</c:v>
                </c:pt>
                <c:pt idx="108">
                  <c:v>59.663980483488899</c:v>
                </c:pt>
                <c:pt idx="109">
                  <c:v>59.353440419500075</c:v>
                </c:pt>
                <c:pt idx="110">
                  <c:v>59.042736235972811</c:v>
                </c:pt>
                <c:pt idx="111">
                  <c:v>58.724475535093788</c:v>
                </c:pt>
                <c:pt idx="112">
                  <c:v>58.406075191675299</c:v>
                </c:pt>
                <c:pt idx="113">
                  <c:v>58.080136795988381</c:v>
                </c:pt>
                <c:pt idx="114">
                  <c:v>57.754084200570887</c:v>
                </c:pt>
                <c:pt idx="115">
                  <c:v>57.420302311329564</c:v>
                </c:pt>
                <c:pt idx="116">
                  <c:v>57.086432484260172</c:v>
                </c:pt>
                <c:pt idx="117">
                  <c:v>56.744644046727814</c:v>
                </c:pt>
                <c:pt idx="118">
                  <c:v>56.402794838181023</c:v>
                </c:pt>
                <c:pt idx="119">
                  <c:v>56.053051910080484</c:v>
                </c:pt>
                <c:pt idx="120">
                  <c:v>55.70327639730985</c:v>
                </c:pt>
                <c:pt idx="121">
                  <c:v>55.345422255099919</c:v>
                </c:pt>
                <c:pt idx="122">
                  <c:v>54.987564698263625</c:v>
                </c:pt>
                <c:pt idx="123">
                  <c:v>54.621233819058915</c:v>
                </c:pt>
                <c:pt idx="124">
                  <c:v>54.25492980257691</c:v>
                </c:pt>
                <c:pt idx="125">
                  <c:v>53.880184570579289</c:v>
                </c:pt>
                <c:pt idx="126">
                  <c:v>53.505497640356566</c:v>
                </c:pt>
                <c:pt idx="127">
                  <c:v>53.122192156310362</c:v>
                </c:pt>
                <c:pt idx="128">
                  <c:v>52.73897764287139</c:v>
                </c:pt>
                <c:pt idx="129">
                  <c:v>52.346970094100257</c:v>
                </c:pt>
                <c:pt idx="130">
                  <c:v>51.955087494102344</c:v>
                </c:pt>
                <c:pt idx="131">
                  <c:v>51.554240408488852</c:v>
                </c:pt>
                <c:pt idx="132">
                  <c:v>51.353876090401371</c:v>
                </c:pt>
                <c:pt idx="133">
                  <c:v>51.153553637190896</c:v>
                </c:pt>
                <c:pt idx="134">
                  <c:v>50.948514351566047</c:v>
                </c:pt>
                <c:pt idx="135">
                  <c:v>50.743522610466528</c:v>
                </c:pt>
                <c:pt idx="136">
                  <c:v>50.538580216438106</c:v>
                </c:pt>
                <c:pt idx="137">
                  <c:v>50.333688938368454</c:v>
                </c:pt>
                <c:pt idx="138">
                  <c:v>50.124200524908929</c:v>
                </c:pt>
                <c:pt idx="139">
                  <c:v>49.914769212923062</c:v>
                </c:pt>
                <c:pt idx="140">
                  <c:v>49.705396790739201</c:v>
                </c:pt>
                <c:pt idx="141">
                  <c:v>49.496085013436868</c:v>
                </c:pt>
                <c:pt idx="142">
                  <c:v>49.281874355289517</c:v>
                </c:pt>
                <c:pt idx="143">
                  <c:v>49.06773087134107</c:v>
                </c:pt>
                <c:pt idx="144">
                  <c:v>48.853656341559287</c:v>
                </c:pt>
                <c:pt idx="145">
                  <c:v>48.639652512897499</c:v>
                </c:pt>
                <c:pt idx="146">
                  <c:v>48.420766438800086</c:v>
                </c:pt>
                <c:pt idx="147">
                  <c:v>48.201957976865884</c:v>
                </c:pt>
                <c:pt idx="148">
                  <c:v>47.983228896181515</c:v>
                </c:pt>
                <c:pt idx="149">
                  <c:v>47.764580933078832</c:v>
                </c:pt>
                <c:pt idx="150">
                  <c:v>47.540963255679713</c:v>
                </c:pt>
                <c:pt idx="151">
                  <c:v>47.317434065871964</c:v>
                </c:pt>
                <c:pt idx="152">
                  <c:v>47.093995121884035</c:v>
                </c:pt>
                <c:pt idx="153">
                  <c:v>46.870648149408424</c:v>
                </c:pt>
                <c:pt idx="154">
                  <c:v>46.642140492210643</c:v>
                </c:pt>
                <c:pt idx="155">
                  <c:v>46.413732744872959</c:v>
                </c:pt>
                <c:pt idx="156">
                  <c:v>46.185426656960971</c:v>
                </c:pt>
                <c:pt idx="157">
                  <c:v>45.95722394562145</c:v>
                </c:pt>
                <c:pt idx="158">
                  <c:v>45.723776614228768</c:v>
                </c:pt>
                <c:pt idx="159">
                  <c:v>45.490441105302921</c:v>
                </c:pt>
                <c:pt idx="160">
                  <c:v>45.257219159123991</c:v>
                </c:pt>
                <c:pt idx="161">
                  <c:v>45.024112483631541</c:v>
                </c:pt>
                <c:pt idx="162">
                  <c:v>44.785783700536172</c:v>
                </c:pt>
                <c:pt idx="163">
                  <c:v>44.547579047844124</c:v>
                </c:pt>
                <c:pt idx="164">
                  <c:v>44.309500253430542</c:v>
                </c:pt>
                <c:pt idx="165">
                  <c:v>44.07154901292563</c:v>
                </c:pt>
                <c:pt idx="166">
                  <c:v>43.828086047146428</c:v>
                </c:pt>
                <c:pt idx="167">
                  <c:v>43.584760255592215</c:v>
                </c:pt>
                <c:pt idx="168">
                  <c:v>43.341573357184814</c:v>
                </c:pt>
                <c:pt idx="169">
                  <c:v>43.098527038542016</c:v>
                </c:pt>
                <c:pt idx="170">
                  <c:v>42.850411991635895</c:v>
                </c:pt>
                <c:pt idx="171">
                  <c:v>42.602447080043589</c:v>
                </c:pt>
                <c:pt idx="172">
                  <c:v>42.354634001532901</c:v>
                </c:pt>
                <c:pt idx="173">
                  <c:v>42.106974421738443</c:v>
                </c:pt>
                <c:pt idx="174">
                  <c:v>41.853232385768791</c:v>
                </c:pt>
                <c:pt idx="175">
                  <c:v>41.599655130412543</c:v>
                </c:pt>
                <c:pt idx="176">
                  <c:v>41.346244349858978</c:v>
                </c:pt>
                <c:pt idx="177">
                  <c:v>41.093001705807012</c:v>
                </c:pt>
                <c:pt idx="178">
                  <c:v>40.833707876890514</c:v>
                </c:pt>
                <c:pt idx="179">
                  <c:v>40.574593985332569</c:v>
                </c:pt>
                <c:pt idx="180">
                  <c:v>40.315661716852162</c:v>
                </c:pt>
                <c:pt idx="181">
                  <c:v>40.056912724343078</c:v>
                </c:pt>
                <c:pt idx="182">
                  <c:v>39.793179243568432</c:v>
                </c:pt>
                <c:pt idx="183">
                  <c:v>39.529639815506954</c:v>
                </c:pt>
                <c:pt idx="184">
                  <c:v>39.266296093089721</c:v>
                </c:pt>
                <c:pt idx="185">
                  <c:v>39.003149696616674</c:v>
                </c:pt>
                <c:pt idx="186">
                  <c:v>38.732986868308529</c:v>
                </c:pt>
                <c:pt idx="187">
                  <c:v>38.463035713180318</c:v>
                </c:pt>
                <c:pt idx="188">
                  <c:v>38.19329788544357</c:v>
                </c:pt>
                <c:pt idx="189">
                  <c:v>37.923775005857749</c:v>
                </c:pt>
                <c:pt idx="190">
                  <c:v>37.649331344226141</c:v>
                </c:pt>
                <c:pt idx="191">
                  <c:v>37.37511420857831</c:v>
                </c:pt>
                <c:pt idx="192">
                  <c:v>37.101125211337092</c:v>
                </c:pt>
                <c:pt idx="193">
                  <c:v>36.827365931680134</c:v>
                </c:pt>
                <c:pt idx="194">
                  <c:v>36.546669894591673</c:v>
                </c:pt>
                <c:pt idx="195">
                  <c:v>36.266219043191342</c:v>
                </c:pt>
                <c:pt idx="196">
                  <c:v>35.986014979250513</c:v>
                </c:pt>
                <c:pt idx="197">
                  <c:v>35.706059270509797</c:v>
                </c:pt>
                <c:pt idx="198">
                  <c:v>35.420231313713828</c:v>
                </c:pt>
                <c:pt idx="199">
                  <c:v>35.134665912370593</c:v>
                </c:pt>
                <c:pt idx="200">
                  <c:v>34.849364633607308</c:v>
                </c:pt>
                <c:pt idx="201">
                  <c:v>34.564329010248116</c:v>
                </c:pt>
                <c:pt idx="202">
                  <c:v>34.273461294576521</c:v>
                </c:pt>
                <c:pt idx="203">
                  <c:v>33.982873867612113</c:v>
                </c:pt>
                <c:pt idx="204">
                  <c:v>33.692568256210535</c:v>
                </c:pt>
                <c:pt idx="205">
                  <c:v>33.40254595265958</c:v>
                </c:pt>
                <c:pt idx="206">
                  <c:v>33.105720519465166</c:v>
                </c:pt>
                <c:pt idx="207">
                  <c:v>32.809195494421061</c:v>
                </c:pt>
                <c:pt idx="208">
                  <c:v>32.512972373432547</c:v>
                </c:pt>
                <c:pt idx="209">
                  <c:v>32.217052617105992</c:v>
                </c:pt>
                <c:pt idx="210">
                  <c:v>31.913370540865628</c:v>
                </c:pt>
                <c:pt idx="211">
                  <c:v>31.610011634776242</c:v>
                </c:pt>
                <c:pt idx="212">
                  <c:v>31.306977370283988</c:v>
                </c:pt>
                <c:pt idx="213">
                  <c:v>31.00426918235226</c:v>
                </c:pt>
                <c:pt idx="214">
                  <c:v>30.695864285959658</c:v>
                </c:pt>
                <c:pt idx="215">
                  <c:v>30.387801497610468</c:v>
                </c:pt>
                <c:pt idx="216">
                  <c:v>30.080082226775829</c:v>
                </c:pt>
                <c:pt idx="217">
                  <c:v>29.772707846253581</c:v>
                </c:pt>
                <c:pt idx="218">
                  <c:v>29.458683098409381</c:v>
                </c:pt>
                <c:pt idx="219">
                  <c:v>29.145021938441829</c:v>
                </c:pt>
                <c:pt idx="220">
                  <c:v>28.831725720407036</c:v>
                </c:pt>
                <c:pt idx="221">
                  <c:v>28.518795761040138</c:v>
                </c:pt>
                <c:pt idx="222">
                  <c:v>28.199269586090765</c:v>
                </c:pt>
                <c:pt idx="223">
                  <c:v>27.88012884820688</c:v>
                </c:pt>
                <c:pt idx="224">
                  <c:v>27.561374837490376</c:v>
                </c:pt>
                <c:pt idx="225">
                  <c:v>27.243008806109515</c:v>
                </c:pt>
                <c:pt idx="226">
                  <c:v>26.917112293464811</c:v>
                </c:pt>
                <c:pt idx="227">
                  <c:v>26.591625883846149</c:v>
                </c:pt>
                <c:pt idx="228">
                  <c:v>26.266550805699836</c:v>
                </c:pt>
                <c:pt idx="229">
                  <c:v>25.941888248498202</c:v>
                </c:pt>
                <c:pt idx="230">
                  <c:v>25.278067088630138</c:v>
                </c:pt>
                <c:pt idx="231">
                  <c:v>24.94681051031165</c:v>
                </c:pt>
                <c:pt idx="232">
                  <c:v>24.615991433948722</c:v>
                </c:pt>
                <c:pt idx="233">
                  <c:v>24.277773413303663</c:v>
                </c:pt>
                <c:pt idx="234">
                  <c:v>23.940016153765043</c:v>
                </c:pt>
                <c:pt idx="235">
                  <c:v>23.602720726752779</c:v>
                </c:pt>
                <c:pt idx="236">
                  <c:v>23.265888162807698</c:v>
                </c:pt>
                <c:pt idx="237">
                  <c:v>22.922699387854891</c:v>
                </c:pt>
                <c:pt idx="238">
                  <c:v>22.57999448976696</c:v>
                </c:pt>
                <c:pt idx="239">
                  <c:v>22.237774436103734</c:v>
                </c:pt>
                <c:pt idx="240">
                  <c:v>21.896040153162289</c:v>
                </c:pt>
                <c:pt idx="241">
                  <c:v>21.546073833447338</c:v>
                </c:pt>
                <c:pt idx="242">
                  <c:v>21.19662028596548</c:v>
                </c:pt>
                <c:pt idx="243">
                  <c:v>20.847680379389686</c:v>
                </c:pt>
                <c:pt idx="244">
                  <c:v>20.499254939886185</c:v>
                </c:pt>
                <c:pt idx="245">
                  <c:v>20.143640672230958</c:v>
                </c:pt>
                <c:pt idx="246">
                  <c:v>19.788565539011927</c:v>
                </c:pt>
                <c:pt idx="247">
                  <c:v>19.43403028970144</c:v>
                </c:pt>
                <c:pt idx="248">
                  <c:v>19.080035630585655</c:v>
                </c:pt>
                <c:pt idx="249">
                  <c:v>18.71796817776135</c:v>
                </c:pt>
                <c:pt idx="250">
                  <c:v>18.356469371768554</c:v>
                </c:pt>
                <c:pt idx="251">
                  <c:v>17.995539835889417</c:v>
                </c:pt>
                <c:pt idx="252">
                  <c:v>17.635180149180655</c:v>
                </c:pt>
                <c:pt idx="253">
                  <c:v>17.267782426096005</c:v>
                </c:pt>
                <c:pt idx="254">
                  <c:v>16.900980010893704</c:v>
                </c:pt>
                <c:pt idx="255">
                  <c:v>16.534773382540948</c:v>
                </c:pt>
                <c:pt idx="256">
                  <c:v>16.16916297532299</c:v>
                </c:pt>
                <c:pt idx="257">
                  <c:v>15.794700795262287</c:v>
                </c:pt>
                <c:pt idx="258">
                  <c:v>15.420866913970144</c:v>
                </c:pt>
                <c:pt idx="259">
                  <c:v>15.047661659111981</c:v>
                </c:pt>
                <c:pt idx="260">
                  <c:v>14.675085312422539</c:v>
                </c:pt>
                <c:pt idx="261">
                  <c:v>14.294692078517613</c:v>
                </c:pt>
                <c:pt idx="262">
                  <c:v>13.914957117055792</c:v>
                </c:pt>
                <c:pt idx="263">
                  <c:v>13.535880585894176</c:v>
                </c:pt>
                <c:pt idx="264">
                  <c:v>13.157462596329793</c:v>
                </c:pt>
                <c:pt idx="265">
                  <c:v>12.771316041762475</c:v>
                </c:pt>
                <c:pt idx="266">
                  <c:v>12.385857712626347</c:v>
                </c:pt>
                <c:pt idx="267">
                  <c:v>12.001087582672199</c:v>
                </c:pt>
                <c:pt idx="268">
                  <c:v>11.617005578618574</c:v>
                </c:pt>
                <c:pt idx="269">
                  <c:v>11.224359365173314</c:v>
                </c:pt>
                <c:pt idx="270">
                  <c:v>10.832434619079436</c:v>
                </c:pt>
                <c:pt idx="271">
                  <c:v>10.441231114183353</c:v>
                </c:pt>
                <c:pt idx="272">
                  <c:v>10.050748576557567</c:v>
                </c:pt>
                <c:pt idx="273">
                  <c:v>9.6518028837502357</c:v>
                </c:pt>
                <c:pt idx="274">
                  <c:v>9.2536118371469058</c:v>
                </c:pt>
                <c:pt idx="275">
                  <c:v>8.8561749936716296</c:v>
                </c:pt>
                <c:pt idx="276">
                  <c:v>8.4594918619346799</c:v>
                </c:pt>
                <c:pt idx="277">
                  <c:v>8.0553593413858948</c:v>
                </c:pt>
                <c:pt idx="278">
                  <c:v>7.6520109324810619</c:v>
                </c:pt>
                <c:pt idx="279">
                  <c:v>7.2494459632735868</c:v>
                </c:pt>
                <c:pt idx="280">
                  <c:v>6.8476637136146792</c:v>
                </c:pt>
                <c:pt idx="281">
                  <c:v>6.435811975751534</c:v>
                </c:pt>
                <c:pt idx="282">
                  <c:v>6.0247842446661934</c:v>
                </c:pt>
                <c:pt idx="283">
                  <c:v>5.6145795880084393</c:v>
                </c:pt>
                <c:pt idx="284">
                  <c:v>5.2051970242650896</c:v>
                </c:pt>
                <c:pt idx="285">
                  <c:v>4.7885623613652513</c:v>
                </c:pt>
                <c:pt idx="286">
                  <c:v>4.3727804222363318</c:v>
                </c:pt>
                <c:pt idx="287">
                  <c:v>3.9578500149111449</c:v>
                </c:pt>
                <c:pt idx="288">
                  <c:v>3.5437698988395141</c:v>
                </c:pt>
                <c:pt idx="289">
                  <c:v>3.1198630250115116</c:v>
                </c:pt>
                <c:pt idx="290">
                  <c:v>2.6968481947028806</c:v>
                </c:pt>
                <c:pt idx="291">
                  <c:v>2.2747239164259554</c:v>
                </c:pt>
                <c:pt idx="292">
                  <c:v>1.8534886496857439</c:v>
                </c:pt>
                <c:pt idx="293">
                  <c:v>1.4234373632340862</c:v>
                </c:pt>
                <c:pt idx="294">
                  <c:v>0.99431323743496591</c:v>
                </c:pt>
                <c:pt idx="295">
                  <c:v>0.5661144707225958</c:v>
                </c:pt>
                <c:pt idx="296">
                  <c:v>0.13883921280969957</c:v>
                </c:pt>
                <c:pt idx="297">
                  <c:v>-0.29713397024673327</c:v>
                </c:pt>
                <c:pt idx="298">
                  <c:v>-0.73214551841951447</c:v>
                </c:pt>
                <c:pt idx="299">
                  <c:v>-1.1661975605729538</c:v>
                </c:pt>
                <c:pt idx="300">
                  <c:v>-1.5992922737222557</c:v>
                </c:pt>
                <c:pt idx="301">
                  <c:v>-2.0409663700324074</c:v>
                </c:pt>
                <c:pt idx="302">
                  <c:v>-2.481645125991804</c:v>
                </c:pt>
                <c:pt idx="303">
                  <c:v>-2.921331014103913</c:v>
                </c:pt>
                <c:pt idx="304">
                  <c:v>-3.3600265541643637</c:v>
                </c:pt>
                <c:pt idx="305">
                  <c:v>-3.8089005752339347</c:v>
                </c:pt>
                <c:pt idx="306">
                  <c:v>-4.256738529897234</c:v>
                </c:pt>
                <c:pt idx="307">
                  <c:v>-4.7035432827522925</c:v>
                </c:pt>
                <c:pt idx="308">
                  <c:v>-5.1493177452473731</c:v>
                </c:pt>
                <c:pt idx="309">
                  <c:v>-5.6034259094957406</c:v>
                </c:pt>
                <c:pt idx="310">
                  <c:v>-6.0564661822646997</c:v>
                </c:pt>
                <c:pt idx="311">
                  <c:v>-6.5084418057820415</c:v>
                </c:pt>
                <c:pt idx="312">
                  <c:v>-6.9593560676476045</c:v>
                </c:pt>
                <c:pt idx="313">
                  <c:v>-7.4201712135767082</c:v>
                </c:pt>
                <c:pt idx="314">
                  <c:v>-7.8798797169824866</c:v>
                </c:pt>
                <c:pt idx="315">
                  <c:v>-8.3384852514390104</c:v>
                </c:pt>
                <c:pt idx="316">
                  <c:v>-8.7959915347801143</c:v>
                </c:pt>
                <c:pt idx="317">
                  <c:v>-9.2632559304980759</c:v>
                </c:pt>
                <c:pt idx="318">
                  <c:v>-9.7293761297070205</c:v>
                </c:pt>
                <c:pt idx="319">
                  <c:v>-10.19435625755824</c:v>
                </c:pt>
                <c:pt idx="320">
                  <c:v>-10.658200482000098</c:v>
                </c:pt>
                <c:pt idx="321">
                  <c:v>-11.131660337674987</c:v>
                </c:pt>
                <c:pt idx="322">
                  <c:v>-11.603939803797573</c:v>
                </c:pt>
                <c:pt idx="323">
                  <c:v>-12.075043476130759</c:v>
                </c:pt>
                <c:pt idx="324">
                  <c:v>-12.544975991436331</c:v>
                </c:pt>
                <c:pt idx="325">
                  <c:v>-13.024382279736614</c:v>
                </c:pt>
                <c:pt idx="326">
                  <c:v>-13.50257350699718</c:v>
                </c:pt>
                <c:pt idx="327">
                  <c:v>-13.979554757400166</c:v>
                </c:pt>
                <c:pt idx="328">
                  <c:v>-14.455331154012413</c:v>
                </c:pt>
                <c:pt idx="329">
                  <c:v>-14.941250592602586</c:v>
                </c:pt>
                <c:pt idx="330">
                  <c:v>-15.425917808973452</c:v>
                </c:pt>
                <c:pt idx="331">
                  <c:v>-15.909338420490371</c:v>
                </c:pt>
                <c:pt idx="332">
                  <c:v>-16.391518081239582</c:v>
                </c:pt>
                <c:pt idx="333">
                  <c:v>-16.882886686476041</c:v>
                </c:pt>
                <c:pt idx="334">
                  <c:v>-17.372971935751025</c:v>
                </c:pt>
                <c:pt idx="335">
                  <c:v>-17.8617799690075</c:v>
                </c:pt>
                <c:pt idx="336">
                  <c:v>-18.349316960213741</c:v>
                </c:pt>
                <c:pt idx="337">
                  <c:v>-18.847491723590139</c:v>
                </c:pt>
                <c:pt idx="338">
                  <c:v>-19.34434559831783</c:v>
                </c:pt>
                <c:pt idx="339">
                  <c:v>-19.839885325581264</c:v>
                </c:pt>
                <c:pt idx="340">
                  <c:v>-20.334117678064899</c:v>
                </c:pt>
                <c:pt idx="341">
                  <c:v>-20.838826212008996</c:v>
                </c:pt>
                <c:pt idx="342">
                  <c:v>-21.342178535391923</c:v>
                </c:pt>
                <c:pt idx="343">
                  <c:v>-21.84418201232566</c:v>
                </c:pt>
                <c:pt idx="344">
                  <c:v>-22.344844035605803</c:v>
                </c:pt>
                <c:pt idx="345">
                  <c:v>-22.855045990821424</c:v>
                </c:pt>
                <c:pt idx="346">
                  <c:v>-23.363863040214596</c:v>
                </c:pt>
                <c:pt idx="347">
                  <c:v>-23.871303154819202</c:v>
                </c:pt>
                <c:pt idx="348">
                  <c:v>-24.377374331143784</c:v>
                </c:pt>
                <c:pt idx="349">
                  <c:v>-24.894377662549374</c:v>
                </c:pt>
                <c:pt idx="350">
                  <c:v>-25.409961527383643</c:v>
                </c:pt>
                <c:pt idx="351">
                  <c:v>-25.924134596173815</c:v>
                </c:pt>
                <c:pt idx="352">
                  <c:v>-26.436905561837165</c:v>
                </c:pt>
                <c:pt idx="353">
                  <c:v>-26.960441883813957</c:v>
                </c:pt>
                <c:pt idx="354">
                  <c:v>-27.482527047866199</c:v>
                </c:pt>
                <c:pt idx="355">
                  <c:v>-28.003170447307269</c:v>
                </c:pt>
                <c:pt idx="356">
                  <c:v>-28.522381494574972</c:v>
                </c:pt>
                <c:pt idx="357">
                  <c:v>-29.051442826469327</c:v>
                </c:pt>
                <c:pt idx="358">
                  <c:v>-29.579028592810033</c:v>
                </c:pt>
                <c:pt idx="359">
                  <c:v>-30.105148889117658</c:v>
                </c:pt>
                <c:pt idx="360">
                  <c:v>-30.629813826578044</c:v>
                </c:pt>
                <c:pt idx="361">
                  <c:v>-31.165668257697774</c:v>
                </c:pt>
                <c:pt idx="362">
                  <c:v>-31.700017605766789</c:v>
                </c:pt>
                <c:pt idx="363">
                  <c:v>-32.23287277696059</c:v>
                </c:pt>
                <c:pt idx="364">
                  <c:v>-32.76424468980079</c:v>
                </c:pt>
                <c:pt idx="365">
                  <c:v>-33.305903181368848</c:v>
                </c:pt>
                <c:pt idx="366">
                  <c:v>-33.846034866228791</c:v>
                </c:pt>
                <c:pt idx="367">
                  <c:v>-34.384651440152311</c:v>
                </c:pt>
                <c:pt idx="368">
                  <c:v>-34.92176460789122</c:v>
                </c:pt>
                <c:pt idx="369">
                  <c:v>-35.470466932550409</c:v>
                </c:pt>
                <c:pt idx="370">
                  <c:v>-36.017616309246677</c:v>
                </c:pt>
                <c:pt idx="371">
                  <c:v>-36.563225345667405</c:v>
                </c:pt>
                <c:pt idx="372">
                  <c:v>-37.107306655306218</c:v>
                </c:pt>
                <c:pt idx="373">
                  <c:v>-37.662088414394105</c:v>
                </c:pt>
                <c:pt idx="374">
                  <c:v>-38.215299470096653</c:v>
                </c:pt>
                <c:pt idx="375">
                  <c:v>-38.766953321701436</c:v>
                </c:pt>
                <c:pt idx="376">
                  <c:v>-39.317063471267204</c:v>
                </c:pt>
                <c:pt idx="377">
                  <c:v>-39.879143050210587</c:v>
                </c:pt>
                <c:pt idx="378">
                  <c:v>-40.439630612244486</c:v>
                </c:pt>
                <c:pt idx="379">
                  <c:v>-40.998540686725335</c:v>
                </c:pt>
                <c:pt idx="380">
                  <c:v>-41.555887803041884</c:v>
                </c:pt>
                <c:pt idx="381">
                  <c:v>-42.123629803674987</c:v>
                </c:pt>
                <c:pt idx="382">
                  <c:v>-42.689771502477299</c:v>
                </c:pt>
                <c:pt idx="383">
                  <c:v>-43.25432838345759</c:v>
                </c:pt>
                <c:pt idx="384">
                  <c:v>-43.817315928302747</c:v>
                </c:pt>
                <c:pt idx="385">
                  <c:v>-44.392644110512492</c:v>
                </c:pt>
                <c:pt idx="386">
                  <c:v>-44.966357117222572</c:v>
                </c:pt>
                <c:pt idx="387">
                  <c:v>-45.538471599621346</c:v>
                </c:pt>
                <c:pt idx="388">
                  <c:v>-46.109004204691843</c:v>
                </c:pt>
                <c:pt idx="389">
                  <c:v>-46.691025115109795</c:v>
                </c:pt>
                <c:pt idx="390">
                  <c:v>-47.271425854249628</c:v>
                </c:pt>
                <c:pt idx="391">
                  <c:v>-47.850224227848827</c:v>
                </c:pt>
                <c:pt idx="392">
                  <c:v>-48.427438036210106</c:v>
                </c:pt>
                <c:pt idx="393">
                  <c:v>-49.01599546612033</c:v>
                </c:pt>
                <c:pt idx="394">
                  <c:v>-49.602933975196066</c:v>
                </c:pt>
                <c:pt idx="395">
                  <c:v>-50.188272572381152</c:v>
                </c:pt>
                <c:pt idx="396">
                  <c:v>-50.772030260752189</c:v>
                </c:pt>
                <c:pt idx="397">
                  <c:v>-51.368341009848621</c:v>
                </c:pt>
                <c:pt idx="398">
                  <c:v>-51.96303349730718</c:v>
                </c:pt>
                <c:pt idx="399">
                  <c:v>-52.556128126271801</c:v>
                </c:pt>
                <c:pt idx="400">
                  <c:v>-53.147645294502126</c:v>
                </c:pt>
                <c:pt idx="401">
                  <c:v>-53.750904966352607</c:v>
                </c:pt>
                <c:pt idx="402">
                  <c:v>-54.352558280630774</c:v>
                </c:pt>
                <c:pt idx="403">
                  <c:v>-54.952627033317015</c:v>
                </c:pt>
                <c:pt idx="404">
                  <c:v>-55.551133016674925</c:v>
                </c:pt>
                <c:pt idx="405">
                  <c:v>-56.161916858342238</c:v>
                </c:pt>
                <c:pt idx="406">
                  <c:v>-56.771110793138291</c:v>
                </c:pt>
                <c:pt idx="407">
                  <c:v>-57.378738156732993</c:v>
                </c:pt>
                <c:pt idx="408">
                  <c:v>-57.984822284104609</c:v>
                </c:pt>
                <c:pt idx="409">
                  <c:v>-58.603716040800322</c:v>
                </c:pt>
                <c:pt idx="410">
                  <c:v>-59.22104193638404</c:v>
                </c:pt>
                <c:pt idx="411">
                  <c:v>-59.836825011434797</c:v>
                </c:pt>
                <c:pt idx="412">
                  <c:v>-60.451090310492617</c:v>
                </c:pt>
                <c:pt idx="413">
                  <c:v>-61.078050856123497</c:v>
                </c:pt>
                <c:pt idx="414">
                  <c:v>-61.703475503630017</c:v>
                </c:pt>
                <c:pt idx="415">
                  <c:v>-62.327391101771013</c:v>
                </c:pt>
                <c:pt idx="416">
                  <c:v>-62.949824509817205</c:v>
                </c:pt>
                <c:pt idx="417">
                  <c:v>-63.585494233566493</c:v>
                </c:pt>
                <c:pt idx="418">
                  <c:v>-64.219667719864219</c:v>
                </c:pt>
                <c:pt idx="419">
                  <c:v>-64.852373827675734</c:v>
                </c:pt>
                <c:pt idx="420">
                  <c:v>-65.483641435273029</c:v>
                </c:pt>
                <c:pt idx="421">
                  <c:v>-66.127424237600536</c:v>
                </c:pt>
                <c:pt idx="422">
                  <c:v>-66.769765238875294</c:v>
                </c:pt>
                <c:pt idx="423">
                  <c:v>-67.410695353878054</c:v>
                </c:pt>
                <c:pt idx="424">
                  <c:v>-68.050245527885465</c:v>
                </c:pt>
                <c:pt idx="425">
                  <c:v>-68.704133768010934</c:v>
                </c:pt>
                <c:pt idx="426">
                  <c:v>-69.35663920327309</c:v>
                </c:pt>
                <c:pt idx="427">
                  <c:v>-70.007795236104727</c:v>
                </c:pt>
                <c:pt idx="428">
                  <c:v>-70.657635313835925</c:v>
                </c:pt>
                <c:pt idx="429">
                  <c:v>-71.3211304110946</c:v>
                </c:pt>
                <c:pt idx="430">
                  <c:v>-71.983319154085308</c:v>
                </c:pt>
                <c:pt idx="431">
                  <c:v>-72.644237522518921</c:v>
                </c:pt>
                <c:pt idx="432">
                  <c:v>-73.303921558474997</c:v>
                </c:pt>
                <c:pt idx="433">
                  <c:v>-73.977232962163583</c:v>
                </c:pt>
                <c:pt idx="434">
                  <c:v>-74.649330207666168</c:v>
                </c:pt>
                <c:pt idx="435">
                  <c:v>-75.320252053583545</c:v>
                </c:pt>
                <c:pt idx="436">
                  <c:v>-75.990037341769465</c:v>
                </c:pt>
                <c:pt idx="437">
                  <c:v>-76.674676901496753</c:v>
                </c:pt>
                <c:pt idx="438">
                  <c:v>-77.358207678239864</c:v>
                </c:pt>
                <c:pt idx="439">
                  <c:v>-78.040671659328154</c:v>
                </c:pt>
                <c:pt idx="440">
                  <c:v>-78.722110940577636</c:v>
                </c:pt>
                <c:pt idx="441">
                  <c:v>-79.418423502581902</c:v>
                </c:pt>
                <c:pt idx="442">
                  <c:v>-80.113752576883428</c:v>
                </c:pt>
                <c:pt idx="443">
                  <c:v>-80.808143654018636</c:v>
                </c:pt>
                <c:pt idx="444">
                  <c:v>-81.501642362194275</c:v>
                </c:pt>
                <c:pt idx="445">
                  <c:v>-82.210068450525341</c:v>
                </c:pt>
                <c:pt idx="446">
                  <c:v>-82.917658048654403</c:v>
                </c:pt>
                <c:pt idx="447">
                  <c:v>-83.624460452476853</c:v>
                </c:pt>
                <c:pt idx="448">
                  <c:v>-84.330525128502359</c:v>
                </c:pt>
                <c:pt idx="449">
                  <c:v>-85.052817881165424</c:v>
                </c:pt>
                <c:pt idx="450">
                  <c:v>-85.774442631271086</c:v>
                </c:pt>
                <c:pt idx="451">
                  <c:v>-86.495453079339427</c:v>
                </c:pt>
                <c:pt idx="452">
                  <c:v>-87.215903134049995</c:v>
                </c:pt>
                <c:pt idx="453">
                  <c:v>-87.952108003483715</c:v>
                </c:pt>
                <c:pt idx="454">
                  <c:v>-88.687841575026653</c:v>
                </c:pt>
                <c:pt idx="455">
                  <c:v>-89.423162200436821</c:v>
                </c:pt>
                <c:pt idx="456">
                  <c:v>-90.158128478900835</c:v>
                </c:pt>
                <c:pt idx="457">
                  <c:v>-90.910231059704472</c:v>
                </c:pt>
                <c:pt idx="458">
                  <c:v>-91.662087372820054</c:v>
                </c:pt>
                <c:pt idx="459">
                  <c:v>-92.413761122187395</c:v>
                </c:pt>
                <c:pt idx="460">
                  <c:v>-93.165316300597681</c:v>
                </c:pt>
                <c:pt idx="461">
                  <c:v>-93.93423794909728</c:v>
                </c:pt>
                <c:pt idx="462">
                  <c:v>-94.7031719463738</c:v>
                </c:pt>
                <c:pt idx="463">
                  <c:v>-95.472187797852371</c:v>
                </c:pt>
                <c:pt idx="464">
                  <c:v>-96.241355336660206</c:v>
                </c:pt>
                <c:pt idx="465">
                  <c:v>-97.02878051894794</c:v>
                </c:pt>
                <c:pt idx="466">
                  <c:v>-97.816513642165091</c:v>
                </c:pt>
                <c:pt idx="467">
                  <c:v>-98.604630636503657</c:v>
                </c:pt>
                <c:pt idx="468">
                  <c:v>-99.393207791930138</c:v>
                </c:pt>
                <c:pt idx="469">
                  <c:v>-100.20039996290569</c:v>
                </c:pt>
                <c:pt idx="470">
                  <c:v>-101.00823622999286</c:v>
                </c:pt>
                <c:pt idx="471">
                  <c:v>-101.81679939364574</c:v>
                </c:pt>
                <c:pt idx="472">
                  <c:v>-102.62617263021326</c:v>
                </c:pt>
                <c:pt idx="473">
                  <c:v>-103.45580075622928</c:v>
                </c:pt>
                <c:pt idx="474">
                  <c:v>-104.28645575306615</c:v>
                </c:pt>
                <c:pt idx="475">
                  <c:v>-105.11822806387477</c:v>
                </c:pt>
                <c:pt idx="476">
                  <c:v>-105.95120849766982</c:v>
                </c:pt>
                <c:pt idx="477">
                  <c:v>-106.80496287229255</c:v>
                </c:pt>
                <c:pt idx="478">
                  <c:v>-107.66017588643331</c:v>
                </c:pt>
                <c:pt idx="479">
                  <c:v>-108.5169459192818</c:v>
                </c:pt>
                <c:pt idx="480">
                  <c:v>-109.3753716587737</c:v>
                </c:pt>
                <c:pt idx="481">
                  <c:v>-110.25517855358095</c:v>
                </c:pt>
                <c:pt idx="482">
                  <c:v>-111.13692716977238</c:v>
                </c:pt>
                <c:pt idx="483">
                  <c:v>-112.02072388300195</c:v>
                </c:pt>
                <c:pt idx="484">
                  <c:v>-112.90667524661472</c:v>
                </c:pt>
                <c:pt idx="485">
                  <c:v>-113.81532693999185</c:v>
                </c:pt>
                <c:pt idx="486">
                  <c:v>-114.7264593718553</c:v>
                </c:pt>
                <c:pt idx="487">
                  <c:v>-115.6401868319889</c:v>
                </c:pt>
                <c:pt idx="488">
                  <c:v>-116.5566235450035</c:v>
                </c:pt>
                <c:pt idx="489">
                  <c:v>-117.49782100566557</c:v>
                </c:pt>
                <c:pt idx="490">
                  <c:v>-118.44210011026291</c:v>
                </c:pt>
                <c:pt idx="491">
                  <c:v>-119.38958267145364</c:v>
                </c:pt>
                <c:pt idx="492">
                  <c:v>-120.34039002576583</c:v>
                </c:pt>
                <c:pt idx="493">
                  <c:v>-121.31689158271382</c:v>
                </c:pt>
                <c:pt idx="494">
                  <c:v>-122.29712946741711</c:v>
                </c:pt>
                <c:pt idx="495">
                  <c:v>-123.28123129029842</c:v>
                </c:pt>
                <c:pt idx="496">
                  <c:v>-124.26932353214426</c:v>
                </c:pt>
                <c:pt idx="497">
                  <c:v>-125.28479116591319</c:v>
                </c:pt>
                <c:pt idx="498">
                  <c:v>-126.30470170415686</c:v>
                </c:pt>
                <c:pt idx="499">
                  <c:v>-127.32918579427337</c:v>
                </c:pt>
                <c:pt idx="500">
                  <c:v>-128.3583719585364</c:v>
                </c:pt>
                <c:pt idx="501">
                  <c:v>-129.41673651736193</c:v>
                </c:pt>
                <c:pt idx="502">
                  <c:v>-130.48029114024655</c:v>
                </c:pt>
                <c:pt idx="503">
                  <c:v>-131.549164932927</c:v>
                </c:pt>
                <c:pt idx="504">
                  <c:v>-132.62348341427196</c:v>
                </c:pt>
                <c:pt idx="505">
                  <c:v>-133.72822087589822</c:v>
                </c:pt>
                <c:pt idx="506">
                  <c:v>-134.83890848283971</c:v>
                </c:pt>
                <c:pt idx="507">
                  <c:v>-135.95566650171367</c:v>
                </c:pt>
                <c:pt idx="508">
                  <c:v>-137.0786095552881</c:v>
                </c:pt>
                <c:pt idx="509">
                  <c:v>-138.23394358138637</c:v>
                </c:pt>
                <c:pt idx="510">
                  <c:v>-139.39597350174751</c:v>
                </c:pt>
                <c:pt idx="511">
                  <c:v>-140.56480046475951</c:v>
                </c:pt>
                <c:pt idx="512">
                  <c:v>-141.74051718003301</c:v>
                </c:pt>
                <c:pt idx="513">
                  <c:v>-142.95133500575781</c:v>
                </c:pt>
                <c:pt idx="514">
                  <c:v>-144.16954003288402</c:v>
                </c:pt>
                <c:pt idx="515">
                  <c:v>-145.39520012603845</c:v>
                </c:pt>
                <c:pt idx="516">
                  <c:v>-146.62837105488478</c:v>
                </c:pt>
                <c:pt idx="517">
                  <c:v>-147.89792262837034</c:v>
                </c:pt>
                <c:pt idx="518">
                  <c:v>-149.1754131419774</c:v>
                </c:pt>
                <c:pt idx="519">
                  <c:v>-150.46085813846662</c:v>
                </c:pt>
                <c:pt idx="520">
                  <c:v>-151.75425661663877</c:v>
                </c:pt>
                <c:pt idx="521">
                  <c:v>-153.08587922346567</c:v>
                </c:pt>
                <c:pt idx="522">
                  <c:v>-154.42577005359266</c:v>
                </c:pt>
                <c:pt idx="523">
                  <c:v>-155.77386902382682</c:v>
                </c:pt>
                <c:pt idx="524">
                  <c:v>-157.13009449570546</c:v>
                </c:pt>
                <c:pt idx="525">
                  <c:v>-158.52612849411975</c:v>
                </c:pt>
                <c:pt idx="526">
                  <c:v>-159.93042569408794</c:v>
                </c:pt>
                <c:pt idx="527">
                  <c:v>-161.34282386465748</c:v>
                </c:pt>
                <c:pt idx="528">
                  <c:v>-162.76313425624051</c:v>
                </c:pt>
                <c:pt idx="529">
                  <c:v>-164.22442225052123</c:v>
                </c:pt>
                <c:pt idx="530">
                  <c:v>-165.69350770908778</c:v>
                </c:pt>
                <c:pt idx="531">
                  <c:v>-167.17009953904761</c:v>
                </c:pt>
                <c:pt idx="532">
                  <c:v>-168.65387629136694</c:v>
                </c:pt>
                <c:pt idx="533">
                  <c:v>-170.1800007958152</c:v>
                </c:pt>
                <c:pt idx="534">
                  <c:v>-171.71287717256592</c:v>
                </c:pt>
                <c:pt idx="535">
                  <c:v>-173.25206308700967</c:v>
                </c:pt>
                <c:pt idx="536">
                  <c:v>-174.79708460300787</c:v>
                </c:pt>
                <c:pt idx="537">
                  <c:v>-176.38269390745046</c:v>
                </c:pt>
                <c:pt idx="538">
                  <c:v>-177.97330769067037</c:v>
                </c:pt>
                <c:pt idx="539">
                  <c:v>-179.56832430615219</c:v>
                </c:pt>
                <c:pt idx="540">
                  <c:v>-181.16711377164648</c:v>
                </c:pt>
                <c:pt idx="541">
                  <c:v>-182.80703901487999</c:v>
                </c:pt>
                <c:pt idx="542">
                  <c:v>-184.44950112715395</c:v>
                </c:pt>
                <c:pt idx="543">
                  <c:v>-186.09374792550466</c:v>
                </c:pt>
                <c:pt idx="544">
                  <c:v>-187.73900777280159</c:v>
                </c:pt>
                <c:pt idx="545">
                  <c:v>-189.42260564402062</c:v>
                </c:pt>
                <c:pt idx="546">
                  <c:v>-191.10558282650771</c:v>
                </c:pt>
                <c:pt idx="547">
                  <c:v>-12.787073371907468</c:v>
                </c:pt>
                <c:pt idx="548">
                  <c:v>-14.466207344736432</c:v>
                </c:pt>
                <c:pt idx="549">
                  <c:v>-16.180818263213922</c:v>
                </c:pt>
                <c:pt idx="550">
                  <c:v>-17.891123505982847</c:v>
                </c:pt>
                <c:pt idx="551">
                  <c:v>-19.596205319852828</c:v>
                </c:pt>
                <c:pt idx="552">
                  <c:v>-21.295160513914851</c:v>
                </c:pt>
                <c:pt idx="553">
                  <c:v>-23.026842810976717</c:v>
                </c:pt>
                <c:pt idx="554">
                  <c:v>-24.750258451119322</c:v>
                </c:pt>
                <c:pt idx="555">
                  <c:v>-26.464515783392642</c:v>
                </c:pt>
                <c:pt idx="556">
                  <c:v>-28.168757961073112</c:v>
                </c:pt>
                <c:pt idx="557">
                  <c:v>-31.622575300539239</c:v>
                </c:pt>
                <c:pt idx="558">
                  <c:v>-35.024599778129755</c:v>
                </c:pt>
                <c:pt idx="559">
                  <c:v>-38.445160682608787</c:v>
                </c:pt>
                <c:pt idx="560">
                  <c:v>-41.800592148039925</c:v>
                </c:pt>
                <c:pt idx="561">
                  <c:v>-45.163936493396392</c:v>
                </c:pt>
                <c:pt idx="562">
                  <c:v>-48.451492008230929</c:v>
                </c:pt>
                <c:pt idx="563">
                  <c:v>-51.729025651972307</c:v>
                </c:pt>
                <c:pt idx="564">
                  <c:v>-54.923805239922558</c:v>
                </c:pt>
                <c:pt idx="565">
                  <c:v>-58.112817441461488</c:v>
                </c:pt>
                <c:pt idx="566">
                  <c:v>-61.214953412872006</c:v>
                </c:pt>
                <c:pt idx="567">
                  <c:v>-64.30463467531689</c:v>
                </c:pt>
                <c:pt idx="568">
                  <c:v>-67.306621382761449</c:v>
                </c:pt>
                <c:pt idx="569">
                  <c:v>-70.281139853082408</c:v>
                </c:pt>
                <c:pt idx="570">
                  <c:v>-73.170665036307383</c:v>
                </c:pt>
                <c:pt idx="571">
                  <c:v>-76.054965512526223</c:v>
                </c:pt>
                <c:pt idx="572">
                  <c:v>-78.857945417922622</c:v>
                </c:pt>
                <c:pt idx="573">
                  <c:v>-81.635527995059306</c:v>
                </c:pt>
                <c:pt idx="574">
                  <c:v>-84.338451154551308</c:v>
                </c:pt>
                <c:pt idx="575">
                  <c:v>-87.039925147856138</c:v>
                </c:pt>
                <c:pt idx="576">
                  <c:v>-89.673574016792998</c:v>
                </c:pt>
                <c:pt idx="577">
                  <c:v>-100.19511256067182</c:v>
                </c:pt>
                <c:pt idx="578">
                  <c:v>-109.987687710621</c:v>
                </c:pt>
                <c:pt idx="579">
                  <c:v>-130.63121279983665</c:v>
                </c:pt>
                <c:pt idx="580">
                  <c:v>-155.63312786338628</c:v>
                </c:pt>
                <c:pt idx="581">
                  <c:v>-191.59851834547823</c:v>
                </c:pt>
                <c:pt idx="582">
                  <c:v>-58.374811838539671</c:v>
                </c:pt>
                <c:pt idx="583">
                  <c:v>-97.811521482669605</c:v>
                </c:pt>
                <c:pt idx="584">
                  <c:v>-128.70097220733442</c:v>
                </c:pt>
                <c:pt idx="585">
                  <c:v>-164.73333331287392</c:v>
                </c:pt>
                <c:pt idx="586">
                  <c:v>-45.164103057923739</c:v>
                </c:pt>
                <c:pt idx="587">
                  <c:v>-102.70478128679827</c:v>
                </c:pt>
                <c:pt idx="588">
                  <c:v>-145.29624296247374</c:v>
                </c:pt>
                <c:pt idx="589">
                  <c:v>-35.409790198019437</c:v>
                </c:pt>
                <c:pt idx="590">
                  <c:v>-109.02104398033345</c:v>
                </c:pt>
                <c:pt idx="591">
                  <c:v>-169.50901849287817</c:v>
                </c:pt>
                <c:pt idx="592">
                  <c:v>-90.186580129958372</c:v>
                </c:pt>
                <c:pt idx="593">
                  <c:v>-161.87149626683043</c:v>
                </c:pt>
                <c:pt idx="594">
                  <c:v>-97.597203435437166</c:v>
                </c:pt>
                <c:pt idx="595">
                  <c:v>-196.2840978073703</c:v>
                </c:pt>
                <c:pt idx="596">
                  <c:v>-132.21018525959965</c:v>
                </c:pt>
                <c:pt idx="597">
                  <c:v>-95.764755789604635</c:v>
                </c:pt>
                <c:pt idx="598">
                  <c:v>-62.252340604824127</c:v>
                </c:pt>
                <c:pt idx="599">
                  <c:v>-35.045606407375544</c:v>
                </c:pt>
                <c:pt idx="600">
                  <c:v>-26.284602092928679</c:v>
                </c:pt>
              </c:numCache>
            </c:numRef>
          </c:yVal>
          <c:smooth val="0"/>
          <c:extLst>
            <c:ext xmlns:c16="http://schemas.microsoft.com/office/drawing/2014/chart" uri="{C3380CC4-5D6E-409C-BE32-E72D297353CC}">
              <c16:uniqueId val="{00000001-09BC-4E96-93F9-6DC345568360}"/>
            </c:ext>
          </c:extLst>
        </c:ser>
        <c:ser>
          <c:idx val="2"/>
          <c:order val="2"/>
          <c:tx>
            <c:v>PM (Deg) =</c:v>
          </c:tx>
          <c:marker>
            <c:symbol val="circle"/>
            <c:size val="5"/>
            <c:spPr>
              <a:solidFill>
                <a:schemeClr val="bg1"/>
              </a:solidFill>
              <a:ln>
                <a:solidFill>
                  <a:srgbClr val="FF0000"/>
                </a:solidFill>
              </a:ln>
            </c:spPr>
          </c:marker>
          <c:dLbls>
            <c:dLbl>
              <c:idx val="0"/>
              <c:layout>
                <c:manualLayout>
                  <c:x val="3.2895277882859918E-2"/>
                  <c:y val="-5.3973971795837287E-2"/>
                </c:manualLayout>
              </c:layout>
              <c:spPr>
                <a:noFill/>
                <a:ln>
                  <a:noFill/>
                </a:ln>
                <a:effectLst/>
              </c:spPr>
              <c:txPr>
                <a:bodyPr wrap="square" lIns="38100" tIns="19050" rIns="38100" bIns="19050" anchor="ctr" anchorCtr="0">
                  <a:noAutofit/>
                </a:bodyPr>
                <a:lstStyle/>
                <a:p>
                  <a:pPr algn="l">
                    <a:defRPr sz="1000" b="1">
                      <a:solidFill>
                        <a:srgbClr val="33CC33"/>
                      </a:solidFill>
                    </a:defRPr>
                  </a:pPr>
                  <a:endParaRPr lang="en-US"/>
                </a:p>
              </c:txPr>
              <c:dLblPos val="r"/>
              <c:showLegendKey val="0"/>
              <c:showVal val="1"/>
              <c:showCatName val="0"/>
              <c:showSerName val="1"/>
              <c:showPercent val="0"/>
              <c:showBubbleSize val="0"/>
              <c:separator> </c:separator>
              <c:extLst>
                <c:ext xmlns:c15="http://schemas.microsoft.com/office/drawing/2012/chart" uri="{CE6537A1-D6FC-4f65-9D91-7224C49458BB}">
                  <c15:layout>
                    <c:manualLayout>
                      <c:w val="0.23551374200233557"/>
                      <c:h val="7.5563560514172207E-2"/>
                    </c:manualLayout>
                  </c15:layout>
                </c:ext>
                <c:ext xmlns:c16="http://schemas.microsoft.com/office/drawing/2014/chart" uri="{C3380CC4-5D6E-409C-BE32-E72D297353CC}">
                  <c16:uniqueId val="{00000006-09BC-4E96-93F9-6DC345568360}"/>
                </c:ext>
              </c:extLst>
            </c:dLbl>
            <c:spPr>
              <a:noFill/>
              <a:ln>
                <a:noFill/>
              </a:ln>
              <a:effectLst/>
            </c:spPr>
            <c:txPr>
              <a:bodyPr wrap="square" lIns="38100" tIns="19050" rIns="38100" bIns="19050" anchor="ctr" anchorCtr="0">
                <a:spAutoFit/>
              </a:bodyPr>
              <a:lstStyle/>
              <a:p>
                <a:pPr algn="l">
                  <a:defRPr sz="1000" b="0">
                    <a:solidFill>
                      <a:srgbClr val="33CC33"/>
                    </a:solidFill>
                  </a:defRPr>
                </a:pPr>
                <a:endParaRPr lang="en-US"/>
              </a:p>
            </c:txPr>
            <c:dLblPos val="r"/>
            <c:showLegendKey val="0"/>
            <c:showVal val="1"/>
            <c:showCatName val="1"/>
            <c:showSerName val="0"/>
            <c:showPercent val="0"/>
            <c:showBubbleSize val="0"/>
            <c:separator>  (space) "deg"</c:separator>
            <c:showLeaderLines val="0"/>
            <c:extLst>
              <c:ext xmlns:c15="http://schemas.microsoft.com/office/drawing/2012/chart" uri="{CE6537A1-D6FC-4f65-9D91-7224C49458BB}">
                <c15:showLeaderLines val="1"/>
              </c:ext>
            </c:extLst>
          </c:dLbls>
          <c:xVal>
            <c:numRef>
              <c:f>'Stability Calculations'!$AL$7</c:f>
              <c:numCache>
                <c:formatCode>0</c:formatCode>
                <c:ptCount val="1"/>
                <c:pt idx="0">
                  <c:v>4786.3</c:v>
                </c:pt>
              </c:numCache>
            </c:numRef>
          </c:xVal>
          <c:yVal>
            <c:numRef>
              <c:f>'Stability Calculations'!$AL$9</c:f>
              <c:numCache>
                <c:formatCode>0.0</c:formatCode>
                <c:ptCount val="1"/>
                <c:pt idx="0">
                  <c:v>66.032256153349948</c:v>
                </c:pt>
              </c:numCache>
            </c:numRef>
          </c:yVal>
          <c:smooth val="0"/>
          <c:extLst>
            <c:ext xmlns:c16="http://schemas.microsoft.com/office/drawing/2014/chart" uri="{C3380CC4-5D6E-409C-BE32-E72D297353CC}">
              <c16:uniqueId val="{00000004-09BC-4E96-93F9-6DC345568360}"/>
            </c:ext>
          </c:extLst>
        </c:ser>
        <c:ser>
          <c:idx val="3"/>
          <c:order val="3"/>
          <c:tx>
            <c:v>Fco (Hz)=</c:v>
          </c:tx>
          <c:marker>
            <c:symbol val="none"/>
          </c:marker>
          <c:dPt>
            <c:idx val="0"/>
            <c:marker>
              <c:symbol val="circle"/>
              <c:size val="5"/>
              <c:spPr>
                <a:solidFill>
                  <a:schemeClr val="bg1"/>
                </a:solidFill>
                <a:ln>
                  <a:solidFill>
                    <a:schemeClr val="tx1"/>
                  </a:solidFill>
                </a:ln>
              </c:spPr>
            </c:marker>
            <c:bubble3D val="0"/>
            <c:extLst>
              <c:ext xmlns:c16="http://schemas.microsoft.com/office/drawing/2014/chart" uri="{C3380CC4-5D6E-409C-BE32-E72D297353CC}">
                <c16:uniqueId val="{00000008-09BC-4E96-93F9-6DC345568360}"/>
              </c:ext>
            </c:extLst>
          </c:dPt>
          <c:dLbls>
            <c:dLbl>
              <c:idx val="0"/>
              <c:layout>
                <c:manualLayout>
                  <c:x val="3.6176644338231929E-2"/>
                  <c:y val="-5.1275211005060661E-2"/>
                </c:manualLayout>
              </c:layout>
              <c:dLblPos val="r"/>
              <c:showLegendKey val="0"/>
              <c:showVal val="0"/>
              <c:showCatName val="1"/>
              <c:showSerName val="1"/>
              <c:showPercent val="0"/>
              <c:showBubbleSize val="0"/>
              <c:separator> </c:separator>
              <c:extLst>
                <c:ext xmlns:c15="http://schemas.microsoft.com/office/drawing/2012/chart" uri="{CE6537A1-D6FC-4f65-9D91-7224C49458BB}">
                  <c15:layout>
                    <c:manualLayout>
                      <c:w val="0.24163848119031853"/>
                      <c:h val="7.3223374089614143E-2"/>
                    </c:manualLayout>
                  </c15:layout>
                </c:ext>
                <c:ext xmlns:c16="http://schemas.microsoft.com/office/drawing/2014/chart" uri="{C3380CC4-5D6E-409C-BE32-E72D297353CC}">
                  <c16:uniqueId val="{00000008-09BC-4E96-93F9-6DC345568360}"/>
                </c:ext>
              </c:extLst>
            </c:dLbl>
            <c:spPr>
              <a:noFill/>
              <a:ln>
                <a:noFill/>
              </a:ln>
              <a:effectLst/>
            </c:spPr>
            <c:txPr>
              <a:bodyPr wrap="square" lIns="38100" tIns="19050" rIns="38100" bIns="19050" anchor="ctr" anchorCtr="0">
                <a:spAutoFit/>
              </a:bodyPr>
              <a:lstStyle/>
              <a:p>
                <a:pPr algn="l">
                  <a:defRPr sz="1000" b="1">
                    <a:solidFill>
                      <a:srgbClr val="33CC33"/>
                    </a:solidFill>
                  </a:defRPr>
                </a:pPr>
                <a:endParaRPr lang="en-US"/>
              </a:p>
            </c:txPr>
            <c:dLblPos val="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xVal>
            <c:numRef>
              <c:f>'Stability Calculations'!$AL$7</c:f>
              <c:numCache>
                <c:formatCode>0</c:formatCode>
                <c:ptCount val="1"/>
                <c:pt idx="0">
                  <c:v>4786.3</c:v>
                </c:pt>
              </c:numCache>
            </c:numRef>
          </c:xVal>
          <c:yVal>
            <c:numRef>
              <c:f>'Stability Calculations'!$AL$8</c:f>
              <c:numCache>
                <c:formatCode>General</c:formatCode>
                <c:ptCount val="1"/>
                <c:pt idx="0">
                  <c:v>0</c:v>
                </c:pt>
              </c:numCache>
            </c:numRef>
          </c:yVal>
          <c:smooth val="0"/>
          <c:extLst>
            <c:ext xmlns:c16="http://schemas.microsoft.com/office/drawing/2014/chart" uri="{C3380CC4-5D6E-409C-BE32-E72D297353CC}">
              <c16:uniqueId val="{00000007-09BC-4E96-93F9-6DC345568360}"/>
            </c:ext>
          </c:extLst>
        </c:ser>
        <c:dLbls>
          <c:dLblPos val="r"/>
          <c:showLegendKey val="0"/>
          <c:showVal val="1"/>
          <c:showCatName val="1"/>
          <c:showSerName val="0"/>
          <c:showPercent val="0"/>
          <c:showBubbleSize val="0"/>
        </c:dLbls>
        <c:axId val="446584704"/>
        <c:axId val="446586240"/>
      </c:scatterChart>
      <c:valAx>
        <c:axId val="446572416"/>
        <c:scaling>
          <c:logBase val="10"/>
          <c:orientation val="minMax"/>
          <c:max val="1000000"/>
          <c:min val="100"/>
        </c:scaling>
        <c:delete val="0"/>
        <c:axPos val="b"/>
        <c:majorGridlines>
          <c:spPr>
            <a:ln w="3175">
              <a:solidFill>
                <a:srgbClr val="000000"/>
              </a:solidFill>
              <a:prstDash val="solid"/>
            </a:ln>
          </c:spPr>
        </c:majorGridlines>
        <c:title>
          <c:tx>
            <c:rich>
              <a:bodyPr/>
              <a:lstStyle/>
              <a:p>
                <a:pPr>
                  <a:defRPr sz="1000" b="1"/>
                </a:pPr>
                <a:r>
                  <a:rPr lang="en-US" sz="1000" b="1"/>
                  <a:t>Frequency (Hz)</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sz="1000" b="1">
                    <a:solidFill>
                      <a:srgbClr val="FF0000"/>
                    </a:solidFill>
                  </a:defRPr>
                </a:pPr>
                <a:r>
                  <a:rPr lang="en-US" sz="1000" b="1">
                    <a:solidFill>
                      <a:srgbClr val="FF0000"/>
                    </a:solidFill>
                  </a:rPr>
                  <a:t>Gain (dB)</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000" b="1" i="0" u="none" strike="noStrike" baseline="0">
                    <a:solidFill>
                      <a:srgbClr val="0000FF"/>
                    </a:solidFill>
                    <a:latin typeface="Arial"/>
                    <a:ea typeface="Arial"/>
                    <a:cs typeface="Arial"/>
                  </a:defRPr>
                </a:pPr>
                <a:r>
                  <a:rPr lang="en-US" sz="1000"/>
                  <a:t>Phase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Single'!$AN$110:$AN$210</c:f>
              <c:numCache>
                <c:formatCode>0.0</c:formatCode>
                <c:ptCount val="101"/>
                <c:pt idx="0">
                  <c:v>12</c:v>
                </c:pt>
                <c:pt idx="1">
                  <c:v>12</c:v>
                </c:pt>
                <c:pt idx="2">
                  <c:v>12.807489737564312</c:v>
                </c:pt>
                <c:pt idx="3">
                  <c:v>19.211234606346469</c:v>
                </c:pt>
                <c:pt idx="4">
                  <c:v>25.614979475128624</c:v>
                </c:pt>
                <c:pt idx="5">
                  <c:v>32.018724343910783</c:v>
                </c:pt>
                <c:pt idx="6">
                  <c:v>38.422469212692938</c:v>
                </c:pt>
                <c:pt idx="7">
                  <c:v>44.826214081475094</c:v>
                </c:pt>
                <c:pt idx="8">
                  <c:v>51.229958950257249</c:v>
                </c:pt>
                <c:pt idx="9">
                  <c:v>57.633703819039404</c:v>
                </c:pt>
                <c:pt idx="10">
                  <c:v>64.037448687821566</c:v>
                </c:pt>
                <c:pt idx="11">
                  <c:v>70.441193556603707</c:v>
                </c:pt>
                <c:pt idx="12">
                  <c:v>76.844938425385877</c:v>
                </c:pt>
                <c:pt idx="13">
                  <c:v>83.248683294168032</c:v>
                </c:pt>
                <c:pt idx="14">
                  <c:v>89.652428162950187</c:v>
                </c:pt>
                <c:pt idx="15">
                  <c:v>96.056173031732342</c:v>
                </c:pt>
                <c:pt idx="16">
                  <c:v>102.4599179005145</c:v>
                </c:pt>
                <c:pt idx="17">
                  <c:v>108.86366276929665</c:v>
                </c:pt>
                <c:pt idx="18">
                  <c:v>115.26740763807881</c:v>
                </c:pt>
                <c:pt idx="19">
                  <c:v>121.67115250686096</c:v>
                </c:pt>
                <c:pt idx="20">
                  <c:v>128.07489737564313</c:v>
                </c:pt>
                <c:pt idx="21">
                  <c:v>134.47864224442529</c:v>
                </c:pt>
                <c:pt idx="22">
                  <c:v>140.88238711320741</c:v>
                </c:pt>
                <c:pt idx="23">
                  <c:v>147.2861319819896</c:v>
                </c:pt>
                <c:pt idx="24">
                  <c:v>153.68987685077175</c:v>
                </c:pt>
                <c:pt idx="25">
                  <c:v>160.09362171955388</c:v>
                </c:pt>
                <c:pt idx="26">
                  <c:v>166.49736658833606</c:v>
                </c:pt>
                <c:pt idx="27">
                  <c:v>172.90111145711822</c:v>
                </c:pt>
                <c:pt idx="28">
                  <c:v>179.30485632590037</c:v>
                </c:pt>
                <c:pt idx="29">
                  <c:v>185.7086011946825</c:v>
                </c:pt>
                <c:pt idx="30">
                  <c:v>192.11234606346468</c:v>
                </c:pt>
                <c:pt idx="31">
                  <c:v>198.51609093224681</c:v>
                </c:pt>
                <c:pt idx="32">
                  <c:v>204.919835801029</c:v>
                </c:pt>
                <c:pt idx="33">
                  <c:v>211.32358066981118</c:v>
                </c:pt>
                <c:pt idx="34">
                  <c:v>217.72826212682159</c:v>
                </c:pt>
                <c:pt idx="35">
                  <c:v>204.61592320528865</c:v>
                </c:pt>
                <c:pt idx="36">
                  <c:v>199.13873841867425</c:v>
                </c:pt>
                <c:pt idx="37">
                  <c:v>193.94608776470636</c:v>
                </c:pt>
                <c:pt idx="38">
                  <c:v>189.01636057824894</c:v>
                </c:pt>
                <c:pt idx="39">
                  <c:v>184.33008062681185</c:v>
                </c:pt>
                <c:pt idx="40">
                  <c:v>179.86964894459393</c:v>
                </c:pt>
                <c:pt idx="41">
                  <c:v>175.6191229730521</c:v>
                </c:pt>
                <c:pt idx="42">
                  <c:v>171.56402616544887</c:v>
                </c:pt>
                <c:pt idx="43">
                  <c:v>167.69118326319872</c:v>
                </c:pt>
                <c:pt idx="44">
                  <c:v>163.98857729443057</c:v>
                </c:pt>
                <c:pt idx="45">
                  <c:v>160.44522502469391</c:v>
                </c:pt>
                <c:pt idx="46">
                  <c:v>157.05106814049589</c:v>
                </c:pt>
                <c:pt idx="47">
                  <c:v>153.79687789491044</c:v>
                </c:pt>
                <c:pt idx="48">
                  <c:v>150.67417131149895</c:v>
                </c:pt>
                <c:pt idx="49">
                  <c:v>147.67513734437239</c:v>
                </c:pt>
                <c:pt idx="50">
                  <c:v>144.79257164111004</c:v>
                </c:pt>
                <c:pt idx="51">
                  <c:v>142.01981876146894</c:v>
                </c:pt>
                <c:pt idx="52">
                  <c:v>139.35072087634342</c:v>
                </c:pt>
                <c:pt idx="53">
                  <c:v>136.77957211463541</c:v>
                </c:pt>
                <c:pt idx="54">
                  <c:v>134.30107784567684</c:v>
                </c:pt>
                <c:pt idx="55">
                  <c:v>131.91031828570851</c:v>
                </c:pt>
                <c:pt idx="56">
                  <c:v>129.60271590200171</c:v>
                </c:pt>
                <c:pt idx="57">
                  <c:v>127.3740061601965</c:v>
                </c:pt>
                <c:pt idx="58">
                  <c:v>125.22021122153177</c:v>
                </c:pt>
                <c:pt idx="59">
                  <c:v>123.13761624865195</c:v>
                </c:pt>
                <c:pt idx="60">
                  <c:v>121.1227480230752</c:v>
                </c:pt>
                <c:pt idx="61">
                  <c:v>119.17235561541321</c:v>
                </c:pt>
                <c:pt idx="62">
                  <c:v>117.28339288205198</c:v>
                </c:pt>
                <c:pt idx="63">
                  <c:v>115.45300259007067</c:v>
                </c:pt>
                <c:pt idx="64">
                  <c:v>113.67850199638561</c:v>
                </c:pt>
                <c:pt idx="65">
                  <c:v>111.95736972804107</c:v>
                </c:pt>
                <c:pt idx="66">
                  <c:v>110.28723382871169</c:v>
                </c:pt>
                <c:pt idx="67">
                  <c:v>108.66586085223986</c:v>
                </c:pt>
                <c:pt idx="68">
                  <c:v>107.09114589775035</c:v>
                </c:pt>
                <c:pt idx="69">
                  <c:v>105.56110349285022</c:v>
                </c:pt>
                <c:pt idx="70">
                  <c:v>104.07385924188468</c:v>
                </c:pt>
                <c:pt idx="71">
                  <c:v>102.62764216538004</c:v>
                </c:pt>
                <c:pt idx="72">
                  <c:v>101.22077766484566</c:v>
                </c:pt>
                <c:pt idx="73">
                  <c:v>99.851681054175614</c:v>
                </c:pt>
                <c:pt idx="74">
                  <c:v>98.518851605117007</c:v>
                </c:pt>
                <c:pt idx="75">
                  <c:v>97.220867059766135</c:v>
                </c:pt>
                <c:pt idx="76">
                  <c:v>95.956378567907976</c:v>
                </c:pt>
                <c:pt idx="77">
                  <c:v>94.724106011315186</c:v>
                </c:pt>
                <c:pt idx="78">
                  <c:v>93.522833680933957</c:v>
                </c:pt>
                <c:pt idx="79">
                  <c:v>92.351406276270836</c:v>
                </c:pt>
                <c:pt idx="80">
                  <c:v>91.208725199306258</c:v>
                </c:pt>
                <c:pt idx="81">
                  <c:v>90.093745117944437</c:v>
                </c:pt>
                <c:pt idx="82">
                  <c:v>89.005470776403826</c:v>
                </c:pt>
                <c:pt idx="83">
                  <c:v>87.942954032090782</c:v>
                </c:pt>
                <c:pt idx="84">
                  <c:v>86.905291100414274</c:v>
                </c:pt>
                <c:pt idx="85">
                  <c:v>85.891619990713465</c:v>
                </c:pt>
                <c:pt idx="86">
                  <c:v>84.90111811800935</c:v>
                </c:pt>
                <c:pt idx="87">
                  <c:v>83.933000076672855</c:v>
                </c:pt>
                <c:pt idx="88">
                  <c:v>82.98651556334606</c:v>
                </c:pt>
                <c:pt idx="89">
                  <c:v>82.060947437571357</c:v>
                </c:pt>
                <c:pt idx="90">
                  <c:v>81.155609909593807</c:v>
                </c:pt>
                <c:pt idx="91">
                  <c:v>80.269846845712308</c:v>
                </c:pt>
                <c:pt idx="92">
                  <c:v>79.403030182379922</c:v>
                </c:pt>
                <c:pt idx="93">
                  <c:v>78.554558440996445</c:v>
                </c:pt>
                <c:pt idx="94">
                  <c:v>77.723855336013699</c:v>
                </c:pt>
                <c:pt idx="95">
                  <c:v>76.910368469584313</c:v>
                </c:pt>
                <c:pt idx="96">
                  <c:v>76.113568106540313</c:v>
                </c:pt>
                <c:pt idx="97">
                  <c:v>75.332946023993046</c:v>
                </c:pt>
                <c:pt idx="98">
                  <c:v>74.568014430304757</c:v>
                </c:pt>
                <c:pt idx="99">
                  <c:v>73.818304948599419</c:v>
                </c:pt>
                <c:pt idx="100">
                  <c:v>73.083367660362455</c:v>
                </c:pt>
              </c:numCache>
            </c:numRef>
          </c:val>
          <c:smooth val="0"/>
          <c:extLst>
            <c:ext xmlns:c16="http://schemas.microsoft.com/office/drawing/2014/chart" uri="{C3380CC4-5D6E-409C-BE32-E72D297353CC}">
              <c16:uniqueId val="{00000000-3709-4335-91FB-31DC56900586}"/>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Single'!$AN$5:$AN$105</c:f>
              <c:numCache>
                <c:formatCode>0.0</c:formatCode>
                <c:ptCount val="101"/>
                <c:pt idx="0">
                  <c:v>12</c:v>
                </c:pt>
                <c:pt idx="1">
                  <c:v>12</c:v>
                </c:pt>
                <c:pt idx="2">
                  <c:v>12.807489737564312</c:v>
                </c:pt>
                <c:pt idx="3">
                  <c:v>19.211234606346469</c:v>
                </c:pt>
                <c:pt idx="4">
                  <c:v>25.614979475128624</c:v>
                </c:pt>
                <c:pt idx="5">
                  <c:v>32.018724343910783</c:v>
                </c:pt>
                <c:pt idx="6">
                  <c:v>38.422469212692938</c:v>
                </c:pt>
                <c:pt idx="7">
                  <c:v>44.826214081475094</c:v>
                </c:pt>
                <c:pt idx="8">
                  <c:v>51.229958950257249</c:v>
                </c:pt>
                <c:pt idx="9">
                  <c:v>57.633703819039404</c:v>
                </c:pt>
                <c:pt idx="10">
                  <c:v>64.037448687821566</c:v>
                </c:pt>
                <c:pt idx="11">
                  <c:v>70.441193556603707</c:v>
                </c:pt>
                <c:pt idx="12">
                  <c:v>76.844938425385877</c:v>
                </c:pt>
                <c:pt idx="13">
                  <c:v>83.248683294168032</c:v>
                </c:pt>
                <c:pt idx="14">
                  <c:v>89.652428162950187</c:v>
                </c:pt>
                <c:pt idx="15">
                  <c:v>96.056173031732342</c:v>
                </c:pt>
                <c:pt idx="16">
                  <c:v>102.4599179005145</c:v>
                </c:pt>
                <c:pt idx="17">
                  <c:v>108.86366276929665</c:v>
                </c:pt>
                <c:pt idx="18">
                  <c:v>115.26740763807881</c:v>
                </c:pt>
                <c:pt idx="19">
                  <c:v>121.67115250686096</c:v>
                </c:pt>
                <c:pt idx="20">
                  <c:v>128.07489737564313</c:v>
                </c:pt>
                <c:pt idx="21">
                  <c:v>134.47864224442529</c:v>
                </c:pt>
                <c:pt idx="22">
                  <c:v>140.88238711320741</c:v>
                </c:pt>
                <c:pt idx="23">
                  <c:v>147.2861319819896</c:v>
                </c:pt>
                <c:pt idx="24">
                  <c:v>153.68987685077175</c:v>
                </c:pt>
                <c:pt idx="25">
                  <c:v>160.09362171955388</c:v>
                </c:pt>
                <c:pt idx="26">
                  <c:v>166.49736658833606</c:v>
                </c:pt>
                <c:pt idx="27">
                  <c:v>172.90111145711822</c:v>
                </c:pt>
                <c:pt idx="28">
                  <c:v>179.30485632590037</c:v>
                </c:pt>
                <c:pt idx="29">
                  <c:v>185.7086011946825</c:v>
                </c:pt>
                <c:pt idx="30">
                  <c:v>192.11234606346468</c:v>
                </c:pt>
                <c:pt idx="31">
                  <c:v>198.51609093224681</c:v>
                </c:pt>
                <c:pt idx="32">
                  <c:v>204.919835801029</c:v>
                </c:pt>
                <c:pt idx="33">
                  <c:v>211.32358066981118</c:v>
                </c:pt>
                <c:pt idx="34">
                  <c:v>217.72732553859331</c:v>
                </c:pt>
                <c:pt idx="35">
                  <c:v>224.13107040737546</c:v>
                </c:pt>
                <c:pt idx="36">
                  <c:v>230.53481527615762</c:v>
                </c:pt>
                <c:pt idx="37">
                  <c:v>236.93856014493977</c:v>
                </c:pt>
                <c:pt idx="38">
                  <c:v>243.34230501372193</c:v>
                </c:pt>
                <c:pt idx="39">
                  <c:v>236.77854898713903</c:v>
                </c:pt>
                <c:pt idx="40">
                  <c:v>231.1213280892209</c:v>
                </c:pt>
                <c:pt idx="41">
                  <c:v>225.72651076813347</c:v>
                </c:pt>
                <c:pt idx="42">
                  <c:v>220.5772283663745</c:v>
                </c:pt>
                <c:pt idx="43">
                  <c:v>215.65709121063864</c:v>
                </c:pt>
                <c:pt idx="44">
                  <c:v>210.95113657780311</c:v>
                </c:pt>
                <c:pt idx="45">
                  <c:v>206.44567670812236</c:v>
                </c:pt>
                <c:pt idx="46">
                  <c:v>202.1281658392715</c:v>
                </c:pt>
                <c:pt idx="47">
                  <c:v>197.98708354082169</c:v>
                </c:pt>
                <c:pt idx="48">
                  <c:v>194.01183206449235</c:v>
                </c:pt>
                <c:pt idx="49">
                  <c:v>190.19264578430389</c:v>
                </c:pt>
                <c:pt idx="50">
                  <c:v>186.52051109736325</c:v>
                </c:pt>
                <c:pt idx="51">
                  <c:v>182.98709540221012</c:v>
                </c:pt>
                <c:pt idx="52">
                  <c:v>179.58468397676282</c:v>
                </c:pt>
                <c:pt idx="53">
                  <c:v>176.30612374942203</c:v>
                </c:pt>
                <c:pt idx="54">
                  <c:v>173.14477310081318</c:v>
                </c:pt>
                <c:pt idx="55">
                  <c:v>170.09445695482461</c:v>
                </c:pt>
                <c:pt idx="56">
                  <c:v>167.14942651995182</c:v>
                </c:pt>
                <c:pt idx="57">
                  <c:v>164.30432312868629</c:v>
                </c:pt>
                <c:pt idx="58">
                  <c:v>161.55414569639021</c:v>
                </c:pt>
                <c:pt idx="59">
                  <c:v>158.89422138391947</c:v>
                </c:pt>
                <c:pt idx="60">
                  <c:v>156.32017910194975</c:v>
                </c:pt>
                <c:pt idx="61">
                  <c:v>153.82792554097622</c:v>
                </c:pt>
                <c:pt idx="62">
                  <c:v>151.4136234504964</c:v>
                </c:pt>
                <c:pt idx="63">
                  <c:v>149.07367192494388</c:v>
                </c:pt>
                <c:pt idx="64">
                  <c:v>146.8046884833532</c:v>
                </c:pt>
                <c:pt idx="65">
                  <c:v>144.60349275519192</c:v>
                </c:pt>
                <c:pt idx="66">
                  <c:v>142.46709160688062</c:v>
                </c:pt>
                <c:pt idx="67">
                  <c:v>140.3926655627246</c:v>
                </c:pt>
                <c:pt idx="68">
                  <c:v>138.37755639071005</c:v>
                </c:pt>
                <c:pt idx="69">
                  <c:v>136.41925573822795</c:v>
                </c:pt>
                <c:pt idx="70">
                  <c:v>134.51539471556751</c:v>
                </c:pt>
                <c:pt idx="71">
                  <c:v>132.66373433622832</c:v>
                </c:pt>
                <c:pt idx="72">
                  <c:v>130.86215673293654</c:v>
                </c:pt>
                <c:pt idx="73">
                  <c:v>129.10865707691275</c:v>
                </c:pt>
                <c:pt idx="74">
                  <c:v>127.40133613556893</c:v>
                </c:pt>
                <c:pt idx="75">
                  <c:v>125.73839341055316</c:v>
                </c:pt>
                <c:pt idx="76">
                  <c:v>124.11812080402173</c:v>
                </c:pt>
                <c:pt idx="77">
                  <c:v>122.53889676629966</c:v>
                </c:pt>
                <c:pt idx="78">
                  <c:v>120.99918088277832</c:v>
                </c:pt>
                <c:pt idx="79">
                  <c:v>119.49750886206506</c:v>
                </c:pt>
                <c:pt idx="80">
                  <c:v>118.03248789110764</c:v>
                </c:pt>
                <c:pt idx="81">
                  <c:v>116.60279232632232</c:v>
                </c:pt>
                <c:pt idx="82">
                  <c:v>115.20715969270748</c:v>
                </c:pt>
                <c:pt idx="83">
                  <c:v>113.84438696556029</c:v>
                </c:pt>
                <c:pt idx="84">
                  <c:v>112.51332711178138</c:v>
                </c:pt>
                <c:pt idx="85">
                  <c:v>111.21288586986445</c:v>
                </c:pt>
                <c:pt idx="86">
                  <c:v>109.9420187495751</c:v>
                </c:pt>
                <c:pt idx="87">
                  <c:v>108.69972823402655</c:v>
                </c:pt>
                <c:pt idx="88">
                  <c:v>107.48506116840237</c:v>
                </c:pt>
                <c:pt idx="89">
                  <c:v>106.29710632095795</c:v>
                </c:pt>
                <c:pt idx="90">
                  <c:v>105.13499210318581</c:v>
                </c:pt>
                <c:pt idx="91">
                  <c:v>103.99788443715688</c:v>
                </c:pt>
                <c:pt idx="92">
                  <c:v>102.88498475907105</c:v>
                </c:pt>
                <c:pt idx="93">
                  <c:v>101.79552814897455</c:v>
                </c:pt>
                <c:pt idx="94">
                  <c:v>100.72878157743951</c:v>
                </c:pt>
                <c:pt idx="95">
                  <c:v>99.684042260759611</c:v>
                </c:pt>
                <c:pt idx="96">
                  <c:v>98.660636116906417</c:v>
                </c:pt>
                <c:pt idx="97">
                  <c:v>97.657916315117944</c:v>
                </c:pt>
                <c:pt idx="98">
                  <c:v>96.675261912561183</c:v>
                </c:pt>
                <c:pt idx="99">
                  <c:v>95.712076572030625</c:v>
                </c:pt>
                <c:pt idx="100">
                  <c:v>94.767787355118429</c:v>
                </c:pt>
              </c:numCache>
            </c:numRef>
          </c:val>
          <c:smooth val="0"/>
          <c:extLst>
            <c:ext xmlns:c16="http://schemas.microsoft.com/office/drawing/2014/chart" uri="{C3380CC4-5D6E-409C-BE32-E72D297353CC}">
              <c16:uniqueId val="{00000001-3709-4335-91FB-31DC56900586}"/>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Single'!$AN$216:$AN$316</c:f>
              <c:numCache>
                <c:formatCode>0.0</c:formatCode>
                <c:ptCount val="101"/>
                <c:pt idx="0">
                  <c:v>12</c:v>
                </c:pt>
                <c:pt idx="1">
                  <c:v>12</c:v>
                </c:pt>
                <c:pt idx="2">
                  <c:v>12.807489737564312</c:v>
                </c:pt>
                <c:pt idx="3">
                  <c:v>19.211234606346469</c:v>
                </c:pt>
                <c:pt idx="4">
                  <c:v>25.614979475128624</c:v>
                </c:pt>
                <c:pt idx="5">
                  <c:v>32.018724343910783</c:v>
                </c:pt>
                <c:pt idx="6">
                  <c:v>38.422469212692938</c:v>
                </c:pt>
                <c:pt idx="7">
                  <c:v>44.826214081475094</c:v>
                </c:pt>
                <c:pt idx="8">
                  <c:v>51.229958950257249</c:v>
                </c:pt>
                <c:pt idx="9">
                  <c:v>57.633703819039404</c:v>
                </c:pt>
                <c:pt idx="10">
                  <c:v>64.037448687821566</c:v>
                </c:pt>
                <c:pt idx="11">
                  <c:v>70.441193556603707</c:v>
                </c:pt>
                <c:pt idx="12">
                  <c:v>76.844938425385877</c:v>
                </c:pt>
                <c:pt idx="13">
                  <c:v>83.248683294168032</c:v>
                </c:pt>
                <c:pt idx="14">
                  <c:v>89.652428162950187</c:v>
                </c:pt>
                <c:pt idx="15">
                  <c:v>96.056173031732342</c:v>
                </c:pt>
                <c:pt idx="16">
                  <c:v>102.4599179005145</c:v>
                </c:pt>
                <c:pt idx="17">
                  <c:v>108.86366276929665</c:v>
                </c:pt>
                <c:pt idx="18">
                  <c:v>115.26740763807881</c:v>
                </c:pt>
                <c:pt idx="19">
                  <c:v>121.67115250686096</c:v>
                </c:pt>
                <c:pt idx="20">
                  <c:v>128.07489737564313</c:v>
                </c:pt>
                <c:pt idx="21">
                  <c:v>134.47864224442529</c:v>
                </c:pt>
                <c:pt idx="22">
                  <c:v>140.88238711320741</c:v>
                </c:pt>
                <c:pt idx="23">
                  <c:v>147.2861319819896</c:v>
                </c:pt>
                <c:pt idx="24">
                  <c:v>153.68987685077175</c:v>
                </c:pt>
                <c:pt idx="25">
                  <c:v>160.09362171955388</c:v>
                </c:pt>
                <c:pt idx="26">
                  <c:v>166.49736658833606</c:v>
                </c:pt>
                <c:pt idx="27">
                  <c:v>172.90111145711822</c:v>
                </c:pt>
                <c:pt idx="28">
                  <c:v>179.30485632590037</c:v>
                </c:pt>
                <c:pt idx="29">
                  <c:v>185.7086011946825</c:v>
                </c:pt>
                <c:pt idx="30">
                  <c:v>192.11234606346468</c:v>
                </c:pt>
                <c:pt idx="31">
                  <c:v>198.51609093224681</c:v>
                </c:pt>
                <c:pt idx="32">
                  <c:v>204.919835801029</c:v>
                </c:pt>
                <c:pt idx="33">
                  <c:v>211.32358066981118</c:v>
                </c:pt>
                <c:pt idx="34">
                  <c:v>217.72732553859331</c:v>
                </c:pt>
                <c:pt idx="35">
                  <c:v>224.13107040737546</c:v>
                </c:pt>
                <c:pt idx="36">
                  <c:v>230.53481527615762</c:v>
                </c:pt>
                <c:pt idx="37">
                  <c:v>236.93856014493977</c:v>
                </c:pt>
                <c:pt idx="38">
                  <c:v>243.34230501372193</c:v>
                </c:pt>
                <c:pt idx="39">
                  <c:v>249.74604988250411</c:v>
                </c:pt>
                <c:pt idx="40">
                  <c:v>256.14979475128627</c:v>
                </c:pt>
                <c:pt idx="41">
                  <c:v>262.55353962006836</c:v>
                </c:pt>
                <c:pt idx="42">
                  <c:v>268.95728448885058</c:v>
                </c:pt>
                <c:pt idx="43">
                  <c:v>275.3617237242525</c:v>
                </c:pt>
                <c:pt idx="44">
                  <c:v>260.31114061431367</c:v>
                </c:pt>
                <c:pt idx="45">
                  <c:v>254.81399089392681</c:v>
                </c:pt>
                <c:pt idx="46">
                  <c:v>249.54390203833373</c:v>
                </c:pt>
                <c:pt idx="47">
                  <c:v>244.48709049089001</c:v>
                </c:pt>
                <c:pt idx="48">
                  <c:v>239.6308661952944</c:v>
                </c:pt>
                <c:pt idx="49">
                  <c:v>234.96352626522028</c:v>
                </c:pt>
                <c:pt idx="50">
                  <c:v>230.47426082454723</c:v>
                </c:pt>
                <c:pt idx="51">
                  <c:v>226.1530694233924</c:v>
                </c:pt>
                <c:pt idx="52">
                  <c:v>221.99068666958183</c:v>
                </c:pt>
                <c:pt idx="53">
                  <c:v>217.9785159115778</c:v>
                </c:pt>
                <c:pt idx="54">
                  <c:v>214.10856997391863</c:v>
                </c:pt>
                <c:pt idx="55">
                  <c:v>210.37341808540933</c:v>
                </c:pt>
                <c:pt idx="56">
                  <c:v>206.76613825803295</c:v>
                </c:pt>
                <c:pt idx="57">
                  <c:v>203.28027447445919</c:v>
                </c:pt>
                <c:pt idx="58">
                  <c:v>199.90979812704464</c:v>
                </c:pt>
                <c:pt idx="59">
                  <c:v>196.64907322378639</c:v>
                </c:pt>
                <c:pt idx="60">
                  <c:v>193.4928249387867</c:v>
                </c:pt>
                <c:pt idx="61">
                  <c:v>190.43611113807953</c:v>
                </c:pt>
                <c:pt idx="62">
                  <c:v>187.47429655750835</c:v>
                </c:pt>
                <c:pt idx="63">
                  <c:v>184.60302934888404</c:v>
                </c:pt>
                <c:pt idx="64">
                  <c:v>181.81821974482909</c:v>
                </c:pt>
                <c:pt idx="65">
                  <c:v>179.1160206223328</c:v>
                </c:pt>
                <c:pt idx="66">
                  <c:v>176.49280977075986</c:v>
                </c:pt>
                <c:pt idx="67">
                  <c:v>173.94517369244411</c:v>
                </c:pt>
                <c:pt idx="68">
                  <c:v>171.46989278352248</c:v>
                </c:pt>
                <c:pt idx="69">
                  <c:v>169.06392775972935</c:v>
                </c:pt>
                <c:pt idx="70">
                  <c:v>166.72440720681493</c:v>
                </c:pt>
                <c:pt idx="71">
                  <c:v>164.44861614836444</c:v>
                </c:pt>
                <c:pt idx="72">
                  <c:v>162.23398553532041</c:v>
                </c:pt>
                <c:pt idx="73">
                  <c:v>160.07808257166076</c:v>
                </c:pt>
                <c:pt idx="74">
                  <c:v>157.97860179964286</c:v>
                </c:pt>
                <c:pt idx="75">
                  <c:v>155.93335687593503</c:v>
                </c:pt>
                <c:pt idx="76">
                  <c:v>153.94027297696712</c:v>
                </c:pt>
                <c:pt idx="77">
                  <c:v>151.99737977803773</c:v>
                </c:pt>
                <c:pt idx="78">
                  <c:v>150.10280495624093</c:v>
                </c:pt>
                <c:pt idx="79">
                  <c:v>148.25476817217401</c:v>
                </c:pt>
                <c:pt idx="80">
                  <c:v>146.45157548976539</c:v>
                </c:pt>
                <c:pt idx="81">
                  <c:v>144.69161419745618</c:v>
                </c:pt>
                <c:pt idx="82">
                  <c:v>142.97334799745943</c:v>
                </c:pt>
                <c:pt idx="83">
                  <c:v>141.29531253292942</c:v>
                </c:pt>
                <c:pt idx="84">
                  <c:v>139.65611122567429</c:v>
                </c:pt>
                <c:pt idx="85">
                  <c:v>138.05441139954266</c:v>
                </c:pt>
                <c:pt idx="86">
                  <c:v>136.4889406668706</c:v>
                </c:pt>
                <c:pt idx="87">
                  <c:v>134.95848355739383</c:v>
                </c:pt>
                <c:pt idx="88">
                  <c:v>133.46187837085617</c:v>
                </c:pt>
                <c:pt idx="89">
                  <c:v>131.99801423618436</c:v>
                </c:pt>
                <c:pt idx="90">
                  <c:v>130.56582836158509</c:v>
                </c:pt>
                <c:pt idx="91">
                  <c:v>129.16430346125685</c:v>
                </c:pt>
                <c:pt idx="92">
                  <c:v>127.79246534562428</c:v>
                </c:pt>
                <c:pt idx="93">
                  <c:v>126.44938066309791</c:v>
                </c:pt>
                <c:pt idx="94">
                  <c:v>125.13415478235984</c:v>
                </c:pt>
                <c:pt idx="95">
                  <c:v>123.84592980507681</c:v>
                </c:pt>
                <c:pt idx="96">
                  <c:v>122.58388269976486</c:v>
                </c:pt>
                <c:pt idx="97">
                  <c:v>121.34722354827579</c:v>
                </c:pt>
                <c:pt idx="98">
                  <c:v>120.13519389705401</c:v>
                </c:pt>
                <c:pt idx="99">
                  <c:v>118.94706520593307</c:v>
                </c:pt>
                <c:pt idx="100">
                  <c:v>117.78213738780539</c:v>
                </c:pt>
              </c:numCache>
            </c:numRef>
          </c:val>
          <c:smooth val="0"/>
          <c:extLst>
            <c:ext xmlns:c16="http://schemas.microsoft.com/office/drawing/2014/chart" uri="{C3380CC4-5D6E-409C-BE32-E72D297353CC}">
              <c16:uniqueId val="{00000002-3709-4335-91FB-31DC56900586}"/>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709-4335-91FB-31DC56900586}"/>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709-4335-91FB-31DC56900586}"/>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709-4335-91FB-31DC56900586}"/>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2.000001774673341E-2</c:v>
                </c:pt>
                <c:pt idx="1">
                  <c:v>2.0039761760094144E-2</c:v>
                </c:pt>
                <c:pt idx="2">
                  <c:v>2.1403962982026258E-2</c:v>
                </c:pt>
                <c:pt idx="3">
                  <c:v>3.210594447303939E-2</c:v>
                </c:pt>
                <c:pt idx="4">
                  <c:v>4.2807925964052515E-2</c:v>
                </c:pt>
                <c:pt idx="5">
                  <c:v>5.3509907455065647E-2</c:v>
                </c:pt>
                <c:pt idx="6">
                  <c:v>6.421188894607878E-2</c:v>
                </c:pt>
                <c:pt idx="7">
                  <c:v>7.4913870437091898E-2</c:v>
                </c:pt>
                <c:pt idx="8">
                  <c:v>8.561585192810503E-2</c:v>
                </c:pt>
                <c:pt idx="9">
                  <c:v>9.6317833419118148E-2</c:v>
                </c:pt>
                <c:pt idx="10">
                  <c:v>0.10701981491013129</c:v>
                </c:pt>
                <c:pt idx="11">
                  <c:v>0.11772179640114439</c:v>
                </c:pt>
                <c:pt idx="12">
                  <c:v>0.12842377789215756</c:v>
                </c:pt>
                <c:pt idx="13">
                  <c:v>0.13912575938317068</c:v>
                </c:pt>
                <c:pt idx="14">
                  <c:v>0.1498277408741838</c:v>
                </c:pt>
                <c:pt idx="15">
                  <c:v>0.16052972236519694</c:v>
                </c:pt>
                <c:pt idx="16">
                  <c:v>0.17123170385621006</c:v>
                </c:pt>
                <c:pt idx="17">
                  <c:v>0.18193368534722315</c:v>
                </c:pt>
                <c:pt idx="18">
                  <c:v>0.1926356668382363</c:v>
                </c:pt>
                <c:pt idx="19">
                  <c:v>0.20333764832924944</c:v>
                </c:pt>
                <c:pt idx="20">
                  <c:v>0.21403962982026259</c:v>
                </c:pt>
                <c:pt idx="21">
                  <c:v>0.22474161131127571</c:v>
                </c:pt>
                <c:pt idx="22">
                  <c:v>0.23544359280228877</c:v>
                </c:pt>
                <c:pt idx="23">
                  <c:v>0.24614557429330197</c:v>
                </c:pt>
                <c:pt idx="24">
                  <c:v>0.25684755578431512</c:v>
                </c:pt>
                <c:pt idx="25">
                  <c:v>0.26754953727532815</c:v>
                </c:pt>
                <c:pt idx="26">
                  <c:v>0.27825151876634135</c:v>
                </c:pt>
                <c:pt idx="27">
                  <c:v>0.28895350025735445</c:v>
                </c:pt>
                <c:pt idx="28">
                  <c:v>0.29965548174836759</c:v>
                </c:pt>
                <c:pt idx="29">
                  <c:v>0.31035746323938068</c:v>
                </c:pt>
                <c:pt idx="30">
                  <c:v>0.32105944473039388</c:v>
                </c:pt>
                <c:pt idx="31">
                  <c:v>0.33176142622140692</c:v>
                </c:pt>
                <c:pt idx="32">
                  <c:v>0.34246340771242012</c:v>
                </c:pt>
                <c:pt idx="33">
                  <c:v>0.35316538920343327</c:v>
                </c:pt>
                <c:pt idx="34">
                  <c:v>0.3638673706944463</c:v>
                </c:pt>
                <c:pt idx="35">
                  <c:v>0.37456935218545945</c:v>
                </c:pt>
                <c:pt idx="36">
                  <c:v>0.38527133367647259</c:v>
                </c:pt>
                <c:pt idx="37">
                  <c:v>0.39597331516748574</c:v>
                </c:pt>
                <c:pt idx="38">
                  <c:v>0.40667529665849889</c:v>
                </c:pt>
                <c:pt idx="39">
                  <c:v>0.39668879863766482</c:v>
                </c:pt>
                <c:pt idx="40">
                  <c:v>0.39717686232681776</c:v>
                </c:pt>
                <c:pt idx="41">
                  <c:v>0.39764474907318004</c:v>
                </c:pt>
                <c:pt idx="42">
                  <c:v>0.39809222824389034</c:v>
                </c:pt>
                <c:pt idx="43">
                  <c:v>0.39852066215775006</c:v>
                </c:pt>
                <c:pt idx="44">
                  <c:v>0.39893129452472781</c:v>
                </c:pt>
                <c:pt idx="45">
                  <c:v>0.39932526307917515</c:v>
                </c:pt>
                <c:pt idx="46">
                  <c:v>0.39970361063202203</c:v>
                </c:pt>
                <c:pt idx="47">
                  <c:v>0.40006729476807129</c:v>
                </c:pt>
                <c:pt idx="48">
                  <c:v>0.40041719637829637</c:v>
                </c:pt>
                <c:pt idx="49">
                  <c:v>0.40075412718722125</c:v>
                </c:pt>
                <c:pt idx="50">
                  <c:v>0.40107883641080699</c:v>
                </c:pt>
                <c:pt idx="51">
                  <c:v>0.401392016659808</c:v>
                </c:pt>
                <c:pt idx="52">
                  <c:v>0.40169430918650895</c:v>
                </c:pt>
                <c:pt idx="53">
                  <c:v>0.40198630855849948</c:v>
                </c:pt>
                <c:pt idx="54">
                  <c:v>0.40226856683117967</c:v>
                </c:pt>
                <c:pt idx="55">
                  <c:v>0.40254159728061634</c:v>
                </c:pt>
                <c:pt idx="56">
                  <c:v>0.40280587774986332</c:v>
                </c:pt>
                <c:pt idx="57">
                  <c:v>0.40306185365465091</c:v>
                </c:pt>
                <c:pt idx="58">
                  <c:v>0.40330994068822107</c:v>
                </c:pt>
                <c:pt idx="59">
                  <c:v>0.40355052725986607</c:v>
                </c:pt>
                <c:pt idx="60">
                  <c:v>0.40378397669726346</c:v>
                </c:pt>
                <c:pt idx="61">
                  <c:v>0.40401062923887476</c:v>
                </c:pt>
                <c:pt idx="62">
                  <c:v>0.40423080383939164</c:v>
                </c:pt>
                <c:pt idx="63">
                  <c:v>0.40444479980838066</c:v>
                </c:pt>
                <c:pt idx="64">
                  <c:v>0.40465289829983031</c:v>
                </c:pt>
                <c:pt idx="65">
                  <c:v>0.40485536366819402</c:v>
                </c:pt>
                <c:pt idx="66">
                  <c:v>0.40505244470468205</c:v>
                </c:pt>
                <c:pt idx="67">
                  <c:v>0.40524437576596145</c:v>
                </c:pt>
                <c:pt idx="68">
                  <c:v>0.40543137780603056</c:v>
                </c:pt>
                <c:pt idx="69">
                  <c:v>0.40561365932082527</c:v>
                </c:pt>
                <c:pt idx="70">
                  <c:v>0.40579141721404405</c:v>
                </c:pt>
                <c:pt idx="71">
                  <c:v>0.40596483759175483</c:v>
                </c:pt>
                <c:pt idx="72">
                  <c:v>0.40613409649252463</c:v>
                </c:pt>
                <c:pt idx="73">
                  <c:v>0.40629936055909455</c:v>
                </c:pt>
                <c:pt idx="74">
                  <c:v>0.40646078765698823</c:v>
                </c:pt>
                <c:pt idx="75">
                  <c:v>0.40661852744488164</c:v>
                </c:pt>
                <c:pt idx="76">
                  <c:v>0.40677272190106606</c:v>
                </c:pt>
                <c:pt idx="77">
                  <c:v>0.40692350580989739</c:v>
                </c:pt>
                <c:pt idx="78">
                  <c:v>0.40707100721173745</c:v>
                </c:pt>
                <c:pt idx="79">
                  <c:v>0.40721534781954061</c:v>
                </c:pt>
                <c:pt idx="80">
                  <c:v>0.40735664340493943</c:v>
                </c:pt>
                <c:pt idx="81">
                  <c:v>0.40749500415640016</c:v>
                </c:pt>
                <c:pt idx="82">
                  <c:v>0.40763053501177876</c:v>
                </c:pt>
                <c:pt idx="83">
                  <c:v>0.40776333596738679</c:v>
                </c:pt>
                <c:pt idx="84">
                  <c:v>0.40789350236548055</c:v>
                </c:pt>
                <c:pt idx="85">
                  <c:v>0.40802112516190936</c:v>
                </c:pt>
                <c:pt idx="86">
                  <c:v>0.40814629117550499</c:v>
                </c:pt>
                <c:pt idx="87">
                  <c:v>0.40826908332064593</c:v>
                </c:pt>
                <c:pt idx="88">
                  <c:v>0.40838958082430898</c:v>
                </c:pt>
                <c:pt idx="89">
                  <c:v>0.40850785942879975</c:v>
                </c:pt>
                <c:pt idx="90">
                  <c:v>0.40862399158125412</c:v>
                </c:pt>
                <c:pt idx="91">
                  <c:v>0.40873804661090596</c:v>
                </c:pt>
                <c:pt idx="92">
                  <c:v>0.40885009089503332</c:v>
                </c:pt>
                <c:pt idx="93">
                  <c:v>0.40896018801441703</c:v>
                </c:pt>
                <c:pt idx="94">
                  <c:v>0.40906839889907831</c:v>
                </c:pt>
                <c:pt idx="95">
                  <c:v>0.40917478196499563</c:v>
                </c:pt>
                <c:pt idx="96">
                  <c:v>0.4092793932424465</c:v>
                </c:pt>
                <c:pt idx="97">
                  <c:v>0.40938228649656661</c:v>
                </c:pt>
                <c:pt idx="98">
                  <c:v>0.40948351334067085</c:v>
                </c:pt>
                <c:pt idx="99">
                  <c:v>0.40958312334283981</c:v>
                </c:pt>
                <c:pt idx="100">
                  <c:v>0.40968116412623135</c:v>
                </c:pt>
              </c:numCache>
            </c:numRef>
          </c:val>
          <c:smooth val="0"/>
          <c:extLst>
            <c:ext xmlns:c16="http://schemas.microsoft.com/office/drawing/2014/chart" uri="{C3380CC4-5D6E-409C-BE32-E72D297353CC}">
              <c16:uniqueId val="{00000006-3709-4335-91FB-31DC56900586}"/>
            </c:ext>
          </c:extLst>
        </c:ser>
        <c:ser>
          <c:idx val="7"/>
          <c:order val="7"/>
          <c:spPr>
            <a:ln w="31750">
              <a:solidFill>
                <a:srgbClr val="00B050"/>
              </a:solidFill>
            </a:ln>
          </c:spPr>
          <c:marker>
            <c:symbol val="none"/>
          </c:marker>
          <c:val>
            <c:numRef>
              <c:f>'Calculations - Single'!$AW$110:$AW$210</c:f>
              <c:numCache>
                <c:formatCode>0.000</c:formatCode>
                <c:ptCount val="101"/>
                <c:pt idx="0">
                  <c:v>2.666669821642428E-2</c:v>
                </c:pt>
                <c:pt idx="1">
                  <c:v>2.6737401115603847E-2</c:v>
                </c:pt>
                <c:pt idx="2">
                  <c:v>2.8564554258887844E-2</c:v>
                </c:pt>
                <c:pt idx="3">
                  <c:v>4.2846831388331764E-2</c:v>
                </c:pt>
                <c:pt idx="4">
                  <c:v>5.7129108517775688E-2</c:v>
                </c:pt>
                <c:pt idx="5">
                  <c:v>7.1411385647219619E-2</c:v>
                </c:pt>
                <c:pt idx="6">
                  <c:v>8.5693662776663529E-2</c:v>
                </c:pt>
                <c:pt idx="7">
                  <c:v>9.9975939906107453E-2</c:v>
                </c:pt>
                <c:pt idx="8">
                  <c:v>0.11425821703555138</c:v>
                </c:pt>
                <c:pt idx="9">
                  <c:v>0.12854049416499527</c:v>
                </c:pt>
                <c:pt idx="10">
                  <c:v>0.14282277129443924</c:v>
                </c:pt>
                <c:pt idx="11">
                  <c:v>0.15710504842388309</c:v>
                </c:pt>
                <c:pt idx="12">
                  <c:v>0.17138732555332706</c:v>
                </c:pt>
                <c:pt idx="13">
                  <c:v>0.185669602682771</c:v>
                </c:pt>
                <c:pt idx="14">
                  <c:v>0.19995187981221491</c:v>
                </c:pt>
                <c:pt idx="15">
                  <c:v>0.21423415694165884</c:v>
                </c:pt>
                <c:pt idx="16">
                  <c:v>0.22851643407110275</c:v>
                </c:pt>
                <c:pt idx="17">
                  <c:v>0.24279871120054664</c:v>
                </c:pt>
                <c:pt idx="18">
                  <c:v>0.25708098832999055</c:v>
                </c:pt>
                <c:pt idx="19">
                  <c:v>0.27136326545943451</c:v>
                </c:pt>
                <c:pt idx="20">
                  <c:v>0.28564554258887848</c:v>
                </c:pt>
                <c:pt idx="21">
                  <c:v>0.29992781971832239</c:v>
                </c:pt>
                <c:pt idx="22">
                  <c:v>0.31421009684776618</c:v>
                </c:pt>
                <c:pt idx="23">
                  <c:v>0.32849237397721021</c:v>
                </c:pt>
                <c:pt idx="24">
                  <c:v>0.34277465110665412</c:v>
                </c:pt>
                <c:pt idx="25">
                  <c:v>0.35705692823609803</c:v>
                </c:pt>
                <c:pt idx="26">
                  <c:v>0.37133920536554199</c:v>
                </c:pt>
                <c:pt idx="27">
                  <c:v>0.38562148249498585</c:v>
                </c:pt>
                <c:pt idx="28">
                  <c:v>0.39990375962442981</c:v>
                </c:pt>
                <c:pt idx="29">
                  <c:v>0.41418603675387367</c:v>
                </c:pt>
                <c:pt idx="30">
                  <c:v>0.42846831388331769</c:v>
                </c:pt>
                <c:pt idx="31">
                  <c:v>0.44275059101276154</c:v>
                </c:pt>
                <c:pt idx="32">
                  <c:v>0.45703286814220551</c:v>
                </c:pt>
                <c:pt idx="33">
                  <c:v>0.47131514527164942</c:v>
                </c:pt>
                <c:pt idx="34">
                  <c:v>0.4856190036021934</c:v>
                </c:pt>
                <c:pt idx="35">
                  <c:v>0.46782993259905048</c:v>
                </c:pt>
                <c:pt idx="36">
                  <c:v>0.46839254824233434</c:v>
                </c:pt>
                <c:pt idx="37">
                  <c:v>0.46892746981521405</c:v>
                </c:pt>
                <c:pt idx="38">
                  <c:v>0.46943680092986245</c:v>
                </c:pt>
                <c:pt idx="39">
                  <c:v>0.46992243742996509</c:v>
                </c:pt>
                <c:pt idx="40">
                  <c:v>0.47038609242357871</c:v>
                </c:pt>
                <c:pt idx="41">
                  <c:v>0.47082931778187015</c:v>
                </c:pt>
                <c:pt idx="42">
                  <c:v>0.47125352267245491</c:v>
                </c:pt>
                <c:pt idx="43">
                  <c:v>0.47165998959380856</c:v>
                </c:pt>
                <c:pt idx="44">
                  <c:v>0.47204988829521399</c:v>
                </c:pt>
                <c:pt idx="45">
                  <c:v>0.47242428790055041</c:v>
                </c:pt>
                <c:pt idx="46">
                  <c:v>0.47278416750063307</c:v>
                </c:pt>
                <c:pt idx="47">
                  <c:v>0.47313042543513284</c:v>
                </c:pt>
                <c:pt idx="48">
                  <c:v>0.47346388744939971</c:v>
                </c:pt>
                <c:pt idx="49">
                  <c:v>0.47378531388213924</c:v>
                </c:pt>
                <c:pt idx="50">
                  <c:v>0.47409540601567796</c:v>
                </c:pt>
                <c:pt idx="51">
                  <c:v>0.47439481170047082</c:v>
                </c:pt>
                <c:pt idx="52">
                  <c:v>0.47468413034881457</c:v>
                </c:pt>
                <c:pt idx="53">
                  <c:v>0.47496391737878474</c:v>
                </c:pt>
                <c:pt idx="54">
                  <c:v>0.47523468817773912</c:v>
                </c:pt>
                <c:pt idx="55">
                  <c:v>0.47549692164491408</c:v>
                </c:pt>
                <c:pt idx="56">
                  <c:v>0.47575106336435019</c:v>
                </c:pt>
                <c:pt idx="57">
                  <c:v>0.47599752845238741</c:v>
                </c:pt>
                <c:pt idx="58">
                  <c:v>0.47623670411801267</c:v>
                </c:pt>
                <c:pt idx="59">
                  <c:v>0.47646895196928452</c:v>
                </c:pt>
                <c:pt idx="60">
                  <c:v>0.47669461009473951</c:v>
                </c:pt>
                <c:pt idx="61">
                  <c:v>0.47691399494497866</c:v>
                </c:pt>
                <c:pt idx="62">
                  <c:v>0.47712740303646495</c:v>
                </c:pt>
                <c:pt idx="63">
                  <c:v>0.47733511249682703</c:v>
                </c:pt>
                <c:pt idx="64">
                  <c:v>0.477537384468603</c:v>
                </c:pt>
                <c:pt idx="65">
                  <c:v>0.47773446438633366</c:v>
                </c:pt>
                <c:pt idx="66">
                  <c:v>0.47792658314013126</c:v>
                </c:pt>
                <c:pt idx="67">
                  <c:v>0.47811395813733015</c:v>
                </c:pt>
                <c:pt idx="68">
                  <c:v>0.47829679427248317</c:v>
                </c:pt>
                <c:pt idx="69">
                  <c:v>0.47847528481480284</c:v>
                </c:pt>
                <c:pt idx="70">
                  <c:v>0.47864961222113295</c:v>
                </c:pt>
                <c:pt idx="71">
                  <c:v>0.47881994888163726</c:v>
                </c:pt>
                <c:pt idx="72">
                  <c:v>0.47898645780461585</c:v>
                </c:pt>
                <c:pt idx="73">
                  <c:v>0.47914929324616795</c:v>
                </c:pt>
                <c:pt idx="74">
                  <c:v>0.47930860128981378</c:v>
                </c:pt>
                <c:pt idx="75">
                  <c:v>0.47946452038065668</c:v>
                </c:pt>
                <c:pt idx="76">
                  <c:v>0.4796171818181893</c:v>
                </c:pt>
                <c:pt idx="77">
                  <c:v>0.4797667102114333</c:v>
                </c:pt>
                <c:pt idx="78">
                  <c:v>0.47991322389972735</c:v>
                </c:pt>
                <c:pt idx="79">
                  <c:v>0.48005683534215426</c:v>
                </c:pt>
                <c:pt idx="80">
                  <c:v>0.48019765147829474</c:v>
                </c:pt>
                <c:pt idx="81">
                  <c:v>0.48033577406274769</c:v>
                </c:pt>
                <c:pt idx="82">
                  <c:v>0.48047129997561028</c:v>
                </c:pt>
                <c:pt idx="83">
                  <c:v>0.48060432151091376</c:v>
                </c:pt>
                <c:pt idx="84">
                  <c:v>0.48073492664481615</c:v>
                </c:pt>
                <c:pt idx="85">
                  <c:v>0.480863199285194</c:v>
                </c:pt>
                <c:pt idx="86">
                  <c:v>0.48098921950411749</c:v>
                </c:pt>
                <c:pt idx="87">
                  <c:v>0.48111306375456347</c:v>
                </c:pt>
                <c:pt idx="88">
                  <c:v>0.48123480507260324</c:v>
                </c:pt>
                <c:pt idx="89">
                  <c:v>0.48135451326618284</c:v>
                </c:pt>
                <c:pt idx="90">
                  <c:v>0.48147225509152475</c:v>
                </c:pt>
                <c:pt idx="91">
                  <c:v>0.4815880944180877</c:v>
                </c:pt>
                <c:pt idx="92">
                  <c:v>0.48170209238294104</c:v>
                </c:pt>
                <c:pt idx="93">
                  <c:v>0.48181430753533544</c:v>
                </c:pt>
                <c:pt idx="94">
                  <c:v>0.48192479597219384</c:v>
                </c:pt>
                <c:pt idx="95">
                  <c:v>0.48203361146517487</c:v>
                </c:pt>
                <c:pt idx="96">
                  <c:v>0.48214080557991867</c:v>
                </c:pt>
                <c:pt idx="97">
                  <c:v>0.48224642778802856</c:v>
                </c:pt>
                <c:pt idx="98">
                  <c:v>0.48235052557230002</c:v>
                </c:pt>
                <c:pt idx="99">
                  <c:v>0.48245314452566651</c:v>
                </c:pt>
                <c:pt idx="100">
                  <c:v>0.48255432844429802</c:v>
                </c:pt>
              </c:numCache>
            </c:numRef>
          </c:val>
          <c:smooth val="0"/>
          <c:extLst>
            <c:ext xmlns:c16="http://schemas.microsoft.com/office/drawing/2014/chart" uri="{C3380CC4-5D6E-409C-BE32-E72D297353CC}">
              <c16:uniqueId val="{00000007-3709-4335-91FB-31DC56900586}"/>
            </c:ext>
          </c:extLst>
        </c:ser>
        <c:ser>
          <c:idx val="8"/>
          <c:order val="8"/>
          <c:spPr>
            <a:ln w="31750">
              <a:solidFill>
                <a:srgbClr val="0000FF"/>
              </a:solidFill>
            </a:ln>
          </c:spPr>
          <c:marker>
            <c:symbol val="none"/>
          </c:marker>
          <c:val>
            <c:numRef>
              <c:f>'Calculations - Single'!$AW$216:$AW$316</c:f>
              <c:numCache>
                <c:formatCode>0.000</c:formatCode>
                <c:ptCount val="101"/>
                <c:pt idx="0">
                  <c:v>1.5000009982535329E-2</c:v>
                </c:pt>
                <c:pt idx="1">
                  <c:v>1.5022354879186166E-2</c:v>
                </c:pt>
                <c:pt idx="2">
                  <c:v>1.6042047461409643E-2</c:v>
                </c:pt>
                <c:pt idx="3">
                  <c:v>2.4063071192114465E-2</c:v>
                </c:pt>
                <c:pt idx="4">
                  <c:v>3.2084094922819287E-2</c:v>
                </c:pt>
                <c:pt idx="5">
                  <c:v>4.0105118653524112E-2</c:v>
                </c:pt>
                <c:pt idx="6">
                  <c:v>4.812614238422893E-2</c:v>
                </c:pt>
                <c:pt idx="7">
                  <c:v>5.6147166114933748E-2</c:v>
                </c:pt>
                <c:pt idx="8">
                  <c:v>6.4168189845638574E-2</c:v>
                </c:pt>
                <c:pt idx="9">
                  <c:v>7.2189213576343378E-2</c:v>
                </c:pt>
                <c:pt idx="10">
                  <c:v>8.0210237307048224E-2</c:v>
                </c:pt>
                <c:pt idx="11">
                  <c:v>8.8231261037753014E-2</c:v>
                </c:pt>
                <c:pt idx="12">
                  <c:v>9.625228476845786E-2</c:v>
                </c:pt>
                <c:pt idx="13">
                  <c:v>0.10427330849916268</c:v>
                </c:pt>
                <c:pt idx="14">
                  <c:v>0.1122943322298675</c:v>
                </c:pt>
                <c:pt idx="15">
                  <c:v>0.12031535596057233</c:v>
                </c:pt>
                <c:pt idx="16">
                  <c:v>0.12833637969127715</c:v>
                </c:pt>
                <c:pt idx="17">
                  <c:v>0.13635740342198194</c:v>
                </c:pt>
                <c:pt idx="18">
                  <c:v>0.14437842715268676</c:v>
                </c:pt>
                <c:pt idx="19">
                  <c:v>0.1523994508833916</c:v>
                </c:pt>
                <c:pt idx="20">
                  <c:v>0.16042047461409645</c:v>
                </c:pt>
                <c:pt idx="21">
                  <c:v>0.16844149834480127</c:v>
                </c:pt>
                <c:pt idx="22">
                  <c:v>0.17646252207550603</c:v>
                </c:pt>
                <c:pt idx="23">
                  <c:v>0.1844835458062109</c:v>
                </c:pt>
                <c:pt idx="24">
                  <c:v>0.19250456953691572</c:v>
                </c:pt>
                <c:pt idx="25">
                  <c:v>0.20052559326762051</c:v>
                </c:pt>
                <c:pt idx="26">
                  <c:v>0.20854661699832536</c:v>
                </c:pt>
                <c:pt idx="27">
                  <c:v>0.21656764072903018</c:v>
                </c:pt>
                <c:pt idx="28">
                  <c:v>0.22458866445973499</c:v>
                </c:pt>
                <c:pt idx="29">
                  <c:v>0.23260968819043978</c:v>
                </c:pt>
                <c:pt idx="30">
                  <c:v>0.24063071192114466</c:v>
                </c:pt>
                <c:pt idx="31">
                  <c:v>0.24865173565184942</c:v>
                </c:pt>
                <c:pt idx="32">
                  <c:v>0.25667275938255429</c:v>
                </c:pt>
                <c:pt idx="33">
                  <c:v>0.26469378311325908</c:v>
                </c:pt>
                <c:pt idx="34">
                  <c:v>0.27271480684396388</c:v>
                </c:pt>
                <c:pt idx="35">
                  <c:v>0.28073583057466872</c:v>
                </c:pt>
                <c:pt idx="36">
                  <c:v>0.28875685430537351</c:v>
                </c:pt>
                <c:pt idx="37">
                  <c:v>0.29677787803607841</c:v>
                </c:pt>
                <c:pt idx="38">
                  <c:v>0.3047989017667832</c:v>
                </c:pt>
                <c:pt idx="39">
                  <c:v>0.3128199254974881</c:v>
                </c:pt>
                <c:pt idx="40">
                  <c:v>0.3208409492281929</c:v>
                </c:pt>
                <c:pt idx="41">
                  <c:v>0.32886197295889763</c:v>
                </c:pt>
                <c:pt idx="42">
                  <c:v>0.33688299668960253</c:v>
                </c:pt>
                <c:pt idx="43">
                  <c:v>0.34490944795906614</c:v>
                </c:pt>
                <c:pt idx="44">
                  <c:v>0.33030095008517824</c:v>
                </c:pt>
                <c:pt idx="45">
                  <c:v>0.33069610650028725</c:v>
                </c:pt>
                <c:pt idx="46">
                  <c:v>0.33107546714447056</c:v>
                </c:pt>
                <c:pt idx="47">
                  <c:v>0.33143999093023657</c:v>
                </c:pt>
                <c:pt idx="48">
                  <c:v>0.33179056069606205</c:v>
                </c:pt>
                <c:pt idx="49">
                  <c:v>0.33212799060371606</c:v>
                </c:pt>
                <c:pt idx="50">
                  <c:v>0.33245303268888488</c:v>
                </c:pt>
                <c:pt idx="51">
                  <c:v>0.3327663826760483</c:v>
                </c:pt>
                <c:pt idx="52">
                  <c:v>0.33306868515224231</c:v>
                </c:pt>
                <c:pt idx="53">
                  <c:v>0.33336053818068967</c:v>
                </c:pt>
                <c:pt idx="54">
                  <c:v>0.33364249742379232</c:v>
                </c:pt>
                <c:pt idx="55">
                  <c:v>0.33391507983529828</c:v>
                </c:pt>
                <c:pt idx="56">
                  <c:v>0.33417876697326659</c:v>
                </c:pt>
                <c:pt idx="57">
                  <c:v>0.33443400797850154</c:v>
                </c:pt>
                <c:pt idx="58">
                  <c:v>0.33468122225721325</c:v>
                </c:pt>
                <c:pt idx="59">
                  <c:v>0.33492080190161472</c:v>
                </c:pt>
                <c:pt idx="60">
                  <c:v>0.33515311387784402</c:v>
                </c:pt>
                <c:pt idx="61">
                  <c:v>0.33537850200689145</c:v>
                </c:pt>
                <c:pt idx="62">
                  <c:v>0.33559728876102679</c:v>
                </c:pt>
                <c:pt idx="63">
                  <c:v>0.33580977689546621</c:v>
                </c:pt>
                <c:pt idx="64">
                  <c:v>0.33601625093264409</c:v>
                </c:pt>
                <c:pt idx="65">
                  <c:v>0.33621697851439253</c:v>
                </c:pt>
                <c:pt idx="66">
                  <c:v>0.33641221163554436</c:v>
                </c:pt>
                <c:pt idx="67">
                  <c:v>0.33660218777091339</c:v>
                </c:pt>
                <c:pt idx="68">
                  <c:v>0.33678713090625367</c:v>
                </c:pt>
                <c:pt idx="69">
                  <c:v>0.33696725248260812</c:v>
                </c:pt>
                <c:pt idx="70">
                  <c:v>0.33714275226241691</c:v>
                </c:pt>
                <c:pt idx="71">
                  <c:v>0.33731381912484593</c:v>
                </c:pt>
                <c:pt idx="72">
                  <c:v>0.33748063179699367</c:v>
                </c:pt>
                <c:pt idx="73">
                  <c:v>0.33764335952692753</c:v>
                </c:pt>
                <c:pt idx="74">
                  <c:v>0.33780216270387686</c:v>
                </c:pt>
                <c:pt idx="75">
                  <c:v>0.33795719343036124</c:v>
                </c:pt>
                <c:pt idx="76">
                  <c:v>0.33810859605054649</c:v>
                </c:pt>
                <c:pt idx="77">
                  <c:v>0.33825650763868187</c:v>
                </c:pt>
                <c:pt idx="78">
                  <c:v>0.33840105845109764</c:v>
                </c:pt>
                <c:pt idx="79">
                  <c:v>0.33854237234489332</c:v>
                </c:pt>
                <c:pt idx="80">
                  <c:v>0.33868056716614736</c:v>
                </c:pt>
                <c:pt idx="81">
                  <c:v>0.33881575511020212</c:v>
                </c:pt>
                <c:pt idx="82">
                  <c:v>0.33894804305634613</c:v>
                </c:pt>
                <c:pt idx="83">
                  <c:v>0.33907753287898357</c:v>
                </c:pt>
                <c:pt idx="84">
                  <c:v>0.33920432173720366</c:v>
                </c:pt>
                <c:pt idx="85">
                  <c:v>0.33932850234447298</c:v>
                </c:pt>
                <c:pt idx="86">
                  <c:v>0.33945016322002808</c:v>
                </c:pt>
                <c:pt idx="87">
                  <c:v>0.33956938892340011</c:v>
                </c:pt>
                <c:pt idx="88">
                  <c:v>0.33968626027337634</c:v>
                </c:pt>
                <c:pt idx="89">
                  <c:v>0.33980085455259124</c:v>
                </c:pt>
                <c:pt idx="90">
                  <c:v>0.33991324569883624</c:v>
                </c:pt>
                <c:pt idx="91">
                  <c:v>0.34002350448408053</c:v>
                </c:pt>
                <c:pt idx="92">
                  <c:v>0.34013169868211773</c:v>
                </c:pt>
                <c:pt idx="93">
                  <c:v>0.34023789322566955</c:v>
                </c:pt>
                <c:pt idx="94">
                  <c:v>0.34034215035371373</c:v>
                </c:pt>
                <c:pt idx="95">
                  <c:v>0.34044452974973949</c:v>
                </c:pt>
                <c:pt idx="96">
                  <c:v>0.34054508867157102</c:v>
                </c:pt>
                <c:pt idx="97">
                  <c:v>0.34064388207336055</c:v>
                </c:pt>
                <c:pt idx="98">
                  <c:v>0.34074096272028892</c:v>
                </c:pt>
                <c:pt idx="99">
                  <c:v>0.34083638129648219</c:v>
                </c:pt>
                <c:pt idx="100">
                  <c:v>0.34093018650660595</c:v>
                </c:pt>
              </c:numCache>
            </c:numRef>
          </c:val>
          <c:smooth val="0"/>
          <c:extLst>
            <c:ext xmlns:c16="http://schemas.microsoft.com/office/drawing/2014/chart" uri="{C3380CC4-5D6E-409C-BE32-E72D297353CC}">
              <c16:uniqueId val="{00000008-3709-4335-91FB-31DC56900586}"/>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13.333333333333334</c:v>
                </c:pt>
                <c:pt idx="17">
                  <c:v>13.333333333333334</c:v>
                </c:pt>
                <c:pt idx="18">
                  <c:v>13.333333333333334</c:v>
                </c:pt>
                <c:pt idx="19">
                  <c:v>13.333333333333334</c:v>
                </c:pt>
                <c:pt idx="20">
                  <c:v>13.333333333333334</c:v>
                </c:pt>
                <c:pt idx="21">
                  <c:v>13.333333333333334</c:v>
                </c:pt>
                <c:pt idx="22">
                  <c:v>13.333333333333334</c:v>
                </c:pt>
                <c:pt idx="23">
                  <c:v>13.333333333333334</c:v>
                </c:pt>
                <c:pt idx="24">
                  <c:v>13.333333333333334</c:v>
                </c:pt>
                <c:pt idx="25">
                  <c:v>13.333333333333334</c:v>
                </c:pt>
                <c:pt idx="26">
                  <c:v>13.333333333333334</c:v>
                </c:pt>
                <c:pt idx="27">
                  <c:v>13.333333333333334</c:v>
                </c:pt>
                <c:pt idx="28">
                  <c:v>13.333333333333334</c:v>
                </c:pt>
                <c:pt idx="29">
                  <c:v>13.333333333333334</c:v>
                </c:pt>
                <c:pt idx="30">
                  <c:v>13.333333333333334</c:v>
                </c:pt>
                <c:pt idx="31">
                  <c:v>13.333333333333334</c:v>
                </c:pt>
                <c:pt idx="32">
                  <c:v>13.333333333333334</c:v>
                </c:pt>
                <c:pt idx="33">
                  <c:v>13.333333333333334</c:v>
                </c:pt>
                <c:pt idx="34">
                  <c:v>13.333333333333334</c:v>
                </c:pt>
                <c:pt idx="35">
                  <c:v>13.66626428752669</c:v>
                </c:pt>
                <c:pt idx="36">
                  <c:v>14.057537075234208</c:v>
                </c:pt>
                <c:pt idx="37">
                  <c:v>14.448854952283071</c:v>
                </c:pt>
                <c:pt idx="38">
                  <c:v>14.840217933051912</c:v>
                </c:pt>
                <c:pt idx="39">
                  <c:v>15.23162603192854</c:v>
                </c:pt>
                <c:pt idx="40">
                  <c:v>15.623079263309583</c:v>
                </c:pt>
                <c:pt idx="41">
                  <c:v>16.014577641600113</c:v>
                </c:pt>
                <c:pt idx="42">
                  <c:v>16.406121181213422</c:v>
                </c:pt>
                <c:pt idx="43">
                  <c:v>16.797709896570741</c:v>
                </c:pt>
                <c:pt idx="44">
                  <c:v>17.18934380210106</c:v>
                </c:pt>
                <c:pt idx="45">
                  <c:v>17.581022912240936</c:v>
                </c:pt>
                <c:pt idx="46">
                  <c:v>17.972747241434359</c:v>
                </c:pt>
                <c:pt idx="47">
                  <c:v>18.364516804132599</c:v>
                </c:pt>
                <c:pt idx="48">
                  <c:v>18.756331614794092</c:v>
                </c:pt>
                <c:pt idx="49">
                  <c:v>19.148191687884353</c:v>
                </c:pt>
                <c:pt idx="50">
                  <c:v>19.540097037875888</c:v>
                </c:pt>
                <c:pt idx="51">
                  <c:v>19.9320476792481</c:v>
                </c:pt>
                <c:pt idx="52">
                  <c:v>20.324043626487214</c:v>
                </c:pt>
                <c:pt idx="53">
                  <c:v>20.716084894086279</c:v>
                </c:pt>
                <c:pt idx="54">
                  <c:v>21.108171496545033</c:v>
                </c:pt>
                <c:pt idx="55">
                  <c:v>21.500303448369916</c:v>
                </c:pt>
                <c:pt idx="56">
                  <c:v>21.892480764073984</c:v>
                </c:pt>
                <c:pt idx="57">
                  <c:v>22.284703458176903</c:v>
                </c:pt>
                <c:pt idx="58">
                  <c:v>22.67697154520495</c:v>
                </c:pt>
                <c:pt idx="59">
                  <c:v>23.069285039690893</c:v>
                </c:pt>
                <c:pt idx="60">
                  <c:v>23.461643956174044</c:v>
                </c:pt>
                <c:pt idx="61">
                  <c:v>23.854048309200191</c:v>
                </c:pt>
                <c:pt idx="62">
                  <c:v>24.246498113321621</c:v>
                </c:pt>
                <c:pt idx="63">
                  <c:v>24.63899338309708</c:v>
                </c:pt>
                <c:pt idx="64">
                  <c:v>25.031534133091725</c:v>
                </c:pt>
                <c:pt idx="65">
                  <c:v>25.424120377877166</c:v>
                </c:pt>
                <c:pt idx="66">
                  <c:v>25.816752132031425</c:v>
                </c:pt>
                <c:pt idx="67">
                  <c:v>26.209429410138942</c:v>
                </c:pt>
                <c:pt idx="68">
                  <c:v>26.602152226790533</c:v>
                </c:pt>
                <c:pt idx="69">
                  <c:v>26.994920596583388</c:v>
                </c:pt>
                <c:pt idx="70">
                  <c:v>27.387734534121119</c:v>
                </c:pt>
                <c:pt idx="71">
                  <c:v>27.78059405401369</c:v>
                </c:pt>
                <c:pt idx="72">
                  <c:v>28.173499170877424</c:v>
                </c:pt>
                <c:pt idx="73">
                  <c:v>28.566449899335009</c:v>
                </c:pt>
                <c:pt idx="74">
                  <c:v>28.959446254015511</c:v>
                </c:pt>
                <c:pt idx="75">
                  <c:v>29.35248824955433</c:v>
                </c:pt>
                <c:pt idx="76">
                  <c:v>29.74557590059322</c:v>
                </c:pt>
                <c:pt idx="77">
                  <c:v>30.138709221780296</c:v>
                </c:pt>
                <c:pt idx="78">
                  <c:v>30.531888227770011</c:v>
                </c:pt>
                <c:pt idx="79">
                  <c:v>30.925112933223168</c:v>
                </c:pt>
                <c:pt idx="80">
                  <c:v>31.318383352806897</c:v>
                </c:pt>
                <c:pt idx="81">
                  <c:v>31.711699501194708</c:v>
                </c:pt>
                <c:pt idx="82">
                  <c:v>32.105061393066414</c:v>
                </c:pt>
                <c:pt idx="83">
                  <c:v>32.498469043108194</c:v>
                </c:pt>
                <c:pt idx="84">
                  <c:v>32.891922466012559</c:v>
                </c:pt>
                <c:pt idx="85">
                  <c:v>33.285421676478371</c:v>
                </c:pt>
                <c:pt idx="86">
                  <c:v>33.678966689210839</c:v>
                </c:pt>
                <c:pt idx="87">
                  <c:v>34.072557518921485</c:v>
                </c:pt>
                <c:pt idx="88">
                  <c:v>34.466194180328209</c:v>
                </c:pt>
                <c:pt idx="89">
                  <c:v>34.859876688155246</c:v>
                </c:pt>
                <c:pt idx="90">
                  <c:v>35.25360505713315</c:v>
                </c:pt>
                <c:pt idx="91">
                  <c:v>35.647379301998882</c:v>
                </c:pt>
                <c:pt idx="92">
                  <c:v>36.041199437495699</c:v>
                </c:pt>
                <c:pt idx="93">
                  <c:v>36.435065478373211</c:v>
                </c:pt>
                <c:pt idx="94">
                  <c:v>36.82897743938743</c:v>
                </c:pt>
                <c:pt idx="95">
                  <c:v>37.222935335300669</c:v>
                </c:pt>
                <c:pt idx="96">
                  <c:v>37.616939180881602</c:v>
                </c:pt>
                <c:pt idx="97">
                  <c:v>38.010988990905297</c:v>
                </c:pt>
                <c:pt idx="98">
                  <c:v>38.405084780153153</c:v>
                </c:pt>
                <c:pt idx="99">
                  <c:v>38.799226563412937</c:v>
                </c:pt>
                <c:pt idx="100">
                  <c:v>39.193414355478787</c:v>
                </c:pt>
              </c:numCache>
            </c:numRef>
          </c:val>
          <c:smooth val="0"/>
          <c:extLst>
            <c:ext xmlns:c16="http://schemas.microsoft.com/office/drawing/2014/chart" uri="{C3380CC4-5D6E-409C-BE32-E72D297353CC}">
              <c16:uniqueId val="{00000000-447A-452D-BA63-8F5F5DADC23C}"/>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Single'!$AJ$5:$AJ$105</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13.333333333333334</c:v>
                </c:pt>
                <c:pt idx="17">
                  <c:v>13.333333333333334</c:v>
                </c:pt>
                <c:pt idx="18">
                  <c:v>13.333333333333334</c:v>
                </c:pt>
                <c:pt idx="19">
                  <c:v>13.333333333333334</c:v>
                </c:pt>
                <c:pt idx="20">
                  <c:v>13.333333333333334</c:v>
                </c:pt>
                <c:pt idx="21">
                  <c:v>13.333333333333334</c:v>
                </c:pt>
                <c:pt idx="22">
                  <c:v>13.333333333333334</c:v>
                </c:pt>
                <c:pt idx="23">
                  <c:v>13.333333333333334</c:v>
                </c:pt>
                <c:pt idx="24">
                  <c:v>13.333333333333334</c:v>
                </c:pt>
                <c:pt idx="25">
                  <c:v>13.333333333333334</c:v>
                </c:pt>
                <c:pt idx="26">
                  <c:v>13.333333333333334</c:v>
                </c:pt>
                <c:pt idx="27">
                  <c:v>13.333333333333334</c:v>
                </c:pt>
                <c:pt idx="28">
                  <c:v>13.333333333333334</c:v>
                </c:pt>
                <c:pt idx="29">
                  <c:v>13.333333333333334</c:v>
                </c:pt>
                <c:pt idx="30">
                  <c:v>13.333333333333334</c:v>
                </c:pt>
                <c:pt idx="31">
                  <c:v>13.333333333333334</c:v>
                </c:pt>
                <c:pt idx="32">
                  <c:v>13.333333333333334</c:v>
                </c:pt>
                <c:pt idx="33">
                  <c:v>13.333333333333334</c:v>
                </c:pt>
                <c:pt idx="34">
                  <c:v>13.333333333333334</c:v>
                </c:pt>
                <c:pt idx="35">
                  <c:v>13.333333333333334</c:v>
                </c:pt>
                <c:pt idx="36">
                  <c:v>13.333333333333334</c:v>
                </c:pt>
                <c:pt idx="37">
                  <c:v>13.333333333333334</c:v>
                </c:pt>
                <c:pt idx="38">
                  <c:v>13.333333333333334</c:v>
                </c:pt>
                <c:pt idx="39">
                  <c:v>13.36545643309266</c:v>
                </c:pt>
                <c:pt idx="40">
                  <c:v>13.708577424675459</c:v>
                </c:pt>
                <c:pt idx="41">
                  <c:v>14.051760382203947</c:v>
                </c:pt>
                <c:pt idx="42">
                  <c:v>14.394966270746249</c:v>
                </c:pt>
                <c:pt idx="43">
                  <c:v>14.738195095111388</c:v>
                </c:pt>
                <c:pt idx="44">
                  <c:v>15.081446860110896</c:v>
                </c:pt>
                <c:pt idx="45">
                  <c:v>15.424721570558708</c:v>
                </c:pt>
                <c:pt idx="46">
                  <c:v>15.768019231271051</c:v>
                </c:pt>
                <c:pt idx="47">
                  <c:v>16.111339847066318</c:v>
                </c:pt>
                <c:pt idx="48">
                  <c:v>16.454683422765015</c:v>
                </c:pt>
                <c:pt idx="49">
                  <c:v>16.798049963189634</c:v>
                </c:pt>
                <c:pt idx="50">
                  <c:v>17.141439473164649</c:v>
                </c:pt>
                <c:pt idx="51">
                  <c:v>17.484851957516415</c:v>
                </c:pt>
                <c:pt idx="52">
                  <c:v>17.828287421073121</c:v>
                </c:pt>
                <c:pt idx="53">
                  <c:v>18.17174586866475</c:v>
                </c:pt>
                <c:pt idx="54">
                  <c:v>18.515227305123055</c:v>
                </c:pt>
                <c:pt idx="55">
                  <c:v>18.858731735281484</c:v>
                </c:pt>
                <c:pt idx="56">
                  <c:v>19.202259163975185</c:v>
                </c:pt>
                <c:pt idx="57">
                  <c:v>19.54580959604095</c:v>
                </c:pt>
                <c:pt idx="58">
                  <c:v>19.889383036317223</c:v>
                </c:pt>
                <c:pt idx="59">
                  <c:v>20.23297948964402</c:v>
                </c:pt>
                <c:pt idx="60">
                  <c:v>20.576598960862981</c:v>
                </c:pt>
                <c:pt idx="61">
                  <c:v>20.920241454817297</c:v>
                </c:pt>
                <c:pt idx="62">
                  <c:v>21.263906976351706</c:v>
                </c:pt>
                <c:pt idx="63">
                  <c:v>21.607595530312505</c:v>
                </c:pt>
                <c:pt idx="64">
                  <c:v>21.951307121547487</c:v>
                </c:pt>
                <c:pt idx="65">
                  <c:v>22.29504175490597</c:v>
                </c:pt>
                <c:pt idx="66">
                  <c:v>22.638799435238777</c:v>
                </c:pt>
                <c:pt idx="67">
                  <c:v>22.982580167398222</c:v>
                </c:pt>
                <c:pt idx="68">
                  <c:v>23.326383956238089</c:v>
                </c:pt>
                <c:pt idx="69">
                  <c:v>23.670210806613632</c:v>
                </c:pt>
                <c:pt idx="70">
                  <c:v>24.014060723381597</c:v>
                </c:pt>
                <c:pt idx="71">
                  <c:v>24.357933711400175</c:v>
                </c:pt>
                <c:pt idx="72">
                  <c:v>24.701829775528999</c:v>
                </c:pt>
                <c:pt idx="73">
                  <c:v>25.045748920629165</c:v>
                </c:pt>
                <c:pt idx="74">
                  <c:v>25.389691151563195</c:v>
                </c:pt>
                <c:pt idx="75">
                  <c:v>25.733656473195065</c:v>
                </c:pt>
                <c:pt idx="76">
                  <c:v>26.077644890390186</c:v>
                </c:pt>
                <c:pt idx="77">
                  <c:v>26.421656408015377</c:v>
                </c:pt>
                <c:pt idx="78">
                  <c:v>26.765691030938903</c:v>
                </c:pt>
                <c:pt idx="79">
                  <c:v>27.109748764030449</c:v>
                </c:pt>
                <c:pt idx="80">
                  <c:v>27.453829612161101</c:v>
                </c:pt>
                <c:pt idx="81">
                  <c:v>27.797933580203399</c:v>
                </c:pt>
                <c:pt idx="82">
                  <c:v>28.142060673031249</c:v>
                </c:pt>
                <c:pt idx="83">
                  <c:v>28.486210895520038</c:v>
                </c:pt>
                <c:pt idx="84">
                  <c:v>28.830384252546484</c:v>
                </c:pt>
                <c:pt idx="85">
                  <c:v>29.174580748988774</c:v>
                </c:pt>
                <c:pt idx="86">
                  <c:v>29.518800389726465</c:v>
                </c:pt>
                <c:pt idx="87">
                  <c:v>29.863043179640549</c:v>
                </c:pt>
                <c:pt idx="88">
                  <c:v>30.207309123613392</c:v>
                </c:pt>
                <c:pt idx="89">
                  <c:v>30.551598226528778</c:v>
                </c:pt>
                <c:pt idx="90">
                  <c:v>30.895910493271913</c:v>
                </c:pt>
                <c:pt idx="91">
                  <c:v>31.240245928729365</c:v>
                </c:pt>
                <c:pt idx="92">
                  <c:v>31.584604537789122</c:v>
                </c:pt>
                <c:pt idx="93">
                  <c:v>31.928986325340571</c:v>
                </c:pt>
                <c:pt idx="94">
                  <c:v>32.27339129627449</c:v>
                </c:pt>
                <c:pt idx="95">
                  <c:v>32.617819455483058</c:v>
                </c:pt>
                <c:pt idx="96">
                  <c:v>32.962270807859859</c:v>
                </c:pt>
                <c:pt idx="97">
                  <c:v>33.30674535829985</c:v>
                </c:pt>
                <c:pt idx="98">
                  <c:v>33.651243111699408</c:v>
                </c:pt>
                <c:pt idx="99">
                  <c:v>33.995764072956312</c:v>
                </c:pt>
                <c:pt idx="100">
                  <c:v>34.340308246969691</c:v>
                </c:pt>
              </c:numCache>
            </c:numRef>
          </c:val>
          <c:smooth val="0"/>
          <c:extLst>
            <c:ext xmlns:c16="http://schemas.microsoft.com/office/drawing/2014/chart" uri="{C3380CC4-5D6E-409C-BE32-E72D297353CC}">
              <c16:uniqueId val="{00000001-447A-452D-BA63-8F5F5DADC23C}"/>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13.333333333333334</c:v>
                </c:pt>
                <c:pt idx="17">
                  <c:v>13.333333333333334</c:v>
                </c:pt>
                <c:pt idx="18">
                  <c:v>13.333333333333334</c:v>
                </c:pt>
                <c:pt idx="19">
                  <c:v>13.333333333333334</c:v>
                </c:pt>
                <c:pt idx="20">
                  <c:v>13.333333333333334</c:v>
                </c:pt>
                <c:pt idx="21">
                  <c:v>13.333333333333334</c:v>
                </c:pt>
                <c:pt idx="22">
                  <c:v>13.333333333333334</c:v>
                </c:pt>
                <c:pt idx="23">
                  <c:v>13.333333333333334</c:v>
                </c:pt>
                <c:pt idx="24">
                  <c:v>13.333333333333334</c:v>
                </c:pt>
                <c:pt idx="25">
                  <c:v>13.333333333333334</c:v>
                </c:pt>
                <c:pt idx="26">
                  <c:v>13.333333333333334</c:v>
                </c:pt>
                <c:pt idx="27">
                  <c:v>13.333333333333334</c:v>
                </c:pt>
                <c:pt idx="28">
                  <c:v>13.333333333333334</c:v>
                </c:pt>
                <c:pt idx="29">
                  <c:v>13.333333333333334</c:v>
                </c:pt>
                <c:pt idx="30">
                  <c:v>13.333333333333334</c:v>
                </c:pt>
                <c:pt idx="31">
                  <c:v>13.333333333333334</c:v>
                </c:pt>
                <c:pt idx="32">
                  <c:v>13.333333333333334</c:v>
                </c:pt>
                <c:pt idx="33">
                  <c:v>13.333333333333334</c:v>
                </c:pt>
                <c:pt idx="34">
                  <c:v>13.333333333333334</c:v>
                </c:pt>
                <c:pt idx="35">
                  <c:v>13.333333333333334</c:v>
                </c:pt>
                <c:pt idx="36">
                  <c:v>13.333333333333334</c:v>
                </c:pt>
                <c:pt idx="37">
                  <c:v>13.333333333333334</c:v>
                </c:pt>
                <c:pt idx="38">
                  <c:v>13.333333333333334</c:v>
                </c:pt>
                <c:pt idx="39">
                  <c:v>13.333333333333334</c:v>
                </c:pt>
                <c:pt idx="40">
                  <c:v>13.333333333333334</c:v>
                </c:pt>
                <c:pt idx="41">
                  <c:v>13.333333333333334</c:v>
                </c:pt>
                <c:pt idx="42">
                  <c:v>13.333333333333334</c:v>
                </c:pt>
                <c:pt idx="43">
                  <c:v>13.333333333333334</c:v>
                </c:pt>
                <c:pt idx="44">
                  <c:v>13.506039893336345</c:v>
                </c:pt>
                <c:pt idx="45">
                  <c:v>13.813264977503641</c:v>
                </c:pt>
                <c:pt idx="46">
                  <c:v>14.120502075948281</c:v>
                </c:pt>
                <c:pt idx="47">
                  <c:v>14.427751190360523</c:v>
                </c:pt>
                <c:pt idx="48">
                  <c:v>14.735012322431484</c:v>
                </c:pt>
                <c:pt idx="49">
                  <c:v>15.04228547385306</c:v>
                </c:pt>
                <c:pt idx="50">
                  <c:v>15.349570646317886</c:v>
                </c:pt>
                <c:pt idx="51">
                  <c:v>15.656867841519299</c:v>
                </c:pt>
                <c:pt idx="52">
                  <c:v>15.964177061151302</c:v>
                </c:pt>
                <c:pt idx="53">
                  <c:v>16.271498306908523</c:v>
                </c:pt>
                <c:pt idx="54">
                  <c:v>16.578831580486195</c:v>
                </c:pt>
                <c:pt idx="55">
                  <c:v>16.886176883580113</c:v>
                </c:pt>
                <c:pt idx="56">
                  <c:v>17.19353421788664</c:v>
                </c:pt>
                <c:pt idx="57">
                  <c:v>17.500903585102655</c:v>
                </c:pt>
                <c:pt idx="58">
                  <c:v>17.808284986925571</c:v>
                </c:pt>
                <c:pt idx="59">
                  <c:v>18.115678425053261</c:v>
                </c:pt>
                <c:pt idx="60">
                  <c:v>18.423083901184121</c:v>
                </c:pt>
                <c:pt idx="61">
                  <c:v>18.730501417016981</c:v>
                </c:pt>
                <c:pt idx="62">
                  <c:v>19.037930974251147</c:v>
                </c:pt>
                <c:pt idx="63">
                  <c:v>19.345372574586353</c:v>
                </c:pt>
                <c:pt idx="64">
                  <c:v>19.652826219722797</c:v>
                </c:pt>
                <c:pt idx="65">
                  <c:v>19.960291911361065</c:v>
                </c:pt>
                <c:pt idx="66">
                  <c:v>20.267769651202194</c:v>
                </c:pt>
                <c:pt idx="67">
                  <c:v>20.575259440947612</c:v>
                </c:pt>
                <c:pt idx="68">
                  <c:v>20.88276128229916</c:v>
                </c:pt>
                <c:pt idx="69">
                  <c:v>21.190275176959069</c:v>
                </c:pt>
                <c:pt idx="70">
                  <c:v>21.497801126629987</c:v>
                </c:pt>
                <c:pt idx="71">
                  <c:v>21.805339133014922</c:v>
                </c:pt>
                <c:pt idx="72">
                  <c:v>22.112889197817264</c:v>
                </c:pt>
                <c:pt idx="73">
                  <c:v>22.420451322740814</c:v>
                </c:pt>
                <c:pt idx="74">
                  <c:v>22.728025509489708</c:v>
                </c:pt>
                <c:pt idx="75">
                  <c:v>23.035611759768496</c:v>
                </c:pt>
                <c:pt idx="76">
                  <c:v>23.343210075282045</c:v>
                </c:pt>
                <c:pt idx="77">
                  <c:v>23.65082045773563</c:v>
                </c:pt>
                <c:pt idx="78">
                  <c:v>23.958442908834879</c:v>
                </c:pt>
                <c:pt idx="79">
                  <c:v>24.266077430285765</c:v>
                </c:pt>
                <c:pt idx="80">
                  <c:v>24.573724023794618</c:v>
                </c:pt>
                <c:pt idx="81">
                  <c:v>24.881382691068161</c:v>
                </c:pt>
                <c:pt idx="82">
                  <c:v>25.18905343381342</c:v>
                </c:pt>
                <c:pt idx="83">
                  <c:v>25.496736253737808</c:v>
                </c:pt>
                <c:pt idx="84">
                  <c:v>25.804431152549068</c:v>
                </c:pt>
                <c:pt idx="85">
                  <c:v>26.112138131955309</c:v>
                </c:pt>
                <c:pt idx="86">
                  <c:v>26.41985719366496</c:v>
                </c:pt>
                <c:pt idx="87">
                  <c:v>26.727588339386823</c:v>
                </c:pt>
                <c:pt idx="88">
                  <c:v>27.035331570830039</c:v>
                </c:pt>
                <c:pt idx="89">
                  <c:v>27.343086889704068</c:v>
                </c:pt>
                <c:pt idx="90">
                  <c:v>27.650854297718752</c:v>
                </c:pt>
                <c:pt idx="91">
                  <c:v>27.958633796584238</c:v>
                </c:pt>
                <c:pt idx="92">
                  <c:v>28.266425388011033</c:v>
                </c:pt>
                <c:pt idx="93">
                  <c:v>28.574229073709983</c:v>
                </c:pt>
                <c:pt idx="94">
                  <c:v>28.882044855392248</c:v>
                </c:pt>
                <c:pt idx="95">
                  <c:v>29.18987273476937</c:v>
                </c:pt>
                <c:pt idx="96">
                  <c:v>29.497712713553184</c:v>
                </c:pt>
                <c:pt idx="97">
                  <c:v>29.805564793455893</c:v>
                </c:pt>
                <c:pt idx="98">
                  <c:v>30.113428976190018</c:v>
                </c:pt>
                <c:pt idx="99">
                  <c:v>30.421305263468412</c:v>
                </c:pt>
                <c:pt idx="100">
                  <c:v>30.729193657004284</c:v>
                </c:pt>
              </c:numCache>
            </c:numRef>
          </c:val>
          <c:smooth val="0"/>
          <c:extLst>
            <c:ext xmlns:c16="http://schemas.microsoft.com/office/drawing/2014/chart" uri="{C3380CC4-5D6E-409C-BE32-E72D297353CC}">
              <c16:uniqueId val="{00000002-447A-452D-BA63-8F5F5DADC23C}"/>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1.0068571428571429</c:v>
                </c:pt>
                <c:pt idx="2">
                  <c:v>1.0073185655643224</c:v>
                </c:pt>
                <c:pt idx="3">
                  <c:v>1.0109778483464837</c:v>
                </c:pt>
                <c:pt idx="4">
                  <c:v>1.0146371311286448</c:v>
                </c:pt>
                <c:pt idx="5">
                  <c:v>1.0182964139108062</c:v>
                </c:pt>
                <c:pt idx="6">
                  <c:v>1.0219556966929675</c:v>
                </c:pt>
                <c:pt idx="7">
                  <c:v>1.0256149794751286</c:v>
                </c:pt>
                <c:pt idx="8">
                  <c:v>1.0292742622572899</c:v>
                </c:pt>
                <c:pt idx="9">
                  <c:v>1.032933545039451</c:v>
                </c:pt>
                <c:pt idx="10">
                  <c:v>1.0365928278216123</c:v>
                </c:pt>
                <c:pt idx="11">
                  <c:v>1.0402521106037736</c:v>
                </c:pt>
                <c:pt idx="12">
                  <c:v>1.0439113933859347</c:v>
                </c:pt>
                <c:pt idx="13">
                  <c:v>1.0475706761680961</c:v>
                </c:pt>
                <c:pt idx="14">
                  <c:v>1.0512299589502572</c:v>
                </c:pt>
                <c:pt idx="15">
                  <c:v>1.0548892417324185</c:v>
                </c:pt>
                <c:pt idx="16">
                  <c:v>1.0585485245145798</c:v>
                </c:pt>
                <c:pt idx="17">
                  <c:v>1.0622078072967409</c:v>
                </c:pt>
                <c:pt idx="18">
                  <c:v>1.0658670900789022</c:v>
                </c:pt>
                <c:pt idx="19">
                  <c:v>1.0695263728610633</c:v>
                </c:pt>
                <c:pt idx="20">
                  <c:v>1.0731856556432247</c:v>
                </c:pt>
                <c:pt idx="21">
                  <c:v>1.076844938425386</c:v>
                </c:pt>
                <c:pt idx="22">
                  <c:v>1.0805042212075471</c:v>
                </c:pt>
                <c:pt idx="23">
                  <c:v>1.0841635039897084</c:v>
                </c:pt>
                <c:pt idx="24">
                  <c:v>1.0878227867718695</c:v>
                </c:pt>
                <c:pt idx="25">
                  <c:v>1.0914820695540308</c:v>
                </c:pt>
                <c:pt idx="26">
                  <c:v>1.0951413523361921</c:v>
                </c:pt>
                <c:pt idx="27">
                  <c:v>1.0988006351183532</c:v>
                </c:pt>
                <c:pt idx="28">
                  <c:v>1.1024599179005146</c:v>
                </c:pt>
                <c:pt idx="29">
                  <c:v>1.1061192006826757</c:v>
                </c:pt>
                <c:pt idx="30">
                  <c:v>1.109778483464837</c:v>
                </c:pt>
                <c:pt idx="31">
                  <c:v>1.1134377662469981</c:v>
                </c:pt>
                <c:pt idx="32">
                  <c:v>1.1170970490291594</c:v>
                </c:pt>
                <c:pt idx="33">
                  <c:v>1.1207563318113207</c:v>
                </c:pt>
                <c:pt idx="34">
                  <c:v>1.1244161497867553</c:v>
                </c:pt>
                <c:pt idx="35">
                  <c:v>1.4466155216247085</c:v>
                </c:pt>
                <c:pt idx="36">
                  <c:v>1.7364472162228697</c:v>
                </c:pt>
                <c:pt idx="37">
                  <c:v>2.0263123103331386</c:v>
                </c:pt>
                <c:pt idx="38">
                  <c:v>2.3162108146063543</c:v>
                </c:pt>
                <c:pt idx="39">
                  <c:v>2.6061427397001529</c:v>
                </c:pt>
                <c:pt idx="40">
                  <c:v>2.8961080962787027</c:v>
                </c:pt>
                <c:pt idx="41">
                  <c:v>3.1861068950124283</c:v>
                </c:pt>
                <c:pt idx="42">
                  <c:v>3.4761391465778431</c:v>
                </c:pt>
                <c:pt idx="43">
                  <c:v>3.7662048616573385</c:v>
                </c:pt>
                <c:pt idx="44">
                  <c:v>4.0563040509390564</c:v>
                </c:pt>
                <c:pt idx="45">
                  <c:v>4.3464367251167424</c:v>
                </c:pt>
                <c:pt idx="46">
                  <c:v>4.6366028948896476</c:v>
                </c:pt>
                <c:pt idx="47">
                  <c:v>4.9268025709624181</c:v>
                </c:pt>
                <c:pt idx="48">
                  <c:v>5.217035764045006</c:v>
                </c:pt>
                <c:pt idx="49">
                  <c:v>5.5073024848526062</c:v>
                </c:pt>
                <c:pt idx="50">
                  <c:v>5.7976027441055962</c:v>
                </c:pt>
                <c:pt idx="51">
                  <c:v>6.0879365525294569</c:v>
                </c:pt>
                <c:pt idx="52">
                  <c:v>6.3783039208547256</c:v>
                </c:pt>
                <c:pt idx="53">
                  <c:v>6.6687048598169962</c:v>
                </c:pt>
                <c:pt idx="54">
                  <c:v>6.959139380156814</c:v>
                </c:pt>
                <c:pt idx="55">
                  <c:v>7.2496074926196901</c:v>
                </c:pt>
                <c:pt idx="56">
                  <c:v>7.5401092079560366</c:v>
                </c:pt>
                <c:pt idx="57">
                  <c:v>7.8306445369211621</c:v>
                </c:pt>
                <c:pt idx="58">
                  <c:v>8.1212134902752702</c:v>
                </c:pt>
                <c:pt idx="59">
                  <c:v>8.411816078783378</c:v>
                </c:pt>
                <c:pt idx="60">
                  <c:v>8.7024523132153409</c:v>
                </c:pt>
                <c:pt idx="61">
                  <c:v>8.9931222043458199</c:v>
                </c:pt>
                <c:pt idx="62">
                  <c:v>9.2838257629542866</c:v>
                </c:pt>
                <c:pt idx="63">
                  <c:v>9.5745629998249964</c:v>
                </c:pt>
                <c:pt idx="64">
                  <c:v>9.8653339257469543</c:v>
                </c:pt>
                <c:pt idx="65">
                  <c:v>10.15613855151395</c:v>
                </c:pt>
                <c:pt idx="66">
                  <c:v>10.44697688792451</c:v>
                </c:pt>
                <c:pt idx="67">
                  <c:v>10.737848945781931</c:v>
                </c:pt>
                <c:pt idx="68">
                  <c:v>11.028754735894221</c:v>
                </c:pt>
                <c:pt idx="69">
                  <c:v>11.319694269074112</c:v>
                </c:pt>
                <c:pt idx="70">
                  <c:v>11.610667556139099</c:v>
                </c:pt>
                <c:pt idx="71">
                  <c:v>11.901674607911374</c:v>
                </c:pt>
                <c:pt idx="72">
                  <c:v>12.192715435217844</c:v>
                </c:pt>
                <c:pt idx="73">
                  <c:v>12.483790048890128</c:v>
                </c:pt>
                <c:pt idx="74">
                  <c:v>12.774898459764575</c:v>
                </c:pt>
                <c:pt idx="75">
                  <c:v>13.066040678682219</c:v>
                </c:pt>
                <c:pt idx="76">
                  <c:v>13.357216716488805</c:v>
                </c:pt>
                <c:pt idx="77">
                  <c:v>13.648426584034784</c:v>
                </c:pt>
                <c:pt idx="78">
                  <c:v>13.939670292175315</c:v>
                </c:pt>
                <c:pt idx="79">
                  <c:v>14.230947851770244</c:v>
                </c:pt>
                <c:pt idx="80">
                  <c:v>14.522259273684119</c:v>
                </c:pt>
                <c:pt idx="81">
                  <c:v>14.8136045687862</c:v>
                </c:pt>
                <c:pt idx="82">
                  <c:v>15.104983747950428</c:v>
                </c:pt>
                <c:pt idx="83">
                  <c:v>15.396396822055451</c:v>
                </c:pt>
                <c:pt idx="84">
                  <c:v>15.687843801984609</c:v>
                </c:pt>
                <c:pt idx="85">
                  <c:v>15.97932469862595</c:v>
                </c:pt>
                <c:pt idx="86">
                  <c:v>16.270839522872222</c:v>
                </c:pt>
                <c:pt idx="87">
                  <c:v>16.562388285620852</c:v>
                </c:pt>
                <c:pt idx="88">
                  <c:v>16.853970997773981</c:v>
                </c:pt>
                <c:pt idx="89">
                  <c:v>17.145587670238452</c:v>
                </c:pt>
                <c:pt idx="90">
                  <c:v>17.437238313925786</c:v>
                </c:pt>
                <c:pt idx="91">
                  <c:v>17.728922939752255</c:v>
                </c:pt>
                <c:pt idx="92">
                  <c:v>18.020641558638786</c:v>
                </c:pt>
                <c:pt idx="93">
                  <c:v>18.312394181511017</c:v>
                </c:pt>
                <c:pt idx="94">
                  <c:v>18.604180819299327</c:v>
                </c:pt>
                <c:pt idx="95">
                  <c:v>18.896001482938765</c:v>
                </c:pt>
                <c:pt idx="96">
                  <c:v>19.187856183369085</c:v>
                </c:pt>
                <c:pt idx="97">
                  <c:v>19.479744931534785</c:v>
                </c:pt>
                <c:pt idx="98">
                  <c:v>19.771667738385048</c:v>
                </c:pt>
                <c:pt idx="99">
                  <c:v>20.063624614873778</c:v>
                </c:pt>
                <c:pt idx="100">
                  <c:v>20.355615571959593</c:v>
                </c:pt>
              </c:numCache>
            </c:numRef>
          </c:val>
          <c:smooth val="0"/>
          <c:extLst>
            <c:ext xmlns:c16="http://schemas.microsoft.com/office/drawing/2014/chart" uri="{C3380CC4-5D6E-409C-BE32-E72D297353CC}">
              <c16:uniqueId val="{00000000-745B-46F7-8EAC-D410ADA60268}"/>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Single'!$AK$5:$AK$105</c:f>
              <c:numCache>
                <c:formatCode>0.000</c:formatCode>
                <c:ptCount val="101"/>
                <c:pt idx="0">
                  <c:v>1.0068571428571429</c:v>
                </c:pt>
                <c:pt idx="1">
                  <c:v>1.0068571428571429</c:v>
                </c:pt>
                <c:pt idx="2">
                  <c:v>1.0073185655643224</c:v>
                </c:pt>
                <c:pt idx="3">
                  <c:v>1.0109778483464837</c:v>
                </c:pt>
                <c:pt idx="4">
                  <c:v>1.0146371311286448</c:v>
                </c:pt>
                <c:pt idx="5">
                  <c:v>1.0182964139108062</c:v>
                </c:pt>
                <c:pt idx="6">
                  <c:v>1.0219556966929675</c:v>
                </c:pt>
                <c:pt idx="7">
                  <c:v>1.0256149794751286</c:v>
                </c:pt>
                <c:pt idx="8">
                  <c:v>1.0292742622572899</c:v>
                </c:pt>
                <c:pt idx="9">
                  <c:v>1.032933545039451</c:v>
                </c:pt>
                <c:pt idx="10">
                  <c:v>1.0365928278216123</c:v>
                </c:pt>
                <c:pt idx="11">
                  <c:v>1.0402521106037736</c:v>
                </c:pt>
                <c:pt idx="12">
                  <c:v>1.0439113933859347</c:v>
                </c:pt>
                <c:pt idx="13">
                  <c:v>1.0475706761680961</c:v>
                </c:pt>
                <c:pt idx="14">
                  <c:v>1.0512299589502572</c:v>
                </c:pt>
                <c:pt idx="15">
                  <c:v>1.0548892417324185</c:v>
                </c:pt>
                <c:pt idx="16">
                  <c:v>1.0585485245145798</c:v>
                </c:pt>
                <c:pt idx="17">
                  <c:v>1.0622078072967409</c:v>
                </c:pt>
                <c:pt idx="18">
                  <c:v>1.0658670900789022</c:v>
                </c:pt>
                <c:pt idx="19">
                  <c:v>1.0695263728610633</c:v>
                </c:pt>
                <c:pt idx="20">
                  <c:v>1.0731856556432247</c:v>
                </c:pt>
                <c:pt idx="21">
                  <c:v>1.076844938425386</c:v>
                </c:pt>
                <c:pt idx="22">
                  <c:v>1.0805042212075471</c:v>
                </c:pt>
                <c:pt idx="23">
                  <c:v>1.0841635039897084</c:v>
                </c:pt>
                <c:pt idx="24">
                  <c:v>1.0878227867718695</c:v>
                </c:pt>
                <c:pt idx="25">
                  <c:v>1.0914820695540308</c:v>
                </c:pt>
                <c:pt idx="26">
                  <c:v>1.0951413523361921</c:v>
                </c:pt>
                <c:pt idx="27">
                  <c:v>1.0988006351183532</c:v>
                </c:pt>
                <c:pt idx="28">
                  <c:v>1.1024599179005146</c:v>
                </c:pt>
                <c:pt idx="29">
                  <c:v>1.1061192006826757</c:v>
                </c:pt>
                <c:pt idx="30">
                  <c:v>1.109778483464837</c:v>
                </c:pt>
                <c:pt idx="31">
                  <c:v>1.1134377662469981</c:v>
                </c:pt>
                <c:pt idx="32">
                  <c:v>1.1170970490291594</c:v>
                </c:pt>
                <c:pt idx="33">
                  <c:v>1.1207563318113207</c:v>
                </c:pt>
                <c:pt idx="34">
                  <c:v>1.1244156145934818</c:v>
                </c:pt>
                <c:pt idx="35">
                  <c:v>1.1280748973756431</c:v>
                </c:pt>
                <c:pt idx="36">
                  <c:v>1.1317341801578045</c:v>
                </c:pt>
                <c:pt idx="37">
                  <c:v>1.1353934629399656</c:v>
                </c:pt>
                <c:pt idx="38">
                  <c:v>1.1390527457221269</c:v>
                </c:pt>
                <c:pt idx="39">
                  <c:v>1.2237948887106123</c:v>
                </c:pt>
                <c:pt idx="40">
                  <c:v>1.4779585861793521</c:v>
                </c:pt>
                <c:pt idx="41">
                  <c:v>1.7321681843486019</c:v>
                </c:pt>
                <c:pt idx="42">
                  <c:v>1.9863947684540109</c:v>
                </c:pt>
                <c:pt idx="43">
                  <c:v>2.2406383420578182</c:v>
                </c:pt>
                <c:pt idx="44">
                  <c:v>2.49489890872412</c:v>
                </c:pt>
                <c:pt idx="45">
                  <c:v>2.7491764720187954</c:v>
                </c:pt>
                <c:pt idx="46">
                  <c:v>3.0034710355094196</c:v>
                </c:pt>
                <c:pt idx="47">
                  <c:v>3.2577826027651735</c:v>
                </c:pt>
                <c:pt idx="48">
                  <c:v>3.5121111773568003</c:v>
                </c:pt>
                <c:pt idx="49">
                  <c:v>3.7664567628565182</c:v>
                </c:pt>
                <c:pt idx="50">
                  <c:v>4.0208193628380107</c:v>
                </c:pt>
                <c:pt idx="51">
                  <c:v>4.2751989808763566</c:v>
                </c:pt>
                <c:pt idx="52">
                  <c:v>4.5295956205479904</c:v>
                </c:pt>
                <c:pt idx="53">
                  <c:v>4.7840092854306793</c:v>
                </c:pt>
                <c:pt idx="54">
                  <c:v>5.0384399791034973</c:v>
                </c:pt>
                <c:pt idx="55">
                  <c:v>5.2928877051467786</c:v>
                </c:pt>
                <c:pt idx="56">
                  <c:v>5.5473524671421117</c:v>
                </c:pt>
                <c:pt idx="57">
                  <c:v>5.8018342686723088</c:v>
                </c:pt>
                <c:pt idx="58">
                  <c:v>6.0563331133213998</c:v>
                </c:pt>
                <c:pt idx="59">
                  <c:v>6.3108490046745827</c:v>
                </c:pt>
                <c:pt idx="60">
                  <c:v>6.565381946318257</c:v>
                </c:pt>
                <c:pt idx="61">
                  <c:v>6.8199319418399726</c:v>
                </c:pt>
                <c:pt idx="62">
                  <c:v>7.0744989948284234</c:v>
                </c:pt>
                <c:pt idx="63">
                  <c:v>7.3290831088734603</c:v>
                </c:pt>
                <c:pt idx="64">
                  <c:v>7.5836842875660393</c:v>
                </c:pt>
                <c:pt idx="65">
                  <c:v>7.8383025344982489</c:v>
                </c:pt>
                <c:pt idx="66">
                  <c:v>8.0929378532632903</c:v>
                </c:pt>
                <c:pt idx="67">
                  <c:v>8.3475902474554715</c:v>
                </c:pt>
                <c:pt idx="68">
                  <c:v>8.6022597206701885</c:v>
                </c:pt>
                <c:pt idx="69">
                  <c:v>8.8569462765039226</c:v>
                </c:pt>
                <c:pt idx="70">
                  <c:v>9.1116499185542672</c:v>
                </c:pt>
                <c:pt idx="71">
                  <c:v>9.3663706504198814</c:v>
                </c:pt>
                <c:pt idx="72">
                  <c:v>9.6211084757004919</c:v>
                </c:pt>
                <c:pt idx="73">
                  <c:v>9.8758633979969108</c:v>
                </c:pt>
                <c:pt idx="74">
                  <c:v>10.130635420911007</c:v>
                </c:pt>
                <c:pt idx="75">
                  <c:v>10.385424548045727</c:v>
                </c:pt>
                <c:pt idx="76">
                  <c:v>10.640230783005075</c:v>
                </c:pt>
                <c:pt idx="77">
                  <c:v>10.895054129394106</c:v>
                </c:pt>
                <c:pt idx="78">
                  <c:v>11.14989459081894</c:v>
                </c:pt>
                <c:pt idx="79">
                  <c:v>11.404752170886752</c:v>
                </c:pt>
                <c:pt idx="80">
                  <c:v>11.659626873205752</c:v>
                </c:pt>
                <c:pt idx="81">
                  <c:v>11.914518701385232</c:v>
                </c:pt>
                <c:pt idx="82">
                  <c:v>12.169427659035492</c:v>
                </c:pt>
                <c:pt idx="83">
                  <c:v>12.424353749767928</c:v>
                </c:pt>
                <c:pt idx="84">
                  <c:v>12.679296977194925</c:v>
                </c:pt>
                <c:pt idx="85">
                  <c:v>12.934257344929955</c:v>
                </c:pt>
                <c:pt idx="86">
                  <c:v>13.189234856587502</c:v>
                </c:pt>
                <c:pt idx="87">
                  <c:v>13.444229515783119</c:v>
                </c:pt>
                <c:pt idx="88">
                  <c:v>13.699241326133373</c:v>
                </c:pt>
                <c:pt idx="89">
                  <c:v>13.954270291255884</c:v>
                </c:pt>
                <c:pt idx="90">
                  <c:v>14.209316414769315</c:v>
                </c:pt>
                <c:pt idx="91">
                  <c:v>14.464379700293355</c:v>
                </c:pt>
                <c:pt idx="92">
                  <c:v>14.719460151448732</c:v>
                </c:pt>
                <c:pt idx="93">
                  <c:v>14.974557771857212</c:v>
                </c:pt>
                <c:pt idx="94">
                  <c:v>15.229672565141595</c:v>
                </c:pt>
                <c:pt idx="95">
                  <c:v>15.48480453492572</c:v>
                </c:pt>
                <c:pt idx="96">
                  <c:v>15.739953684834461</c:v>
                </c:pt>
                <c:pt idx="97">
                  <c:v>15.995120018493713</c:v>
                </c:pt>
                <c:pt idx="98">
                  <c:v>16.250303539530425</c:v>
                </c:pt>
                <c:pt idx="99">
                  <c:v>16.505504251572575</c:v>
                </c:pt>
                <c:pt idx="100">
                  <c:v>16.760722158249152</c:v>
                </c:pt>
              </c:numCache>
            </c:numRef>
          </c:val>
          <c:smooth val="0"/>
          <c:extLst>
            <c:ext xmlns:c16="http://schemas.microsoft.com/office/drawing/2014/chart" uri="{C3380CC4-5D6E-409C-BE32-E72D297353CC}">
              <c16:uniqueId val="{00000001-745B-46F7-8EAC-D410ADA60268}"/>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1.0068571428571429</c:v>
                </c:pt>
                <c:pt idx="2">
                  <c:v>1.0073185655643224</c:v>
                </c:pt>
                <c:pt idx="3">
                  <c:v>1.0109778483464837</c:v>
                </c:pt>
                <c:pt idx="4">
                  <c:v>1.0146371311286448</c:v>
                </c:pt>
                <c:pt idx="5">
                  <c:v>1.0182964139108062</c:v>
                </c:pt>
                <c:pt idx="6">
                  <c:v>1.0219556966929675</c:v>
                </c:pt>
                <c:pt idx="7">
                  <c:v>1.0256149794751286</c:v>
                </c:pt>
                <c:pt idx="8">
                  <c:v>1.0292742622572899</c:v>
                </c:pt>
                <c:pt idx="9">
                  <c:v>1.032933545039451</c:v>
                </c:pt>
                <c:pt idx="10">
                  <c:v>1.0365928278216123</c:v>
                </c:pt>
                <c:pt idx="11">
                  <c:v>1.0402521106037736</c:v>
                </c:pt>
                <c:pt idx="12">
                  <c:v>1.0439113933859347</c:v>
                </c:pt>
                <c:pt idx="13">
                  <c:v>1.0475706761680961</c:v>
                </c:pt>
                <c:pt idx="14">
                  <c:v>1.0512299589502572</c:v>
                </c:pt>
                <c:pt idx="15">
                  <c:v>1.0548892417324185</c:v>
                </c:pt>
                <c:pt idx="16">
                  <c:v>1.0585485245145798</c:v>
                </c:pt>
                <c:pt idx="17">
                  <c:v>1.0622078072967409</c:v>
                </c:pt>
                <c:pt idx="18">
                  <c:v>1.0658670900789022</c:v>
                </c:pt>
                <c:pt idx="19">
                  <c:v>1.0695263728610633</c:v>
                </c:pt>
                <c:pt idx="20">
                  <c:v>1.0731856556432247</c:v>
                </c:pt>
                <c:pt idx="21">
                  <c:v>1.076844938425386</c:v>
                </c:pt>
                <c:pt idx="22">
                  <c:v>1.0805042212075471</c:v>
                </c:pt>
                <c:pt idx="23">
                  <c:v>1.0841635039897084</c:v>
                </c:pt>
                <c:pt idx="24">
                  <c:v>1.0878227867718695</c:v>
                </c:pt>
                <c:pt idx="25">
                  <c:v>1.0914820695540308</c:v>
                </c:pt>
                <c:pt idx="26">
                  <c:v>1.0951413523361921</c:v>
                </c:pt>
                <c:pt idx="27">
                  <c:v>1.0988006351183532</c:v>
                </c:pt>
                <c:pt idx="28">
                  <c:v>1.1024599179005146</c:v>
                </c:pt>
                <c:pt idx="29">
                  <c:v>1.1061192006826757</c:v>
                </c:pt>
                <c:pt idx="30">
                  <c:v>1.109778483464837</c:v>
                </c:pt>
                <c:pt idx="31">
                  <c:v>1.1134377662469981</c:v>
                </c:pt>
                <c:pt idx="32">
                  <c:v>1.1170970490291594</c:v>
                </c:pt>
                <c:pt idx="33">
                  <c:v>1.1207563318113207</c:v>
                </c:pt>
                <c:pt idx="34">
                  <c:v>1.1244156145934818</c:v>
                </c:pt>
                <c:pt idx="35">
                  <c:v>1.1280748973756431</c:v>
                </c:pt>
                <c:pt idx="36">
                  <c:v>1.1317341801578045</c:v>
                </c:pt>
                <c:pt idx="37">
                  <c:v>1.1353934629399656</c:v>
                </c:pt>
                <c:pt idx="38">
                  <c:v>1.1390527457221269</c:v>
                </c:pt>
                <c:pt idx="39">
                  <c:v>1.142712028504288</c:v>
                </c:pt>
                <c:pt idx="40">
                  <c:v>1.1463713112864493</c:v>
                </c:pt>
                <c:pt idx="41">
                  <c:v>1.1500305940686104</c:v>
                </c:pt>
                <c:pt idx="42">
                  <c:v>1.1536898768507717</c:v>
                </c:pt>
                <c:pt idx="43">
                  <c:v>1.1573495564138585</c:v>
                </c:pt>
                <c:pt idx="44">
                  <c:v>1.3279307851874154</c:v>
                </c:pt>
                <c:pt idx="45">
                  <c:v>1.5555049216076346</c:v>
                </c:pt>
                <c:pt idx="46">
                  <c:v>1.7830879574925529</c:v>
                </c:pt>
                <c:pt idx="47">
                  <c:v>2.0106798940942139</c:v>
                </c:pt>
                <c:pt idx="48">
                  <c:v>2.238280732665296</c:v>
                </c:pt>
                <c:pt idx="49">
                  <c:v>2.465890474459056</c:v>
                </c:pt>
                <c:pt idx="50">
                  <c:v>2.6935091207292983</c:v>
                </c:pt>
                <c:pt idx="51">
                  <c:v>2.9211366727303441</c:v>
                </c:pt>
                <c:pt idx="52">
                  <c:v>3.1487731317170136</c:v>
                </c:pt>
                <c:pt idx="53">
                  <c:v>3.3764184989445845</c:v>
                </c:pt>
                <c:pt idx="54">
                  <c:v>3.6040727756687865</c:v>
                </c:pt>
                <c:pt idx="55">
                  <c:v>3.8317359631457624</c:v>
                </c:pt>
                <c:pt idx="56">
                  <c:v>4.0594080626320785</c:v>
                </c:pt>
                <c:pt idx="57">
                  <c:v>4.2870890753846824</c:v>
                </c:pt>
                <c:pt idx="58">
                  <c:v>4.5147790026609167</c:v>
                </c:pt>
                <c:pt idx="59">
                  <c:v>4.7424778457184642</c:v>
                </c:pt>
                <c:pt idx="60">
                  <c:v>4.9701856058153977</c:v>
                </c:pt>
                <c:pt idx="61">
                  <c:v>5.1979022842101088</c:v>
                </c:pt>
                <c:pt idx="62">
                  <c:v>5.4256278821613435</c:v>
                </c:pt>
                <c:pt idx="63">
                  <c:v>5.6533624009281622</c:v>
                </c:pt>
                <c:pt idx="64">
                  <c:v>5.8811058417699726</c:v>
                </c:pt>
                <c:pt idx="65">
                  <c:v>6.1088582059464676</c:v>
                </c:pt>
                <c:pt idx="66">
                  <c:v>6.3366194947176746</c:v>
                </c:pt>
                <c:pt idx="67">
                  <c:v>6.5643897093439101</c:v>
                </c:pt>
                <c:pt idx="68">
                  <c:v>6.7921688510857976</c:v>
                </c:pt>
                <c:pt idx="69">
                  <c:v>7.0199569212042485</c:v>
                </c:pt>
                <c:pt idx="70">
                  <c:v>7.2477539209604842</c:v>
                </c:pt>
                <c:pt idx="71">
                  <c:v>7.4755598516159916</c:v>
                </c:pt>
                <c:pt idx="72">
                  <c:v>7.7033747144325408</c:v>
                </c:pt>
                <c:pt idx="73">
                  <c:v>7.9311985106722069</c:v>
                </c:pt>
                <c:pt idx="74">
                  <c:v>8.1590312415973134</c:v>
                </c:pt>
                <c:pt idx="75">
                  <c:v>8.3868729084704903</c:v>
                </c:pt>
                <c:pt idx="76">
                  <c:v>8.6147235125546011</c:v>
                </c:pt>
                <c:pt idx="77">
                  <c:v>8.8425830551128115</c:v>
                </c:pt>
                <c:pt idx="78">
                  <c:v>9.0704515374085517</c:v>
                </c:pt>
                <c:pt idx="79">
                  <c:v>9.2983289607055042</c:v>
                </c:pt>
                <c:pt idx="80">
                  <c:v>9.5262153262676179</c:v>
                </c:pt>
                <c:pt idx="81">
                  <c:v>9.7541106353591296</c:v>
                </c:pt>
                <c:pt idx="82">
                  <c:v>9.9820148892445069</c:v>
                </c:pt>
                <c:pt idx="83">
                  <c:v>10.209928089188498</c:v>
                </c:pt>
                <c:pt idx="84">
                  <c:v>10.437850236456098</c:v>
                </c:pt>
                <c:pt idx="85">
                  <c:v>10.665781332312573</c:v>
                </c:pt>
                <c:pt idx="86">
                  <c:v>10.893721378023425</c:v>
                </c:pt>
                <c:pt idx="87">
                  <c:v>11.121670374854435</c:v>
                </c:pt>
                <c:pt idx="88">
                  <c:v>11.349628324071633</c:v>
                </c:pt>
                <c:pt idx="89">
                  <c:v>11.577595226941284</c:v>
                </c:pt>
                <c:pt idx="90">
                  <c:v>11.805571084729937</c:v>
                </c:pt>
                <c:pt idx="91">
                  <c:v>12.033555898704373</c:v>
                </c:pt>
                <c:pt idx="92">
                  <c:v>12.261549670131629</c:v>
                </c:pt>
                <c:pt idx="93">
                  <c:v>12.489552400278999</c:v>
                </c:pt>
                <c:pt idx="94">
                  <c:v>12.71756409041401</c:v>
                </c:pt>
                <c:pt idx="95">
                  <c:v>12.94558474180447</c:v>
                </c:pt>
                <c:pt idx="96">
                  <c:v>13.173614355718405</c:v>
                </c:pt>
                <c:pt idx="97">
                  <c:v>13.401652933424115</c:v>
                </c:pt>
                <c:pt idx="98">
                  <c:v>13.629700476190138</c:v>
                </c:pt>
                <c:pt idx="99">
                  <c:v>13.85775698528524</c:v>
                </c:pt>
                <c:pt idx="100">
                  <c:v>14.085822461978484</c:v>
                </c:pt>
              </c:numCache>
            </c:numRef>
          </c:val>
          <c:smooth val="0"/>
          <c:extLst>
            <c:ext xmlns:c16="http://schemas.microsoft.com/office/drawing/2014/chart" uri="{C3380CC4-5D6E-409C-BE32-E72D297353CC}">
              <c16:uniqueId val="{00000002-745B-46F7-8EAC-D410ADA60268}"/>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Single'!$CB$5:$CB$105</c:f>
              <c:numCache>
                <c:formatCode>0.00</c:formatCode>
                <c:ptCount val="101"/>
                <c:pt idx="0">
                  <c:v>1.2160998152881747E-4</c:v>
                </c:pt>
                <c:pt idx="1">
                  <c:v>83.854061296468402</c:v>
                </c:pt>
                <c:pt idx="2">
                  <c:v>89.751760793884486</c:v>
                </c:pt>
                <c:pt idx="3">
                  <c:v>90.421137115258347</c:v>
                </c:pt>
                <c:pt idx="4">
                  <c:v>90.758388167913296</c:v>
                </c:pt>
                <c:pt idx="5">
                  <c:v>90.960987093669175</c:v>
                </c:pt>
                <c:pt idx="6">
                  <c:v>91.095751076065284</c:v>
                </c:pt>
                <c:pt idx="7">
                  <c:v>91.191563118237013</c:v>
                </c:pt>
                <c:pt idx="8">
                  <c:v>91.262946555314556</c:v>
                </c:pt>
                <c:pt idx="9">
                  <c:v>91.318002438967554</c:v>
                </c:pt>
                <c:pt idx="10">
                  <c:v>91.361606105425579</c:v>
                </c:pt>
                <c:pt idx="11">
                  <c:v>91.396867357744583</c:v>
                </c:pt>
                <c:pt idx="12">
                  <c:v>91.425863320284577</c:v>
                </c:pt>
                <c:pt idx="13">
                  <c:v>91.450034234741963</c:v>
                </c:pt>
                <c:pt idx="14">
                  <c:v>91.470410179916485</c:v>
                </c:pt>
                <c:pt idx="15">
                  <c:v>91.487747378377421</c:v>
                </c:pt>
                <c:pt idx="16">
                  <c:v>91.502613533367466</c:v>
                </c:pt>
                <c:pt idx="17">
                  <c:v>91.515443127358154</c:v>
                </c:pt>
                <c:pt idx="18">
                  <c:v>91.526574334323499</c:v>
                </c:pt>
                <c:pt idx="19">
                  <c:v>91.53627430340994</c:v>
                </c:pt>
                <c:pt idx="20">
                  <c:v>91.544756874756743</c:v>
                </c:pt>
                <c:pt idx="21">
                  <c:v>91.552195244618702</c:v>
                </c:pt>
                <c:pt idx="22">
                  <c:v>91.558731183507817</c:v>
                </c:pt>
                <c:pt idx="23">
                  <c:v>91.564481854359641</c:v>
                </c:pt>
                <c:pt idx="24">
                  <c:v>91.569544929390105</c:v>
                </c:pt>
                <c:pt idx="25">
                  <c:v>91.574002481141974</c:v>
                </c:pt>
                <c:pt idx="26">
                  <c:v>91.577923977169448</c:v>
                </c:pt>
                <c:pt idx="27">
                  <c:v>91.581368610358965</c:v>
                </c:pt>
                <c:pt idx="28">
                  <c:v>91.584387130707583</c:v>
                </c:pt>
                <c:pt idx="29">
                  <c:v>91.587023298707251</c:v>
                </c:pt>
                <c:pt idx="30">
                  <c:v>91.589315048493617</c:v>
                </c:pt>
                <c:pt idx="31">
                  <c:v>91.591295426199679</c:v>
                </c:pt>
                <c:pt idx="32">
                  <c:v>91.592993352618478</c:v>
                </c:pt>
                <c:pt idx="33">
                  <c:v>91.594434247391206</c:v>
                </c:pt>
                <c:pt idx="34">
                  <c:v>91.595640543191934</c:v>
                </c:pt>
                <c:pt idx="35">
                  <c:v>91.596632111881007</c:v>
                </c:pt>
                <c:pt idx="36">
                  <c:v>91.59742661972281</c:v>
                </c:pt>
                <c:pt idx="37">
                  <c:v>91.59803982507151</c:v>
                </c:pt>
                <c:pt idx="38">
                  <c:v>91.59848582910999</c:v>
                </c:pt>
                <c:pt idx="39">
                  <c:v>91.862173294534827</c:v>
                </c:pt>
                <c:pt idx="40">
                  <c:v>91.966981180931455</c:v>
                </c:pt>
                <c:pt idx="41">
                  <c:v>92.065822135702973</c:v>
                </c:pt>
                <c:pt idx="42">
                  <c:v>92.159113993670942</c:v>
                </c:pt>
                <c:pt idx="43">
                  <c:v>92.247240471198324</c:v>
                </c:pt>
                <c:pt idx="44">
                  <c:v>92.330550401540293</c:v>
                </c:pt>
                <c:pt idx="45">
                  <c:v>92.409361582385202</c:v>
                </c:pt>
                <c:pt idx="46">
                  <c:v>92.483964126692726</c:v>
                </c:pt>
                <c:pt idx="47">
                  <c:v>92.554623389819241</c:v>
                </c:pt>
                <c:pt idx="48">
                  <c:v>92.621582533949223</c:v>
                </c:pt>
                <c:pt idx="49">
                  <c:v>92.685064781039443</c:v>
                </c:pt>
                <c:pt idx="50">
                  <c:v>92.745275397405251</c:v>
                </c:pt>
                <c:pt idx="51">
                  <c:v>92.802403446403588</c:v>
                </c:pt>
                <c:pt idx="52">
                  <c:v>92.856623340130199</c:v>
                </c:pt>
                <c:pt idx="53">
                  <c:v>92.908096216436704</c:v>
                </c:pt>
                <c:pt idx="54">
                  <c:v>92.956971163720056</c:v>
                </c:pt>
                <c:pt idx="55">
                  <c:v>93.003386312706311</c:v>
                </c:pt>
                <c:pt idx="56">
                  <c:v>93.047469811730622</c:v>
                </c:pt>
                <c:pt idx="57">
                  <c:v>93.089340699723138</c:v>
                </c:pt>
                <c:pt idx="58">
                  <c:v>93.129109689165929</c:v>
                </c:pt>
                <c:pt idx="59">
                  <c:v>93.166879869638592</c:v>
                </c:pt>
                <c:pt idx="60">
                  <c:v>93.202747341164169</c:v>
                </c:pt>
                <c:pt idx="61">
                  <c:v>93.23680178536938</c:v>
                </c:pt>
                <c:pt idx="62">
                  <c:v>93.269126981444657</c:v>
                </c:pt>
                <c:pt idx="63">
                  <c:v>93.299801273009848</c:v>
                </c:pt>
                <c:pt idx="64">
                  <c:v>93.328897991231472</c:v>
                </c:pt>
                <c:pt idx="65">
                  <c:v>93.356485838884268</c:v>
                </c:pt>
                <c:pt idx="66">
                  <c:v>93.382629239483435</c:v>
                </c:pt>
                <c:pt idx="67">
                  <c:v>93.407388655123782</c:v>
                </c:pt>
                <c:pt idx="68">
                  <c:v>93.430820876236524</c:v>
                </c:pt>
                <c:pt idx="69">
                  <c:v>93.452979286103357</c:v>
                </c:pt>
                <c:pt idx="70">
                  <c:v>93.473914102644514</c:v>
                </c:pt>
                <c:pt idx="71">
                  <c:v>93.493672599714785</c:v>
                </c:pt>
                <c:pt idx="72">
                  <c:v>93.51229930989436</c:v>
                </c:pt>
                <c:pt idx="73">
                  <c:v>93.529836210543749</c:v>
                </c:pt>
                <c:pt idx="74">
                  <c:v>93.546322894702072</c:v>
                </c:pt>
                <c:pt idx="75">
                  <c:v>93.56179672823896</c:v>
                </c:pt>
                <c:pt idx="76">
                  <c:v>93.576292994523271</c:v>
                </c:pt>
                <c:pt idx="77">
                  <c:v>93.589845027739798</c:v>
                </c:pt>
                <c:pt idx="78">
                  <c:v>93.602484335870088</c:v>
                </c:pt>
                <c:pt idx="79">
                  <c:v>93.61424071425013</c:v>
                </c:pt>
                <c:pt idx="80">
                  <c:v>93.625142350526986</c:v>
                </c:pt>
                <c:pt idx="81">
                  <c:v>93.635215921754707</c:v>
                </c:pt>
                <c:pt idx="82">
                  <c:v>93.644486684298329</c:v>
                </c:pt>
                <c:pt idx="83">
                  <c:v>93.652978557149439</c:v>
                </c:pt>
                <c:pt idx="84">
                  <c:v>93.660714199200285</c:v>
                </c:pt>
                <c:pt idx="85">
                  <c:v>93.667715080970794</c:v>
                </c:pt>
                <c:pt idx="86">
                  <c:v>93.674001551237666</c:v>
                </c:pt>
                <c:pt idx="87">
                  <c:v>93.679592898972786</c:v>
                </c:pt>
                <c:pt idx="88">
                  <c:v>93.684507410961459</c:v>
                </c:pt>
                <c:pt idx="89">
                  <c:v>93.688762425437062</c:v>
                </c:pt>
                <c:pt idx="90">
                  <c:v>93.692374382039162</c:v>
                </c:pt>
                <c:pt idx="91">
                  <c:v>93.695358868374797</c:v>
                </c:pt>
                <c:pt idx="92">
                  <c:v>93.697730663438065</c:v>
                </c:pt>
                <c:pt idx="93">
                  <c:v>93.699503778121169</c:v>
                </c:pt>
                <c:pt idx="94">
                  <c:v>93.700691493030263</c:v>
                </c:pt>
                <c:pt idx="95">
                  <c:v>93.701306393800692</c:v>
                </c:pt>
                <c:pt idx="96">
                  <c:v>93.701360404090735</c:v>
                </c:pt>
                <c:pt idx="97">
                  <c:v>93.700864816417223</c:v>
                </c:pt>
                <c:pt idx="98">
                  <c:v>93.699830320983082</c:v>
                </c:pt>
                <c:pt idx="99">
                  <c:v>93.698267032634902</c:v>
                </c:pt>
                <c:pt idx="100">
                  <c:v>93.696184516076968</c:v>
                </c:pt>
              </c:numCache>
            </c:numRef>
          </c:val>
          <c:smooth val="0"/>
          <c:extLst>
            <c:ext xmlns:c16="http://schemas.microsoft.com/office/drawing/2014/chart" uri="{C3380CC4-5D6E-409C-BE32-E72D297353CC}">
              <c16:uniqueId val="{00000000-8093-4275-A0A4-629DC5917466}"/>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2.2187500000000001E-6</c:v>
                </c:pt>
                <c:pt idx="1">
                  <c:v>11.09375</c:v>
                </c:pt>
                <c:pt idx="2">
                  <c:v>22.1875</c:v>
                </c:pt>
                <c:pt idx="3">
                  <c:v>33.28125</c:v>
                </c:pt>
                <c:pt idx="4">
                  <c:v>44.375</c:v>
                </c:pt>
                <c:pt idx="5">
                  <c:v>55.46875</c:v>
                </c:pt>
                <c:pt idx="6">
                  <c:v>66.5625</c:v>
                </c:pt>
                <c:pt idx="7">
                  <c:v>77.656250000000014</c:v>
                </c:pt>
                <c:pt idx="8">
                  <c:v>88.75</c:v>
                </c:pt>
                <c:pt idx="9">
                  <c:v>99.843749999999986</c:v>
                </c:pt>
                <c:pt idx="10">
                  <c:v>110.9375</c:v>
                </c:pt>
                <c:pt idx="11">
                  <c:v>122.03125000000001</c:v>
                </c:pt>
                <c:pt idx="12">
                  <c:v>133.125</c:v>
                </c:pt>
                <c:pt idx="13">
                  <c:v>144.21875</c:v>
                </c:pt>
                <c:pt idx="14">
                  <c:v>155.31250000000003</c:v>
                </c:pt>
                <c:pt idx="15">
                  <c:v>166.40624999999997</c:v>
                </c:pt>
                <c:pt idx="16">
                  <c:v>177.5</c:v>
                </c:pt>
                <c:pt idx="17">
                  <c:v>188.59375</c:v>
                </c:pt>
                <c:pt idx="18">
                  <c:v>199.68749999999997</c:v>
                </c:pt>
                <c:pt idx="19">
                  <c:v>210.78124999999997</c:v>
                </c:pt>
                <c:pt idx="20">
                  <c:v>221.875</c:v>
                </c:pt>
                <c:pt idx="21">
                  <c:v>232.96875</c:v>
                </c:pt>
                <c:pt idx="22">
                  <c:v>244.06250000000003</c:v>
                </c:pt>
                <c:pt idx="23">
                  <c:v>255.15625000000003</c:v>
                </c:pt>
                <c:pt idx="24">
                  <c:v>266.25</c:v>
                </c:pt>
                <c:pt idx="25">
                  <c:v>277.34375</c:v>
                </c:pt>
                <c:pt idx="26">
                  <c:v>288.4375</c:v>
                </c:pt>
                <c:pt idx="27">
                  <c:v>299.53125</c:v>
                </c:pt>
                <c:pt idx="28">
                  <c:v>310.62500000000006</c:v>
                </c:pt>
                <c:pt idx="29">
                  <c:v>321.71875</c:v>
                </c:pt>
                <c:pt idx="30">
                  <c:v>332.81249999999994</c:v>
                </c:pt>
                <c:pt idx="31">
                  <c:v>343.90624999999994</c:v>
                </c:pt>
                <c:pt idx="32">
                  <c:v>355</c:v>
                </c:pt>
                <c:pt idx="33">
                  <c:v>366.09375</c:v>
                </c:pt>
                <c:pt idx="34">
                  <c:v>377.1875</c:v>
                </c:pt>
                <c:pt idx="35">
                  <c:v>388.28124999999994</c:v>
                </c:pt>
                <c:pt idx="36">
                  <c:v>399.37499999999994</c:v>
                </c:pt>
                <c:pt idx="37">
                  <c:v>410.46875</c:v>
                </c:pt>
                <c:pt idx="38">
                  <c:v>421.56249999999994</c:v>
                </c:pt>
                <c:pt idx="39">
                  <c:v>432.65625</c:v>
                </c:pt>
                <c:pt idx="40">
                  <c:v>443.75</c:v>
                </c:pt>
                <c:pt idx="41">
                  <c:v>454.84374999999994</c:v>
                </c:pt>
                <c:pt idx="42">
                  <c:v>465.9375</c:v>
                </c:pt>
                <c:pt idx="43">
                  <c:v>477.03124999999994</c:v>
                </c:pt>
                <c:pt idx="44">
                  <c:v>488.12500000000006</c:v>
                </c:pt>
                <c:pt idx="45">
                  <c:v>499.21875</c:v>
                </c:pt>
                <c:pt idx="46">
                  <c:v>510.31250000000006</c:v>
                </c:pt>
                <c:pt idx="47">
                  <c:v>521.40624999999989</c:v>
                </c:pt>
                <c:pt idx="48">
                  <c:v>532.5</c:v>
                </c:pt>
                <c:pt idx="49">
                  <c:v>543.59375</c:v>
                </c:pt>
                <c:pt idx="50">
                  <c:v>554.6875</c:v>
                </c:pt>
                <c:pt idx="51">
                  <c:v>565.78124999999989</c:v>
                </c:pt>
                <c:pt idx="52">
                  <c:v>576.875</c:v>
                </c:pt>
                <c:pt idx="53">
                  <c:v>587.96875</c:v>
                </c:pt>
                <c:pt idx="54">
                  <c:v>599.0625</c:v>
                </c:pt>
                <c:pt idx="55">
                  <c:v>610.15625</c:v>
                </c:pt>
                <c:pt idx="56">
                  <c:v>621.25000000000011</c:v>
                </c:pt>
                <c:pt idx="57">
                  <c:v>632.34374999999989</c:v>
                </c:pt>
                <c:pt idx="58">
                  <c:v>643.4375</c:v>
                </c:pt>
                <c:pt idx="59">
                  <c:v>654.53124999999989</c:v>
                </c:pt>
                <c:pt idx="60">
                  <c:v>665.62499999999989</c:v>
                </c:pt>
                <c:pt idx="61">
                  <c:v>676.71874999999989</c:v>
                </c:pt>
                <c:pt idx="62">
                  <c:v>687.81249999999989</c:v>
                </c:pt>
                <c:pt idx="63">
                  <c:v>698.90625</c:v>
                </c:pt>
                <c:pt idx="64">
                  <c:v>710</c:v>
                </c:pt>
                <c:pt idx="65">
                  <c:v>721.09375</c:v>
                </c:pt>
                <c:pt idx="66">
                  <c:v>732.1875</c:v>
                </c:pt>
                <c:pt idx="67">
                  <c:v>743.28125</c:v>
                </c:pt>
                <c:pt idx="68">
                  <c:v>754.375</c:v>
                </c:pt>
                <c:pt idx="69">
                  <c:v>765.46874999999989</c:v>
                </c:pt>
                <c:pt idx="70">
                  <c:v>776.56249999999989</c:v>
                </c:pt>
                <c:pt idx="71">
                  <c:v>787.65625</c:v>
                </c:pt>
                <c:pt idx="72">
                  <c:v>798.74999999999989</c:v>
                </c:pt>
                <c:pt idx="73">
                  <c:v>809.84375</c:v>
                </c:pt>
                <c:pt idx="74">
                  <c:v>820.9375</c:v>
                </c:pt>
                <c:pt idx="75">
                  <c:v>832.03125</c:v>
                </c:pt>
                <c:pt idx="76">
                  <c:v>843.12499999999989</c:v>
                </c:pt>
                <c:pt idx="77">
                  <c:v>854.21875</c:v>
                </c:pt>
                <c:pt idx="78">
                  <c:v>865.3125</c:v>
                </c:pt>
                <c:pt idx="79">
                  <c:v>876.40624999999989</c:v>
                </c:pt>
                <c:pt idx="80">
                  <c:v>887.5</c:v>
                </c:pt>
                <c:pt idx="81">
                  <c:v>898.59375000000011</c:v>
                </c:pt>
                <c:pt idx="82">
                  <c:v>909.68749999999989</c:v>
                </c:pt>
                <c:pt idx="83">
                  <c:v>920.78124999999989</c:v>
                </c:pt>
                <c:pt idx="84">
                  <c:v>931.875</c:v>
                </c:pt>
                <c:pt idx="85">
                  <c:v>942.96874999999989</c:v>
                </c:pt>
                <c:pt idx="86">
                  <c:v>954.06249999999989</c:v>
                </c:pt>
                <c:pt idx="87">
                  <c:v>965.15624999999977</c:v>
                </c:pt>
                <c:pt idx="88">
                  <c:v>976.25000000000011</c:v>
                </c:pt>
                <c:pt idx="89">
                  <c:v>987.34375</c:v>
                </c:pt>
                <c:pt idx="90">
                  <c:v>998.4375</c:v>
                </c:pt>
                <c:pt idx="91">
                  <c:v>1009.53125</c:v>
                </c:pt>
                <c:pt idx="92">
                  <c:v>1020.6250000000001</c:v>
                </c:pt>
                <c:pt idx="93">
                  <c:v>1031.71875</c:v>
                </c:pt>
                <c:pt idx="94">
                  <c:v>1042.8124999999998</c:v>
                </c:pt>
                <c:pt idx="95">
                  <c:v>1053.90625</c:v>
                </c:pt>
                <c:pt idx="96">
                  <c:v>1065</c:v>
                </c:pt>
                <c:pt idx="97">
                  <c:v>1076.0937499999998</c:v>
                </c:pt>
                <c:pt idx="98">
                  <c:v>1087.1875</c:v>
                </c:pt>
                <c:pt idx="99">
                  <c:v>1098.2812499999998</c:v>
                </c:pt>
                <c:pt idx="100">
                  <c:v>1109.375</c:v>
                </c:pt>
              </c:numCache>
            </c:numRef>
          </c:val>
          <c:smooth val="0"/>
          <c:extLst>
            <c:ext xmlns:c16="http://schemas.microsoft.com/office/drawing/2014/chart" uri="{C3380CC4-5D6E-409C-BE32-E72D297353CC}">
              <c16:uniqueId val="{00000001-8093-4275-A0A4-629DC5917466}"/>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87.357659262096632</c:v>
                </c:pt>
                <c:pt idx="1">
                  <c:v>87.378140690773165</c:v>
                </c:pt>
                <c:pt idx="2">
                  <c:v>93.27200281516123</c:v>
                </c:pt>
                <c:pt idx="3">
                  <c:v>139.97979296464996</c:v>
                </c:pt>
                <c:pt idx="4">
                  <c:v>186.73554055464308</c:v>
                </c:pt>
                <c:pt idx="5">
                  <c:v>233.53931948386577</c:v>
                </c:pt>
                <c:pt idx="6">
                  <c:v>280.39120380295077</c:v>
                </c:pt>
                <c:pt idx="7">
                  <c:v>327.29126771482913</c:v>
                </c:pt>
                <c:pt idx="8">
                  <c:v>374.23958557512208</c:v>
                </c:pt>
                <c:pt idx="9">
                  <c:v>421.23623189253334</c:v>
                </c:pt>
                <c:pt idx="10">
                  <c:v>468.28128132924405</c:v>
                </c:pt>
                <c:pt idx="11">
                  <c:v>515.3748087013073</c:v>
                </c:pt>
                <c:pt idx="12">
                  <c:v>562.51688897904614</c:v>
                </c:pt>
                <c:pt idx="13">
                  <c:v>609.7075972874494</c:v>
                </c:pt>
                <c:pt idx="14">
                  <c:v>656.94700890657259</c:v>
                </c:pt>
                <c:pt idx="15">
                  <c:v>704.23519927193729</c:v>
                </c:pt>
                <c:pt idx="16">
                  <c:v>751.5722439749328</c:v>
                </c:pt>
                <c:pt idx="17">
                  <c:v>798.95821876321872</c:v>
                </c:pt>
                <c:pt idx="18">
                  <c:v>846.39319954112977</c:v>
                </c:pt>
                <c:pt idx="19">
                  <c:v>893.87726237008019</c:v>
                </c:pt>
                <c:pt idx="20">
                  <c:v>941.41048346897071</c:v>
                </c:pt>
                <c:pt idx="21">
                  <c:v>988.99293921459628</c:v>
                </c:pt>
                <c:pt idx="22">
                  <c:v>1036.6247061420547</c:v>
                </c:pt>
                <c:pt idx="23">
                  <c:v>1084.3058609451593</c:v>
                </c:pt>
                <c:pt idx="24">
                  <c:v>1132.036480476846</c:v>
                </c:pt>
                <c:pt idx="25">
                  <c:v>1179.8166417495902</c:v>
                </c:pt>
                <c:pt idx="26">
                  <c:v>1227.6464219358202</c:v>
                </c:pt>
                <c:pt idx="27">
                  <c:v>1275.5258983683316</c:v>
                </c:pt>
                <c:pt idx="28">
                  <c:v>1323.4551485407044</c:v>
                </c:pt>
                <c:pt idx="29">
                  <c:v>1371.4342501077219</c:v>
                </c:pt>
                <c:pt idx="30">
                  <c:v>1419.4632808857893</c:v>
                </c:pt>
                <c:pt idx="31">
                  <c:v>1467.5423188533543</c:v>
                </c:pt>
                <c:pt idx="32">
                  <c:v>1515.6714421513302</c:v>
                </c:pt>
                <c:pt idx="33">
                  <c:v>1563.8507290835175</c:v>
                </c:pt>
                <c:pt idx="34">
                  <c:v>1612.0802581170296</c:v>
                </c:pt>
                <c:pt idx="35">
                  <c:v>1660.3601078827205</c:v>
                </c:pt>
                <c:pt idx="36">
                  <c:v>1708.6903571756072</c:v>
                </c:pt>
                <c:pt idx="37">
                  <c:v>1757.0710849553043</c:v>
                </c:pt>
                <c:pt idx="38">
                  <c:v>1805.5023703464492</c:v>
                </c:pt>
                <c:pt idx="39">
                  <c:v>1760.6871984369536</c:v>
                </c:pt>
                <c:pt idx="40">
                  <c:v>1768.2535147463955</c:v>
                </c:pt>
                <c:pt idx="41">
                  <c:v>1776.0174134019658</c:v>
                </c:pt>
                <c:pt idx="42">
                  <c:v>1783.9821086909822</c:v>
                </c:pt>
                <c:pt idx="43">
                  <c:v>1792.1496197132881</c:v>
                </c:pt>
                <c:pt idx="44">
                  <c:v>1800.5219520369112</c:v>
                </c:pt>
                <c:pt idx="45">
                  <c:v>1809.1011041603094</c:v>
                </c:pt>
                <c:pt idx="46">
                  <c:v>1817.8890732680647</c:v>
                </c:pt>
                <c:pt idx="47">
                  <c:v>1826.8878603847634</c:v>
                </c:pt>
                <c:pt idx="48">
                  <c:v>1836.0994750151472</c:v>
                </c:pt>
                <c:pt idx="49">
                  <c:v>1845.5259393449016</c:v>
                </c:pt>
                <c:pt idx="50">
                  <c:v>1855.1692920651092</c:v>
                </c:pt>
                <c:pt idx="51">
                  <c:v>1865.0315918739968</c:v>
                </c:pt>
                <c:pt idx="52">
                  <c:v>1875.1149207017806</c:v>
                </c:pt>
                <c:pt idx="53">
                  <c:v>1885.4213866978728</c:v>
                </c:pt>
                <c:pt idx="54">
                  <c:v>1895.953127014229</c:v>
                </c:pt>
                <c:pt idx="55">
                  <c:v>1906.7123104139985</c:v>
                </c:pt>
                <c:pt idx="56">
                  <c:v>1917.7011397307656</c:v>
                </c:pt>
                <c:pt idx="57">
                  <c:v>1928.921854200373</c:v>
                </c:pt>
                <c:pt idx="58">
                  <c:v>1940.376731684531</c:v>
                </c:pt>
                <c:pt idx="59">
                  <c:v>1952.0680908030354</c:v>
                </c:pt>
                <c:pt idx="60">
                  <c:v>1963.9982929894236</c:v>
                </c:pt>
                <c:pt idx="61">
                  <c:v>1976.1697444831375</c:v>
                </c:pt>
                <c:pt idx="62">
                  <c:v>1988.5848982698246</c:v>
                </c:pt>
                <c:pt idx="63">
                  <c:v>2001.2462559801206</c:v>
                </c:pt>
                <c:pt idx="64">
                  <c:v>2014.1563697561674</c:v>
                </c:pt>
                <c:pt idx="65">
                  <c:v>2027.3178440942336</c:v>
                </c:pt>
                <c:pt idx="66">
                  <c:v>2040.7333376709405</c:v>
                </c:pt>
                <c:pt idx="67">
                  <c:v>2054.4055651599656</c:v>
                </c:pt>
                <c:pt idx="68">
                  <c:v>2068.3372990454709</c:v>
                </c:pt>
                <c:pt idx="69">
                  <c:v>2082.5313714380263</c:v>
                </c:pt>
                <c:pt idx="70">
                  <c:v>2096.9906758983225</c:v>
                </c:pt>
                <c:pt idx="71">
                  <c:v>2111.7181692736399</c:v>
                </c:pt>
                <c:pt idx="72">
                  <c:v>2126.7168735516861</c:v>
                </c:pt>
                <c:pt idx="73">
                  <c:v>2141.9898777361918</c:v>
                </c:pt>
                <c:pt idx="74">
                  <c:v>2157.5403397483492</c:v>
                </c:pt>
                <c:pt idx="75">
                  <c:v>2173.3714883580956</c:v>
                </c:pt>
                <c:pt idx="76">
                  <c:v>2189.4866251489825</c:v>
                </c:pt>
                <c:pt idx="77">
                  <c:v>2205.8891265203047</c:v>
                </c:pt>
                <c:pt idx="78">
                  <c:v>2222.5824457300587</c:v>
                </c:pt>
                <c:pt idx="79">
                  <c:v>2239.5701149821871</c:v>
                </c:pt>
                <c:pt idx="80">
                  <c:v>2256.8557475615521</c:v>
                </c:pt>
                <c:pt idx="81">
                  <c:v>2274.443040020004</c:v>
                </c:pt>
                <c:pt idx="82">
                  <c:v>2292.3357744169311</c:v>
                </c:pt>
                <c:pt idx="83">
                  <c:v>2310.537820617636</c:v>
                </c:pt>
                <c:pt idx="84">
                  <c:v>2329.0531386529124</c:v>
                </c:pt>
                <c:pt idx="85">
                  <c:v>2347.885781143244</c:v>
                </c:pt>
                <c:pt idx="86">
                  <c:v>2367.0398957910379</c:v>
                </c:pt>
                <c:pt idx="87">
                  <c:v>2386.5197279444001</c:v>
                </c:pt>
                <c:pt idx="88">
                  <c:v>2406.3296232360112</c:v>
                </c:pt>
                <c:pt idx="89">
                  <c:v>2426.4740303007293</c:v>
                </c:pt>
                <c:pt idx="90">
                  <c:v>2446.9575035756429</c:v>
                </c:pt>
                <c:pt idx="91">
                  <c:v>2467.7847061864009</c:v>
                </c:pt>
                <c:pt idx="92">
                  <c:v>2488.9604129237418</c:v>
                </c:pt>
                <c:pt idx="93">
                  <c:v>2510.4895133142882</c:v>
                </c:pt>
                <c:pt idx="94">
                  <c:v>2532.3770147897785</c:v>
                </c:pt>
                <c:pt idx="95">
                  <c:v>2554.6280459590835</c:v>
                </c:pt>
                <c:pt idx="96">
                  <c:v>2577.2478599874735</c:v>
                </c:pt>
                <c:pt idx="97">
                  <c:v>2600.2418380878094</c:v>
                </c:pt>
                <c:pt idx="98">
                  <c:v>2623.6154931284905</c:v>
                </c:pt>
                <c:pt idx="99">
                  <c:v>2647.3744733631606</c:v>
                </c:pt>
                <c:pt idx="100">
                  <c:v>2671.5245662874313</c:v>
                </c:pt>
              </c:numCache>
            </c:numRef>
          </c:val>
          <c:smooth val="0"/>
          <c:extLst>
            <c:ext xmlns:c16="http://schemas.microsoft.com/office/drawing/2014/chart" uri="{C3380CC4-5D6E-409C-BE32-E72D297353CC}">
              <c16:uniqueId val="{00000002-8093-4275-A0A4-629DC5917466}"/>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40.438135993020772</c:v>
                </c:pt>
                <c:pt idx="1">
                  <c:v>53.222579539945478</c:v>
                </c:pt>
                <c:pt idx="2">
                  <c:v>66.248550495818591</c:v>
                </c:pt>
                <c:pt idx="3">
                  <c:v>80.960878264659712</c:v>
                </c:pt>
                <c:pt idx="4">
                  <c:v>95.674586937709222</c:v>
                </c:pt>
                <c:pt idx="5">
                  <c:v>110.38967672570207</c:v>
                </c:pt>
                <c:pt idx="6">
                  <c:v>125.1061478394159</c:v>
                </c:pt>
                <c:pt idx="7">
                  <c:v>139.82400048967131</c:v>
                </c:pt>
                <c:pt idx="8">
                  <c:v>154.54323488733183</c:v>
                </c:pt>
                <c:pt idx="9">
                  <c:v>169.26385124330392</c:v>
                </c:pt>
                <c:pt idx="10">
                  <c:v>183.98584976853687</c:v>
                </c:pt>
                <c:pt idx="11">
                  <c:v>198.7092306740229</c:v>
                </c:pt>
                <c:pt idx="12">
                  <c:v>213.43399417079735</c:v>
                </c:pt>
                <c:pt idx="13">
                  <c:v>228.16014046993834</c:v>
                </c:pt>
                <c:pt idx="14">
                  <c:v>242.88766978256703</c:v>
                </c:pt>
                <c:pt idx="15">
                  <c:v>257.61658231984762</c:v>
                </c:pt>
                <c:pt idx="16">
                  <c:v>272.34687829298707</c:v>
                </c:pt>
                <c:pt idx="17">
                  <c:v>287.07855791323573</c:v>
                </c:pt>
                <c:pt idx="18">
                  <c:v>301.81162139188655</c:v>
                </c:pt>
                <c:pt idx="19">
                  <c:v>316.54606894027575</c:v>
                </c:pt>
                <c:pt idx="20">
                  <c:v>331.28190076978268</c:v>
                </c:pt>
                <c:pt idx="21">
                  <c:v>346.01911709182923</c:v>
                </c:pt>
                <c:pt idx="22">
                  <c:v>360.75771811788115</c:v>
                </c:pt>
                <c:pt idx="23">
                  <c:v>375.49770405944651</c:v>
                </c:pt>
                <c:pt idx="24">
                  <c:v>390.23907512807671</c:v>
                </c:pt>
                <c:pt idx="25">
                  <c:v>404.98183153536644</c:v>
                </c:pt>
                <c:pt idx="26">
                  <c:v>419.72597349295324</c:v>
                </c:pt>
                <c:pt idx="27">
                  <c:v>434.47150121251804</c:v>
                </c:pt>
                <c:pt idx="28">
                  <c:v>449.21841490578436</c:v>
                </c:pt>
                <c:pt idx="29">
                  <c:v>463.96671478451947</c:v>
                </c:pt>
                <c:pt idx="30">
                  <c:v>478.71640106053354</c:v>
                </c:pt>
                <c:pt idx="31">
                  <c:v>493.46747394567967</c:v>
                </c:pt>
                <c:pt idx="32">
                  <c:v>508.21993365185449</c:v>
                </c:pt>
                <c:pt idx="33">
                  <c:v>522.9737803909976</c:v>
                </c:pt>
                <c:pt idx="34">
                  <c:v>537.72901437509177</c:v>
                </c:pt>
                <c:pt idx="35">
                  <c:v>552.48563581616304</c:v>
                </c:pt>
                <c:pt idx="36">
                  <c:v>567.24364492628081</c:v>
                </c:pt>
                <c:pt idx="37">
                  <c:v>582.00304191755731</c:v>
                </c:pt>
                <c:pt idx="38">
                  <c:v>596.76382700214833</c:v>
                </c:pt>
                <c:pt idx="39">
                  <c:v>608.17205152555437</c:v>
                </c:pt>
                <c:pt idx="40">
                  <c:v>625.74042741533549</c:v>
                </c:pt>
                <c:pt idx="41">
                  <c:v>643.41044306762831</c:v>
                </c:pt>
                <c:pt idx="42">
                  <c:v>661.18189186321126</c:v>
                </c:pt>
                <c:pt idx="43">
                  <c:v>679.05515377738857</c:v>
                </c:pt>
                <c:pt idx="44">
                  <c:v>697.03061342682281</c:v>
                </c:pt>
                <c:pt idx="45">
                  <c:v>715.10866003389185</c:v>
                </c:pt>
                <c:pt idx="46">
                  <c:v>733.28968739957941</c:v>
                </c:pt>
                <c:pt idx="47">
                  <c:v>751.57409388374094</c:v>
                </c:pt>
                <c:pt idx="48">
                  <c:v>769.96228239177879</c:v>
                </c:pt>
                <c:pt idx="49">
                  <c:v>788.45466036690198</c:v>
                </c:pt>
                <c:pt idx="50">
                  <c:v>807.0516397872874</c:v>
                </c:pt>
                <c:pt idx="51">
                  <c:v>825.75363716754907</c:v>
                </c:pt>
                <c:pt idx="52">
                  <c:v>844.56107356402197</c:v>
                </c:pt>
                <c:pt idx="53">
                  <c:v>863.47437458343461</c:v>
                </c:pt>
                <c:pt idx="54">
                  <c:v>882.4939703946078</c:v>
                </c:pt>
                <c:pt idx="55">
                  <c:v>901.62029574286453</c:v>
                </c:pt>
                <c:pt idx="56">
                  <c:v>920.85378996688996</c:v>
                </c:pt>
                <c:pt idx="57">
                  <c:v>940.19489701780401</c:v>
                </c:pt>
                <c:pt idx="58">
                  <c:v>959.64406548025408</c:v>
                </c:pt>
                <c:pt idx="59">
                  <c:v>979.20174859534859</c:v>
                </c:pt>
                <c:pt idx="60">
                  <c:v>998.86840428529274</c:v>
                </c:pt>
                <c:pt idx="61">
                  <c:v>1018.6444951795852</c:v>
                </c:pt>
                <c:pt idx="62">
                  <c:v>1038.5304886426743</c:v>
                </c:pt>
                <c:pt idx="63">
                  <c:v>1058.526856802969</c:v>
                </c:pt>
                <c:pt idx="64">
                  <c:v>1078.6340765831224</c:v>
                </c:pt>
                <c:pt idx="65">
                  <c:v>1098.8526297315152</c:v>
                </c:pt>
                <c:pt idx="66">
                  <c:v>1119.1830028548727</c:v>
                </c:pt>
                <c:pt idx="67">
                  <c:v>1139.6256874519595</c:v>
                </c:pt>
                <c:pt idx="68">
                  <c:v>1160.181179948303</c:v>
                </c:pt>
                <c:pt idx="69">
                  <c:v>1180.8499817319066</c:v>
                </c:pt>
                <c:pt idx="70">
                  <c:v>1201.6325991899105</c:v>
                </c:pt>
                <c:pt idx="71">
                  <c:v>1222.5295437461691</c:v>
                </c:pt>
                <c:pt idx="72">
                  <c:v>1243.5413318997248</c:v>
                </c:pt>
                <c:pt idx="73">
                  <c:v>1264.6684852641417</c:v>
                </c:pt>
                <c:pt idx="74">
                  <c:v>1285.9115306076883</c:v>
                </c:pt>
                <c:pt idx="75">
                  <c:v>1307.2709998943508</c:v>
                </c:pt>
                <c:pt idx="76">
                  <c:v>1328.7474303256581</c:v>
                </c:pt>
                <c:pt idx="77">
                  <c:v>1350.3413643833069</c:v>
                </c:pt>
                <c:pt idx="78">
                  <c:v>1372.053349872582</c:v>
                </c:pt>
                <c:pt idx="79">
                  <c:v>1393.8839399665567</c:v>
                </c:pt>
                <c:pt idx="80">
                  <c:v>1415.8336932510706</c:v>
                </c:pt>
                <c:pt idx="81">
                  <c:v>1437.9031737704784</c:v>
                </c:pt>
                <c:pt idx="82">
                  <c:v>1460.0929510741644</c:v>
                </c:pt>
                <c:pt idx="83">
                  <c:v>1482.4036002638286</c:v>
                </c:pt>
                <c:pt idx="84">
                  <c:v>1504.8357020415251</c:v>
                </c:pt>
                <c:pt idx="85">
                  <c:v>1527.3898427584777</c:v>
                </c:pt>
                <c:pt idx="86">
                  <c:v>1550.0666144646482</c:v>
                </c:pt>
                <c:pt idx="87">
                  <c:v>1572.8666149590795</c:v>
                </c:pt>
                <c:pt idx="88">
                  <c:v>1595.7904478409994</c:v>
                </c:pt>
                <c:pt idx="89">
                  <c:v>1618.8387225617037</c:v>
                </c:pt>
                <c:pt idx="90">
                  <c:v>1642.0120544772099</c:v>
                </c:pt>
                <c:pt idx="91">
                  <c:v>1665.3110649016915</c:v>
                </c:pt>
                <c:pt idx="92">
                  <c:v>1688.7363811616985</c:v>
                </c:pt>
                <c:pt idx="93">
                  <c:v>1712.288636651168</c:v>
                </c:pt>
                <c:pt idx="94">
                  <c:v>1735.9684708872353</c:v>
                </c:pt>
                <c:pt idx="95">
                  <c:v>1759.7765295668414</c:v>
                </c:pt>
                <c:pt idx="96">
                  <c:v>1783.7134646241605</c:v>
                </c:pt>
                <c:pt idx="97">
                  <c:v>1807.7799342888368</c:v>
                </c:pt>
                <c:pt idx="98">
                  <c:v>1831.9766031450583</c:v>
                </c:pt>
                <c:pt idx="99">
                  <c:v>1856.3041421914572</c:v>
                </c:pt>
                <c:pt idx="100">
                  <c:v>1880.7632289018563</c:v>
                </c:pt>
              </c:numCache>
            </c:numRef>
          </c:val>
          <c:smooth val="0"/>
          <c:extLst>
            <c:ext xmlns:c16="http://schemas.microsoft.com/office/drawing/2014/chart" uri="{C3380CC4-5D6E-409C-BE32-E72D297353CC}">
              <c16:uniqueId val="{00000003-8093-4275-A0A4-629DC5917466}"/>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Single'!$AN$110:$AN$210</c:f>
              <c:numCache>
                <c:formatCode>0.0</c:formatCode>
                <c:ptCount val="101"/>
                <c:pt idx="0">
                  <c:v>12</c:v>
                </c:pt>
                <c:pt idx="1">
                  <c:v>12</c:v>
                </c:pt>
                <c:pt idx="2">
                  <c:v>12.807489737564312</c:v>
                </c:pt>
                <c:pt idx="3">
                  <c:v>19.211234606346469</c:v>
                </c:pt>
                <c:pt idx="4">
                  <c:v>25.614979475128624</c:v>
                </c:pt>
                <c:pt idx="5">
                  <c:v>32.018724343910783</c:v>
                </c:pt>
                <c:pt idx="6">
                  <c:v>38.422469212692938</c:v>
                </c:pt>
                <c:pt idx="7">
                  <c:v>44.826214081475094</c:v>
                </c:pt>
                <c:pt idx="8">
                  <c:v>51.229958950257249</c:v>
                </c:pt>
                <c:pt idx="9">
                  <c:v>57.633703819039404</c:v>
                </c:pt>
                <c:pt idx="10">
                  <c:v>64.037448687821566</c:v>
                </c:pt>
                <c:pt idx="11">
                  <c:v>70.441193556603707</c:v>
                </c:pt>
                <c:pt idx="12">
                  <c:v>76.844938425385877</c:v>
                </c:pt>
                <c:pt idx="13">
                  <c:v>83.248683294168032</c:v>
                </c:pt>
                <c:pt idx="14">
                  <c:v>89.652428162950187</c:v>
                </c:pt>
                <c:pt idx="15">
                  <c:v>96.056173031732342</c:v>
                </c:pt>
                <c:pt idx="16">
                  <c:v>102.4599179005145</c:v>
                </c:pt>
                <c:pt idx="17">
                  <c:v>108.86366276929665</c:v>
                </c:pt>
                <c:pt idx="18">
                  <c:v>115.26740763807881</c:v>
                </c:pt>
                <c:pt idx="19">
                  <c:v>121.67115250686096</c:v>
                </c:pt>
                <c:pt idx="20">
                  <c:v>128.07489737564313</c:v>
                </c:pt>
                <c:pt idx="21">
                  <c:v>134.47864224442529</c:v>
                </c:pt>
                <c:pt idx="22">
                  <c:v>140.88238711320741</c:v>
                </c:pt>
                <c:pt idx="23">
                  <c:v>147.2861319819896</c:v>
                </c:pt>
                <c:pt idx="24">
                  <c:v>153.68987685077175</c:v>
                </c:pt>
                <c:pt idx="25">
                  <c:v>160.09362171955388</c:v>
                </c:pt>
                <c:pt idx="26">
                  <c:v>166.49736658833606</c:v>
                </c:pt>
                <c:pt idx="27">
                  <c:v>172.90111145711822</c:v>
                </c:pt>
                <c:pt idx="28">
                  <c:v>179.30485632590037</c:v>
                </c:pt>
                <c:pt idx="29">
                  <c:v>185.7086011946825</c:v>
                </c:pt>
                <c:pt idx="30">
                  <c:v>192.11234606346468</c:v>
                </c:pt>
                <c:pt idx="31">
                  <c:v>198.51609093224681</c:v>
                </c:pt>
                <c:pt idx="32">
                  <c:v>204.919835801029</c:v>
                </c:pt>
                <c:pt idx="33">
                  <c:v>211.32358066981118</c:v>
                </c:pt>
                <c:pt idx="34">
                  <c:v>217.72826212682159</c:v>
                </c:pt>
                <c:pt idx="35">
                  <c:v>204.61592320528865</c:v>
                </c:pt>
                <c:pt idx="36">
                  <c:v>199.13873841867425</c:v>
                </c:pt>
                <c:pt idx="37">
                  <c:v>193.94608776470636</c:v>
                </c:pt>
                <c:pt idx="38">
                  <c:v>189.01636057824894</c:v>
                </c:pt>
                <c:pt idx="39">
                  <c:v>184.33008062681185</c:v>
                </c:pt>
                <c:pt idx="40">
                  <c:v>179.86964894459393</c:v>
                </c:pt>
                <c:pt idx="41">
                  <c:v>175.6191229730521</c:v>
                </c:pt>
                <c:pt idx="42">
                  <c:v>171.56402616544887</c:v>
                </c:pt>
                <c:pt idx="43">
                  <c:v>167.69118326319872</c:v>
                </c:pt>
                <c:pt idx="44">
                  <c:v>163.98857729443057</c:v>
                </c:pt>
                <c:pt idx="45">
                  <c:v>160.44522502469391</c:v>
                </c:pt>
                <c:pt idx="46">
                  <c:v>157.05106814049589</c:v>
                </c:pt>
                <c:pt idx="47">
                  <c:v>153.79687789491044</c:v>
                </c:pt>
                <c:pt idx="48">
                  <c:v>150.67417131149895</c:v>
                </c:pt>
                <c:pt idx="49">
                  <c:v>147.67513734437239</c:v>
                </c:pt>
                <c:pt idx="50">
                  <c:v>144.79257164111004</c:v>
                </c:pt>
                <c:pt idx="51">
                  <c:v>142.01981876146894</c:v>
                </c:pt>
                <c:pt idx="52">
                  <c:v>139.35072087634342</c:v>
                </c:pt>
                <c:pt idx="53">
                  <c:v>136.77957211463541</c:v>
                </c:pt>
                <c:pt idx="54">
                  <c:v>134.30107784567684</c:v>
                </c:pt>
                <c:pt idx="55">
                  <c:v>131.91031828570851</c:v>
                </c:pt>
                <c:pt idx="56">
                  <c:v>129.60271590200171</c:v>
                </c:pt>
                <c:pt idx="57">
                  <c:v>127.3740061601965</c:v>
                </c:pt>
                <c:pt idx="58">
                  <c:v>125.22021122153177</c:v>
                </c:pt>
                <c:pt idx="59">
                  <c:v>123.13761624865195</c:v>
                </c:pt>
                <c:pt idx="60">
                  <c:v>121.1227480230752</c:v>
                </c:pt>
                <c:pt idx="61">
                  <c:v>119.17235561541321</c:v>
                </c:pt>
                <c:pt idx="62">
                  <c:v>117.28339288205198</c:v>
                </c:pt>
                <c:pt idx="63">
                  <c:v>115.45300259007067</c:v>
                </c:pt>
                <c:pt idx="64">
                  <c:v>113.67850199638561</c:v>
                </c:pt>
                <c:pt idx="65">
                  <c:v>111.95736972804107</c:v>
                </c:pt>
                <c:pt idx="66">
                  <c:v>110.28723382871169</c:v>
                </c:pt>
                <c:pt idx="67">
                  <c:v>108.66586085223986</c:v>
                </c:pt>
                <c:pt idx="68">
                  <c:v>107.09114589775035</c:v>
                </c:pt>
                <c:pt idx="69">
                  <c:v>105.56110349285022</c:v>
                </c:pt>
                <c:pt idx="70">
                  <c:v>104.07385924188468</c:v>
                </c:pt>
                <c:pt idx="71">
                  <c:v>102.62764216538004</c:v>
                </c:pt>
                <c:pt idx="72">
                  <c:v>101.22077766484566</c:v>
                </c:pt>
                <c:pt idx="73">
                  <c:v>99.851681054175614</c:v>
                </c:pt>
                <c:pt idx="74">
                  <c:v>98.518851605117007</c:v>
                </c:pt>
                <c:pt idx="75">
                  <c:v>97.220867059766135</c:v>
                </c:pt>
                <c:pt idx="76">
                  <c:v>95.956378567907976</c:v>
                </c:pt>
                <c:pt idx="77">
                  <c:v>94.724106011315186</c:v>
                </c:pt>
                <c:pt idx="78">
                  <c:v>93.522833680933957</c:v>
                </c:pt>
                <c:pt idx="79">
                  <c:v>92.351406276270836</c:v>
                </c:pt>
                <c:pt idx="80">
                  <c:v>91.208725199306258</c:v>
                </c:pt>
                <c:pt idx="81">
                  <c:v>90.093745117944437</c:v>
                </c:pt>
                <c:pt idx="82">
                  <c:v>89.005470776403826</c:v>
                </c:pt>
                <c:pt idx="83">
                  <c:v>87.942954032090782</c:v>
                </c:pt>
                <c:pt idx="84">
                  <c:v>86.905291100414274</c:v>
                </c:pt>
                <c:pt idx="85">
                  <c:v>85.891619990713465</c:v>
                </c:pt>
                <c:pt idx="86">
                  <c:v>84.90111811800935</c:v>
                </c:pt>
                <c:pt idx="87">
                  <c:v>83.933000076672855</c:v>
                </c:pt>
                <c:pt idx="88">
                  <c:v>82.98651556334606</c:v>
                </c:pt>
                <c:pt idx="89">
                  <c:v>82.060947437571357</c:v>
                </c:pt>
                <c:pt idx="90">
                  <c:v>81.155609909593807</c:v>
                </c:pt>
                <c:pt idx="91">
                  <c:v>80.269846845712308</c:v>
                </c:pt>
                <c:pt idx="92">
                  <c:v>79.403030182379922</c:v>
                </c:pt>
                <c:pt idx="93">
                  <c:v>78.554558440996445</c:v>
                </c:pt>
                <c:pt idx="94">
                  <c:v>77.723855336013699</c:v>
                </c:pt>
                <c:pt idx="95">
                  <c:v>76.910368469584313</c:v>
                </c:pt>
                <c:pt idx="96">
                  <c:v>76.113568106540313</c:v>
                </c:pt>
                <c:pt idx="97">
                  <c:v>75.332946023993046</c:v>
                </c:pt>
                <c:pt idx="98">
                  <c:v>74.568014430304757</c:v>
                </c:pt>
                <c:pt idx="99">
                  <c:v>73.818304948599419</c:v>
                </c:pt>
                <c:pt idx="100">
                  <c:v>73.083367660362455</c:v>
                </c:pt>
              </c:numCache>
            </c:numRef>
          </c:val>
          <c:smooth val="0"/>
          <c:extLst>
            <c:ext xmlns:c16="http://schemas.microsoft.com/office/drawing/2014/chart" uri="{C3380CC4-5D6E-409C-BE32-E72D297353CC}">
              <c16:uniqueId val="{00000000-7DBB-40A7-A5BB-CF5E7DC777D9}"/>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Single'!$AN$5:$AN$105</c:f>
              <c:numCache>
                <c:formatCode>0.0</c:formatCode>
                <c:ptCount val="101"/>
                <c:pt idx="0">
                  <c:v>12</c:v>
                </c:pt>
                <c:pt idx="1">
                  <c:v>12</c:v>
                </c:pt>
                <c:pt idx="2">
                  <c:v>12.807489737564312</c:v>
                </c:pt>
                <c:pt idx="3">
                  <c:v>19.211234606346469</c:v>
                </c:pt>
                <c:pt idx="4">
                  <c:v>25.614979475128624</c:v>
                </c:pt>
                <c:pt idx="5">
                  <c:v>32.018724343910783</c:v>
                </c:pt>
                <c:pt idx="6">
                  <c:v>38.422469212692938</c:v>
                </c:pt>
                <c:pt idx="7">
                  <c:v>44.826214081475094</c:v>
                </c:pt>
                <c:pt idx="8">
                  <c:v>51.229958950257249</c:v>
                </c:pt>
                <c:pt idx="9">
                  <c:v>57.633703819039404</c:v>
                </c:pt>
                <c:pt idx="10">
                  <c:v>64.037448687821566</c:v>
                </c:pt>
                <c:pt idx="11">
                  <c:v>70.441193556603707</c:v>
                </c:pt>
                <c:pt idx="12">
                  <c:v>76.844938425385877</c:v>
                </c:pt>
                <c:pt idx="13">
                  <c:v>83.248683294168032</c:v>
                </c:pt>
                <c:pt idx="14">
                  <c:v>89.652428162950187</c:v>
                </c:pt>
                <c:pt idx="15">
                  <c:v>96.056173031732342</c:v>
                </c:pt>
                <c:pt idx="16">
                  <c:v>102.4599179005145</c:v>
                </c:pt>
                <c:pt idx="17">
                  <c:v>108.86366276929665</c:v>
                </c:pt>
                <c:pt idx="18">
                  <c:v>115.26740763807881</c:v>
                </c:pt>
                <c:pt idx="19">
                  <c:v>121.67115250686096</c:v>
                </c:pt>
                <c:pt idx="20">
                  <c:v>128.07489737564313</c:v>
                </c:pt>
                <c:pt idx="21">
                  <c:v>134.47864224442529</c:v>
                </c:pt>
                <c:pt idx="22">
                  <c:v>140.88238711320741</c:v>
                </c:pt>
                <c:pt idx="23">
                  <c:v>147.2861319819896</c:v>
                </c:pt>
                <c:pt idx="24">
                  <c:v>153.68987685077175</c:v>
                </c:pt>
                <c:pt idx="25">
                  <c:v>160.09362171955388</c:v>
                </c:pt>
                <c:pt idx="26">
                  <c:v>166.49736658833606</c:v>
                </c:pt>
                <c:pt idx="27">
                  <c:v>172.90111145711822</c:v>
                </c:pt>
                <c:pt idx="28">
                  <c:v>179.30485632590037</c:v>
                </c:pt>
                <c:pt idx="29">
                  <c:v>185.7086011946825</c:v>
                </c:pt>
                <c:pt idx="30">
                  <c:v>192.11234606346468</c:v>
                </c:pt>
                <c:pt idx="31">
                  <c:v>198.51609093224681</c:v>
                </c:pt>
                <c:pt idx="32">
                  <c:v>204.919835801029</c:v>
                </c:pt>
                <c:pt idx="33">
                  <c:v>211.32358066981118</c:v>
                </c:pt>
                <c:pt idx="34">
                  <c:v>217.72732553859331</c:v>
                </c:pt>
                <c:pt idx="35">
                  <c:v>224.13107040737546</c:v>
                </c:pt>
                <c:pt idx="36">
                  <c:v>230.53481527615762</c:v>
                </c:pt>
                <c:pt idx="37">
                  <c:v>236.93856014493977</c:v>
                </c:pt>
                <c:pt idx="38">
                  <c:v>243.34230501372193</c:v>
                </c:pt>
                <c:pt idx="39">
                  <c:v>236.77854898713903</c:v>
                </c:pt>
                <c:pt idx="40">
                  <c:v>231.1213280892209</c:v>
                </c:pt>
                <c:pt idx="41">
                  <c:v>225.72651076813347</c:v>
                </c:pt>
                <c:pt idx="42">
                  <c:v>220.5772283663745</c:v>
                </c:pt>
                <c:pt idx="43">
                  <c:v>215.65709121063864</c:v>
                </c:pt>
                <c:pt idx="44">
                  <c:v>210.95113657780311</c:v>
                </c:pt>
                <c:pt idx="45">
                  <c:v>206.44567670812236</c:v>
                </c:pt>
                <c:pt idx="46">
                  <c:v>202.1281658392715</c:v>
                </c:pt>
                <c:pt idx="47">
                  <c:v>197.98708354082169</c:v>
                </c:pt>
                <c:pt idx="48">
                  <c:v>194.01183206449235</c:v>
                </c:pt>
                <c:pt idx="49">
                  <c:v>190.19264578430389</c:v>
                </c:pt>
                <c:pt idx="50">
                  <c:v>186.52051109736325</c:v>
                </c:pt>
                <c:pt idx="51">
                  <c:v>182.98709540221012</c:v>
                </c:pt>
                <c:pt idx="52">
                  <c:v>179.58468397676282</c:v>
                </c:pt>
                <c:pt idx="53">
                  <c:v>176.30612374942203</c:v>
                </c:pt>
                <c:pt idx="54">
                  <c:v>173.14477310081318</c:v>
                </c:pt>
                <c:pt idx="55">
                  <c:v>170.09445695482461</c:v>
                </c:pt>
                <c:pt idx="56">
                  <c:v>167.14942651995182</c:v>
                </c:pt>
                <c:pt idx="57">
                  <c:v>164.30432312868629</c:v>
                </c:pt>
                <c:pt idx="58">
                  <c:v>161.55414569639021</c:v>
                </c:pt>
                <c:pt idx="59">
                  <c:v>158.89422138391947</c:v>
                </c:pt>
                <c:pt idx="60">
                  <c:v>156.32017910194975</c:v>
                </c:pt>
                <c:pt idx="61">
                  <c:v>153.82792554097622</c:v>
                </c:pt>
                <c:pt idx="62">
                  <c:v>151.4136234504964</c:v>
                </c:pt>
                <c:pt idx="63">
                  <c:v>149.07367192494388</c:v>
                </c:pt>
                <c:pt idx="64">
                  <c:v>146.8046884833532</c:v>
                </c:pt>
                <c:pt idx="65">
                  <c:v>144.60349275519192</c:v>
                </c:pt>
                <c:pt idx="66">
                  <c:v>142.46709160688062</c:v>
                </c:pt>
                <c:pt idx="67">
                  <c:v>140.3926655627246</c:v>
                </c:pt>
                <c:pt idx="68">
                  <c:v>138.37755639071005</c:v>
                </c:pt>
                <c:pt idx="69">
                  <c:v>136.41925573822795</c:v>
                </c:pt>
                <c:pt idx="70">
                  <c:v>134.51539471556751</c:v>
                </c:pt>
                <c:pt idx="71">
                  <c:v>132.66373433622832</c:v>
                </c:pt>
                <c:pt idx="72">
                  <c:v>130.86215673293654</c:v>
                </c:pt>
                <c:pt idx="73">
                  <c:v>129.10865707691275</c:v>
                </c:pt>
                <c:pt idx="74">
                  <c:v>127.40133613556893</c:v>
                </c:pt>
                <c:pt idx="75">
                  <c:v>125.73839341055316</c:v>
                </c:pt>
                <c:pt idx="76">
                  <c:v>124.11812080402173</c:v>
                </c:pt>
                <c:pt idx="77">
                  <c:v>122.53889676629966</c:v>
                </c:pt>
                <c:pt idx="78">
                  <c:v>120.99918088277832</c:v>
                </c:pt>
                <c:pt idx="79">
                  <c:v>119.49750886206506</c:v>
                </c:pt>
                <c:pt idx="80">
                  <c:v>118.03248789110764</c:v>
                </c:pt>
                <c:pt idx="81">
                  <c:v>116.60279232632232</c:v>
                </c:pt>
                <c:pt idx="82">
                  <c:v>115.20715969270748</c:v>
                </c:pt>
                <c:pt idx="83">
                  <c:v>113.84438696556029</c:v>
                </c:pt>
                <c:pt idx="84">
                  <c:v>112.51332711178138</c:v>
                </c:pt>
                <c:pt idx="85">
                  <c:v>111.21288586986445</c:v>
                </c:pt>
                <c:pt idx="86">
                  <c:v>109.9420187495751</c:v>
                </c:pt>
                <c:pt idx="87">
                  <c:v>108.69972823402655</c:v>
                </c:pt>
                <c:pt idx="88">
                  <c:v>107.48506116840237</c:v>
                </c:pt>
                <c:pt idx="89">
                  <c:v>106.29710632095795</c:v>
                </c:pt>
                <c:pt idx="90">
                  <c:v>105.13499210318581</c:v>
                </c:pt>
                <c:pt idx="91">
                  <c:v>103.99788443715688</c:v>
                </c:pt>
                <c:pt idx="92">
                  <c:v>102.88498475907105</c:v>
                </c:pt>
                <c:pt idx="93">
                  <c:v>101.79552814897455</c:v>
                </c:pt>
                <c:pt idx="94">
                  <c:v>100.72878157743951</c:v>
                </c:pt>
                <c:pt idx="95">
                  <c:v>99.684042260759611</c:v>
                </c:pt>
                <c:pt idx="96">
                  <c:v>98.660636116906417</c:v>
                </c:pt>
                <c:pt idx="97">
                  <c:v>97.657916315117944</c:v>
                </c:pt>
                <c:pt idx="98">
                  <c:v>96.675261912561183</c:v>
                </c:pt>
                <c:pt idx="99">
                  <c:v>95.712076572030625</c:v>
                </c:pt>
                <c:pt idx="100">
                  <c:v>94.767787355118429</c:v>
                </c:pt>
              </c:numCache>
            </c:numRef>
          </c:val>
          <c:smooth val="0"/>
          <c:extLst>
            <c:ext xmlns:c16="http://schemas.microsoft.com/office/drawing/2014/chart" uri="{C3380CC4-5D6E-409C-BE32-E72D297353CC}">
              <c16:uniqueId val="{00000001-7DBB-40A7-A5BB-CF5E7DC777D9}"/>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Single'!$AN$216:$AN$316</c:f>
              <c:numCache>
                <c:formatCode>0.0</c:formatCode>
                <c:ptCount val="101"/>
                <c:pt idx="0">
                  <c:v>12</c:v>
                </c:pt>
                <c:pt idx="1">
                  <c:v>12</c:v>
                </c:pt>
                <c:pt idx="2">
                  <c:v>12.807489737564312</c:v>
                </c:pt>
                <c:pt idx="3">
                  <c:v>19.211234606346469</c:v>
                </c:pt>
                <c:pt idx="4">
                  <c:v>25.614979475128624</c:v>
                </c:pt>
                <c:pt idx="5">
                  <c:v>32.018724343910783</c:v>
                </c:pt>
                <c:pt idx="6">
                  <c:v>38.422469212692938</c:v>
                </c:pt>
                <c:pt idx="7">
                  <c:v>44.826214081475094</c:v>
                </c:pt>
                <c:pt idx="8">
                  <c:v>51.229958950257249</c:v>
                </c:pt>
                <c:pt idx="9">
                  <c:v>57.633703819039404</c:v>
                </c:pt>
                <c:pt idx="10">
                  <c:v>64.037448687821566</c:v>
                </c:pt>
                <c:pt idx="11">
                  <c:v>70.441193556603707</c:v>
                </c:pt>
                <c:pt idx="12">
                  <c:v>76.844938425385877</c:v>
                </c:pt>
                <c:pt idx="13">
                  <c:v>83.248683294168032</c:v>
                </c:pt>
                <c:pt idx="14">
                  <c:v>89.652428162950187</c:v>
                </c:pt>
                <c:pt idx="15">
                  <c:v>96.056173031732342</c:v>
                </c:pt>
                <c:pt idx="16">
                  <c:v>102.4599179005145</c:v>
                </c:pt>
                <c:pt idx="17">
                  <c:v>108.86366276929665</c:v>
                </c:pt>
                <c:pt idx="18">
                  <c:v>115.26740763807881</c:v>
                </c:pt>
                <c:pt idx="19">
                  <c:v>121.67115250686096</c:v>
                </c:pt>
                <c:pt idx="20">
                  <c:v>128.07489737564313</c:v>
                </c:pt>
                <c:pt idx="21">
                  <c:v>134.47864224442529</c:v>
                </c:pt>
                <c:pt idx="22">
                  <c:v>140.88238711320741</c:v>
                </c:pt>
                <c:pt idx="23">
                  <c:v>147.2861319819896</c:v>
                </c:pt>
                <c:pt idx="24">
                  <c:v>153.68987685077175</c:v>
                </c:pt>
                <c:pt idx="25">
                  <c:v>160.09362171955388</c:v>
                </c:pt>
                <c:pt idx="26">
                  <c:v>166.49736658833606</c:v>
                </c:pt>
                <c:pt idx="27">
                  <c:v>172.90111145711822</c:v>
                </c:pt>
                <c:pt idx="28">
                  <c:v>179.30485632590037</c:v>
                </c:pt>
                <c:pt idx="29">
                  <c:v>185.7086011946825</c:v>
                </c:pt>
                <c:pt idx="30">
                  <c:v>192.11234606346468</c:v>
                </c:pt>
                <c:pt idx="31">
                  <c:v>198.51609093224681</c:v>
                </c:pt>
                <c:pt idx="32">
                  <c:v>204.919835801029</c:v>
                </c:pt>
                <c:pt idx="33">
                  <c:v>211.32358066981118</c:v>
                </c:pt>
                <c:pt idx="34">
                  <c:v>217.72732553859331</c:v>
                </c:pt>
                <c:pt idx="35">
                  <c:v>224.13107040737546</c:v>
                </c:pt>
                <c:pt idx="36">
                  <c:v>230.53481527615762</c:v>
                </c:pt>
                <c:pt idx="37">
                  <c:v>236.93856014493977</c:v>
                </c:pt>
                <c:pt idx="38">
                  <c:v>243.34230501372193</c:v>
                </c:pt>
                <c:pt idx="39">
                  <c:v>249.74604988250411</c:v>
                </c:pt>
                <c:pt idx="40">
                  <c:v>256.14979475128627</c:v>
                </c:pt>
                <c:pt idx="41">
                  <c:v>262.55353962006836</c:v>
                </c:pt>
                <c:pt idx="42">
                  <c:v>268.95728448885058</c:v>
                </c:pt>
                <c:pt idx="43">
                  <c:v>275.3617237242525</c:v>
                </c:pt>
                <c:pt idx="44">
                  <c:v>260.31114061431367</c:v>
                </c:pt>
                <c:pt idx="45">
                  <c:v>254.81399089392681</c:v>
                </c:pt>
                <c:pt idx="46">
                  <c:v>249.54390203833373</c:v>
                </c:pt>
                <c:pt idx="47">
                  <c:v>244.48709049089001</c:v>
                </c:pt>
                <c:pt idx="48">
                  <c:v>239.6308661952944</c:v>
                </c:pt>
                <c:pt idx="49">
                  <c:v>234.96352626522028</c:v>
                </c:pt>
                <c:pt idx="50">
                  <c:v>230.47426082454723</c:v>
                </c:pt>
                <c:pt idx="51">
                  <c:v>226.1530694233924</c:v>
                </c:pt>
                <c:pt idx="52">
                  <c:v>221.99068666958183</c:v>
                </c:pt>
                <c:pt idx="53">
                  <c:v>217.9785159115778</c:v>
                </c:pt>
                <c:pt idx="54">
                  <c:v>214.10856997391863</c:v>
                </c:pt>
                <c:pt idx="55">
                  <c:v>210.37341808540933</c:v>
                </c:pt>
                <c:pt idx="56">
                  <c:v>206.76613825803295</c:v>
                </c:pt>
                <c:pt idx="57">
                  <c:v>203.28027447445919</c:v>
                </c:pt>
                <c:pt idx="58">
                  <c:v>199.90979812704464</c:v>
                </c:pt>
                <c:pt idx="59">
                  <c:v>196.64907322378639</c:v>
                </c:pt>
                <c:pt idx="60">
                  <c:v>193.4928249387867</c:v>
                </c:pt>
                <c:pt idx="61">
                  <c:v>190.43611113807953</c:v>
                </c:pt>
                <c:pt idx="62">
                  <c:v>187.47429655750835</c:v>
                </c:pt>
                <c:pt idx="63">
                  <c:v>184.60302934888404</c:v>
                </c:pt>
                <c:pt idx="64">
                  <c:v>181.81821974482909</c:v>
                </c:pt>
                <c:pt idx="65">
                  <c:v>179.1160206223328</c:v>
                </c:pt>
                <c:pt idx="66">
                  <c:v>176.49280977075986</c:v>
                </c:pt>
                <c:pt idx="67">
                  <c:v>173.94517369244411</c:v>
                </c:pt>
                <c:pt idx="68">
                  <c:v>171.46989278352248</c:v>
                </c:pt>
                <c:pt idx="69">
                  <c:v>169.06392775972935</c:v>
                </c:pt>
                <c:pt idx="70">
                  <c:v>166.72440720681493</c:v>
                </c:pt>
                <c:pt idx="71">
                  <c:v>164.44861614836444</c:v>
                </c:pt>
                <c:pt idx="72">
                  <c:v>162.23398553532041</c:v>
                </c:pt>
                <c:pt idx="73">
                  <c:v>160.07808257166076</c:v>
                </c:pt>
                <c:pt idx="74">
                  <c:v>157.97860179964286</c:v>
                </c:pt>
                <c:pt idx="75">
                  <c:v>155.93335687593503</c:v>
                </c:pt>
                <c:pt idx="76">
                  <c:v>153.94027297696712</c:v>
                </c:pt>
                <c:pt idx="77">
                  <c:v>151.99737977803773</c:v>
                </c:pt>
                <c:pt idx="78">
                  <c:v>150.10280495624093</c:v>
                </c:pt>
                <c:pt idx="79">
                  <c:v>148.25476817217401</c:v>
                </c:pt>
                <c:pt idx="80">
                  <c:v>146.45157548976539</c:v>
                </c:pt>
                <c:pt idx="81">
                  <c:v>144.69161419745618</c:v>
                </c:pt>
                <c:pt idx="82">
                  <c:v>142.97334799745943</c:v>
                </c:pt>
                <c:pt idx="83">
                  <c:v>141.29531253292942</c:v>
                </c:pt>
                <c:pt idx="84">
                  <c:v>139.65611122567429</c:v>
                </c:pt>
                <c:pt idx="85">
                  <c:v>138.05441139954266</c:v>
                </c:pt>
                <c:pt idx="86">
                  <c:v>136.4889406668706</c:v>
                </c:pt>
                <c:pt idx="87">
                  <c:v>134.95848355739383</c:v>
                </c:pt>
                <c:pt idx="88">
                  <c:v>133.46187837085617</c:v>
                </c:pt>
                <c:pt idx="89">
                  <c:v>131.99801423618436</c:v>
                </c:pt>
                <c:pt idx="90">
                  <c:v>130.56582836158509</c:v>
                </c:pt>
                <c:pt idx="91">
                  <c:v>129.16430346125685</c:v>
                </c:pt>
                <c:pt idx="92">
                  <c:v>127.79246534562428</c:v>
                </c:pt>
                <c:pt idx="93">
                  <c:v>126.44938066309791</c:v>
                </c:pt>
                <c:pt idx="94">
                  <c:v>125.13415478235984</c:v>
                </c:pt>
                <c:pt idx="95">
                  <c:v>123.84592980507681</c:v>
                </c:pt>
                <c:pt idx="96">
                  <c:v>122.58388269976486</c:v>
                </c:pt>
                <c:pt idx="97">
                  <c:v>121.34722354827579</c:v>
                </c:pt>
                <c:pt idx="98">
                  <c:v>120.13519389705401</c:v>
                </c:pt>
                <c:pt idx="99">
                  <c:v>118.94706520593307</c:v>
                </c:pt>
                <c:pt idx="100">
                  <c:v>117.78213738780539</c:v>
                </c:pt>
              </c:numCache>
            </c:numRef>
          </c:val>
          <c:smooth val="0"/>
          <c:extLst>
            <c:ext xmlns:c16="http://schemas.microsoft.com/office/drawing/2014/chart" uri="{C3380CC4-5D6E-409C-BE32-E72D297353CC}">
              <c16:uniqueId val="{00000002-7DBB-40A7-A5BB-CF5E7DC777D9}"/>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7DBB-40A7-A5BB-CF5E7DC777D9}"/>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7DBB-40A7-A5BB-CF5E7DC777D9}"/>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7DBB-40A7-A5BB-CF5E7DC777D9}"/>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13.333333333333334</c:v>
                </c:pt>
                <c:pt idx="17">
                  <c:v>13.333333333333334</c:v>
                </c:pt>
                <c:pt idx="18">
                  <c:v>13.333333333333334</c:v>
                </c:pt>
                <c:pt idx="19">
                  <c:v>13.333333333333334</c:v>
                </c:pt>
                <c:pt idx="20">
                  <c:v>13.333333333333334</c:v>
                </c:pt>
                <c:pt idx="21">
                  <c:v>13.333333333333334</c:v>
                </c:pt>
                <c:pt idx="22">
                  <c:v>13.333333333333334</c:v>
                </c:pt>
                <c:pt idx="23">
                  <c:v>13.333333333333334</c:v>
                </c:pt>
                <c:pt idx="24">
                  <c:v>13.333333333333334</c:v>
                </c:pt>
                <c:pt idx="25">
                  <c:v>13.333333333333334</c:v>
                </c:pt>
                <c:pt idx="26">
                  <c:v>13.333333333333334</c:v>
                </c:pt>
                <c:pt idx="27">
                  <c:v>13.333333333333334</c:v>
                </c:pt>
                <c:pt idx="28">
                  <c:v>13.333333333333334</c:v>
                </c:pt>
                <c:pt idx="29">
                  <c:v>13.333333333333334</c:v>
                </c:pt>
                <c:pt idx="30">
                  <c:v>13.333333333333334</c:v>
                </c:pt>
                <c:pt idx="31">
                  <c:v>13.333333333333334</c:v>
                </c:pt>
                <c:pt idx="32">
                  <c:v>13.333333333333334</c:v>
                </c:pt>
                <c:pt idx="33">
                  <c:v>13.333333333333334</c:v>
                </c:pt>
                <c:pt idx="34">
                  <c:v>13.333333333333334</c:v>
                </c:pt>
                <c:pt idx="35">
                  <c:v>13.66626428752669</c:v>
                </c:pt>
                <c:pt idx="36">
                  <c:v>14.057537075234208</c:v>
                </c:pt>
                <c:pt idx="37">
                  <c:v>14.448854952283071</c:v>
                </c:pt>
                <c:pt idx="38">
                  <c:v>14.840217933051912</c:v>
                </c:pt>
                <c:pt idx="39">
                  <c:v>15.23162603192854</c:v>
                </c:pt>
                <c:pt idx="40">
                  <c:v>15.623079263309583</c:v>
                </c:pt>
                <c:pt idx="41">
                  <c:v>16.014577641600113</c:v>
                </c:pt>
                <c:pt idx="42">
                  <c:v>16.406121181213422</c:v>
                </c:pt>
                <c:pt idx="43">
                  <c:v>16.797709896570741</c:v>
                </c:pt>
                <c:pt idx="44">
                  <c:v>17.18934380210106</c:v>
                </c:pt>
                <c:pt idx="45">
                  <c:v>17.581022912240936</c:v>
                </c:pt>
                <c:pt idx="46">
                  <c:v>17.972747241434359</c:v>
                </c:pt>
                <c:pt idx="47">
                  <c:v>18.364516804132599</c:v>
                </c:pt>
                <c:pt idx="48">
                  <c:v>18.756331614794092</c:v>
                </c:pt>
                <c:pt idx="49">
                  <c:v>19.148191687884353</c:v>
                </c:pt>
                <c:pt idx="50">
                  <c:v>19.540097037875888</c:v>
                </c:pt>
                <c:pt idx="51">
                  <c:v>19.9320476792481</c:v>
                </c:pt>
                <c:pt idx="52">
                  <c:v>20.324043626487214</c:v>
                </c:pt>
                <c:pt idx="53">
                  <c:v>20.716084894086279</c:v>
                </c:pt>
                <c:pt idx="54">
                  <c:v>21.108171496545033</c:v>
                </c:pt>
                <c:pt idx="55">
                  <c:v>21.500303448369916</c:v>
                </c:pt>
                <c:pt idx="56">
                  <c:v>21.892480764073984</c:v>
                </c:pt>
                <c:pt idx="57">
                  <c:v>22.284703458176903</c:v>
                </c:pt>
                <c:pt idx="58">
                  <c:v>22.67697154520495</c:v>
                </c:pt>
                <c:pt idx="59">
                  <c:v>23.069285039690893</c:v>
                </c:pt>
                <c:pt idx="60">
                  <c:v>23.461643956174044</c:v>
                </c:pt>
                <c:pt idx="61">
                  <c:v>23.854048309200191</c:v>
                </c:pt>
                <c:pt idx="62">
                  <c:v>24.246498113321621</c:v>
                </c:pt>
                <c:pt idx="63">
                  <c:v>24.63899338309708</c:v>
                </c:pt>
                <c:pt idx="64">
                  <c:v>25.031534133091725</c:v>
                </c:pt>
                <c:pt idx="65">
                  <c:v>25.424120377877166</c:v>
                </c:pt>
                <c:pt idx="66">
                  <c:v>25.816752132031425</c:v>
                </c:pt>
                <c:pt idx="67">
                  <c:v>26.209429410138942</c:v>
                </c:pt>
                <c:pt idx="68">
                  <c:v>26.602152226790533</c:v>
                </c:pt>
                <c:pt idx="69">
                  <c:v>26.994920596583388</c:v>
                </c:pt>
                <c:pt idx="70">
                  <c:v>27.387734534121119</c:v>
                </c:pt>
                <c:pt idx="71">
                  <c:v>27.78059405401369</c:v>
                </c:pt>
                <c:pt idx="72">
                  <c:v>28.173499170877424</c:v>
                </c:pt>
                <c:pt idx="73">
                  <c:v>28.566449899335009</c:v>
                </c:pt>
                <c:pt idx="74">
                  <c:v>28.959446254015511</c:v>
                </c:pt>
                <c:pt idx="75">
                  <c:v>29.35248824955433</c:v>
                </c:pt>
                <c:pt idx="76">
                  <c:v>29.74557590059322</c:v>
                </c:pt>
                <c:pt idx="77">
                  <c:v>30.138709221780296</c:v>
                </c:pt>
                <c:pt idx="78">
                  <c:v>30.531888227770011</c:v>
                </c:pt>
                <c:pt idx="79">
                  <c:v>30.925112933223168</c:v>
                </c:pt>
                <c:pt idx="80">
                  <c:v>31.318383352806897</c:v>
                </c:pt>
                <c:pt idx="81">
                  <c:v>31.711699501194708</c:v>
                </c:pt>
                <c:pt idx="82">
                  <c:v>32.105061393066414</c:v>
                </c:pt>
                <c:pt idx="83">
                  <c:v>32.498469043108194</c:v>
                </c:pt>
                <c:pt idx="84">
                  <c:v>32.891922466012559</c:v>
                </c:pt>
                <c:pt idx="85">
                  <c:v>33.285421676478371</c:v>
                </c:pt>
                <c:pt idx="86">
                  <c:v>33.678966689210839</c:v>
                </c:pt>
                <c:pt idx="87">
                  <c:v>34.072557518921485</c:v>
                </c:pt>
                <c:pt idx="88">
                  <c:v>34.466194180328209</c:v>
                </c:pt>
                <c:pt idx="89">
                  <c:v>34.859876688155246</c:v>
                </c:pt>
                <c:pt idx="90">
                  <c:v>35.25360505713315</c:v>
                </c:pt>
                <c:pt idx="91">
                  <c:v>35.647379301998882</c:v>
                </c:pt>
                <c:pt idx="92">
                  <c:v>36.041199437495699</c:v>
                </c:pt>
                <c:pt idx="93">
                  <c:v>36.435065478373211</c:v>
                </c:pt>
                <c:pt idx="94">
                  <c:v>36.82897743938743</c:v>
                </c:pt>
                <c:pt idx="95">
                  <c:v>37.222935335300669</c:v>
                </c:pt>
                <c:pt idx="96">
                  <c:v>37.616939180881602</c:v>
                </c:pt>
                <c:pt idx="97">
                  <c:v>38.010988990905297</c:v>
                </c:pt>
                <c:pt idx="98">
                  <c:v>38.405084780153153</c:v>
                </c:pt>
                <c:pt idx="99">
                  <c:v>38.799226563412937</c:v>
                </c:pt>
                <c:pt idx="100">
                  <c:v>39.193414355478787</c:v>
                </c:pt>
              </c:numCache>
            </c:numRef>
          </c:val>
          <c:smooth val="0"/>
          <c:extLst>
            <c:ext xmlns:c16="http://schemas.microsoft.com/office/drawing/2014/chart" uri="{C3380CC4-5D6E-409C-BE32-E72D297353CC}">
              <c16:uniqueId val="{00000000-DE5E-470B-BC83-CF3F840E873B}"/>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Single'!$AJ$5:$AJ$105</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13.333333333333334</c:v>
                </c:pt>
                <c:pt idx="17">
                  <c:v>13.333333333333334</c:v>
                </c:pt>
                <c:pt idx="18">
                  <c:v>13.333333333333334</c:v>
                </c:pt>
                <c:pt idx="19">
                  <c:v>13.333333333333334</c:v>
                </c:pt>
                <c:pt idx="20">
                  <c:v>13.333333333333334</c:v>
                </c:pt>
                <c:pt idx="21">
                  <c:v>13.333333333333334</c:v>
                </c:pt>
                <c:pt idx="22">
                  <c:v>13.333333333333334</c:v>
                </c:pt>
                <c:pt idx="23">
                  <c:v>13.333333333333334</c:v>
                </c:pt>
                <c:pt idx="24">
                  <c:v>13.333333333333334</c:v>
                </c:pt>
                <c:pt idx="25">
                  <c:v>13.333333333333334</c:v>
                </c:pt>
                <c:pt idx="26">
                  <c:v>13.333333333333334</c:v>
                </c:pt>
                <c:pt idx="27">
                  <c:v>13.333333333333334</c:v>
                </c:pt>
                <c:pt idx="28">
                  <c:v>13.333333333333334</c:v>
                </c:pt>
                <c:pt idx="29">
                  <c:v>13.333333333333334</c:v>
                </c:pt>
                <c:pt idx="30">
                  <c:v>13.333333333333334</c:v>
                </c:pt>
                <c:pt idx="31">
                  <c:v>13.333333333333334</c:v>
                </c:pt>
                <c:pt idx="32">
                  <c:v>13.333333333333334</c:v>
                </c:pt>
                <c:pt idx="33">
                  <c:v>13.333333333333334</c:v>
                </c:pt>
                <c:pt idx="34">
                  <c:v>13.333333333333334</c:v>
                </c:pt>
                <c:pt idx="35">
                  <c:v>13.333333333333334</c:v>
                </c:pt>
                <c:pt idx="36">
                  <c:v>13.333333333333334</c:v>
                </c:pt>
                <c:pt idx="37">
                  <c:v>13.333333333333334</c:v>
                </c:pt>
                <c:pt idx="38">
                  <c:v>13.333333333333334</c:v>
                </c:pt>
                <c:pt idx="39">
                  <c:v>13.36545643309266</c:v>
                </c:pt>
                <c:pt idx="40">
                  <c:v>13.708577424675459</c:v>
                </c:pt>
                <c:pt idx="41">
                  <c:v>14.051760382203947</c:v>
                </c:pt>
                <c:pt idx="42">
                  <c:v>14.394966270746249</c:v>
                </c:pt>
                <c:pt idx="43">
                  <c:v>14.738195095111388</c:v>
                </c:pt>
                <c:pt idx="44">
                  <c:v>15.081446860110896</c:v>
                </c:pt>
                <c:pt idx="45">
                  <c:v>15.424721570558708</c:v>
                </c:pt>
                <c:pt idx="46">
                  <c:v>15.768019231271051</c:v>
                </c:pt>
                <c:pt idx="47">
                  <c:v>16.111339847066318</c:v>
                </c:pt>
                <c:pt idx="48">
                  <c:v>16.454683422765015</c:v>
                </c:pt>
                <c:pt idx="49">
                  <c:v>16.798049963189634</c:v>
                </c:pt>
                <c:pt idx="50">
                  <c:v>17.141439473164649</c:v>
                </c:pt>
                <c:pt idx="51">
                  <c:v>17.484851957516415</c:v>
                </c:pt>
                <c:pt idx="52">
                  <c:v>17.828287421073121</c:v>
                </c:pt>
                <c:pt idx="53">
                  <c:v>18.17174586866475</c:v>
                </c:pt>
                <c:pt idx="54">
                  <c:v>18.515227305123055</c:v>
                </c:pt>
                <c:pt idx="55">
                  <c:v>18.858731735281484</c:v>
                </c:pt>
                <c:pt idx="56">
                  <c:v>19.202259163975185</c:v>
                </c:pt>
                <c:pt idx="57">
                  <c:v>19.54580959604095</c:v>
                </c:pt>
                <c:pt idx="58">
                  <c:v>19.889383036317223</c:v>
                </c:pt>
                <c:pt idx="59">
                  <c:v>20.23297948964402</c:v>
                </c:pt>
                <c:pt idx="60">
                  <c:v>20.576598960862981</c:v>
                </c:pt>
                <c:pt idx="61">
                  <c:v>20.920241454817297</c:v>
                </c:pt>
                <c:pt idx="62">
                  <c:v>21.263906976351706</c:v>
                </c:pt>
                <c:pt idx="63">
                  <c:v>21.607595530312505</c:v>
                </c:pt>
                <c:pt idx="64">
                  <c:v>21.951307121547487</c:v>
                </c:pt>
                <c:pt idx="65">
                  <c:v>22.29504175490597</c:v>
                </c:pt>
                <c:pt idx="66">
                  <c:v>22.638799435238777</c:v>
                </c:pt>
                <c:pt idx="67">
                  <c:v>22.982580167398222</c:v>
                </c:pt>
                <c:pt idx="68">
                  <c:v>23.326383956238089</c:v>
                </c:pt>
                <c:pt idx="69">
                  <c:v>23.670210806613632</c:v>
                </c:pt>
                <c:pt idx="70">
                  <c:v>24.014060723381597</c:v>
                </c:pt>
                <c:pt idx="71">
                  <c:v>24.357933711400175</c:v>
                </c:pt>
                <c:pt idx="72">
                  <c:v>24.701829775528999</c:v>
                </c:pt>
                <c:pt idx="73">
                  <c:v>25.045748920629165</c:v>
                </c:pt>
                <c:pt idx="74">
                  <c:v>25.389691151563195</c:v>
                </c:pt>
                <c:pt idx="75">
                  <c:v>25.733656473195065</c:v>
                </c:pt>
                <c:pt idx="76">
                  <c:v>26.077644890390186</c:v>
                </c:pt>
                <c:pt idx="77">
                  <c:v>26.421656408015377</c:v>
                </c:pt>
                <c:pt idx="78">
                  <c:v>26.765691030938903</c:v>
                </c:pt>
                <c:pt idx="79">
                  <c:v>27.109748764030449</c:v>
                </c:pt>
                <c:pt idx="80">
                  <c:v>27.453829612161101</c:v>
                </c:pt>
                <c:pt idx="81">
                  <c:v>27.797933580203399</c:v>
                </c:pt>
                <c:pt idx="82">
                  <c:v>28.142060673031249</c:v>
                </c:pt>
                <c:pt idx="83">
                  <c:v>28.486210895520038</c:v>
                </c:pt>
                <c:pt idx="84">
                  <c:v>28.830384252546484</c:v>
                </c:pt>
                <c:pt idx="85">
                  <c:v>29.174580748988774</c:v>
                </c:pt>
                <c:pt idx="86">
                  <c:v>29.518800389726465</c:v>
                </c:pt>
                <c:pt idx="87">
                  <c:v>29.863043179640549</c:v>
                </c:pt>
                <c:pt idx="88">
                  <c:v>30.207309123613392</c:v>
                </c:pt>
                <c:pt idx="89">
                  <c:v>30.551598226528778</c:v>
                </c:pt>
                <c:pt idx="90">
                  <c:v>30.895910493271913</c:v>
                </c:pt>
                <c:pt idx="91">
                  <c:v>31.240245928729365</c:v>
                </c:pt>
                <c:pt idx="92">
                  <c:v>31.584604537789122</c:v>
                </c:pt>
                <c:pt idx="93">
                  <c:v>31.928986325340571</c:v>
                </c:pt>
                <c:pt idx="94">
                  <c:v>32.27339129627449</c:v>
                </c:pt>
                <c:pt idx="95">
                  <c:v>32.617819455483058</c:v>
                </c:pt>
                <c:pt idx="96">
                  <c:v>32.962270807859859</c:v>
                </c:pt>
                <c:pt idx="97">
                  <c:v>33.30674535829985</c:v>
                </c:pt>
                <c:pt idx="98">
                  <c:v>33.651243111699408</c:v>
                </c:pt>
                <c:pt idx="99">
                  <c:v>33.995764072956312</c:v>
                </c:pt>
                <c:pt idx="100">
                  <c:v>34.340308246969691</c:v>
                </c:pt>
              </c:numCache>
            </c:numRef>
          </c:val>
          <c:smooth val="1"/>
          <c:extLst>
            <c:ext xmlns:c16="http://schemas.microsoft.com/office/drawing/2014/chart" uri="{C3380CC4-5D6E-409C-BE32-E72D297353CC}">
              <c16:uniqueId val="{00000001-DE5E-470B-BC83-CF3F840E873B}"/>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13.333333333333334</c:v>
                </c:pt>
                <c:pt idx="17">
                  <c:v>13.333333333333334</c:v>
                </c:pt>
                <c:pt idx="18">
                  <c:v>13.333333333333334</c:v>
                </c:pt>
                <c:pt idx="19">
                  <c:v>13.333333333333334</c:v>
                </c:pt>
                <c:pt idx="20">
                  <c:v>13.333333333333334</c:v>
                </c:pt>
                <c:pt idx="21">
                  <c:v>13.333333333333334</c:v>
                </c:pt>
                <c:pt idx="22">
                  <c:v>13.333333333333334</c:v>
                </c:pt>
                <c:pt idx="23">
                  <c:v>13.333333333333334</c:v>
                </c:pt>
                <c:pt idx="24">
                  <c:v>13.333333333333334</c:v>
                </c:pt>
                <c:pt idx="25">
                  <c:v>13.333333333333334</c:v>
                </c:pt>
                <c:pt idx="26">
                  <c:v>13.333333333333334</c:v>
                </c:pt>
                <c:pt idx="27">
                  <c:v>13.333333333333334</c:v>
                </c:pt>
                <c:pt idx="28">
                  <c:v>13.333333333333334</c:v>
                </c:pt>
                <c:pt idx="29">
                  <c:v>13.333333333333334</c:v>
                </c:pt>
                <c:pt idx="30">
                  <c:v>13.333333333333334</c:v>
                </c:pt>
                <c:pt idx="31">
                  <c:v>13.333333333333334</c:v>
                </c:pt>
                <c:pt idx="32">
                  <c:v>13.333333333333334</c:v>
                </c:pt>
                <c:pt idx="33">
                  <c:v>13.333333333333334</c:v>
                </c:pt>
                <c:pt idx="34">
                  <c:v>13.333333333333334</c:v>
                </c:pt>
                <c:pt idx="35">
                  <c:v>13.333333333333334</c:v>
                </c:pt>
                <c:pt idx="36">
                  <c:v>13.333333333333334</c:v>
                </c:pt>
                <c:pt idx="37">
                  <c:v>13.333333333333334</c:v>
                </c:pt>
                <c:pt idx="38">
                  <c:v>13.333333333333334</c:v>
                </c:pt>
                <c:pt idx="39">
                  <c:v>13.333333333333334</c:v>
                </c:pt>
                <c:pt idx="40">
                  <c:v>13.333333333333334</c:v>
                </c:pt>
                <c:pt idx="41">
                  <c:v>13.333333333333334</c:v>
                </c:pt>
                <c:pt idx="42">
                  <c:v>13.333333333333334</c:v>
                </c:pt>
                <c:pt idx="43">
                  <c:v>13.333333333333334</c:v>
                </c:pt>
                <c:pt idx="44">
                  <c:v>13.506039893336345</c:v>
                </c:pt>
                <c:pt idx="45">
                  <c:v>13.813264977503641</c:v>
                </c:pt>
                <c:pt idx="46">
                  <c:v>14.120502075948281</c:v>
                </c:pt>
                <c:pt idx="47">
                  <c:v>14.427751190360523</c:v>
                </c:pt>
                <c:pt idx="48">
                  <c:v>14.735012322431484</c:v>
                </c:pt>
                <c:pt idx="49">
                  <c:v>15.04228547385306</c:v>
                </c:pt>
                <c:pt idx="50">
                  <c:v>15.349570646317886</c:v>
                </c:pt>
                <c:pt idx="51">
                  <c:v>15.656867841519299</c:v>
                </c:pt>
                <c:pt idx="52">
                  <c:v>15.964177061151302</c:v>
                </c:pt>
                <c:pt idx="53">
                  <c:v>16.271498306908523</c:v>
                </c:pt>
                <c:pt idx="54">
                  <c:v>16.578831580486195</c:v>
                </c:pt>
                <c:pt idx="55">
                  <c:v>16.886176883580113</c:v>
                </c:pt>
                <c:pt idx="56">
                  <c:v>17.19353421788664</c:v>
                </c:pt>
                <c:pt idx="57">
                  <c:v>17.500903585102655</c:v>
                </c:pt>
                <c:pt idx="58">
                  <c:v>17.808284986925571</c:v>
                </c:pt>
                <c:pt idx="59">
                  <c:v>18.115678425053261</c:v>
                </c:pt>
                <c:pt idx="60">
                  <c:v>18.423083901184121</c:v>
                </c:pt>
                <c:pt idx="61">
                  <c:v>18.730501417016981</c:v>
                </c:pt>
                <c:pt idx="62">
                  <c:v>19.037930974251147</c:v>
                </c:pt>
                <c:pt idx="63">
                  <c:v>19.345372574586353</c:v>
                </c:pt>
                <c:pt idx="64">
                  <c:v>19.652826219722797</c:v>
                </c:pt>
                <c:pt idx="65">
                  <c:v>19.960291911361065</c:v>
                </c:pt>
                <c:pt idx="66">
                  <c:v>20.267769651202194</c:v>
                </c:pt>
                <c:pt idx="67">
                  <c:v>20.575259440947612</c:v>
                </c:pt>
                <c:pt idx="68">
                  <c:v>20.88276128229916</c:v>
                </c:pt>
                <c:pt idx="69">
                  <c:v>21.190275176959069</c:v>
                </c:pt>
                <c:pt idx="70">
                  <c:v>21.497801126629987</c:v>
                </c:pt>
                <c:pt idx="71">
                  <c:v>21.805339133014922</c:v>
                </c:pt>
                <c:pt idx="72">
                  <c:v>22.112889197817264</c:v>
                </c:pt>
                <c:pt idx="73">
                  <c:v>22.420451322740814</c:v>
                </c:pt>
                <c:pt idx="74">
                  <c:v>22.728025509489708</c:v>
                </c:pt>
                <c:pt idx="75">
                  <c:v>23.035611759768496</c:v>
                </c:pt>
                <c:pt idx="76">
                  <c:v>23.343210075282045</c:v>
                </c:pt>
                <c:pt idx="77">
                  <c:v>23.65082045773563</c:v>
                </c:pt>
                <c:pt idx="78">
                  <c:v>23.958442908834879</c:v>
                </c:pt>
                <c:pt idx="79">
                  <c:v>24.266077430285765</c:v>
                </c:pt>
                <c:pt idx="80">
                  <c:v>24.573724023794618</c:v>
                </c:pt>
                <c:pt idx="81">
                  <c:v>24.881382691068161</c:v>
                </c:pt>
                <c:pt idx="82">
                  <c:v>25.18905343381342</c:v>
                </c:pt>
                <c:pt idx="83">
                  <c:v>25.496736253737808</c:v>
                </c:pt>
                <c:pt idx="84">
                  <c:v>25.804431152549068</c:v>
                </c:pt>
                <c:pt idx="85">
                  <c:v>26.112138131955309</c:v>
                </c:pt>
                <c:pt idx="86">
                  <c:v>26.41985719366496</c:v>
                </c:pt>
                <c:pt idx="87">
                  <c:v>26.727588339386823</c:v>
                </c:pt>
                <c:pt idx="88">
                  <c:v>27.035331570830039</c:v>
                </c:pt>
                <c:pt idx="89">
                  <c:v>27.343086889704068</c:v>
                </c:pt>
                <c:pt idx="90">
                  <c:v>27.650854297718752</c:v>
                </c:pt>
                <c:pt idx="91">
                  <c:v>27.958633796584238</c:v>
                </c:pt>
                <c:pt idx="92">
                  <c:v>28.266425388011033</c:v>
                </c:pt>
                <c:pt idx="93">
                  <c:v>28.574229073709983</c:v>
                </c:pt>
                <c:pt idx="94">
                  <c:v>28.882044855392248</c:v>
                </c:pt>
                <c:pt idx="95">
                  <c:v>29.18987273476937</c:v>
                </c:pt>
                <c:pt idx="96">
                  <c:v>29.497712713553184</c:v>
                </c:pt>
                <c:pt idx="97">
                  <c:v>29.805564793455893</c:v>
                </c:pt>
                <c:pt idx="98">
                  <c:v>30.113428976190018</c:v>
                </c:pt>
                <c:pt idx="99">
                  <c:v>30.421305263468412</c:v>
                </c:pt>
                <c:pt idx="100">
                  <c:v>30.729193657004284</c:v>
                </c:pt>
              </c:numCache>
            </c:numRef>
          </c:val>
          <c:smooth val="1"/>
          <c:extLst>
            <c:ext xmlns:c16="http://schemas.microsoft.com/office/drawing/2014/chart" uri="{C3380CC4-5D6E-409C-BE32-E72D297353CC}">
              <c16:uniqueId val="{00000002-DE5E-470B-BC83-CF3F840E873B}"/>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Single'!$AN$110:$AN$210</c:f>
              <c:numCache>
                <c:formatCode>0.0</c:formatCode>
                <c:ptCount val="101"/>
                <c:pt idx="0">
                  <c:v>12</c:v>
                </c:pt>
                <c:pt idx="1">
                  <c:v>12</c:v>
                </c:pt>
                <c:pt idx="2">
                  <c:v>12.807489737564312</c:v>
                </c:pt>
                <c:pt idx="3">
                  <c:v>19.211234606346469</c:v>
                </c:pt>
                <c:pt idx="4">
                  <c:v>25.614979475128624</c:v>
                </c:pt>
                <c:pt idx="5">
                  <c:v>32.018724343910783</c:v>
                </c:pt>
                <c:pt idx="6">
                  <c:v>38.422469212692938</c:v>
                </c:pt>
                <c:pt idx="7">
                  <c:v>44.826214081475094</c:v>
                </c:pt>
                <c:pt idx="8">
                  <c:v>51.229958950257249</c:v>
                </c:pt>
                <c:pt idx="9">
                  <c:v>57.633703819039404</c:v>
                </c:pt>
                <c:pt idx="10">
                  <c:v>64.037448687821566</c:v>
                </c:pt>
                <c:pt idx="11">
                  <c:v>70.441193556603707</c:v>
                </c:pt>
                <c:pt idx="12">
                  <c:v>76.844938425385877</c:v>
                </c:pt>
                <c:pt idx="13">
                  <c:v>83.248683294168032</c:v>
                </c:pt>
                <c:pt idx="14">
                  <c:v>89.652428162950187</c:v>
                </c:pt>
                <c:pt idx="15">
                  <c:v>96.056173031732342</c:v>
                </c:pt>
                <c:pt idx="16">
                  <c:v>102.4599179005145</c:v>
                </c:pt>
                <c:pt idx="17">
                  <c:v>108.86366276929665</c:v>
                </c:pt>
                <c:pt idx="18">
                  <c:v>115.26740763807881</c:v>
                </c:pt>
                <c:pt idx="19">
                  <c:v>121.67115250686096</c:v>
                </c:pt>
                <c:pt idx="20">
                  <c:v>128.07489737564313</c:v>
                </c:pt>
                <c:pt idx="21">
                  <c:v>134.47864224442529</c:v>
                </c:pt>
                <c:pt idx="22">
                  <c:v>140.88238711320741</c:v>
                </c:pt>
                <c:pt idx="23">
                  <c:v>147.2861319819896</c:v>
                </c:pt>
                <c:pt idx="24">
                  <c:v>153.68987685077175</c:v>
                </c:pt>
                <c:pt idx="25">
                  <c:v>160.09362171955388</c:v>
                </c:pt>
                <c:pt idx="26">
                  <c:v>166.49736658833606</c:v>
                </c:pt>
                <c:pt idx="27">
                  <c:v>172.90111145711822</c:v>
                </c:pt>
                <c:pt idx="28">
                  <c:v>179.30485632590037</c:v>
                </c:pt>
                <c:pt idx="29">
                  <c:v>185.7086011946825</c:v>
                </c:pt>
                <c:pt idx="30">
                  <c:v>192.11234606346468</c:v>
                </c:pt>
                <c:pt idx="31">
                  <c:v>198.51609093224681</c:v>
                </c:pt>
                <c:pt idx="32">
                  <c:v>204.919835801029</c:v>
                </c:pt>
                <c:pt idx="33">
                  <c:v>211.32358066981118</c:v>
                </c:pt>
                <c:pt idx="34">
                  <c:v>217.72826212682159</c:v>
                </c:pt>
                <c:pt idx="35">
                  <c:v>204.61592320528865</c:v>
                </c:pt>
                <c:pt idx="36">
                  <c:v>199.13873841867425</c:v>
                </c:pt>
                <c:pt idx="37">
                  <c:v>193.94608776470636</c:v>
                </c:pt>
                <c:pt idx="38">
                  <c:v>189.01636057824894</c:v>
                </c:pt>
                <c:pt idx="39">
                  <c:v>184.33008062681185</c:v>
                </c:pt>
                <c:pt idx="40">
                  <c:v>179.86964894459393</c:v>
                </c:pt>
                <c:pt idx="41">
                  <c:v>175.6191229730521</c:v>
                </c:pt>
                <c:pt idx="42">
                  <c:v>171.56402616544887</c:v>
                </c:pt>
                <c:pt idx="43">
                  <c:v>167.69118326319872</c:v>
                </c:pt>
                <c:pt idx="44">
                  <c:v>163.98857729443057</c:v>
                </c:pt>
                <c:pt idx="45">
                  <c:v>160.44522502469391</c:v>
                </c:pt>
                <c:pt idx="46">
                  <c:v>157.05106814049589</c:v>
                </c:pt>
                <c:pt idx="47">
                  <c:v>153.79687789491044</c:v>
                </c:pt>
                <c:pt idx="48">
                  <c:v>150.67417131149895</c:v>
                </c:pt>
                <c:pt idx="49">
                  <c:v>147.67513734437239</c:v>
                </c:pt>
                <c:pt idx="50">
                  <c:v>144.79257164111004</c:v>
                </c:pt>
                <c:pt idx="51">
                  <c:v>142.01981876146894</c:v>
                </c:pt>
                <c:pt idx="52">
                  <c:v>139.35072087634342</c:v>
                </c:pt>
                <c:pt idx="53">
                  <c:v>136.77957211463541</c:v>
                </c:pt>
                <c:pt idx="54">
                  <c:v>134.30107784567684</c:v>
                </c:pt>
                <c:pt idx="55">
                  <c:v>131.91031828570851</c:v>
                </c:pt>
                <c:pt idx="56">
                  <c:v>129.60271590200171</c:v>
                </c:pt>
                <c:pt idx="57">
                  <c:v>127.3740061601965</c:v>
                </c:pt>
                <c:pt idx="58">
                  <c:v>125.22021122153177</c:v>
                </c:pt>
                <c:pt idx="59">
                  <c:v>123.13761624865195</c:v>
                </c:pt>
                <c:pt idx="60">
                  <c:v>121.1227480230752</c:v>
                </c:pt>
                <c:pt idx="61">
                  <c:v>119.17235561541321</c:v>
                </c:pt>
                <c:pt idx="62">
                  <c:v>117.28339288205198</c:v>
                </c:pt>
                <c:pt idx="63">
                  <c:v>115.45300259007067</c:v>
                </c:pt>
                <c:pt idx="64">
                  <c:v>113.67850199638561</c:v>
                </c:pt>
                <c:pt idx="65">
                  <c:v>111.95736972804107</c:v>
                </c:pt>
                <c:pt idx="66">
                  <c:v>110.28723382871169</c:v>
                </c:pt>
                <c:pt idx="67">
                  <c:v>108.66586085223986</c:v>
                </c:pt>
                <c:pt idx="68">
                  <c:v>107.09114589775035</c:v>
                </c:pt>
                <c:pt idx="69">
                  <c:v>105.56110349285022</c:v>
                </c:pt>
                <c:pt idx="70">
                  <c:v>104.07385924188468</c:v>
                </c:pt>
                <c:pt idx="71">
                  <c:v>102.62764216538004</c:v>
                </c:pt>
                <c:pt idx="72">
                  <c:v>101.22077766484566</c:v>
                </c:pt>
                <c:pt idx="73">
                  <c:v>99.851681054175614</c:v>
                </c:pt>
                <c:pt idx="74">
                  <c:v>98.518851605117007</c:v>
                </c:pt>
                <c:pt idx="75">
                  <c:v>97.220867059766135</c:v>
                </c:pt>
                <c:pt idx="76">
                  <c:v>95.956378567907976</c:v>
                </c:pt>
                <c:pt idx="77">
                  <c:v>94.724106011315186</c:v>
                </c:pt>
                <c:pt idx="78">
                  <c:v>93.522833680933957</c:v>
                </c:pt>
                <c:pt idx="79">
                  <c:v>92.351406276270836</c:v>
                </c:pt>
                <c:pt idx="80">
                  <c:v>91.208725199306258</c:v>
                </c:pt>
                <c:pt idx="81">
                  <c:v>90.093745117944437</c:v>
                </c:pt>
                <c:pt idx="82">
                  <c:v>89.005470776403826</c:v>
                </c:pt>
                <c:pt idx="83">
                  <c:v>87.942954032090782</c:v>
                </c:pt>
                <c:pt idx="84">
                  <c:v>86.905291100414274</c:v>
                </c:pt>
                <c:pt idx="85">
                  <c:v>85.891619990713465</c:v>
                </c:pt>
                <c:pt idx="86">
                  <c:v>84.90111811800935</c:v>
                </c:pt>
                <c:pt idx="87">
                  <c:v>83.933000076672855</c:v>
                </c:pt>
                <c:pt idx="88">
                  <c:v>82.98651556334606</c:v>
                </c:pt>
                <c:pt idx="89">
                  <c:v>82.060947437571357</c:v>
                </c:pt>
                <c:pt idx="90">
                  <c:v>81.155609909593807</c:v>
                </c:pt>
                <c:pt idx="91">
                  <c:v>80.269846845712308</c:v>
                </c:pt>
                <c:pt idx="92">
                  <c:v>79.403030182379922</c:v>
                </c:pt>
                <c:pt idx="93">
                  <c:v>78.554558440996445</c:v>
                </c:pt>
                <c:pt idx="94">
                  <c:v>77.723855336013699</c:v>
                </c:pt>
                <c:pt idx="95">
                  <c:v>76.910368469584313</c:v>
                </c:pt>
                <c:pt idx="96">
                  <c:v>76.113568106540313</c:v>
                </c:pt>
                <c:pt idx="97">
                  <c:v>75.332946023993046</c:v>
                </c:pt>
                <c:pt idx="98">
                  <c:v>74.568014430304757</c:v>
                </c:pt>
                <c:pt idx="99">
                  <c:v>73.818304948599419</c:v>
                </c:pt>
                <c:pt idx="100">
                  <c:v>73.083367660362455</c:v>
                </c:pt>
              </c:numCache>
            </c:numRef>
          </c:val>
          <c:smooth val="0"/>
          <c:extLst>
            <c:ext xmlns:c16="http://schemas.microsoft.com/office/drawing/2014/chart" uri="{C3380CC4-5D6E-409C-BE32-E72D297353CC}">
              <c16:uniqueId val="{00000000-33CF-4CE8-9C2E-6191AB4D2064}"/>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Single'!$AN$5:$AN$105</c:f>
              <c:numCache>
                <c:formatCode>0.0</c:formatCode>
                <c:ptCount val="101"/>
                <c:pt idx="0">
                  <c:v>12</c:v>
                </c:pt>
                <c:pt idx="1">
                  <c:v>12</c:v>
                </c:pt>
                <c:pt idx="2">
                  <c:v>12.807489737564312</c:v>
                </c:pt>
                <c:pt idx="3">
                  <c:v>19.211234606346469</c:v>
                </c:pt>
                <c:pt idx="4">
                  <c:v>25.614979475128624</c:v>
                </c:pt>
                <c:pt idx="5">
                  <c:v>32.018724343910783</c:v>
                </c:pt>
                <c:pt idx="6">
                  <c:v>38.422469212692938</c:v>
                </c:pt>
                <c:pt idx="7">
                  <c:v>44.826214081475094</c:v>
                </c:pt>
                <c:pt idx="8">
                  <c:v>51.229958950257249</c:v>
                </c:pt>
                <c:pt idx="9">
                  <c:v>57.633703819039404</c:v>
                </c:pt>
                <c:pt idx="10">
                  <c:v>64.037448687821566</c:v>
                </c:pt>
                <c:pt idx="11">
                  <c:v>70.441193556603707</c:v>
                </c:pt>
                <c:pt idx="12">
                  <c:v>76.844938425385877</c:v>
                </c:pt>
                <c:pt idx="13">
                  <c:v>83.248683294168032</c:v>
                </c:pt>
                <c:pt idx="14">
                  <c:v>89.652428162950187</c:v>
                </c:pt>
                <c:pt idx="15">
                  <c:v>96.056173031732342</c:v>
                </c:pt>
                <c:pt idx="16">
                  <c:v>102.4599179005145</c:v>
                </c:pt>
                <c:pt idx="17">
                  <c:v>108.86366276929665</c:v>
                </c:pt>
                <c:pt idx="18">
                  <c:v>115.26740763807881</c:v>
                </c:pt>
                <c:pt idx="19">
                  <c:v>121.67115250686096</c:v>
                </c:pt>
                <c:pt idx="20">
                  <c:v>128.07489737564313</c:v>
                </c:pt>
                <c:pt idx="21">
                  <c:v>134.47864224442529</c:v>
                </c:pt>
                <c:pt idx="22">
                  <c:v>140.88238711320741</c:v>
                </c:pt>
                <c:pt idx="23">
                  <c:v>147.2861319819896</c:v>
                </c:pt>
                <c:pt idx="24">
                  <c:v>153.68987685077175</c:v>
                </c:pt>
                <c:pt idx="25">
                  <c:v>160.09362171955388</c:v>
                </c:pt>
                <c:pt idx="26">
                  <c:v>166.49736658833606</c:v>
                </c:pt>
                <c:pt idx="27">
                  <c:v>172.90111145711822</c:v>
                </c:pt>
                <c:pt idx="28">
                  <c:v>179.30485632590037</c:v>
                </c:pt>
                <c:pt idx="29">
                  <c:v>185.7086011946825</c:v>
                </c:pt>
                <c:pt idx="30">
                  <c:v>192.11234606346468</c:v>
                </c:pt>
                <c:pt idx="31">
                  <c:v>198.51609093224681</c:v>
                </c:pt>
                <c:pt idx="32">
                  <c:v>204.919835801029</c:v>
                </c:pt>
                <c:pt idx="33">
                  <c:v>211.32358066981118</c:v>
                </c:pt>
                <c:pt idx="34">
                  <c:v>217.72732553859331</c:v>
                </c:pt>
                <c:pt idx="35">
                  <c:v>224.13107040737546</c:v>
                </c:pt>
                <c:pt idx="36">
                  <c:v>230.53481527615762</c:v>
                </c:pt>
                <c:pt idx="37">
                  <c:v>236.93856014493977</c:v>
                </c:pt>
                <c:pt idx="38">
                  <c:v>243.34230501372193</c:v>
                </c:pt>
                <c:pt idx="39">
                  <c:v>236.77854898713903</c:v>
                </c:pt>
                <c:pt idx="40">
                  <c:v>231.1213280892209</c:v>
                </c:pt>
                <c:pt idx="41">
                  <c:v>225.72651076813347</c:v>
                </c:pt>
                <c:pt idx="42">
                  <c:v>220.5772283663745</c:v>
                </c:pt>
                <c:pt idx="43">
                  <c:v>215.65709121063864</c:v>
                </c:pt>
                <c:pt idx="44">
                  <c:v>210.95113657780311</c:v>
                </c:pt>
                <c:pt idx="45">
                  <c:v>206.44567670812236</c:v>
                </c:pt>
                <c:pt idx="46">
                  <c:v>202.1281658392715</c:v>
                </c:pt>
                <c:pt idx="47">
                  <c:v>197.98708354082169</c:v>
                </c:pt>
                <c:pt idx="48">
                  <c:v>194.01183206449235</c:v>
                </c:pt>
                <c:pt idx="49">
                  <c:v>190.19264578430389</c:v>
                </c:pt>
                <c:pt idx="50">
                  <c:v>186.52051109736325</c:v>
                </c:pt>
                <c:pt idx="51">
                  <c:v>182.98709540221012</c:v>
                </c:pt>
                <c:pt idx="52">
                  <c:v>179.58468397676282</c:v>
                </c:pt>
                <c:pt idx="53">
                  <c:v>176.30612374942203</c:v>
                </c:pt>
                <c:pt idx="54">
                  <c:v>173.14477310081318</c:v>
                </c:pt>
                <c:pt idx="55">
                  <c:v>170.09445695482461</c:v>
                </c:pt>
                <c:pt idx="56">
                  <c:v>167.14942651995182</c:v>
                </c:pt>
                <c:pt idx="57">
                  <c:v>164.30432312868629</c:v>
                </c:pt>
                <c:pt idx="58">
                  <c:v>161.55414569639021</c:v>
                </c:pt>
                <c:pt idx="59">
                  <c:v>158.89422138391947</c:v>
                </c:pt>
                <c:pt idx="60">
                  <c:v>156.32017910194975</c:v>
                </c:pt>
                <c:pt idx="61">
                  <c:v>153.82792554097622</c:v>
                </c:pt>
                <c:pt idx="62">
                  <c:v>151.4136234504964</c:v>
                </c:pt>
                <c:pt idx="63">
                  <c:v>149.07367192494388</c:v>
                </c:pt>
                <c:pt idx="64">
                  <c:v>146.8046884833532</c:v>
                </c:pt>
                <c:pt idx="65">
                  <c:v>144.60349275519192</c:v>
                </c:pt>
                <c:pt idx="66">
                  <c:v>142.46709160688062</c:v>
                </c:pt>
                <c:pt idx="67">
                  <c:v>140.3926655627246</c:v>
                </c:pt>
                <c:pt idx="68">
                  <c:v>138.37755639071005</c:v>
                </c:pt>
                <c:pt idx="69">
                  <c:v>136.41925573822795</c:v>
                </c:pt>
                <c:pt idx="70">
                  <c:v>134.51539471556751</c:v>
                </c:pt>
                <c:pt idx="71">
                  <c:v>132.66373433622832</c:v>
                </c:pt>
                <c:pt idx="72">
                  <c:v>130.86215673293654</c:v>
                </c:pt>
                <c:pt idx="73">
                  <c:v>129.10865707691275</c:v>
                </c:pt>
                <c:pt idx="74">
                  <c:v>127.40133613556893</c:v>
                </c:pt>
                <c:pt idx="75">
                  <c:v>125.73839341055316</c:v>
                </c:pt>
                <c:pt idx="76">
                  <c:v>124.11812080402173</c:v>
                </c:pt>
                <c:pt idx="77">
                  <c:v>122.53889676629966</c:v>
                </c:pt>
                <c:pt idx="78">
                  <c:v>120.99918088277832</c:v>
                </c:pt>
                <c:pt idx="79">
                  <c:v>119.49750886206506</c:v>
                </c:pt>
                <c:pt idx="80">
                  <c:v>118.03248789110764</c:v>
                </c:pt>
                <c:pt idx="81">
                  <c:v>116.60279232632232</c:v>
                </c:pt>
                <c:pt idx="82">
                  <c:v>115.20715969270748</c:v>
                </c:pt>
                <c:pt idx="83">
                  <c:v>113.84438696556029</c:v>
                </c:pt>
                <c:pt idx="84">
                  <c:v>112.51332711178138</c:v>
                </c:pt>
                <c:pt idx="85">
                  <c:v>111.21288586986445</c:v>
                </c:pt>
                <c:pt idx="86">
                  <c:v>109.9420187495751</c:v>
                </c:pt>
                <c:pt idx="87">
                  <c:v>108.69972823402655</c:v>
                </c:pt>
                <c:pt idx="88">
                  <c:v>107.48506116840237</c:v>
                </c:pt>
                <c:pt idx="89">
                  <c:v>106.29710632095795</c:v>
                </c:pt>
                <c:pt idx="90">
                  <c:v>105.13499210318581</c:v>
                </c:pt>
                <c:pt idx="91">
                  <c:v>103.99788443715688</c:v>
                </c:pt>
                <c:pt idx="92">
                  <c:v>102.88498475907105</c:v>
                </c:pt>
                <c:pt idx="93">
                  <c:v>101.79552814897455</c:v>
                </c:pt>
                <c:pt idx="94">
                  <c:v>100.72878157743951</c:v>
                </c:pt>
                <c:pt idx="95">
                  <c:v>99.684042260759611</c:v>
                </c:pt>
                <c:pt idx="96">
                  <c:v>98.660636116906417</c:v>
                </c:pt>
                <c:pt idx="97">
                  <c:v>97.657916315117944</c:v>
                </c:pt>
                <c:pt idx="98">
                  <c:v>96.675261912561183</c:v>
                </c:pt>
                <c:pt idx="99">
                  <c:v>95.712076572030625</c:v>
                </c:pt>
                <c:pt idx="100">
                  <c:v>94.767787355118429</c:v>
                </c:pt>
              </c:numCache>
            </c:numRef>
          </c:val>
          <c:smooth val="0"/>
          <c:extLst>
            <c:ext xmlns:c16="http://schemas.microsoft.com/office/drawing/2014/chart" uri="{C3380CC4-5D6E-409C-BE32-E72D297353CC}">
              <c16:uniqueId val="{00000001-33CF-4CE8-9C2E-6191AB4D2064}"/>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Single'!$AN$216:$AN$316</c:f>
              <c:numCache>
                <c:formatCode>0.0</c:formatCode>
                <c:ptCount val="101"/>
                <c:pt idx="0">
                  <c:v>12</c:v>
                </c:pt>
                <c:pt idx="1">
                  <c:v>12</c:v>
                </c:pt>
                <c:pt idx="2">
                  <c:v>12.807489737564312</c:v>
                </c:pt>
                <c:pt idx="3">
                  <c:v>19.211234606346469</c:v>
                </c:pt>
                <c:pt idx="4">
                  <c:v>25.614979475128624</c:v>
                </c:pt>
                <c:pt idx="5">
                  <c:v>32.018724343910783</c:v>
                </c:pt>
                <c:pt idx="6">
                  <c:v>38.422469212692938</c:v>
                </c:pt>
                <c:pt idx="7">
                  <c:v>44.826214081475094</c:v>
                </c:pt>
                <c:pt idx="8">
                  <c:v>51.229958950257249</c:v>
                </c:pt>
                <c:pt idx="9">
                  <c:v>57.633703819039404</c:v>
                </c:pt>
                <c:pt idx="10">
                  <c:v>64.037448687821566</c:v>
                </c:pt>
                <c:pt idx="11">
                  <c:v>70.441193556603707</c:v>
                </c:pt>
                <c:pt idx="12">
                  <c:v>76.844938425385877</c:v>
                </c:pt>
                <c:pt idx="13">
                  <c:v>83.248683294168032</c:v>
                </c:pt>
                <c:pt idx="14">
                  <c:v>89.652428162950187</c:v>
                </c:pt>
                <c:pt idx="15">
                  <c:v>96.056173031732342</c:v>
                </c:pt>
                <c:pt idx="16">
                  <c:v>102.4599179005145</c:v>
                </c:pt>
                <c:pt idx="17">
                  <c:v>108.86366276929665</c:v>
                </c:pt>
                <c:pt idx="18">
                  <c:v>115.26740763807881</c:v>
                </c:pt>
                <c:pt idx="19">
                  <c:v>121.67115250686096</c:v>
                </c:pt>
                <c:pt idx="20">
                  <c:v>128.07489737564313</c:v>
                </c:pt>
                <c:pt idx="21">
                  <c:v>134.47864224442529</c:v>
                </c:pt>
                <c:pt idx="22">
                  <c:v>140.88238711320741</c:v>
                </c:pt>
                <c:pt idx="23">
                  <c:v>147.2861319819896</c:v>
                </c:pt>
                <c:pt idx="24">
                  <c:v>153.68987685077175</c:v>
                </c:pt>
                <c:pt idx="25">
                  <c:v>160.09362171955388</c:v>
                </c:pt>
                <c:pt idx="26">
                  <c:v>166.49736658833606</c:v>
                </c:pt>
                <c:pt idx="27">
                  <c:v>172.90111145711822</c:v>
                </c:pt>
                <c:pt idx="28">
                  <c:v>179.30485632590037</c:v>
                </c:pt>
                <c:pt idx="29">
                  <c:v>185.7086011946825</c:v>
                </c:pt>
                <c:pt idx="30">
                  <c:v>192.11234606346468</c:v>
                </c:pt>
                <c:pt idx="31">
                  <c:v>198.51609093224681</c:v>
                </c:pt>
                <c:pt idx="32">
                  <c:v>204.919835801029</c:v>
                </c:pt>
                <c:pt idx="33">
                  <c:v>211.32358066981118</c:v>
                </c:pt>
                <c:pt idx="34">
                  <c:v>217.72732553859331</c:v>
                </c:pt>
                <c:pt idx="35">
                  <c:v>224.13107040737546</c:v>
                </c:pt>
                <c:pt idx="36">
                  <c:v>230.53481527615762</c:v>
                </c:pt>
                <c:pt idx="37">
                  <c:v>236.93856014493977</c:v>
                </c:pt>
                <c:pt idx="38">
                  <c:v>243.34230501372193</c:v>
                </c:pt>
                <c:pt idx="39">
                  <c:v>249.74604988250411</c:v>
                </c:pt>
                <c:pt idx="40">
                  <c:v>256.14979475128627</c:v>
                </c:pt>
                <c:pt idx="41">
                  <c:v>262.55353962006836</c:v>
                </c:pt>
                <c:pt idx="42">
                  <c:v>268.95728448885058</c:v>
                </c:pt>
                <c:pt idx="43">
                  <c:v>275.3617237242525</c:v>
                </c:pt>
                <c:pt idx="44">
                  <c:v>260.31114061431367</c:v>
                </c:pt>
                <c:pt idx="45">
                  <c:v>254.81399089392681</c:v>
                </c:pt>
                <c:pt idx="46">
                  <c:v>249.54390203833373</c:v>
                </c:pt>
                <c:pt idx="47">
                  <c:v>244.48709049089001</c:v>
                </c:pt>
                <c:pt idx="48">
                  <c:v>239.6308661952944</c:v>
                </c:pt>
                <c:pt idx="49">
                  <c:v>234.96352626522028</c:v>
                </c:pt>
                <c:pt idx="50">
                  <c:v>230.47426082454723</c:v>
                </c:pt>
                <c:pt idx="51">
                  <c:v>226.1530694233924</c:v>
                </c:pt>
                <c:pt idx="52">
                  <c:v>221.99068666958183</c:v>
                </c:pt>
                <c:pt idx="53">
                  <c:v>217.9785159115778</c:v>
                </c:pt>
                <c:pt idx="54">
                  <c:v>214.10856997391863</c:v>
                </c:pt>
                <c:pt idx="55">
                  <c:v>210.37341808540933</c:v>
                </c:pt>
                <c:pt idx="56">
                  <c:v>206.76613825803295</c:v>
                </c:pt>
                <c:pt idx="57">
                  <c:v>203.28027447445919</c:v>
                </c:pt>
                <c:pt idx="58">
                  <c:v>199.90979812704464</c:v>
                </c:pt>
                <c:pt idx="59">
                  <c:v>196.64907322378639</c:v>
                </c:pt>
                <c:pt idx="60">
                  <c:v>193.4928249387867</c:v>
                </c:pt>
                <c:pt idx="61">
                  <c:v>190.43611113807953</c:v>
                </c:pt>
                <c:pt idx="62">
                  <c:v>187.47429655750835</c:v>
                </c:pt>
                <c:pt idx="63">
                  <c:v>184.60302934888404</c:v>
                </c:pt>
                <c:pt idx="64">
                  <c:v>181.81821974482909</c:v>
                </c:pt>
                <c:pt idx="65">
                  <c:v>179.1160206223328</c:v>
                </c:pt>
                <c:pt idx="66">
                  <c:v>176.49280977075986</c:v>
                </c:pt>
                <c:pt idx="67">
                  <c:v>173.94517369244411</c:v>
                </c:pt>
                <c:pt idx="68">
                  <c:v>171.46989278352248</c:v>
                </c:pt>
                <c:pt idx="69">
                  <c:v>169.06392775972935</c:v>
                </c:pt>
                <c:pt idx="70">
                  <c:v>166.72440720681493</c:v>
                </c:pt>
                <c:pt idx="71">
                  <c:v>164.44861614836444</c:v>
                </c:pt>
                <c:pt idx="72">
                  <c:v>162.23398553532041</c:v>
                </c:pt>
                <c:pt idx="73">
                  <c:v>160.07808257166076</c:v>
                </c:pt>
                <c:pt idx="74">
                  <c:v>157.97860179964286</c:v>
                </c:pt>
                <c:pt idx="75">
                  <c:v>155.93335687593503</c:v>
                </c:pt>
                <c:pt idx="76">
                  <c:v>153.94027297696712</c:v>
                </c:pt>
                <c:pt idx="77">
                  <c:v>151.99737977803773</c:v>
                </c:pt>
                <c:pt idx="78">
                  <c:v>150.10280495624093</c:v>
                </c:pt>
                <c:pt idx="79">
                  <c:v>148.25476817217401</c:v>
                </c:pt>
                <c:pt idx="80">
                  <c:v>146.45157548976539</c:v>
                </c:pt>
                <c:pt idx="81">
                  <c:v>144.69161419745618</c:v>
                </c:pt>
                <c:pt idx="82">
                  <c:v>142.97334799745943</c:v>
                </c:pt>
                <c:pt idx="83">
                  <c:v>141.29531253292942</c:v>
                </c:pt>
                <c:pt idx="84">
                  <c:v>139.65611122567429</c:v>
                </c:pt>
                <c:pt idx="85">
                  <c:v>138.05441139954266</c:v>
                </c:pt>
                <c:pt idx="86">
                  <c:v>136.4889406668706</c:v>
                </c:pt>
                <c:pt idx="87">
                  <c:v>134.95848355739383</c:v>
                </c:pt>
                <c:pt idx="88">
                  <c:v>133.46187837085617</c:v>
                </c:pt>
                <c:pt idx="89">
                  <c:v>131.99801423618436</c:v>
                </c:pt>
                <c:pt idx="90">
                  <c:v>130.56582836158509</c:v>
                </c:pt>
                <c:pt idx="91">
                  <c:v>129.16430346125685</c:v>
                </c:pt>
                <c:pt idx="92">
                  <c:v>127.79246534562428</c:v>
                </c:pt>
                <c:pt idx="93">
                  <c:v>126.44938066309791</c:v>
                </c:pt>
                <c:pt idx="94">
                  <c:v>125.13415478235984</c:v>
                </c:pt>
                <c:pt idx="95">
                  <c:v>123.84592980507681</c:v>
                </c:pt>
                <c:pt idx="96">
                  <c:v>122.58388269976486</c:v>
                </c:pt>
                <c:pt idx="97">
                  <c:v>121.34722354827579</c:v>
                </c:pt>
                <c:pt idx="98">
                  <c:v>120.13519389705401</c:v>
                </c:pt>
                <c:pt idx="99">
                  <c:v>118.94706520593307</c:v>
                </c:pt>
                <c:pt idx="100">
                  <c:v>117.78213738780539</c:v>
                </c:pt>
              </c:numCache>
            </c:numRef>
          </c:val>
          <c:smooth val="0"/>
          <c:extLst>
            <c:ext xmlns:c16="http://schemas.microsoft.com/office/drawing/2014/chart" uri="{C3380CC4-5D6E-409C-BE32-E72D297353CC}">
              <c16:uniqueId val="{00000002-33CF-4CE8-9C2E-6191AB4D206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3CF-4CE8-9C2E-6191AB4D2064}"/>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3CF-4CE8-9C2E-6191AB4D2064}"/>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3CF-4CE8-9C2E-6191AB4D2064}"/>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2.000001774673341E-2</c:v>
                </c:pt>
                <c:pt idx="1">
                  <c:v>2.0039761760094144E-2</c:v>
                </c:pt>
                <c:pt idx="2">
                  <c:v>2.1403962982026258E-2</c:v>
                </c:pt>
                <c:pt idx="3">
                  <c:v>3.210594447303939E-2</c:v>
                </c:pt>
                <c:pt idx="4">
                  <c:v>4.2807925964052515E-2</c:v>
                </c:pt>
                <c:pt idx="5">
                  <c:v>5.3509907455065647E-2</c:v>
                </c:pt>
                <c:pt idx="6">
                  <c:v>6.421188894607878E-2</c:v>
                </c:pt>
                <c:pt idx="7">
                  <c:v>7.4913870437091898E-2</c:v>
                </c:pt>
                <c:pt idx="8">
                  <c:v>8.561585192810503E-2</c:v>
                </c:pt>
                <c:pt idx="9">
                  <c:v>9.6317833419118148E-2</c:v>
                </c:pt>
                <c:pt idx="10">
                  <c:v>0.10701981491013129</c:v>
                </c:pt>
                <c:pt idx="11">
                  <c:v>0.11772179640114439</c:v>
                </c:pt>
                <c:pt idx="12">
                  <c:v>0.12842377789215756</c:v>
                </c:pt>
                <c:pt idx="13">
                  <c:v>0.13912575938317068</c:v>
                </c:pt>
                <c:pt idx="14">
                  <c:v>0.1498277408741838</c:v>
                </c:pt>
                <c:pt idx="15">
                  <c:v>0.16052972236519694</c:v>
                </c:pt>
                <c:pt idx="16">
                  <c:v>0.17123170385621006</c:v>
                </c:pt>
                <c:pt idx="17">
                  <c:v>0.18193368534722315</c:v>
                </c:pt>
                <c:pt idx="18">
                  <c:v>0.1926356668382363</c:v>
                </c:pt>
                <c:pt idx="19">
                  <c:v>0.20333764832924944</c:v>
                </c:pt>
                <c:pt idx="20">
                  <c:v>0.21403962982026259</c:v>
                </c:pt>
                <c:pt idx="21">
                  <c:v>0.22474161131127571</c:v>
                </c:pt>
                <c:pt idx="22">
                  <c:v>0.23544359280228877</c:v>
                </c:pt>
                <c:pt idx="23">
                  <c:v>0.24614557429330197</c:v>
                </c:pt>
                <c:pt idx="24">
                  <c:v>0.25684755578431512</c:v>
                </c:pt>
                <c:pt idx="25">
                  <c:v>0.26754953727532815</c:v>
                </c:pt>
                <c:pt idx="26">
                  <c:v>0.27825151876634135</c:v>
                </c:pt>
                <c:pt idx="27">
                  <c:v>0.28895350025735445</c:v>
                </c:pt>
                <c:pt idx="28">
                  <c:v>0.29965548174836759</c:v>
                </c:pt>
                <c:pt idx="29">
                  <c:v>0.31035746323938068</c:v>
                </c:pt>
                <c:pt idx="30">
                  <c:v>0.32105944473039388</c:v>
                </c:pt>
                <c:pt idx="31">
                  <c:v>0.33176142622140692</c:v>
                </c:pt>
                <c:pt idx="32">
                  <c:v>0.34246340771242012</c:v>
                </c:pt>
                <c:pt idx="33">
                  <c:v>0.35316538920343327</c:v>
                </c:pt>
                <c:pt idx="34">
                  <c:v>0.3638673706944463</c:v>
                </c:pt>
                <c:pt idx="35">
                  <c:v>0.37456935218545945</c:v>
                </c:pt>
                <c:pt idx="36">
                  <c:v>0.38527133367647259</c:v>
                </c:pt>
                <c:pt idx="37">
                  <c:v>0.39597331516748574</c:v>
                </c:pt>
                <c:pt idx="38">
                  <c:v>0.40667529665849889</c:v>
                </c:pt>
                <c:pt idx="39">
                  <c:v>0.39668879863766482</c:v>
                </c:pt>
                <c:pt idx="40">
                  <c:v>0.39717686232681776</c:v>
                </c:pt>
                <c:pt idx="41">
                  <c:v>0.39764474907318004</c:v>
                </c:pt>
                <c:pt idx="42">
                  <c:v>0.39809222824389034</c:v>
                </c:pt>
                <c:pt idx="43">
                  <c:v>0.39852066215775006</c:v>
                </c:pt>
                <c:pt idx="44">
                  <c:v>0.39893129452472781</c:v>
                </c:pt>
                <c:pt idx="45">
                  <c:v>0.39932526307917515</c:v>
                </c:pt>
                <c:pt idx="46">
                  <c:v>0.39970361063202203</c:v>
                </c:pt>
                <c:pt idx="47">
                  <c:v>0.40006729476807129</c:v>
                </c:pt>
                <c:pt idx="48">
                  <c:v>0.40041719637829637</c:v>
                </c:pt>
                <c:pt idx="49">
                  <c:v>0.40075412718722125</c:v>
                </c:pt>
                <c:pt idx="50">
                  <c:v>0.40107883641080699</c:v>
                </c:pt>
                <c:pt idx="51">
                  <c:v>0.401392016659808</c:v>
                </c:pt>
                <c:pt idx="52">
                  <c:v>0.40169430918650895</c:v>
                </c:pt>
                <c:pt idx="53">
                  <c:v>0.40198630855849948</c:v>
                </c:pt>
                <c:pt idx="54">
                  <c:v>0.40226856683117967</c:v>
                </c:pt>
                <c:pt idx="55">
                  <c:v>0.40254159728061634</c:v>
                </c:pt>
                <c:pt idx="56">
                  <c:v>0.40280587774986332</c:v>
                </c:pt>
                <c:pt idx="57">
                  <c:v>0.40306185365465091</c:v>
                </c:pt>
                <c:pt idx="58">
                  <c:v>0.40330994068822107</c:v>
                </c:pt>
                <c:pt idx="59">
                  <c:v>0.40355052725986607</c:v>
                </c:pt>
                <c:pt idx="60">
                  <c:v>0.40378397669726346</c:v>
                </c:pt>
                <c:pt idx="61">
                  <c:v>0.40401062923887476</c:v>
                </c:pt>
                <c:pt idx="62">
                  <c:v>0.40423080383939164</c:v>
                </c:pt>
                <c:pt idx="63">
                  <c:v>0.40444479980838066</c:v>
                </c:pt>
                <c:pt idx="64">
                  <c:v>0.40465289829983031</c:v>
                </c:pt>
                <c:pt idx="65">
                  <c:v>0.40485536366819402</c:v>
                </c:pt>
                <c:pt idx="66">
                  <c:v>0.40505244470468205</c:v>
                </c:pt>
                <c:pt idx="67">
                  <c:v>0.40524437576596145</c:v>
                </c:pt>
                <c:pt idx="68">
                  <c:v>0.40543137780603056</c:v>
                </c:pt>
                <c:pt idx="69">
                  <c:v>0.40561365932082527</c:v>
                </c:pt>
                <c:pt idx="70">
                  <c:v>0.40579141721404405</c:v>
                </c:pt>
                <c:pt idx="71">
                  <c:v>0.40596483759175483</c:v>
                </c:pt>
                <c:pt idx="72">
                  <c:v>0.40613409649252463</c:v>
                </c:pt>
                <c:pt idx="73">
                  <c:v>0.40629936055909455</c:v>
                </c:pt>
                <c:pt idx="74">
                  <c:v>0.40646078765698823</c:v>
                </c:pt>
                <c:pt idx="75">
                  <c:v>0.40661852744488164</c:v>
                </c:pt>
                <c:pt idx="76">
                  <c:v>0.40677272190106606</c:v>
                </c:pt>
                <c:pt idx="77">
                  <c:v>0.40692350580989739</c:v>
                </c:pt>
                <c:pt idx="78">
                  <c:v>0.40707100721173745</c:v>
                </c:pt>
                <c:pt idx="79">
                  <c:v>0.40721534781954061</c:v>
                </c:pt>
                <c:pt idx="80">
                  <c:v>0.40735664340493943</c:v>
                </c:pt>
                <c:pt idx="81">
                  <c:v>0.40749500415640016</c:v>
                </c:pt>
                <c:pt idx="82">
                  <c:v>0.40763053501177876</c:v>
                </c:pt>
                <c:pt idx="83">
                  <c:v>0.40776333596738679</c:v>
                </c:pt>
                <c:pt idx="84">
                  <c:v>0.40789350236548055</c:v>
                </c:pt>
                <c:pt idx="85">
                  <c:v>0.40802112516190936</c:v>
                </c:pt>
                <c:pt idx="86">
                  <c:v>0.40814629117550499</c:v>
                </c:pt>
                <c:pt idx="87">
                  <c:v>0.40826908332064593</c:v>
                </c:pt>
                <c:pt idx="88">
                  <c:v>0.40838958082430898</c:v>
                </c:pt>
                <c:pt idx="89">
                  <c:v>0.40850785942879975</c:v>
                </c:pt>
                <c:pt idx="90">
                  <c:v>0.40862399158125412</c:v>
                </c:pt>
                <c:pt idx="91">
                  <c:v>0.40873804661090596</c:v>
                </c:pt>
                <c:pt idx="92">
                  <c:v>0.40885009089503332</c:v>
                </c:pt>
                <c:pt idx="93">
                  <c:v>0.40896018801441703</c:v>
                </c:pt>
                <c:pt idx="94">
                  <c:v>0.40906839889907831</c:v>
                </c:pt>
                <c:pt idx="95">
                  <c:v>0.40917478196499563</c:v>
                </c:pt>
                <c:pt idx="96">
                  <c:v>0.4092793932424465</c:v>
                </c:pt>
                <c:pt idx="97">
                  <c:v>0.40938228649656661</c:v>
                </c:pt>
                <c:pt idx="98">
                  <c:v>0.40948351334067085</c:v>
                </c:pt>
                <c:pt idx="99">
                  <c:v>0.40958312334283981</c:v>
                </c:pt>
                <c:pt idx="100">
                  <c:v>0.40968116412623135</c:v>
                </c:pt>
              </c:numCache>
            </c:numRef>
          </c:val>
          <c:smooth val="0"/>
          <c:extLst>
            <c:ext xmlns:c16="http://schemas.microsoft.com/office/drawing/2014/chart" uri="{C3380CC4-5D6E-409C-BE32-E72D297353CC}">
              <c16:uniqueId val="{00000006-33CF-4CE8-9C2E-6191AB4D2064}"/>
            </c:ext>
          </c:extLst>
        </c:ser>
        <c:ser>
          <c:idx val="7"/>
          <c:order val="7"/>
          <c:spPr>
            <a:ln w="31750">
              <a:solidFill>
                <a:srgbClr val="00B050"/>
              </a:solidFill>
            </a:ln>
          </c:spPr>
          <c:marker>
            <c:symbol val="none"/>
          </c:marker>
          <c:val>
            <c:numRef>
              <c:f>'Calculations - Single'!$AW$110:$AW$210</c:f>
              <c:numCache>
                <c:formatCode>0.000</c:formatCode>
                <c:ptCount val="101"/>
                <c:pt idx="0">
                  <c:v>2.666669821642428E-2</c:v>
                </c:pt>
                <c:pt idx="1">
                  <c:v>2.6737401115603847E-2</c:v>
                </c:pt>
                <c:pt idx="2">
                  <c:v>2.8564554258887844E-2</c:v>
                </c:pt>
                <c:pt idx="3">
                  <c:v>4.2846831388331764E-2</c:v>
                </c:pt>
                <c:pt idx="4">
                  <c:v>5.7129108517775688E-2</c:v>
                </c:pt>
                <c:pt idx="5">
                  <c:v>7.1411385647219619E-2</c:v>
                </c:pt>
                <c:pt idx="6">
                  <c:v>8.5693662776663529E-2</c:v>
                </c:pt>
                <c:pt idx="7">
                  <c:v>9.9975939906107453E-2</c:v>
                </c:pt>
                <c:pt idx="8">
                  <c:v>0.11425821703555138</c:v>
                </c:pt>
                <c:pt idx="9">
                  <c:v>0.12854049416499527</c:v>
                </c:pt>
                <c:pt idx="10">
                  <c:v>0.14282277129443924</c:v>
                </c:pt>
                <c:pt idx="11">
                  <c:v>0.15710504842388309</c:v>
                </c:pt>
                <c:pt idx="12">
                  <c:v>0.17138732555332706</c:v>
                </c:pt>
                <c:pt idx="13">
                  <c:v>0.185669602682771</c:v>
                </c:pt>
                <c:pt idx="14">
                  <c:v>0.19995187981221491</c:v>
                </c:pt>
                <c:pt idx="15">
                  <c:v>0.21423415694165884</c:v>
                </c:pt>
                <c:pt idx="16">
                  <c:v>0.22851643407110275</c:v>
                </c:pt>
                <c:pt idx="17">
                  <c:v>0.24279871120054664</c:v>
                </c:pt>
                <c:pt idx="18">
                  <c:v>0.25708098832999055</c:v>
                </c:pt>
                <c:pt idx="19">
                  <c:v>0.27136326545943451</c:v>
                </c:pt>
                <c:pt idx="20">
                  <c:v>0.28564554258887848</c:v>
                </c:pt>
                <c:pt idx="21">
                  <c:v>0.29992781971832239</c:v>
                </c:pt>
                <c:pt idx="22">
                  <c:v>0.31421009684776618</c:v>
                </c:pt>
                <c:pt idx="23">
                  <c:v>0.32849237397721021</c:v>
                </c:pt>
                <c:pt idx="24">
                  <c:v>0.34277465110665412</c:v>
                </c:pt>
                <c:pt idx="25">
                  <c:v>0.35705692823609803</c:v>
                </c:pt>
                <c:pt idx="26">
                  <c:v>0.37133920536554199</c:v>
                </c:pt>
                <c:pt idx="27">
                  <c:v>0.38562148249498585</c:v>
                </c:pt>
                <c:pt idx="28">
                  <c:v>0.39990375962442981</c:v>
                </c:pt>
                <c:pt idx="29">
                  <c:v>0.41418603675387367</c:v>
                </c:pt>
                <c:pt idx="30">
                  <c:v>0.42846831388331769</c:v>
                </c:pt>
                <c:pt idx="31">
                  <c:v>0.44275059101276154</c:v>
                </c:pt>
                <c:pt idx="32">
                  <c:v>0.45703286814220551</c:v>
                </c:pt>
                <c:pt idx="33">
                  <c:v>0.47131514527164942</c:v>
                </c:pt>
                <c:pt idx="34">
                  <c:v>0.4856190036021934</c:v>
                </c:pt>
                <c:pt idx="35">
                  <c:v>0.46782993259905048</c:v>
                </c:pt>
                <c:pt idx="36">
                  <c:v>0.46839254824233434</c:v>
                </c:pt>
                <c:pt idx="37">
                  <c:v>0.46892746981521405</c:v>
                </c:pt>
                <c:pt idx="38">
                  <c:v>0.46943680092986245</c:v>
                </c:pt>
                <c:pt idx="39">
                  <c:v>0.46992243742996509</c:v>
                </c:pt>
                <c:pt idx="40">
                  <c:v>0.47038609242357871</c:v>
                </c:pt>
                <c:pt idx="41">
                  <c:v>0.47082931778187015</c:v>
                </c:pt>
                <c:pt idx="42">
                  <c:v>0.47125352267245491</c:v>
                </c:pt>
                <c:pt idx="43">
                  <c:v>0.47165998959380856</c:v>
                </c:pt>
                <c:pt idx="44">
                  <c:v>0.47204988829521399</c:v>
                </c:pt>
                <c:pt idx="45">
                  <c:v>0.47242428790055041</c:v>
                </c:pt>
                <c:pt idx="46">
                  <c:v>0.47278416750063307</c:v>
                </c:pt>
                <c:pt idx="47">
                  <c:v>0.47313042543513284</c:v>
                </c:pt>
                <c:pt idx="48">
                  <c:v>0.47346388744939971</c:v>
                </c:pt>
                <c:pt idx="49">
                  <c:v>0.47378531388213924</c:v>
                </c:pt>
                <c:pt idx="50">
                  <c:v>0.47409540601567796</c:v>
                </c:pt>
                <c:pt idx="51">
                  <c:v>0.47439481170047082</c:v>
                </c:pt>
                <c:pt idx="52">
                  <c:v>0.47468413034881457</c:v>
                </c:pt>
                <c:pt idx="53">
                  <c:v>0.47496391737878474</c:v>
                </c:pt>
                <c:pt idx="54">
                  <c:v>0.47523468817773912</c:v>
                </c:pt>
                <c:pt idx="55">
                  <c:v>0.47549692164491408</c:v>
                </c:pt>
                <c:pt idx="56">
                  <c:v>0.47575106336435019</c:v>
                </c:pt>
                <c:pt idx="57">
                  <c:v>0.47599752845238741</c:v>
                </c:pt>
                <c:pt idx="58">
                  <c:v>0.47623670411801267</c:v>
                </c:pt>
                <c:pt idx="59">
                  <c:v>0.47646895196928452</c:v>
                </c:pt>
                <c:pt idx="60">
                  <c:v>0.47669461009473951</c:v>
                </c:pt>
                <c:pt idx="61">
                  <c:v>0.47691399494497866</c:v>
                </c:pt>
                <c:pt idx="62">
                  <c:v>0.47712740303646495</c:v>
                </c:pt>
                <c:pt idx="63">
                  <c:v>0.47733511249682703</c:v>
                </c:pt>
                <c:pt idx="64">
                  <c:v>0.477537384468603</c:v>
                </c:pt>
                <c:pt idx="65">
                  <c:v>0.47773446438633366</c:v>
                </c:pt>
                <c:pt idx="66">
                  <c:v>0.47792658314013126</c:v>
                </c:pt>
                <c:pt idx="67">
                  <c:v>0.47811395813733015</c:v>
                </c:pt>
                <c:pt idx="68">
                  <c:v>0.47829679427248317</c:v>
                </c:pt>
                <c:pt idx="69">
                  <c:v>0.47847528481480284</c:v>
                </c:pt>
                <c:pt idx="70">
                  <c:v>0.47864961222113295</c:v>
                </c:pt>
                <c:pt idx="71">
                  <c:v>0.47881994888163726</c:v>
                </c:pt>
                <c:pt idx="72">
                  <c:v>0.47898645780461585</c:v>
                </c:pt>
                <c:pt idx="73">
                  <c:v>0.47914929324616795</c:v>
                </c:pt>
                <c:pt idx="74">
                  <c:v>0.47930860128981378</c:v>
                </c:pt>
                <c:pt idx="75">
                  <c:v>0.47946452038065668</c:v>
                </c:pt>
                <c:pt idx="76">
                  <c:v>0.4796171818181893</c:v>
                </c:pt>
                <c:pt idx="77">
                  <c:v>0.4797667102114333</c:v>
                </c:pt>
                <c:pt idx="78">
                  <c:v>0.47991322389972735</c:v>
                </c:pt>
                <c:pt idx="79">
                  <c:v>0.48005683534215426</c:v>
                </c:pt>
                <c:pt idx="80">
                  <c:v>0.48019765147829474</c:v>
                </c:pt>
                <c:pt idx="81">
                  <c:v>0.48033577406274769</c:v>
                </c:pt>
                <c:pt idx="82">
                  <c:v>0.48047129997561028</c:v>
                </c:pt>
                <c:pt idx="83">
                  <c:v>0.48060432151091376</c:v>
                </c:pt>
                <c:pt idx="84">
                  <c:v>0.48073492664481615</c:v>
                </c:pt>
                <c:pt idx="85">
                  <c:v>0.480863199285194</c:v>
                </c:pt>
                <c:pt idx="86">
                  <c:v>0.48098921950411749</c:v>
                </c:pt>
                <c:pt idx="87">
                  <c:v>0.48111306375456347</c:v>
                </c:pt>
                <c:pt idx="88">
                  <c:v>0.48123480507260324</c:v>
                </c:pt>
                <c:pt idx="89">
                  <c:v>0.48135451326618284</c:v>
                </c:pt>
                <c:pt idx="90">
                  <c:v>0.48147225509152475</c:v>
                </c:pt>
                <c:pt idx="91">
                  <c:v>0.4815880944180877</c:v>
                </c:pt>
                <c:pt idx="92">
                  <c:v>0.48170209238294104</c:v>
                </c:pt>
                <c:pt idx="93">
                  <c:v>0.48181430753533544</c:v>
                </c:pt>
                <c:pt idx="94">
                  <c:v>0.48192479597219384</c:v>
                </c:pt>
                <c:pt idx="95">
                  <c:v>0.48203361146517487</c:v>
                </c:pt>
                <c:pt idx="96">
                  <c:v>0.48214080557991867</c:v>
                </c:pt>
                <c:pt idx="97">
                  <c:v>0.48224642778802856</c:v>
                </c:pt>
                <c:pt idx="98">
                  <c:v>0.48235052557230002</c:v>
                </c:pt>
                <c:pt idx="99">
                  <c:v>0.48245314452566651</c:v>
                </c:pt>
                <c:pt idx="100">
                  <c:v>0.48255432844429802</c:v>
                </c:pt>
              </c:numCache>
            </c:numRef>
          </c:val>
          <c:smooth val="0"/>
          <c:extLst>
            <c:ext xmlns:c16="http://schemas.microsoft.com/office/drawing/2014/chart" uri="{C3380CC4-5D6E-409C-BE32-E72D297353CC}">
              <c16:uniqueId val="{00000007-33CF-4CE8-9C2E-6191AB4D2064}"/>
            </c:ext>
          </c:extLst>
        </c:ser>
        <c:ser>
          <c:idx val="8"/>
          <c:order val="8"/>
          <c:spPr>
            <a:ln w="31750">
              <a:solidFill>
                <a:srgbClr val="0000FF"/>
              </a:solidFill>
            </a:ln>
          </c:spPr>
          <c:marker>
            <c:symbol val="none"/>
          </c:marker>
          <c:val>
            <c:numRef>
              <c:f>'Calculations - Single'!$AW$216:$AW$316</c:f>
              <c:numCache>
                <c:formatCode>0.000</c:formatCode>
                <c:ptCount val="101"/>
                <c:pt idx="0">
                  <c:v>1.5000009982535329E-2</c:v>
                </c:pt>
                <c:pt idx="1">
                  <c:v>1.5022354879186166E-2</c:v>
                </c:pt>
                <c:pt idx="2">
                  <c:v>1.6042047461409643E-2</c:v>
                </c:pt>
                <c:pt idx="3">
                  <c:v>2.4063071192114465E-2</c:v>
                </c:pt>
                <c:pt idx="4">
                  <c:v>3.2084094922819287E-2</c:v>
                </c:pt>
                <c:pt idx="5">
                  <c:v>4.0105118653524112E-2</c:v>
                </c:pt>
                <c:pt idx="6">
                  <c:v>4.812614238422893E-2</c:v>
                </c:pt>
                <c:pt idx="7">
                  <c:v>5.6147166114933748E-2</c:v>
                </c:pt>
                <c:pt idx="8">
                  <c:v>6.4168189845638574E-2</c:v>
                </c:pt>
                <c:pt idx="9">
                  <c:v>7.2189213576343378E-2</c:v>
                </c:pt>
                <c:pt idx="10">
                  <c:v>8.0210237307048224E-2</c:v>
                </c:pt>
                <c:pt idx="11">
                  <c:v>8.8231261037753014E-2</c:v>
                </c:pt>
                <c:pt idx="12">
                  <c:v>9.625228476845786E-2</c:v>
                </c:pt>
                <c:pt idx="13">
                  <c:v>0.10427330849916268</c:v>
                </c:pt>
                <c:pt idx="14">
                  <c:v>0.1122943322298675</c:v>
                </c:pt>
                <c:pt idx="15">
                  <c:v>0.12031535596057233</c:v>
                </c:pt>
                <c:pt idx="16">
                  <c:v>0.12833637969127715</c:v>
                </c:pt>
                <c:pt idx="17">
                  <c:v>0.13635740342198194</c:v>
                </c:pt>
                <c:pt idx="18">
                  <c:v>0.14437842715268676</c:v>
                </c:pt>
                <c:pt idx="19">
                  <c:v>0.1523994508833916</c:v>
                </c:pt>
                <c:pt idx="20">
                  <c:v>0.16042047461409645</c:v>
                </c:pt>
                <c:pt idx="21">
                  <c:v>0.16844149834480127</c:v>
                </c:pt>
                <c:pt idx="22">
                  <c:v>0.17646252207550603</c:v>
                </c:pt>
                <c:pt idx="23">
                  <c:v>0.1844835458062109</c:v>
                </c:pt>
                <c:pt idx="24">
                  <c:v>0.19250456953691572</c:v>
                </c:pt>
                <c:pt idx="25">
                  <c:v>0.20052559326762051</c:v>
                </c:pt>
                <c:pt idx="26">
                  <c:v>0.20854661699832536</c:v>
                </c:pt>
                <c:pt idx="27">
                  <c:v>0.21656764072903018</c:v>
                </c:pt>
                <c:pt idx="28">
                  <c:v>0.22458866445973499</c:v>
                </c:pt>
                <c:pt idx="29">
                  <c:v>0.23260968819043978</c:v>
                </c:pt>
                <c:pt idx="30">
                  <c:v>0.24063071192114466</c:v>
                </c:pt>
                <c:pt idx="31">
                  <c:v>0.24865173565184942</c:v>
                </c:pt>
                <c:pt idx="32">
                  <c:v>0.25667275938255429</c:v>
                </c:pt>
                <c:pt idx="33">
                  <c:v>0.26469378311325908</c:v>
                </c:pt>
                <c:pt idx="34">
                  <c:v>0.27271480684396388</c:v>
                </c:pt>
                <c:pt idx="35">
                  <c:v>0.28073583057466872</c:v>
                </c:pt>
                <c:pt idx="36">
                  <c:v>0.28875685430537351</c:v>
                </c:pt>
                <c:pt idx="37">
                  <c:v>0.29677787803607841</c:v>
                </c:pt>
                <c:pt idx="38">
                  <c:v>0.3047989017667832</c:v>
                </c:pt>
                <c:pt idx="39">
                  <c:v>0.3128199254974881</c:v>
                </c:pt>
                <c:pt idx="40">
                  <c:v>0.3208409492281929</c:v>
                </c:pt>
                <c:pt idx="41">
                  <c:v>0.32886197295889763</c:v>
                </c:pt>
                <c:pt idx="42">
                  <c:v>0.33688299668960253</c:v>
                </c:pt>
                <c:pt idx="43">
                  <c:v>0.34490944795906614</c:v>
                </c:pt>
                <c:pt idx="44">
                  <c:v>0.33030095008517824</c:v>
                </c:pt>
                <c:pt idx="45">
                  <c:v>0.33069610650028725</c:v>
                </c:pt>
                <c:pt idx="46">
                  <c:v>0.33107546714447056</c:v>
                </c:pt>
                <c:pt idx="47">
                  <c:v>0.33143999093023657</c:v>
                </c:pt>
                <c:pt idx="48">
                  <c:v>0.33179056069606205</c:v>
                </c:pt>
                <c:pt idx="49">
                  <c:v>0.33212799060371606</c:v>
                </c:pt>
                <c:pt idx="50">
                  <c:v>0.33245303268888488</c:v>
                </c:pt>
                <c:pt idx="51">
                  <c:v>0.3327663826760483</c:v>
                </c:pt>
                <c:pt idx="52">
                  <c:v>0.33306868515224231</c:v>
                </c:pt>
                <c:pt idx="53">
                  <c:v>0.33336053818068967</c:v>
                </c:pt>
                <c:pt idx="54">
                  <c:v>0.33364249742379232</c:v>
                </c:pt>
                <c:pt idx="55">
                  <c:v>0.33391507983529828</c:v>
                </c:pt>
                <c:pt idx="56">
                  <c:v>0.33417876697326659</c:v>
                </c:pt>
                <c:pt idx="57">
                  <c:v>0.33443400797850154</c:v>
                </c:pt>
                <c:pt idx="58">
                  <c:v>0.33468122225721325</c:v>
                </c:pt>
                <c:pt idx="59">
                  <c:v>0.33492080190161472</c:v>
                </c:pt>
                <c:pt idx="60">
                  <c:v>0.33515311387784402</c:v>
                </c:pt>
                <c:pt idx="61">
                  <c:v>0.33537850200689145</c:v>
                </c:pt>
                <c:pt idx="62">
                  <c:v>0.33559728876102679</c:v>
                </c:pt>
                <c:pt idx="63">
                  <c:v>0.33580977689546621</c:v>
                </c:pt>
                <c:pt idx="64">
                  <c:v>0.33601625093264409</c:v>
                </c:pt>
                <c:pt idx="65">
                  <c:v>0.33621697851439253</c:v>
                </c:pt>
                <c:pt idx="66">
                  <c:v>0.33641221163554436</c:v>
                </c:pt>
                <c:pt idx="67">
                  <c:v>0.33660218777091339</c:v>
                </c:pt>
                <c:pt idx="68">
                  <c:v>0.33678713090625367</c:v>
                </c:pt>
                <c:pt idx="69">
                  <c:v>0.33696725248260812</c:v>
                </c:pt>
                <c:pt idx="70">
                  <c:v>0.33714275226241691</c:v>
                </c:pt>
                <c:pt idx="71">
                  <c:v>0.33731381912484593</c:v>
                </c:pt>
                <c:pt idx="72">
                  <c:v>0.33748063179699367</c:v>
                </c:pt>
                <c:pt idx="73">
                  <c:v>0.33764335952692753</c:v>
                </c:pt>
                <c:pt idx="74">
                  <c:v>0.33780216270387686</c:v>
                </c:pt>
                <c:pt idx="75">
                  <c:v>0.33795719343036124</c:v>
                </c:pt>
                <c:pt idx="76">
                  <c:v>0.33810859605054649</c:v>
                </c:pt>
                <c:pt idx="77">
                  <c:v>0.33825650763868187</c:v>
                </c:pt>
                <c:pt idx="78">
                  <c:v>0.33840105845109764</c:v>
                </c:pt>
                <c:pt idx="79">
                  <c:v>0.33854237234489332</c:v>
                </c:pt>
                <c:pt idx="80">
                  <c:v>0.33868056716614736</c:v>
                </c:pt>
                <c:pt idx="81">
                  <c:v>0.33881575511020212</c:v>
                </c:pt>
                <c:pt idx="82">
                  <c:v>0.33894804305634613</c:v>
                </c:pt>
                <c:pt idx="83">
                  <c:v>0.33907753287898357</c:v>
                </c:pt>
                <c:pt idx="84">
                  <c:v>0.33920432173720366</c:v>
                </c:pt>
                <c:pt idx="85">
                  <c:v>0.33932850234447298</c:v>
                </c:pt>
                <c:pt idx="86">
                  <c:v>0.33945016322002808</c:v>
                </c:pt>
                <c:pt idx="87">
                  <c:v>0.33956938892340011</c:v>
                </c:pt>
                <c:pt idx="88">
                  <c:v>0.33968626027337634</c:v>
                </c:pt>
                <c:pt idx="89">
                  <c:v>0.33980085455259124</c:v>
                </c:pt>
                <c:pt idx="90">
                  <c:v>0.33991324569883624</c:v>
                </c:pt>
                <c:pt idx="91">
                  <c:v>0.34002350448408053</c:v>
                </c:pt>
                <c:pt idx="92">
                  <c:v>0.34013169868211773</c:v>
                </c:pt>
                <c:pt idx="93">
                  <c:v>0.34023789322566955</c:v>
                </c:pt>
                <c:pt idx="94">
                  <c:v>0.34034215035371373</c:v>
                </c:pt>
                <c:pt idx="95">
                  <c:v>0.34044452974973949</c:v>
                </c:pt>
                <c:pt idx="96">
                  <c:v>0.34054508867157102</c:v>
                </c:pt>
                <c:pt idx="97">
                  <c:v>0.34064388207336055</c:v>
                </c:pt>
                <c:pt idx="98">
                  <c:v>0.34074096272028892</c:v>
                </c:pt>
                <c:pt idx="99">
                  <c:v>0.34083638129648219</c:v>
                </c:pt>
                <c:pt idx="100">
                  <c:v>0.34093018650660595</c:v>
                </c:pt>
              </c:numCache>
            </c:numRef>
          </c:val>
          <c:smooth val="0"/>
          <c:extLst>
            <c:ext xmlns:c16="http://schemas.microsoft.com/office/drawing/2014/chart" uri="{C3380CC4-5D6E-409C-BE32-E72D297353CC}">
              <c16:uniqueId val="{00000008-33CF-4CE8-9C2E-6191AB4D2064}"/>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13.333333333333334</c:v>
                </c:pt>
                <c:pt idx="17">
                  <c:v>13.333333333333334</c:v>
                </c:pt>
                <c:pt idx="18">
                  <c:v>13.333333333333334</c:v>
                </c:pt>
                <c:pt idx="19">
                  <c:v>13.333333333333334</c:v>
                </c:pt>
                <c:pt idx="20">
                  <c:v>13.333333333333334</c:v>
                </c:pt>
                <c:pt idx="21">
                  <c:v>13.333333333333334</c:v>
                </c:pt>
                <c:pt idx="22">
                  <c:v>13.333333333333334</c:v>
                </c:pt>
                <c:pt idx="23">
                  <c:v>13.333333333333334</c:v>
                </c:pt>
                <c:pt idx="24">
                  <c:v>13.333333333333334</c:v>
                </c:pt>
                <c:pt idx="25">
                  <c:v>13.333333333333334</c:v>
                </c:pt>
                <c:pt idx="26">
                  <c:v>13.333333333333334</c:v>
                </c:pt>
                <c:pt idx="27">
                  <c:v>13.333333333333334</c:v>
                </c:pt>
                <c:pt idx="28">
                  <c:v>13.333333333333334</c:v>
                </c:pt>
                <c:pt idx="29">
                  <c:v>13.333333333333334</c:v>
                </c:pt>
                <c:pt idx="30">
                  <c:v>13.333333333333334</c:v>
                </c:pt>
                <c:pt idx="31">
                  <c:v>13.333333333333334</c:v>
                </c:pt>
                <c:pt idx="32">
                  <c:v>13.333333333333334</c:v>
                </c:pt>
                <c:pt idx="33">
                  <c:v>13.333333333333334</c:v>
                </c:pt>
                <c:pt idx="34">
                  <c:v>13.333333333333334</c:v>
                </c:pt>
                <c:pt idx="35">
                  <c:v>13.66626428752669</c:v>
                </c:pt>
                <c:pt idx="36">
                  <c:v>14.057537075234208</c:v>
                </c:pt>
                <c:pt idx="37">
                  <c:v>14.448854952283071</c:v>
                </c:pt>
                <c:pt idx="38">
                  <c:v>14.840217933051912</c:v>
                </c:pt>
                <c:pt idx="39">
                  <c:v>15.23162603192854</c:v>
                </c:pt>
                <c:pt idx="40">
                  <c:v>15.623079263309583</c:v>
                </c:pt>
                <c:pt idx="41">
                  <c:v>16.014577641600113</c:v>
                </c:pt>
                <c:pt idx="42">
                  <c:v>16.406121181213422</c:v>
                </c:pt>
                <c:pt idx="43">
                  <c:v>16.797709896570741</c:v>
                </c:pt>
                <c:pt idx="44">
                  <c:v>17.18934380210106</c:v>
                </c:pt>
                <c:pt idx="45">
                  <c:v>17.581022912240936</c:v>
                </c:pt>
                <c:pt idx="46">
                  <c:v>17.972747241434359</c:v>
                </c:pt>
                <c:pt idx="47">
                  <c:v>18.364516804132599</c:v>
                </c:pt>
                <c:pt idx="48">
                  <c:v>18.756331614794092</c:v>
                </c:pt>
                <c:pt idx="49">
                  <c:v>19.148191687884353</c:v>
                </c:pt>
                <c:pt idx="50">
                  <c:v>19.540097037875888</c:v>
                </c:pt>
                <c:pt idx="51">
                  <c:v>19.9320476792481</c:v>
                </c:pt>
                <c:pt idx="52">
                  <c:v>20.324043626487214</c:v>
                </c:pt>
                <c:pt idx="53">
                  <c:v>20.716084894086279</c:v>
                </c:pt>
                <c:pt idx="54">
                  <c:v>21.108171496545033</c:v>
                </c:pt>
                <c:pt idx="55">
                  <c:v>21.500303448369916</c:v>
                </c:pt>
                <c:pt idx="56">
                  <c:v>21.892480764073984</c:v>
                </c:pt>
                <c:pt idx="57">
                  <c:v>22.284703458176903</c:v>
                </c:pt>
                <c:pt idx="58">
                  <c:v>22.67697154520495</c:v>
                </c:pt>
                <c:pt idx="59">
                  <c:v>23.069285039690893</c:v>
                </c:pt>
                <c:pt idx="60">
                  <c:v>23.461643956174044</c:v>
                </c:pt>
                <c:pt idx="61">
                  <c:v>23.854048309200191</c:v>
                </c:pt>
                <c:pt idx="62">
                  <c:v>24.246498113321621</c:v>
                </c:pt>
                <c:pt idx="63">
                  <c:v>24.63899338309708</c:v>
                </c:pt>
                <c:pt idx="64">
                  <c:v>25.031534133091725</c:v>
                </c:pt>
                <c:pt idx="65">
                  <c:v>25.424120377877166</c:v>
                </c:pt>
                <c:pt idx="66">
                  <c:v>25.816752132031425</c:v>
                </c:pt>
                <c:pt idx="67">
                  <c:v>26.209429410138942</c:v>
                </c:pt>
                <c:pt idx="68">
                  <c:v>26.602152226790533</c:v>
                </c:pt>
                <c:pt idx="69">
                  <c:v>26.994920596583388</c:v>
                </c:pt>
                <c:pt idx="70">
                  <c:v>27.387734534121119</c:v>
                </c:pt>
                <c:pt idx="71">
                  <c:v>27.78059405401369</c:v>
                </c:pt>
                <c:pt idx="72">
                  <c:v>28.173499170877424</c:v>
                </c:pt>
                <c:pt idx="73">
                  <c:v>28.566449899335009</c:v>
                </c:pt>
                <c:pt idx="74">
                  <c:v>28.959446254015511</c:v>
                </c:pt>
                <c:pt idx="75">
                  <c:v>29.35248824955433</c:v>
                </c:pt>
                <c:pt idx="76">
                  <c:v>29.74557590059322</c:v>
                </c:pt>
                <c:pt idx="77">
                  <c:v>30.138709221780296</c:v>
                </c:pt>
                <c:pt idx="78">
                  <c:v>30.531888227770011</c:v>
                </c:pt>
                <c:pt idx="79">
                  <c:v>30.925112933223168</c:v>
                </c:pt>
                <c:pt idx="80">
                  <c:v>31.318383352806897</c:v>
                </c:pt>
                <c:pt idx="81">
                  <c:v>31.711699501194708</c:v>
                </c:pt>
                <c:pt idx="82">
                  <c:v>32.105061393066414</c:v>
                </c:pt>
                <c:pt idx="83">
                  <c:v>32.498469043108194</c:v>
                </c:pt>
                <c:pt idx="84">
                  <c:v>32.891922466012559</c:v>
                </c:pt>
                <c:pt idx="85">
                  <c:v>33.285421676478371</c:v>
                </c:pt>
                <c:pt idx="86">
                  <c:v>33.678966689210839</c:v>
                </c:pt>
                <c:pt idx="87">
                  <c:v>34.072557518921485</c:v>
                </c:pt>
                <c:pt idx="88">
                  <c:v>34.466194180328209</c:v>
                </c:pt>
                <c:pt idx="89">
                  <c:v>34.859876688155246</c:v>
                </c:pt>
                <c:pt idx="90">
                  <c:v>35.25360505713315</c:v>
                </c:pt>
                <c:pt idx="91">
                  <c:v>35.647379301998882</c:v>
                </c:pt>
                <c:pt idx="92">
                  <c:v>36.041199437495699</c:v>
                </c:pt>
                <c:pt idx="93">
                  <c:v>36.435065478373211</c:v>
                </c:pt>
                <c:pt idx="94">
                  <c:v>36.82897743938743</c:v>
                </c:pt>
                <c:pt idx="95">
                  <c:v>37.222935335300669</c:v>
                </c:pt>
                <c:pt idx="96">
                  <c:v>37.616939180881602</c:v>
                </c:pt>
                <c:pt idx="97">
                  <c:v>38.010988990905297</c:v>
                </c:pt>
                <c:pt idx="98">
                  <c:v>38.405084780153153</c:v>
                </c:pt>
                <c:pt idx="99">
                  <c:v>38.799226563412937</c:v>
                </c:pt>
                <c:pt idx="100">
                  <c:v>39.193414355478787</c:v>
                </c:pt>
              </c:numCache>
            </c:numRef>
          </c:val>
          <c:smooth val="0"/>
          <c:extLst>
            <c:ext xmlns:c16="http://schemas.microsoft.com/office/drawing/2014/chart" uri="{C3380CC4-5D6E-409C-BE32-E72D297353CC}">
              <c16:uniqueId val="{00000000-6477-4C46-89EF-E7A1D5DEFAE7}"/>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Single'!$AJ$5:$AJ$105</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13.333333333333334</c:v>
                </c:pt>
                <c:pt idx="17">
                  <c:v>13.333333333333334</c:v>
                </c:pt>
                <c:pt idx="18">
                  <c:v>13.333333333333334</c:v>
                </c:pt>
                <c:pt idx="19">
                  <c:v>13.333333333333334</c:v>
                </c:pt>
                <c:pt idx="20">
                  <c:v>13.333333333333334</c:v>
                </c:pt>
                <c:pt idx="21">
                  <c:v>13.333333333333334</c:v>
                </c:pt>
                <c:pt idx="22">
                  <c:v>13.333333333333334</c:v>
                </c:pt>
                <c:pt idx="23">
                  <c:v>13.333333333333334</c:v>
                </c:pt>
                <c:pt idx="24">
                  <c:v>13.333333333333334</c:v>
                </c:pt>
                <c:pt idx="25">
                  <c:v>13.333333333333334</c:v>
                </c:pt>
                <c:pt idx="26">
                  <c:v>13.333333333333334</c:v>
                </c:pt>
                <c:pt idx="27">
                  <c:v>13.333333333333334</c:v>
                </c:pt>
                <c:pt idx="28">
                  <c:v>13.333333333333334</c:v>
                </c:pt>
                <c:pt idx="29">
                  <c:v>13.333333333333334</c:v>
                </c:pt>
                <c:pt idx="30">
                  <c:v>13.333333333333334</c:v>
                </c:pt>
                <c:pt idx="31">
                  <c:v>13.333333333333334</c:v>
                </c:pt>
                <c:pt idx="32">
                  <c:v>13.333333333333334</c:v>
                </c:pt>
                <c:pt idx="33">
                  <c:v>13.333333333333334</c:v>
                </c:pt>
                <c:pt idx="34">
                  <c:v>13.333333333333334</c:v>
                </c:pt>
                <c:pt idx="35">
                  <c:v>13.333333333333334</c:v>
                </c:pt>
                <c:pt idx="36">
                  <c:v>13.333333333333334</c:v>
                </c:pt>
                <c:pt idx="37">
                  <c:v>13.333333333333334</c:v>
                </c:pt>
                <c:pt idx="38">
                  <c:v>13.333333333333334</c:v>
                </c:pt>
                <c:pt idx="39">
                  <c:v>13.36545643309266</c:v>
                </c:pt>
                <c:pt idx="40">
                  <c:v>13.708577424675459</c:v>
                </c:pt>
                <c:pt idx="41">
                  <c:v>14.051760382203947</c:v>
                </c:pt>
                <c:pt idx="42">
                  <c:v>14.394966270746249</c:v>
                </c:pt>
                <c:pt idx="43">
                  <c:v>14.738195095111388</c:v>
                </c:pt>
                <c:pt idx="44">
                  <c:v>15.081446860110896</c:v>
                </c:pt>
                <c:pt idx="45">
                  <c:v>15.424721570558708</c:v>
                </c:pt>
                <c:pt idx="46">
                  <c:v>15.768019231271051</c:v>
                </c:pt>
                <c:pt idx="47">
                  <c:v>16.111339847066318</c:v>
                </c:pt>
                <c:pt idx="48">
                  <c:v>16.454683422765015</c:v>
                </c:pt>
                <c:pt idx="49">
                  <c:v>16.798049963189634</c:v>
                </c:pt>
                <c:pt idx="50">
                  <c:v>17.141439473164649</c:v>
                </c:pt>
                <c:pt idx="51">
                  <c:v>17.484851957516415</c:v>
                </c:pt>
                <c:pt idx="52">
                  <c:v>17.828287421073121</c:v>
                </c:pt>
                <c:pt idx="53">
                  <c:v>18.17174586866475</c:v>
                </c:pt>
                <c:pt idx="54">
                  <c:v>18.515227305123055</c:v>
                </c:pt>
                <c:pt idx="55">
                  <c:v>18.858731735281484</c:v>
                </c:pt>
                <c:pt idx="56">
                  <c:v>19.202259163975185</c:v>
                </c:pt>
                <c:pt idx="57">
                  <c:v>19.54580959604095</c:v>
                </c:pt>
                <c:pt idx="58">
                  <c:v>19.889383036317223</c:v>
                </c:pt>
                <c:pt idx="59">
                  <c:v>20.23297948964402</c:v>
                </c:pt>
                <c:pt idx="60">
                  <c:v>20.576598960862981</c:v>
                </c:pt>
                <c:pt idx="61">
                  <c:v>20.920241454817297</c:v>
                </c:pt>
                <c:pt idx="62">
                  <c:v>21.263906976351706</c:v>
                </c:pt>
                <c:pt idx="63">
                  <c:v>21.607595530312505</c:v>
                </c:pt>
                <c:pt idx="64">
                  <c:v>21.951307121547487</c:v>
                </c:pt>
                <c:pt idx="65">
                  <c:v>22.29504175490597</c:v>
                </c:pt>
                <c:pt idx="66">
                  <c:v>22.638799435238777</c:v>
                </c:pt>
                <c:pt idx="67">
                  <c:v>22.982580167398222</c:v>
                </c:pt>
                <c:pt idx="68">
                  <c:v>23.326383956238089</c:v>
                </c:pt>
                <c:pt idx="69">
                  <c:v>23.670210806613632</c:v>
                </c:pt>
                <c:pt idx="70">
                  <c:v>24.014060723381597</c:v>
                </c:pt>
                <c:pt idx="71">
                  <c:v>24.357933711400175</c:v>
                </c:pt>
                <c:pt idx="72">
                  <c:v>24.701829775528999</c:v>
                </c:pt>
                <c:pt idx="73">
                  <c:v>25.045748920629165</c:v>
                </c:pt>
                <c:pt idx="74">
                  <c:v>25.389691151563195</c:v>
                </c:pt>
                <c:pt idx="75">
                  <c:v>25.733656473195065</c:v>
                </c:pt>
                <c:pt idx="76">
                  <c:v>26.077644890390186</c:v>
                </c:pt>
                <c:pt idx="77">
                  <c:v>26.421656408015377</c:v>
                </c:pt>
                <c:pt idx="78">
                  <c:v>26.765691030938903</c:v>
                </c:pt>
                <c:pt idx="79">
                  <c:v>27.109748764030449</c:v>
                </c:pt>
                <c:pt idx="80">
                  <c:v>27.453829612161101</c:v>
                </c:pt>
                <c:pt idx="81">
                  <c:v>27.797933580203399</c:v>
                </c:pt>
                <c:pt idx="82">
                  <c:v>28.142060673031249</c:v>
                </c:pt>
                <c:pt idx="83">
                  <c:v>28.486210895520038</c:v>
                </c:pt>
                <c:pt idx="84">
                  <c:v>28.830384252546484</c:v>
                </c:pt>
                <c:pt idx="85">
                  <c:v>29.174580748988774</c:v>
                </c:pt>
                <c:pt idx="86">
                  <c:v>29.518800389726465</c:v>
                </c:pt>
                <c:pt idx="87">
                  <c:v>29.863043179640549</c:v>
                </c:pt>
                <c:pt idx="88">
                  <c:v>30.207309123613392</c:v>
                </c:pt>
                <c:pt idx="89">
                  <c:v>30.551598226528778</c:v>
                </c:pt>
                <c:pt idx="90">
                  <c:v>30.895910493271913</c:v>
                </c:pt>
                <c:pt idx="91">
                  <c:v>31.240245928729365</c:v>
                </c:pt>
                <c:pt idx="92">
                  <c:v>31.584604537789122</c:v>
                </c:pt>
                <c:pt idx="93">
                  <c:v>31.928986325340571</c:v>
                </c:pt>
                <c:pt idx="94">
                  <c:v>32.27339129627449</c:v>
                </c:pt>
                <c:pt idx="95">
                  <c:v>32.617819455483058</c:v>
                </c:pt>
                <c:pt idx="96">
                  <c:v>32.962270807859859</c:v>
                </c:pt>
                <c:pt idx="97">
                  <c:v>33.30674535829985</c:v>
                </c:pt>
                <c:pt idx="98">
                  <c:v>33.651243111699408</c:v>
                </c:pt>
                <c:pt idx="99">
                  <c:v>33.995764072956312</c:v>
                </c:pt>
                <c:pt idx="100">
                  <c:v>34.340308246969691</c:v>
                </c:pt>
              </c:numCache>
            </c:numRef>
          </c:val>
          <c:smooth val="0"/>
          <c:extLst>
            <c:ext xmlns:c16="http://schemas.microsoft.com/office/drawing/2014/chart" uri="{C3380CC4-5D6E-409C-BE32-E72D297353CC}">
              <c16:uniqueId val="{00000001-6477-4C46-89EF-E7A1D5DEFAE7}"/>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13.333333333333334</c:v>
                </c:pt>
                <c:pt idx="17">
                  <c:v>13.333333333333334</c:v>
                </c:pt>
                <c:pt idx="18">
                  <c:v>13.333333333333334</c:v>
                </c:pt>
                <c:pt idx="19">
                  <c:v>13.333333333333334</c:v>
                </c:pt>
                <c:pt idx="20">
                  <c:v>13.333333333333334</c:v>
                </c:pt>
                <c:pt idx="21">
                  <c:v>13.333333333333334</c:v>
                </c:pt>
                <c:pt idx="22">
                  <c:v>13.333333333333334</c:v>
                </c:pt>
                <c:pt idx="23">
                  <c:v>13.333333333333334</c:v>
                </c:pt>
                <c:pt idx="24">
                  <c:v>13.333333333333334</c:v>
                </c:pt>
                <c:pt idx="25">
                  <c:v>13.333333333333334</c:v>
                </c:pt>
                <c:pt idx="26">
                  <c:v>13.333333333333334</c:v>
                </c:pt>
                <c:pt idx="27">
                  <c:v>13.333333333333334</c:v>
                </c:pt>
                <c:pt idx="28">
                  <c:v>13.333333333333334</c:v>
                </c:pt>
                <c:pt idx="29">
                  <c:v>13.333333333333334</c:v>
                </c:pt>
                <c:pt idx="30">
                  <c:v>13.333333333333334</c:v>
                </c:pt>
                <c:pt idx="31">
                  <c:v>13.333333333333334</c:v>
                </c:pt>
                <c:pt idx="32">
                  <c:v>13.333333333333334</c:v>
                </c:pt>
                <c:pt idx="33">
                  <c:v>13.333333333333334</c:v>
                </c:pt>
                <c:pt idx="34">
                  <c:v>13.333333333333334</c:v>
                </c:pt>
                <c:pt idx="35">
                  <c:v>13.333333333333334</c:v>
                </c:pt>
                <c:pt idx="36">
                  <c:v>13.333333333333334</c:v>
                </c:pt>
                <c:pt idx="37">
                  <c:v>13.333333333333334</c:v>
                </c:pt>
                <c:pt idx="38">
                  <c:v>13.333333333333334</c:v>
                </c:pt>
                <c:pt idx="39">
                  <c:v>13.333333333333334</c:v>
                </c:pt>
                <c:pt idx="40">
                  <c:v>13.333333333333334</c:v>
                </c:pt>
                <c:pt idx="41">
                  <c:v>13.333333333333334</c:v>
                </c:pt>
                <c:pt idx="42">
                  <c:v>13.333333333333334</c:v>
                </c:pt>
                <c:pt idx="43">
                  <c:v>13.333333333333334</c:v>
                </c:pt>
                <c:pt idx="44">
                  <c:v>13.506039893336345</c:v>
                </c:pt>
                <c:pt idx="45">
                  <c:v>13.813264977503641</c:v>
                </c:pt>
                <c:pt idx="46">
                  <c:v>14.120502075948281</c:v>
                </c:pt>
                <c:pt idx="47">
                  <c:v>14.427751190360523</c:v>
                </c:pt>
                <c:pt idx="48">
                  <c:v>14.735012322431484</c:v>
                </c:pt>
                <c:pt idx="49">
                  <c:v>15.04228547385306</c:v>
                </c:pt>
                <c:pt idx="50">
                  <c:v>15.349570646317886</c:v>
                </c:pt>
                <c:pt idx="51">
                  <c:v>15.656867841519299</c:v>
                </c:pt>
                <c:pt idx="52">
                  <c:v>15.964177061151302</c:v>
                </c:pt>
                <c:pt idx="53">
                  <c:v>16.271498306908523</c:v>
                </c:pt>
                <c:pt idx="54">
                  <c:v>16.578831580486195</c:v>
                </c:pt>
                <c:pt idx="55">
                  <c:v>16.886176883580113</c:v>
                </c:pt>
                <c:pt idx="56">
                  <c:v>17.19353421788664</c:v>
                </c:pt>
                <c:pt idx="57">
                  <c:v>17.500903585102655</c:v>
                </c:pt>
                <c:pt idx="58">
                  <c:v>17.808284986925571</c:v>
                </c:pt>
                <c:pt idx="59">
                  <c:v>18.115678425053261</c:v>
                </c:pt>
                <c:pt idx="60">
                  <c:v>18.423083901184121</c:v>
                </c:pt>
                <c:pt idx="61">
                  <c:v>18.730501417016981</c:v>
                </c:pt>
                <c:pt idx="62">
                  <c:v>19.037930974251147</c:v>
                </c:pt>
                <c:pt idx="63">
                  <c:v>19.345372574586353</c:v>
                </c:pt>
                <c:pt idx="64">
                  <c:v>19.652826219722797</c:v>
                </c:pt>
                <c:pt idx="65">
                  <c:v>19.960291911361065</c:v>
                </c:pt>
                <c:pt idx="66">
                  <c:v>20.267769651202194</c:v>
                </c:pt>
                <c:pt idx="67">
                  <c:v>20.575259440947612</c:v>
                </c:pt>
                <c:pt idx="68">
                  <c:v>20.88276128229916</c:v>
                </c:pt>
                <c:pt idx="69">
                  <c:v>21.190275176959069</c:v>
                </c:pt>
                <c:pt idx="70">
                  <c:v>21.497801126629987</c:v>
                </c:pt>
                <c:pt idx="71">
                  <c:v>21.805339133014922</c:v>
                </c:pt>
                <c:pt idx="72">
                  <c:v>22.112889197817264</c:v>
                </c:pt>
                <c:pt idx="73">
                  <c:v>22.420451322740814</c:v>
                </c:pt>
                <c:pt idx="74">
                  <c:v>22.728025509489708</c:v>
                </c:pt>
                <c:pt idx="75">
                  <c:v>23.035611759768496</c:v>
                </c:pt>
                <c:pt idx="76">
                  <c:v>23.343210075282045</c:v>
                </c:pt>
                <c:pt idx="77">
                  <c:v>23.65082045773563</c:v>
                </c:pt>
                <c:pt idx="78">
                  <c:v>23.958442908834879</c:v>
                </c:pt>
                <c:pt idx="79">
                  <c:v>24.266077430285765</c:v>
                </c:pt>
                <c:pt idx="80">
                  <c:v>24.573724023794618</c:v>
                </c:pt>
                <c:pt idx="81">
                  <c:v>24.881382691068161</c:v>
                </c:pt>
                <c:pt idx="82">
                  <c:v>25.18905343381342</c:v>
                </c:pt>
                <c:pt idx="83">
                  <c:v>25.496736253737808</c:v>
                </c:pt>
                <c:pt idx="84">
                  <c:v>25.804431152549068</c:v>
                </c:pt>
                <c:pt idx="85">
                  <c:v>26.112138131955309</c:v>
                </c:pt>
                <c:pt idx="86">
                  <c:v>26.41985719366496</c:v>
                </c:pt>
                <c:pt idx="87">
                  <c:v>26.727588339386823</c:v>
                </c:pt>
                <c:pt idx="88">
                  <c:v>27.035331570830039</c:v>
                </c:pt>
                <c:pt idx="89">
                  <c:v>27.343086889704068</c:v>
                </c:pt>
                <c:pt idx="90">
                  <c:v>27.650854297718752</c:v>
                </c:pt>
                <c:pt idx="91">
                  <c:v>27.958633796584238</c:v>
                </c:pt>
                <c:pt idx="92">
                  <c:v>28.266425388011033</c:v>
                </c:pt>
                <c:pt idx="93">
                  <c:v>28.574229073709983</c:v>
                </c:pt>
                <c:pt idx="94">
                  <c:v>28.882044855392248</c:v>
                </c:pt>
                <c:pt idx="95">
                  <c:v>29.18987273476937</c:v>
                </c:pt>
                <c:pt idx="96">
                  <c:v>29.497712713553184</c:v>
                </c:pt>
                <c:pt idx="97">
                  <c:v>29.805564793455893</c:v>
                </c:pt>
                <c:pt idx="98">
                  <c:v>30.113428976190018</c:v>
                </c:pt>
                <c:pt idx="99">
                  <c:v>30.421305263468412</c:v>
                </c:pt>
                <c:pt idx="100">
                  <c:v>30.729193657004284</c:v>
                </c:pt>
              </c:numCache>
            </c:numRef>
          </c:val>
          <c:smooth val="0"/>
          <c:extLst>
            <c:ext xmlns:c16="http://schemas.microsoft.com/office/drawing/2014/chart" uri="{C3380CC4-5D6E-409C-BE32-E72D297353CC}">
              <c16:uniqueId val="{00000002-6477-4C46-89EF-E7A1D5DEFAE7}"/>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1.0068571428571429</c:v>
                </c:pt>
                <c:pt idx="2">
                  <c:v>1.0073185655643224</c:v>
                </c:pt>
                <c:pt idx="3">
                  <c:v>1.0109778483464837</c:v>
                </c:pt>
                <c:pt idx="4">
                  <c:v>1.0146371311286448</c:v>
                </c:pt>
                <c:pt idx="5">
                  <c:v>1.0182964139108062</c:v>
                </c:pt>
                <c:pt idx="6">
                  <c:v>1.0219556966929675</c:v>
                </c:pt>
                <c:pt idx="7">
                  <c:v>1.0256149794751286</c:v>
                </c:pt>
                <c:pt idx="8">
                  <c:v>1.0292742622572899</c:v>
                </c:pt>
                <c:pt idx="9">
                  <c:v>1.032933545039451</c:v>
                </c:pt>
                <c:pt idx="10">
                  <c:v>1.0365928278216123</c:v>
                </c:pt>
                <c:pt idx="11">
                  <c:v>1.0402521106037736</c:v>
                </c:pt>
                <c:pt idx="12">
                  <c:v>1.0439113933859347</c:v>
                </c:pt>
                <c:pt idx="13">
                  <c:v>1.0475706761680961</c:v>
                </c:pt>
                <c:pt idx="14">
                  <c:v>1.0512299589502572</c:v>
                </c:pt>
                <c:pt idx="15">
                  <c:v>1.0548892417324185</c:v>
                </c:pt>
                <c:pt idx="16">
                  <c:v>1.0585485245145798</c:v>
                </c:pt>
                <c:pt idx="17">
                  <c:v>1.0622078072967409</c:v>
                </c:pt>
                <c:pt idx="18">
                  <c:v>1.0658670900789022</c:v>
                </c:pt>
                <c:pt idx="19">
                  <c:v>1.0695263728610633</c:v>
                </c:pt>
                <c:pt idx="20">
                  <c:v>1.0731856556432247</c:v>
                </c:pt>
                <c:pt idx="21">
                  <c:v>1.076844938425386</c:v>
                </c:pt>
                <c:pt idx="22">
                  <c:v>1.0805042212075471</c:v>
                </c:pt>
                <c:pt idx="23">
                  <c:v>1.0841635039897084</c:v>
                </c:pt>
                <c:pt idx="24">
                  <c:v>1.0878227867718695</c:v>
                </c:pt>
                <c:pt idx="25">
                  <c:v>1.0914820695540308</c:v>
                </c:pt>
                <c:pt idx="26">
                  <c:v>1.0951413523361921</c:v>
                </c:pt>
                <c:pt idx="27">
                  <c:v>1.0988006351183532</c:v>
                </c:pt>
                <c:pt idx="28">
                  <c:v>1.1024599179005146</c:v>
                </c:pt>
                <c:pt idx="29">
                  <c:v>1.1061192006826757</c:v>
                </c:pt>
                <c:pt idx="30">
                  <c:v>1.109778483464837</c:v>
                </c:pt>
                <c:pt idx="31">
                  <c:v>1.1134377662469981</c:v>
                </c:pt>
                <c:pt idx="32">
                  <c:v>1.1170970490291594</c:v>
                </c:pt>
                <c:pt idx="33">
                  <c:v>1.1207563318113207</c:v>
                </c:pt>
                <c:pt idx="34">
                  <c:v>1.1244161497867553</c:v>
                </c:pt>
                <c:pt idx="35">
                  <c:v>1.4466155216247085</c:v>
                </c:pt>
                <c:pt idx="36">
                  <c:v>1.7364472162228697</c:v>
                </c:pt>
                <c:pt idx="37">
                  <c:v>2.0263123103331386</c:v>
                </c:pt>
                <c:pt idx="38">
                  <c:v>2.3162108146063543</c:v>
                </c:pt>
                <c:pt idx="39">
                  <c:v>2.6061427397001529</c:v>
                </c:pt>
                <c:pt idx="40">
                  <c:v>2.8961080962787027</c:v>
                </c:pt>
                <c:pt idx="41">
                  <c:v>3.1861068950124283</c:v>
                </c:pt>
                <c:pt idx="42">
                  <c:v>3.4761391465778431</c:v>
                </c:pt>
                <c:pt idx="43">
                  <c:v>3.7662048616573385</c:v>
                </c:pt>
                <c:pt idx="44">
                  <c:v>4.0563040509390564</c:v>
                </c:pt>
                <c:pt idx="45">
                  <c:v>4.3464367251167424</c:v>
                </c:pt>
                <c:pt idx="46">
                  <c:v>4.6366028948896476</c:v>
                </c:pt>
                <c:pt idx="47">
                  <c:v>4.9268025709624181</c:v>
                </c:pt>
                <c:pt idx="48">
                  <c:v>5.217035764045006</c:v>
                </c:pt>
                <c:pt idx="49">
                  <c:v>5.5073024848526062</c:v>
                </c:pt>
                <c:pt idx="50">
                  <c:v>5.7976027441055962</c:v>
                </c:pt>
                <c:pt idx="51">
                  <c:v>6.0879365525294569</c:v>
                </c:pt>
                <c:pt idx="52">
                  <c:v>6.3783039208547256</c:v>
                </c:pt>
                <c:pt idx="53">
                  <c:v>6.6687048598169962</c:v>
                </c:pt>
                <c:pt idx="54">
                  <c:v>6.959139380156814</c:v>
                </c:pt>
                <c:pt idx="55">
                  <c:v>7.2496074926196901</c:v>
                </c:pt>
                <c:pt idx="56">
                  <c:v>7.5401092079560366</c:v>
                </c:pt>
                <c:pt idx="57">
                  <c:v>7.8306445369211621</c:v>
                </c:pt>
                <c:pt idx="58">
                  <c:v>8.1212134902752702</c:v>
                </c:pt>
                <c:pt idx="59">
                  <c:v>8.411816078783378</c:v>
                </c:pt>
                <c:pt idx="60">
                  <c:v>8.7024523132153409</c:v>
                </c:pt>
                <c:pt idx="61">
                  <c:v>8.9931222043458199</c:v>
                </c:pt>
                <c:pt idx="62">
                  <c:v>9.2838257629542866</c:v>
                </c:pt>
                <c:pt idx="63">
                  <c:v>9.5745629998249964</c:v>
                </c:pt>
                <c:pt idx="64">
                  <c:v>9.8653339257469543</c:v>
                </c:pt>
                <c:pt idx="65">
                  <c:v>10.15613855151395</c:v>
                </c:pt>
                <c:pt idx="66">
                  <c:v>10.44697688792451</c:v>
                </c:pt>
                <c:pt idx="67">
                  <c:v>10.737848945781931</c:v>
                </c:pt>
                <c:pt idx="68">
                  <c:v>11.028754735894221</c:v>
                </c:pt>
                <c:pt idx="69">
                  <c:v>11.319694269074112</c:v>
                </c:pt>
                <c:pt idx="70">
                  <c:v>11.610667556139099</c:v>
                </c:pt>
                <c:pt idx="71">
                  <c:v>11.901674607911374</c:v>
                </c:pt>
                <c:pt idx="72">
                  <c:v>12.192715435217844</c:v>
                </c:pt>
                <c:pt idx="73">
                  <c:v>12.483790048890128</c:v>
                </c:pt>
                <c:pt idx="74">
                  <c:v>12.774898459764575</c:v>
                </c:pt>
                <c:pt idx="75">
                  <c:v>13.066040678682219</c:v>
                </c:pt>
                <c:pt idx="76">
                  <c:v>13.357216716488805</c:v>
                </c:pt>
                <c:pt idx="77">
                  <c:v>13.648426584034784</c:v>
                </c:pt>
                <c:pt idx="78">
                  <c:v>13.939670292175315</c:v>
                </c:pt>
                <c:pt idx="79">
                  <c:v>14.230947851770244</c:v>
                </c:pt>
                <c:pt idx="80">
                  <c:v>14.522259273684119</c:v>
                </c:pt>
                <c:pt idx="81">
                  <c:v>14.8136045687862</c:v>
                </c:pt>
                <c:pt idx="82">
                  <c:v>15.104983747950428</c:v>
                </c:pt>
                <c:pt idx="83">
                  <c:v>15.396396822055451</c:v>
                </c:pt>
                <c:pt idx="84">
                  <c:v>15.687843801984609</c:v>
                </c:pt>
                <c:pt idx="85">
                  <c:v>15.97932469862595</c:v>
                </c:pt>
                <c:pt idx="86">
                  <c:v>16.270839522872222</c:v>
                </c:pt>
                <c:pt idx="87">
                  <c:v>16.562388285620852</c:v>
                </c:pt>
                <c:pt idx="88">
                  <c:v>16.853970997773981</c:v>
                </c:pt>
                <c:pt idx="89">
                  <c:v>17.145587670238452</c:v>
                </c:pt>
                <c:pt idx="90">
                  <c:v>17.437238313925786</c:v>
                </c:pt>
                <c:pt idx="91">
                  <c:v>17.728922939752255</c:v>
                </c:pt>
                <c:pt idx="92">
                  <c:v>18.020641558638786</c:v>
                </c:pt>
                <c:pt idx="93">
                  <c:v>18.312394181511017</c:v>
                </c:pt>
                <c:pt idx="94">
                  <c:v>18.604180819299327</c:v>
                </c:pt>
                <c:pt idx="95">
                  <c:v>18.896001482938765</c:v>
                </c:pt>
                <c:pt idx="96">
                  <c:v>19.187856183369085</c:v>
                </c:pt>
                <c:pt idx="97">
                  <c:v>19.479744931534785</c:v>
                </c:pt>
                <c:pt idx="98">
                  <c:v>19.771667738385048</c:v>
                </c:pt>
                <c:pt idx="99">
                  <c:v>20.063624614873778</c:v>
                </c:pt>
                <c:pt idx="100">
                  <c:v>20.355615571959593</c:v>
                </c:pt>
              </c:numCache>
            </c:numRef>
          </c:val>
          <c:smooth val="0"/>
          <c:extLst>
            <c:ext xmlns:c16="http://schemas.microsoft.com/office/drawing/2014/chart" uri="{C3380CC4-5D6E-409C-BE32-E72D297353CC}">
              <c16:uniqueId val="{00000000-B28B-4852-801F-8278A9821D6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Single'!$AK$5:$AK$105</c:f>
              <c:numCache>
                <c:formatCode>0.000</c:formatCode>
                <c:ptCount val="101"/>
                <c:pt idx="0">
                  <c:v>1.0068571428571429</c:v>
                </c:pt>
                <c:pt idx="1">
                  <c:v>1.0068571428571429</c:v>
                </c:pt>
                <c:pt idx="2">
                  <c:v>1.0073185655643224</c:v>
                </c:pt>
                <c:pt idx="3">
                  <c:v>1.0109778483464837</c:v>
                </c:pt>
                <c:pt idx="4">
                  <c:v>1.0146371311286448</c:v>
                </c:pt>
                <c:pt idx="5">
                  <c:v>1.0182964139108062</c:v>
                </c:pt>
                <c:pt idx="6">
                  <c:v>1.0219556966929675</c:v>
                </c:pt>
                <c:pt idx="7">
                  <c:v>1.0256149794751286</c:v>
                </c:pt>
                <c:pt idx="8">
                  <c:v>1.0292742622572899</c:v>
                </c:pt>
                <c:pt idx="9">
                  <c:v>1.032933545039451</c:v>
                </c:pt>
                <c:pt idx="10">
                  <c:v>1.0365928278216123</c:v>
                </c:pt>
                <c:pt idx="11">
                  <c:v>1.0402521106037736</c:v>
                </c:pt>
                <c:pt idx="12">
                  <c:v>1.0439113933859347</c:v>
                </c:pt>
                <c:pt idx="13">
                  <c:v>1.0475706761680961</c:v>
                </c:pt>
                <c:pt idx="14">
                  <c:v>1.0512299589502572</c:v>
                </c:pt>
                <c:pt idx="15">
                  <c:v>1.0548892417324185</c:v>
                </c:pt>
                <c:pt idx="16">
                  <c:v>1.0585485245145798</c:v>
                </c:pt>
                <c:pt idx="17">
                  <c:v>1.0622078072967409</c:v>
                </c:pt>
                <c:pt idx="18">
                  <c:v>1.0658670900789022</c:v>
                </c:pt>
                <c:pt idx="19">
                  <c:v>1.0695263728610633</c:v>
                </c:pt>
                <c:pt idx="20">
                  <c:v>1.0731856556432247</c:v>
                </c:pt>
                <c:pt idx="21">
                  <c:v>1.076844938425386</c:v>
                </c:pt>
                <c:pt idx="22">
                  <c:v>1.0805042212075471</c:v>
                </c:pt>
                <c:pt idx="23">
                  <c:v>1.0841635039897084</c:v>
                </c:pt>
                <c:pt idx="24">
                  <c:v>1.0878227867718695</c:v>
                </c:pt>
                <c:pt idx="25">
                  <c:v>1.0914820695540308</c:v>
                </c:pt>
                <c:pt idx="26">
                  <c:v>1.0951413523361921</c:v>
                </c:pt>
                <c:pt idx="27">
                  <c:v>1.0988006351183532</c:v>
                </c:pt>
                <c:pt idx="28">
                  <c:v>1.1024599179005146</c:v>
                </c:pt>
                <c:pt idx="29">
                  <c:v>1.1061192006826757</c:v>
                </c:pt>
                <c:pt idx="30">
                  <c:v>1.109778483464837</c:v>
                </c:pt>
                <c:pt idx="31">
                  <c:v>1.1134377662469981</c:v>
                </c:pt>
                <c:pt idx="32">
                  <c:v>1.1170970490291594</c:v>
                </c:pt>
                <c:pt idx="33">
                  <c:v>1.1207563318113207</c:v>
                </c:pt>
                <c:pt idx="34">
                  <c:v>1.1244156145934818</c:v>
                </c:pt>
                <c:pt idx="35">
                  <c:v>1.1280748973756431</c:v>
                </c:pt>
                <c:pt idx="36">
                  <c:v>1.1317341801578045</c:v>
                </c:pt>
                <c:pt idx="37">
                  <c:v>1.1353934629399656</c:v>
                </c:pt>
                <c:pt idx="38">
                  <c:v>1.1390527457221269</c:v>
                </c:pt>
                <c:pt idx="39">
                  <c:v>1.2237948887106123</c:v>
                </c:pt>
                <c:pt idx="40">
                  <c:v>1.4779585861793521</c:v>
                </c:pt>
                <c:pt idx="41">
                  <c:v>1.7321681843486019</c:v>
                </c:pt>
                <c:pt idx="42">
                  <c:v>1.9863947684540109</c:v>
                </c:pt>
                <c:pt idx="43">
                  <c:v>2.2406383420578182</c:v>
                </c:pt>
                <c:pt idx="44">
                  <c:v>2.49489890872412</c:v>
                </c:pt>
                <c:pt idx="45">
                  <c:v>2.7491764720187954</c:v>
                </c:pt>
                <c:pt idx="46">
                  <c:v>3.0034710355094196</c:v>
                </c:pt>
                <c:pt idx="47">
                  <c:v>3.2577826027651735</c:v>
                </c:pt>
                <c:pt idx="48">
                  <c:v>3.5121111773568003</c:v>
                </c:pt>
                <c:pt idx="49">
                  <c:v>3.7664567628565182</c:v>
                </c:pt>
                <c:pt idx="50">
                  <c:v>4.0208193628380107</c:v>
                </c:pt>
                <c:pt idx="51">
                  <c:v>4.2751989808763566</c:v>
                </c:pt>
                <c:pt idx="52">
                  <c:v>4.5295956205479904</c:v>
                </c:pt>
                <c:pt idx="53">
                  <c:v>4.7840092854306793</c:v>
                </c:pt>
                <c:pt idx="54">
                  <c:v>5.0384399791034973</c:v>
                </c:pt>
                <c:pt idx="55">
                  <c:v>5.2928877051467786</c:v>
                </c:pt>
                <c:pt idx="56">
                  <c:v>5.5473524671421117</c:v>
                </c:pt>
                <c:pt idx="57">
                  <c:v>5.8018342686723088</c:v>
                </c:pt>
                <c:pt idx="58">
                  <c:v>6.0563331133213998</c:v>
                </c:pt>
                <c:pt idx="59">
                  <c:v>6.3108490046745827</c:v>
                </c:pt>
                <c:pt idx="60">
                  <c:v>6.565381946318257</c:v>
                </c:pt>
                <c:pt idx="61">
                  <c:v>6.8199319418399726</c:v>
                </c:pt>
                <c:pt idx="62">
                  <c:v>7.0744989948284234</c:v>
                </c:pt>
                <c:pt idx="63">
                  <c:v>7.3290831088734603</c:v>
                </c:pt>
                <c:pt idx="64">
                  <c:v>7.5836842875660393</c:v>
                </c:pt>
                <c:pt idx="65">
                  <c:v>7.8383025344982489</c:v>
                </c:pt>
                <c:pt idx="66">
                  <c:v>8.0929378532632903</c:v>
                </c:pt>
                <c:pt idx="67">
                  <c:v>8.3475902474554715</c:v>
                </c:pt>
                <c:pt idx="68">
                  <c:v>8.6022597206701885</c:v>
                </c:pt>
                <c:pt idx="69">
                  <c:v>8.8569462765039226</c:v>
                </c:pt>
                <c:pt idx="70">
                  <c:v>9.1116499185542672</c:v>
                </c:pt>
                <c:pt idx="71">
                  <c:v>9.3663706504198814</c:v>
                </c:pt>
                <c:pt idx="72">
                  <c:v>9.6211084757004919</c:v>
                </c:pt>
                <c:pt idx="73">
                  <c:v>9.8758633979969108</c:v>
                </c:pt>
                <c:pt idx="74">
                  <c:v>10.130635420911007</c:v>
                </c:pt>
                <c:pt idx="75">
                  <c:v>10.385424548045727</c:v>
                </c:pt>
                <c:pt idx="76">
                  <c:v>10.640230783005075</c:v>
                </c:pt>
                <c:pt idx="77">
                  <c:v>10.895054129394106</c:v>
                </c:pt>
                <c:pt idx="78">
                  <c:v>11.14989459081894</c:v>
                </c:pt>
                <c:pt idx="79">
                  <c:v>11.404752170886752</c:v>
                </c:pt>
                <c:pt idx="80">
                  <c:v>11.659626873205752</c:v>
                </c:pt>
                <c:pt idx="81">
                  <c:v>11.914518701385232</c:v>
                </c:pt>
                <c:pt idx="82">
                  <c:v>12.169427659035492</c:v>
                </c:pt>
                <c:pt idx="83">
                  <c:v>12.424353749767928</c:v>
                </c:pt>
                <c:pt idx="84">
                  <c:v>12.679296977194925</c:v>
                </c:pt>
                <c:pt idx="85">
                  <c:v>12.934257344929955</c:v>
                </c:pt>
                <c:pt idx="86">
                  <c:v>13.189234856587502</c:v>
                </c:pt>
                <c:pt idx="87">
                  <c:v>13.444229515783119</c:v>
                </c:pt>
                <c:pt idx="88">
                  <c:v>13.699241326133373</c:v>
                </c:pt>
                <c:pt idx="89">
                  <c:v>13.954270291255884</c:v>
                </c:pt>
                <c:pt idx="90">
                  <c:v>14.209316414769315</c:v>
                </c:pt>
                <c:pt idx="91">
                  <c:v>14.464379700293355</c:v>
                </c:pt>
                <c:pt idx="92">
                  <c:v>14.719460151448732</c:v>
                </c:pt>
                <c:pt idx="93">
                  <c:v>14.974557771857212</c:v>
                </c:pt>
                <c:pt idx="94">
                  <c:v>15.229672565141595</c:v>
                </c:pt>
                <c:pt idx="95">
                  <c:v>15.48480453492572</c:v>
                </c:pt>
                <c:pt idx="96">
                  <c:v>15.739953684834461</c:v>
                </c:pt>
                <c:pt idx="97">
                  <c:v>15.995120018493713</c:v>
                </c:pt>
                <c:pt idx="98">
                  <c:v>16.250303539530425</c:v>
                </c:pt>
                <c:pt idx="99">
                  <c:v>16.505504251572575</c:v>
                </c:pt>
                <c:pt idx="100">
                  <c:v>16.760722158249152</c:v>
                </c:pt>
              </c:numCache>
            </c:numRef>
          </c:val>
          <c:smooth val="0"/>
          <c:extLst>
            <c:ext xmlns:c16="http://schemas.microsoft.com/office/drawing/2014/chart" uri="{C3380CC4-5D6E-409C-BE32-E72D297353CC}">
              <c16:uniqueId val="{00000001-B28B-4852-801F-8278A9821D6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1.0068571428571429</c:v>
                </c:pt>
                <c:pt idx="2">
                  <c:v>1.0073185655643224</c:v>
                </c:pt>
                <c:pt idx="3">
                  <c:v>1.0109778483464837</c:v>
                </c:pt>
                <c:pt idx="4">
                  <c:v>1.0146371311286448</c:v>
                </c:pt>
                <c:pt idx="5">
                  <c:v>1.0182964139108062</c:v>
                </c:pt>
                <c:pt idx="6">
                  <c:v>1.0219556966929675</c:v>
                </c:pt>
                <c:pt idx="7">
                  <c:v>1.0256149794751286</c:v>
                </c:pt>
                <c:pt idx="8">
                  <c:v>1.0292742622572899</c:v>
                </c:pt>
                <c:pt idx="9">
                  <c:v>1.032933545039451</c:v>
                </c:pt>
                <c:pt idx="10">
                  <c:v>1.0365928278216123</c:v>
                </c:pt>
                <c:pt idx="11">
                  <c:v>1.0402521106037736</c:v>
                </c:pt>
                <c:pt idx="12">
                  <c:v>1.0439113933859347</c:v>
                </c:pt>
                <c:pt idx="13">
                  <c:v>1.0475706761680961</c:v>
                </c:pt>
                <c:pt idx="14">
                  <c:v>1.0512299589502572</c:v>
                </c:pt>
                <c:pt idx="15">
                  <c:v>1.0548892417324185</c:v>
                </c:pt>
                <c:pt idx="16">
                  <c:v>1.0585485245145798</c:v>
                </c:pt>
                <c:pt idx="17">
                  <c:v>1.0622078072967409</c:v>
                </c:pt>
                <c:pt idx="18">
                  <c:v>1.0658670900789022</c:v>
                </c:pt>
                <c:pt idx="19">
                  <c:v>1.0695263728610633</c:v>
                </c:pt>
                <c:pt idx="20">
                  <c:v>1.0731856556432247</c:v>
                </c:pt>
                <c:pt idx="21">
                  <c:v>1.076844938425386</c:v>
                </c:pt>
                <c:pt idx="22">
                  <c:v>1.0805042212075471</c:v>
                </c:pt>
                <c:pt idx="23">
                  <c:v>1.0841635039897084</c:v>
                </c:pt>
                <c:pt idx="24">
                  <c:v>1.0878227867718695</c:v>
                </c:pt>
                <c:pt idx="25">
                  <c:v>1.0914820695540308</c:v>
                </c:pt>
                <c:pt idx="26">
                  <c:v>1.0951413523361921</c:v>
                </c:pt>
                <c:pt idx="27">
                  <c:v>1.0988006351183532</c:v>
                </c:pt>
                <c:pt idx="28">
                  <c:v>1.1024599179005146</c:v>
                </c:pt>
                <c:pt idx="29">
                  <c:v>1.1061192006826757</c:v>
                </c:pt>
                <c:pt idx="30">
                  <c:v>1.109778483464837</c:v>
                </c:pt>
                <c:pt idx="31">
                  <c:v>1.1134377662469981</c:v>
                </c:pt>
                <c:pt idx="32">
                  <c:v>1.1170970490291594</c:v>
                </c:pt>
                <c:pt idx="33">
                  <c:v>1.1207563318113207</c:v>
                </c:pt>
                <c:pt idx="34">
                  <c:v>1.1244156145934818</c:v>
                </c:pt>
                <c:pt idx="35">
                  <c:v>1.1280748973756431</c:v>
                </c:pt>
                <c:pt idx="36">
                  <c:v>1.1317341801578045</c:v>
                </c:pt>
                <c:pt idx="37">
                  <c:v>1.1353934629399656</c:v>
                </c:pt>
                <c:pt idx="38">
                  <c:v>1.1390527457221269</c:v>
                </c:pt>
                <c:pt idx="39">
                  <c:v>1.142712028504288</c:v>
                </c:pt>
                <c:pt idx="40">
                  <c:v>1.1463713112864493</c:v>
                </c:pt>
                <c:pt idx="41">
                  <c:v>1.1500305940686104</c:v>
                </c:pt>
                <c:pt idx="42">
                  <c:v>1.1536898768507717</c:v>
                </c:pt>
                <c:pt idx="43">
                  <c:v>1.1573495564138585</c:v>
                </c:pt>
                <c:pt idx="44">
                  <c:v>1.3279307851874154</c:v>
                </c:pt>
                <c:pt idx="45">
                  <c:v>1.5555049216076346</c:v>
                </c:pt>
                <c:pt idx="46">
                  <c:v>1.7830879574925529</c:v>
                </c:pt>
                <c:pt idx="47">
                  <c:v>2.0106798940942139</c:v>
                </c:pt>
                <c:pt idx="48">
                  <c:v>2.238280732665296</c:v>
                </c:pt>
                <c:pt idx="49">
                  <c:v>2.465890474459056</c:v>
                </c:pt>
                <c:pt idx="50">
                  <c:v>2.6935091207292983</c:v>
                </c:pt>
                <c:pt idx="51">
                  <c:v>2.9211366727303441</c:v>
                </c:pt>
                <c:pt idx="52">
                  <c:v>3.1487731317170136</c:v>
                </c:pt>
                <c:pt idx="53">
                  <c:v>3.3764184989445845</c:v>
                </c:pt>
                <c:pt idx="54">
                  <c:v>3.6040727756687865</c:v>
                </c:pt>
                <c:pt idx="55">
                  <c:v>3.8317359631457624</c:v>
                </c:pt>
                <c:pt idx="56">
                  <c:v>4.0594080626320785</c:v>
                </c:pt>
                <c:pt idx="57">
                  <c:v>4.2870890753846824</c:v>
                </c:pt>
                <c:pt idx="58">
                  <c:v>4.5147790026609167</c:v>
                </c:pt>
                <c:pt idx="59">
                  <c:v>4.7424778457184642</c:v>
                </c:pt>
                <c:pt idx="60">
                  <c:v>4.9701856058153977</c:v>
                </c:pt>
                <c:pt idx="61">
                  <c:v>5.1979022842101088</c:v>
                </c:pt>
                <c:pt idx="62">
                  <c:v>5.4256278821613435</c:v>
                </c:pt>
                <c:pt idx="63">
                  <c:v>5.6533624009281622</c:v>
                </c:pt>
                <c:pt idx="64">
                  <c:v>5.8811058417699726</c:v>
                </c:pt>
                <c:pt idx="65">
                  <c:v>6.1088582059464676</c:v>
                </c:pt>
                <c:pt idx="66">
                  <c:v>6.3366194947176746</c:v>
                </c:pt>
                <c:pt idx="67">
                  <c:v>6.5643897093439101</c:v>
                </c:pt>
                <c:pt idx="68">
                  <c:v>6.7921688510857976</c:v>
                </c:pt>
                <c:pt idx="69">
                  <c:v>7.0199569212042485</c:v>
                </c:pt>
                <c:pt idx="70">
                  <c:v>7.2477539209604842</c:v>
                </c:pt>
                <c:pt idx="71">
                  <c:v>7.4755598516159916</c:v>
                </c:pt>
                <c:pt idx="72">
                  <c:v>7.7033747144325408</c:v>
                </c:pt>
                <c:pt idx="73">
                  <c:v>7.9311985106722069</c:v>
                </c:pt>
                <c:pt idx="74">
                  <c:v>8.1590312415973134</c:v>
                </c:pt>
                <c:pt idx="75">
                  <c:v>8.3868729084704903</c:v>
                </c:pt>
                <c:pt idx="76">
                  <c:v>8.6147235125546011</c:v>
                </c:pt>
                <c:pt idx="77">
                  <c:v>8.8425830551128115</c:v>
                </c:pt>
                <c:pt idx="78">
                  <c:v>9.0704515374085517</c:v>
                </c:pt>
                <c:pt idx="79">
                  <c:v>9.2983289607055042</c:v>
                </c:pt>
                <c:pt idx="80">
                  <c:v>9.5262153262676179</c:v>
                </c:pt>
                <c:pt idx="81">
                  <c:v>9.7541106353591296</c:v>
                </c:pt>
                <c:pt idx="82">
                  <c:v>9.9820148892445069</c:v>
                </c:pt>
                <c:pt idx="83">
                  <c:v>10.209928089188498</c:v>
                </c:pt>
                <c:pt idx="84">
                  <c:v>10.437850236456098</c:v>
                </c:pt>
                <c:pt idx="85">
                  <c:v>10.665781332312573</c:v>
                </c:pt>
                <c:pt idx="86">
                  <c:v>10.893721378023425</c:v>
                </c:pt>
                <c:pt idx="87">
                  <c:v>11.121670374854435</c:v>
                </c:pt>
                <c:pt idx="88">
                  <c:v>11.349628324071633</c:v>
                </c:pt>
                <c:pt idx="89">
                  <c:v>11.577595226941284</c:v>
                </c:pt>
                <c:pt idx="90">
                  <c:v>11.805571084729937</c:v>
                </c:pt>
                <c:pt idx="91">
                  <c:v>12.033555898704373</c:v>
                </c:pt>
                <c:pt idx="92">
                  <c:v>12.261549670131629</c:v>
                </c:pt>
                <c:pt idx="93">
                  <c:v>12.489552400278999</c:v>
                </c:pt>
                <c:pt idx="94">
                  <c:v>12.71756409041401</c:v>
                </c:pt>
                <c:pt idx="95">
                  <c:v>12.94558474180447</c:v>
                </c:pt>
                <c:pt idx="96">
                  <c:v>13.173614355718405</c:v>
                </c:pt>
                <c:pt idx="97">
                  <c:v>13.401652933424115</c:v>
                </c:pt>
                <c:pt idx="98">
                  <c:v>13.629700476190138</c:v>
                </c:pt>
                <c:pt idx="99">
                  <c:v>13.85775698528524</c:v>
                </c:pt>
                <c:pt idx="100">
                  <c:v>14.085822461978484</c:v>
                </c:pt>
              </c:numCache>
            </c:numRef>
          </c:val>
          <c:smooth val="0"/>
          <c:extLst>
            <c:ext xmlns:c16="http://schemas.microsoft.com/office/drawing/2014/chart" uri="{C3380CC4-5D6E-409C-BE32-E72D297353CC}">
              <c16:uniqueId val="{00000002-B28B-4852-801F-8278A9821D66}"/>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Single'!$CB$5:$CB$105</c:f>
              <c:numCache>
                <c:formatCode>0.00</c:formatCode>
                <c:ptCount val="101"/>
                <c:pt idx="0">
                  <c:v>1.2160998152881747E-4</c:v>
                </c:pt>
                <c:pt idx="1">
                  <c:v>83.854061296468402</c:v>
                </c:pt>
                <c:pt idx="2">
                  <c:v>89.751760793884486</c:v>
                </c:pt>
                <c:pt idx="3">
                  <c:v>90.421137115258347</c:v>
                </c:pt>
                <c:pt idx="4">
                  <c:v>90.758388167913296</c:v>
                </c:pt>
                <c:pt idx="5">
                  <c:v>90.960987093669175</c:v>
                </c:pt>
                <c:pt idx="6">
                  <c:v>91.095751076065284</c:v>
                </c:pt>
                <c:pt idx="7">
                  <c:v>91.191563118237013</c:v>
                </c:pt>
                <c:pt idx="8">
                  <c:v>91.262946555314556</c:v>
                </c:pt>
                <c:pt idx="9">
                  <c:v>91.318002438967554</c:v>
                </c:pt>
                <c:pt idx="10">
                  <c:v>91.361606105425579</c:v>
                </c:pt>
                <c:pt idx="11">
                  <c:v>91.396867357744583</c:v>
                </c:pt>
                <c:pt idx="12">
                  <c:v>91.425863320284577</c:v>
                </c:pt>
                <c:pt idx="13">
                  <c:v>91.450034234741963</c:v>
                </c:pt>
                <c:pt idx="14">
                  <c:v>91.470410179916485</c:v>
                </c:pt>
                <c:pt idx="15">
                  <c:v>91.487747378377421</c:v>
                </c:pt>
                <c:pt idx="16">
                  <c:v>91.502613533367466</c:v>
                </c:pt>
                <c:pt idx="17">
                  <c:v>91.515443127358154</c:v>
                </c:pt>
                <c:pt idx="18">
                  <c:v>91.526574334323499</c:v>
                </c:pt>
                <c:pt idx="19">
                  <c:v>91.53627430340994</c:v>
                </c:pt>
                <c:pt idx="20">
                  <c:v>91.544756874756743</c:v>
                </c:pt>
                <c:pt idx="21">
                  <c:v>91.552195244618702</c:v>
                </c:pt>
                <c:pt idx="22">
                  <c:v>91.558731183507817</c:v>
                </c:pt>
                <c:pt idx="23">
                  <c:v>91.564481854359641</c:v>
                </c:pt>
                <c:pt idx="24">
                  <c:v>91.569544929390105</c:v>
                </c:pt>
                <c:pt idx="25">
                  <c:v>91.574002481141974</c:v>
                </c:pt>
                <c:pt idx="26">
                  <c:v>91.577923977169448</c:v>
                </c:pt>
                <c:pt idx="27">
                  <c:v>91.581368610358965</c:v>
                </c:pt>
                <c:pt idx="28">
                  <c:v>91.584387130707583</c:v>
                </c:pt>
                <c:pt idx="29">
                  <c:v>91.587023298707251</c:v>
                </c:pt>
                <c:pt idx="30">
                  <c:v>91.589315048493617</c:v>
                </c:pt>
                <c:pt idx="31">
                  <c:v>91.591295426199679</c:v>
                </c:pt>
                <c:pt idx="32">
                  <c:v>91.592993352618478</c:v>
                </c:pt>
                <c:pt idx="33">
                  <c:v>91.594434247391206</c:v>
                </c:pt>
                <c:pt idx="34">
                  <c:v>91.595640543191934</c:v>
                </c:pt>
                <c:pt idx="35">
                  <c:v>91.596632111881007</c:v>
                </c:pt>
                <c:pt idx="36">
                  <c:v>91.59742661972281</c:v>
                </c:pt>
                <c:pt idx="37">
                  <c:v>91.59803982507151</c:v>
                </c:pt>
                <c:pt idx="38">
                  <c:v>91.59848582910999</c:v>
                </c:pt>
                <c:pt idx="39">
                  <c:v>91.862173294534827</c:v>
                </c:pt>
                <c:pt idx="40">
                  <c:v>91.966981180931455</c:v>
                </c:pt>
                <c:pt idx="41">
                  <c:v>92.065822135702973</c:v>
                </c:pt>
                <c:pt idx="42">
                  <c:v>92.159113993670942</c:v>
                </c:pt>
                <c:pt idx="43">
                  <c:v>92.247240471198324</c:v>
                </c:pt>
                <c:pt idx="44">
                  <c:v>92.330550401540293</c:v>
                </c:pt>
                <c:pt idx="45">
                  <c:v>92.409361582385202</c:v>
                </c:pt>
                <c:pt idx="46">
                  <c:v>92.483964126692726</c:v>
                </c:pt>
                <c:pt idx="47">
                  <c:v>92.554623389819241</c:v>
                </c:pt>
                <c:pt idx="48">
                  <c:v>92.621582533949223</c:v>
                </c:pt>
                <c:pt idx="49">
                  <c:v>92.685064781039443</c:v>
                </c:pt>
                <c:pt idx="50">
                  <c:v>92.745275397405251</c:v>
                </c:pt>
                <c:pt idx="51">
                  <c:v>92.802403446403588</c:v>
                </c:pt>
                <c:pt idx="52">
                  <c:v>92.856623340130199</c:v>
                </c:pt>
                <c:pt idx="53">
                  <c:v>92.908096216436704</c:v>
                </c:pt>
                <c:pt idx="54">
                  <c:v>92.956971163720056</c:v>
                </c:pt>
                <c:pt idx="55">
                  <c:v>93.003386312706311</c:v>
                </c:pt>
                <c:pt idx="56">
                  <c:v>93.047469811730622</c:v>
                </c:pt>
                <c:pt idx="57">
                  <c:v>93.089340699723138</c:v>
                </c:pt>
                <c:pt idx="58">
                  <c:v>93.129109689165929</c:v>
                </c:pt>
                <c:pt idx="59">
                  <c:v>93.166879869638592</c:v>
                </c:pt>
                <c:pt idx="60">
                  <c:v>93.202747341164169</c:v>
                </c:pt>
                <c:pt idx="61">
                  <c:v>93.23680178536938</c:v>
                </c:pt>
                <c:pt idx="62">
                  <c:v>93.269126981444657</c:v>
                </c:pt>
                <c:pt idx="63">
                  <c:v>93.299801273009848</c:v>
                </c:pt>
                <c:pt idx="64">
                  <c:v>93.328897991231472</c:v>
                </c:pt>
                <c:pt idx="65">
                  <c:v>93.356485838884268</c:v>
                </c:pt>
                <c:pt idx="66">
                  <c:v>93.382629239483435</c:v>
                </c:pt>
                <c:pt idx="67">
                  <c:v>93.407388655123782</c:v>
                </c:pt>
                <c:pt idx="68">
                  <c:v>93.430820876236524</c:v>
                </c:pt>
                <c:pt idx="69">
                  <c:v>93.452979286103357</c:v>
                </c:pt>
                <c:pt idx="70">
                  <c:v>93.473914102644514</c:v>
                </c:pt>
                <c:pt idx="71">
                  <c:v>93.493672599714785</c:v>
                </c:pt>
                <c:pt idx="72">
                  <c:v>93.51229930989436</c:v>
                </c:pt>
                <c:pt idx="73">
                  <c:v>93.529836210543749</c:v>
                </c:pt>
                <c:pt idx="74">
                  <c:v>93.546322894702072</c:v>
                </c:pt>
                <c:pt idx="75">
                  <c:v>93.56179672823896</c:v>
                </c:pt>
                <c:pt idx="76">
                  <c:v>93.576292994523271</c:v>
                </c:pt>
                <c:pt idx="77">
                  <c:v>93.589845027739798</c:v>
                </c:pt>
                <c:pt idx="78">
                  <c:v>93.602484335870088</c:v>
                </c:pt>
                <c:pt idx="79">
                  <c:v>93.61424071425013</c:v>
                </c:pt>
                <c:pt idx="80">
                  <c:v>93.625142350526986</c:v>
                </c:pt>
                <c:pt idx="81">
                  <c:v>93.635215921754707</c:v>
                </c:pt>
                <c:pt idx="82">
                  <c:v>93.644486684298329</c:v>
                </c:pt>
                <c:pt idx="83">
                  <c:v>93.652978557149439</c:v>
                </c:pt>
                <c:pt idx="84">
                  <c:v>93.660714199200285</c:v>
                </c:pt>
                <c:pt idx="85">
                  <c:v>93.667715080970794</c:v>
                </c:pt>
                <c:pt idx="86">
                  <c:v>93.674001551237666</c:v>
                </c:pt>
                <c:pt idx="87">
                  <c:v>93.679592898972786</c:v>
                </c:pt>
                <c:pt idx="88">
                  <c:v>93.684507410961459</c:v>
                </c:pt>
                <c:pt idx="89">
                  <c:v>93.688762425437062</c:v>
                </c:pt>
                <c:pt idx="90">
                  <c:v>93.692374382039162</c:v>
                </c:pt>
                <c:pt idx="91">
                  <c:v>93.695358868374797</c:v>
                </c:pt>
                <c:pt idx="92">
                  <c:v>93.697730663438065</c:v>
                </c:pt>
                <c:pt idx="93">
                  <c:v>93.699503778121169</c:v>
                </c:pt>
                <c:pt idx="94">
                  <c:v>93.700691493030263</c:v>
                </c:pt>
                <c:pt idx="95">
                  <c:v>93.701306393800692</c:v>
                </c:pt>
                <c:pt idx="96">
                  <c:v>93.701360404090735</c:v>
                </c:pt>
                <c:pt idx="97">
                  <c:v>93.700864816417223</c:v>
                </c:pt>
                <c:pt idx="98">
                  <c:v>93.699830320983082</c:v>
                </c:pt>
                <c:pt idx="99">
                  <c:v>93.698267032634902</c:v>
                </c:pt>
                <c:pt idx="100">
                  <c:v>93.696184516076968</c:v>
                </c:pt>
              </c:numCache>
            </c:numRef>
          </c:val>
          <c:smooth val="0"/>
          <c:extLst>
            <c:ext xmlns:c16="http://schemas.microsoft.com/office/drawing/2014/chart" uri="{C3380CC4-5D6E-409C-BE32-E72D297353CC}">
              <c16:uniqueId val="{00000000-1E04-4A6B-B26C-C435E097FB7E}"/>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val>
            <c:numRef>
              <c:f>'Calculations - Single'!$BR$5:$BR$105</c:f>
              <c:numCache>
                <c:formatCode>0.0</c:formatCode>
                <c:ptCount val="101"/>
                <c:pt idx="0">
                  <c:v>2.2187500000000001E-6</c:v>
                </c:pt>
                <c:pt idx="1">
                  <c:v>11.09375</c:v>
                </c:pt>
                <c:pt idx="2">
                  <c:v>22.1875</c:v>
                </c:pt>
                <c:pt idx="3">
                  <c:v>33.28125</c:v>
                </c:pt>
                <c:pt idx="4">
                  <c:v>44.375</c:v>
                </c:pt>
                <c:pt idx="5">
                  <c:v>55.46875</c:v>
                </c:pt>
                <c:pt idx="6">
                  <c:v>66.5625</c:v>
                </c:pt>
                <c:pt idx="7">
                  <c:v>77.656250000000014</c:v>
                </c:pt>
                <c:pt idx="8">
                  <c:v>88.75</c:v>
                </c:pt>
                <c:pt idx="9">
                  <c:v>99.843749999999986</c:v>
                </c:pt>
                <c:pt idx="10">
                  <c:v>110.9375</c:v>
                </c:pt>
                <c:pt idx="11">
                  <c:v>122.03125000000001</c:v>
                </c:pt>
                <c:pt idx="12">
                  <c:v>133.125</c:v>
                </c:pt>
                <c:pt idx="13">
                  <c:v>144.21875</c:v>
                </c:pt>
                <c:pt idx="14">
                  <c:v>155.31250000000003</c:v>
                </c:pt>
                <c:pt idx="15">
                  <c:v>166.40624999999997</c:v>
                </c:pt>
                <c:pt idx="16">
                  <c:v>177.5</c:v>
                </c:pt>
                <c:pt idx="17">
                  <c:v>188.59375</c:v>
                </c:pt>
                <c:pt idx="18">
                  <c:v>199.68749999999997</c:v>
                </c:pt>
                <c:pt idx="19">
                  <c:v>210.78124999999997</c:v>
                </c:pt>
                <c:pt idx="20">
                  <c:v>221.875</c:v>
                </c:pt>
                <c:pt idx="21">
                  <c:v>232.96875</c:v>
                </c:pt>
                <c:pt idx="22">
                  <c:v>244.06250000000003</c:v>
                </c:pt>
                <c:pt idx="23">
                  <c:v>255.15625000000003</c:v>
                </c:pt>
                <c:pt idx="24">
                  <c:v>266.25</c:v>
                </c:pt>
                <c:pt idx="25">
                  <c:v>277.34375</c:v>
                </c:pt>
                <c:pt idx="26">
                  <c:v>288.4375</c:v>
                </c:pt>
                <c:pt idx="27">
                  <c:v>299.53125</c:v>
                </c:pt>
                <c:pt idx="28">
                  <c:v>310.62500000000006</c:v>
                </c:pt>
                <c:pt idx="29">
                  <c:v>321.71875</c:v>
                </c:pt>
                <c:pt idx="30">
                  <c:v>332.81249999999994</c:v>
                </c:pt>
                <c:pt idx="31">
                  <c:v>343.90624999999994</c:v>
                </c:pt>
                <c:pt idx="32">
                  <c:v>355</c:v>
                </c:pt>
                <c:pt idx="33">
                  <c:v>366.09375</c:v>
                </c:pt>
                <c:pt idx="34">
                  <c:v>377.1875</c:v>
                </c:pt>
                <c:pt idx="35">
                  <c:v>388.28124999999994</c:v>
                </c:pt>
                <c:pt idx="36">
                  <c:v>399.37499999999994</c:v>
                </c:pt>
                <c:pt idx="37">
                  <c:v>410.46875</c:v>
                </c:pt>
                <c:pt idx="38">
                  <c:v>421.56249999999994</c:v>
                </c:pt>
                <c:pt idx="39">
                  <c:v>432.65625</c:v>
                </c:pt>
                <c:pt idx="40">
                  <c:v>443.75</c:v>
                </c:pt>
                <c:pt idx="41">
                  <c:v>454.84374999999994</c:v>
                </c:pt>
                <c:pt idx="42">
                  <c:v>465.9375</c:v>
                </c:pt>
                <c:pt idx="43">
                  <c:v>477.03124999999994</c:v>
                </c:pt>
                <c:pt idx="44">
                  <c:v>488.12500000000006</c:v>
                </c:pt>
                <c:pt idx="45">
                  <c:v>499.21875</c:v>
                </c:pt>
                <c:pt idx="46">
                  <c:v>510.31250000000006</c:v>
                </c:pt>
                <c:pt idx="47">
                  <c:v>521.40624999999989</c:v>
                </c:pt>
                <c:pt idx="48">
                  <c:v>532.5</c:v>
                </c:pt>
                <c:pt idx="49">
                  <c:v>543.59375</c:v>
                </c:pt>
                <c:pt idx="50">
                  <c:v>554.6875</c:v>
                </c:pt>
                <c:pt idx="51">
                  <c:v>565.78124999999989</c:v>
                </c:pt>
                <c:pt idx="52">
                  <c:v>576.875</c:v>
                </c:pt>
                <c:pt idx="53">
                  <c:v>587.96875</c:v>
                </c:pt>
                <c:pt idx="54">
                  <c:v>599.0625</c:v>
                </c:pt>
                <c:pt idx="55">
                  <c:v>610.15625</c:v>
                </c:pt>
                <c:pt idx="56">
                  <c:v>621.25000000000011</c:v>
                </c:pt>
                <c:pt idx="57">
                  <c:v>632.34374999999989</c:v>
                </c:pt>
                <c:pt idx="58">
                  <c:v>643.4375</c:v>
                </c:pt>
                <c:pt idx="59">
                  <c:v>654.53124999999989</c:v>
                </c:pt>
                <c:pt idx="60">
                  <c:v>665.62499999999989</c:v>
                </c:pt>
                <c:pt idx="61">
                  <c:v>676.71874999999989</c:v>
                </c:pt>
                <c:pt idx="62">
                  <c:v>687.81249999999989</c:v>
                </c:pt>
                <c:pt idx="63">
                  <c:v>698.90625</c:v>
                </c:pt>
                <c:pt idx="64">
                  <c:v>710</c:v>
                </c:pt>
                <c:pt idx="65">
                  <c:v>721.09375</c:v>
                </c:pt>
                <c:pt idx="66">
                  <c:v>732.1875</c:v>
                </c:pt>
                <c:pt idx="67">
                  <c:v>743.28125</c:v>
                </c:pt>
                <c:pt idx="68">
                  <c:v>754.375</c:v>
                </c:pt>
                <c:pt idx="69">
                  <c:v>765.46874999999989</c:v>
                </c:pt>
                <c:pt idx="70">
                  <c:v>776.56249999999989</c:v>
                </c:pt>
                <c:pt idx="71">
                  <c:v>787.65625</c:v>
                </c:pt>
                <c:pt idx="72">
                  <c:v>798.74999999999989</c:v>
                </c:pt>
                <c:pt idx="73">
                  <c:v>809.84375</c:v>
                </c:pt>
                <c:pt idx="74">
                  <c:v>820.9375</c:v>
                </c:pt>
                <c:pt idx="75">
                  <c:v>832.03125</c:v>
                </c:pt>
                <c:pt idx="76">
                  <c:v>843.12499999999989</c:v>
                </c:pt>
                <c:pt idx="77">
                  <c:v>854.21875</c:v>
                </c:pt>
                <c:pt idx="78">
                  <c:v>865.3125</c:v>
                </c:pt>
                <c:pt idx="79">
                  <c:v>876.40624999999989</c:v>
                </c:pt>
                <c:pt idx="80">
                  <c:v>887.5</c:v>
                </c:pt>
                <c:pt idx="81">
                  <c:v>898.59375000000011</c:v>
                </c:pt>
                <c:pt idx="82">
                  <c:v>909.68749999999989</c:v>
                </c:pt>
                <c:pt idx="83">
                  <c:v>920.78124999999989</c:v>
                </c:pt>
                <c:pt idx="84">
                  <c:v>931.875</c:v>
                </c:pt>
                <c:pt idx="85">
                  <c:v>942.96874999999989</c:v>
                </c:pt>
                <c:pt idx="86">
                  <c:v>954.06249999999989</c:v>
                </c:pt>
                <c:pt idx="87">
                  <c:v>965.15624999999977</c:v>
                </c:pt>
                <c:pt idx="88">
                  <c:v>976.25000000000011</c:v>
                </c:pt>
                <c:pt idx="89">
                  <c:v>987.34375</c:v>
                </c:pt>
                <c:pt idx="90">
                  <c:v>998.4375</c:v>
                </c:pt>
                <c:pt idx="91">
                  <c:v>1009.53125</c:v>
                </c:pt>
                <c:pt idx="92">
                  <c:v>1020.6250000000001</c:v>
                </c:pt>
                <c:pt idx="93">
                  <c:v>1031.71875</c:v>
                </c:pt>
                <c:pt idx="94">
                  <c:v>1042.8124999999998</c:v>
                </c:pt>
                <c:pt idx="95">
                  <c:v>1053.90625</c:v>
                </c:pt>
                <c:pt idx="96">
                  <c:v>1065</c:v>
                </c:pt>
                <c:pt idx="97">
                  <c:v>1076.0937499999998</c:v>
                </c:pt>
                <c:pt idx="98">
                  <c:v>1087.1875</c:v>
                </c:pt>
                <c:pt idx="99">
                  <c:v>1098.2812499999998</c:v>
                </c:pt>
                <c:pt idx="100">
                  <c:v>1109.375</c:v>
                </c:pt>
              </c:numCache>
            </c:numRef>
          </c:val>
          <c:smooth val="0"/>
          <c:extLst>
            <c:ext xmlns:c16="http://schemas.microsoft.com/office/drawing/2014/chart" uri="{C3380CC4-5D6E-409C-BE32-E72D297353CC}">
              <c16:uniqueId val="{00000001-1E04-4A6B-B26C-C435E097FB7E}"/>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val>
            <c:numRef>
              <c:f>'Calculations - Single'!$BM$5:$BM$105</c:f>
              <c:numCache>
                <c:formatCode>0.0000</c:formatCode>
                <c:ptCount val="101"/>
                <c:pt idx="0">
                  <c:v>8.7357659262096626E-2</c:v>
                </c:pt>
                <c:pt idx="1">
                  <c:v>8.7378140690773168E-2</c:v>
                </c:pt>
                <c:pt idx="2">
                  <c:v>9.3272002815161223E-2</c:v>
                </c:pt>
                <c:pt idx="3">
                  <c:v>0.13997979296464996</c:v>
                </c:pt>
                <c:pt idx="4">
                  <c:v>0.18673554055464309</c:v>
                </c:pt>
                <c:pt idx="5">
                  <c:v>0.23353931948386578</c:v>
                </c:pt>
                <c:pt idx="6">
                  <c:v>0.28039120380295079</c:v>
                </c:pt>
                <c:pt idx="7">
                  <c:v>0.32729126771482914</c:v>
                </c:pt>
                <c:pt idx="8">
                  <c:v>0.3742395855751221</c:v>
                </c:pt>
                <c:pt idx="9">
                  <c:v>0.42123623189253334</c:v>
                </c:pt>
                <c:pt idx="10">
                  <c:v>0.46828128132924407</c:v>
                </c:pt>
                <c:pt idx="11">
                  <c:v>0.51537480870130725</c:v>
                </c:pt>
                <c:pt idx="12">
                  <c:v>0.56251688897904617</c:v>
                </c:pt>
                <c:pt idx="13">
                  <c:v>0.60970759728744939</c:v>
                </c:pt>
                <c:pt idx="14">
                  <c:v>0.65694700890657254</c:v>
                </c:pt>
                <c:pt idx="15">
                  <c:v>0.70423519927193734</c:v>
                </c:pt>
                <c:pt idx="16">
                  <c:v>0.75157224397493283</c:v>
                </c:pt>
                <c:pt idx="17">
                  <c:v>0.79895821876321871</c:v>
                </c:pt>
                <c:pt idx="18">
                  <c:v>0.84639319954112979</c:v>
                </c:pt>
                <c:pt idx="19">
                  <c:v>0.89387726237008014</c:v>
                </c:pt>
                <c:pt idx="20">
                  <c:v>0.94141048346897072</c:v>
                </c:pt>
                <c:pt idx="21">
                  <c:v>0.9889929392145963</c:v>
                </c:pt>
                <c:pt idx="22">
                  <c:v>1.0366247061420548</c:v>
                </c:pt>
                <c:pt idx="23">
                  <c:v>1.0843058609451592</c:v>
                </c:pt>
                <c:pt idx="24">
                  <c:v>1.1320364804768459</c:v>
                </c:pt>
                <c:pt idx="25">
                  <c:v>1.1798166417495901</c:v>
                </c:pt>
                <c:pt idx="26">
                  <c:v>1.2276464219358201</c:v>
                </c:pt>
                <c:pt idx="27">
                  <c:v>1.2755258983683315</c:v>
                </c:pt>
                <c:pt idx="28">
                  <c:v>1.3234551485407045</c:v>
                </c:pt>
                <c:pt idx="29">
                  <c:v>1.3714342501077219</c:v>
                </c:pt>
                <c:pt idx="30">
                  <c:v>1.4194632808857894</c:v>
                </c:pt>
                <c:pt idx="31">
                  <c:v>1.4675423188533543</c:v>
                </c:pt>
                <c:pt idx="32">
                  <c:v>1.5156714421513302</c:v>
                </c:pt>
                <c:pt idx="33">
                  <c:v>1.5638507290835175</c:v>
                </c:pt>
                <c:pt idx="34">
                  <c:v>1.6120802581170297</c:v>
                </c:pt>
                <c:pt idx="35">
                  <c:v>1.6603601078827206</c:v>
                </c:pt>
                <c:pt idx="36">
                  <c:v>1.7086903571756071</c:v>
                </c:pt>
                <c:pt idx="37">
                  <c:v>1.7570710849553042</c:v>
                </c:pt>
                <c:pt idx="38">
                  <c:v>1.8055023703464492</c:v>
                </c:pt>
                <c:pt idx="39">
                  <c:v>1.7606871984369536</c:v>
                </c:pt>
                <c:pt idx="40">
                  <c:v>1.7682535147463954</c:v>
                </c:pt>
                <c:pt idx="41">
                  <c:v>1.7760174134019657</c:v>
                </c:pt>
                <c:pt idx="42">
                  <c:v>1.7839821086909822</c:v>
                </c:pt>
                <c:pt idx="43">
                  <c:v>1.792149619713288</c:v>
                </c:pt>
                <c:pt idx="44">
                  <c:v>1.8005219520369111</c:v>
                </c:pt>
                <c:pt idx="45">
                  <c:v>1.8091011041603093</c:v>
                </c:pt>
                <c:pt idx="46">
                  <c:v>1.8178890732680648</c:v>
                </c:pt>
                <c:pt idx="47">
                  <c:v>1.8268878603847634</c:v>
                </c:pt>
                <c:pt idx="48">
                  <c:v>1.8360994750151471</c:v>
                </c:pt>
                <c:pt idx="49">
                  <c:v>1.8455259393449017</c:v>
                </c:pt>
                <c:pt idx="50">
                  <c:v>1.8551692920651093</c:v>
                </c:pt>
                <c:pt idx="51">
                  <c:v>1.8650315918739968</c:v>
                </c:pt>
                <c:pt idx="52">
                  <c:v>1.8751149207017805</c:v>
                </c:pt>
                <c:pt idx="53">
                  <c:v>1.8854213866978728</c:v>
                </c:pt>
                <c:pt idx="54">
                  <c:v>1.8959531270142291</c:v>
                </c:pt>
                <c:pt idx="55">
                  <c:v>1.9067123104139985</c:v>
                </c:pt>
                <c:pt idx="56">
                  <c:v>1.9177011397307655</c:v>
                </c:pt>
                <c:pt idx="57">
                  <c:v>1.928921854200373</c:v>
                </c:pt>
                <c:pt idx="58">
                  <c:v>1.9403767316845311</c:v>
                </c:pt>
                <c:pt idx="59">
                  <c:v>1.9520680908030354</c:v>
                </c:pt>
                <c:pt idx="60">
                  <c:v>1.9639982929894235</c:v>
                </c:pt>
                <c:pt idx="61">
                  <c:v>1.9761697444831374</c:v>
                </c:pt>
                <c:pt idx="62">
                  <c:v>1.9885848982698247</c:v>
                </c:pt>
                <c:pt idx="63">
                  <c:v>2.0012462559801207</c:v>
                </c:pt>
                <c:pt idx="64">
                  <c:v>2.0141563697561673</c:v>
                </c:pt>
                <c:pt idx="65">
                  <c:v>2.0273178440942337</c:v>
                </c:pt>
                <c:pt idx="66">
                  <c:v>2.0407333376709405</c:v>
                </c:pt>
                <c:pt idx="67">
                  <c:v>2.0544055651599655</c:v>
                </c:pt>
                <c:pt idx="68">
                  <c:v>2.0683372990454707</c:v>
                </c:pt>
                <c:pt idx="69">
                  <c:v>2.0825313714380265</c:v>
                </c:pt>
                <c:pt idx="70">
                  <c:v>2.0969906758983226</c:v>
                </c:pt>
                <c:pt idx="71">
                  <c:v>2.1117181692736398</c:v>
                </c:pt>
                <c:pt idx="72">
                  <c:v>2.1267168735516861</c:v>
                </c:pt>
                <c:pt idx="73">
                  <c:v>2.1419898777361919</c:v>
                </c:pt>
                <c:pt idx="74">
                  <c:v>2.157540339748349</c:v>
                </c:pt>
                <c:pt idx="75">
                  <c:v>2.1733714883580957</c:v>
                </c:pt>
                <c:pt idx="76">
                  <c:v>2.1894866251489824</c:v>
                </c:pt>
                <c:pt idx="77">
                  <c:v>2.2058891265203044</c:v>
                </c:pt>
                <c:pt idx="78">
                  <c:v>2.2225824457300587</c:v>
                </c:pt>
                <c:pt idx="79">
                  <c:v>2.2395701149821869</c:v>
                </c:pt>
                <c:pt idx="80">
                  <c:v>2.2568557475615521</c:v>
                </c:pt>
                <c:pt idx="81">
                  <c:v>2.274443040020004</c:v>
                </c:pt>
                <c:pt idx="82">
                  <c:v>2.292335774416931</c:v>
                </c:pt>
                <c:pt idx="83">
                  <c:v>2.3105378206176361</c:v>
                </c:pt>
                <c:pt idx="84">
                  <c:v>2.3290531386529123</c:v>
                </c:pt>
                <c:pt idx="85">
                  <c:v>2.3478857811432441</c:v>
                </c:pt>
                <c:pt idx="86">
                  <c:v>2.3670398957910379</c:v>
                </c:pt>
                <c:pt idx="87">
                  <c:v>2.3865197279444001</c:v>
                </c:pt>
                <c:pt idx="88">
                  <c:v>2.4063296232360112</c:v>
                </c:pt>
                <c:pt idx="89">
                  <c:v>2.4264740303007293</c:v>
                </c:pt>
                <c:pt idx="90">
                  <c:v>2.4469575035756428</c:v>
                </c:pt>
                <c:pt idx="91">
                  <c:v>2.4677847061864009</c:v>
                </c:pt>
                <c:pt idx="92">
                  <c:v>2.4889604129237419</c:v>
                </c:pt>
                <c:pt idx="93">
                  <c:v>2.5104895133142882</c:v>
                </c:pt>
                <c:pt idx="94">
                  <c:v>2.5323770147897786</c:v>
                </c:pt>
                <c:pt idx="95">
                  <c:v>2.5546280459590833</c:v>
                </c:pt>
                <c:pt idx="96">
                  <c:v>2.5772478599874735</c:v>
                </c:pt>
                <c:pt idx="97">
                  <c:v>2.6002418380878094</c:v>
                </c:pt>
                <c:pt idx="98">
                  <c:v>2.6236154931284905</c:v>
                </c:pt>
                <c:pt idx="99">
                  <c:v>2.6473744733631608</c:v>
                </c:pt>
                <c:pt idx="100">
                  <c:v>2.6715245662874314</c:v>
                </c:pt>
              </c:numCache>
            </c:numRef>
          </c:val>
          <c:smooth val="0"/>
          <c:extLst>
            <c:ext xmlns:c16="http://schemas.microsoft.com/office/drawing/2014/chart" uri="{C3380CC4-5D6E-409C-BE32-E72D297353CC}">
              <c16:uniqueId val="{00000002-1E04-4A6B-B26C-C435E097FB7E}"/>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val>
            <c:numRef>
              <c:f>'Calculations - Single'!$BX$5:$BX$105</c:f>
              <c:numCache>
                <c:formatCode>0.0</c:formatCode>
                <c:ptCount val="101"/>
                <c:pt idx="0">
                  <c:v>40.438135993020772</c:v>
                </c:pt>
                <c:pt idx="1">
                  <c:v>53.222579539945478</c:v>
                </c:pt>
                <c:pt idx="2">
                  <c:v>66.248550495818591</c:v>
                </c:pt>
                <c:pt idx="3">
                  <c:v>80.960878264659712</c:v>
                </c:pt>
                <c:pt idx="4">
                  <c:v>95.674586937709222</c:v>
                </c:pt>
                <c:pt idx="5">
                  <c:v>110.38967672570207</c:v>
                </c:pt>
                <c:pt idx="6">
                  <c:v>125.1061478394159</c:v>
                </c:pt>
                <c:pt idx="7">
                  <c:v>139.82400048967131</c:v>
                </c:pt>
                <c:pt idx="8">
                  <c:v>154.54323488733183</c:v>
                </c:pt>
                <c:pt idx="9">
                  <c:v>169.26385124330392</c:v>
                </c:pt>
                <c:pt idx="10">
                  <c:v>183.98584976853687</c:v>
                </c:pt>
                <c:pt idx="11">
                  <c:v>198.7092306740229</c:v>
                </c:pt>
                <c:pt idx="12">
                  <c:v>213.43399417079735</c:v>
                </c:pt>
                <c:pt idx="13">
                  <c:v>228.16014046993834</c:v>
                </c:pt>
                <c:pt idx="14">
                  <c:v>242.88766978256703</c:v>
                </c:pt>
                <c:pt idx="15">
                  <c:v>257.61658231984762</c:v>
                </c:pt>
                <c:pt idx="16">
                  <c:v>272.34687829298707</c:v>
                </c:pt>
                <c:pt idx="17">
                  <c:v>287.07855791323573</c:v>
                </c:pt>
                <c:pt idx="18">
                  <c:v>301.81162139188655</c:v>
                </c:pt>
                <c:pt idx="19">
                  <c:v>316.54606894027575</c:v>
                </c:pt>
                <c:pt idx="20">
                  <c:v>331.28190076978268</c:v>
                </c:pt>
                <c:pt idx="21">
                  <c:v>346.01911709182923</c:v>
                </c:pt>
                <c:pt idx="22">
                  <c:v>360.75771811788115</c:v>
                </c:pt>
                <c:pt idx="23">
                  <c:v>375.49770405944651</c:v>
                </c:pt>
                <c:pt idx="24">
                  <c:v>390.23907512807671</c:v>
                </c:pt>
                <c:pt idx="25">
                  <c:v>404.98183153536644</c:v>
                </c:pt>
                <c:pt idx="26">
                  <c:v>419.72597349295324</c:v>
                </c:pt>
                <c:pt idx="27">
                  <c:v>434.47150121251804</c:v>
                </c:pt>
                <c:pt idx="28">
                  <c:v>449.21841490578436</c:v>
                </c:pt>
                <c:pt idx="29">
                  <c:v>463.96671478451947</c:v>
                </c:pt>
                <c:pt idx="30">
                  <c:v>478.71640106053354</c:v>
                </c:pt>
                <c:pt idx="31">
                  <c:v>493.46747394567967</c:v>
                </c:pt>
                <c:pt idx="32">
                  <c:v>508.21993365185449</c:v>
                </c:pt>
                <c:pt idx="33">
                  <c:v>522.9737803909976</c:v>
                </c:pt>
                <c:pt idx="34">
                  <c:v>537.72901437509177</c:v>
                </c:pt>
                <c:pt idx="35">
                  <c:v>552.48563581616304</c:v>
                </c:pt>
                <c:pt idx="36">
                  <c:v>567.24364492628081</c:v>
                </c:pt>
                <c:pt idx="37">
                  <c:v>582.00304191755731</c:v>
                </c:pt>
                <c:pt idx="38">
                  <c:v>596.76382700214833</c:v>
                </c:pt>
                <c:pt idx="39">
                  <c:v>608.17205152555437</c:v>
                </c:pt>
                <c:pt idx="40">
                  <c:v>625.74042741533549</c:v>
                </c:pt>
                <c:pt idx="41">
                  <c:v>643.41044306762831</c:v>
                </c:pt>
                <c:pt idx="42">
                  <c:v>661.18189186321126</c:v>
                </c:pt>
                <c:pt idx="43">
                  <c:v>679.05515377738857</c:v>
                </c:pt>
                <c:pt idx="44">
                  <c:v>697.03061342682281</c:v>
                </c:pt>
                <c:pt idx="45">
                  <c:v>715.10866003389185</c:v>
                </c:pt>
                <c:pt idx="46">
                  <c:v>733.28968739957941</c:v>
                </c:pt>
                <c:pt idx="47">
                  <c:v>751.57409388374094</c:v>
                </c:pt>
                <c:pt idx="48">
                  <c:v>769.96228239177879</c:v>
                </c:pt>
                <c:pt idx="49">
                  <c:v>788.45466036690198</c:v>
                </c:pt>
                <c:pt idx="50">
                  <c:v>807.0516397872874</c:v>
                </c:pt>
                <c:pt idx="51">
                  <c:v>825.75363716754907</c:v>
                </c:pt>
                <c:pt idx="52">
                  <c:v>844.56107356402197</c:v>
                </c:pt>
                <c:pt idx="53">
                  <c:v>863.47437458343461</c:v>
                </c:pt>
                <c:pt idx="54">
                  <c:v>882.4939703946078</c:v>
                </c:pt>
                <c:pt idx="55">
                  <c:v>901.62029574286453</c:v>
                </c:pt>
                <c:pt idx="56">
                  <c:v>920.85378996688996</c:v>
                </c:pt>
                <c:pt idx="57">
                  <c:v>940.19489701780401</c:v>
                </c:pt>
                <c:pt idx="58">
                  <c:v>959.64406548025408</c:v>
                </c:pt>
                <c:pt idx="59">
                  <c:v>979.20174859534859</c:v>
                </c:pt>
                <c:pt idx="60">
                  <c:v>998.86840428529274</c:v>
                </c:pt>
                <c:pt idx="61">
                  <c:v>1018.6444951795852</c:v>
                </c:pt>
                <c:pt idx="62">
                  <c:v>1038.5304886426743</c:v>
                </c:pt>
                <c:pt idx="63">
                  <c:v>1058.526856802969</c:v>
                </c:pt>
                <c:pt idx="64">
                  <c:v>1078.6340765831224</c:v>
                </c:pt>
                <c:pt idx="65">
                  <c:v>1098.8526297315152</c:v>
                </c:pt>
                <c:pt idx="66">
                  <c:v>1119.1830028548727</c:v>
                </c:pt>
                <c:pt idx="67">
                  <c:v>1139.6256874519595</c:v>
                </c:pt>
                <c:pt idx="68">
                  <c:v>1160.181179948303</c:v>
                </c:pt>
                <c:pt idx="69">
                  <c:v>1180.8499817319066</c:v>
                </c:pt>
                <c:pt idx="70">
                  <c:v>1201.6325991899105</c:v>
                </c:pt>
                <c:pt idx="71">
                  <c:v>1222.5295437461691</c:v>
                </c:pt>
                <c:pt idx="72">
                  <c:v>1243.5413318997248</c:v>
                </c:pt>
                <c:pt idx="73">
                  <c:v>1264.6684852641417</c:v>
                </c:pt>
                <c:pt idx="74">
                  <c:v>1285.9115306076883</c:v>
                </c:pt>
                <c:pt idx="75">
                  <c:v>1307.2709998943508</c:v>
                </c:pt>
                <c:pt idx="76">
                  <c:v>1328.7474303256581</c:v>
                </c:pt>
                <c:pt idx="77">
                  <c:v>1350.3413643833069</c:v>
                </c:pt>
                <c:pt idx="78">
                  <c:v>1372.053349872582</c:v>
                </c:pt>
                <c:pt idx="79">
                  <c:v>1393.8839399665567</c:v>
                </c:pt>
                <c:pt idx="80">
                  <c:v>1415.8336932510706</c:v>
                </c:pt>
                <c:pt idx="81">
                  <c:v>1437.9031737704784</c:v>
                </c:pt>
                <c:pt idx="82">
                  <c:v>1460.0929510741644</c:v>
                </c:pt>
                <c:pt idx="83">
                  <c:v>1482.4036002638286</c:v>
                </c:pt>
                <c:pt idx="84">
                  <c:v>1504.8357020415251</c:v>
                </c:pt>
                <c:pt idx="85">
                  <c:v>1527.3898427584777</c:v>
                </c:pt>
                <c:pt idx="86">
                  <c:v>1550.0666144646482</c:v>
                </c:pt>
                <c:pt idx="87">
                  <c:v>1572.8666149590795</c:v>
                </c:pt>
                <c:pt idx="88">
                  <c:v>1595.7904478409994</c:v>
                </c:pt>
                <c:pt idx="89">
                  <c:v>1618.8387225617037</c:v>
                </c:pt>
                <c:pt idx="90">
                  <c:v>1642.0120544772099</c:v>
                </c:pt>
                <c:pt idx="91">
                  <c:v>1665.3110649016915</c:v>
                </c:pt>
                <c:pt idx="92">
                  <c:v>1688.7363811616985</c:v>
                </c:pt>
                <c:pt idx="93">
                  <c:v>1712.288636651168</c:v>
                </c:pt>
                <c:pt idx="94">
                  <c:v>1735.9684708872353</c:v>
                </c:pt>
                <c:pt idx="95">
                  <c:v>1759.7765295668414</c:v>
                </c:pt>
                <c:pt idx="96">
                  <c:v>1783.7134646241605</c:v>
                </c:pt>
                <c:pt idx="97">
                  <c:v>1807.7799342888368</c:v>
                </c:pt>
                <c:pt idx="98">
                  <c:v>1831.9766031450583</c:v>
                </c:pt>
                <c:pt idx="99">
                  <c:v>1856.3041421914572</c:v>
                </c:pt>
                <c:pt idx="100">
                  <c:v>1880.7632289018563</c:v>
                </c:pt>
              </c:numCache>
            </c:numRef>
          </c:val>
          <c:smooth val="0"/>
          <c:extLst>
            <c:ext xmlns:c16="http://schemas.microsoft.com/office/drawing/2014/chart" uri="{C3380CC4-5D6E-409C-BE32-E72D297353CC}">
              <c16:uniqueId val="{00000003-1E04-4A6B-B26C-C435E097FB7E}"/>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81.768094956951529</c:v>
                </c:pt>
                <c:pt idx="1">
                  <c:v>80.969918025070072</c:v>
                </c:pt>
                <c:pt idx="2">
                  <c:v>80.171473696399545</c:v>
                </c:pt>
                <c:pt idx="3">
                  <c:v>79.372785191957448</c:v>
                </c:pt>
                <c:pt idx="4">
                  <c:v>78.574393307449199</c:v>
                </c:pt>
                <c:pt idx="5">
                  <c:v>77.774984028255801</c:v>
                </c:pt>
                <c:pt idx="6">
                  <c:v>76.975703399655998</c:v>
                </c:pt>
                <c:pt idx="7">
                  <c:v>76.176032506721029</c:v>
                </c:pt>
                <c:pt idx="8">
                  <c:v>75.376559228850311</c:v>
                </c:pt>
                <c:pt idx="9">
                  <c:v>74.576680497954243</c:v>
                </c:pt>
                <c:pt idx="10">
                  <c:v>73.776855716966281</c:v>
                </c:pt>
                <c:pt idx="11">
                  <c:v>72.976967768268054</c:v>
                </c:pt>
                <c:pt idx="12">
                  <c:v>72.176587177477131</c:v>
                </c:pt>
                <c:pt idx="13">
                  <c:v>71.376473452398542</c:v>
                </c:pt>
                <c:pt idx="14">
                  <c:v>70.575974958711271</c:v>
                </c:pt>
                <c:pt idx="15">
                  <c:v>69.775382479575711</c:v>
                </c:pt>
                <c:pt idx="16">
                  <c:v>68.974609673992944</c:v>
                </c:pt>
                <c:pt idx="17">
                  <c:v>68.173743051447659</c:v>
                </c:pt>
                <c:pt idx="18">
                  <c:v>67.372516032704922</c:v>
                </c:pt>
                <c:pt idx="19">
                  <c:v>66.571102057990913</c:v>
                </c:pt>
                <c:pt idx="20">
                  <c:v>65.769290241912046</c:v>
                </c:pt>
                <c:pt idx="21">
                  <c:v>64.967182176292212</c:v>
                </c:pt>
                <c:pt idx="22">
                  <c:v>64.164531807460477</c:v>
                </c:pt>
                <c:pt idx="23">
                  <c:v>63.361448048652775</c:v>
                </c:pt>
                <c:pt idx="24">
                  <c:v>62.557619054205787</c:v>
                </c:pt>
                <c:pt idx="25">
                  <c:v>61.753040643438659</c:v>
                </c:pt>
                <c:pt idx="26">
                  <c:v>60.947371619398758</c:v>
                </c:pt>
                <c:pt idx="27">
                  <c:v>60.140685210281781</c:v>
                </c:pt>
                <c:pt idx="28">
                  <c:v>59.33273223714879</c:v>
                </c:pt>
                <c:pt idx="29">
                  <c:v>58.523757056717677</c:v>
                </c:pt>
                <c:pt idx="30">
                  <c:v>57.71208310391458</c:v>
                </c:pt>
                <c:pt idx="31">
                  <c:v>56.898478194848479</c:v>
                </c:pt>
                <c:pt idx="32">
                  <c:v>56.081959717453429</c:v>
                </c:pt>
                <c:pt idx="33">
                  <c:v>55.262602657284816</c:v>
                </c:pt>
                <c:pt idx="34">
                  <c:v>54.439180013923441</c:v>
                </c:pt>
                <c:pt idx="35">
                  <c:v>53.611459264865964</c:v>
                </c:pt>
                <c:pt idx="36">
                  <c:v>52.778508563560464</c:v>
                </c:pt>
                <c:pt idx="37">
                  <c:v>51.93894493092067</c:v>
                </c:pt>
                <c:pt idx="38">
                  <c:v>51.092503919982121</c:v>
                </c:pt>
                <c:pt idx="39">
                  <c:v>50.23730087346091</c:v>
                </c:pt>
                <c:pt idx="40">
                  <c:v>49.372309889526704</c:v>
                </c:pt>
                <c:pt idx="41">
                  <c:v>48.495975698454885</c:v>
                </c:pt>
                <c:pt idx="42">
                  <c:v>47.60682146410673</c:v>
                </c:pt>
                <c:pt idx="43">
                  <c:v>46.702898307182679</c:v>
                </c:pt>
                <c:pt idx="44">
                  <c:v>45.78272009059296</c:v>
                </c:pt>
                <c:pt idx="45">
                  <c:v>44.844405688442883</c:v>
                </c:pt>
                <c:pt idx="46">
                  <c:v>43.886568003800051</c:v>
                </c:pt>
                <c:pt idx="47">
                  <c:v>42.907650205220698</c:v>
                </c:pt>
                <c:pt idx="48">
                  <c:v>41.906892751616411</c:v>
                </c:pt>
                <c:pt idx="49">
                  <c:v>40.883516696477322</c:v>
                </c:pt>
                <c:pt idx="50">
                  <c:v>39.837753673475618</c:v>
                </c:pt>
                <c:pt idx="51">
                  <c:v>38.770134839817239</c:v>
                </c:pt>
                <c:pt idx="52">
                  <c:v>37.682550247839742</c:v>
                </c:pt>
                <c:pt idx="53">
                  <c:v>36.577308919132363</c:v>
                </c:pt>
                <c:pt idx="54">
                  <c:v>35.45821597673369</c:v>
                </c:pt>
                <c:pt idx="55">
                  <c:v>34.327136100166229</c:v>
                </c:pt>
                <c:pt idx="56">
                  <c:v>33.189915308743764</c:v>
                </c:pt>
                <c:pt idx="57">
                  <c:v>32.050379717771634</c:v>
                </c:pt>
                <c:pt idx="58">
                  <c:v>30.914032596152808</c:v>
                </c:pt>
                <c:pt idx="59">
                  <c:v>29.784557686337379</c:v>
                </c:pt>
                <c:pt idx="60">
                  <c:v>28.666800987301396</c:v>
                </c:pt>
                <c:pt idx="61">
                  <c:v>27.564256808295561</c:v>
                </c:pt>
                <c:pt idx="62">
                  <c:v>26.479333284454984</c:v>
                </c:pt>
                <c:pt idx="63">
                  <c:v>25.415288161765815</c:v>
                </c:pt>
                <c:pt idx="64">
                  <c:v>24.372691014135839</c:v>
                </c:pt>
                <c:pt idx="65">
                  <c:v>23.352610633277585</c:v>
                </c:pt>
                <c:pt idx="66">
                  <c:v>22.354932329103193</c:v>
                </c:pt>
                <c:pt idx="67">
                  <c:v>21.379179819786998</c:v>
                </c:pt>
                <c:pt idx="68">
                  <c:v>20.42399684007837</c:v>
                </c:pt>
                <c:pt idx="69">
                  <c:v>19.488236078465295</c:v>
                </c:pt>
                <c:pt idx="70">
                  <c:v>18.57009290888541</c:v>
                </c:pt>
                <c:pt idx="71">
                  <c:v>17.668029660945717</c:v>
                </c:pt>
                <c:pt idx="72">
                  <c:v>16.780106778200906</c:v>
                </c:pt>
                <c:pt idx="73">
                  <c:v>15.904839199501982</c:v>
                </c:pt>
                <c:pt idx="74">
                  <c:v>15.040386807020131</c:v>
                </c:pt>
                <c:pt idx="75">
                  <c:v>14.185383192417799</c:v>
                </c:pt>
                <c:pt idx="76">
                  <c:v>13.338259054112285</c:v>
                </c:pt>
                <c:pt idx="77">
                  <c:v>12.498046170057922</c:v>
                </c:pt>
                <c:pt idx="78">
                  <c:v>11.66360066951427</c:v>
                </c:pt>
                <c:pt idx="79">
                  <c:v>10.834446714485338</c:v>
                </c:pt>
                <c:pt idx="80">
                  <c:v>10.00830332298399</c:v>
                </c:pt>
                <c:pt idx="81">
                  <c:v>9.1855405982083695</c:v>
                </c:pt>
                <c:pt idx="82">
                  <c:v>8.3648893697309887</c:v>
                </c:pt>
                <c:pt idx="83">
                  <c:v>7.546285412361236</c:v>
                </c:pt>
                <c:pt idx="84">
                  <c:v>6.7284939751532438</c:v>
                </c:pt>
                <c:pt idx="85">
                  <c:v>5.9114017357885391</c:v>
                </c:pt>
                <c:pt idx="86">
                  <c:v>5.094322824021619</c:v>
                </c:pt>
                <c:pt idx="87">
                  <c:v>4.2762529831276836</c:v>
                </c:pt>
                <c:pt idx="88">
                  <c:v>3.4573873451540504</c:v>
                </c:pt>
                <c:pt idx="89">
                  <c:v>2.6364449491674002</c:v>
                </c:pt>
                <c:pt idx="90">
                  <c:v>1.813058320703371</c:v>
                </c:pt>
                <c:pt idx="91">
                  <c:v>0.98640430421199343</c:v>
                </c:pt>
                <c:pt idx="92">
                  <c:v>0.15574918896738582</c:v>
                </c:pt>
                <c:pt idx="93">
                  <c:v>-0.68011751568989176</c:v>
                </c:pt>
                <c:pt idx="94">
                  <c:v>-0.88991797219802837</c:v>
                </c:pt>
                <c:pt idx="95">
                  <c:v>-0.99561931944465554</c:v>
                </c:pt>
                <c:pt idx="96">
                  <c:v>-1.1002136181872593</c:v>
                </c:pt>
                <c:pt idx="97">
                  <c:v>-1.2061141250896641</c:v>
                </c:pt>
                <c:pt idx="98">
                  <c:v>-1.3109103416320997</c:v>
                </c:pt>
                <c:pt idx="99">
                  <c:v>-1.4170466779013438</c:v>
                </c:pt>
                <c:pt idx="100">
                  <c:v>-1.5220809898947809</c:v>
                </c:pt>
                <c:pt idx="101">
                  <c:v>-1.6284078288069543</c:v>
                </c:pt>
                <c:pt idx="102">
                  <c:v>-1.7336361191419682</c:v>
                </c:pt>
                <c:pt idx="103">
                  <c:v>-1.8402664276828407</c:v>
                </c:pt>
                <c:pt idx="104">
                  <c:v>-1.9457996284115167</c:v>
                </c:pt>
                <c:pt idx="105">
                  <c:v>-2.0526857609658271</c:v>
                </c:pt>
                <c:pt idx="106">
                  <c:v>-2.1584775038307757</c:v>
                </c:pt>
                <c:pt idx="107">
                  <c:v>-2.2655756146554693</c:v>
                </c:pt>
                <c:pt idx="108">
                  <c:v>-2.3715832420732283</c:v>
                </c:pt>
                <c:pt idx="109">
                  <c:v>-2.4789258025759238</c:v>
                </c:pt>
                <c:pt idx="110">
                  <c:v>-2.5851814256695378</c:v>
                </c:pt>
                <c:pt idx="111">
                  <c:v>-2.6928697443692506</c:v>
                </c:pt>
                <c:pt idx="112">
                  <c:v>-2.7994729517127466</c:v>
                </c:pt>
                <c:pt idx="113">
                  <c:v>-2.9074608185422419</c:v>
                </c:pt>
                <c:pt idx="114">
                  <c:v>-3.0143666609198849</c:v>
                </c:pt>
                <c:pt idx="115">
                  <c:v>-3.1226800561685932</c:v>
                </c:pt>
                <c:pt idx="116">
                  <c:v>-3.2299143315154923</c:v>
                </c:pt>
                <c:pt idx="117">
                  <c:v>-3.3385774099162195</c:v>
                </c:pt>
                <c:pt idx="118">
                  <c:v>-3.4461641412197079</c:v>
                </c:pt>
                <c:pt idx="119">
                  <c:v>-3.5551336486869416</c:v>
                </c:pt>
                <c:pt idx="120">
                  <c:v>-3.6630307814279712</c:v>
                </c:pt>
                <c:pt idx="121">
                  <c:v>-3.7723315754608584</c:v>
                </c:pt>
                <c:pt idx="122">
                  <c:v>-3.8805638260943702</c:v>
                </c:pt>
                <c:pt idx="123">
                  <c:v>-3.9902824426740779</c:v>
                </c:pt>
                <c:pt idx="124">
                  <c:v>-4.0989350297355864</c:v>
                </c:pt>
                <c:pt idx="125">
                  <c:v>-4.2090277365143907</c:v>
                </c:pt>
                <c:pt idx="126">
                  <c:v>-4.318058148355405</c:v>
                </c:pt>
                <c:pt idx="127">
                  <c:v>-4.4285457102267518</c:v>
                </c:pt>
                <c:pt idx="128">
                  <c:v>-4.537974684300468</c:v>
                </c:pt>
                <c:pt idx="129">
                  <c:v>-4.6488767397760986</c:v>
                </c:pt>
                <c:pt idx="130">
                  <c:v>-4.758723918098231</c:v>
                </c:pt>
                <c:pt idx="131">
                  <c:v>-4.8700591003370421</c:v>
                </c:pt>
                <c:pt idx="132">
                  <c:v>-4.9253308955205517</c:v>
                </c:pt>
                <c:pt idx="133">
                  <c:v>-4.9803431468985684</c:v>
                </c:pt>
                <c:pt idx="134">
                  <c:v>-5.0363975747275225</c:v>
                </c:pt>
                <c:pt idx="135">
                  <c:v>-5.0921866340807931</c:v>
                </c:pt>
                <c:pt idx="136">
                  <c:v>-5.1477136059742108</c:v>
                </c:pt>
                <c:pt idx="137">
                  <c:v>-5.2029817134126581</c:v>
                </c:pt>
                <c:pt idx="138">
                  <c:v>-5.2592401703539036</c:v>
                </c:pt>
                <c:pt idx="139">
                  <c:v>-5.3152345134774768</c:v>
                </c:pt>
                <c:pt idx="140">
                  <c:v>-5.3709680105660098</c:v>
                </c:pt>
                <c:pt idx="141">
                  <c:v>-5.42644387154904</c:v>
                </c:pt>
                <c:pt idx="142">
                  <c:v>-5.4829716741981427</c:v>
                </c:pt>
                <c:pt idx="143">
                  <c:v>-5.5392361046177694</c:v>
                </c:pt>
                <c:pt idx="144">
                  <c:v>-5.5952404266503306</c:v>
                </c:pt>
                <c:pt idx="145">
                  <c:v>-5.6509878462145906</c:v>
                </c:pt>
                <c:pt idx="146">
                  <c:v>-5.7077639923586521</c:v>
                </c:pt>
                <c:pt idx="147">
                  <c:v>-5.7642778063847198</c:v>
                </c:pt>
                <c:pt idx="148">
                  <c:v>-5.8205325424212928</c:v>
                </c:pt>
                <c:pt idx="149">
                  <c:v>-5.8765313967288515</c:v>
                </c:pt>
                <c:pt idx="150">
                  <c:v>-5.9335634717502383</c:v>
                </c:pt>
                <c:pt idx="151">
                  <c:v>-5.9903342846360985</c:v>
                </c:pt>
                <c:pt idx="152">
                  <c:v>-6.046847078941104</c:v>
                </c:pt>
                <c:pt idx="153">
                  <c:v>-6.1031050404179936</c:v>
                </c:pt>
                <c:pt idx="154">
                  <c:v>-6.160426705805099</c:v>
                </c:pt>
                <c:pt idx="155">
                  <c:v>-6.2174879731047259</c:v>
                </c:pt>
                <c:pt idx="156">
                  <c:v>-6.2742920787628966</c:v>
                </c:pt>
                <c:pt idx="157">
                  <c:v>-6.3308422013972763</c:v>
                </c:pt>
                <c:pt idx="158">
                  <c:v>-6.3884592043999948</c:v>
                </c:pt>
                <c:pt idx="159">
                  <c:v>-6.4458167254287773</c:v>
                </c:pt>
                <c:pt idx="160">
                  <c:v>-6.5029179924389755</c:v>
                </c:pt>
                <c:pt idx="161">
                  <c:v>-6.5597661755532233</c:v>
                </c:pt>
                <c:pt idx="162">
                  <c:v>-6.6176587895215269</c:v>
                </c:pt>
                <c:pt idx="163">
                  <c:v>-6.6752931152248696</c:v>
                </c:pt>
                <c:pt idx="164">
                  <c:v>-6.7326723664790968</c:v>
                </c:pt>
                <c:pt idx="165">
                  <c:v>-6.7897996993870446</c:v>
                </c:pt>
                <c:pt idx="166">
                  <c:v>-6.8480247071947158</c:v>
                </c:pt>
                <c:pt idx="167">
                  <c:v>-6.9059922150106061</c:v>
                </c:pt>
                <c:pt idx="168">
                  <c:v>-6.9637054295035163</c:v>
                </c:pt>
                <c:pt idx="169">
                  <c:v>-7.0211674995712627</c:v>
                </c:pt>
                <c:pt idx="170">
                  <c:v>-7.0796065902039151</c:v>
                </c:pt>
                <c:pt idx="171">
                  <c:v>-7.1377901048439982</c:v>
                </c:pt>
                <c:pt idx="172">
                  <c:v>-7.1957212212522261</c:v>
                </c:pt>
                <c:pt idx="173">
                  <c:v>-7.2534030598713546</c:v>
                </c:pt>
                <c:pt idx="174">
                  <c:v>-7.3122834866770292</c:v>
                </c:pt>
                <c:pt idx="175">
                  <c:v>-7.3709083716711365</c:v>
                </c:pt>
                <c:pt idx="176">
                  <c:v>-7.429280898175552</c:v>
                </c:pt>
                <c:pt idx="177">
                  <c:v>-7.4874041918093788</c:v>
                </c:pt>
                <c:pt idx="178">
                  <c:v>-7.546701454637792</c:v>
                </c:pt>
                <c:pt idx="179">
                  <c:v>-7.6057435396392208</c:v>
                </c:pt>
                <c:pt idx="180">
                  <c:v>-7.664533628809366</c:v>
                </c:pt>
                <c:pt idx="181">
                  <c:v>-7.7230748462086254</c:v>
                </c:pt>
                <c:pt idx="182">
                  <c:v>-7.7825336811307047</c:v>
                </c:pt>
                <c:pt idx="183">
                  <c:v>-7.8417399769919847</c:v>
                </c:pt>
                <c:pt idx="184">
                  <c:v>-7.9006968712530057</c:v>
                </c:pt>
                <c:pt idx="185">
                  <c:v>-7.9594074442424425</c:v>
                </c:pt>
                <c:pt idx="186">
                  <c:v>-8.0194763019148549</c:v>
                </c:pt>
                <c:pt idx="187">
                  <c:v>-8.0792915422766338</c:v>
                </c:pt>
                <c:pt idx="188">
                  <c:v>-8.138856326484655</c:v>
                </c:pt>
                <c:pt idx="189">
                  <c:v>-8.1981737577020581</c:v>
                </c:pt>
                <c:pt idx="190">
                  <c:v>-8.2583718761515907</c:v>
                </c:pt>
                <c:pt idx="191">
                  <c:v>-8.3183194394260536</c:v>
                </c:pt>
                <c:pt idx="192">
                  <c:v>-8.37801955435393</c:v>
                </c:pt>
                <c:pt idx="193">
                  <c:v>-8.4374752707976004</c:v>
                </c:pt>
                <c:pt idx="194">
                  <c:v>-8.4982387975049587</c:v>
                </c:pt>
                <c:pt idx="195">
                  <c:v>-8.5587512722644767</c:v>
                </c:pt>
                <c:pt idx="196">
                  <c:v>-8.6190158125857117</c:v>
                </c:pt>
                <c:pt idx="197">
                  <c:v>-8.6790354784451811</c:v>
                </c:pt>
                <c:pt idx="198">
                  <c:v>-8.7401195925579938</c:v>
                </c:pt>
                <c:pt idx="199">
                  <c:v>-8.8009542731462105</c:v>
                </c:pt>
                <c:pt idx="200">
                  <c:v>-8.8615426079625177</c:v>
                </c:pt>
                <c:pt idx="201">
                  <c:v>-8.9218876276408938</c:v>
                </c:pt>
                <c:pt idx="202">
                  <c:v>-8.9832776558106477</c:v>
                </c:pt>
                <c:pt idx="203">
                  <c:v>-9.044420044319736</c:v>
                </c:pt>
                <c:pt idx="204">
                  <c:v>-9.1053178467237927</c:v>
                </c:pt>
                <c:pt idx="205">
                  <c:v>-9.1659740599787973</c:v>
                </c:pt>
                <c:pt idx="206">
                  <c:v>-9.2278674099102993</c:v>
                </c:pt>
                <c:pt idx="207">
                  <c:v>-9.2895133913395238</c:v>
                </c:pt>
                <c:pt idx="208">
                  <c:v>-9.3509150503836196</c:v>
                </c:pt>
                <c:pt idx="209">
                  <c:v>-9.412075376413906</c:v>
                </c:pt>
                <c:pt idx="210">
                  <c:v>-9.4746573846569575</c:v>
                </c:pt>
                <c:pt idx="211">
                  <c:v>-9.5369909188683053</c:v>
                </c:pt>
                <c:pt idx="212">
                  <c:v>-9.5990790415740701</c:v>
                </c:pt>
                <c:pt idx="213">
                  <c:v>-9.6609247578062512</c:v>
                </c:pt>
                <c:pt idx="214">
                  <c:v>-9.7237566338867349</c:v>
                </c:pt>
                <c:pt idx="215">
                  <c:v>-9.786342480570914</c:v>
                </c:pt>
                <c:pt idx="216">
                  <c:v>-9.8486853099298912</c:v>
                </c:pt>
                <c:pt idx="217">
                  <c:v>-9.9107880774537875</c:v>
                </c:pt>
                <c:pt idx="218">
                  <c:v>-9.9740615568311259</c:v>
                </c:pt>
                <c:pt idx="219">
                  <c:v>-10.037089980691238</c:v>
                </c:pt>
                <c:pt idx="220">
                  <c:v>-10.099876336159401</c:v>
                </c:pt>
                <c:pt idx="221">
                  <c:v>-10.162423554056952</c:v>
                </c:pt>
                <c:pt idx="222">
                  <c:v>-10.226120937550307</c:v>
                </c:pt>
                <c:pt idx="223">
                  <c:v>-10.28957442222017</c:v>
                </c:pt>
                <c:pt idx="224">
                  <c:v>-10.352786965309242</c:v>
                </c:pt>
                <c:pt idx="225">
                  <c:v>-10.415761468158912</c:v>
                </c:pt>
                <c:pt idx="226">
                  <c:v>-10.480061394410924</c:v>
                </c:pt>
                <c:pt idx="227">
                  <c:v>-10.544117264678214</c:v>
                </c:pt>
                <c:pt idx="228">
                  <c:v>-10.607932028398485</c:v>
                </c:pt>
                <c:pt idx="229">
                  <c:v>-10.671508578957127</c:v>
                </c:pt>
                <c:pt idx="230">
                  <c:v>-10.801021569483796</c:v>
                </c:pt>
                <c:pt idx="231">
                  <c:v>-10.865415048052995</c:v>
                </c:pt>
                <c:pt idx="232">
                  <c:v>-10.929570373165822</c:v>
                </c:pt>
                <c:pt idx="233">
                  <c:v>-10.995004921282893</c:v>
                </c:pt>
                <c:pt idx="234">
                  <c:v>-11.060195807285924</c:v>
                </c:pt>
                <c:pt idx="235">
                  <c:v>-11.125145946455179</c:v>
                </c:pt>
                <c:pt idx="236">
                  <c:v>-11.189858198194287</c:v>
                </c:pt>
                <c:pt idx="237">
                  <c:v>-11.255641185769264</c:v>
                </c:pt>
                <c:pt idx="238">
                  <c:v>-11.321182376199603</c:v>
                </c:pt>
                <c:pt idx="239">
                  <c:v>-11.386484635156018</c:v>
                </c:pt>
                <c:pt idx="240">
                  <c:v>-11.451550773362534</c:v>
                </c:pt>
                <c:pt idx="241">
                  <c:v>-11.518038168514508</c:v>
                </c:pt>
                <c:pt idx="242">
                  <c:v>-11.584283030701698</c:v>
                </c:pt>
                <c:pt idx="243">
                  <c:v>-11.650288220275417</c:v>
                </c:pt>
                <c:pt idx="244">
                  <c:v>-11.716056542453369</c:v>
                </c:pt>
                <c:pt idx="245">
                  <c:v>-11.783040399359709</c:v>
                </c:pt>
                <c:pt idx="246">
                  <c:v>-11.849782530509605</c:v>
                </c:pt>
                <c:pt idx="247">
                  <c:v>-11.916285761717337</c:v>
                </c:pt>
                <c:pt idx="248">
                  <c:v>-11.982552864239542</c:v>
                </c:pt>
                <c:pt idx="249">
                  <c:v>-12.050194240630496</c:v>
                </c:pt>
                <c:pt idx="250">
                  <c:v>-12.117593546677867</c:v>
                </c:pt>
                <c:pt idx="251">
                  <c:v>-12.184753591866404</c:v>
                </c:pt>
                <c:pt idx="252">
                  <c:v>-12.251677131250764</c:v>
                </c:pt>
                <c:pt idx="253">
                  <c:v>-12.319775782666023</c:v>
                </c:pt>
                <c:pt idx="254">
                  <c:v>-12.387633450276997</c:v>
                </c:pt>
                <c:pt idx="255">
                  <c:v>-12.455252900561234</c:v>
                </c:pt>
                <c:pt idx="256">
                  <c:v>-12.522636846403392</c:v>
                </c:pt>
                <c:pt idx="257">
                  <c:v>-12.591524543542974</c:v>
                </c:pt>
                <c:pt idx="258">
                  <c:v>-12.66016999291379</c:v>
                </c:pt>
                <c:pt idx="259">
                  <c:v>-12.728575956452419</c:v>
                </c:pt>
                <c:pt idx="260">
                  <c:v>-12.796745142374714</c:v>
                </c:pt>
                <c:pt idx="261">
                  <c:v>-12.866221484801185</c:v>
                </c:pt>
                <c:pt idx="262">
                  <c:v>-12.935455728177644</c:v>
                </c:pt>
                <c:pt idx="263">
                  <c:v>-13.004450603775886</c:v>
                </c:pt>
                <c:pt idx="264">
                  <c:v>-13.073208789723367</c:v>
                </c:pt>
                <c:pt idx="265">
                  <c:v>-13.143253031922145</c:v>
                </c:pt>
                <c:pt idx="266">
                  <c:v>-13.21305544292116</c:v>
                </c:pt>
                <c:pt idx="267">
                  <c:v>-13.282618719675769</c:v>
                </c:pt>
                <c:pt idx="268">
                  <c:v>-13.351945506703069</c:v>
                </c:pt>
                <c:pt idx="269">
                  <c:v>-13.422704436056998</c:v>
                </c:pt>
                <c:pt idx="270">
                  <c:v>-13.493220764768326</c:v>
                </c:pt>
                <c:pt idx="271">
                  <c:v>-13.563497171098211</c:v>
                </c:pt>
                <c:pt idx="272">
                  <c:v>-13.633536281210606</c:v>
                </c:pt>
                <c:pt idx="273">
                  <c:v>-13.704984187869174</c:v>
                </c:pt>
                <c:pt idx="274">
                  <c:v>-13.776188879415397</c:v>
                </c:pt>
                <c:pt idx="275">
                  <c:v>-13.847153011127045</c:v>
                </c:pt>
                <c:pt idx="276">
                  <c:v>-13.917879186680747</c:v>
                </c:pt>
                <c:pt idx="277">
                  <c:v>-13.98982927619228</c:v>
                </c:pt>
                <c:pt idx="278">
                  <c:v>-14.061536761174089</c:v>
                </c:pt>
                <c:pt idx="279">
                  <c:v>-14.133004252686064</c:v>
                </c:pt>
                <c:pt idx="280">
                  <c:v>-14.204234311277673</c:v>
                </c:pt>
                <c:pt idx="281">
                  <c:v>-14.277149322406055</c:v>
                </c:pt>
                <c:pt idx="282">
                  <c:v>-14.349819180539319</c:v>
                </c:pt>
                <c:pt idx="283">
                  <c:v>-14.422246502020622</c:v>
                </c:pt>
                <c:pt idx="284">
                  <c:v>-14.494433852552941</c:v>
                </c:pt>
                <c:pt idx="285">
                  <c:v>-14.56780455519767</c:v>
                </c:pt>
                <c:pt idx="286">
                  <c:v>-14.640930933592596</c:v>
                </c:pt>
                <c:pt idx="287">
                  <c:v>-14.713815554326546</c:v>
                </c:pt>
                <c:pt idx="288">
                  <c:v>-14.786460934688838</c:v>
                </c:pt>
                <c:pt idx="289">
                  <c:v>-14.860739061320199</c:v>
                </c:pt>
                <c:pt idx="290">
                  <c:v>-14.934770626202781</c:v>
                </c:pt>
                <c:pt idx="291">
                  <c:v>-15.008558193611099</c:v>
                </c:pt>
                <c:pt idx="292">
                  <c:v>-15.082104278710368</c:v>
                </c:pt>
                <c:pt idx="293">
                  <c:v>-15.157102613632944</c:v>
                </c:pt>
                <c:pt idx="294">
                  <c:v>-15.231853350796868</c:v>
                </c:pt>
                <c:pt idx="295">
                  <c:v>-15.306359032483739</c:v>
                </c:pt>
                <c:pt idx="296">
                  <c:v>-15.380622152626607</c:v>
                </c:pt>
                <c:pt idx="297">
                  <c:v>-15.456314381387042</c:v>
                </c:pt>
                <c:pt idx="298">
                  <c:v>-15.531758092609829</c:v>
                </c:pt>
                <c:pt idx="299">
                  <c:v>-15.606955804426303</c:v>
                </c:pt>
                <c:pt idx="300">
                  <c:v>-15.68190998750609</c:v>
                </c:pt>
                <c:pt idx="301">
                  <c:v>-15.758270651784084</c:v>
                </c:pt>
                <c:pt idx="302">
                  <c:v>-15.834381982972943</c:v>
                </c:pt>
                <c:pt idx="303">
                  <c:v>-15.910246473498788</c:v>
                </c:pt>
                <c:pt idx="304">
                  <c:v>-15.985866569326097</c:v>
                </c:pt>
                <c:pt idx="305">
                  <c:v>-16.063166700369361</c:v>
                </c:pt>
                <c:pt idx="306">
                  <c:v>-16.140214859611032</c:v>
                </c:pt>
                <c:pt idx="307">
                  <c:v>-16.217013541090946</c:v>
                </c:pt>
                <c:pt idx="308">
                  <c:v>-16.293565192794851</c:v>
                </c:pt>
                <c:pt idx="309">
                  <c:v>-16.371477605729304</c:v>
                </c:pt>
                <c:pt idx="310">
                  <c:v>-16.449137484794878</c:v>
                </c:pt>
                <c:pt idx="311">
                  <c:v>-16.52654729536096</c:v>
                </c:pt>
                <c:pt idx="312">
                  <c:v>-16.603709457980322</c:v>
                </c:pt>
                <c:pt idx="313">
                  <c:v>-16.682499327063944</c:v>
                </c:pt>
                <c:pt idx="314">
                  <c:v>-16.761034323671165</c:v>
                </c:pt>
                <c:pt idx="315">
                  <c:v>-16.839316911442626</c:v>
                </c:pt>
                <c:pt idx="316">
                  <c:v>-16.91734950987901</c:v>
                </c:pt>
                <c:pt idx="317">
                  <c:v>-16.99698352035249</c:v>
                </c:pt>
                <c:pt idx="318">
                  <c:v>-17.076360491538264</c:v>
                </c:pt>
                <c:pt idx="319">
                  <c:v>-17.155482883960481</c:v>
                </c:pt>
                <c:pt idx="320">
                  <c:v>-17.2343531148165</c:v>
                </c:pt>
                <c:pt idx="321">
                  <c:v>-17.314798988380687</c:v>
                </c:pt>
                <c:pt idx="322">
                  <c:v>-17.394985822517132</c:v>
                </c:pt>
                <c:pt idx="323">
                  <c:v>-17.474916073901355</c:v>
                </c:pt>
                <c:pt idx="324">
                  <c:v>-17.554592156818853</c:v>
                </c:pt>
                <c:pt idx="325">
                  <c:v>-17.635818633818346</c:v>
                </c:pt>
                <c:pt idx="326">
                  <c:v>-17.716784235263042</c:v>
                </c:pt>
                <c:pt idx="327">
                  <c:v>-17.797491413885172</c:v>
                </c:pt>
                <c:pt idx="328">
                  <c:v>-17.877942581073768</c:v>
                </c:pt>
                <c:pt idx="329">
                  <c:v>-17.960056276815724</c:v>
                </c:pt>
                <c:pt idx="330">
                  <c:v>-18.041906550049013</c:v>
                </c:pt>
                <c:pt idx="331">
                  <c:v>-18.123495862288305</c:v>
                </c:pt>
                <c:pt idx="332">
                  <c:v>-18.204826634583732</c:v>
                </c:pt>
                <c:pt idx="333">
                  <c:v>-18.287657975475241</c:v>
                </c:pt>
                <c:pt idx="334">
                  <c:v>-18.370224417713523</c:v>
                </c:pt>
                <c:pt idx="335">
                  <c:v>-18.452528419973035</c:v>
                </c:pt>
                <c:pt idx="336">
                  <c:v>-18.534572401714023</c:v>
                </c:pt>
                <c:pt idx="337">
                  <c:v>-18.618360096750457</c:v>
                </c:pt>
                <c:pt idx="338">
                  <c:v>-18.701879888925859</c:v>
                </c:pt>
                <c:pt idx="339">
                  <c:v>-18.785134259282007</c:v>
                </c:pt>
                <c:pt idx="340">
                  <c:v>-18.868125650490907</c:v>
                </c:pt>
                <c:pt idx="341">
                  <c:v>-18.952832502313225</c:v>
                </c:pt>
                <c:pt idx="342">
                  <c:v>-19.037268706460232</c:v>
                </c:pt>
                <c:pt idx="343">
                  <c:v>-19.121436767356055</c:v>
                </c:pt>
                <c:pt idx="344">
                  <c:v>-19.205339152027246</c:v>
                </c:pt>
                <c:pt idx="345">
                  <c:v>-19.290799282859652</c:v>
                </c:pt>
                <c:pt idx="346">
                  <c:v>-19.37598711708166</c:v>
                </c:pt>
                <c:pt idx="347">
                  <c:v>-19.460905172779281</c:v>
                </c:pt>
                <c:pt idx="348">
                  <c:v>-19.545555931948833</c:v>
                </c:pt>
                <c:pt idx="349">
                  <c:v>-19.63199674626582</c:v>
                </c:pt>
                <c:pt idx="350">
                  <c:v>-19.718162227387623</c:v>
                </c:pt>
                <c:pt idx="351">
                  <c:v>-19.804054932613198</c:v>
                </c:pt>
                <c:pt idx="352">
                  <c:v>-19.88967738412839</c:v>
                </c:pt>
                <c:pt idx="353">
                  <c:v>-19.977061081183422</c:v>
                </c:pt>
                <c:pt idx="354">
                  <c:v>-20.064166744341406</c:v>
                </c:pt>
                <c:pt idx="355">
                  <c:v>-20.150996972831344</c:v>
                </c:pt>
                <c:pt idx="356">
                  <c:v>-20.237554331879192</c:v>
                </c:pt>
                <c:pt idx="357">
                  <c:v>-20.325719619106238</c:v>
                </c:pt>
                <c:pt idx="358">
                  <c:v>-20.413605319760791</c:v>
                </c:pt>
                <c:pt idx="359">
                  <c:v>-20.501214067342541</c:v>
                </c:pt>
                <c:pt idx="360">
                  <c:v>-20.588548462767978</c:v>
                </c:pt>
                <c:pt idx="361">
                  <c:v>-20.677713085875318</c:v>
                </c:pt>
                <c:pt idx="362">
                  <c:v>-20.766595349745273</c:v>
                </c:pt>
                <c:pt idx="363">
                  <c:v>-20.855197949043365</c:v>
                </c:pt>
                <c:pt idx="364">
                  <c:v>-20.943523547026714</c:v>
                </c:pt>
                <c:pt idx="365">
                  <c:v>-21.033528374275793</c:v>
                </c:pt>
                <c:pt idx="366">
                  <c:v>-21.123249283979227</c:v>
                </c:pt>
                <c:pt idx="367">
                  <c:v>-21.21268902580336</c:v>
                </c:pt>
                <c:pt idx="368">
                  <c:v>-21.301850319495585</c:v>
                </c:pt>
                <c:pt idx="369">
                  <c:v>-21.392906255029907</c:v>
                </c:pt>
                <c:pt idx="370">
                  <c:v>-21.483675642892024</c:v>
                </c:pt>
                <c:pt idx="371">
                  <c:v>-21.574161316226117</c:v>
                </c:pt>
                <c:pt idx="372">
                  <c:v>-21.664366079581892</c:v>
                </c:pt>
                <c:pt idx="373">
                  <c:v>-21.756317048712582</c:v>
                </c:pt>
                <c:pt idx="374">
                  <c:v>-21.847980141895139</c:v>
                </c:pt>
                <c:pt idx="375">
                  <c:v>-21.939358271498676</c:v>
                </c:pt>
                <c:pt idx="376">
                  <c:v>-22.030454322956892</c:v>
                </c:pt>
                <c:pt idx="377">
                  <c:v>-22.123505683072004</c:v>
                </c:pt>
                <c:pt idx="378">
                  <c:v>-22.216266942163635</c:v>
                </c:pt>
                <c:pt idx="379">
                  <c:v>-22.308741122866174</c:v>
                </c:pt>
                <c:pt idx="380">
                  <c:v>-22.400931222470181</c:v>
                </c:pt>
                <c:pt idx="381">
                  <c:v>-22.494814934591304</c:v>
                </c:pt>
                <c:pt idx="382">
                  <c:v>-22.588408453943032</c:v>
                </c:pt>
                <c:pt idx="383">
                  <c:v>-22.681714900153285</c:v>
                </c:pt>
                <c:pt idx="384">
                  <c:v>-22.774737369587434</c:v>
                </c:pt>
                <c:pt idx="385">
                  <c:v>-22.869773823415827</c:v>
                </c:pt>
                <c:pt idx="386">
                  <c:v>-22.96451856393994</c:v>
                </c:pt>
                <c:pt idx="387">
                  <c:v>-23.058974854109628</c:v>
                </c:pt>
                <c:pt idx="388">
                  <c:v>-23.153145935626775</c:v>
                </c:pt>
                <c:pt idx="389">
                  <c:v>-23.249188806758397</c:v>
                </c:pt>
                <c:pt idx="390">
                  <c:v>-23.34494001266329</c:v>
                </c:pt>
                <c:pt idx="391">
                  <c:v>-23.440402961395463</c:v>
                </c:pt>
                <c:pt idx="392">
                  <c:v>-23.535581042228756</c:v>
                </c:pt>
                <c:pt idx="393">
                  <c:v>-23.632605667895458</c:v>
                </c:pt>
                <c:pt idx="394">
                  <c:v>-23.729339597015912</c:v>
                </c:pt>
                <c:pt idx="395">
                  <c:v>-23.825786398416497</c:v>
                </c:pt>
                <c:pt idx="396">
                  <c:v>-23.921949624999463</c:v>
                </c:pt>
                <c:pt idx="397">
                  <c:v>-24.020157162614062</c:v>
                </c:pt>
                <c:pt idx="398">
                  <c:v>-24.118074688387541</c:v>
                </c:pt>
                <c:pt idx="399">
                  <c:v>-24.215705975574025</c:v>
                </c:pt>
                <c:pt idx="400">
                  <c:v>-24.313054784705979</c:v>
                </c:pt>
                <c:pt idx="401">
                  <c:v>-24.412312875124055</c:v>
                </c:pt>
                <c:pt idx="402">
                  <c:v>-24.511283508083451</c:v>
                </c:pt>
                <c:pt idx="403">
                  <c:v>-24.609970670867504</c:v>
                </c:pt>
                <c:pt idx="404">
                  <c:v>-24.708378341899842</c:v>
                </c:pt>
                <c:pt idx="405">
                  <c:v>-24.80878184281719</c:v>
                </c:pt>
                <c:pt idx="406">
                  <c:v>-24.908901148676257</c:v>
                </c:pt>
                <c:pt idx="407">
                  <c:v>-25.008740500256351</c:v>
                </c:pt>
                <c:pt idx="408">
                  <c:v>-25.10830413401866</c:v>
                </c:pt>
                <c:pt idx="409">
                  <c:v>-25.209949468157301</c:v>
                </c:pt>
                <c:pt idx="410">
                  <c:v>-25.311314819357328</c:v>
                </c:pt>
                <c:pt idx="411">
                  <c:v>-25.412404727576224</c:v>
                </c:pt>
                <c:pt idx="412">
                  <c:v>-25.513223733891039</c:v>
                </c:pt>
                <c:pt idx="413">
                  <c:v>-25.616104300721521</c:v>
                </c:pt>
                <c:pt idx="414">
                  <c:v>-25.718710888022475</c:v>
                </c:pt>
                <c:pt idx="415">
                  <c:v>-25.821048373291319</c:v>
                </c:pt>
                <c:pt idx="416">
                  <c:v>-25.923121641716481</c:v>
                </c:pt>
                <c:pt idx="417">
                  <c:v>-26.027344142746756</c:v>
                </c:pt>
                <c:pt idx="418">
                  <c:v>-26.131300153425393</c:v>
                </c:pt>
                <c:pt idx="419">
                  <c:v>-26.234994950147659</c:v>
                </c:pt>
                <c:pt idx="420">
                  <c:v>-26.338433825017553</c:v>
                </c:pt>
                <c:pt idx="421">
                  <c:v>-26.443903138382133</c:v>
                </c:pt>
                <c:pt idx="422">
                  <c:v>-26.549116314438592</c:v>
                </c:pt>
                <c:pt idx="423">
                  <c:v>-26.654079067540522</c:v>
                </c:pt>
                <c:pt idx="424">
                  <c:v>-26.758797137431557</c:v>
                </c:pt>
                <c:pt idx="425">
                  <c:v>-26.865844174195018</c:v>
                </c:pt>
                <c:pt idx="426">
                  <c:v>-26.97264662866661</c:v>
                </c:pt>
                <c:pt idx="427">
                  <c:v>-27.079210771835722</c:v>
                </c:pt>
                <c:pt idx="428">
                  <c:v>-27.185542912285776</c:v>
                </c:pt>
                <c:pt idx="429">
                  <c:v>-27.294093047320867</c:v>
                </c:pt>
                <c:pt idx="430">
                  <c:v>-27.402413847937005</c:v>
                </c:pt>
                <c:pt idx="431">
                  <c:v>-27.510512207899062</c:v>
                </c:pt>
                <c:pt idx="432">
                  <c:v>-27.618395073476208</c:v>
                </c:pt>
                <c:pt idx="433">
                  <c:v>-27.728493563729725</c:v>
                </c:pt>
                <c:pt idx="434">
                  <c:v>-27.838381607980821</c:v>
                </c:pt>
                <c:pt idx="435">
                  <c:v>-27.948066822758406</c:v>
                </c:pt>
                <c:pt idx="436">
                  <c:v>-28.057556895489569</c:v>
                </c:pt>
                <c:pt idx="437">
                  <c:v>-28.16946697662295</c:v>
                </c:pt>
                <c:pt idx="438">
                  <c:v>-28.281189039808844</c:v>
                </c:pt>
                <c:pt idx="439">
                  <c:v>-28.392731591216954</c:v>
                </c:pt>
                <c:pt idx="440">
                  <c:v>-28.504103231347507</c:v>
                </c:pt>
                <c:pt idx="441">
                  <c:v>-28.617904019008279</c:v>
                </c:pt>
                <c:pt idx="442">
                  <c:v>-28.731544375796254</c:v>
                </c:pt>
                <c:pt idx="443">
                  <c:v>-28.845033854061253</c:v>
                </c:pt>
                <c:pt idx="444">
                  <c:v>-28.95838212978337</c:v>
                </c:pt>
                <c:pt idx="445">
                  <c:v>-29.074177430925353</c:v>
                </c:pt>
                <c:pt idx="446">
                  <c:v>-29.189845915050885</c:v>
                </c:pt>
                <c:pt idx="447">
                  <c:v>-29.305398372405904</c:v>
                </c:pt>
                <c:pt idx="448">
                  <c:v>-29.420845753595543</c:v>
                </c:pt>
                <c:pt idx="449">
                  <c:v>-29.538965806755542</c:v>
                </c:pt>
                <c:pt idx="450">
                  <c:v>-29.656999466121746</c:v>
                </c:pt>
                <c:pt idx="451">
                  <c:v>-29.774959057960867</c:v>
                </c:pt>
                <c:pt idx="452">
                  <c:v>-29.892857116494184</c:v>
                </c:pt>
                <c:pt idx="453">
                  <c:v>-30.013368632918521</c:v>
                </c:pt>
                <c:pt idx="454">
                  <c:v>-30.133843017191076</c:v>
                </c:pt>
                <c:pt idx="455">
                  <c:v>-30.254294404946876</c:v>
                </c:pt>
                <c:pt idx="456">
                  <c:v>-30.374737199363047</c:v>
                </c:pt>
                <c:pt idx="457">
                  <c:v>-30.498044721434844</c:v>
                </c:pt>
                <c:pt idx="458">
                  <c:v>-30.621374692474596</c:v>
                </c:pt>
                <c:pt idx="459">
                  <c:v>-30.744743511204295</c:v>
                </c:pt>
                <c:pt idx="460">
                  <c:v>-30.868167921889608</c:v>
                </c:pt>
                <c:pt idx="461">
                  <c:v>-30.994528872399862</c:v>
                </c:pt>
                <c:pt idx="462">
                  <c:v>-31.12098465747653</c:v>
                </c:pt>
                <c:pt idx="463">
                  <c:v>-31.247554432513653</c:v>
                </c:pt>
                <c:pt idx="464">
                  <c:v>-31.374257798713575</c:v>
                </c:pt>
                <c:pt idx="465">
                  <c:v>-31.504090041335566</c:v>
                </c:pt>
                <c:pt idx="466">
                  <c:v>-31.634105264723537</c:v>
                </c:pt>
                <c:pt idx="467">
                  <c:v>-31.764326057273493</c:v>
                </c:pt>
                <c:pt idx="468">
                  <c:v>-31.894775584541041</c:v>
                </c:pt>
                <c:pt idx="469">
                  <c:v>-32.02847393900624</c:v>
                </c:pt>
                <c:pt idx="470">
                  <c:v>-32.162462613009588</c:v>
                </c:pt>
                <c:pt idx="471">
                  <c:v>-32.296768441117052</c:v>
                </c:pt>
                <c:pt idx="472">
                  <c:v>-32.431419006327943</c:v>
                </c:pt>
                <c:pt idx="473">
                  <c:v>-32.569671918976454</c:v>
                </c:pt>
                <c:pt idx="474">
                  <c:v>-32.708347300548994</c:v>
                </c:pt>
                <c:pt idx="475">
                  <c:v>-32.847477419425594</c:v>
                </c:pt>
                <c:pt idx="476">
                  <c:v>-32.987095523188103</c:v>
                </c:pt>
                <c:pt idx="477">
                  <c:v>-33.13051097770478</c:v>
                </c:pt>
                <c:pt idx="478">
                  <c:v>-33.274511225252418</c:v>
                </c:pt>
                <c:pt idx="479">
                  <c:v>-33.419135381181761</c:v>
                </c:pt>
                <c:pt idx="480">
                  <c:v>-33.564423847473051</c:v>
                </c:pt>
                <c:pt idx="481">
                  <c:v>-33.713754450275097</c:v>
                </c:pt>
                <c:pt idx="482">
                  <c:v>-33.863869868630204</c:v>
                </c:pt>
                <c:pt idx="483">
                  <c:v>-34.014817921251947</c:v>
                </c:pt>
                <c:pt idx="484">
                  <c:v>-34.166648127328855</c:v>
                </c:pt>
                <c:pt idx="485">
                  <c:v>-34.322933766481981</c:v>
                </c:pt>
                <c:pt idx="486">
                  <c:v>-34.480253220123217</c:v>
                </c:pt>
                <c:pt idx="487">
                  <c:v>-34.638665600573134</c:v>
                </c:pt>
                <c:pt idx="488">
                  <c:v>-34.798232291212059</c:v>
                </c:pt>
                <c:pt idx="489">
                  <c:v>-34.96286327762305</c:v>
                </c:pt>
                <c:pt idx="490">
                  <c:v>-35.128842270806174</c:v>
                </c:pt>
                <c:pt idx="491">
                  <c:v>-35.296243366018217</c:v>
                </c:pt>
                <c:pt idx="492">
                  <c:v>-35.465143738734859</c:v>
                </c:pt>
                <c:pt idx="493">
                  <c:v>-35.639610582039644</c:v>
                </c:pt>
                <c:pt idx="494">
                  <c:v>-35.815821430196479</c:v>
                </c:pt>
                <c:pt idx="495">
                  <c:v>-35.99387018132343</c:v>
                </c:pt>
                <c:pt idx="496">
                  <c:v>-36.17385496553517</c:v>
                </c:pt>
                <c:pt idx="497">
                  <c:v>-36.360161519161892</c:v>
                </c:pt>
                <c:pt idx="498">
                  <c:v>-36.548718398604507</c:v>
                </c:pt>
                <c:pt idx="499">
                  <c:v>-36.739646330864851</c:v>
                </c:pt>
                <c:pt idx="500">
                  <c:v>-36.933071971087962</c:v>
                </c:pt>
                <c:pt idx="501">
                  <c:v>-37.133766810039759</c:v>
                </c:pt>
                <c:pt idx="502">
                  <c:v>-37.337367316580277</c:v>
                </c:pt>
                <c:pt idx="503">
                  <c:v>-37.544031326638894</c:v>
                </c:pt>
                <c:pt idx="504">
                  <c:v>-37.753925185194603</c:v>
                </c:pt>
                <c:pt idx="505">
                  <c:v>-37.972161626346505</c:v>
                </c:pt>
                <c:pt idx="506">
                  <c:v>-38.194160058034285</c:v>
                </c:pt>
                <c:pt idx="507">
                  <c:v>-38.420130600793179</c:v>
                </c:pt>
                <c:pt idx="508">
                  <c:v>-38.650295941600262</c:v>
                </c:pt>
                <c:pt idx="509">
                  <c:v>-38.890352685649901</c:v>
                </c:pt>
                <c:pt idx="510">
                  <c:v>-39.135316216663099</c:v>
                </c:pt>
                <c:pt idx="511">
                  <c:v>-39.385473245966473</c:v>
                </c:pt>
                <c:pt idx="512">
                  <c:v>-39.641129791739885</c:v>
                </c:pt>
                <c:pt idx="513">
                  <c:v>-39.908886525560334</c:v>
                </c:pt>
                <c:pt idx="514">
                  <c:v>-40.183125918972053</c:v>
                </c:pt>
                <c:pt idx="515">
                  <c:v>-40.464252473707774</c:v>
                </c:pt>
                <c:pt idx="516">
                  <c:v>-40.75270197088733</c:v>
                </c:pt>
                <c:pt idx="517">
                  <c:v>-41.055902763597985</c:v>
                </c:pt>
                <c:pt idx="518">
                  <c:v>-41.36780859279331</c:v>
                </c:pt>
                <c:pt idx="519">
                  <c:v>-41.689013445247475</c:v>
                </c:pt>
                <c:pt idx="520">
                  <c:v>-42.020165266946606</c:v>
                </c:pt>
                <c:pt idx="521">
                  <c:v>-42.370036771534352</c:v>
                </c:pt>
                <c:pt idx="522">
                  <c:v>-42.731900098884225</c:v>
                </c:pt>
                <c:pt idx="523">
                  <c:v>-43.106678145908752</c:v>
                </c:pt>
                <c:pt idx="524">
                  <c:v>-43.495395060619686</c:v>
                </c:pt>
                <c:pt idx="525">
                  <c:v>-43.908762064379509</c:v>
                </c:pt>
                <c:pt idx="526">
                  <c:v>-44.339291638357096</c:v>
                </c:pt>
                <c:pt idx="527">
                  <c:v>-44.78853461978774</c:v>
                </c:pt>
                <c:pt idx="528">
                  <c:v>-45.258254206027566</c:v>
                </c:pt>
                <c:pt idx="529">
                  <c:v>-45.762194876203822</c:v>
                </c:pt>
                <c:pt idx="530">
                  <c:v>-46.292188079850533</c:v>
                </c:pt>
                <c:pt idx="531">
                  <c:v>-46.851149858345821</c:v>
                </c:pt>
                <c:pt idx="532">
                  <c:v>-47.442516229677381</c:v>
                </c:pt>
                <c:pt idx="533">
                  <c:v>-48.085787227859349</c:v>
                </c:pt>
                <c:pt idx="534">
                  <c:v>-48.772619572796529</c:v>
                </c:pt>
                <c:pt idx="535">
                  <c:v>-49.509527514528301</c:v>
                </c:pt>
                <c:pt idx="536">
                  <c:v>-50.304639937733846</c:v>
                </c:pt>
                <c:pt idx="537">
                  <c:v>-51.188794006110932</c:v>
                </c:pt>
                <c:pt idx="538">
                  <c:v>-52.159068993343134</c:v>
                </c:pt>
                <c:pt idx="539">
                  <c:v>-53.234845425867377</c:v>
                </c:pt>
                <c:pt idx="540">
                  <c:v>-54.443054423861561</c:v>
                </c:pt>
                <c:pt idx="541">
                  <c:v>-55.857947290294945</c:v>
                </c:pt>
                <c:pt idx="542">
                  <c:v>-57.517087189375083</c:v>
                </c:pt>
                <c:pt idx="543">
                  <c:v>-59.528082040531658</c:v>
                </c:pt>
                <c:pt idx="544">
                  <c:v>-62.091563203805649</c:v>
                </c:pt>
                <c:pt idx="545">
                  <c:v>-65.755430874646621</c:v>
                </c:pt>
                <c:pt idx="546">
                  <c:v>-72.012608247434997</c:v>
                </c:pt>
                <c:pt idx="547">
                  <c:v>-102.09012025554976</c:v>
                </c:pt>
                <c:pt idx="548">
                  <c:v>-71.687204954880301</c:v>
                </c:pt>
                <c:pt idx="549">
                  <c:v>-65.810193196363386</c:v>
                </c:pt>
                <c:pt idx="550">
                  <c:v>-62.413665399039424</c:v>
                </c:pt>
                <c:pt idx="551">
                  <c:v>-60.037927875353787</c:v>
                </c:pt>
                <c:pt idx="552">
                  <c:v>-58.223699031401438</c:v>
                </c:pt>
                <c:pt idx="553">
                  <c:v>-56.735001952624188</c:v>
                </c:pt>
                <c:pt idx="554">
                  <c:v>-55.503307378152194</c:v>
                </c:pt>
                <c:pt idx="555">
                  <c:v>-54.459510701793803</c:v>
                </c:pt>
                <c:pt idx="556">
                  <c:v>-53.559329794452736</c:v>
                </c:pt>
                <c:pt idx="557">
                  <c:v>-52.047501984420691</c:v>
                </c:pt>
                <c:pt idx="558">
                  <c:v>-50.856994009951379</c:v>
                </c:pt>
                <c:pt idx="559">
                  <c:v>-49.87615260404656</c:v>
                </c:pt>
                <c:pt idx="560">
                  <c:v>-49.074964066311423</c:v>
                </c:pt>
                <c:pt idx="561">
                  <c:v>-48.399204011121057</c:v>
                </c:pt>
                <c:pt idx="562">
                  <c:v>-47.840037235643237</c:v>
                </c:pt>
                <c:pt idx="563">
                  <c:v>-47.36681458983297</c:v>
                </c:pt>
                <c:pt idx="564">
                  <c:v>-46.975478492824898</c:v>
                </c:pt>
                <c:pt idx="565">
                  <c:v>-46.645420248826923</c:v>
                </c:pt>
                <c:pt idx="566">
                  <c:v>-46.376262666652089</c:v>
                </c:pt>
                <c:pt idx="567">
                  <c:v>-46.154263857716593</c:v>
                </c:pt>
                <c:pt idx="568">
                  <c:v>-45.978921907592103</c:v>
                </c:pt>
                <c:pt idx="569">
                  <c:v>-45.841466619809125</c:v>
                </c:pt>
                <c:pt idx="570">
                  <c:v>-45.740194251741727</c:v>
                </c:pt>
                <c:pt idx="571">
                  <c:v>-45.668865851693013</c:v>
                </c:pt>
                <c:pt idx="572">
                  <c:v>-45.626446246665353</c:v>
                </c:pt>
                <c:pt idx="573">
                  <c:v>-45.609211372028525</c:v>
                </c:pt>
                <c:pt idx="574">
                  <c:v>-45.615001195087295</c:v>
                </c:pt>
                <c:pt idx="575">
                  <c:v>-45.642010312295909</c:v>
                </c:pt>
                <c:pt idx="576">
                  <c:v>-45.687877463771578</c:v>
                </c:pt>
                <c:pt idx="577">
                  <c:v>-46.047944885747924</c:v>
                </c:pt>
                <c:pt idx="578">
                  <c:v>-46.607925056490267</c:v>
                </c:pt>
                <c:pt idx="579">
                  <c:v>-48.367522819934514</c:v>
                </c:pt>
                <c:pt idx="580">
                  <c:v>-51.508555982913357</c:v>
                </c:pt>
                <c:pt idx="581">
                  <c:v>-60.411630996108904</c:v>
                </c:pt>
                <c:pt idx="582">
                  <c:v>-60.396271295371193</c:v>
                </c:pt>
                <c:pt idx="583">
                  <c:v>-55.368585972773367</c:v>
                </c:pt>
                <c:pt idx="584">
                  <c:v>-55.897204169731992</c:v>
                </c:pt>
                <c:pt idx="585">
                  <c:v>-59.552930051192263</c:v>
                </c:pt>
                <c:pt idx="586">
                  <c:v>-74.466581030005187</c:v>
                </c:pt>
                <c:pt idx="587">
                  <c:v>-60.904299230698477</c:v>
                </c:pt>
                <c:pt idx="588">
                  <c:v>-62.133329203179372</c:v>
                </c:pt>
                <c:pt idx="589">
                  <c:v>-96.823693628755905</c:v>
                </c:pt>
                <c:pt idx="590">
                  <c:v>-64.495585357777458</c:v>
                </c:pt>
                <c:pt idx="591">
                  <c:v>-68.866645862671419</c:v>
                </c:pt>
                <c:pt idx="592">
                  <c:v>-68.0345164731729</c:v>
                </c:pt>
                <c:pt idx="593">
                  <c:v>-70.537221219991494</c:v>
                </c:pt>
                <c:pt idx="594">
                  <c:v>-69.631413517743667</c:v>
                </c:pt>
                <c:pt idx="595">
                  <c:v>-85.18842023951072</c:v>
                </c:pt>
                <c:pt idx="596">
                  <c:v>-71.664969329099776</c:v>
                </c:pt>
                <c:pt idx="597">
                  <c:v>-72.7322968039431</c:v>
                </c:pt>
                <c:pt idx="598">
                  <c:v>-77.098884829680841</c:v>
                </c:pt>
                <c:pt idx="599">
                  <c:v>-86.229175154650505</c:v>
                </c:pt>
                <c:pt idx="600">
                  <c:v>-93.077375223512803</c:v>
                </c:pt>
              </c:numCache>
            </c:numRef>
          </c:yVal>
          <c:smooth val="0"/>
          <c:extLst>
            <c:ext xmlns:c16="http://schemas.microsoft.com/office/drawing/2014/chart" uri="{C3380CC4-5D6E-409C-BE32-E72D297353CC}">
              <c16:uniqueId val="{00000000-52E8-40C0-BDC9-E7AD10D908CE}"/>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92.735022732087046</c:v>
                </c:pt>
                <c:pt idx="1">
                  <c:v>92.439081649233202</c:v>
                </c:pt>
                <c:pt idx="2">
                  <c:v>92.163738158142834</c:v>
                </c:pt>
                <c:pt idx="3">
                  <c:v>91.906673661373404</c:v>
                </c:pt>
                <c:pt idx="4">
                  <c:v>91.665874358429718</c:v>
                </c:pt>
                <c:pt idx="5">
                  <c:v>91.438915732352427</c:v>
                </c:pt>
                <c:pt idx="6">
                  <c:v>91.224217977094938</c:v>
                </c:pt>
                <c:pt idx="7">
                  <c:v>91.019822628682206</c:v>
                </c:pt>
                <c:pt idx="8">
                  <c:v>90.824149043738174</c:v>
                </c:pt>
                <c:pt idx="9">
                  <c:v>90.635392236413196</c:v>
                </c:pt>
                <c:pt idx="10">
                  <c:v>90.452065480991863</c:v>
                </c:pt>
                <c:pt idx="11">
                  <c:v>90.272589784883394</c:v>
                </c:pt>
                <c:pt idx="12">
                  <c:v>90.095353835686737</c:v>
                </c:pt>
                <c:pt idx="13">
                  <c:v>89.919030576493455</c:v>
                </c:pt>
                <c:pt idx="14">
                  <c:v>89.741989735006101</c:v>
                </c:pt>
                <c:pt idx="15">
                  <c:v>89.562806301320109</c:v>
                </c:pt>
                <c:pt idx="16">
                  <c:v>89.379957524149305</c:v>
                </c:pt>
                <c:pt idx="17">
                  <c:v>89.1919345547484</c:v>
                </c:pt>
                <c:pt idx="18">
                  <c:v>88.997107552453684</c:v>
                </c:pt>
                <c:pt idx="19">
                  <c:v>88.79390251529648</c:v>
                </c:pt>
                <c:pt idx="20">
                  <c:v>88.580590395658035</c:v>
                </c:pt>
                <c:pt idx="21">
                  <c:v>88.355452292617244</c:v>
                </c:pt>
                <c:pt idx="22">
                  <c:v>88.116591772909203</c:v>
                </c:pt>
                <c:pt idx="23">
                  <c:v>87.862124244245706</c:v>
                </c:pt>
                <c:pt idx="24">
                  <c:v>87.589934258291095</c:v>
                </c:pt>
                <c:pt idx="25">
                  <c:v>87.29789486665382</c:v>
                </c:pt>
                <c:pt idx="26">
                  <c:v>86.983642001437346</c:v>
                </c:pt>
                <c:pt idx="27">
                  <c:v>86.644853142291964</c:v>
                </c:pt>
                <c:pt idx="28">
                  <c:v>86.278971769384427</c:v>
                </c:pt>
                <c:pt idx="29">
                  <c:v>85.883580831641694</c:v>
                </c:pt>
                <c:pt idx="30">
                  <c:v>85.455198394176335</c:v>
                </c:pt>
                <c:pt idx="31">
                  <c:v>84.991489299829624</c:v>
                </c:pt>
                <c:pt idx="32">
                  <c:v>84.489160285663502</c:v>
                </c:pt>
                <c:pt idx="33">
                  <c:v>83.9455554923059</c:v>
                </c:pt>
                <c:pt idx="34">
                  <c:v>83.357254672993022</c:v>
                </c:pt>
                <c:pt idx="35">
                  <c:v>82.721669665344422</c:v>
                </c:pt>
                <c:pt idx="36">
                  <c:v>82.036011165695228</c:v>
                </c:pt>
                <c:pt idx="37">
                  <c:v>81.297498193990265</c:v>
                </c:pt>
                <c:pt idx="38">
                  <c:v>80.504958392885499</c:v>
                </c:pt>
                <c:pt idx="39">
                  <c:v>79.656603993370581</c:v>
                </c:pt>
                <c:pt idx="40">
                  <c:v>78.752539920506521</c:v>
                </c:pt>
                <c:pt idx="41">
                  <c:v>77.79376062539545</c:v>
                </c:pt>
                <c:pt idx="42">
                  <c:v>76.783068253134772</c:v>
                </c:pt>
                <c:pt idx="43">
                  <c:v>75.724770009271282</c:v>
                </c:pt>
                <c:pt idx="44">
                  <c:v>74.626046013997907</c:v>
                </c:pt>
                <c:pt idx="45">
                  <c:v>73.496190829302208</c:v>
                </c:pt>
                <c:pt idx="46">
                  <c:v>72.347793200480609</c:v>
                </c:pt>
                <c:pt idx="47">
                  <c:v>71.195914297209882</c:v>
                </c:pt>
                <c:pt idx="48">
                  <c:v>70.059000065506837</c:v>
                </c:pt>
                <c:pt idx="49">
                  <c:v>68.957453936315147</c:v>
                </c:pt>
                <c:pt idx="50">
                  <c:v>67.914076106469807</c:v>
                </c:pt>
                <c:pt idx="51">
                  <c:v>66.952334546720451</c:v>
                </c:pt>
                <c:pt idx="52">
                  <c:v>66.096196050650633</c:v>
                </c:pt>
                <c:pt idx="53">
                  <c:v>65.367926352662721</c:v>
                </c:pt>
                <c:pt idx="54">
                  <c:v>64.787484982658626</c:v>
                </c:pt>
                <c:pt idx="55">
                  <c:v>64.369723035723197</c:v>
                </c:pt>
                <c:pt idx="56">
                  <c:v>64.126146897791656</c:v>
                </c:pt>
                <c:pt idx="57">
                  <c:v>64.061577100459772</c:v>
                </c:pt>
                <c:pt idx="58">
                  <c:v>64.174876744850138</c:v>
                </c:pt>
                <c:pt idx="59">
                  <c:v>64.458835436966098</c:v>
                </c:pt>
                <c:pt idx="60">
                  <c:v>64.900367425033608</c:v>
                </c:pt>
                <c:pt idx="61">
                  <c:v>65.481649591024848</c:v>
                </c:pt>
                <c:pt idx="62">
                  <c:v>66.181472547046269</c:v>
                </c:pt>
                <c:pt idx="63">
                  <c:v>66.975074979614618</c:v>
                </c:pt>
                <c:pt idx="64">
                  <c:v>67.837792369168653</c:v>
                </c:pt>
                <c:pt idx="65">
                  <c:v>68.744104766834823</c:v>
                </c:pt>
                <c:pt idx="66">
                  <c:v>69.669986603339723</c:v>
                </c:pt>
                <c:pt idx="67">
                  <c:v>70.593148440857661</c:v>
                </c:pt>
                <c:pt idx="68">
                  <c:v>71.494174530486319</c:v>
                </c:pt>
                <c:pt idx="69">
                  <c:v>72.355886226599495</c:v>
                </c:pt>
                <c:pt idx="70">
                  <c:v>73.164305703974719</c:v>
                </c:pt>
                <c:pt idx="71">
                  <c:v>73.907764077133535</c:v>
                </c:pt>
                <c:pt idx="72">
                  <c:v>74.577286821444318</c:v>
                </c:pt>
                <c:pt idx="73">
                  <c:v>75.165608106259654</c:v>
                </c:pt>
                <c:pt idx="74">
                  <c:v>75.667427488994718</c:v>
                </c:pt>
                <c:pt idx="75">
                  <c:v>76.078480443177497</c:v>
                </c:pt>
                <c:pt idx="76">
                  <c:v>76.395586466532777</c:v>
                </c:pt>
                <c:pt idx="77">
                  <c:v>76.615984525178831</c:v>
                </c:pt>
                <c:pt idx="78">
                  <c:v>76.737389823036565</c:v>
                </c:pt>
                <c:pt idx="79">
                  <c:v>76.757611457370174</c:v>
                </c:pt>
                <c:pt idx="80">
                  <c:v>76.674292654515028</c:v>
                </c:pt>
                <c:pt idx="81">
                  <c:v>76.484831861596774</c:v>
                </c:pt>
                <c:pt idx="82">
                  <c:v>76.186072457834229</c:v>
                </c:pt>
                <c:pt idx="83">
                  <c:v>75.774669876508852</c:v>
                </c:pt>
                <c:pt idx="84">
                  <c:v>75.246102847500467</c:v>
                </c:pt>
                <c:pt idx="85">
                  <c:v>74.595710264677805</c:v>
                </c:pt>
                <c:pt idx="86">
                  <c:v>73.817717527356663</c:v>
                </c:pt>
                <c:pt idx="87">
                  <c:v>72.905041939715773</c:v>
                </c:pt>
                <c:pt idx="88">
                  <c:v>71.851063756966525</c:v>
                </c:pt>
                <c:pt idx="89">
                  <c:v>70.646519581019064</c:v>
                </c:pt>
                <c:pt idx="90">
                  <c:v>69.282365038396719</c:v>
                </c:pt>
                <c:pt idx="91">
                  <c:v>67.748029754899306</c:v>
                </c:pt>
                <c:pt idx="92">
                  <c:v>66.032256153349948</c:v>
                </c:pt>
                <c:pt idx="93">
                  <c:v>64.121998464919926</c:v>
                </c:pt>
                <c:pt idx="94">
                  <c:v>63.612732690655776</c:v>
                </c:pt>
                <c:pt idx="95">
                  <c:v>63.351549847303986</c:v>
                </c:pt>
                <c:pt idx="96">
                  <c:v>63.09004753716313</c:v>
                </c:pt>
                <c:pt idx="97">
                  <c:v>62.82217051173815</c:v>
                </c:pt>
                <c:pt idx="98">
                  <c:v>62.553994729144264</c:v>
                </c:pt>
                <c:pt idx="99">
                  <c:v>62.279241912127134</c:v>
                </c:pt>
                <c:pt idx="100">
                  <c:v>62.004211330958455</c:v>
                </c:pt>
                <c:pt idx="101">
                  <c:v>61.722612366926427</c:v>
                </c:pt>
                <c:pt idx="102">
                  <c:v>61.440757383447362</c:v>
                </c:pt>
                <c:pt idx="103">
                  <c:v>61.151923437382294</c:v>
                </c:pt>
                <c:pt idx="104">
                  <c:v>60.862855258842487</c:v>
                </c:pt>
                <c:pt idx="105">
                  <c:v>60.566819413510657</c:v>
                </c:pt>
                <c:pt idx="106">
                  <c:v>60.270571983013113</c:v>
                </c:pt>
                <c:pt idx="107">
                  <c:v>59.967370297281889</c:v>
                </c:pt>
                <c:pt idx="108">
                  <c:v>59.663980483488899</c:v>
                </c:pt>
                <c:pt idx="109">
                  <c:v>59.353440419500075</c:v>
                </c:pt>
                <c:pt idx="110">
                  <c:v>59.042736235972811</c:v>
                </c:pt>
                <c:pt idx="111">
                  <c:v>58.724475535093788</c:v>
                </c:pt>
                <c:pt idx="112">
                  <c:v>58.406075191675299</c:v>
                </c:pt>
                <c:pt idx="113">
                  <c:v>58.080136795988381</c:v>
                </c:pt>
                <c:pt idx="114">
                  <c:v>57.754084200570887</c:v>
                </c:pt>
                <c:pt idx="115">
                  <c:v>57.420302311329564</c:v>
                </c:pt>
                <c:pt idx="116">
                  <c:v>57.086432484260172</c:v>
                </c:pt>
                <c:pt idx="117">
                  <c:v>56.744644046727814</c:v>
                </c:pt>
                <c:pt idx="118">
                  <c:v>56.402794838181023</c:v>
                </c:pt>
                <c:pt idx="119">
                  <c:v>56.053051910080484</c:v>
                </c:pt>
                <c:pt idx="120">
                  <c:v>55.70327639730985</c:v>
                </c:pt>
                <c:pt idx="121">
                  <c:v>55.345422255099919</c:v>
                </c:pt>
                <c:pt idx="122">
                  <c:v>54.987564698263625</c:v>
                </c:pt>
                <c:pt idx="123">
                  <c:v>54.621233819058915</c:v>
                </c:pt>
                <c:pt idx="124">
                  <c:v>54.25492980257691</c:v>
                </c:pt>
                <c:pt idx="125">
                  <c:v>53.880184570579289</c:v>
                </c:pt>
                <c:pt idx="126">
                  <c:v>53.505497640356566</c:v>
                </c:pt>
                <c:pt idx="127">
                  <c:v>53.122192156310362</c:v>
                </c:pt>
                <c:pt idx="128">
                  <c:v>52.73897764287139</c:v>
                </c:pt>
                <c:pt idx="129">
                  <c:v>52.346970094100257</c:v>
                </c:pt>
                <c:pt idx="130">
                  <c:v>51.955087494102344</c:v>
                </c:pt>
                <c:pt idx="131">
                  <c:v>51.554240408488852</c:v>
                </c:pt>
                <c:pt idx="132">
                  <c:v>51.353876090401371</c:v>
                </c:pt>
                <c:pt idx="133">
                  <c:v>51.153553637190896</c:v>
                </c:pt>
                <c:pt idx="134">
                  <c:v>50.948514351566047</c:v>
                </c:pt>
                <c:pt idx="135">
                  <c:v>50.743522610466528</c:v>
                </c:pt>
                <c:pt idx="136">
                  <c:v>50.538580216438106</c:v>
                </c:pt>
                <c:pt idx="137">
                  <c:v>50.333688938368454</c:v>
                </c:pt>
                <c:pt idx="138">
                  <c:v>50.124200524908929</c:v>
                </c:pt>
                <c:pt idx="139">
                  <c:v>49.914769212923062</c:v>
                </c:pt>
                <c:pt idx="140">
                  <c:v>49.705396790739201</c:v>
                </c:pt>
                <c:pt idx="141">
                  <c:v>49.496085013436868</c:v>
                </c:pt>
                <c:pt idx="142">
                  <c:v>49.281874355289517</c:v>
                </c:pt>
                <c:pt idx="143">
                  <c:v>49.06773087134107</c:v>
                </c:pt>
                <c:pt idx="144">
                  <c:v>48.853656341559287</c:v>
                </c:pt>
                <c:pt idx="145">
                  <c:v>48.639652512897499</c:v>
                </c:pt>
                <c:pt idx="146">
                  <c:v>48.420766438800086</c:v>
                </c:pt>
                <c:pt idx="147">
                  <c:v>48.201957976865884</c:v>
                </c:pt>
                <c:pt idx="148">
                  <c:v>47.983228896181515</c:v>
                </c:pt>
                <c:pt idx="149">
                  <c:v>47.764580933078832</c:v>
                </c:pt>
                <c:pt idx="150">
                  <c:v>47.540963255679713</c:v>
                </c:pt>
                <c:pt idx="151">
                  <c:v>47.317434065871964</c:v>
                </c:pt>
                <c:pt idx="152">
                  <c:v>47.093995121884035</c:v>
                </c:pt>
                <c:pt idx="153">
                  <c:v>46.870648149408424</c:v>
                </c:pt>
                <c:pt idx="154">
                  <c:v>46.642140492210643</c:v>
                </c:pt>
                <c:pt idx="155">
                  <c:v>46.413732744872959</c:v>
                </c:pt>
                <c:pt idx="156">
                  <c:v>46.185426656960971</c:v>
                </c:pt>
                <c:pt idx="157">
                  <c:v>45.95722394562145</c:v>
                </c:pt>
                <c:pt idx="158">
                  <c:v>45.723776614228768</c:v>
                </c:pt>
                <c:pt idx="159">
                  <c:v>45.490441105302921</c:v>
                </c:pt>
                <c:pt idx="160">
                  <c:v>45.257219159123991</c:v>
                </c:pt>
                <c:pt idx="161">
                  <c:v>45.024112483631541</c:v>
                </c:pt>
                <c:pt idx="162">
                  <c:v>44.785783700536172</c:v>
                </c:pt>
                <c:pt idx="163">
                  <c:v>44.547579047844124</c:v>
                </c:pt>
                <c:pt idx="164">
                  <c:v>44.309500253430542</c:v>
                </c:pt>
                <c:pt idx="165">
                  <c:v>44.07154901292563</c:v>
                </c:pt>
                <c:pt idx="166">
                  <c:v>43.828086047146428</c:v>
                </c:pt>
                <c:pt idx="167">
                  <c:v>43.584760255592215</c:v>
                </c:pt>
                <c:pt idx="168">
                  <c:v>43.341573357184814</c:v>
                </c:pt>
                <c:pt idx="169">
                  <c:v>43.098527038542016</c:v>
                </c:pt>
                <c:pt idx="170">
                  <c:v>42.850411991635895</c:v>
                </c:pt>
                <c:pt idx="171">
                  <c:v>42.602447080043589</c:v>
                </c:pt>
                <c:pt idx="172">
                  <c:v>42.354634001532901</c:v>
                </c:pt>
                <c:pt idx="173">
                  <c:v>42.106974421738443</c:v>
                </c:pt>
                <c:pt idx="174">
                  <c:v>41.853232385768791</c:v>
                </c:pt>
                <c:pt idx="175">
                  <c:v>41.599655130412543</c:v>
                </c:pt>
                <c:pt idx="176">
                  <c:v>41.346244349858978</c:v>
                </c:pt>
                <c:pt idx="177">
                  <c:v>41.093001705807012</c:v>
                </c:pt>
                <c:pt idx="178">
                  <c:v>40.833707876890514</c:v>
                </c:pt>
                <c:pt idx="179">
                  <c:v>40.574593985332569</c:v>
                </c:pt>
                <c:pt idx="180">
                  <c:v>40.315661716852162</c:v>
                </c:pt>
                <c:pt idx="181">
                  <c:v>40.056912724343078</c:v>
                </c:pt>
                <c:pt idx="182">
                  <c:v>39.793179243568432</c:v>
                </c:pt>
                <c:pt idx="183">
                  <c:v>39.529639815506954</c:v>
                </c:pt>
                <c:pt idx="184">
                  <c:v>39.266296093089721</c:v>
                </c:pt>
                <c:pt idx="185">
                  <c:v>39.003149696616674</c:v>
                </c:pt>
                <c:pt idx="186">
                  <c:v>38.732986868308529</c:v>
                </c:pt>
                <c:pt idx="187">
                  <c:v>38.463035713180318</c:v>
                </c:pt>
                <c:pt idx="188">
                  <c:v>38.19329788544357</c:v>
                </c:pt>
                <c:pt idx="189">
                  <c:v>37.923775005857749</c:v>
                </c:pt>
                <c:pt idx="190">
                  <c:v>37.649331344226141</c:v>
                </c:pt>
                <c:pt idx="191">
                  <c:v>37.37511420857831</c:v>
                </c:pt>
                <c:pt idx="192">
                  <c:v>37.101125211337092</c:v>
                </c:pt>
                <c:pt idx="193">
                  <c:v>36.827365931680134</c:v>
                </c:pt>
                <c:pt idx="194">
                  <c:v>36.546669894591673</c:v>
                </c:pt>
                <c:pt idx="195">
                  <c:v>36.266219043191342</c:v>
                </c:pt>
                <c:pt idx="196">
                  <c:v>35.986014979250513</c:v>
                </c:pt>
                <c:pt idx="197">
                  <c:v>35.706059270509797</c:v>
                </c:pt>
                <c:pt idx="198">
                  <c:v>35.420231313713828</c:v>
                </c:pt>
                <c:pt idx="199">
                  <c:v>35.134665912370593</c:v>
                </c:pt>
                <c:pt idx="200">
                  <c:v>34.849364633607308</c:v>
                </c:pt>
                <c:pt idx="201">
                  <c:v>34.564329010248116</c:v>
                </c:pt>
                <c:pt idx="202">
                  <c:v>34.273461294576521</c:v>
                </c:pt>
                <c:pt idx="203">
                  <c:v>33.982873867612113</c:v>
                </c:pt>
                <c:pt idx="204">
                  <c:v>33.692568256210535</c:v>
                </c:pt>
                <c:pt idx="205">
                  <c:v>33.40254595265958</c:v>
                </c:pt>
                <c:pt idx="206">
                  <c:v>33.105720519465166</c:v>
                </c:pt>
                <c:pt idx="207">
                  <c:v>32.809195494421061</c:v>
                </c:pt>
                <c:pt idx="208">
                  <c:v>32.512972373432547</c:v>
                </c:pt>
                <c:pt idx="209">
                  <c:v>32.217052617105992</c:v>
                </c:pt>
                <c:pt idx="210">
                  <c:v>31.913370540865628</c:v>
                </c:pt>
                <c:pt idx="211">
                  <c:v>31.610011634776242</c:v>
                </c:pt>
                <c:pt idx="212">
                  <c:v>31.306977370283988</c:v>
                </c:pt>
                <c:pt idx="213">
                  <c:v>31.00426918235226</c:v>
                </c:pt>
                <c:pt idx="214">
                  <c:v>30.695864285959658</c:v>
                </c:pt>
                <c:pt idx="215">
                  <c:v>30.387801497610468</c:v>
                </c:pt>
                <c:pt idx="216">
                  <c:v>30.080082226775829</c:v>
                </c:pt>
                <c:pt idx="217">
                  <c:v>29.772707846253581</c:v>
                </c:pt>
                <c:pt idx="218">
                  <c:v>29.458683098409381</c:v>
                </c:pt>
                <c:pt idx="219">
                  <c:v>29.145021938441829</c:v>
                </c:pt>
                <c:pt idx="220">
                  <c:v>28.831725720407036</c:v>
                </c:pt>
                <c:pt idx="221">
                  <c:v>28.518795761040138</c:v>
                </c:pt>
                <c:pt idx="222">
                  <c:v>28.199269586090765</c:v>
                </c:pt>
                <c:pt idx="223">
                  <c:v>27.88012884820688</c:v>
                </c:pt>
                <c:pt idx="224">
                  <c:v>27.561374837490376</c:v>
                </c:pt>
                <c:pt idx="225">
                  <c:v>27.243008806109515</c:v>
                </c:pt>
                <c:pt idx="226">
                  <c:v>26.917112293464811</c:v>
                </c:pt>
                <c:pt idx="227">
                  <c:v>26.591625883846149</c:v>
                </c:pt>
                <c:pt idx="228">
                  <c:v>26.266550805699836</c:v>
                </c:pt>
                <c:pt idx="229">
                  <c:v>25.941888248498202</c:v>
                </c:pt>
                <c:pt idx="230">
                  <c:v>25.278067088630138</c:v>
                </c:pt>
                <c:pt idx="231">
                  <c:v>24.94681051031165</c:v>
                </c:pt>
                <c:pt idx="232">
                  <c:v>24.615991433948722</c:v>
                </c:pt>
                <c:pt idx="233">
                  <c:v>24.277773413303663</c:v>
                </c:pt>
                <c:pt idx="234">
                  <c:v>23.940016153765043</c:v>
                </c:pt>
                <c:pt idx="235">
                  <c:v>23.602720726752779</c:v>
                </c:pt>
                <c:pt idx="236">
                  <c:v>23.265888162807698</c:v>
                </c:pt>
                <c:pt idx="237">
                  <c:v>22.922699387854891</c:v>
                </c:pt>
                <c:pt idx="238">
                  <c:v>22.57999448976696</c:v>
                </c:pt>
                <c:pt idx="239">
                  <c:v>22.237774436103734</c:v>
                </c:pt>
                <c:pt idx="240">
                  <c:v>21.896040153162289</c:v>
                </c:pt>
                <c:pt idx="241">
                  <c:v>21.546073833447338</c:v>
                </c:pt>
                <c:pt idx="242">
                  <c:v>21.19662028596548</c:v>
                </c:pt>
                <c:pt idx="243">
                  <c:v>20.847680379389686</c:v>
                </c:pt>
                <c:pt idx="244">
                  <c:v>20.499254939886185</c:v>
                </c:pt>
                <c:pt idx="245">
                  <c:v>20.143640672230958</c:v>
                </c:pt>
                <c:pt idx="246">
                  <c:v>19.788565539011927</c:v>
                </c:pt>
                <c:pt idx="247">
                  <c:v>19.43403028970144</c:v>
                </c:pt>
                <c:pt idx="248">
                  <c:v>19.080035630585655</c:v>
                </c:pt>
                <c:pt idx="249">
                  <c:v>18.71796817776135</c:v>
                </c:pt>
                <c:pt idx="250">
                  <c:v>18.356469371768554</c:v>
                </c:pt>
                <c:pt idx="251">
                  <c:v>17.995539835889417</c:v>
                </c:pt>
                <c:pt idx="252">
                  <c:v>17.635180149180655</c:v>
                </c:pt>
                <c:pt idx="253">
                  <c:v>17.267782426096005</c:v>
                </c:pt>
                <c:pt idx="254">
                  <c:v>16.900980010893704</c:v>
                </c:pt>
                <c:pt idx="255">
                  <c:v>16.534773382540948</c:v>
                </c:pt>
                <c:pt idx="256">
                  <c:v>16.16916297532299</c:v>
                </c:pt>
                <c:pt idx="257">
                  <c:v>15.794700795262287</c:v>
                </c:pt>
                <c:pt idx="258">
                  <c:v>15.420866913970144</c:v>
                </c:pt>
                <c:pt idx="259">
                  <c:v>15.047661659111981</c:v>
                </c:pt>
                <c:pt idx="260">
                  <c:v>14.675085312422539</c:v>
                </c:pt>
                <c:pt idx="261">
                  <c:v>14.294692078517613</c:v>
                </c:pt>
                <c:pt idx="262">
                  <c:v>13.914957117055792</c:v>
                </c:pt>
                <c:pt idx="263">
                  <c:v>13.535880585894176</c:v>
                </c:pt>
                <c:pt idx="264">
                  <c:v>13.157462596329793</c:v>
                </c:pt>
                <c:pt idx="265">
                  <c:v>12.771316041762475</c:v>
                </c:pt>
                <c:pt idx="266">
                  <c:v>12.385857712626347</c:v>
                </c:pt>
                <c:pt idx="267">
                  <c:v>12.001087582672199</c:v>
                </c:pt>
                <c:pt idx="268">
                  <c:v>11.617005578618574</c:v>
                </c:pt>
                <c:pt idx="269">
                  <c:v>11.224359365173314</c:v>
                </c:pt>
                <c:pt idx="270">
                  <c:v>10.832434619079436</c:v>
                </c:pt>
                <c:pt idx="271">
                  <c:v>10.441231114183353</c:v>
                </c:pt>
                <c:pt idx="272">
                  <c:v>10.050748576557567</c:v>
                </c:pt>
                <c:pt idx="273">
                  <c:v>9.6518028837502357</c:v>
                </c:pt>
                <c:pt idx="274">
                  <c:v>9.2536118371469058</c:v>
                </c:pt>
                <c:pt idx="275">
                  <c:v>8.8561749936716296</c:v>
                </c:pt>
                <c:pt idx="276">
                  <c:v>8.4594918619346799</c:v>
                </c:pt>
                <c:pt idx="277">
                  <c:v>8.0553593413858948</c:v>
                </c:pt>
                <c:pt idx="278">
                  <c:v>7.6520109324810619</c:v>
                </c:pt>
                <c:pt idx="279">
                  <c:v>7.2494459632735868</c:v>
                </c:pt>
                <c:pt idx="280">
                  <c:v>6.8476637136146792</c:v>
                </c:pt>
                <c:pt idx="281">
                  <c:v>6.435811975751534</c:v>
                </c:pt>
                <c:pt idx="282">
                  <c:v>6.0247842446661934</c:v>
                </c:pt>
                <c:pt idx="283">
                  <c:v>5.6145795880084393</c:v>
                </c:pt>
                <c:pt idx="284">
                  <c:v>5.2051970242650896</c:v>
                </c:pt>
                <c:pt idx="285">
                  <c:v>4.7885623613652513</c:v>
                </c:pt>
                <c:pt idx="286">
                  <c:v>4.3727804222363318</c:v>
                </c:pt>
                <c:pt idx="287">
                  <c:v>3.9578500149111449</c:v>
                </c:pt>
                <c:pt idx="288">
                  <c:v>3.5437698988395141</c:v>
                </c:pt>
                <c:pt idx="289">
                  <c:v>3.1198630250115116</c:v>
                </c:pt>
                <c:pt idx="290">
                  <c:v>2.6968481947028806</c:v>
                </c:pt>
                <c:pt idx="291">
                  <c:v>2.2747239164259554</c:v>
                </c:pt>
                <c:pt idx="292">
                  <c:v>1.8534886496857439</c:v>
                </c:pt>
                <c:pt idx="293">
                  <c:v>1.4234373632340862</c:v>
                </c:pt>
                <c:pt idx="294">
                  <c:v>0.99431323743496591</c:v>
                </c:pt>
                <c:pt idx="295">
                  <c:v>0.5661144707225958</c:v>
                </c:pt>
                <c:pt idx="296">
                  <c:v>0.13883921280969957</c:v>
                </c:pt>
                <c:pt idx="297">
                  <c:v>-0.29713397024673327</c:v>
                </c:pt>
                <c:pt idx="298">
                  <c:v>-0.73214551841951447</c:v>
                </c:pt>
                <c:pt idx="299">
                  <c:v>-1.1661975605729538</c:v>
                </c:pt>
                <c:pt idx="300">
                  <c:v>-1.5992922737222557</c:v>
                </c:pt>
                <c:pt idx="301">
                  <c:v>-2.0409663700324074</c:v>
                </c:pt>
                <c:pt idx="302">
                  <c:v>-2.481645125991804</c:v>
                </c:pt>
                <c:pt idx="303">
                  <c:v>-2.921331014103913</c:v>
                </c:pt>
                <c:pt idx="304">
                  <c:v>-3.3600265541643637</c:v>
                </c:pt>
                <c:pt idx="305">
                  <c:v>-3.8089005752339347</c:v>
                </c:pt>
                <c:pt idx="306">
                  <c:v>-4.256738529897234</c:v>
                </c:pt>
                <c:pt idx="307">
                  <c:v>-4.7035432827522925</c:v>
                </c:pt>
                <c:pt idx="308">
                  <c:v>-5.1493177452473731</c:v>
                </c:pt>
                <c:pt idx="309">
                  <c:v>-5.6034259094957406</c:v>
                </c:pt>
                <c:pt idx="310">
                  <c:v>-6.0564661822646997</c:v>
                </c:pt>
                <c:pt idx="311">
                  <c:v>-6.5084418057820415</c:v>
                </c:pt>
                <c:pt idx="312">
                  <c:v>-6.9593560676476045</c:v>
                </c:pt>
                <c:pt idx="313">
                  <c:v>-7.4201712135767082</c:v>
                </c:pt>
                <c:pt idx="314">
                  <c:v>-7.8798797169824866</c:v>
                </c:pt>
                <c:pt idx="315">
                  <c:v>-8.3384852514390104</c:v>
                </c:pt>
                <c:pt idx="316">
                  <c:v>-8.7959915347801143</c:v>
                </c:pt>
                <c:pt idx="317">
                  <c:v>-9.2632559304980759</c:v>
                </c:pt>
                <c:pt idx="318">
                  <c:v>-9.7293761297070205</c:v>
                </c:pt>
                <c:pt idx="319">
                  <c:v>-10.19435625755824</c:v>
                </c:pt>
                <c:pt idx="320">
                  <c:v>-10.658200482000098</c:v>
                </c:pt>
                <c:pt idx="321">
                  <c:v>-11.131660337674987</c:v>
                </c:pt>
                <c:pt idx="322">
                  <c:v>-11.603939803797573</c:v>
                </c:pt>
                <c:pt idx="323">
                  <c:v>-12.075043476130759</c:v>
                </c:pt>
                <c:pt idx="324">
                  <c:v>-12.544975991436331</c:v>
                </c:pt>
                <c:pt idx="325">
                  <c:v>-13.024382279736614</c:v>
                </c:pt>
                <c:pt idx="326">
                  <c:v>-13.50257350699718</c:v>
                </c:pt>
                <c:pt idx="327">
                  <c:v>-13.979554757400166</c:v>
                </c:pt>
                <c:pt idx="328">
                  <c:v>-14.455331154012413</c:v>
                </c:pt>
                <c:pt idx="329">
                  <c:v>-14.941250592602586</c:v>
                </c:pt>
                <c:pt idx="330">
                  <c:v>-15.425917808973452</c:v>
                </c:pt>
                <c:pt idx="331">
                  <c:v>-15.909338420490371</c:v>
                </c:pt>
                <c:pt idx="332">
                  <c:v>-16.391518081239582</c:v>
                </c:pt>
                <c:pt idx="333">
                  <c:v>-16.882886686476041</c:v>
                </c:pt>
                <c:pt idx="334">
                  <c:v>-17.372971935751025</c:v>
                </c:pt>
                <c:pt idx="335">
                  <c:v>-17.8617799690075</c:v>
                </c:pt>
                <c:pt idx="336">
                  <c:v>-18.349316960213741</c:v>
                </c:pt>
                <c:pt idx="337">
                  <c:v>-18.847491723590139</c:v>
                </c:pt>
                <c:pt idx="338">
                  <c:v>-19.34434559831783</c:v>
                </c:pt>
                <c:pt idx="339">
                  <c:v>-19.839885325581264</c:v>
                </c:pt>
                <c:pt idx="340">
                  <c:v>-20.334117678064899</c:v>
                </c:pt>
                <c:pt idx="341">
                  <c:v>-20.838826212008996</c:v>
                </c:pt>
                <c:pt idx="342">
                  <c:v>-21.342178535391923</c:v>
                </c:pt>
                <c:pt idx="343">
                  <c:v>-21.84418201232566</c:v>
                </c:pt>
                <c:pt idx="344">
                  <c:v>-22.344844035605803</c:v>
                </c:pt>
                <c:pt idx="345">
                  <c:v>-22.855045990821424</c:v>
                </c:pt>
                <c:pt idx="346">
                  <c:v>-23.363863040214596</c:v>
                </c:pt>
                <c:pt idx="347">
                  <c:v>-23.871303154819202</c:v>
                </c:pt>
                <c:pt idx="348">
                  <c:v>-24.377374331143784</c:v>
                </c:pt>
                <c:pt idx="349">
                  <c:v>-24.894377662549374</c:v>
                </c:pt>
                <c:pt idx="350">
                  <c:v>-25.409961527383643</c:v>
                </c:pt>
                <c:pt idx="351">
                  <c:v>-25.924134596173815</c:v>
                </c:pt>
                <c:pt idx="352">
                  <c:v>-26.436905561837165</c:v>
                </c:pt>
                <c:pt idx="353">
                  <c:v>-26.960441883813957</c:v>
                </c:pt>
                <c:pt idx="354">
                  <c:v>-27.482527047866199</c:v>
                </c:pt>
                <c:pt idx="355">
                  <c:v>-28.003170447307269</c:v>
                </c:pt>
                <c:pt idx="356">
                  <c:v>-28.522381494574972</c:v>
                </c:pt>
                <c:pt idx="357">
                  <c:v>-29.051442826469327</c:v>
                </c:pt>
                <c:pt idx="358">
                  <c:v>-29.579028592810033</c:v>
                </c:pt>
                <c:pt idx="359">
                  <c:v>-30.105148889117658</c:v>
                </c:pt>
                <c:pt idx="360">
                  <c:v>-30.629813826578044</c:v>
                </c:pt>
                <c:pt idx="361">
                  <c:v>-31.165668257697774</c:v>
                </c:pt>
                <c:pt idx="362">
                  <c:v>-31.700017605766789</c:v>
                </c:pt>
                <c:pt idx="363">
                  <c:v>-32.23287277696059</c:v>
                </c:pt>
                <c:pt idx="364">
                  <c:v>-32.76424468980079</c:v>
                </c:pt>
                <c:pt idx="365">
                  <c:v>-33.305903181368848</c:v>
                </c:pt>
                <c:pt idx="366">
                  <c:v>-33.846034866228791</c:v>
                </c:pt>
                <c:pt idx="367">
                  <c:v>-34.384651440152311</c:v>
                </c:pt>
                <c:pt idx="368">
                  <c:v>-34.92176460789122</c:v>
                </c:pt>
                <c:pt idx="369">
                  <c:v>-35.470466932550409</c:v>
                </c:pt>
                <c:pt idx="370">
                  <c:v>-36.017616309246677</c:v>
                </c:pt>
                <c:pt idx="371">
                  <c:v>-36.563225345667405</c:v>
                </c:pt>
                <c:pt idx="372">
                  <c:v>-37.107306655306218</c:v>
                </c:pt>
                <c:pt idx="373">
                  <c:v>-37.662088414394105</c:v>
                </c:pt>
                <c:pt idx="374">
                  <c:v>-38.215299470096653</c:v>
                </c:pt>
                <c:pt idx="375">
                  <c:v>-38.766953321701436</c:v>
                </c:pt>
                <c:pt idx="376">
                  <c:v>-39.317063471267204</c:v>
                </c:pt>
                <c:pt idx="377">
                  <c:v>-39.879143050210587</c:v>
                </c:pt>
                <c:pt idx="378">
                  <c:v>-40.439630612244486</c:v>
                </c:pt>
                <c:pt idx="379">
                  <c:v>-40.998540686725335</c:v>
                </c:pt>
                <c:pt idx="380">
                  <c:v>-41.555887803041884</c:v>
                </c:pt>
                <c:pt idx="381">
                  <c:v>-42.123629803674987</c:v>
                </c:pt>
                <c:pt idx="382">
                  <c:v>-42.689771502477299</c:v>
                </c:pt>
                <c:pt idx="383">
                  <c:v>-43.25432838345759</c:v>
                </c:pt>
                <c:pt idx="384">
                  <c:v>-43.817315928302747</c:v>
                </c:pt>
                <c:pt idx="385">
                  <c:v>-44.392644110512492</c:v>
                </c:pt>
                <c:pt idx="386">
                  <c:v>-44.966357117222572</c:v>
                </c:pt>
                <c:pt idx="387">
                  <c:v>-45.538471599621346</c:v>
                </c:pt>
                <c:pt idx="388">
                  <c:v>-46.109004204691843</c:v>
                </c:pt>
                <c:pt idx="389">
                  <c:v>-46.691025115109795</c:v>
                </c:pt>
                <c:pt idx="390">
                  <c:v>-47.271425854249628</c:v>
                </c:pt>
                <c:pt idx="391">
                  <c:v>-47.850224227848827</c:v>
                </c:pt>
                <c:pt idx="392">
                  <c:v>-48.427438036210106</c:v>
                </c:pt>
                <c:pt idx="393">
                  <c:v>-49.01599546612033</c:v>
                </c:pt>
                <c:pt idx="394">
                  <c:v>-49.602933975196066</c:v>
                </c:pt>
                <c:pt idx="395">
                  <c:v>-50.188272572381152</c:v>
                </c:pt>
                <c:pt idx="396">
                  <c:v>-50.772030260752189</c:v>
                </c:pt>
                <c:pt idx="397">
                  <c:v>-51.368341009848621</c:v>
                </c:pt>
                <c:pt idx="398">
                  <c:v>-51.96303349730718</c:v>
                </c:pt>
                <c:pt idx="399">
                  <c:v>-52.556128126271801</c:v>
                </c:pt>
                <c:pt idx="400">
                  <c:v>-53.147645294502126</c:v>
                </c:pt>
                <c:pt idx="401">
                  <c:v>-53.750904966352607</c:v>
                </c:pt>
                <c:pt idx="402">
                  <c:v>-54.352558280630774</c:v>
                </c:pt>
                <c:pt idx="403">
                  <c:v>-54.952627033317015</c:v>
                </c:pt>
                <c:pt idx="404">
                  <c:v>-55.551133016674925</c:v>
                </c:pt>
                <c:pt idx="405">
                  <c:v>-56.161916858342238</c:v>
                </c:pt>
                <c:pt idx="406">
                  <c:v>-56.771110793138291</c:v>
                </c:pt>
                <c:pt idx="407">
                  <c:v>-57.378738156732993</c:v>
                </c:pt>
                <c:pt idx="408">
                  <c:v>-57.984822284104609</c:v>
                </c:pt>
                <c:pt idx="409">
                  <c:v>-58.603716040800322</c:v>
                </c:pt>
                <c:pt idx="410">
                  <c:v>-59.22104193638404</c:v>
                </c:pt>
                <c:pt idx="411">
                  <c:v>-59.836825011434797</c:v>
                </c:pt>
                <c:pt idx="412">
                  <c:v>-60.451090310492617</c:v>
                </c:pt>
                <c:pt idx="413">
                  <c:v>-61.078050856123497</c:v>
                </c:pt>
                <c:pt idx="414">
                  <c:v>-61.703475503630017</c:v>
                </c:pt>
                <c:pt idx="415">
                  <c:v>-62.327391101771013</c:v>
                </c:pt>
                <c:pt idx="416">
                  <c:v>-62.949824509817205</c:v>
                </c:pt>
                <c:pt idx="417">
                  <c:v>-63.585494233566493</c:v>
                </c:pt>
                <c:pt idx="418">
                  <c:v>-64.219667719864219</c:v>
                </c:pt>
                <c:pt idx="419">
                  <c:v>-64.852373827675734</c:v>
                </c:pt>
                <c:pt idx="420">
                  <c:v>-65.483641435273029</c:v>
                </c:pt>
                <c:pt idx="421">
                  <c:v>-66.127424237600536</c:v>
                </c:pt>
                <c:pt idx="422">
                  <c:v>-66.769765238875294</c:v>
                </c:pt>
                <c:pt idx="423">
                  <c:v>-67.410695353878054</c:v>
                </c:pt>
                <c:pt idx="424">
                  <c:v>-68.050245527885465</c:v>
                </c:pt>
                <c:pt idx="425">
                  <c:v>-68.704133768010934</c:v>
                </c:pt>
                <c:pt idx="426">
                  <c:v>-69.35663920327309</c:v>
                </c:pt>
                <c:pt idx="427">
                  <c:v>-70.007795236104727</c:v>
                </c:pt>
                <c:pt idx="428">
                  <c:v>-70.657635313835925</c:v>
                </c:pt>
                <c:pt idx="429">
                  <c:v>-71.3211304110946</c:v>
                </c:pt>
                <c:pt idx="430">
                  <c:v>-71.983319154085308</c:v>
                </c:pt>
                <c:pt idx="431">
                  <c:v>-72.644237522518921</c:v>
                </c:pt>
                <c:pt idx="432">
                  <c:v>-73.303921558474997</c:v>
                </c:pt>
                <c:pt idx="433">
                  <c:v>-73.977232962163583</c:v>
                </c:pt>
                <c:pt idx="434">
                  <c:v>-74.649330207666168</c:v>
                </c:pt>
                <c:pt idx="435">
                  <c:v>-75.320252053583545</c:v>
                </c:pt>
                <c:pt idx="436">
                  <c:v>-75.990037341769465</c:v>
                </c:pt>
                <c:pt idx="437">
                  <c:v>-76.674676901496753</c:v>
                </c:pt>
                <c:pt idx="438">
                  <c:v>-77.358207678239864</c:v>
                </c:pt>
                <c:pt idx="439">
                  <c:v>-78.040671659328154</c:v>
                </c:pt>
                <c:pt idx="440">
                  <c:v>-78.722110940577636</c:v>
                </c:pt>
                <c:pt idx="441">
                  <c:v>-79.418423502581902</c:v>
                </c:pt>
                <c:pt idx="442">
                  <c:v>-80.113752576883428</c:v>
                </c:pt>
                <c:pt idx="443">
                  <c:v>-80.808143654018636</c:v>
                </c:pt>
                <c:pt idx="444">
                  <c:v>-81.501642362194275</c:v>
                </c:pt>
                <c:pt idx="445">
                  <c:v>-82.210068450525341</c:v>
                </c:pt>
                <c:pt idx="446">
                  <c:v>-82.917658048654403</c:v>
                </c:pt>
                <c:pt idx="447">
                  <c:v>-83.624460452476853</c:v>
                </c:pt>
                <c:pt idx="448">
                  <c:v>-84.330525128502359</c:v>
                </c:pt>
                <c:pt idx="449">
                  <c:v>-85.052817881165424</c:v>
                </c:pt>
                <c:pt idx="450">
                  <c:v>-85.774442631271086</c:v>
                </c:pt>
                <c:pt idx="451">
                  <c:v>-86.495453079339427</c:v>
                </c:pt>
                <c:pt idx="452">
                  <c:v>-87.215903134049995</c:v>
                </c:pt>
                <c:pt idx="453">
                  <c:v>-87.952108003483715</c:v>
                </c:pt>
                <c:pt idx="454">
                  <c:v>-88.687841575026653</c:v>
                </c:pt>
                <c:pt idx="455">
                  <c:v>-89.423162200436821</c:v>
                </c:pt>
                <c:pt idx="456">
                  <c:v>-90.158128478900835</c:v>
                </c:pt>
                <c:pt idx="457">
                  <c:v>-90.910231059704472</c:v>
                </c:pt>
                <c:pt idx="458">
                  <c:v>-91.662087372820054</c:v>
                </c:pt>
                <c:pt idx="459">
                  <c:v>-92.413761122187395</c:v>
                </c:pt>
                <c:pt idx="460">
                  <c:v>-93.165316300597681</c:v>
                </c:pt>
                <c:pt idx="461">
                  <c:v>-93.93423794909728</c:v>
                </c:pt>
                <c:pt idx="462">
                  <c:v>-94.7031719463738</c:v>
                </c:pt>
                <c:pt idx="463">
                  <c:v>-95.472187797852371</c:v>
                </c:pt>
                <c:pt idx="464">
                  <c:v>-96.241355336660206</c:v>
                </c:pt>
                <c:pt idx="465">
                  <c:v>-97.02878051894794</c:v>
                </c:pt>
                <c:pt idx="466">
                  <c:v>-97.816513642165091</c:v>
                </c:pt>
                <c:pt idx="467">
                  <c:v>-98.604630636503657</c:v>
                </c:pt>
                <c:pt idx="468">
                  <c:v>-99.393207791930138</c:v>
                </c:pt>
                <c:pt idx="469">
                  <c:v>-100.20039996290569</c:v>
                </c:pt>
                <c:pt idx="470">
                  <c:v>-101.00823622999286</c:v>
                </c:pt>
                <c:pt idx="471">
                  <c:v>-101.81679939364574</c:v>
                </c:pt>
                <c:pt idx="472">
                  <c:v>-102.62617263021326</c:v>
                </c:pt>
                <c:pt idx="473">
                  <c:v>-103.45580075622928</c:v>
                </c:pt>
                <c:pt idx="474">
                  <c:v>-104.28645575306615</c:v>
                </c:pt>
                <c:pt idx="475">
                  <c:v>-105.11822806387477</c:v>
                </c:pt>
                <c:pt idx="476">
                  <c:v>-105.95120849766982</c:v>
                </c:pt>
                <c:pt idx="477">
                  <c:v>-106.80496287229255</c:v>
                </c:pt>
                <c:pt idx="478">
                  <c:v>-107.66017588643331</c:v>
                </c:pt>
                <c:pt idx="479">
                  <c:v>-108.5169459192818</c:v>
                </c:pt>
                <c:pt idx="480">
                  <c:v>-109.3753716587737</c:v>
                </c:pt>
                <c:pt idx="481">
                  <c:v>-110.25517855358095</c:v>
                </c:pt>
                <c:pt idx="482">
                  <c:v>-111.13692716977238</c:v>
                </c:pt>
                <c:pt idx="483">
                  <c:v>-112.02072388300195</c:v>
                </c:pt>
                <c:pt idx="484">
                  <c:v>-112.90667524661472</c:v>
                </c:pt>
                <c:pt idx="485">
                  <c:v>-113.81532693999185</c:v>
                </c:pt>
                <c:pt idx="486">
                  <c:v>-114.7264593718553</c:v>
                </c:pt>
                <c:pt idx="487">
                  <c:v>-115.6401868319889</c:v>
                </c:pt>
                <c:pt idx="488">
                  <c:v>-116.5566235450035</c:v>
                </c:pt>
                <c:pt idx="489">
                  <c:v>-117.49782100566557</c:v>
                </c:pt>
                <c:pt idx="490">
                  <c:v>-118.44210011026291</c:v>
                </c:pt>
                <c:pt idx="491">
                  <c:v>-119.38958267145364</c:v>
                </c:pt>
                <c:pt idx="492">
                  <c:v>-120.34039002576583</c:v>
                </c:pt>
                <c:pt idx="493">
                  <c:v>-121.31689158271382</c:v>
                </c:pt>
                <c:pt idx="494">
                  <c:v>-122.29712946741711</c:v>
                </c:pt>
                <c:pt idx="495">
                  <c:v>-123.28123129029842</c:v>
                </c:pt>
                <c:pt idx="496">
                  <c:v>-124.26932353214426</c:v>
                </c:pt>
                <c:pt idx="497">
                  <c:v>-125.28479116591319</c:v>
                </c:pt>
                <c:pt idx="498">
                  <c:v>-126.30470170415686</c:v>
                </c:pt>
                <c:pt idx="499">
                  <c:v>-127.32918579427337</c:v>
                </c:pt>
                <c:pt idx="500">
                  <c:v>-128.3583719585364</c:v>
                </c:pt>
                <c:pt idx="501">
                  <c:v>-129.41673651736193</c:v>
                </c:pt>
                <c:pt idx="502">
                  <c:v>-130.48029114024655</c:v>
                </c:pt>
                <c:pt idx="503">
                  <c:v>-131.549164932927</c:v>
                </c:pt>
                <c:pt idx="504">
                  <c:v>-132.62348341427196</c:v>
                </c:pt>
                <c:pt idx="505">
                  <c:v>-133.72822087589822</c:v>
                </c:pt>
                <c:pt idx="506">
                  <c:v>-134.83890848283971</c:v>
                </c:pt>
                <c:pt idx="507">
                  <c:v>-135.95566650171367</c:v>
                </c:pt>
                <c:pt idx="508">
                  <c:v>-137.0786095552881</c:v>
                </c:pt>
                <c:pt idx="509">
                  <c:v>-138.23394358138637</c:v>
                </c:pt>
                <c:pt idx="510">
                  <c:v>-139.39597350174751</c:v>
                </c:pt>
                <c:pt idx="511">
                  <c:v>-140.56480046475951</c:v>
                </c:pt>
                <c:pt idx="512">
                  <c:v>-141.74051718003301</c:v>
                </c:pt>
                <c:pt idx="513">
                  <c:v>-142.95133500575781</c:v>
                </c:pt>
                <c:pt idx="514">
                  <c:v>-144.16954003288402</c:v>
                </c:pt>
                <c:pt idx="515">
                  <c:v>-145.39520012603845</c:v>
                </c:pt>
                <c:pt idx="516">
                  <c:v>-146.62837105488478</c:v>
                </c:pt>
                <c:pt idx="517">
                  <c:v>-147.89792262837034</c:v>
                </c:pt>
                <c:pt idx="518">
                  <c:v>-149.1754131419774</c:v>
                </c:pt>
                <c:pt idx="519">
                  <c:v>-150.46085813846662</c:v>
                </c:pt>
                <c:pt idx="520">
                  <c:v>-151.75425661663877</c:v>
                </c:pt>
                <c:pt idx="521">
                  <c:v>-153.08587922346567</c:v>
                </c:pt>
                <c:pt idx="522">
                  <c:v>-154.42577005359266</c:v>
                </c:pt>
                <c:pt idx="523">
                  <c:v>-155.77386902382682</c:v>
                </c:pt>
                <c:pt idx="524">
                  <c:v>-157.13009449570546</c:v>
                </c:pt>
                <c:pt idx="525">
                  <c:v>-158.52612849411975</c:v>
                </c:pt>
                <c:pt idx="526">
                  <c:v>-159.93042569408794</c:v>
                </c:pt>
                <c:pt idx="527">
                  <c:v>-161.34282386465748</c:v>
                </c:pt>
                <c:pt idx="528">
                  <c:v>-162.76313425624051</c:v>
                </c:pt>
                <c:pt idx="529">
                  <c:v>-164.22442225052123</c:v>
                </c:pt>
                <c:pt idx="530">
                  <c:v>-165.69350770908778</c:v>
                </c:pt>
                <c:pt idx="531">
                  <c:v>-167.17009953904761</c:v>
                </c:pt>
                <c:pt idx="532">
                  <c:v>-168.65387629136694</c:v>
                </c:pt>
                <c:pt idx="533">
                  <c:v>-170.1800007958152</c:v>
                </c:pt>
                <c:pt idx="534">
                  <c:v>-171.71287717256592</c:v>
                </c:pt>
                <c:pt idx="535">
                  <c:v>-173.25206308700967</c:v>
                </c:pt>
                <c:pt idx="536">
                  <c:v>-174.79708460300787</c:v>
                </c:pt>
                <c:pt idx="537">
                  <c:v>-176.38269390745046</c:v>
                </c:pt>
                <c:pt idx="538">
                  <c:v>-177.97330769067037</c:v>
                </c:pt>
                <c:pt idx="539">
                  <c:v>-179.56832430615219</c:v>
                </c:pt>
                <c:pt idx="540">
                  <c:v>-181.16711377164648</c:v>
                </c:pt>
                <c:pt idx="541">
                  <c:v>-182.80703901487999</c:v>
                </c:pt>
                <c:pt idx="542">
                  <c:v>-184.44950112715395</c:v>
                </c:pt>
                <c:pt idx="543">
                  <c:v>-186.09374792550466</c:v>
                </c:pt>
                <c:pt idx="544">
                  <c:v>-187.73900777280159</c:v>
                </c:pt>
                <c:pt idx="545">
                  <c:v>-189.42260564402062</c:v>
                </c:pt>
                <c:pt idx="546">
                  <c:v>-191.10558282650771</c:v>
                </c:pt>
                <c:pt idx="547">
                  <c:v>-12.787073371907468</c:v>
                </c:pt>
                <c:pt idx="548">
                  <c:v>-14.466207344736432</c:v>
                </c:pt>
                <c:pt idx="549">
                  <c:v>-16.180818263213922</c:v>
                </c:pt>
                <c:pt idx="550">
                  <c:v>-17.891123505982847</c:v>
                </c:pt>
                <c:pt idx="551">
                  <c:v>-19.596205319852828</c:v>
                </c:pt>
                <c:pt idx="552">
                  <c:v>-21.295160513914851</c:v>
                </c:pt>
                <c:pt idx="553">
                  <c:v>-23.026842810976717</c:v>
                </c:pt>
                <c:pt idx="554">
                  <c:v>-24.750258451119322</c:v>
                </c:pt>
                <c:pt idx="555">
                  <c:v>-26.464515783392642</c:v>
                </c:pt>
                <c:pt idx="556">
                  <c:v>-28.168757961073112</c:v>
                </c:pt>
                <c:pt idx="557">
                  <c:v>-31.622575300539239</c:v>
                </c:pt>
                <c:pt idx="558">
                  <c:v>-35.024599778129755</c:v>
                </c:pt>
                <c:pt idx="559">
                  <c:v>-38.445160682608787</c:v>
                </c:pt>
                <c:pt idx="560">
                  <c:v>-41.800592148039925</c:v>
                </c:pt>
                <c:pt idx="561">
                  <c:v>-45.163936493396392</c:v>
                </c:pt>
                <c:pt idx="562">
                  <c:v>-48.451492008230929</c:v>
                </c:pt>
                <c:pt idx="563">
                  <c:v>-51.729025651972307</c:v>
                </c:pt>
                <c:pt idx="564">
                  <c:v>-54.923805239922558</c:v>
                </c:pt>
                <c:pt idx="565">
                  <c:v>-58.112817441461488</c:v>
                </c:pt>
                <c:pt idx="566">
                  <c:v>-61.214953412872006</c:v>
                </c:pt>
                <c:pt idx="567">
                  <c:v>-64.30463467531689</c:v>
                </c:pt>
                <c:pt idx="568">
                  <c:v>-67.306621382761449</c:v>
                </c:pt>
                <c:pt idx="569">
                  <c:v>-70.281139853082408</c:v>
                </c:pt>
                <c:pt idx="570">
                  <c:v>-73.170665036307383</c:v>
                </c:pt>
                <c:pt idx="571">
                  <c:v>-76.054965512526223</c:v>
                </c:pt>
                <c:pt idx="572">
                  <c:v>-78.857945417922622</c:v>
                </c:pt>
                <c:pt idx="573">
                  <c:v>-81.635527995059306</c:v>
                </c:pt>
                <c:pt idx="574">
                  <c:v>-84.338451154551308</c:v>
                </c:pt>
                <c:pt idx="575">
                  <c:v>-87.039925147856138</c:v>
                </c:pt>
                <c:pt idx="576">
                  <c:v>-89.673574016792998</c:v>
                </c:pt>
                <c:pt idx="577">
                  <c:v>-100.19511256067182</c:v>
                </c:pt>
                <c:pt idx="578">
                  <c:v>-109.987687710621</c:v>
                </c:pt>
                <c:pt idx="579">
                  <c:v>-130.63121279983665</c:v>
                </c:pt>
                <c:pt idx="580">
                  <c:v>-155.63312786338628</c:v>
                </c:pt>
                <c:pt idx="581">
                  <c:v>-191.59851834547823</c:v>
                </c:pt>
                <c:pt idx="582">
                  <c:v>-58.374811838539671</c:v>
                </c:pt>
                <c:pt idx="583">
                  <c:v>-97.811521482669605</c:v>
                </c:pt>
                <c:pt idx="584">
                  <c:v>-128.70097220733442</c:v>
                </c:pt>
                <c:pt idx="585">
                  <c:v>-164.73333331287392</c:v>
                </c:pt>
                <c:pt idx="586">
                  <c:v>-45.164103057923739</c:v>
                </c:pt>
                <c:pt idx="587">
                  <c:v>-102.70478128679827</c:v>
                </c:pt>
                <c:pt idx="588">
                  <c:v>-145.29624296247374</c:v>
                </c:pt>
                <c:pt idx="589">
                  <c:v>-35.409790198019437</c:v>
                </c:pt>
                <c:pt idx="590">
                  <c:v>-109.02104398033345</c:v>
                </c:pt>
                <c:pt idx="591">
                  <c:v>-169.50901849287817</c:v>
                </c:pt>
                <c:pt idx="592">
                  <c:v>-90.186580129958372</c:v>
                </c:pt>
                <c:pt idx="593">
                  <c:v>-161.87149626683043</c:v>
                </c:pt>
                <c:pt idx="594">
                  <c:v>-97.597203435437166</c:v>
                </c:pt>
                <c:pt idx="595">
                  <c:v>-196.2840978073703</c:v>
                </c:pt>
                <c:pt idx="596">
                  <c:v>-132.21018525959965</c:v>
                </c:pt>
                <c:pt idx="597">
                  <c:v>-95.764755789604635</c:v>
                </c:pt>
                <c:pt idx="598">
                  <c:v>-62.252340604824127</c:v>
                </c:pt>
                <c:pt idx="599">
                  <c:v>-35.045606407375544</c:v>
                </c:pt>
                <c:pt idx="600">
                  <c:v>-26.284602092928679</c:v>
                </c:pt>
              </c:numCache>
            </c:numRef>
          </c:yVal>
          <c:smooth val="0"/>
          <c:extLst>
            <c:ext xmlns:c16="http://schemas.microsoft.com/office/drawing/2014/chart" uri="{C3380CC4-5D6E-409C-BE32-E72D297353CC}">
              <c16:uniqueId val="{00000001-52E8-40C0-BDC9-E7AD10D908CE}"/>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Single'!$AN$110:$AN$210</c:f>
              <c:numCache>
                <c:formatCode>0.0</c:formatCode>
                <c:ptCount val="101"/>
                <c:pt idx="0">
                  <c:v>12</c:v>
                </c:pt>
                <c:pt idx="1">
                  <c:v>12</c:v>
                </c:pt>
                <c:pt idx="2">
                  <c:v>12.807489737564312</c:v>
                </c:pt>
                <c:pt idx="3">
                  <c:v>19.211234606346469</c:v>
                </c:pt>
                <c:pt idx="4">
                  <c:v>25.614979475128624</c:v>
                </c:pt>
                <c:pt idx="5">
                  <c:v>32.018724343910783</c:v>
                </c:pt>
                <c:pt idx="6">
                  <c:v>38.422469212692938</c:v>
                </c:pt>
                <c:pt idx="7">
                  <c:v>44.826214081475094</c:v>
                </c:pt>
                <c:pt idx="8">
                  <c:v>51.229958950257249</c:v>
                </c:pt>
                <c:pt idx="9">
                  <c:v>57.633703819039404</c:v>
                </c:pt>
                <c:pt idx="10">
                  <c:v>64.037448687821566</c:v>
                </c:pt>
                <c:pt idx="11">
                  <c:v>70.441193556603707</c:v>
                </c:pt>
                <c:pt idx="12">
                  <c:v>76.844938425385877</c:v>
                </c:pt>
                <c:pt idx="13">
                  <c:v>83.248683294168032</c:v>
                </c:pt>
                <c:pt idx="14">
                  <c:v>89.652428162950187</c:v>
                </c:pt>
                <c:pt idx="15">
                  <c:v>96.056173031732342</c:v>
                </c:pt>
                <c:pt idx="16">
                  <c:v>102.4599179005145</c:v>
                </c:pt>
                <c:pt idx="17">
                  <c:v>108.86366276929665</c:v>
                </c:pt>
                <c:pt idx="18">
                  <c:v>115.26740763807881</c:v>
                </c:pt>
                <c:pt idx="19">
                  <c:v>121.67115250686096</c:v>
                </c:pt>
                <c:pt idx="20">
                  <c:v>128.07489737564313</c:v>
                </c:pt>
                <c:pt idx="21">
                  <c:v>134.47864224442529</c:v>
                </c:pt>
                <c:pt idx="22">
                  <c:v>140.88238711320741</c:v>
                </c:pt>
                <c:pt idx="23">
                  <c:v>147.2861319819896</c:v>
                </c:pt>
                <c:pt idx="24">
                  <c:v>153.68987685077175</c:v>
                </c:pt>
                <c:pt idx="25">
                  <c:v>160.09362171955388</c:v>
                </c:pt>
                <c:pt idx="26">
                  <c:v>166.49736658833606</c:v>
                </c:pt>
                <c:pt idx="27">
                  <c:v>172.90111145711822</c:v>
                </c:pt>
                <c:pt idx="28">
                  <c:v>179.30485632590037</c:v>
                </c:pt>
                <c:pt idx="29">
                  <c:v>185.7086011946825</c:v>
                </c:pt>
                <c:pt idx="30">
                  <c:v>192.11234606346468</c:v>
                </c:pt>
                <c:pt idx="31">
                  <c:v>198.51609093224681</c:v>
                </c:pt>
                <c:pt idx="32">
                  <c:v>204.919835801029</c:v>
                </c:pt>
                <c:pt idx="33">
                  <c:v>211.32358066981118</c:v>
                </c:pt>
                <c:pt idx="34">
                  <c:v>217.72826212682159</c:v>
                </c:pt>
                <c:pt idx="35">
                  <c:v>204.61592320528865</c:v>
                </c:pt>
                <c:pt idx="36">
                  <c:v>199.13873841867425</c:v>
                </c:pt>
                <c:pt idx="37">
                  <c:v>193.94608776470636</c:v>
                </c:pt>
                <c:pt idx="38">
                  <c:v>189.01636057824894</c:v>
                </c:pt>
                <c:pt idx="39">
                  <c:v>184.33008062681185</c:v>
                </c:pt>
                <c:pt idx="40">
                  <c:v>179.86964894459393</c:v>
                </c:pt>
                <c:pt idx="41">
                  <c:v>175.6191229730521</c:v>
                </c:pt>
                <c:pt idx="42">
                  <c:v>171.56402616544887</c:v>
                </c:pt>
                <c:pt idx="43">
                  <c:v>167.69118326319872</c:v>
                </c:pt>
                <c:pt idx="44">
                  <c:v>163.98857729443057</c:v>
                </c:pt>
                <c:pt idx="45">
                  <c:v>160.44522502469391</c:v>
                </c:pt>
                <c:pt idx="46">
                  <c:v>157.05106814049589</c:v>
                </c:pt>
                <c:pt idx="47">
                  <c:v>153.79687789491044</c:v>
                </c:pt>
                <c:pt idx="48">
                  <c:v>150.67417131149895</c:v>
                </c:pt>
                <c:pt idx="49">
                  <c:v>147.67513734437239</c:v>
                </c:pt>
                <c:pt idx="50">
                  <c:v>144.79257164111004</c:v>
                </c:pt>
                <c:pt idx="51">
                  <c:v>142.01981876146894</c:v>
                </c:pt>
                <c:pt idx="52">
                  <c:v>139.35072087634342</c:v>
                </c:pt>
                <c:pt idx="53">
                  <c:v>136.77957211463541</c:v>
                </c:pt>
                <c:pt idx="54">
                  <c:v>134.30107784567684</c:v>
                </c:pt>
                <c:pt idx="55">
                  <c:v>131.91031828570851</c:v>
                </c:pt>
                <c:pt idx="56">
                  <c:v>129.60271590200171</c:v>
                </c:pt>
                <c:pt idx="57">
                  <c:v>127.3740061601965</c:v>
                </c:pt>
                <c:pt idx="58">
                  <c:v>125.22021122153177</c:v>
                </c:pt>
                <c:pt idx="59">
                  <c:v>123.13761624865195</c:v>
                </c:pt>
                <c:pt idx="60">
                  <c:v>121.1227480230752</c:v>
                </c:pt>
                <c:pt idx="61">
                  <c:v>119.17235561541321</c:v>
                </c:pt>
                <c:pt idx="62">
                  <c:v>117.28339288205198</c:v>
                </c:pt>
                <c:pt idx="63">
                  <c:v>115.45300259007067</c:v>
                </c:pt>
                <c:pt idx="64">
                  <c:v>113.67850199638561</c:v>
                </c:pt>
                <c:pt idx="65">
                  <c:v>111.95736972804107</c:v>
                </c:pt>
                <c:pt idx="66">
                  <c:v>110.28723382871169</c:v>
                </c:pt>
                <c:pt idx="67">
                  <c:v>108.66586085223986</c:v>
                </c:pt>
                <c:pt idx="68">
                  <c:v>107.09114589775035</c:v>
                </c:pt>
                <c:pt idx="69">
                  <c:v>105.56110349285022</c:v>
                </c:pt>
                <c:pt idx="70">
                  <c:v>104.07385924188468</c:v>
                </c:pt>
                <c:pt idx="71">
                  <c:v>102.62764216538004</c:v>
                </c:pt>
                <c:pt idx="72">
                  <c:v>101.22077766484566</c:v>
                </c:pt>
                <c:pt idx="73">
                  <c:v>99.851681054175614</c:v>
                </c:pt>
                <c:pt idx="74">
                  <c:v>98.518851605117007</c:v>
                </c:pt>
                <c:pt idx="75">
                  <c:v>97.220867059766135</c:v>
                </c:pt>
                <c:pt idx="76">
                  <c:v>95.956378567907976</c:v>
                </c:pt>
                <c:pt idx="77">
                  <c:v>94.724106011315186</c:v>
                </c:pt>
                <c:pt idx="78">
                  <c:v>93.522833680933957</c:v>
                </c:pt>
                <c:pt idx="79">
                  <c:v>92.351406276270836</c:v>
                </c:pt>
                <c:pt idx="80">
                  <c:v>91.208725199306258</c:v>
                </c:pt>
                <c:pt idx="81">
                  <c:v>90.093745117944437</c:v>
                </c:pt>
                <c:pt idx="82">
                  <c:v>89.005470776403826</c:v>
                </c:pt>
                <c:pt idx="83">
                  <c:v>87.942954032090782</c:v>
                </c:pt>
                <c:pt idx="84">
                  <c:v>86.905291100414274</c:v>
                </c:pt>
                <c:pt idx="85">
                  <c:v>85.891619990713465</c:v>
                </c:pt>
                <c:pt idx="86">
                  <c:v>84.90111811800935</c:v>
                </c:pt>
                <c:pt idx="87">
                  <c:v>83.933000076672855</c:v>
                </c:pt>
                <c:pt idx="88">
                  <c:v>82.98651556334606</c:v>
                </c:pt>
                <c:pt idx="89">
                  <c:v>82.060947437571357</c:v>
                </c:pt>
                <c:pt idx="90">
                  <c:v>81.155609909593807</c:v>
                </c:pt>
                <c:pt idx="91">
                  <c:v>80.269846845712308</c:v>
                </c:pt>
                <c:pt idx="92">
                  <c:v>79.403030182379922</c:v>
                </c:pt>
                <c:pt idx="93">
                  <c:v>78.554558440996445</c:v>
                </c:pt>
                <c:pt idx="94">
                  <c:v>77.723855336013699</c:v>
                </c:pt>
                <c:pt idx="95">
                  <c:v>76.910368469584313</c:v>
                </c:pt>
                <c:pt idx="96">
                  <c:v>76.113568106540313</c:v>
                </c:pt>
                <c:pt idx="97">
                  <c:v>75.332946023993046</c:v>
                </c:pt>
                <c:pt idx="98">
                  <c:v>74.568014430304757</c:v>
                </c:pt>
                <c:pt idx="99">
                  <c:v>73.818304948599419</c:v>
                </c:pt>
                <c:pt idx="100">
                  <c:v>73.083367660362455</c:v>
                </c:pt>
              </c:numCache>
            </c:numRef>
          </c:val>
          <c:smooth val="0"/>
          <c:extLst>
            <c:ext xmlns:c16="http://schemas.microsoft.com/office/drawing/2014/chart" uri="{C3380CC4-5D6E-409C-BE32-E72D297353CC}">
              <c16:uniqueId val="{00000000-D9E7-4F5E-A983-604758A0F86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Single'!$AN$5:$AN$105</c:f>
              <c:numCache>
                <c:formatCode>0.0</c:formatCode>
                <c:ptCount val="101"/>
                <c:pt idx="0">
                  <c:v>12</c:v>
                </c:pt>
                <c:pt idx="1">
                  <c:v>12</c:v>
                </c:pt>
                <c:pt idx="2">
                  <c:v>12.807489737564312</c:v>
                </c:pt>
                <c:pt idx="3">
                  <c:v>19.211234606346469</c:v>
                </c:pt>
                <c:pt idx="4">
                  <c:v>25.614979475128624</c:v>
                </c:pt>
                <c:pt idx="5">
                  <c:v>32.018724343910783</c:v>
                </c:pt>
                <c:pt idx="6">
                  <c:v>38.422469212692938</c:v>
                </c:pt>
                <c:pt idx="7">
                  <c:v>44.826214081475094</c:v>
                </c:pt>
                <c:pt idx="8">
                  <c:v>51.229958950257249</c:v>
                </c:pt>
                <c:pt idx="9">
                  <c:v>57.633703819039404</c:v>
                </c:pt>
                <c:pt idx="10">
                  <c:v>64.037448687821566</c:v>
                </c:pt>
                <c:pt idx="11">
                  <c:v>70.441193556603707</c:v>
                </c:pt>
                <c:pt idx="12">
                  <c:v>76.844938425385877</c:v>
                </c:pt>
                <c:pt idx="13">
                  <c:v>83.248683294168032</c:v>
                </c:pt>
                <c:pt idx="14">
                  <c:v>89.652428162950187</c:v>
                </c:pt>
                <c:pt idx="15">
                  <c:v>96.056173031732342</c:v>
                </c:pt>
                <c:pt idx="16">
                  <c:v>102.4599179005145</c:v>
                </c:pt>
                <c:pt idx="17">
                  <c:v>108.86366276929665</c:v>
                </c:pt>
                <c:pt idx="18">
                  <c:v>115.26740763807881</c:v>
                </c:pt>
                <c:pt idx="19">
                  <c:v>121.67115250686096</c:v>
                </c:pt>
                <c:pt idx="20">
                  <c:v>128.07489737564313</c:v>
                </c:pt>
                <c:pt idx="21">
                  <c:v>134.47864224442529</c:v>
                </c:pt>
                <c:pt idx="22">
                  <c:v>140.88238711320741</c:v>
                </c:pt>
                <c:pt idx="23">
                  <c:v>147.2861319819896</c:v>
                </c:pt>
                <c:pt idx="24">
                  <c:v>153.68987685077175</c:v>
                </c:pt>
                <c:pt idx="25">
                  <c:v>160.09362171955388</c:v>
                </c:pt>
                <c:pt idx="26">
                  <c:v>166.49736658833606</c:v>
                </c:pt>
                <c:pt idx="27">
                  <c:v>172.90111145711822</c:v>
                </c:pt>
                <c:pt idx="28">
                  <c:v>179.30485632590037</c:v>
                </c:pt>
                <c:pt idx="29">
                  <c:v>185.7086011946825</c:v>
                </c:pt>
                <c:pt idx="30">
                  <c:v>192.11234606346468</c:v>
                </c:pt>
                <c:pt idx="31">
                  <c:v>198.51609093224681</c:v>
                </c:pt>
                <c:pt idx="32">
                  <c:v>204.919835801029</c:v>
                </c:pt>
                <c:pt idx="33">
                  <c:v>211.32358066981118</c:v>
                </c:pt>
                <c:pt idx="34">
                  <c:v>217.72732553859331</c:v>
                </c:pt>
                <c:pt idx="35">
                  <c:v>224.13107040737546</c:v>
                </c:pt>
                <c:pt idx="36">
                  <c:v>230.53481527615762</c:v>
                </c:pt>
                <c:pt idx="37">
                  <c:v>236.93856014493977</c:v>
                </c:pt>
                <c:pt idx="38">
                  <c:v>243.34230501372193</c:v>
                </c:pt>
                <c:pt idx="39">
                  <c:v>236.77854898713903</c:v>
                </c:pt>
                <c:pt idx="40">
                  <c:v>231.1213280892209</c:v>
                </c:pt>
                <c:pt idx="41">
                  <c:v>225.72651076813347</c:v>
                </c:pt>
                <c:pt idx="42">
                  <c:v>220.5772283663745</c:v>
                </c:pt>
                <c:pt idx="43">
                  <c:v>215.65709121063864</c:v>
                </c:pt>
                <c:pt idx="44">
                  <c:v>210.95113657780311</c:v>
                </c:pt>
                <c:pt idx="45">
                  <c:v>206.44567670812236</c:v>
                </c:pt>
                <c:pt idx="46">
                  <c:v>202.1281658392715</c:v>
                </c:pt>
                <c:pt idx="47">
                  <c:v>197.98708354082169</c:v>
                </c:pt>
                <c:pt idx="48">
                  <c:v>194.01183206449235</c:v>
                </c:pt>
                <c:pt idx="49">
                  <c:v>190.19264578430389</c:v>
                </c:pt>
                <c:pt idx="50">
                  <c:v>186.52051109736325</c:v>
                </c:pt>
                <c:pt idx="51">
                  <c:v>182.98709540221012</c:v>
                </c:pt>
                <c:pt idx="52">
                  <c:v>179.58468397676282</c:v>
                </c:pt>
                <c:pt idx="53">
                  <c:v>176.30612374942203</c:v>
                </c:pt>
                <c:pt idx="54">
                  <c:v>173.14477310081318</c:v>
                </c:pt>
                <c:pt idx="55">
                  <c:v>170.09445695482461</c:v>
                </c:pt>
                <c:pt idx="56">
                  <c:v>167.14942651995182</c:v>
                </c:pt>
                <c:pt idx="57">
                  <c:v>164.30432312868629</c:v>
                </c:pt>
                <c:pt idx="58">
                  <c:v>161.55414569639021</c:v>
                </c:pt>
                <c:pt idx="59">
                  <c:v>158.89422138391947</c:v>
                </c:pt>
                <c:pt idx="60">
                  <c:v>156.32017910194975</c:v>
                </c:pt>
                <c:pt idx="61">
                  <c:v>153.82792554097622</c:v>
                </c:pt>
                <c:pt idx="62">
                  <c:v>151.4136234504964</c:v>
                </c:pt>
                <c:pt idx="63">
                  <c:v>149.07367192494388</c:v>
                </c:pt>
                <c:pt idx="64">
                  <c:v>146.8046884833532</c:v>
                </c:pt>
                <c:pt idx="65">
                  <c:v>144.60349275519192</c:v>
                </c:pt>
                <c:pt idx="66">
                  <c:v>142.46709160688062</c:v>
                </c:pt>
                <c:pt idx="67">
                  <c:v>140.3926655627246</c:v>
                </c:pt>
                <c:pt idx="68">
                  <c:v>138.37755639071005</c:v>
                </c:pt>
                <c:pt idx="69">
                  <c:v>136.41925573822795</c:v>
                </c:pt>
                <c:pt idx="70">
                  <c:v>134.51539471556751</c:v>
                </c:pt>
                <c:pt idx="71">
                  <c:v>132.66373433622832</c:v>
                </c:pt>
                <c:pt idx="72">
                  <c:v>130.86215673293654</c:v>
                </c:pt>
                <c:pt idx="73">
                  <c:v>129.10865707691275</c:v>
                </c:pt>
                <c:pt idx="74">
                  <c:v>127.40133613556893</c:v>
                </c:pt>
                <c:pt idx="75">
                  <c:v>125.73839341055316</c:v>
                </c:pt>
                <c:pt idx="76">
                  <c:v>124.11812080402173</c:v>
                </c:pt>
                <c:pt idx="77">
                  <c:v>122.53889676629966</c:v>
                </c:pt>
                <c:pt idx="78">
                  <c:v>120.99918088277832</c:v>
                </c:pt>
                <c:pt idx="79">
                  <c:v>119.49750886206506</c:v>
                </c:pt>
                <c:pt idx="80">
                  <c:v>118.03248789110764</c:v>
                </c:pt>
                <c:pt idx="81">
                  <c:v>116.60279232632232</c:v>
                </c:pt>
                <c:pt idx="82">
                  <c:v>115.20715969270748</c:v>
                </c:pt>
                <c:pt idx="83">
                  <c:v>113.84438696556029</c:v>
                </c:pt>
                <c:pt idx="84">
                  <c:v>112.51332711178138</c:v>
                </c:pt>
                <c:pt idx="85">
                  <c:v>111.21288586986445</c:v>
                </c:pt>
                <c:pt idx="86">
                  <c:v>109.9420187495751</c:v>
                </c:pt>
                <c:pt idx="87">
                  <c:v>108.69972823402655</c:v>
                </c:pt>
                <c:pt idx="88">
                  <c:v>107.48506116840237</c:v>
                </c:pt>
                <c:pt idx="89">
                  <c:v>106.29710632095795</c:v>
                </c:pt>
                <c:pt idx="90">
                  <c:v>105.13499210318581</c:v>
                </c:pt>
                <c:pt idx="91">
                  <c:v>103.99788443715688</c:v>
                </c:pt>
                <c:pt idx="92">
                  <c:v>102.88498475907105</c:v>
                </c:pt>
                <c:pt idx="93">
                  <c:v>101.79552814897455</c:v>
                </c:pt>
                <c:pt idx="94">
                  <c:v>100.72878157743951</c:v>
                </c:pt>
                <c:pt idx="95">
                  <c:v>99.684042260759611</c:v>
                </c:pt>
                <c:pt idx="96">
                  <c:v>98.660636116906417</c:v>
                </c:pt>
                <c:pt idx="97">
                  <c:v>97.657916315117944</c:v>
                </c:pt>
                <c:pt idx="98">
                  <c:v>96.675261912561183</c:v>
                </c:pt>
                <c:pt idx="99">
                  <c:v>95.712076572030625</c:v>
                </c:pt>
                <c:pt idx="100">
                  <c:v>94.767787355118429</c:v>
                </c:pt>
              </c:numCache>
            </c:numRef>
          </c:val>
          <c:smooth val="0"/>
          <c:extLst>
            <c:ext xmlns:c16="http://schemas.microsoft.com/office/drawing/2014/chart" uri="{C3380CC4-5D6E-409C-BE32-E72D297353CC}">
              <c16:uniqueId val="{00000001-D9E7-4F5E-A983-604758A0F86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Single'!$AN$216:$AN$316</c:f>
              <c:numCache>
                <c:formatCode>0.0</c:formatCode>
                <c:ptCount val="101"/>
                <c:pt idx="0">
                  <c:v>12</c:v>
                </c:pt>
                <c:pt idx="1">
                  <c:v>12</c:v>
                </c:pt>
                <c:pt idx="2">
                  <c:v>12.807489737564312</c:v>
                </c:pt>
                <c:pt idx="3">
                  <c:v>19.211234606346469</c:v>
                </c:pt>
                <c:pt idx="4">
                  <c:v>25.614979475128624</c:v>
                </c:pt>
                <c:pt idx="5">
                  <c:v>32.018724343910783</c:v>
                </c:pt>
                <c:pt idx="6">
                  <c:v>38.422469212692938</c:v>
                </c:pt>
                <c:pt idx="7">
                  <c:v>44.826214081475094</c:v>
                </c:pt>
                <c:pt idx="8">
                  <c:v>51.229958950257249</c:v>
                </c:pt>
                <c:pt idx="9">
                  <c:v>57.633703819039404</c:v>
                </c:pt>
                <c:pt idx="10">
                  <c:v>64.037448687821566</c:v>
                </c:pt>
                <c:pt idx="11">
                  <c:v>70.441193556603707</c:v>
                </c:pt>
                <c:pt idx="12">
                  <c:v>76.844938425385877</c:v>
                </c:pt>
                <c:pt idx="13">
                  <c:v>83.248683294168032</c:v>
                </c:pt>
                <c:pt idx="14">
                  <c:v>89.652428162950187</c:v>
                </c:pt>
                <c:pt idx="15">
                  <c:v>96.056173031732342</c:v>
                </c:pt>
                <c:pt idx="16">
                  <c:v>102.4599179005145</c:v>
                </c:pt>
                <c:pt idx="17">
                  <c:v>108.86366276929665</c:v>
                </c:pt>
                <c:pt idx="18">
                  <c:v>115.26740763807881</c:v>
                </c:pt>
                <c:pt idx="19">
                  <c:v>121.67115250686096</c:v>
                </c:pt>
                <c:pt idx="20">
                  <c:v>128.07489737564313</c:v>
                </c:pt>
                <c:pt idx="21">
                  <c:v>134.47864224442529</c:v>
                </c:pt>
                <c:pt idx="22">
                  <c:v>140.88238711320741</c:v>
                </c:pt>
                <c:pt idx="23">
                  <c:v>147.2861319819896</c:v>
                </c:pt>
                <c:pt idx="24">
                  <c:v>153.68987685077175</c:v>
                </c:pt>
                <c:pt idx="25">
                  <c:v>160.09362171955388</c:v>
                </c:pt>
                <c:pt idx="26">
                  <c:v>166.49736658833606</c:v>
                </c:pt>
                <c:pt idx="27">
                  <c:v>172.90111145711822</c:v>
                </c:pt>
                <c:pt idx="28">
                  <c:v>179.30485632590037</c:v>
                </c:pt>
                <c:pt idx="29">
                  <c:v>185.7086011946825</c:v>
                </c:pt>
                <c:pt idx="30">
                  <c:v>192.11234606346468</c:v>
                </c:pt>
                <c:pt idx="31">
                  <c:v>198.51609093224681</c:v>
                </c:pt>
                <c:pt idx="32">
                  <c:v>204.919835801029</c:v>
                </c:pt>
                <c:pt idx="33">
                  <c:v>211.32358066981118</c:v>
                </c:pt>
                <c:pt idx="34">
                  <c:v>217.72732553859331</c:v>
                </c:pt>
                <c:pt idx="35">
                  <c:v>224.13107040737546</c:v>
                </c:pt>
                <c:pt idx="36">
                  <c:v>230.53481527615762</c:v>
                </c:pt>
                <c:pt idx="37">
                  <c:v>236.93856014493977</c:v>
                </c:pt>
                <c:pt idx="38">
                  <c:v>243.34230501372193</c:v>
                </c:pt>
                <c:pt idx="39">
                  <c:v>249.74604988250411</c:v>
                </c:pt>
                <c:pt idx="40">
                  <c:v>256.14979475128627</c:v>
                </c:pt>
                <c:pt idx="41">
                  <c:v>262.55353962006836</c:v>
                </c:pt>
                <c:pt idx="42">
                  <c:v>268.95728448885058</c:v>
                </c:pt>
                <c:pt idx="43">
                  <c:v>275.3617237242525</c:v>
                </c:pt>
                <c:pt idx="44">
                  <c:v>260.31114061431367</c:v>
                </c:pt>
                <c:pt idx="45">
                  <c:v>254.81399089392681</c:v>
                </c:pt>
                <c:pt idx="46">
                  <c:v>249.54390203833373</c:v>
                </c:pt>
                <c:pt idx="47">
                  <c:v>244.48709049089001</c:v>
                </c:pt>
                <c:pt idx="48">
                  <c:v>239.6308661952944</c:v>
                </c:pt>
                <c:pt idx="49">
                  <c:v>234.96352626522028</c:v>
                </c:pt>
                <c:pt idx="50">
                  <c:v>230.47426082454723</c:v>
                </c:pt>
                <c:pt idx="51">
                  <c:v>226.1530694233924</c:v>
                </c:pt>
                <c:pt idx="52">
                  <c:v>221.99068666958183</c:v>
                </c:pt>
                <c:pt idx="53">
                  <c:v>217.9785159115778</c:v>
                </c:pt>
                <c:pt idx="54">
                  <c:v>214.10856997391863</c:v>
                </c:pt>
                <c:pt idx="55">
                  <c:v>210.37341808540933</c:v>
                </c:pt>
                <c:pt idx="56">
                  <c:v>206.76613825803295</c:v>
                </c:pt>
                <c:pt idx="57">
                  <c:v>203.28027447445919</c:v>
                </c:pt>
                <c:pt idx="58">
                  <c:v>199.90979812704464</c:v>
                </c:pt>
                <c:pt idx="59">
                  <c:v>196.64907322378639</c:v>
                </c:pt>
                <c:pt idx="60">
                  <c:v>193.4928249387867</c:v>
                </c:pt>
                <c:pt idx="61">
                  <c:v>190.43611113807953</c:v>
                </c:pt>
                <c:pt idx="62">
                  <c:v>187.47429655750835</c:v>
                </c:pt>
                <c:pt idx="63">
                  <c:v>184.60302934888404</c:v>
                </c:pt>
                <c:pt idx="64">
                  <c:v>181.81821974482909</c:v>
                </c:pt>
                <c:pt idx="65">
                  <c:v>179.1160206223328</c:v>
                </c:pt>
                <c:pt idx="66">
                  <c:v>176.49280977075986</c:v>
                </c:pt>
                <c:pt idx="67">
                  <c:v>173.94517369244411</c:v>
                </c:pt>
                <c:pt idx="68">
                  <c:v>171.46989278352248</c:v>
                </c:pt>
                <c:pt idx="69">
                  <c:v>169.06392775972935</c:v>
                </c:pt>
                <c:pt idx="70">
                  <c:v>166.72440720681493</c:v>
                </c:pt>
                <c:pt idx="71">
                  <c:v>164.44861614836444</c:v>
                </c:pt>
                <c:pt idx="72">
                  <c:v>162.23398553532041</c:v>
                </c:pt>
                <c:pt idx="73">
                  <c:v>160.07808257166076</c:v>
                </c:pt>
                <c:pt idx="74">
                  <c:v>157.97860179964286</c:v>
                </c:pt>
                <c:pt idx="75">
                  <c:v>155.93335687593503</c:v>
                </c:pt>
                <c:pt idx="76">
                  <c:v>153.94027297696712</c:v>
                </c:pt>
                <c:pt idx="77">
                  <c:v>151.99737977803773</c:v>
                </c:pt>
                <c:pt idx="78">
                  <c:v>150.10280495624093</c:v>
                </c:pt>
                <c:pt idx="79">
                  <c:v>148.25476817217401</c:v>
                </c:pt>
                <c:pt idx="80">
                  <c:v>146.45157548976539</c:v>
                </c:pt>
                <c:pt idx="81">
                  <c:v>144.69161419745618</c:v>
                </c:pt>
                <c:pt idx="82">
                  <c:v>142.97334799745943</c:v>
                </c:pt>
                <c:pt idx="83">
                  <c:v>141.29531253292942</c:v>
                </c:pt>
                <c:pt idx="84">
                  <c:v>139.65611122567429</c:v>
                </c:pt>
                <c:pt idx="85">
                  <c:v>138.05441139954266</c:v>
                </c:pt>
                <c:pt idx="86">
                  <c:v>136.4889406668706</c:v>
                </c:pt>
                <c:pt idx="87">
                  <c:v>134.95848355739383</c:v>
                </c:pt>
                <c:pt idx="88">
                  <c:v>133.46187837085617</c:v>
                </c:pt>
                <c:pt idx="89">
                  <c:v>131.99801423618436</c:v>
                </c:pt>
                <c:pt idx="90">
                  <c:v>130.56582836158509</c:v>
                </c:pt>
                <c:pt idx="91">
                  <c:v>129.16430346125685</c:v>
                </c:pt>
                <c:pt idx="92">
                  <c:v>127.79246534562428</c:v>
                </c:pt>
                <c:pt idx="93">
                  <c:v>126.44938066309791</c:v>
                </c:pt>
                <c:pt idx="94">
                  <c:v>125.13415478235984</c:v>
                </c:pt>
                <c:pt idx="95">
                  <c:v>123.84592980507681</c:v>
                </c:pt>
                <c:pt idx="96">
                  <c:v>122.58388269976486</c:v>
                </c:pt>
                <c:pt idx="97">
                  <c:v>121.34722354827579</c:v>
                </c:pt>
                <c:pt idx="98">
                  <c:v>120.13519389705401</c:v>
                </c:pt>
                <c:pt idx="99">
                  <c:v>118.94706520593307</c:v>
                </c:pt>
                <c:pt idx="100">
                  <c:v>117.78213738780539</c:v>
                </c:pt>
              </c:numCache>
            </c:numRef>
          </c:val>
          <c:smooth val="0"/>
          <c:extLst>
            <c:ext xmlns:c16="http://schemas.microsoft.com/office/drawing/2014/chart" uri="{C3380CC4-5D6E-409C-BE32-E72D297353CC}">
              <c16:uniqueId val="{00000002-D9E7-4F5E-A983-604758A0F86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9E7-4F5E-A983-604758A0F86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9E7-4F5E-A983-604758A0F86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9E7-4F5E-A983-604758A0F86A}"/>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13.333333333333334</c:v>
                </c:pt>
                <c:pt idx="17">
                  <c:v>13.333333333333334</c:v>
                </c:pt>
                <c:pt idx="18">
                  <c:v>13.333333333333334</c:v>
                </c:pt>
                <c:pt idx="19">
                  <c:v>13.333333333333334</c:v>
                </c:pt>
                <c:pt idx="20">
                  <c:v>13.333333333333334</c:v>
                </c:pt>
                <c:pt idx="21">
                  <c:v>13.333333333333334</c:v>
                </c:pt>
                <c:pt idx="22">
                  <c:v>13.333333333333334</c:v>
                </c:pt>
                <c:pt idx="23">
                  <c:v>13.333333333333334</c:v>
                </c:pt>
                <c:pt idx="24">
                  <c:v>13.333333333333334</c:v>
                </c:pt>
                <c:pt idx="25">
                  <c:v>13.333333333333334</c:v>
                </c:pt>
                <c:pt idx="26">
                  <c:v>13.333333333333334</c:v>
                </c:pt>
                <c:pt idx="27">
                  <c:v>13.333333333333334</c:v>
                </c:pt>
                <c:pt idx="28">
                  <c:v>13.333333333333334</c:v>
                </c:pt>
                <c:pt idx="29">
                  <c:v>13.333333333333334</c:v>
                </c:pt>
                <c:pt idx="30">
                  <c:v>13.333333333333334</c:v>
                </c:pt>
                <c:pt idx="31">
                  <c:v>13.333333333333334</c:v>
                </c:pt>
                <c:pt idx="32">
                  <c:v>13.333333333333334</c:v>
                </c:pt>
                <c:pt idx="33">
                  <c:v>13.333333333333334</c:v>
                </c:pt>
                <c:pt idx="34">
                  <c:v>13.333333333333334</c:v>
                </c:pt>
                <c:pt idx="35">
                  <c:v>13.66626428752669</c:v>
                </c:pt>
                <c:pt idx="36">
                  <c:v>14.057537075234208</c:v>
                </c:pt>
                <c:pt idx="37">
                  <c:v>14.448854952283071</c:v>
                </c:pt>
                <c:pt idx="38">
                  <c:v>14.840217933051912</c:v>
                </c:pt>
                <c:pt idx="39">
                  <c:v>15.23162603192854</c:v>
                </c:pt>
                <c:pt idx="40">
                  <c:v>15.623079263309583</c:v>
                </c:pt>
                <c:pt idx="41">
                  <c:v>16.014577641600113</c:v>
                </c:pt>
                <c:pt idx="42">
                  <c:v>16.406121181213422</c:v>
                </c:pt>
                <c:pt idx="43">
                  <c:v>16.797709896570741</c:v>
                </c:pt>
                <c:pt idx="44">
                  <c:v>17.18934380210106</c:v>
                </c:pt>
                <c:pt idx="45">
                  <c:v>17.581022912240936</c:v>
                </c:pt>
                <c:pt idx="46">
                  <c:v>17.972747241434359</c:v>
                </c:pt>
                <c:pt idx="47">
                  <c:v>18.364516804132599</c:v>
                </c:pt>
                <c:pt idx="48">
                  <c:v>18.756331614794092</c:v>
                </c:pt>
                <c:pt idx="49">
                  <c:v>19.148191687884353</c:v>
                </c:pt>
                <c:pt idx="50">
                  <c:v>19.540097037875888</c:v>
                </c:pt>
                <c:pt idx="51">
                  <c:v>19.9320476792481</c:v>
                </c:pt>
                <c:pt idx="52">
                  <c:v>20.324043626487214</c:v>
                </c:pt>
                <c:pt idx="53">
                  <c:v>20.716084894086279</c:v>
                </c:pt>
                <c:pt idx="54">
                  <c:v>21.108171496545033</c:v>
                </c:pt>
                <c:pt idx="55">
                  <c:v>21.500303448369916</c:v>
                </c:pt>
                <c:pt idx="56">
                  <c:v>21.892480764073984</c:v>
                </c:pt>
                <c:pt idx="57">
                  <c:v>22.284703458176903</c:v>
                </c:pt>
                <c:pt idx="58">
                  <c:v>22.67697154520495</c:v>
                </c:pt>
                <c:pt idx="59">
                  <c:v>23.069285039690893</c:v>
                </c:pt>
                <c:pt idx="60">
                  <c:v>23.461643956174044</c:v>
                </c:pt>
                <c:pt idx="61">
                  <c:v>23.854048309200191</c:v>
                </c:pt>
                <c:pt idx="62">
                  <c:v>24.246498113321621</c:v>
                </c:pt>
                <c:pt idx="63">
                  <c:v>24.63899338309708</c:v>
                </c:pt>
                <c:pt idx="64">
                  <c:v>25.031534133091725</c:v>
                </c:pt>
                <c:pt idx="65">
                  <c:v>25.424120377877166</c:v>
                </c:pt>
                <c:pt idx="66">
                  <c:v>25.816752132031425</c:v>
                </c:pt>
                <c:pt idx="67">
                  <c:v>26.209429410138942</c:v>
                </c:pt>
                <c:pt idx="68">
                  <c:v>26.602152226790533</c:v>
                </c:pt>
                <c:pt idx="69">
                  <c:v>26.994920596583388</c:v>
                </c:pt>
                <c:pt idx="70">
                  <c:v>27.387734534121119</c:v>
                </c:pt>
                <c:pt idx="71">
                  <c:v>27.78059405401369</c:v>
                </c:pt>
                <c:pt idx="72">
                  <c:v>28.173499170877424</c:v>
                </c:pt>
                <c:pt idx="73">
                  <c:v>28.566449899335009</c:v>
                </c:pt>
                <c:pt idx="74">
                  <c:v>28.959446254015511</c:v>
                </c:pt>
                <c:pt idx="75">
                  <c:v>29.35248824955433</c:v>
                </c:pt>
                <c:pt idx="76">
                  <c:v>29.74557590059322</c:v>
                </c:pt>
                <c:pt idx="77">
                  <c:v>30.138709221780296</c:v>
                </c:pt>
                <c:pt idx="78">
                  <c:v>30.531888227770011</c:v>
                </c:pt>
                <c:pt idx="79">
                  <c:v>30.925112933223168</c:v>
                </c:pt>
                <c:pt idx="80">
                  <c:v>31.318383352806897</c:v>
                </c:pt>
                <c:pt idx="81">
                  <c:v>31.711699501194708</c:v>
                </c:pt>
                <c:pt idx="82">
                  <c:v>32.105061393066414</c:v>
                </c:pt>
                <c:pt idx="83">
                  <c:v>32.498469043108194</c:v>
                </c:pt>
                <c:pt idx="84">
                  <c:v>32.891922466012559</c:v>
                </c:pt>
                <c:pt idx="85">
                  <c:v>33.285421676478371</c:v>
                </c:pt>
                <c:pt idx="86">
                  <c:v>33.678966689210839</c:v>
                </c:pt>
                <c:pt idx="87">
                  <c:v>34.072557518921485</c:v>
                </c:pt>
                <c:pt idx="88">
                  <c:v>34.466194180328209</c:v>
                </c:pt>
                <c:pt idx="89">
                  <c:v>34.859876688155246</c:v>
                </c:pt>
                <c:pt idx="90">
                  <c:v>35.25360505713315</c:v>
                </c:pt>
                <c:pt idx="91">
                  <c:v>35.647379301998882</c:v>
                </c:pt>
                <c:pt idx="92">
                  <c:v>36.041199437495699</c:v>
                </c:pt>
                <c:pt idx="93">
                  <c:v>36.435065478373211</c:v>
                </c:pt>
                <c:pt idx="94">
                  <c:v>36.82897743938743</c:v>
                </c:pt>
                <c:pt idx="95">
                  <c:v>37.222935335300669</c:v>
                </c:pt>
                <c:pt idx="96">
                  <c:v>37.616939180881602</c:v>
                </c:pt>
                <c:pt idx="97">
                  <c:v>38.010988990905297</c:v>
                </c:pt>
                <c:pt idx="98">
                  <c:v>38.405084780153153</c:v>
                </c:pt>
                <c:pt idx="99">
                  <c:v>38.799226563412937</c:v>
                </c:pt>
                <c:pt idx="100">
                  <c:v>39.193414355478787</c:v>
                </c:pt>
              </c:numCache>
            </c:numRef>
          </c:val>
          <c:smooth val="0"/>
          <c:extLst>
            <c:ext xmlns:c16="http://schemas.microsoft.com/office/drawing/2014/chart" uri="{C3380CC4-5D6E-409C-BE32-E72D297353CC}">
              <c16:uniqueId val="{00000000-B744-4C18-B26C-E1D454627484}"/>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Single'!$AJ$5:$AJ$105</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13.333333333333334</c:v>
                </c:pt>
                <c:pt idx="17">
                  <c:v>13.333333333333334</c:v>
                </c:pt>
                <c:pt idx="18">
                  <c:v>13.333333333333334</c:v>
                </c:pt>
                <c:pt idx="19">
                  <c:v>13.333333333333334</c:v>
                </c:pt>
                <c:pt idx="20">
                  <c:v>13.333333333333334</c:v>
                </c:pt>
                <c:pt idx="21">
                  <c:v>13.333333333333334</c:v>
                </c:pt>
                <c:pt idx="22">
                  <c:v>13.333333333333334</c:v>
                </c:pt>
                <c:pt idx="23">
                  <c:v>13.333333333333334</c:v>
                </c:pt>
                <c:pt idx="24">
                  <c:v>13.333333333333334</c:v>
                </c:pt>
                <c:pt idx="25">
                  <c:v>13.333333333333334</c:v>
                </c:pt>
                <c:pt idx="26">
                  <c:v>13.333333333333334</c:v>
                </c:pt>
                <c:pt idx="27">
                  <c:v>13.333333333333334</c:v>
                </c:pt>
                <c:pt idx="28">
                  <c:v>13.333333333333334</c:v>
                </c:pt>
                <c:pt idx="29">
                  <c:v>13.333333333333334</c:v>
                </c:pt>
                <c:pt idx="30">
                  <c:v>13.333333333333334</c:v>
                </c:pt>
                <c:pt idx="31">
                  <c:v>13.333333333333334</c:v>
                </c:pt>
                <c:pt idx="32">
                  <c:v>13.333333333333334</c:v>
                </c:pt>
                <c:pt idx="33">
                  <c:v>13.333333333333334</c:v>
                </c:pt>
                <c:pt idx="34">
                  <c:v>13.333333333333334</c:v>
                </c:pt>
                <c:pt idx="35">
                  <c:v>13.333333333333334</c:v>
                </c:pt>
                <c:pt idx="36">
                  <c:v>13.333333333333334</c:v>
                </c:pt>
                <c:pt idx="37">
                  <c:v>13.333333333333334</c:v>
                </c:pt>
                <c:pt idx="38">
                  <c:v>13.333333333333334</c:v>
                </c:pt>
                <c:pt idx="39">
                  <c:v>13.36545643309266</c:v>
                </c:pt>
                <c:pt idx="40">
                  <c:v>13.708577424675459</c:v>
                </c:pt>
                <c:pt idx="41">
                  <c:v>14.051760382203947</c:v>
                </c:pt>
                <c:pt idx="42">
                  <c:v>14.394966270746249</c:v>
                </c:pt>
                <c:pt idx="43">
                  <c:v>14.738195095111388</c:v>
                </c:pt>
                <c:pt idx="44">
                  <c:v>15.081446860110896</c:v>
                </c:pt>
                <c:pt idx="45">
                  <c:v>15.424721570558708</c:v>
                </c:pt>
                <c:pt idx="46">
                  <c:v>15.768019231271051</c:v>
                </c:pt>
                <c:pt idx="47">
                  <c:v>16.111339847066318</c:v>
                </c:pt>
                <c:pt idx="48">
                  <c:v>16.454683422765015</c:v>
                </c:pt>
                <c:pt idx="49">
                  <c:v>16.798049963189634</c:v>
                </c:pt>
                <c:pt idx="50">
                  <c:v>17.141439473164649</c:v>
                </c:pt>
                <c:pt idx="51">
                  <c:v>17.484851957516415</c:v>
                </c:pt>
                <c:pt idx="52">
                  <c:v>17.828287421073121</c:v>
                </c:pt>
                <c:pt idx="53">
                  <c:v>18.17174586866475</c:v>
                </c:pt>
                <c:pt idx="54">
                  <c:v>18.515227305123055</c:v>
                </c:pt>
                <c:pt idx="55">
                  <c:v>18.858731735281484</c:v>
                </c:pt>
                <c:pt idx="56">
                  <c:v>19.202259163975185</c:v>
                </c:pt>
                <c:pt idx="57">
                  <c:v>19.54580959604095</c:v>
                </c:pt>
                <c:pt idx="58">
                  <c:v>19.889383036317223</c:v>
                </c:pt>
                <c:pt idx="59">
                  <c:v>20.23297948964402</c:v>
                </c:pt>
                <c:pt idx="60">
                  <c:v>20.576598960862981</c:v>
                </c:pt>
                <c:pt idx="61">
                  <c:v>20.920241454817297</c:v>
                </c:pt>
                <c:pt idx="62">
                  <c:v>21.263906976351706</c:v>
                </c:pt>
                <c:pt idx="63">
                  <c:v>21.607595530312505</c:v>
                </c:pt>
                <c:pt idx="64">
                  <c:v>21.951307121547487</c:v>
                </c:pt>
                <c:pt idx="65">
                  <c:v>22.29504175490597</c:v>
                </c:pt>
                <c:pt idx="66">
                  <c:v>22.638799435238777</c:v>
                </c:pt>
                <c:pt idx="67">
                  <c:v>22.982580167398222</c:v>
                </c:pt>
                <c:pt idx="68">
                  <c:v>23.326383956238089</c:v>
                </c:pt>
                <c:pt idx="69">
                  <c:v>23.670210806613632</c:v>
                </c:pt>
                <c:pt idx="70">
                  <c:v>24.014060723381597</c:v>
                </c:pt>
                <c:pt idx="71">
                  <c:v>24.357933711400175</c:v>
                </c:pt>
                <c:pt idx="72">
                  <c:v>24.701829775528999</c:v>
                </c:pt>
                <c:pt idx="73">
                  <c:v>25.045748920629165</c:v>
                </c:pt>
                <c:pt idx="74">
                  <c:v>25.389691151563195</c:v>
                </c:pt>
                <c:pt idx="75">
                  <c:v>25.733656473195065</c:v>
                </c:pt>
                <c:pt idx="76">
                  <c:v>26.077644890390186</c:v>
                </c:pt>
                <c:pt idx="77">
                  <c:v>26.421656408015377</c:v>
                </c:pt>
                <c:pt idx="78">
                  <c:v>26.765691030938903</c:v>
                </c:pt>
                <c:pt idx="79">
                  <c:v>27.109748764030449</c:v>
                </c:pt>
                <c:pt idx="80">
                  <c:v>27.453829612161101</c:v>
                </c:pt>
                <c:pt idx="81">
                  <c:v>27.797933580203399</c:v>
                </c:pt>
                <c:pt idx="82">
                  <c:v>28.142060673031249</c:v>
                </c:pt>
                <c:pt idx="83">
                  <c:v>28.486210895520038</c:v>
                </c:pt>
                <c:pt idx="84">
                  <c:v>28.830384252546484</c:v>
                </c:pt>
                <c:pt idx="85">
                  <c:v>29.174580748988774</c:v>
                </c:pt>
                <c:pt idx="86">
                  <c:v>29.518800389726465</c:v>
                </c:pt>
                <c:pt idx="87">
                  <c:v>29.863043179640549</c:v>
                </c:pt>
                <c:pt idx="88">
                  <c:v>30.207309123613392</c:v>
                </c:pt>
                <c:pt idx="89">
                  <c:v>30.551598226528778</c:v>
                </c:pt>
                <c:pt idx="90">
                  <c:v>30.895910493271913</c:v>
                </c:pt>
                <c:pt idx="91">
                  <c:v>31.240245928729365</c:v>
                </c:pt>
                <c:pt idx="92">
                  <c:v>31.584604537789122</c:v>
                </c:pt>
                <c:pt idx="93">
                  <c:v>31.928986325340571</c:v>
                </c:pt>
                <c:pt idx="94">
                  <c:v>32.27339129627449</c:v>
                </c:pt>
                <c:pt idx="95">
                  <c:v>32.617819455483058</c:v>
                </c:pt>
                <c:pt idx="96">
                  <c:v>32.962270807859859</c:v>
                </c:pt>
                <c:pt idx="97">
                  <c:v>33.30674535829985</c:v>
                </c:pt>
                <c:pt idx="98">
                  <c:v>33.651243111699408</c:v>
                </c:pt>
                <c:pt idx="99">
                  <c:v>33.995764072956312</c:v>
                </c:pt>
                <c:pt idx="100">
                  <c:v>34.340308246969691</c:v>
                </c:pt>
              </c:numCache>
            </c:numRef>
          </c:val>
          <c:smooth val="1"/>
          <c:extLst>
            <c:ext xmlns:c16="http://schemas.microsoft.com/office/drawing/2014/chart" uri="{C3380CC4-5D6E-409C-BE32-E72D297353CC}">
              <c16:uniqueId val="{00000001-B744-4C18-B26C-E1D454627484}"/>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13.333333333333334</c:v>
                </c:pt>
                <c:pt idx="17">
                  <c:v>13.333333333333334</c:v>
                </c:pt>
                <c:pt idx="18">
                  <c:v>13.333333333333334</c:v>
                </c:pt>
                <c:pt idx="19">
                  <c:v>13.333333333333334</c:v>
                </c:pt>
                <c:pt idx="20">
                  <c:v>13.333333333333334</c:v>
                </c:pt>
                <c:pt idx="21">
                  <c:v>13.333333333333334</c:v>
                </c:pt>
                <c:pt idx="22">
                  <c:v>13.333333333333334</c:v>
                </c:pt>
                <c:pt idx="23">
                  <c:v>13.333333333333334</c:v>
                </c:pt>
                <c:pt idx="24">
                  <c:v>13.333333333333334</c:v>
                </c:pt>
                <c:pt idx="25">
                  <c:v>13.333333333333334</c:v>
                </c:pt>
                <c:pt idx="26">
                  <c:v>13.333333333333334</c:v>
                </c:pt>
                <c:pt idx="27">
                  <c:v>13.333333333333334</c:v>
                </c:pt>
                <c:pt idx="28">
                  <c:v>13.333333333333334</c:v>
                </c:pt>
                <c:pt idx="29">
                  <c:v>13.333333333333334</c:v>
                </c:pt>
                <c:pt idx="30">
                  <c:v>13.333333333333334</c:v>
                </c:pt>
                <c:pt idx="31">
                  <c:v>13.333333333333334</c:v>
                </c:pt>
                <c:pt idx="32">
                  <c:v>13.333333333333334</c:v>
                </c:pt>
                <c:pt idx="33">
                  <c:v>13.333333333333334</c:v>
                </c:pt>
                <c:pt idx="34">
                  <c:v>13.333333333333334</c:v>
                </c:pt>
                <c:pt idx="35">
                  <c:v>13.333333333333334</c:v>
                </c:pt>
                <c:pt idx="36">
                  <c:v>13.333333333333334</c:v>
                </c:pt>
                <c:pt idx="37">
                  <c:v>13.333333333333334</c:v>
                </c:pt>
                <c:pt idx="38">
                  <c:v>13.333333333333334</c:v>
                </c:pt>
                <c:pt idx="39">
                  <c:v>13.333333333333334</c:v>
                </c:pt>
                <c:pt idx="40">
                  <c:v>13.333333333333334</c:v>
                </c:pt>
                <c:pt idx="41">
                  <c:v>13.333333333333334</c:v>
                </c:pt>
                <c:pt idx="42">
                  <c:v>13.333333333333334</c:v>
                </c:pt>
                <c:pt idx="43">
                  <c:v>13.333333333333334</c:v>
                </c:pt>
                <c:pt idx="44">
                  <c:v>13.506039893336345</c:v>
                </c:pt>
                <c:pt idx="45">
                  <c:v>13.813264977503641</c:v>
                </c:pt>
                <c:pt idx="46">
                  <c:v>14.120502075948281</c:v>
                </c:pt>
                <c:pt idx="47">
                  <c:v>14.427751190360523</c:v>
                </c:pt>
                <c:pt idx="48">
                  <c:v>14.735012322431484</c:v>
                </c:pt>
                <c:pt idx="49">
                  <c:v>15.04228547385306</c:v>
                </c:pt>
                <c:pt idx="50">
                  <c:v>15.349570646317886</c:v>
                </c:pt>
                <c:pt idx="51">
                  <c:v>15.656867841519299</c:v>
                </c:pt>
                <c:pt idx="52">
                  <c:v>15.964177061151302</c:v>
                </c:pt>
                <c:pt idx="53">
                  <c:v>16.271498306908523</c:v>
                </c:pt>
                <c:pt idx="54">
                  <c:v>16.578831580486195</c:v>
                </c:pt>
                <c:pt idx="55">
                  <c:v>16.886176883580113</c:v>
                </c:pt>
                <c:pt idx="56">
                  <c:v>17.19353421788664</c:v>
                </c:pt>
                <c:pt idx="57">
                  <c:v>17.500903585102655</c:v>
                </c:pt>
                <c:pt idx="58">
                  <c:v>17.808284986925571</c:v>
                </c:pt>
                <c:pt idx="59">
                  <c:v>18.115678425053261</c:v>
                </c:pt>
                <c:pt idx="60">
                  <c:v>18.423083901184121</c:v>
                </c:pt>
                <c:pt idx="61">
                  <c:v>18.730501417016981</c:v>
                </c:pt>
                <c:pt idx="62">
                  <c:v>19.037930974251147</c:v>
                </c:pt>
                <c:pt idx="63">
                  <c:v>19.345372574586353</c:v>
                </c:pt>
                <c:pt idx="64">
                  <c:v>19.652826219722797</c:v>
                </c:pt>
                <c:pt idx="65">
                  <c:v>19.960291911361065</c:v>
                </c:pt>
                <c:pt idx="66">
                  <c:v>20.267769651202194</c:v>
                </c:pt>
                <c:pt idx="67">
                  <c:v>20.575259440947612</c:v>
                </c:pt>
                <c:pt idx="68">
                  <c:v>20.88276128229916</c:v>
                </c:pt>
                <c:pt idx="69">
                  <c:v>21.190275176959069</c:v>
                </c:pt>
                <c:pt idx="70">
                  <c:v>21.497801126629987</c:v>
                </c:pt>
                <c:pt idx="71">
                  <c:v>21.805339133014922</c:v>
                </c:pt>
                <c:pt idx="72">
                  <c:v>22.112889197817264</c:v>
                </c:pt>
                <c:pt idx="73">
                  <c:v>22.420451322740814</c:v>
                </c:pt>
                <c:pt idx="74">
                  <c:v>22.728025509489708</c:v>
                </c:pt>
                <c:pt idx="75">
                  <c:v>23.035611759768496</c:v>
                </c:pt>
                <c:pt idx="76">
                  <c:v>23.343210075282045</c:v>
                </c:pt>
                <c:pt idx="77">
                  <c:v>23.65082045773563</c:v>
                </c:pt>
                <c:pt idx="78">
                  <c:v>23.958442908834879</c:v>
                </c:pt>
                <c:pt idx="79">
                  <c:v>24.266077430285765</c:v>
                </c:pt>
                <c:pt idx="80">
                  <c:v>24.573724023794618</c:v>
                </c:pt>
                <c:pt idx="81">
                  <c:v>24.881382691068161</c:v>
                </c:pt>
                <c:pt idx="82">
                  <c:v>25.18905343381342</c:v>
                </c:pt>
                <c:pt idx="83">
                  <c:v>25.496736253737808</c:v>
                </c:pt>
                <c:pt idx="84">
                  <c:v>25.804431152549068</c:v>
                </c:pt>
                <c:pt idx="85">
                  <c:v>26.112138131955309</c:v>
                </c:pt>
                <c:pt idx="86">
                  <c:v>26.41985719366496</c:v>
                </c:pt>
                <c:pt idx="87">
                  <c:v>26.727588339386823</c:v>
                </c:pt>
                <c:pt idx="88">
                  <c:v>27.035331570830039</c:v>
                </c:pt>
                <c:pt idx="89">
                  <c:v>27.343086889704068</c:v>
                </c:pt>
                <c:pt idx="90">
                  <c:v>27.650854297718752</c:v>
                </c:pt>
                <c:pt idx="91">
                  <c:v>27.958633796584238</c:v>
                </c:pt>
                <c:pt idx="92">
                  <c:v>28.266425388011033</c:v>
                </c:pt>
                <c:pt idx="93">
                  <c:v>28.574229073709983</c:v>
                </c:pt>
                <c:pt idx="94">
                  <c:v>28.882044855392248</c:v>
                </c:pt>
                <c:pt idx="95">
                  <c:v>29.18987273476937</c:v>
                </c:pt>
                <c:pt idx="96">
                  <c:v>29.497712713553184</c:v>
                </c:pt>
                <c:pt idx="97">
                  <c:v>29.805564793455893</c:v>
                </c:pt>
                <c:pt idx="98">
                  <c:v>30.113428976190018</c:v>
                </c:pt>
                <c:pt idx="99">
                  <c:v>30.421305263468412</c:v>
                </c:pt>
                <c:pt idx="100">
                  <c:v>30.729193657004284</c:v>
                </c:pt>
              </c:numCache>
            </c:numRef>
          </c:val>
          <c:smooth val="1"/>
          <c:extLst>
            <c:ext xmlns:c16="http://schemas.microsoft.com/office/drawing/2014/chart" uri="{C3380CC4-5D6E-409C-BE32-E72D297353CC}">
              <c16:uniqueId val="{00000002-B744-4C18-B26C-E1D454627484}"/>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c:v>
                </c:pt>
                <c:pt idx="2">
                  <c:v>20.833691001432225</c:v>
                </c:pt>
                <c:pt idx="3">
                  <c:v>20.833691001432225</c:v>
                </c:pt>
                <c:pt idx="4">
                  <c:v>27.778254668576302</c:v>
                </c:pt>
                <c:pt idx="5">
                  <c:v>34.722818335720376</c:v>
                </c:pt>
                <c:pt idx="6">
                  <c:v>41.66738200286445</c:v>
                </c:pt>
                <c:pt idx="7">
                  <c:v>48.611945670008538</c:v>
                </c:pt>
                <c:pt idx="8">
                  <c:v>55.556509337152605</c:v>
                </c:pt>
                <c:pt idx="9">
                  <c:v>62.501073004296671</c:v>
                </c:pt>
                <c:pt idx="10">
                  <c:v>69.445636671440752</c:v>
                </c:pt>
                <c:pt idx="11">
                  <c:v>76.390200338584819</c:v>
                </c:pt>
                <c:pt idx="12">
                  <c:v>83.3347640057289</c:v>
                </c:pt>
                <c:pt idx="13">
                  <c:v>90.279327672872981</c:v>
                </c:pt>
                <c:pt idx="14">
                  <c:v>97.223891340017076</c:v>
                </c:pt>
                <c:pt idx="15">
                  <c:v>104.16845500716113</c:v>
                </c:pt>
                <c:pt idx="16">
                  <c:v>111.11301867430521</c:v>
                </c:pt>
                <c:pt idx="17">
                  <c:v>118.0575823414493</c:v>
                </c:pt>
                <c:pt idx="18">
                  <c:v>125.00214600859334</c:v>
                </c:pt>
                <c:pt idx="19">
                  <c:v>131.94670967573745</c:v>
                </c:pt>
                <c:pt idx="20">
                  <c:v>138.8912733428815</c:v>
                </c:pt>
                <c:pt idx="21">
                  <c:v>145.83583701002559</c:v>
                </c:pt>
                <c:pt idx="22">
                  <c:v>152.78040067716964</c:v>
                </c:pt>
                <c:pt idx="23">
                  <c:v>159.72496434431372</c:v>
                </c:pt>
                <c:pt idx="24">
                  <c:v>166.6695280114578</c:v>
                </c:pt>
                <c:pt idx="25">
                  <c:v>173.61409167860191</c:v>
                </c:pt>
                <c:pt idx="26">
                  <c:v>180.55865534574596</c:v>
                </c:pt>
                <c:pt idx="27">
                  <c:v>187.50321901289004</c:v>
                </c:pt>
                <c:pt idx="28">
                  <c:v>194.44778268003415</c:v>
                </c:pt>
                <c:pt idx="29">
                  <c:v>201.39234634717818</c:v>
                </c:pt>
                <c:pt idx="30">
                  <c:v>208.33691001432226</c:v>
                </c:pt>
                <c:pt idx="31">
                  <c:v>215.28147368146637</c:v>
                </c:pt>
                <c:pt idx="32">
                  <c:v>212.28432427268808</c:v>
                </c:pt>
                <c:pt idx="33">
                  <c:v>206.10691267739978</c:v>
                </c:pt>
                <c:pt idx="34">
                  <c:v>200.27828892639309</c:v>
                </c:pt>
                <c:pt idx="35">
                  <c:v>194.76972346628364</c:v>
                </c:pt>
                <c:pt idx="36">
                  <c:v>189.55555768608298</c:v>
                </c:pt>
                <c:pt idx="37">
                  <c:v>184.61280427508262</c:v>
                </c:pt>
                <c:pt idx="38">
                  <c:v>179.92080840728147</c:v>
                </c:pt>
                <c:pt idx="39">
                  <c:v>175.46095921862383</c:v>
                </c:pt>
                <c:pt idx="40">
                  <c:v>171.21644307777169</c:v>
                </c:pt>
                <c:pt idx="41">
                  <c:v>167.17203175397916</c:v>
                </c:pt>
                <c:pt idx="42">
                  <c:v>163.31389985624571</c:v>
                </c:pt>
                <c:pt idx="43">
                  <c:v>159.62946693110447</c:v>
                </c:pt>
                <c:pt idx="44">
                  <c:v>156.10726041882467</c:v>
                </c:pt>
                <c:pt idx="45">
                  <c:v>152.73679632271865</c:v>
                </c:pt>
                <c:pt idx="46">
                  <c:v>149.50847497686107</c:v>
                </c:pt>
                <c:pt idx="47">
                  <c:v>146.41348972952002</c:v>
                </c:pt>
                <c:pt idx="48">
                  <c:v>143.4437467129209</c:v>
                </c:pt>
                <c:pt idx="49">
                  <c:v>140.59179416022235</c:v>
                </c:pt>
                <c:pt idx="50">
                  <c:v>137.85075997003366</c:v>
                </c:pt>
                <c:pt idx="51">
                  <c:v>135.21429641714798</c:v>
                </c:pt>
                <c:pt idx="52">
                  <c:v>132.67653107309295</c:v>
                </c:pt>
                <c:pt idx="53">
                  <c:v>130.23202313775113</c:v>
                </c:pt>
                <c:pt idx="54">
                  <c:v>127.87572449860293</c:v>
                </c:pt>
                <c:pt idx="55">
                  <c:v>125.60294493104954</c:v>
                </c:pt>
                <c:pt idx="56">
                  <c:v>123.40932093499265</c:v>
                </c:pt>
                <c:pt idx="57">
                  <c:v>121.2907877719764</c:v>
                </c:pt>
                <c:pt idx="58">
                  <c:v>119.24355432585403</c:v>
                </c:pt>
                <c:pt idx="59">
                  <c:v>117.26408045986594</c:v>
                </c:pt>
                <c:pt idx="60">
                  <c:v>115.34905658561809</c:v>
                </c:pt>
                <c:pt idx="61">
                  <c:v>113.49538519591633</c:v>
                </c:pt>
                <c:pt idx="62">
                  <c:v>111.7001641446991</c:v>
                </c:pt>
                <c:pt idx="63">
                  <c:v>109.96067148422864</c:v>
                </c:pt>
                <c:pt idx="64">
                  <c:v>108.27435169291559</c:v>
                </c:pt>
                <c:pt idx="65">
                  <c:v>106.63880314722137</c:v>
                </c:pt>
                <c:pt idx="66">
                  <c:v>105.05176670847116</c:v>
                </c:pt>
                <c:pt idx="67">
                  <c:v>103.51111531051389</c:v>
                </c:pt>
                <c:pt idx="68">
                  <c:v>102.01484444731101</c:v>
                </c:pt>
                <c:pt idx="69">
                  <c:v>100.5610634709973</c:v>
                </c:pt>
                <c:pt idx="70">
                  <c:v>99.147987620981993</c:v>
                </c:pt>
                <c:pt idx="71">
                  <c:v>97.773930713427262</c:v>
                </c:pt>
                <c:pt idx="72">
                  <c:v>96.437298428145724</c:v>
                </c:pt>
                <c:pt idx="73">
                  <c:v>95.136582136723064</c:v>
                </c:pt>
                <c:pt idx="74">
                  <c:v>93.870353221633238</c:v>
                </c:pt>
                <c:pt idx="75">
                  <c:v>92.637257841374051</c:v>
                </c:pt>
                <c:pt idx="76">
                  <c:v>91.436012101293926</c:v>
                </c:pt>
                <c:pt idx="77">
                  <c:v>90.265397593899635</c:v>
                </c:pt>
                <c:pt idx="78">
                  <c:v>89.124257276078282</c:v>
                </c:pt>
                <c:pt idx="79">
                  <c:v>88.011491653908266</c:v>
                </c:pt>
                <c:pt idx="80">
                  <c:v>86.926055248615256</c:v>
                </c:pt>
                <c:pt idx="81">
                  <c:v>85.866953319795243</c:v>
                </c:pt>
                <c:pt idx="82">
                  <c:v>84.833238824317348</c:v>
                </c:pt>
                <c:pt idx="83">
                  <c:v>83.824009591364032</c:v>
                </c:pt>
                <c:pt idx="84">
                  <c:v>82.838405695897137</c:v>
                </c:pt>
                <c:pt idx="85">
                  <c:v>81.875607014477353</c:v>
                </c:pt>
                <c:pt idx="86">
                  <c:v>80.934830948836179</c:v>
                </c:pt>
                <c:pt idx="87">
                  <c:v>80.015330303919043</c:v>
                </c:pt>
                <c:pt idx="88">
                  <c:v>79.116391308308366</c:v>
                </c:pt>
                <c:pt idx="89">
                  <c:v>78.237331766003564</c:v>
                </c:pt>
                <c:pt idx="90">
                  <c:v>77.377499329500409</c:v>
                </c:pt>
                <c:pt idx="91">
                  <c:v>76.536269884982403</c:v>
                </c:pt>
                <c:pt idx="92">
                  <c:v>75.713046041223478</c:v>
                </c:pt>
                <c:pt idx="93">
                  <c:v>74.907255714513909</c:v>
                </c:pt>
                <c:pt idx="94">
                  <c:v>74.118350802564521</c:v>
                </c:pt>
                <c:pt idx="95">
                  <c:v>73.345805940930006</c:v>
                </c:pt>
                <c:pt idx="96">
                  <c:v>72.589117336021971</c:v>
                </c:pt>
                <c:pt idx="97">
                  <c:v>71.847801669264413</c:v>
                </c:pt>
                <c:pt idx="98">
                  <c:v>71.121395067382608</c:v>
                </c:pt>
                <c:pt idx="99">
                  <c:v>70.409452134215726</c:v>
                </c:pt>
                <c:pt idx="100">
                  <c:v>69.711545039806637</c:v>
                </c:pt>
              </c:numCache>
            </c:numRef>
          </c:val>
          <c:smooth val="0"/>
          <c:extLst>
            <c:ext xmlns:c16="http://schemas.microsoft.com/office/drawing/2014/chart" uri="{C3380CC4-5D6E-409C-BE32-E72D297353CC}">
              <c16:uniqueId val="{00000000-CEA8-405E-B5B3-AF38AAF3801C}"/>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c:v>
                </c:pt>
                <c:pt idx="2">
                  <c:v>13.889127334288151</c:v>
                </c:pt>
                <c:pt idx="3">
                  <c:v>20.833691001432225</c:v>
                </c:pt>
                <c:pt idx="4">
                  <c:v>27.778254668576302</c:v>
                </c:pt>
                <c:pt idx="5">
                  <c:v>34.722818335720376</c:v>
                </c:pt>
                <c:pt idx="6">
                  <c:v>41.66738200286445</c:v>
                </c:pt>
                <c:pt idx="7">
                  <c:v>48.611945670008538</c:v>
                </c:pt>
                <c:pt idx="8">
                  <c:v>55.556509337152605</c:v>
                </c:pt>
                <c:pt idx="9">
                  <c:v>62.501073004296671</c:v>
                </c:pt>
                <c:pt idx="10">
                  <c:v>69.445636671440752</c:v>
                </c:pt>
                <c:pt idx="11">
                  <c:v>76.390200338584819</c:v>
                </c:pt>
                <c:pt idx="12">
                  <c:v>83.3347640057289</c:v>
                </c:pt>
                <c:pt idx="13">
                  <c:v>90.279327672872981</c:v>
                </c:pt>
                <c:pt idx="14">
                  <c:v>97.223891340017076</c:v>
                </c:pt>
                <c:pt idx="15">
                  <c:v>104.16845500716113</c:v>
                </c:pt>
                <c:pt idx="16">
                  <c:v>111.11301867430521</c:v>
                </c:pt>
                <c:pt idx="17">
                  <c:v>118.0575823414493</c:v>
                </c:pt>
                <c:pt idx="18">
                  <c:v>125.00214600859334</c:v>
                </c:pt>
                <c:pt idx="19">
                  <c:v>131.94670967573745</c:v>
                </c:pt>
                <c:pt idx="20">
                  <c:v>138.8912733428815</c:v>
                </c:pt>
                <c:pt idx="21">
                  <c:v>145.83583701002559</c:v>
                </c:pt>
                <c:pt idx="22">
                  <c:v>152.78040067716964</c:v>
                </c:pt>
                <c:pt idx="23">
                  <c:v>159.72496434431372</c:v>
                </c:pt>
                <c:pt idx="24">
                  <c:v>166.6695280114578</c:v>
                </c:pt>
                <c:pt idx="25">
                  <c:v>173.61409167860191</c:v>
                </c:pt>
                <c:pt idx="26">
                  <c:v>180.55865534574596</c:v>
                </c:pt>
                <c:pt idx="27">
                  <c:v>187.50321901289004</c:v>
                </c:pt>
                <c:pt idx="28">
                  <c:v>194.44778268003415</c:v>
                </c:pt>
                <c:pt idx="29">
                  <c:v>201.39234634717818</c:v>
                </c:pt>
                <c:pt idx="30">
                  <c:v>208.33691001432226</c:v>
                </c:pt>
                <c:pt idx="31">
                  <c:v>215.28147368146637</c:v>
                </c:pt>
                <c:pt idx="32">
                  <c:v>222.22603734861042</c:v>
                </c:pt>
                <c:pt idx="33">
                  <c:v>229.1706010157545</c:v>
                </c:pt>
                <c:pt idx="34">
                  <c:v>236.11516468289861</c:v>
                </c:pt>
                <c:pt idx="35">
                  <c:v>243.0597283500426</c:v>
                </c:pt>
                <c:pt idx="36">
                  <c:v>250.00429201718669</c:v>
                </c:pt>
                <c:pt idx="37">
                  <c:v>237.55972718735387</c:v>
                </c:pt>
                <c:pt idx="38">
                  <c:v>231.60015096318938</c:v>
                </c:pt>
                <c:pt idx="39">
                  <c:v>225.93238417529975</c:v>
                </c:pt>
                <c:pt idx="40">
                  <c:v>220.53550598709793</c:v>
                </c:pt>
                <c:pt idx="41">
                  <c:v>215.3905487356939</c:v>
                </c:pt>
                <c:pt idx="42">
                  <c:v>210.48027519470898</c:v>
                </c:pt>
                <c:pt idx="43">
                  <c:v>205.78898563815912</c:v>
                </c:pt>
                <c:pt idx="44">
                  <c:v>201.30235015510937</c:v>
                </c:pt>
                <c:pt idx="45">
                  <c:v>197.0072624418882</c:v>
                </c:pt>
                <c:pt idx="46">
                  <c:v>192.8917119295561</c:v>
                </c:pt>
                <c:pt idx="47">
                  <c:v>188.94467161898564</c:v>
                </c:pt>
                <c:pt idx="48">
                  <c:v>185.1559994176398</c:v>
                </c:pt>
                <c:pt idx="49">
                  <c:v>181.51635111921755</c:v>
                </c:pt>
                <c:pt idx="50">
                  <c:v>178.01710345416637</c:v>
                </c:pt>
                <c:pt idx="51">
                  <c:v>174.65028587704097</c:v>
                </c:pt>
                <c:pt idx="52">
                  <c:v>171.40851995488921</c:v>
                </c:pt>
                <c:pt idx="53">
                  <c:v>168.28496538652499</c:v>
                </c:pt>
                <c:pt idx="54">
                  <c:v>165.27327182152305</c:v>
                </c:pt>
                <c:pt idx="55">
                  <c:v>162.36753576474561</c:v>
                </c:pt>
                <c:pt idx="56">
                  <c:v>159.56226195098171</c:v>
                </c:pt>
                <c:pt idx="57">
                  <c:v>156.85232865794958</c:v>
                </c:pt>
                <c:pt idx="58">
                  <c:v>154.23295649699344</c:v>
                </c:pt>
                <c:pt idx="59">
                  <c:v>151.69968028137856</c:v>
                </c:pt>
                <c:pt idx="60">
                  <c:v>149.24832362384043</c:v>
                </c:pt>
                <c:pt idx="61">
                  <c:v>146.87497595938945</c:v>
                </c:pt>
                <c:pt idx="62">
                  <c:v>144.57597172746438</c:v>
                </c:pt>
                <c:pt idx="63">
                  <c:v>142.34787148033178</c:v>
                </c:pt>
                <c:pt idx="64">
                  <c:v>140.18744471295213</c:v>
                </c:pt>
                <c:pt idx="65">
                  <c:v>138.09165423403914</c:v>
                </c:pt>
                <c:pt idx="66">
                  <c:v>136.05764191929816</c:v>
                </c:pt>
                <c:pt idx="67">
                  <c:v>134.08271570630646</c:v>
                </c:pt>
                <c:pt idx="68">
                  <c:v>132.16433770659413</c:v>
                </c:pt>
                <c:pt idx="69">
                  <c:v>130.30011332453935</c:v>
                </c:pt>
                <c:pt idx="70">
                  <c:v>128.48778128498083</c:v>
                </c:pt>
                <c:pt idx="71">
                  <c:v>126.72520448222465</c:v>
                </c:pt>
                <c:pt idx="72">
                  <c:v>125.01036157258297</c:v>
                </c:pt>
                <c:pt idx="73">
                  <c:v>123.34133924090466</c:v>
                </c:pt>
                <c:pt idx="74">
                  <c:v>121.71632507889161</c:v>
                </c:pt>
                <c:pt idx="75">
                  <c:v>120.13360101947298</c:v>
                </c:pt>
                <c:pt idx="76">
                  <c:v>118.59153727723347</c:v>
                </c:pt>
                <c:pt idx="77">
                  <c:v>117.0885867499691</c:v>
                </c:pt>
                <c:pt idx="78">
                  <c:v>115.62327984094196</c:v>
                </c:pt>
                <c:pt idx="79">
                  <c:v>114.19421966540757</c:v>
                </c:pt>
                <c:pt idx="80">
                  <c:v>112.80007760855031</c:v>
                </c:pt>
                <c:pt idx="81">
                  <c:v>111.43958920513199</c:v>
                </c:pt>
                <c:pt idx="82">
                  <c:v>110.11155031399747</c:v>
                </c:pt>
                <c:pt idx="83">
                  <c:v>108.8148135631079</c:v>
                </c:pt>
                <c:pt idx="84">
                  <c:v>107.54828504304437</c:v>
                </c:pt>
                <c:pt idx="85">
                  <c:v>106.31092122895225</c:v>
                </c:pt>
                <c:pt idx="86">
                  <c:v>105.10172611272458</c:v>
                </c:pt>
                <c:pt idx="87">
                  <c:v>103.91974852885863</c:v>
                </c:pt>
                <c:pt idx="88">
                  <c:v>102.76407965889683</c:v>
                </c:pt>
                <c:pt idx="89">
                  <c:v>101.63385070069127</c:v>
                </c:pt>
                <c:pt idx="90">
                  <c:v>100.52823068992902</c:v>
                </c:pt>
                <c:pt idx="91">
                  <c:v>99.44642446243995</c:v>
                </c:pt>
                <c:pt idx="92">
                  <c:v>98.387670746784281</c:v>
                </c:pt>
                <c:pt idx="93">
                  <c:v>97.351240377506087</c:v>
                </c:pt>
                <c:pt idx="94">
                  <c:v>96.33643462023872</c:v>
                </c:pt>
                <c:pt idx="95">
                  <c:v>95.342583600578479</c:v>
                </c:pt>
                <c:pt idx="96">
                  <c:v>94.369044829301842</c:v>
                </c:pt>
                <c:pt idx="97">
                  <c:v>93.415201817104048</c:v>
                </c:pt>
                <c:pt idx="98">
                  <c:v>92.480462772582598</c:v>
                </c:pt>
                <c:pt idx="99">
                  <c:v>91.564259377686852</c:v>
                </c:pt>
                <c:pt idx="100">
                  <c:v>90.66604563531078</c:v>
                </c:pt>
              </c:numCache>
            </c:numRef>
          </c:val>
          <c:smooth val="0"/>
          <c:extLst>
            <c:ext xmlns:c16="http://schemas.microsoft.com/office/drawing/2014/chart" uri="{C3380CC4-5D6E-409C-BE32-E72D297353CC}">
              <c16:uniqueId val="{00000001-CEA8-405E-B5B3-AF38AAF3801C}"/>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c:v>
                </c:pt>
                <c:pt idx="2">
                  <c:v>13.88790822716947</c:v>
                </c:pt>
                <c:pt idx="3">
                  <c:v>20.831862340754203</c:v>
                </c:pt>
                <c:pt idx="4">
                  <c:v>27.775816454338941</c:v>
                </c:pt>
                <c:pt idx="5">
                  <c:v>34.719770567923675</c:v>
                </c:pt>
                <c:pt idx="6">
                  <c:v>41.663724681508405</c:v>
                </c:pt>
                <c:pt idx="7">
                  <c:v>48.607678795093143</c:v>
                </c:pt>
                <c:pt idx="8">
                  <c:v>55.551632908677881</c:v>
                </c:pt>
                <c:pt idx="9">
                  <c:v>62.495587022262612</c:v>
                </c:pt>
                <c:pt idx="10">
                  <c:v>69.43954113584735</c:v>
                </c:pt>
                <c:pt idx="11">
                  <c:v>76.383495249432102</c:v>
                </c:pt>
                <c:pt idx="12">
                  <c:v>83.327449363016811</c:v>
                </c:pt>
                <c:pt idx="13">
                  <c:v>90.271403476601549</c:v>
                </c:pt>
                <c:pt idx="14">
                  <c:v>97.215357590186287</c:v>
                </c:pt>
                <c:pt idx="15">
                  <c:v>104.15931170377101</c:v>
                </c:pt>
                <c:pt idx="16">
                  <c:v>111.10326581735576</c:v>
                </c:pt>
                <c:pt idx="17">
                  <c:v>118.0472199309405</c:v>
                </c:pt>
                <c:pt idx="18">
                  <c:v>124.99117404452522</c:v>
                </c:pt>
                <c:pt idx="19">
                  <c:v>131.93512815810996</c:v>
                </c:pt>
                <c:pt idx="20">
                  <c:v>138.8790822716947</c:v>
                </c:pt>
                <c:pt idx="21">
                  <c:v>145.82303638527941</c:v>
                </c:pt>
                <c:pt idx="22">
                  <c:v>152.7669904988642</c:v>
                </c:pt>
                <c:pt idx="23">
                  <c:v>159.71094461244891</c:v>
                </c:pt>
                <c:pt idx="24">
                  <c:v>166.65489872603362</c:v>
                </c:pt>
                <c:pt idx="25">
                  <c:v>173.59885283961839</c:v>
                </c:pt>
                <c:pt idx="26">
                  <c:v>180.5428069532031</c:v>
                </c:pt>
                <c:pt idx="27">
                  <c:v>187.48676106678786</c:v>
                </c:pt>
                <c:pt idx="28">
                  <c:v>194.43071518037257</c:v>
                </c:pt>
                <c:pt idx="29">
                  <c:v>201.37466929395728</c:v>
                </c:pt>
                <c:pt idx="30">
                  <c:v>208.31862340754202</c:v>
                </c:pt>
                <c:pt idx="31">
                  <c:v>215.26257752112676</c:v>
                </c:pt>
                <c:pt idx="32">
                  <c:v>222.20653163471152</c:v>
                </c:pt>
                <c:pt idx="33">
                  <c:v>229.15048574829626</c:v>
                </c:pt>
                <c:pt idx="34">
                  <c:v>236.094439861881</c:v>
                </c:pt>
                <c:pt idx="35">
                  <c:v>243.03839397546571</c:v>
                </c:pt>
                <c:pt idx="36">
                  <c:v>249.98234808905045</c:v>
                </c:pt>
                <c:pt idx="37">
                  <c:v>256.92630220263516</c:v>
                </c:pt>
                <c:pt idx="38">
                  <c:v>263.87025631621992</c:v>
                </c:pt>
                <c:pt idx="39">
                  <c:v>270.81421042980469</c:v>
                </c:pt>
                <c:pt idx="40">
                  <c:v>277.7581645433894</c:v>
                </c:pt>
                <c:pt idx="41">
                  <c:v>266.11462956577873</c:v>
                </c:pt>
                <c:pt idx="42">
                  <c:v>260.11864826767874</c:v>
                </c:pt>
                <c:pt idx="43">
                  <c:v>254.38738352869817</c:v>
                </c:pt>
                <c:pt idx="44">
                  <c:v>248.90368328794969</c:v>
                </c:pt>
                <c:pt idx="45">
                  <c:v>243.6518459593662</c:v>
                </c:pt>
                <c:pt idx="46">
                  <c:v>238.61747028070943</c:v>
                </c:pt>
                <c:pt idx="47">
                  <c:v>233.78732343633209</c:v>
                </c:pt>
                <c:pt idx="48">
                  <c:v>229.14922491065488</c:v>
                </c:pt>
                <c:pt idx="49">
                  <c:v>224.6919439258881</c:v>
                </c:pt>
                <c:pt idx="50">
                  <c:v>220.40510864585855</c:v>
                </c:pt>
                <c:pt idx="51">
                  <c:v>216.27912560069146</c:v>
                </c:pt>
                <c:pt idx="52">
                  <c:v>212.30510801475214</c:v>
                </c:pt>
                <c:pt idx="53">
                  <c:v>208.47481191086604</c:v>
                </c:pt>
                <c:pt idx="54">
                  <c:v>204.78057902397083</c:v>
                </c:pt>
                <c:pt idx="55">
                  <c:v>201.21528569233857</c:v>
                </c:pt>
                <c:pt idx="56">
                  <c:v>197.77229700865919</c:v>
                </c:pt>
                <c:pt idx="57">
                  <c:v>194.44542561009413</c:v>
                </c:pt>
                <c:pt idx="58">
                  <c:v>191.2288945687859</c:v>
                </c:pt>
                <c:pt idx="59">
                  <c:v>188.11730391458551</c:v>
                </c:pt>
                <c:pt idx="60">
                  <c:v>185.10560038188763</c:v>
                </c:pt>
                <c:pt idx="61">
                  <c:v>182.18905002403966</c:v>
                </c:pt>
                <c:pt idx="62">
                  <c:v>179.36321338314991</c:v>
                </c:pt>
                <c:pt idx="63">
                  <c:v>176.62392294136447</c:v>
                </c:pt>
                <c:pt idx="64">
                  <c:v>173.96726261273628</c:v>
                </c:pt>
                <c:pt idx="65">
                  <c:v>171.38954906344165</c:v>
                </c:pt>
                <c:pt idx="66">
                  <c:v>168.88731467296014</c:v>
                </c:pt>
                <c:pt idx="67">
                  <c:v>166.45729197046566</c:v>
                </c:pt>
                <c:pt idx="68">
                  <c:v>164.0963993995384</c:v>
                </c:pt>
                <c:pt idx="69">
                  <c:v>161.80172828078753</c:v>
                </c:pt>
                <c:pt idx="70">
                  <c:v>159.57053085640604</c:v>
                </c:pt>
                <c:pt idx="71">
                  <c:v>157.40020931333643</c:v>
                </c:pt>
                <c:pt idx="72">
                  <c:v>155.28830569284946</c:v>
                </c:pt>
                <c:pt idx="73">
                  <c:v>153.23249260413471</c:v>
                </c:pt>
                <c:pt idx="74">
                  <c:v>151.23056466814134</c:v>
                </c:pt>
                <c:pt idx="75">
                  <c:v>149.28043062553994</c:v>
                </c:pt>
                <c:pt idx="76">
                  <c:v>147.38010604943457</c:v>
                </c:pt>
                <c:pt idx="77">
                  <c:v>145.52770660944194</c:v>
                </c:pt>
                <c:pt idx="78">
                  <c:v>143.72144183907358</c:v>
                </c:pt>
                <c:pt idx="79">
                  <c:v>141.95960936308711</c:v>
                </c:pt>
                <c:pt idx="80">
                  <c:v>140.24058954568406</c:v>
                </c:pt>
                <c:pt idx="81">
                  <c:v>138.56284052418843</c:v>
                </c:pt>
                <c:pt idx="82">
                  <c:v>136.92489359619904</c:v>
                </c:pt>
                <c:pt idx="83">
                  <c:v>135.32534893120607</c:v>
                </c:pt>
                <c:pt idx="84">
                  <c:v>133.76287158035603</c:v>
                </c:pt>
                <c:pt idx="85">
                  <c:v>132.23618776045811</c:v>
                </c:pt>
                <c:pt idx="86">
                  <c:v>130.74408139049078</c:v>
                </c:pt>
                <c:pt idx="87">
                  <c:v>129.2853908608169</c:v>
                </c:pt>
                <c:pt idx="88">
                  <c:v>127.85900601706743</c:v>
                </c:pt>
                <c:pt idx="89">
                  <c:v>126.46386534223566</c:v>
                </c:pt>
                <c:pt idx="90">
                  <c:v>125.0989533219492</c:v>
                </c:pt>
                <c:pt idx="91">
                  <c:v>123.76329797917685</c:v>
                </c:pt>
                <c:pt idx="92">
                  <c:v>122.45596856579348</c:v>
                </c:pt>
                <c:pt idx="93">
                  <c:v>121.17607339948034</c:v>
                </c:pt>
                <c:pt idx="94">
                  <c:v>119.92275783539822</c:v>
                </c:pt>
                <c:pt idx="95">
                  <c:v>118.69520236293519</c:v>
                </c:pt>
                <c:pt idx="96">
                  <c:v>117.49262081862517</c:v>
                </c:pt>
                <c:pt idx="97">
                  <c:v>116.31425870704581</c:v>
                </c:pt>
                <c:pt idx="98">
                  <c:v>115.15939162216061</c:v>
                </c:pt>
                <c:pt idx="99">
                  <c:v>114.02732376216494</c:v>
                </c:pt>
                <c:pt idx="100">
                  <c:v>112.91738653143696</c:v>
                </c:pt>
              </c:numCache>
            </c:numRef>
          </c:val>
          <c:smooth val="0"/>
          <c:extLst>
            <c:ext xmlns:c16="http://schemas.microsoft.com/office/drawing/2014/chart" uri="{C3380CC4-5D6E-409C-BE32-E72D297353CC}">
              <c16:uniqueId val="{00000002-CEA8-405E-B5B3-AF38AAF3801C}"/>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CEA8-405E-B5B3-AF38AAF3801C}"/>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CEA8-405E-B5B3-AF38AAF3801C}"/>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CEA8-405E-B5B3-AF38AAF3801C}"/>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1.666668734584487E-2</c:v>
                </c:pt>
                <c:pt idx="1">
                  <c:v>1.671303530258568E-2</c:v>
                </c:pt>
                <c:pt idx="2">
                  <c:v>2.3225977753519898E-2</c:v>
                </c:pt>
                <c:pt idx="3">
                  <c:v>3.4838966630279841E-2</c:v>
                </c:pt>
                <c:pt idx="4">
                  <c:v>4.6451955507039795E-2</c:v>
                </c:pt>
                <c:pt idx="5">
                  <c:v>5.8064944383799742E-2</c:v>
                </c:pt>
                <c:pt idx="6">
                  <c:v>6.9677933260559682E-2</c:v>
                </c:pt>
                <c:pt idx="7">
                  <c:v>8.1290922137319657E-2</c:v>
                </c:pt>
                <c:pt idx="8">
                  <c:v>9.290391101407959E-2</c:v>
                </c:pt>
                <c:pt idx="9">
                  <c:v>0.10451689989083952</c:v>
                </c:pt>
                <c:pt idx="10">
                  <c:v>0.11612988876759948</c:v>
                </c:pt>
                <c:pt idx="11">
                  <c:v>0.1277428776443594</c:v>
                </c:pt>
                <c:pt idx="12">
                  <c:v>0.13935586652111936</c:v>
                </c:pt>
                <c:pt idx="13">
                  <c:v>0.1509688553978793</c:v>
                </c:pt>
                <c:pt idx="14">
                  <c:v>0.16258184427463931</c:v>
                </c:pt>
                <c:pt idx="15">
                  <c:v>0.17419483315139922</c:v>
                </c:pt>
                <c:pt idx="16">
                  <c:v>0.18580782202815918</c:v>
                </c:pt>
                <c:pt idx="17">
                  <c:v>0.19742081090491914</c:v>
                </c:pt>
                <c:pt idx="18">
                  <c:v>0.20903379978167905</c:v>
                </c:pt>
                <c:pt idx="19">
                  <c:v>0.22064678865843904</c:v>
                </c:pt>
                <c:pt idx="20">
                  <c:v>0.23225977753519897</c:v>
                </c:pt>
                <c:pt idx="21">
                  <c:v>0.24387276641195893</c:v>
                </c:pt>
                <c:pt idx="22">
                  <c:v>0.25548575528871881</c:v>
                </c:pt>
                <c:pt idx="23">
                  <c:v>0.2670987441654788</c:v>
                </c:pt>
                <c:pt idx="24">
                  <c:v>0.27871173304223873</c:v>
                </c:pt>
                <c:pt idx="25">
                  <c:v>0.29032472191899877</c:v>
                </c:pt>
                <c:pt idx="26">
                  <c:v>0.3019377107957586</c:v>
                </c:pt>
                <c:pt idx="27">
                  <c:v>0.31355069967251864</c:v>
                </c:pt>
                <c:pt idx="28">
                  <c:v>0.32516368854927863</c:v>
                </c:pt>
                <c:pt idx="29">
                  <c:v>0.33677667742603851</c:v>
                </c:pt>
                <c:pt idx="30">
                  <c:v>0.34838966630279844</c:v>
                </c:pt>
                <c:pt idx="31">
                  <c:v>0.36000265517955843</c:v>
                </c:pt>
                <c:pt idx="32">
                  <c:v>0.37161564405631836</c:v>
                </c:pt>
                <c:pt idx="33">
                  <c:v>0.38322863293307835</c:v>
                </c:pt>
                <c:pt idx="34">
                  <c:v>0.39484162180983828</c:v>
                </c:pt>
                <c:pt idx="35">
                  <c:v>0.40645461068659811</c:v>
                </c:pt>
                <c:pt idx="36">
                  <c:v>0.41806759956335809</c:v>
                </c:pt>
                <c:pt idx="37">
                  <c:v>0.3997532403576694</c:v>
                </c:pt>
                <c:pt idx="38">
                  <c:v>0.40029248055669814</c:v>
                </c:pt>
                <c:pt idx="39">
                  <c:v>0.40080732102948124</c:v>
                </c:pt>
                <c:pt idx="40">
                  <c:v>0.40129951120368001</c:v>
                </c:pt>
                <c:pt idx="41">
                  <c:v>0.40177063718003303</c:v>
                </c:pt>
                <c:pt idx="42">
                  <c:v>0.40222214035792786</c:v>
                </c:pt>
                <c:pt idx="43">
                  <c:v>0.40265533356897154</c:v>
                </c:pt>
                <c:pt idx="44">
                  <c:v>0.40307141509905525</c:v>
                </c:pt>
                <c:pt idx="45">
                  <c:v>0.40347148091444113</c:v>
                </c:pt>
                <c:pt idx="46">
                  <c:v>0.40385653535462873</c:v>
                </c:pt>
                <c:pt idx="47">
                  <c:v>0.40422750051173112</c:v>
                </c:pt>
                <c:pt idx="48">
                  <c:v>0.40458522448082246</c:v>
                </c:pt>
                <c:pt idx="49">
                  <c:v>0.4049304886366924</c:v>
                </c:pt>
                <c:pt idx="50">
                  <c:v>0.40526401406846319</c:v>
                </c:pt>
                <c:pt idx="51">
                  <c:v>0.4055864672836183</c:v>
                </c:pt>
                <c:pt idx="52">
                  <c:v>0.40589846527642509</c:v>
                </c:pt>
                <c:pt idx="53">
                  <c:v>0.40620058004187332</c:v>
                </c:pt>
                <c:pt idx="54">
                  <c:v>0.40649334260463338</c:v>
                </c:pt>
                <c:pt idx="55">
                  <c:v>0.40677724662275527</c:v>
                </c:pt>
                <c:pt idx="56">
                  <c:v>0.40705275161757232</c:v>
                </c:pt>
                <c:pt idx="57">
                  <c:v>0.40732028587427244</c:v>
                </c:pt>
                <c:pt idx="58">
                  <c:v>0.40758024905166074</c:v>
                </c:pt>
                <c:pt idx="59">
                  <c:v>0.4078330145345696</c:v>
                </c:pt>
                <c:pt idx="60">
                  <c:v>0.40807893155804392</c:v>
                </c:pt>
                <c:pt idx="61">
                  <c:v>0.40831832712872468</c:v>
                </c:pt>
                <c:pt idx="62">
                  <c:v>0.40855150776566412</c:v>
                </c:pt>
                <c:pt idx="63">
                  <c:v>0.40877876108006583</c:v>
                </c:pt>
                <c:pt idx="64">
                  <c:v>0.40900035721107403</c:v>
                </c:pt>
                <c:pt idx="65">
                  <c:v>0.40921655013268543</c:v>
                </c:pt>
                <c:pt idx="66">
                  <c:v>0.40942757884508185</c:v>
                </c:pt>
                <c:pt idx="67">
                  <c:v>0.40963366846213639</c:v>
                </c:pt>
                <c:pt idx="68">
                  <c:v>0.40983503120549464</c:v>
                </c:pt>
                <c:pt idx="69">
                  <c:v>0.41003186731446911</c:v>
                </c:pt>
                <c:pt idx="70">
                  <c:v>0.41022436587994171</c:v>
                </c:pt>
                <c:pt idx="71">
                  <c:v>0.41041270560958198</c:v>
                </c:pt>
                <c:pt idx="72">
                  <c:v>0.4105970555308901</c:v>
                </c:pt>
                <c:pt idx="73">
                  <c:v>0.4107775756378797</c:v>
                </c:pt>
                <c:pt idx="74">
                  <c:v>0.410954417486602</c:v>
                </c:pt>
                <c:pt idx="75">
                  <c:v>0.41112772474417258</c:v>
                </c:pt>
                <c:pt idx="76">
                  <c:v>0.41129763369547995</c:v>
                </c:pt>
                <c:pt idx="77">
                  <c:v>0.41146427371133498</c:v>
                </c:pt>
                <c:pt idx="78">
                  <c:v>0.41162776768144094</c:v>
                </c:pt>
                <c:pt idx="79">
                  <c:v>0.41178823241522949</c:v>
                </c:pt>
                <c:pt idx="80">
                  <c:v>0.41194577901331242</c:v>
                </c:pt>
                <c:pt idx="81">
                  <c:v>0.41210051321203017</c:v>
                </c:pt>
                <c:pt idx="82">
                  <c:v>0.41225253570334514</c:v>
                </c:pt>
                <c:pt idx="83">
                  <c:v>0.41240194243211237</c:v>
                </c:pt>
                <c:pt idx="84">
                  <c:v>0.41254882487257311</c:v>
                </c:pt>
                <c:pt idx="85">
                  <c:v>0.41269327028574593</c:v>
                </c:pt>
                <c:pt idx="86">
                  <c:v>0.41283536195923737</c:v>
                </c:pt>
                <c:pt idx="87">
                  <c:v>0.41297517943085682</c:v>
                </c:pt>
                <c:pt idx="88">
                  <c:v>0.41311279869729872</c:v>
                </c:pt>
                <c:pt idx="89">
                  <c:v>0.41324829240904215</c:v>
                </c:pt>
                <c:pt idx="90">
                  <c:v>0.4133817300525166</c:v>
                </c:pt>
                <c:pt idx="91">
                  <c:v>0.41351317812049765</c:v>
                </c:pt>
                <c:pt idx="92">
                  <c:v>0.41364270027160649</c:v>
                </c:pt>
                <c:pt idx="93">
                  <c:v>0.41377035747972024</c:v>
                </c:pt>
                <c:pt idx="94">
                  <c:v>0.41389620817402856</c:v>
                </c:pt>
                <c:pt idx="95">
                  <c:v>0.41402030837041415</c:v>
                </c:pt>
                <c:pt idx="96">
                  <c:v>0.41414271179477452</c:v>
                </c:pt>
                <c:pt idx="97">
                  <c:v>0.41426346999886093</c:v>
                </c:pt>
                <c:pt idx="98">
                  <c:v>0.41438263246915352</c:v>
                </c:pt>
                <c:pt idx="99">
                  <c:v>0.41450024672926022</c:v>
                </c:pt>
                <c:pt idx="100">
                  <c:v>0.41461635843628281</c:v>
                </c:pt>
              </c:numCache>
            </c:numRef>
          </c:val>
          <c:smooth val="0"/>
          <c:extLst>
            <c:ext xmlns:c16="http://schemas.microsoft.com/office/drawing/2014/chart" uri="{C3380CC4-5D6E-409C-BE32-E72D297353CC}">
              <c16:uniqueId val="{00000006-CEA8-405E-B5B3-AF38AAF3801C}"/>
            </c:ext>
          </c:extLst>
        </c:ser>
        <c:ser>
          <c:idx val="16"/>
          <c:order val="16"/>
          <c:spPr>
            <a:ln w="25400">
              <a:solidFill>
                <a:srgbClr val="00B050"/>
              </a:solidFill>
              <a:prstDash val="dash"/>
            </a:ln>
          </c:spPr>
          <c:marker>
            <c:symbol val="none"/>
          </c:marker>
          <c:val>
            <c:numRef>
              <c:f>'Calculations - Dual'!$AU$110:$AU$210</c:f>
              <c:numCache>
                <c:formatCode>0.000</c:formatCode>
                <c:ptCount val="101"/>
                <c:pt idx="0">
                  <c:v>2.2227840682823276E-2</c:v>
                </c:pt>
                <c:pt idx="1">
                  <c:v>2.2304731869941211E-2</c:v>
                </c:pt>
                <c:pt idx="2">
                  <c:v>4.6503807460942133E-2</c:v>
                </c:pt>
                <c:pt idx="3">
                  <c:v>4.6503807460942133E-2</c:v>
                </c:pt>
                <c:pt idx="4">
                  <c:v>6.2005076614589517E-2</c:v>
                </c:pt>
                <c:pt idx="5">
                  <c:v>7.7506345768236895E-2</c:v>
                </c:pt>
                <c:pt idx="6">
                  <c:v>9.3007614921884266E-2</c:v>
                </c:pt>
                <c:pt idx="7">
                  <c:v>0.10850888407553169</c:v>
                </c:pt>
                <c:pt idx="8">
                  <c:v>0.12401015322917903</c:v>
                </c:pt>
                <c:pt idx="9">
                  <c:v>0.13951142238282641</c:v>
                </c:pt>
                <c:pt idx="10">
                  <c:v>0.15501269153647379</c:v>
                </c:pt>
                <c:pt idx="11">
                  <c:v>0.17051396069012115</c:v>
                </c:pt>
                <c:pt idx="12">
                  <c:v>0.18601522984376853</c:v>
                </c:pt>
                <c:pt idx="13">
                  <c:v>0.20151649899741592</c:v>
                </c:pt>
                <c:pt idx="14">
                  <c:v>0.21701776815106338</c:v>
                </c:pt>
                <c:pt idx="15">
                  <c:v>0.23251903730471069</c:v>
                </c:pt>
                <c:pt idx="16">
                  <c:v>0.24802030645835807</c:v>
                </c:pt>
                <c:pt idx="17">
                  <c:v>0.26352157561200545</c:v>
                </c:pt>
                <c:pt idx="18">
                  <c:v>0.27902284476565281</c:v>
                </c:pt>
                <c:pt idx="19">
                  <c:v>0.29452411391930022</c:v>
                </c:pt>
                <c:pt idx="20">
                  <c:v>0.31002538307294758</c:v>
                </c:pt>
                <c:pt idx="21">
                  <c:v>0.32552665222659499</c:v>
                </c:pt>
                <c:pt idx="22">
                  <c:v>0.34102792138024229</c:v>
                </c:pt>
                <c:pt idx="23">
                  <c:v>0.35652919053388971</c:v>
                </c:pt>
                <c:pt idx="24">
                  <c:v>0.37203045968753706</c:v>
                </c:pt>
                <c:pt idx="25">
                  <c:v>0.38753172884118459</c:v>
                </c:pt>
                <c:pt idx="26">
                  <c:v>0.40303299799483183</c:v>
                </c:pt>
                <c:pt idx="27">
                  <c:v>0.4185342671484793</c:v>
                </c:pt>
                <c:pt idx="28">
                  <c:v>0.43403553630212677</c:v>
                </c:pt>
                <c:pt idx="29">
                  <c:v>0.44953680545577401</c:v>
                </c:pt>
                <c:pt idx="30">
                  <c:v>0.46503807460942137</c:v>
                </c:pt>
                <c:pt idx="31">
                  <c:v>0.48053934376306884</c:v>
                </c:pt>
                <c:pt idx="32">
                  <c:v>0.47385291246670824</c:v>
                </c:pt>
                <c:pt idx="33">
                  <c:v>0.47097741515476022</c:v>
                </c:pt>
                <c:pt idx="34">
                  <c:v>0.47160434679260022</c:v>
                </c:pt>
                <c:pt idx="35">
                  <c:v>0.47219996195390646</c:v>
                </c:pt>
                <c:pt idx="36">
                  <c:v>0.47276677149556451</c:v>
                </c:pt>
                <c:pt idx="37">
                  <c:v>0.47330702487091236</c:v>
                </c:pt>
                <c:pt idx="38">
                  <c:v>0.47382274328497553</c:v>
                </c:pt>
                <c:pt idx="39">
                  <c:v>0.47431574792823694</c:v>
                </c:pt>
                <c:pt idx="40">
                  <c:v>0.47478768412064426</c:v>
                </c:pt>
                <c:pt idx="41">
                  <c:v>0.47524004204071713</c:v>
                </c:pt>
                <c:pt idx="42">
                  <c:v>0.475674174590275</c:v>
                </c:pt>
                <c:pt idx="43">
                  <c:v>0.4760913128461628</c:v>
                </c:pt>
                <c:pt idx="44">
                  <c:v>0.47649257947084944</c:v>
                </c:pt>
                <c:pt idx="45">
                  <c:v>0.47687900038968672</c:v>
                </c:pt>
                <c:pt idx="46">
                  <c:v>0.4772515149906944</c:v>
                </c:pt>
                <c:pt idx="47">
                  <c:v>0.47761098506046201</c:v>
                </c:pt>
                <c:pt idx="48">
                  <c:v>0.47795820263518113</c:v>
                </c:pt>
                <c:pt idx="49">
                  <c:v>0.47829389691742524</c:v>
                </c:pt>
                <c:pt idx="50">
                  <c:v>0.47861874038585456</c:v>
                </c:pt>
                <c:pt idx="51">
                  <c:v>0.47893335420561889</c:v>
                </c:pt>
                <c:pt idx="52">
                  <c:v>0.47923831303109027</c:v>
                </c:pt>
                <c:pt idx="53">
                  <c:v>0.47953414927908933</c:v>
                </c:pt>
                <c:pt idx="54">
                  <c:v>0.47982135693948347</c:v>
                </c:pt>
                <c:pt idx="55">
                  <c:v>0.48010039498055357</c:v>
                </c:pt>
                <c:pt idx="56">
                  <c:v>0.480371690398532</c:v>
                </c:pt>
                <c:pt idx="57">
                  <c:v>0.48063564095394345</c:v>
                </c:pt>
                <c:pt idx="58">
                  <c:v>0.48089261763164731</c:v>
                </c:pt>
                <c:pt idx="59">
                  <c:v>0.48114296685659003</c:v>
                </c:pt>
                <c:pt idx="60">
                  <c:v>0.48138701249310928</c:v>
                </c:pt>
                <c:pt idx="61">
                  <c:v>0.48162505765206176</c:v>
                </c:pt>
                <c:pt idx="62">
                  <c:v>0.48185738632698849</c:v>
                </c:pt>
                <c:pt idx="63">
                  <c:v>0.48208426487788969</c:v>
                </c:pt>
                <c:pt idx="64">
                  <c:v>0.48230594337891908</c:v>
                </c:pt>
                <c:pt idx="65">
                  <c:v>0.48252265684433787</c:v>
                </c:pt>
                <c:pt idx="66">
                  <c:v>0.48273462634536585</c:v>
                </c:pt>
                <c:pt idx="67">
                  <c:v>0.48294206002909562</c:v>
                </c:pt>
                <c:pt idx="68">
                  <c:v>0.48314515404934094</c:v>
                </c:pt>
                <c:pt idx="69">
                  <c:v>0.48334409341817636</c:v>
                </c:pt>
                <c:pt idx="70">
                  <c:v>0.48353905278594067</c:v>
                </c:pt>
                <c:pt idx="71">
                  <c:v>0.48373019715661641</c:v>
                </c:pt>
                <c:pt idx="72">
                  <c:v>0.48391768254474998</c:v>
                </c:pt>
                <c:pt idx="73">
                  <c:v>0.48410165657940807</c:v>
                </c:pt>
                <c:pt idx="74">
                  <c:v>0.48428225906008826</c:v>
                </c:pt>
                <c:pt idx="75">
                  <c:v>0.48445962246898416</c:v>
                </c:pt>
                <c:pt idx="76">
                  <c:v>0.48463387244354905</c:v>
                </c:pt>
                <c:pt idx="77">
                  <c:v>0.48480512821290606</c:v>
                </c:pt>
                <c:pt idx="78">
                  <c:v>0.48497350300128672</c:v>
                </c:pt>
                <c:pt idx="79">
                  <c:v>0.48513910440137298</c:v>
                </c:pt>
                <c:pt idx="80">
                  <c:v>0.48530203472012379</c:v>
                </c:pt>
                <c:pt idx="81">
                  <c:v>0.48546239129942953</c:v>
                </c:pt>
                <c:pt idx="82">
                  <c:v>0.48562026681370207</c:v>
                </c:pt>
                <c:pt idx="83">
                  <c:v>0.48577574954631519</c:v>
                </c:pt>
                <c:pt idx="84">
                  <c:v>0.48592892364662715</c:v>
                </c:pt>
                <c:pt idx="85">
                  <c:v>0.48607986936915892</c:v>
                </c:pt>
                <c:pt idx="86">
                  <c:v>0.48622866329635772</c:v>
                </c:pt>
                <c:pt idx="87">
                  <c:v>0.48637537854624358</c:v>
                </c:pt>
                <c:pt idx="88">
                  <c:v>0.48652008496612259</c:v>
                </c:pt>
                <c:pt idx="89">
                  <c:v>0.48666284931344822</c:v>
                </c:pt>
                <c:pt idx="90">
                  <c:v>0.48680373542481065</c:v>
                </c:pt>
                <c:pt idx="91">
                  <c:v>0.48694280437395554</c:v>
                </c:pt>
                <c:pt idx="92">
                  <c:v>0.48708011461965522</c:v>
                </c:pt>
                <c:pt idx="93">
                  <c:v>0.48721572214418235</c:v>
                </c:pt>
                <c:pt idx="94">
                  <c:v>0.48734968058307654</c:v>
                </c:pt>
                <c:pt idx="95">
                  <c:v>0.4874820413468362</c:v>
                </c:pt>
                <c:pt idx="96">
                  <c:v>0.48761285373511565</c:v>
                </c:pt>
                <c:pt idx="97">
                  <c:v>0.48774216504396056</c:v>
                </c:pt>
                <c:pt idx="98">
                  <c:v>0.48787002066657126</c:v>
                </c:pt>
                <c:pt idx="99">
                  <c:v>0.48799646418804637</c:v>
                </c:pt>
                <c:pt idx="100">
                  <c:v>0.48812153747452097</c:v>
                </c:pt>
              </c:numCache>
            </c:numRef>
          </c:val>
          <c:smooth val="0"/>
          <c:extLst>
            <c:ext xmlns:c16="http://schemas.microsoft.com/office/drawing/2014/chart" uri="{C3380CC4-5D6E-409C-BE32-E72D297353CC}">
              <c16:uniqueId val="{00000007-CEA8-405E-B5B3-AF38AAF3801C}"/>
            </c:ext>
          </c:extLst>
        </c:ser>
        <c:ser>
          <c:idx val="17"/>
          <c:order val="17"/>
          <c:spPr>
            <a:ln w="25400">
              <a:solidFill>
                <a:srgbClr val="FF0000"/>
              </a:solidFill>
            </a:ln>
          </c:spPr>
          <c:marker>
            <c:symbol val="none"/>
          </c:marker>
          <c:val>
            <c:numRef>
              <c:f>'Calculations - Dual'!$AU$216:$AU$316</c:f>
              <c:numCache>
                <c:formatCode>0.000</c:formatCode>
                <c:ptCount val="101"/>
                <c:pt idx="0">
                  <c:v>1.2501721339313591E-2</c:v>
                </c:pt>
                <c:pt idx="1">
                  <c:v>1.2525843859803218E-2</c:v>
                </c:pt>
                <c:pt idx="2">
                  <c:v>1.7403032611332515E-2</c:v>
                </c:pt>
                <c:pt idx="3">
                  <c:v>2.6104548916998767E-2</c:v>
                </c:pt>
                <c:pt idx="4">
                  <c:v>3.4806065222665029E-2</c:v>
                </c:pt>
                <c:pt idx="5">
                  <c:v>4.3507581528331278E-2</c:v>
                </c:pt>
                <c:pt idx="6">
                  <c:v>5.2209097833997534E-2</c:v>
                </c:pt>
                <c:pt idx="7">
                  <c:v>6.0910614139663796E-2</c:v>
                </c:pt>
                <c:pt idx="8">
                  <c:v>6.9612130445330059E-2</c:v>
                </c:pt>
                <c:pt idx="9">
                  <c:v>7.8313646750996294E-2</c:v>
                </c:pt>
                <c:pt idx="10">
                  <c:v>8.7015163056662556E-2</c:v>
                </c:pt>
                <c:pt idx="11">
                  <c:v>9.5716679362328846E-2</c:v>
                </c:pt>
                <c:pt idx="12">
                  <c:v>0.10441819566799507</c:v>
                </c:pt>
                <c:pt idx="13">
                  <c:v>0.11311971197366133</c:v>
                </c:pt>
                <c:pt idx="14">
                  <c:v>0.12182122827932759</c:v>
                </c:pt>
                <c:pt idx="15">
                  <c:v>0.13052274458499383</c:v>
                </c:pt>
                <c:pt idx="16">
                  <c:v>0.13922426089066012</c:v>
                </c:pt>
                <c:pt idx="17">
                  <c:v>0.14792577719632635</c:v>
                </c:pt>
                <c:pt idx="18">
                  <c:v>0.15662729350199259</c:v>
                </c:pt>
                <c:pt idx="19">
                  <c:v>0.16532880980765888</c:v>
                </c:pt>
                <c:pt idx="20">
                  <c:v>0.17403032611332511</c:v>
                </c:pt>
                <c:pt idx="21">
                  <c:v>0.18273184241899135</c:v>
                </c:pt>
                <c:pt idx="22">
                  <c:v>0.19143335872465769</c:v>
                </c:pt>
                <c:pt idx="23">
                  <c:v>0.2001348750303239</c:v>
                </c:pt>
                <c:pt idx="24">
                  <c:v>0.20883639133599013</c:v>
                </c:pt>
                <c:pt idx="25">
                  <c:v>0.21753790764165643</c:v>
                </c:pt>
                <c:pt idx="26">
                  <c:v>0.22623942394732266</c:v>
                </c:pt>
                <c:pt idx="27">
                  <c:v>0.23494094025298895</c:v>
                </c:pt>
                <c:pt idx="28">
                  <c:v>0.24364245655865518</c:v>
                </c:pt>
                <c:pt idx="29">
                  <c:v>0.25234397286432136</c:v>
                </c:pt>
                <c:pt idx="30">
                  <c:v>0.26104548916998765</c:v>
                </c:pt>
                <c:pt idx="31">
                  <c:v>0.26974700547565389</c:v>
                </c:pt>
                <c:pt idx="32">
                  <c:v>0.27844852178132024</c:v>
                </c:pt>
                <c:pt idx="33">
                  <c:v>0.28715003808698641</c:v>
                </c:pt>
                <c:pt idx="34">
                  <c:v>0.2958515543926527</c:v>
                </c:pt>
                <c:pt idx="35">
                  <c:v>0.30455307069831894</c:v>
                </c:pt>
                <c:pt idx="36">
                  <c:v>0.31325458700398517</c:v>
                </c:pt>
                <c:pt idx="37">
                  <c:v>0.32195610330965146</c:v>
                </c:pt>
                <c:pt idx="38">
                  <c:v>0.33065761961531775</c:v>
                </c:pt>
                <c:pt idx="39">
                  <c:v>0.33935913592098405</c:v>
                </c:pt>
                <c:pt idx="40">
                  <c:v>0.34806065222665022</c:v>
                </c:pt>
                <c:pt idx="41">
                  <c:v>0.33347785628125876</c:v>
                </c:pt>
                <c:pt idx="42">
                  <c:v>0.33318487441349848</c:v>
                </c:pt>
                <c:pt idx="43">
                  <c:v>0.33361524253154035</c:v>
                </c:pt>
                <c:pt idx="44">
                  <c:v>0.33402827282142605</c:v>
                </c:pt>
                <c:pt idx="45">
                  <c:v>0.33442506498228058</c:v>
                </c:pt>
                <c:pt idx="46">
                  <c:v>0.33480662764186203</c:v>
                </c:pt>
                <c:pt idx="47">
                  <c:v>0.33517388759290606</c:v>
                </c:pt>
                <c:pt idx="48">
                  <c:v>0.33552769792773379</c:v>
                </c:pt>
                <c:pt idx="49">
                  <c:v>0.33586884522145083</c:v>
                </c:pt>
                <c:pt idx="50">
                  <c:v>0.33619805589108104</c:v>
                </c:pt>
                <c:pt idx="51">
                  <c:v>0.33651600183885622</c:v>
                </c:pt>
                <c:pt idx="52">
                  <c:v>0.33682330547194456</c:v>
                </c:pt>
                <c:pt idx="53">
                  <c:v>0.33712054417754761</c:v>
                </c:pt>
                <c:pt idx="54">
                  <c:v>0.33740825432108357</c:v>
                </c:pt>
                <c:pt idx="55">
                  <c:v>0.33768693482571494</c:v>
                </c:pt>
                <c:pt idx="56">
                  <c:v>0.3379570503834905</c:v>
                </c:pt>
                <c:pt idx="57">
                  <c:v>0.33821903434158479</c:v>
                </c:pt>
                <c:pt idx="58">
                  <c:v>0.33847329130135173</c:v>
                </c:pt>
                <c:pt idx="59">
                  <c:v>0.33872019946298826</c:v>
                </c:pt>
                <c:pt idx="60">
                  <c:v>0.33896011274438831</c:v>
                </c:pt>
                <c:pt idx="61">
                  <c:v>0.33919336269916028</c:v>
                </c:pt>
                <c:pt idx="62">
                  <c:v>0.3394202602556699</c:v>
                </c:pt>
                <c:pt idx="63">
                  <c:v>0.33964109729629599</c:v>
                </c:pt>
                <c:pt idx="64">
                  <c:v>0.3398561480937668</c:v>
                </c:pt>
                <c:pt idx="65">
                  <c:v>0.34006567061944548</c:v>
                </c:pt>
                <c:pt idx="66">
                  <c:v>0.34026990773668464</c:v>
                </c:pt>
                <c:pt idx="67">
                  <c:v>0.34046908829086264</c:v>
                </c:pt>
                <c:pt idx="68">
                  <c:v>0.3406634281063865</c:v>
                </c:pt>
                <c:pt idx="69">
                  <c:v>0.34085313089979669</c:v>
                </c:pt>
                <c:pt idx="70">
                  <c:v>0.34103838911709572</c:v>
                </c:pt>
                <c:pt idx="71">
                  <c:v>0.34121938470253832</c:v>
                </c:pt>
                <c:pt idx="72">
                  <c:v>0.3413962898053382</c:v>
                </c:pt>
                <c:pt idx="73">
                  <c:v>0.34156926743006488</c:v>
                </c:pt>
                <c:pt idx="74">
                  <c:v>0.3417384720358953</c:v>
                </c:pt>
                <c:pt idx="75">
                  <c:v>0.34190405008935132</c:v>
                </c:pt>
                <c:pt idx="76">
                  <c:v>0.34206614057468393</c:v>
                </c:pt>
                <c:pt idx="77">
                  <c:v>0.34222487546563946</c:v>
                </c:pt>
                <c:pt idx="78">
                  <c:v>0.34238038016197592</c:v>
                </c:pt>
                <c:pt idx="79">
                  <c:v>0.34253277389376513</c:v>
                </c:pt>
                <c:pt idx="80">
                  <c:v>0.34268217009621899</c:v>
                </c:pt>
                <c:pt idx="81">
                  <c:v>0.34282867675751816</c:v>
                </c:pt>
                <c:pt idx="82">
                  <c:v>0.34297239674188396</c:v>
                </c:pt>
                <c:pt idx="83">
                  <c:v>0.34311342808992629</c:v>
                </c:pt>
                <c:pt idx="84">
                  <c:v>0.34325186429810856</c:v>
                </c:pt>
                <c:pt idx="85">
                  <c:v>0.3433877945790077</c:v>
                </c:pt>
                <c:pt idx="86">
                  <c:v>0.34352130410388726</c:v>
                </c:pt>
                <c:pt idx="87">
                  <c:v>0.3436524742289741</c:v>
                </c:pt>
                <c:pt idx="88">
                  <c:v>0.34378138270669906</c:v>
                </c:pt>
                <c:pt idx="89">
                  <c:v>0.34390810388305615</c:v>
                </c:pt>
                <c:pt idx="90">
                  <c:v>0.34403270888213211</c:v>
                </c:pt>
                <c:pt idx="91">
                  <c:v>0.34415526577876904</c:v>
                </c:pt>
                <c:pt idx="92">
                  <c:v>0.34427583976024206</c:v>
                </c:pt>
                <c:pt idx="93">
                  <c:v>0.3443944932777559</c:v>
                </c:pt>
                <c:pt idx="94">
                  <c:v>0.34451128618850563</c:v>
                </c:pt>
                <c:pt idx="95">
                  <c:v>0.34462627588897365</c:v>
                </c:pt>
                <c:pt idx="96">
                  <c:v>0.34473951744009368</c:v>
                </c:pt>
                <c:pt idx="97">
                  <c:v>0.34485106368485058</c:v>
                </c:pt>
                <c:pt idx="98">
                  <c:v>0.34496096535884474</c:v>
                </c:pt>
                <c:pt idx="99">
                  <c:v>0.34506927119430952</c:v>
                </c:pt>
                <c:pt idx="100">
                  <c:v>0.34517602801802633</c:v>
                </c:pt>
              </c:numCache>
            </c:numRef>
          </c:val>
          <c:smooth val="0"/>
          <c:extLst>
            <c:ext xmlns:c16="http://schemas.microsoft.com/office/drawing/2014/chart" uri="{C3380CC4-5D6E-409C-BE32-E72D297353CC}">
              <c16:uniqueId val="{00000008-CEA8-405E-B5B3-AF38AAF3801C}"/>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c:v>
                </c:pt>
                <c:pt idx="2">
                  <c:v>20.833691001432225</c:v>
                </c:pt>
                <c:pt idx="3">
                  <c:v>20.833691001432225</c:v>
                </c:pt>
                <c:pt idx="4">
                  <c:v>27.778254668576302</c:v>
                </c:pt>
                <c:pt idx="5">
                  <c:v>34.722818335720376</c:v>
                </c:pt>
                <c:pt idx="6">
                  <c:v>41.66738200286445</c:v>
                </c:pt>
                <c:pt idx="7">
                  <c:v>48.611945670008538</c:v>
                </c:pt>
                <c:pt idx="8">
                  <c:v>55.556509337152605</c:v>
                </c:pt>
                <c:pt idx="9">
                  <c:v>62.501073004296671</c:v>
                </c:pt>
                <c:pt idx="10">
                  <c:v>69.445636671440752</c:v>
                </c:pt>
                <c:pt idx="11">
                  <c:v>76.390200338584819</c:v>
                </c:pt>
                <c:pt idx="12">
                  <c:v>83.3347640057289</c:v>
                </c:pt>
                <c:pt idx="13">
                  <c:v>90.279327672872981</c:v>
                </c:pt>
                <c:pt idx="14">
                  <c:v>97.223891340017076</c:v>
                </c:pt>
                <c:pt idx="15">
                  <c:v>104.16845500716113</c:v>
                </c:pt>
                <c:pt idx="16">
                  <c:v>111.11301867430521</c:v>
                </c:pt>
                <c:pt idx="17">
                  <c:v>118.0575823414493</c:v>
                </c:pt>
                <c:pt idx="18">
                  <c:v>125.00214600859334</c:v>
                </c:pt>
                <c:pt idx="19">
                  <c:v>131.94670967573745</c:v>
                </c:pt>
                <c:pt idx="20">
                  <c:v>138.8912733428815</c:v>
                </c:pt>
                <c:pt idx="21">
                  <c:v>145.83583701002559</c:v>
                </c:pt>
                <c:pt idx="22">
                  <c:v>152.78040067716964</c:v>
                </c:pt>
                <c:pt idx="23">
                  <c:v>159.72496434431372</c:v>
                </c:pt>
                <c:pt idx="24">
                  <c:v>166.6695280114578</c:v>
                </c:pt>
                <c:pt idx="25">
                  <c:v>173.61409167860191</c:v>
                </c:pt>
                <c:pt idx="26">
                  <c:v>180.55865534574596</c:v>
                </c:pt>
                <c:pt idx="27">
                  <c:v>187.50321901289004</c:v>
                </c:pt>
                <c:pt idx="28">
                  <c:v>194.44778268003415</c:v>
                </c:pt>
                <c:pt idx="29">
                  <c:v>201.39234634717818</c:v>
                </c:pt>
                <c:pt idx="30">
                  <c:v>208.33691001432226</c:v>
                </c:pt>
                <c:pt idx="31">
                  <c:v>215.28147368146637</c:v>
                </c:pt>
                <c:pt idx="32">
                  <c:v>212.28432427268808</c:v>
                </c:pt>
                <c:pt idx="33">
                  <c:v>206.10691267739978</c:v>
                </c:pt>
                <c:pt idx="34">
                  <c:v>200.27828892639309</c:v>
                </c:pt>
                <c:pt idx="35">
                  <c:v>194.76972346628364</c:v>
                </c:pt>
                <c:pt idx="36">
                  <c:v>189.55555768608298</c:v>
                </c:pt>
                <c:pt idx="37">
                  <c:v>184.61280427508262</c:v>
                </c:pt>
                <c:pt idx="38">
                  <c:v>179.92080840728147</c:v>
                </c:pt>
                <c:pt idx="39">
                  <c:v>175.46095921862383</c:v>
                </c:pt>
                <c:pt idx="40">
                  <c:v>171.21644307777169</c:v>
                </c:pt>
                <c:pt idx="41">
                  <c:v>167.17203175397916</c:v>
                </c:pt>
                <c:pt idx="42">
                  <c:v>163.31389985624571</c:v>
                </c:pt>
                <c:pt idx="43">
                  <c:v>159.62946693110447</c:v>
                </c:pt>
                <c:pt idx="44">
                  <c:v>156.10726041882467</c:v>
                </c:pt>
                <c:pt idx="45">
                  <c:v>152.73679632271865</c:v>
                </c:pt>
                <c:pt idx="46">
                  <c:v>149.50847497686107</c:v>
                </c:pt>
                <c:pt idx="47">
                  <c:v>146.41348972952002</c:v>
                </c:pt>
                <c:pt idx="48">
                  <c:v>143.4437467129209</c:v>
                </c:pt>
                <c:pt idx="49">
                  <c:v>140.59179416022235</c:v>
                </c:pt>
                <c:pt idx="50">
                  <c:v>137.85075997003366</c:v>
                </c:pt>
                <c:pt idx="51">
                  <c:v>135.21429641714798</c:v>
                </c:pt>
                <c:pt idx="52">
                  <c:v>132.67653107309295</c:v>
                </c:pt>
                <c:pt idx="53">
                  <c:v>130.23202313775113</c:v>
                </c:pt>
                <c:pt idx="54">
                  <c:v>127.87572449860293</c:v>
                </c:pt>
                <c:pt idx="55">
                  <c:v>125.60294493104954</c:v>
                </c:pt>
                <c:pt idx="56">
                  <c:v>123.40932093499265</c:v>
                </c:pt>
                <c:pt idx="57">
                  <c:v>121.2907877719764</c:v>
                </c:pt>
                <c:pt idx="58">
                  <c:v>119.24355432585403</c:v>
                </c:pt>
                <c:pt idx="59">
                  <c:v>117.26408045986594</c:v>
                </c:pt>
                <c:pt idx="60">
                  <c:v>115.34905658561809</c:v>
                </c:pt>
                <c:pt idx="61">
                  <c:v>113.49538519591633</c:v>
                </c:pt>
                <c:pt idx="62">
                  <c:v>111.7001641446991</c:v>
                </c:pt>
                <c:pt idx="63">
                  <c:v>109.96067148422864</c:v>
                </c:pt>
                <c:pt idx="64">
                  <c:v>108.27435169291559</c:v>
                </c:pt>
                <c:pt idx="65">
                  <c:v>106.63880314722137</c:v>
                </c:pt>
                <c:pt idx="66">
                  <c:v>105.05176670847116</c:v>
                </c:pt>
                <c:pt idx="67">
                  <c:v>103.51111531051389</c:v>
                </c:pt>
                <c:pt idx="68">
                  <c:v>102.01484444731101</c:v>
                </c:pt>
                <c:pt idx="69">
                  <c:v>100.5610634709973</c:v>
                </c:pt>
                <c:pt idx="70">
                  <c:v>99.147987620981993</c:v>
                </c:pt>
                <c:pt idx="71">
                  <c:v>97.773930713427262</c:v>
                </c:pt>
                <c:pt idx="72">
                  <c:v>96.437298428145724</c:v>
                </c:pt>
                <c:pt idx="73">
                  <c:v>95.136582136723064</c:v>
                </c:pt>
                <c:pt idx="74">
                  <c:v>93.870353221633238</c:v>
                </c:pt>
                <c:pt idx="75">
                  <c:v>92.637257841374051</c:v>
                </c:pt>
                <c:pt idx="76">
                  <c:v>91.436012101293926</c:v>
                </c:pt>
                <c:pt idx="77">
                  <c:v>90.265397593899635</c:v>
                </c:pt>
                <c:pt idx="78">
                  <c:v>89.124257276078282</c:v>
                </c:pt>
                <c:pt idx="79">
                  <c:v>88.011491653908266</c:v>
                </c:pt>
                <c:pt idx="80">
                  <c:v>86.926055248615256</c:v>
                </c:pt>
                <c:pt idx="81">
                  <c:v>85.866953319795243</c:v>
                </c:pt>
                <c:pt idx="82">
                  <c:v>84.833238824317348</c:v>
                </c:pt>
                <c:pt idx="83">
                  <c:v>83.824009591364032</c:v>
                </c:pt>
                <c:pt idx="84">
                  <c:v>82.838405695897137</c:v>
                </c:pt>
                <c:pt idx="85">
                  <c:v>81.875607014477353</c:v>
                </c:pt>
                <c:pt idx="86">
                  <c:v>80.934830948836179</c:v>
                </c:pt>
                <c:pt idx="87">
                  <c:v>80.015330303919043</c:v>
                </c:pt>
                <c:pt idx="88">
                  <c:v>79.116391308308366</c:v>
                </c:pt>
                <c:pt idx="89">
                  <c:v>78.237331766003564</c:v>
                </c:pt>
                <c:pt idx="90">
                  <c:v>77.377499329500409</c:v>
                </c:pt>
                <c:pt idx="91">
                  <c:v>76.536269884982403</c:v>
                </c:pt>
                <c:pt idx="92">
                  <c:v>75.713046041223478</c:v>
                </c:pt>
                <c:pt idx="93">
                  <c:v>74.907255714513909</c:v>
                </c:pt>
                <c:pt idx="94">
                  <c:v>74.118350802564521</c:v>
                </c:pt>
                <c:pt idx="95">
                  <c:v>73.345805940930006</c:v>
                </c:pt>
                <c:pt idx="96">
                  <c:v>72.589117336021971</c:v>
                </c:pt>
                <c:pt idx="97">
                  <c:v>71.847801669264413</c:v>
                </c:pt>
                <c:pt idx="98">
                  <c:v>71.121395067382608</c:v>
                </c:pt>
                <c:pt idx="99">
                  <c:v>70.409452134215726</c:v>
                </c:pt>
                <c:pt idx="100">
                  <c:v>69.711545039806637</c:v>
                </c:pt>
              </c:numCache>
            </c:numRef>
          </c:val>
          <c:smooth val="0"/>
          <c:extLst>
            <c:ext xmlns:c16="http://schemas.microsoft.com/office/drawing/2014/chart" uri="{C3380CC4-5D6E-409C-BE32-E72D297353CC}">
              <c16:uniqueId val="{00000009-CEA8-405E-B5B3-AF38AAF3801C}"/>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c:v>
                </c:pt>
                <c:pt idx="2">
                  <c:v>13.889127334288151</c:v>
                </c:pt>
                <c:pt idx="3">
                  <c:v>20.833691001432225</c:v>
                </c:pt>
                <c:pt idx="4">
                  <c:v>27.778254668576302</c:v>
                </c:pt>
                <c:pt idx="5">
                  <c:v>34.722818335720376</c:v>
                </c:pt>
                <c:pt idx="6">
                  <c:v>41.66738200286445</c:v>
                </c:pt>
                <c:pt idx="7">
                  <c:v>48.611945670008538</c:v>
                </c:pt>
                <c:pt idx="8">
                  <c:v>55.556509337152605</c:v>
                </c:pt>
                <c:pt idx="9">
                  <c:v>62.501073004296671</c:v>
                </c:pt>
                <c:pt idx="10">
                  <c:v>69.445636671440752</c:v>
                </c:pt>
                <c:pt idx="11">
                  <c:v>76.390200338584819</c:v>
                </c:pt>
                <c:pt idx="12">
                  <c:v>83.3347640057289</c:v>
                </c:pt>
                <c:pt idx="13">
                  <c:v>90.279327672872981</c:v>
                </c:pt>
                <c:pt idx="14">
                  <c:v>97.223891340017076</c:v>
                </c:pt>
                <c:pt idx="15">
                  <c:v>104.16845500716113</c:v>
                </c:pt>
                <c:pt idx="16">
                  <c:v>111.11301867430521</c:v>
                </c:pt>
                <c:pt idx="17">
                  <c:v>118.0575823414493</c:v>
                </c:pt>
                <c:pt idx="18">
                  <c:v>125.00214600859334</c:v>
                </c:pt>
                <c:pt idx="19">
                  <c:v>131.94670967573745</c:v>
                </c:pt>
                <c:pt idx="20">
                  <c:v>138.8912733428815</c:v>
                </c:pt>
                <c:pt idx="21">
                  <c:v>145.83583701002559</c:v>
                </c:pt>
                <c:pt idx="22">
                  <c:v>152.78040067716964</c:v>
                </c:pt>
                <c:pt idx="23">
                  <c:v>159.72496434431372</c:v>
                </c:pt>
                <c:pt idx="24">
                  <c:v>166.6695280114578</c:v>
                </c:pt>
                <c:pt idx="25">
                  <c:v>173.61409167860191</c:v>
                </c:pt>
                <c:pt idx="26">
                  <c:v>180.55865534574596</c:v>
                </c:pt>
                <c:pt idx="27">
                  <c:v>187.50321901289004</c:v>
                </c:pt>
                <c:pt idx="28">
                  <c:v>194.44778268003415</c:v>
                </c:pt>
                <c:pt idx="29">
                  <c:v>201.39234634717818</c:v>
                </c:pt>
                <c:pt idx="30">
                  <c:v>208.33691001432226</c:v>
                </c:pt>
                <c:pt idx="31">
                  <c:v>215.28147368146637</c:v>
                </c:pt>
                <c:pt idx="32">
                  <c:v>222.22603734861042</c:v>
                </c:pt>
                <c:pt idx="33">
                  <c:v>229.1706010157545</c:v>
                </c:pt>
                <c:pt idx="34">
                  <c:v>236.11516468289861</c:v>
                </c:pt>
                <c:pt idx="35">
                  <c:v>243.0597283500426</c:v>
                </c:pt>
                <c:pt idx="36">
                  <c:v>250.00429201718669</c:v>
                </c:pt>
                <c:pt idx="37">
                  <c:v>237.55972718735387</c:v>
                </c:pt>
                <c:pt idx="38">
                  <c:v>231.60015096318938</c:v>
                </c:pt>
                <c:pt idx="39">
                  <c:v>225.93238417529975</c:v>
                </c:pt>
                <c:pt idx="40">
                  <c:v>220.53550598709793</c:v>
                </c:pt>
                <c:pt idx="41">
                  <c:v>215.3905487356939</c:v>
                </c:pt>
                <c:pt idx="42">
                  <c:v>210.48027519470898</c:v>
                </c:pt>
                <c:pt idx="43">
                  <c:v>205.78898563815912</c:v>
                </c:pt>
                <c:pt idx="44">
                  <c:v>201.30235015510937</c:v>
                </c:pt>
                <c:pt idx="45">
                  <c:v>197.0072624418882</c:v>
                </c:pt>
                <c:pt idx="46">
                  <c:v>192.8917119295561</c:v>
                </c:pt>
                <c:pt idx="47">
                  <c:v>188.94467161898564</c:v>
                </c:pt>
                <c:pt idx="48">
                  <c:v>185.1559994176398</c:v>
                </c:pt>
                <c:pt idx="49">
                  <c:v>181.51635111921755</c:v>
                </c:pt>
                <c:pt idx="50">
                  <c:v>178.01710345416637</c:v>
                </c:pt>
                <c:pt idx="51">
                  <c:v>174.65028587704097</c:v>
                </c:pt>
                <c:pt idx="52">
                  <c:v>171.40851995488921</c:v>
                </c:pt>
                <c:pt idx="53">
                  <c:v>168.28496538652499</c:v>
                </c:pt>
                <c:pt idx="54">
                  <c:v>165.27327182152305</c:v>
                </c:pt>
                <c:pt idx="55">
                  <c:v>162.36753576474561</c:v>
                </c:pt>
                <c:pt idx="56">
                  <c:v>159.56226195098171</c:v>
                </c:pt>
                <c:pt idx="57">
                  <c:v>156.85232865794958</c:v>
                </c:pt>
                <c:pt idx="58">
                  <c:v>154.23295649699344</c:v>
                </c:pt>
                <c:pt idx="59">
                  <c:v>151.69968028137856</c:v>
                </c:pt>
                <c:pt idx="60">
                  <c:v>149.24832362384043</c:v>
                </c:pt>
                <c:pt idx="61">
                  <c:v>146.87497595938945</c:v>
                </c:pt>
                <c:pt idx="62">
                  <c:v>144.57597172746438</c:v>
                </c:pt>
                <c:pt idx="63">
                  <c:v>142.34787148033178</c:v>
                </c:pt>
                <c:pt idx="64">
                  <c:v>140.18744471295213</c:v>
                </c:pt>
                <c:pt idx="65">
                  <c:v>138.09165423403914</c:v>
                </c:pt>
                <c:pt idx="66">
                  <c:v>136.05764191929816</c:v>
                </c:pt>
                <c:pt idx="67">
                  <c:v>134.08271570630646</c:v>
                </c:pt>
                <c:pt idx="68">
                  <c:v>132.16433770659413</c:v>
                </c:pt>
                <c:pt idx="69">
                  <c:v>130.30011332453935</c:v>
                </c:pt>
                <c:pt idx="70">
                  <c:v>128.48778128498083</c:v>
                </c:pt>
                <c:pt idx="71">
                  <c:v>126.72520448222465</c:v>
                </c:pt>
                <c:pt idx="72">
                  <c:v>125.01036157258297</c:v>
                </c:pt>
                <c:pt idx="73">
                  <c:v>123.34133924090466</c:v>
                </c:pt>
                <c:pt idx="74">
                  <c:v>121.71632507889161</c:v>
                </c:pt>
                <c:pt idx="75">
                  <c:v>120.13360101947298</c:v>
                </c:pt>
                <c:pt idx="76">
                  <c:v>118.59153727723347</c:v>
                </c:pt>
                <c:pt idx="77">
                  <c:v>117.0885867499691</c:v>
                </c:pt>
                <c:pt idx="78">
                  <c:v>115.62327984094196</c:v>
                </c:pt>
                <c:pt idx="79">
                  <c:v>114.19421966540757</c:v>
                </c:pt>
                <c:pt idx="80">
                  <c:v>112.80007760855031</c:v>
                </c:pt>
                <c:pt idx="81">
                  <c:v>111.43958920513199</c:v>
                </c:pt>
                <c:pt idx="82">
                  <c:v>110.11155031399747</c:v>
                </c:pt>
                <c:pt idx="83">
                  <c:v>108.8148135631079</c:v>
                </c:pt>
                <c:pt idx="84">
                  <c:v>107.54828504304437</c:v>
                </c:pt>
                <c:pt idx="85">
                  <c:v>106.31092122895225</c:v>
                </c:pt>
                <c:pt idx="86">
                  <c:v>105.10172611272458</c:v>
                </c:pt>
                <c:pt idx="87">
                  <c:v>103.91974852885863</c:v>
                </c:pt>
                <c:pt idx="88">
                  <c:v>102.76407965889683</c:v>
                </c:pt>
                <c:pt idx="89">
                  <c:v>101.63385070069127</c:v>
                </c:pt>
                <c:pt idx="90">
                  <c:v>100.52823068992902</c:v>
                </c:pt>
                <c:pt idx="91">
                  <c:v>99.44642446243995</c:v>
                </c:pt>
                <c:pt idx="92">
                  <c:v>98.387670746784281</c:v>
                </c:pt>
                <c:pt idx="93">
                  <c:v>97.351240377506087</c:v>
                </c:pt>
                <c:pt idx="94">
                  <c:v>96.33643462023872</c:v>
                </c:pt>
                <c:pt idx="95">
                  <c:v>95.342583600578479</c:v>
                </c:pt>
                <c:pt idx="96">
                  <c:v>94.369044829301842</c:v>
                </c:pt>
                <c:pt idx="97">
                  <c:v>93.415201817104048</c:v>
                </c:pt>
                <c:pt idx="98">
                  <c:v>92.480462772582598</c:v>
                </c:pt>
                <c:pt idx="99">
                  <c:v>91.564259377686852</c:v>
                </c:pt>
                <c:pt idx="100">
                  <c:v>90.66604563531078</c:v>
                </c:pt>
              </c:numCache>
            </c:numRef>
          </c:val>
          <c:smooth val="0"/>
          <c:extLst>
            <c:ext xmlns:c16="http://schemas.microsoft.com/office/drawing/2014/chart" uri="{C3380CC4-5D6E-409C-BE32-E72D297353CC}">
              <c16:uniqueId val="{0000000A-CEA8-405E-B5B3-AF38AAF3801C}"/>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c:v>
                </c:pt>
                <c:pt idx="2">
                  <c:v>13.88790822716947</c:v>
                </c:pt>
                <c:pt idx="3">
                  <c:v>20.831862340754203</c:v>
                </c:pt>
                <c:pt idx="4">
                  <c:v>27.775816454338941</c:v>
                </c:pt>
                <c:pt idx="5">
                  <c:v>34.719770567923675</c:v>
                </c:pt>
                <c:pt idx="6">
                  <c:v>41.663724681508405</c:v>
                </c:pt>
                <c:pt idx="7">
                  <c:v>48.607678795093143</c:v>
                </c:pt>
                <c:pt idx="8">
                  <c:v>55.551632908677881</c:v>
                </c:pt>
                <c:pt idx="9">
                  <c:v>62.495587022262612</c:v>
                </c:pt>
                <c:pt idx="10">
                  <c:v>69.43954113584735</c:v>
                </c:pt>
                <c:pt idx="11">
                  <c:v>76.383495249432102</c:v>
                </c:pt>
                <c:pt idx="12">
                  <c:v>83.327449363016811</c:v>
                </c:pt>
                <c:pt idx="13">
                  <c:v>90.271403476601549</c:v>
                </c:pt>
                <c:pt idx="14">
                  <c:v>97.215357590186287</c:v>
                </c:pt>
                <c:pt idx="15">
                  <c:v>104.15931170377101</c:v>
                </c:pt>
                <c:pt idx="16">
                  <c:v>111.10326581735576</c:v>
                </c:pt>
                <c:pt idx="17">
                  <c:v>118.0472199309405</c:v>
                </c:pt>
                <c:pt idx="18">
                  <c:v>124.99117404452522</c:v>
                </c:pt>
                <c:pt idx="19">
                  <c:v>131.93512815810996</c:v>
                </c:pt>
                <c:pt idx="20">
                  <c:v>138.8790822716947</c:v>
                </c:pt>
                <c:pt idx="21">
                  <c:v>145.82303638527941</c:v>
                </c:pt>
                <c:pt idx="22">
                  <c:v>152.7669904988642</c:v>
                </c:pt>
                <c:pt idx="23">
                  <c:v>159.71094461244891</c:v>
                </c:pt>
                <c:pt idx="24">
                  <c:v>166.65489872603362</c:v>
                </c:pt>
                <c:pt idx="25">
                  <c:v>173.59885283961839</c:v>
                </c:pt>
                <c:pt idx="26">
                  <c:v>180.5428069532031</c:v>
                </c:pt>
                <c:pt idx="27">
                  <c:v>187.48676106678786</c:v>
                </c:pt>
                <c:pt idx="28">
                  <c:v>194.43071518037257</c:v>
                </c:pt>
                <c:pt idx="29">
                  <c:v>201.37466929395728</c:v>
                </c:pt>
                <c:pt idx="30">
                  <c:v>208.31862340754202</c:v>
                </c:pt>
                <c:pt idx="31">
                  <c:v>215.26257752112676</c:v>
                </c:pt>
                <c:pt idx="32">
                  <c:v>222.20653163471152</c:v>
                </c:pt>
                <c:pt idx="33">
                  <c:v>229.15048574829626</c:v>
                </c:pt>
                <c:pt idx="34">
                  <c:v>236.094439861881</c:v>
                </c:pt>
                <c:pt idx="35">
                  <c:v>243.03839397546571</c:v>
                </c:pt>
                <c:pt idx="36">
                  <c:v>249.98234808905045</c:v>
                </c:pt>
                <c:pt idx="37">
                  <c:v>256.92630220263516</c:v>
                </c:pt>
                <c:pt idx="38">
                  <c:v>263.87025631621992</c:v>
                </c:pt>
                <c:pt idx="39">
                  <c:v>270.81421042980469</c:v>
                </c:pt>
                <c:pt idx="40">
                  <c:v>277.7581645433894</c:v>
                </c:pt>
                <c:pt idx="41">
                  <c:v>266.11462956577873</c:v>
                </c:pt>
                <c:pt idx="42">
                  <c:v>260.11864826767874</c:v>
                </c:pt>
                <c:pt idx="43">
                  <c:v>254.38738352869817</c:v>
                </c:pt>
                <c:pt idx="44">
                  <c:v>248.90368328794969</c:v>
                </c:pt>
                <c:pt idx="45">
                  <c:v>243.6518459593662</c:v>
                </c:pt>
                <c:pt idx="46">
                  <c:v>238.61747028070943</c:v>
                </c:pt>
                <c:pt idx="47">
                  <c:v>233.78732343633209</c:v>
                </c:pt>
                <c:pt idx="48">
                  <c:v>229.14922491065488</c:v>
                </c:pt>
                <c:pt idx="49">
                  <c:v>224.6919439258881</c:v>
                </c:pt>
                <c:pt idx="50">
                  <c:v>220.40510864585855</c:v>
                </c:pt>
                <c:pt idx="51">
                  <c:v>216.27912560069146</c:v>
                </c:pt>
                <c:pt idx="52">
                  <c:v>212.30510801475214</c:v>
                </c:pt>
                <c:pt idx="53">
                  <c:v>208.47481191086604</c:v>
                </c:pt>
                <c:pt idx="54">
                  <c:v>204.78057902397083</c:v>
                </c:pt>
                <c:pt idx="55">
                  <c:v>201.21528569233857</c:v>
                </c:pt>
                <c:pt idx="56">
                  <c:v>197.77229700865919</c:v>
                </c:pt>
                <c:pt idx="57">
                  <c:v>194.44542561009413</c:v>
                </c:pt>
                <c:pt idx="58">
                  <c:v>191.2288945687859</c:v>
                </c:pt>
                <c:pt idx="59">
                  <c:v>188.11730391458551</c:v>
                </c:pt>
                <c:pt idx="60">
                  <c:v>185.10560038188763</c:v>
                </c:pt>
                <c:pt idx="61">
                  <c:v>182.18905002403966</c:v>
                </c:pt>
                <c:pt idx="62">
                  <c:v>179.36321338314991</c:v>
                </c:pt>
                <c:pt idx="63">
                  <c:v>176.62392294136447</c:v>
                </c:pt>
                <c:pt idx="64">
                  <c:v>173.96726261273628</c:v>
                </c:pt>
                <c:pt idx="65">
                  <c:v>171.38954906344165</c:v>
                </c:pt>
                <c:pt idx="66">
                  <c:v>168.88731467296014</c:v>
                </c:pt>
                <c:pt idx="67">
                  <c:v>166.45729197046566</c:v>
                </c:pt>
                <c:pt idx="68">
                  <c:v>164.0963993995384</c:v>
                </c:pt>
                <c:pt idx="69">
                  <c:v>161.80172828078753</c:v>
                </c:pt>
                <c:pt idx="70">
                  <c:v>159.57053085640604</c:v>
                </c:pt>
                <c:pt idx="71">
                  <c:v>157.40020931333643</c:v>
                </c:pt>
                <c:pt idx="72">
                  <c:v>155.28830569284946</c:v>
                </c:pt>
                <c:pt idx="73">
                  <c:v>153.23249260413471</c:v>
                </c:pt>
                <c:pt idx="74">
                  <c:v>151.23056466814134</c:v>
                </c:pt>
                <c:pt idx="75">
                  <c:v>149.28043062553994</c:v>
                </c:pt>
                <c:pt idx="76">
                  <c:v>147.38010604943457</c:v>
                </c:pt>
                <c:pt idx="77">
                  <c:v>145.52770660944194</c:v>
                </c:pt>
                <c:pt idx="78">
                  <c:v>143.72144183907358</c:v>
                </c:pt>
                <c:pt idx="79">
                  <c:v>141.95960936308711</c:v>
                </c:pt>
                <c:pt idx="80">
                  <c:v>140.24058954568406</c:v>
                </c:pt>
                <c:pt idx="81">
                  <c:v>138.56284052418843</c:v>
                </c:pt>
                <c:pt idx="82">
                  <c:v>136.92489359619904</c:v>
                </c:pt>
                <c:pt idx="83">
                  <c:v>135.32534893120607</c:v>
                </c:pt>
                <c:pt idx="84">
                  <c:v>133.76287158035603</c:v>
                </c:pt>
                <c:pt idx="85">
                  <c:v>132.23618776045811</c:v>
                </c:pt>
                <c:pt idx="86">
                  <c:v>130.74408139049078</c:v>
                </c:pt>
                <c:pt idx="87">
                  <c:v>129.2853908608169</c:v>
                </c:pt>
                <c:pt idx="88">
                  <c:v>127.85900601706743</c:v>
                </c:pt>
                <c:pt idx="89">
                  <c:v>126.46386534223566</c:v>
                </c:pt>
                <c:pt idx="90">
                  <c:v>125.0989533219492</c:v>
                </c:pt>
                <c:pt idx="91">
                  <c:v>123.76329797917685</c:v>
                </c:pt>
                <c:pt idx="92">
                  <c:v>122.45596856579348</c:v>
                </c:pt>
                <c:pt idx="93">
                  <c:v>121.17607339948034</c:v>
                </c:pt>
                <c:pt idx="94">
                  <c:v>119.92275783539822</c:v>
                </c:pt>
                <c:pt idx="95">
                  <c:v>118.69520236293519</c:v>
                </c:pt>
                <c:pt idx="96">
                  <c:v>117.49262081862517</c:v>
                </c:pt>
                <c:pt idx="97">
                  <c:v>116.31425870704581</c:v>
                </c:pt>
                <c:pt idx="98">
                  <c:v>115.15939162216061</c:v>
                </c:pt>
                <c:pt idx="99">
                  <c:v>114.02732376216494</c:v>
                </c:pt>
                <c:pt idx="100">
                  <c:v>112.91738653143696</c:v>
                </c:pt>
              </c:numCache>
            </c:numRef>
          </c:val>
          <c:smooth val="0"/>
          <c:extLst>
            <c:ext xmlns:c16="http://schemas.microsoft.com/office/drawing/2014/chart" uri="{C3380CC4-5D6E-409C-BE32-E72D297353CC}">
              <c16:uniqueId val="{0000000B-CEA8-405E-B5B3-AF38AAF3801C}"/>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CEA8-405E-B5B3-AF38AAF3801C}"/>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CEA8-405E-B5B3-AF38AAF3801C}"/>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CEA8-405E-B5B3-AF38AAF3801C}"/>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1.666668734584487E-2</c:v>
                </c:pt>
                <c:pt idx="1">
                  <c:v>1.671303530258568E-2</c:v>
                </c:pt>
                <c:pt idx="2">
                  <c:v>2.3225977753519898E-2</c:v>
                </c:pt>
                <c:pt idx="3">
                  <c:v>3.4838966630279841E-2</c:v>
                </c:pt>
                <c:pt idx="4">
                  <c:v>4.6451955507039795E-2</c:v>
                </c:pt>
                <c:pt idx="5">
                  <c:v>5.8064944383799742E-2</c:v>
                </c:pt>
                <c:pt idx="6">
                  <c:v>6.9677933260559682E-2</c:v>
                </c:pt>
                <c:pt idx="7">
                  <c:v>8.1290922137319657E-2</c:v>
                </c:pt>
                <c:pt idx="8">
                  <c:v>9.290391101407959E-2</c:v>
                </c:pt>
                <c:pt idx="9">
                  <c:v>0.10451689989083952</c:v>
                </c:pt>
                <c:pt idx="10">
                  <c:v>0.11612988876759948</c:v>
                </c:pt>
                <c:pt idx="11">
                  <c:v>0.1277428776443594</c:v>
                </c:pt>
                <c:pt idx="12">
                  <c:v>0.13935586652111936</c:v>
                </c:pt>
                <c:pt idx="13">
                  <c:v>0.1509688553978793</c:v>
                </c:pt>
                <c:pt idx="14">
                  <c:v>0.16258184427463931</c:v>
                </c:pt>
                <c:pt idx="15">
                  <c:v>0.17419483315139922</c:v>
                </c:pt>
                <c:pt idx="16">
                  <c:v>0.18580782202815918</c:v>
                </c:pt>
                <c:pt idx="17">
                  <c:v>0.19742081090491914</c:v>
                </c:pt>
                <c:pt idx="18">
                  <c:v>0.20903379978167905</c:v>
                </c:pt>
                <c:pt idx="19">
                  <c:v>0.22064678865843904</c:v>
                </c:pt>
                <c:pt idx="20">
                  <c:v>0.23225977753519897</c:v>
                </c:pt>
                <c:pt idx="21">
                  <c:v>0.24387276641195893</c:v>
                </c:pt>
                <c:pt idx="22">
                  <c:v>0.25548575528871881</c:v>
                </c:pt>
                <c:pt idx="23">
                  <c:v>0.2670987441654788</c:v>
                </c:pt>
                <c:pt idx="24">
                  <c:v>0.27871173304223873</c:v>
                </c:pt>
                <c:pt idx="25">
                  <c:v>0.29032472191899877</c:v>
                </c:pt>
                <c:pt idx="26">
                  <c:v>0.3019377107957586</c:v>
                </c:pt>
                <c:pt idx="27">
                  <c:v>0.31355069967251864</c:v>
                </c:pt>
                <c:pt idx="28">
                  <c:v>0.32516368854927863</c:v>
                </c:pt>
                <c:pt idx="29">
                  <c:v>0.33677667742603851</c:v>
                </c:pt>
                <c:pt idx="30">
                  <c:v>0.34838966630279844</c:v>
                </c:pt>
                <c:pt idx="31">
                  <c:v>0.36000265517955843</c:v>
                </c:pt>
                <c:pt idx="32">
                  <c:v>0.37161564405631836</c:v>
                </c:pt>
                <c:pt idx="33">
                  <c:v>0.38322863293307835</c:v>
                </c:pt>
                <c:pt idx="34">
                  <c:v>0.39484162180983828</c:v>
                </c:pt>
                <c:pt idx="35">
                  <c:v>0.40645461068659811</c:v>
                </c:pt>
                <c:pt idx="36">
                  <c:v>0.41806759956335809</c:v>
                </c:pt>
                <c:pt idx="37">
                  <c:v>0.3997532403576694</c:v>
                </c:pt>
                <c:pt idx="38">
                  <c:v>0.40029248055669814</c:v>
                </c:pt>
                <c:pt idx="39">
                  <c:v>0.40080732102948124</c:v>
                </c:pt>
                <c:pt idx="40">
                  <c:v>0.40129951120368001</c:v>
                </c:pt>
                <c:pt idx="41">
                  <c:v>0.40177063718003303</c:v>
                </c:pt>
                <c:pt idx="42">
                  <c:v>0.40222214035792786</c:v>
                </c:pt>
                <c:pt idx="43">
                  <c:v>0.40265533356897154</c:v>
                </c:pt>
                <c:pt idx="44">
                  <c:v>0.40307141509905525</c:v>
                </c:pt>
                <c:pt idx="45">
                  <c:v>0.40347148091444113</c:v>
                </c:pt>
                <c:pt idx="46">
                  <c:v>0.40385653535462873</c:v>
                </c:pt>
                <c:pt idx="47">
                  <c:v>0.40422750051173112</c:v>
                </c:pt>
                <c:pt idx="48">
                  <c:v>0.40458522448082246</c:v>
                </c:pt>
                <c:pt idx="49">
                  <c:v>0.4049304886366924</c:v>
                </c:pt>
                <c:pt idx="50">
                  <c:v>0.40526401406846319</c:v>
                </c:pt>
                <c:pt idx="51">
                  <c:v>0.4055864672836183</c:v>
                </c:pt>
                <c:pt idx="52">
                  <c:v>0.40589846527642509</c:v>
                </c:pt>
                <c:pt idx="53">
                  <c:v>0.40620058004187332</c:v>
                </c:pt>
                <c:pt idx="54">
                  <c:v>0.40649334260463338</c:v>
                </c:pt>
                <c:pt idx="55">
                  <c:v>0.40677724662275527</c:v>
                </c:pt>
                <c:pt idx="56">
                  <c:v>0.40705275161757232</c:v>
                </c:pt>
                <c:pt idx="57">
                  <c:v>0.40732028587427244</c:v>
                </c:pt>
                <c:pt idx="58">
                  <c:v>0.40758024905166074</c:v>
                </c:pt>
                <c:pt idx="59">
                  <c:v>0.4078330145345696</c:v>
                </c:pt>
                <c:pt idx="60">
                  <c:v>0.40807893155804392</c:v>
                </c:pt>
                <c:pt idx="61">
                  <c:v>0.40831832712872468</c:v>
                </c:pt>
                <c:pt idx="62">
                  <c:v>0.40855150776566412</c:v>
                </c:pt>
                <c:pt idx="63">
                  <c:v>0.40877876108006583</c:v>
                </c:pt>
                <c:pt idx="64">
                  <c:v>0.40900035721107403</c:v>
                </c:pt>
                <c:pt idx="65">
                  <c:v>0.40921655013268543</c:v>
                </c:pt>
                <c:pt idx="66">
                  <c:v>0.40942757884508185</c:v>
                </c:pt>
                <c:pt idx="67">
                  <c:v>0.40963366846213639</c:v>
                </c:pt>
                <c:pt idx="68">
                  <c:v>0.40983503120549464</c:v>
                </c:pt>
                <c:pt idx="69">
                  <c:v>0.41003186731446911</c:v>
                </c:pt>
                <c:pt idx="70">
                  <c:v>0.41022436587994171</c:v>
                </c:pt>
                <c:pt idx="71">
                  <c:v>0.41041270560958198</c:v>
                </c:pt>
                <c:pt idx="72">
                  <c:v>0.4105970555308901</c:v>
                </c:pt>
                <c:pt idx="73">
                  <c:v>0.4107775756378797</c:v>
                </c:pt>
                <c:pt idx="74">
                  <c:v>0.410954417486602</c:v>
                </c:pt>
                <c:pt idx="75">
                  <c:v>0.41112772474417258</c:v>
                </c:pt>
                <c:pt idx="76">
                  <c:v>0.41129763369547995</c:v>
                </c:pt>
                <c:pt idx="77">
                  <c:v>0.41146427371133498</c:v>
                </c:pt>
                <c:pt idx="78">
                  <c:v>0.41162776768144094</c:v>
                </c:pt>
                <c:pt idx="79">
                  <c:v>0.41178823241522949</c:v>
                </c:pt>
                <c:pt idx="80">
                  <c:v>0.41194577901331242</c:v>
                </c:pt>
                <c:pt idx="81">
                  <c:v>0.41210051321203017</c:v>
                </c:pt>
                <c:pt idx="82">
                  <c:v>0.41225253570334514</c:v>
                </c:pt>
                <c:pt idx="83">
                  <c:v>0.41240194243211237</c:v>
                </c:pt>
                <c:pt idx="84">
                  <c:v>0.41254882487257311</c:v>
                </c:pt>
                <c:pt idx="85">
                  <c:v>0.41269327028574593</c:v>
                </c:pt>
                <c:pt idx="86">
                  <c:v>0.41283536195923737</c:v>
                </c:pt>
                <c:pt idx="87">
                  <c:v>0.41297517943085682</c:v>
                </c:pt>
                <c:pt idx="88">
                  <c:v>0.41311279869729872</c:v>
                </c:pt>
                <c:pt idx="89">
                  <c:v>0.41324829240904215</c:v>
                </c:pt>
                <c:pt idx="90">
                  <c:v>0.4133817300525166</c:v>
                </c:pt>
                <c:pt idx="91">
                  <c:v>0.41351317812049765</c:v>
                </c:pt>
                <c:pt idx="92">
                  <c:v>0.41364270027160649</c:v>
                </c:pt>
                <c:pt idx="93">
                  <c:v>0.41377035747972024</c:v>
                </c:pt>
                <c:pt idx="94">
                  <c:v>0.41389620817402856</c:v>
                </c:pt>
                <c:pt idx="95">
                  <c:v>0.41402030837041415</c:v>
                </c:pt>
                <c:pt idx="96">
                  <c:v>0.41414271179477452</c:v>
                </c:pt>
                <c:pt idx="97">
                  <c:v>0.41426346999886093</c:v>
                </c:pt>
                <c:pt idx="98">
                  <c:v>0.41438263246915352</c:v>
                </c:pt>
                <c:pt idx="99">
                  <c:v>0.41450024672926022</c:v>
                </c:pt>
                <c:pt idx="100">
                  <c:v>0.41461635843628281</c:v>
                </c:pt>
              </c:numCache>
            </c:numRef>
          </c:val>
          <c:smooth val="0"/>
          <c:extLst>
            <c:ext xmlns:c16="http://schemas.microsoft.com/office/drawing/2014/chart" uri="{C3380CC4-5D6E-409C-BE32-E72D297353CC}">
              <c16:uniqueId val="{0000000F-CEA8-405E-B5B3-AF38AAF3801C}"/>
            </c:ext>
          </c:extLst>
        </c:ser>
        <c:ser>
          <c:idx val="7"/>
          <c:order val="7"/>
          <c:spPr>
            <a:ln w="25400">
              <a:solidFill>
                <a:srgbClr val="00B050"/>
              </a:solidFill>
              <a:prstDash val="dash"/>
            </a:ln>
          </c:spPr>
          <c:marker>
            <c:symbol val="none"/>
          </c:marker>
          <c:val>
            <c:numRef>
              <c:f>'Calculations - Dual'!$AU$110:$AU$210</c:f>
              <c:numCache>
                <c:formatCode>0.000</c:formatCode>
                <c:ptCount val="101"/>
                <c:pt idx="0">
                  <c:v>2.2227840682823276E-2</c:v>
                </c:pt>
                <c:pt idx="1">
                  <c:v>2.2304731869941211E-2</c:v>
                </c:pt>
                <c:pt idx="2">
                  <c:v>4.6503807460942133E-2</c:v>
                </c:pt>
                <c:pt idx="3">
                  <c:v>4.6503807460942133E-2</c:v>
                </c:pt>
                <c:pt idx="4">
                  <c:v>6.2005076614589517E-2</c:v>
                </c:pt>
                <c:pt idx="5">
                  <c:v>7.7506345768236895E-2</c:v>
                </c:pt>
                <c:pt idx="6">
                  <c:v>9.3007614921884266E-2</c:v>
                </c:pt>
                <c:pt idx="7">
                  <c:v>0.10850888407553169</c:v>
                </c:pt>
                <c:pt idx="8">
                  <c:v>0.12401015322917903</c:v>
                </c:pt>
                <c:pt idx="9">
                  <c:v>0.13951142238282641</c:v>
                </c:pt>
                <c:pt idx="10">
                  <c:v>0.15501269153647379</c:v>
                </c:pt>
                <c:pt idx="11">
                  <c:v>0.17051396069012115</c:v>
                </c:pt>
                <c:pt idx="12">
                  <c:v>0.18601522984376853</c:v>
                </c:pt>
                <c:pt idx="13">
                  <c:v>0.20151649899741592</c:v>
                </c:pt>
                <c:pt idx="14">
                  <c:v>0.21701776815106338</c:v>
                </c:pt>
                <c:pt idx="15">
                  <c:v>0.23251903730471069</c:v>
                </c:pt>
                <c:pt idx="16">
                  <c:v>0.24802030645835807</c:v>
                </c:pt>
                <c:pt idx="17">
                  <c:v>0.26352157561200545</c:v>
                </c:pt>
                <c:pt idx="18">
                  <c:v>0.27902284476565281</c:v>
                </c:pt>
                <c:pt idx="19">
                  <c:v>0.29452411391930022</c:v>
                </c:pt>
                <c:pt idx="20">
                  <c:v>0.31002538307294758</c:v>
                </c:pt>
                <c:pt idx="21">
                  <c:v>0.32552665222659499</c:v>
                </c:pt>
                <c:pt idx="22">
                  <c:v>0.34102792138024229</c:v>
                </c:pt>
                <c:pt idx="23">
                  <c:v>0.35652919053388971</c:v>
                </c:pt>
                <c:pt idx="24">
                  <c:v>0.37203045968753706</c:v>
                </c:pt>
                <c:pt idx="25">
                  <c:v>0.38753172884118459</c:v>
                </c:pt>
                <c:pt idx="26">
                  <c:v>0.40303299799483183</c:v>
                </c:pt>
                <c:pt idx="27">
                  <c:v>0.4185342671484793</c:v>
                </c:pt>
                <c:pt idx="28">
                  <c:v>0.43403553630212677</c:v>
                </c:pt>
                <c:pt idx="29">
                  <c:v>0.44953680545577401</c:v>
                </c:pt>
                <c:pt idx="30">
                  <c:v>0.46503807460942137</c:v>
                </c:pt>
                <c:pt idx="31">
                  <c:v>0.48053934376306884</c:v>
                </c:pt>
                <c:pt idx="32">
                  <c:v>0.47385291246670824</c:v>
                </c:pt>
                <c:pt idx="33">
                  <c:v>0.47097741515476022</c:v>
                </c:pt>
                <c:pt idx="34">
                  <c:v>0.47160434679260022</c:v>
                </c:pt>
                <c:pt idx="35">
                  <c:v>0.47219996195390646</c:v>
                </c:pt>
                <c:pt idx="36">
                  <c:v>0.47276677149556451</c:v>
                </c:pt>
                <c:pt idx="37">
                  <c:v>0.47330702487091236</c:v>
                </c:pt>
                <c:pt idx="38">
                  <c:v>0.47382274328497553</c:v>
                </c:pt>
                <c:pt idx="39">
                  <c:v>0.47431574792823694</c:v>
                </c:pt>
                <c:pt idx="40">
                  <c:v>0.47478768412064426</c:v>
                </c:pt>
                <c:pt idx="41">
                  <c:v>0.47524004204071713</c:v>
                </c:pt>
                <c:pt idx="42">
                  <c:v>0.475674174590275</c:v>
                </c:pt>
                <c:pt idx="43">
                  <c:v>0.4760913128461628</c:v>
                </c:pt>
                <c:pt idx="44">
                  <c:v>0.47649257947084944</c:v>
                </c:pt>
                <c:pt idx="45">
                  <c:v>0.47687900038968672</c:v>
                </c:pt>
                <c:pt idx="46">
                  <c:v>0.4772515149906944</c:v>
                </c:pt>
                <c:pt idx="47">
                  <c:v>0.47761098506046201</c:v>
                </c:pt>
                <c:pt idx="48">
                  <c:v>0.47795820263518113</c:v>
                </c:pt>
                <c:pt idx="49">
                  <c:v>0.47829389691742524</c:v>
                </c:pt>
                <c:pt idx="50">
                  <c:v>0.47861874038585456</c:v>
                </c:pt>
                <c:pt idx="51">
                  <c:v>0.47893335420561889</c:v>
                </c:pt>
                <c:pt idx="52">
                  <c:v>0.47923831303109027</c:v>
                </c:pt>
                <c:pt idx="53">
                  <c:v>0.47953414927908933</c:v>
                </c:pt>
                <c:pt idx="54">
                  <c:v>0.47982135693948347</c:v>
                </c:pt>
                <c:pt idx="55">
                  <c:v>0.48010039498055357</c:v>
                </c:pt>
                <c:pt idx="56">
                  <c:v>0.480371690398532</c:v>
                </c:pt>
                <c:pt idx="57">
                  <c:v>0.48063564095394345</c:v>
                </c:pt>
                <c:pt idx="58">
                  <c:v>0.48089261763164731</c:v>
                </c:pt>
                <c:pt idx="59">
                  <c:v>0.48114296685659003</c:v>
                </c:pt>
                <c:pt idx="60">
                  <c:v>0.48138701249310928</c:v>
                </c:pt>
                <c:pt idx="61">
                  <c:v>0.48162505765206176</c:v>
                </c:pt>
                <c:pt idx="62">
                  <c:v>0.48185738632698849</c:v>
                </c:pt>
                <c:pt idx="63">
                  <c:v>0.48208426487788969</c:v>
                </c:pt>
                <c:pt idx="64">
                  <c:v>0.48230594337891908</c:v>
                </c:pt>
                <c:pt idx="65">
                  <c:v>0.48252265684433787</c:v>
                </c:pt>
                <c:pt idx="66">
                  <c:v>0.48273462634536585</c:v>
                </c:pt>
                <c:pt idx="67">
                  <c:v>0.48294206002909562</c:v>
                </c:pt>
                <c:pt idx="68">
                  <c:v>0.48314515404934094</c:v>
                </c:pt>
                <c:pt idx="69">
                  <c:v>0.48334409341817636</c:v>
                </c:pt>
                <c:pt idx="70">
                  <c:v>0.48353905278594067</c:v>
                </c:pt>
                <c:pt idx="71">
                  <c:v>0.48373019715661641</c:v>
                </c:pt>
                <c:pt idx="72">
                  <c:v>0.48391768254474998</c:v>
                </c:pt>
                <c:pt idx="73">
                  <c:v>0.48410165657940807</c:v>
                </c:pt>
                <c:pt idx="74">
                  <c:v>0.48428225906008826</c:v>
                </c:pt>
                <c:pt idx="75">
                  <c:v>0.48445962246898416</c:v>
                </c:pt>
                <c:pt idx="76">
                  <c:v>0.48463387244354905</c:v>
                </c:pt>
                <c:pt idx="77">
                  <c:v>0.48480512821290606</c:v>
                </c:pt>
                <c:pt idx="78">
                  <c:v>0.48497350300128672</c:v>
                </c:pt>
                <c:pt idx="79">
                  <c:v>0.48513910440137298</c:v>
                </c:pt>
                <c:pt idx="80">
                  <c:v>0.48530203472012379</c:v>
                </c:pt>
                <c:pt idx="81">
                  <c:v>0.48546239129942953</c:v>
                </c:pt>
                <c:pt idx="82">
                  <c:v>0.48562026681370207</c:v>
                </c:pt>
                <c:pt idx="83">
                  <c:v>0.48577574954631519</c:v>
                </c:pt>
                <c:pt idx="84">
                  <c:v>0.48592892364662715</c:v>
                </c:pt>
                <c:pt idx="85">
                  <c:v>0.48607986936915892</c:v>
                </c:pt>
                <c:pt idx="86">
                  <c:v>0.48622866329635772</c:v>
                </c:pt>
                <c:pt idx="87">
                  <c:v>0.48637537854624358</c:v>
                </c:pt>
                <c:pt idx="88">
                  <c:v>0.48652008496612259</c:v>
                </c:pt>
                <c:pt idx="89">
                  <c:v>0.48666284931344822</c:v>
                </c:pt>
                <c:pt idx="90">
                  <c:v>0.48680373542481065</c:v>
                </c:pt>
                <c:pt idx="91">
                  <c:v>0.48694280437395554</c:v>
                </c:pt>
                <c:pt idx="92">
                  <c:v>0.48708011461965522</c:v>
                </c:pt>
                <c:pt idx="93">
                  <c:v>0.48721572214418235</c:v>
                </c:pt>
                <c:pt idx="94">
                  <c:v>0.48734968058307654</c:v>
                </c:pt>
                <c:pt idx="95">
                  <c:v>0.4874820413468362</c:v>
                </c:pt>
                <c:pt idx="96">
                  <c:v>0.48761285373511565</c:v>
                </c:pt>
                <c:pt idx="97">
                  <c:v>0.48774216504396056</c:v>
                </c:pt>
                <c:pt idx="98">
                  <c:v>0.48787002066657126</c:v>
                </c:pt>
                <c:pt idx="99">
                  <c:v>0.48799646418804637</c:v>
                </c:pt>
                <c:pt idx="100">
                  <c:v>0.48812153747452097</c:v>
                </c:pt>
              </c:numCache>
            </c:numRef>
          </c:val>
          <c:smooth val="0"/>
          <c:extLst>
            <c:ext xmlns:c16="http://schemas.microsoft.com/office/drawing/2014/chart" uri="{C3380CC4-5D6E-409C-BE32-E72D297353CC}">
              <c16:uniqueId val="{00000010-CEA8-405E-B5B3-AF38AAF3801C}"/>
            </c:ext>
          </c:extLst>
        </c:ser>
        <c:ser>
          <c:idx val="8"/>
          <c:order val="8"/>
          <c:spPr>
            <a:ln w="25400">
              <a:solidFill>
                <a:srgbClr val="FF0000"/>
              </a:solidFill>
            </a:ln>
          </c:spPr>
          <c:marker>
            <c:symbol val="none"/>
          </c:marker>
          <c:val>
            <c:numRef>
              <c:f>'Calculations - Dual'!$AU$216:$AU$316</c:f>
              <c:numCache>
                <c:formatCode>0.000</c:formatCode>
                <c:ptCount val="101"/>
                <c:pt idx="0">
                  <c:v>1.2501721339313591E-2</c:v>
                </c:pt>
                <c:pt idx="1">
                  <c:v>1.2525843859803218E-2</c:v>
                </c:pt>
                <c:pt idx="2">
                  <c:v>1.7403032611332515E-2</c:v>
                </c:pt>
                <c:pt idx="3">
                  <c:v>2.6104548916998767E-2</c:v>
                </c:pt>
                <c:pt idx="4">
                  <c:v>3.4806065222665029E-2</c:v>
                </c:pt>
                <c:pt idx="5">
                  <c:v>4.3507581528331278E-2</c:v>
                </c:pt>
                <c:pt idx="6">
                  <c:v>5.2209097833997534E-2</c:v>
                </c:pt>
                <c:pt idx="7">
                  <c:v>6.0910614139663796E-2</c:v>
                </c:pt>
                <c:pt idx="8">
                  <c:v>6.9612130445330059E-2</c:v>
                </c:pt>
                <c:pt idx="9">
                  <c:v>7.8313646750996294E-2</c:v>
                </c:pt>
                <c:pt idx="10">
                  <c:v>8.7015163056662556E-2</c:v>
                </c:pt>
                <c:pt idx="11">
                  <c:v>9.5716679362328846E-2</c:v>
                </c:pt>
                <c:pt idx="12">
                  <c:v>0.10441819566799507</c:v>
                </c:pt>
                <c:pt idx="13">
                  <c:v>0.11311971197366133</c:v>
                </c:pt>
                <c:pt idx="14">
                  <c:v>0.12182122827932759</c:v>
                </c:pt>
                <c:pt idx="15">
                  <c:v>0.13052274458499383</c:v>
                </c:pt>
                <c:pt idx="16">
                  <c:v>0.13922426089066012</c:v>
                </c:pt>
                <c:pt idx="17">
                  <c:v>0.14792577719632635</c:v>
                </c:pt>
                <c:pt idx="18">
                  <c:v>0.15662729350199259</c:v>
                </c:pt>
                <c:pt idx="19">
                  <c:v>0.16532880980765888</c:v>
                </c:pt>
                <c:pt idx="20">
                  <c:v>0.17403032611332511</c:v>
                </c:pt>
                <c:pt idx="21">
                  <c:v>0.18273184241899135</c:v>
                </c:pt>
                <c:pt idx="22">
                  <c:v>0.19143335872465769</c:v>
                </c:pt>
                <c:pt idx="23">
                  <c:v>0.2001348750303239</c:v>
                </c:pt>
                <c:pt idx="24">
                  <c:v>0.20883639133599013</c:v>
                </c:pt>
                <c:pt idx="25">
                  <c:v>0.21753790764165643</c:v>
                </c:pt>
                <c:pt idx="26">
                  <c:v>0.22623942394732266</c:v>
                </c:pt>
                <c:pt idx="27">
                  <c:v>0.23494094025298895</c:v>
                </c:pt>
                <c:pt idx="28">
                  <c:v>0.24364245655865518</c:v>
                </c:pt>
                <c:pt idx="29">
                  <c:v>0.25234397286432136</c:v>
                </c:pt>
                <c:pt idx="30">
                  <c:v>0.26104548916998765</c:v>
                </c:pt>
                <c:pt idx="31">
                  <c:v>0.26974700547565389</c:v>
                </c:pt>
                <c:pt idx="32">
                  <c:v>0.27844852178132024</c:v>
                </c:pt>
                <c:pt idx="33">
                  <c:v>0.28715003808698641</c:v>
                </c:pt>
                <c:pt idx="34">
                  <c:v>0.2958515543926527</c:v>
                </c:pt>
                <c:pt idx="35">
                  <c:v>0.30455307069831894</c:v>
                </c:pt>
                <c:pt idx="36">
                  <c:v>0.31325458700398517</c:v>
                </c:pt>
                <c:pt idx="37">
                  <c:v>0.32195610330965146</c:v>
                </c:pt>
                <c:pt idx="38">
                  <c:v>0.33065761961531775</c:v>
                </c:pt>
                <c:pt idx="39">
                  <c:v>0.33935913592098405</c:v>
                </c:pt>
                <c:pt idx="40">
                  <c:v>0.34806065222665022</c:v>
                </c:pt>
                <c:pt idx="41">
                  <c:v>0.33347785628125876</c:v>
                </c:pt>
                <c:pt idx="42">
                  <c:v>0.33318487441349848</c:v>
                </c:pt>
                <c:pt idx="43">
                  <c:v>0.33361524253154035</c:v>
                </c:pt>
                <c:pt idx="44">
                  <c:v>0.33402827282142605</c:v>
                </c:pt>
                <c:pt idx="45">
                  <c:v>0.33442506498228058</c:v>
                </c:pt>
                <c:pt idx="46">
                  <c:v>0.33480662764186203</c:v>
                </c:pt>
                <c:pt idx="47">
                  <c:v>0.33517388759290606</c:v>
                </c:pt>
                <c:pt idx="48">
                  <c:v>0.33552769792773379</c:v>
                </c:pt>
                <c:pt idx="49">
                  <c:v>0.33586884522145083</c:v>
                </c:pt>
                <c:pt idx="50">
                  <c:v>0.33619805589108104</c:v>
                </c:pt>
                <c:pt idx="51">
                  <c:v>0.33651600183885622</c:v>
                </c:pt>
                <c:pt idx="52">
                  <c:v>0.33682330547194456</c:v>
                </c:pt>
                <c:pt idx="53">
                  <c:v>0.33712054417754761</c:v>
                </c:pt>
                <c:pt idx="54">
                  <c:v>0.33740825432108357</c:v>
                </c:pt>
                <c:pt idx="55">
                  <c:v>0.33768693482571494</c:v>
                </c:pt>
                <c:pt idx="56">
                  <c:v>0.3379570503834905</c:v>
                </c:pt>
                <c:pt idx="57">
                  <c:v>0.33821903434158479</c:v>
                </c:pt>
                <c:pt idx="58">
                  <c:v>0.33847329130135173</c:v>
                </c:pt>
                <c:pt idx="59">
                  <c:v>0.33872019946298826</c:v>
                </c:pt>
                <c:pt idx="60">
                  <c:v>0.33896011274438831</c:v>
                </c:pt>
                <c:pt idx="61">
                  <c:v>0.33919336269916028</c:v>
                </c:pt>
                <c:pt idx="62">
                  <c:v>0.3394202602556699</c:v>
                </c:pt>
                <c:pt idx="63">
                  <c:v>0.33964109729629599</c:v>
                </c:pt>
                <c:pt idx="64">
                  <c:v>0.3398561480937668</c:v>
                </c:pt>
                <c:pt idx="65">
                  <c:v>0.34006567061944548</c:v>
                </c:pt>
                <c:pt idx="66">
                  <c:v>0.34026990773668464</c:v>
                </c:pt>
                <c:pt idx="67">
                  <c:v>0.34046908829086264</c:v>
                </c:pt>
                <c:pt idx="68">
                  <c:v>0.3406634281063865</c:v>
                </c:pt>
                <c:pt idx="69">
                  <c:v>0.34085313089979669</c:v>
                </c:pt>
                <c:pt idx="70">
                  <c:v>0.34103838911709572</c:v>
                </c:pt>
                <c:pt idx="71">
                  <c:v>0.34121938470253832</c:v>
                </c:pt>
                <c:pt idx="72">
                  <c:v>0.3413962898053382</c:v>
                </c:pt>
                <c:pt idx="73">
                  <c:v>0.34156926743006488</c:v>
                </c:pt>
                <c:pt idx="74">
                  <c:v>0.3417384720358953</c:v>
                </c:pt>
                <c:pt idx="75">
                  <c:v>0.34190405008935132</c:v>
                </c:pt>
                <c:pt idx="76">
                  <c:v>0.34206614057468393</c:v>
                </c:pt>
                <c:pt idx="77">
                  <c:v>0.34222487546563946</c:v>
                </c:pt>
                <c:pt idx="78">
                  <c:v>0.34238038016197592</c:v>
                </c:pt>
                <c:pt idx="79">
                  <c:v>0.34253277389376513</c:v>
                </c:pt>
                <c:pt idx="80">
                  <c:v>0.34268217009621899</c:v>
                </c:pt>
                <c:pt idx="81">
                  <c:v>0.34282867675751816</c:v>
                </c:pt>
                <c:pt idx="82">
                  <c:v>0.34297239674188396</c:v>
                </c:pt>
                <c:pt idx="83">
                  <c:v>0.34311342808992629</c:v>
                </c:pt>
                <c:pt idx="84">
                  <c:v>0.34325186429810856</c:v>
                </c:pt>
                <c:pt idx="85">
                  <c:v>0.3433877945790077</c:v>
                </c:pt>
                <c:pt idx="86">
                  <c:v>0.34352130410388726</c:v>
                </c:pt>
                <c:pt idx="87">
                  <c:v>0.3436524742289741</c:v>
                </c:pt>
                <c:pt idx="88">
                  <c:v>0.34378138270669906</c:v>
                </c:pt>
                <c:pt idx="89">
                  <c:v>0.34390810388305615</c:v>
                </c:pt>
                <c:pt idx="90">
                  <c:v>0.34403270888213211</c:v>
                </c:pt>
                <c:pt idx="91">
                  <c:v>0.34415526577876904</c:v>
                </c:pt>
                <c:pt idx="92">
                  <c:v>0.34427583976024206</c:v>
                </c:pt>
                <c:pt idx="93">
                  <c:v>0.3443944932777559</c:v>
                </c:pt>
                <c:pt idx="94">
                  <c:v>0.34451128618850563</c:v>
                </c:pt>
                <c:pt idx="95">
                  <c:v>0.34462627588897365</c:v>
                </c:pt>
                <c:pt idx="96">
                  <c:v>0.34473951744009368</c:v>
                </c:pt>
                <c:pt idx="97">
                  <c:v>0.34485106368485058</c:v>
                </c:pt>
                <c:pt idx="98">
                  <c:v>0.34496096535884474</c:v>
                </c:pt>
                <c:pt idx="99">
                  <c:v>0.34506927119430952</c:v>
                </c:pt>
                <c:pt idx="100">
                  <c:v>0.34517602801802633</c:v>
                </c:pt>
              </c:numCache>
            </c:numRef>
          </c:val>
          <c:smooth val="0"/>
          <c:extLst>
            <c:ext xmlns:c16="http://schemas.microsoft.com/office/drawing/2014/chart" uri="{C3380CC4-5D6E-409C-BE32-E72D297353CC}">
              <c16:uniqueId val="{00000011-CEA8-405E-B5B3-AF38AAF3801C}"/>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13.333333333333334</c:v>
                </c:pt>
                <c:pt idx="17">
                  <c:v>13.333333333333334</c:v>
                </c:pt>
                <c:pt idx="18">
                  <c:v>13.333333333333334</c:v>
                </c:pt>
                <c:pt idx="19">
                  <c:v>13.333333333333334</c:v>
                </c:pt>
                <c:pt idx="20">
                  <c:v>13.333333333333334</c:v>
                </c:pt>
                <c:pt idx="21">
                  <c:v>13.333333333333334</c:v>
                </c:pt>
                <c:pt idx="22">
                  <c:v>13.333333333333334</c:v>
                </c:pt>
                <c:pt idx="23">
                  <c:v>13.333333333333334</c:v>
                </c:pt>
                <c:pt idx="24">
                  <c:v>13.333333333333334</c:v>
                </c:pt>
                <c:pt idx="25">
                  <c:v>13.333333333333334</c:v>
                </c:pt>
                <c:pt idx="26">
                  <c:v>13.333333333333334</c:v>
                </c:pt>
                <c:pt idx="27">
                  <c:v>13.333333333333334</c:v>
                </c:pt>
                <c:pt idx="28">
                  <c:v>13.333333333333334</c:v>
                </c:pt>
                <c:pt idx="29">
                  <c:v>13.333333333333334</c:v>
                </c:pt>
                <c:pt idx="30">
                  <c:v>13.333333333333334</c:v>
                </c:pt>
                <c:pt idx="31">
                  <c:v>13.333333333333334</c:v>
                </c:pt>
                <c:pt idx="32">
                  <c:v>13.333333333333334</c:v>
                </c:pt>
                <c:pt idx="33">
                  <c:v>13.647714392453715</c:v>
                </c:pt>
                <c:pt idx="34">
                  <c:v>14.061628289627151</c:v>
                </c:pt>
                <c:pt idx="35">
                  <c:v>14.475562974716766</c:v>
                </c:pt>
                <c:pt idx="36">
                  <c:v>14.889518481091446</c:v>
                </c:pt>
                <c:pt idx="37">
                  <c:v>15.303494842130211</c:v>
                </c:pt>
                <c:pt idx="38">
                  <c:v>15.717492091222253</c:v>
                </c:pt>
                <c:pt idx="39">
                  <c:v>16.131510261766906</c:v>
                </c:pt>
                <c:pt idx="40">
                  <c:v>16.54554938717369</c:v>
                </c:pt>
                <c:pt idx="41">
                  <c:v>16.95960950086231</c:v>
                </c:pt>
                <c:pt idx="42">
                  <c:v>17.373690636262655</c:v>
                </c:pt>
                <c:pt idx="43">
                  <c:v>17.787792826814833</c:v>
                </c:pt>
                <c:pt idx="44">
                  <c:v>18.201916105969158</c:v>
                </c:pt>
                <c:pt idx="45">
                  <c:v>18.616060507186177</c:v>
                </c:pt>
                <c:pt idx="46">
                  <c:v>19.030226063936674</c:v>
                </c:pt>
                <c:pt idx="47">
                  <c:v>19.444412809701667</c:v>
                </c:pt>
                <c:pt idx="48">
                  <c:v>19.858620777972476</c:v>
                </c:pt>
                <c:pt idx="49">
                  <c:v>20.272850002250646</c:v>
                </c:pt>
                <c:pt idx="50">
                  <c:v>20.687100516048023</c:v>
                </c:pt>
                <c:pt idx="51">
                  <c:v>21.101372352886752</c:v>
                </c:pt>
                <c:pt idx="52">
                  <c:v>21.51566554629926</c:v>
                </c:pt>
                <c:pt idx="53">
                  <c:v>21.929980129828319</c:v>
                </c:pt>
                <c:pt idx="54">
                  <c:v>22.344316137027</c:v>
                </c:pt>
                <c:pt idx="55">
                  <c:v>22.75867360145871</c:v>
                </c:pt>
                <c:pt idx="56">
                  <c:v>23.173052556697236</c:v>
                </c:pt>
                <c:pt idx="57">
                  <c:v>23.587453036326671</c:v>
                </c:pt>
                <c:pt idx="58">
                  <c:v>24.001875073941527</c:v>
                </c:pt>
                <c:pt idx="59">
                  <c:v>24.416318703146672</c:v>
                </c:pt>
                <c:pt idx="60">
                  <c:v>24.830783957557355</c:v>
                </c:pt>
                <c:pt idx="61">
                  <c:v>25.245270870799242</c:v>
                </c:pt>
                <c:pt idx="62">
                  <c:v>25.659779476508415</c:v>
                </c:pt>
                <c:pt idx="63">
                  <c:v>26.07430980833136</c:v>
                </c:pt>
                <c:pt idx="64">
                  <c:v>26.488861899925023</c:v>
                </c:pt>
                <c:pt idx="65">
                  <c:v>26.903435784956777</c:v>
                </c:pt>
                <c:pt idx="66">
                  <c:v>27.31803149710445</c:v>
                </c:pt>
                <c:pt idx="67">
                  <c:v>27.732649070056361</c:v>
                </c:pt>
                <c:pt idx="68">
                  <c:v>28.147288537511262</c:v>
                </c:pt>
                <c:pt idx="69">
                  <c:v>28.561949933178457</c:v>
                </c:pt>
                <c:pt idx="70">
                  <c:v>28.976633290777691</c:v>
                </c:pt>
                <c:pt idx="71">
                  <c:v>29.391338644039269</c:v>
                </c:pt>
                <c:pt idx="72">
                  <c:v>29.806066026703988</c:v>
                </c:pt>
                <c:pt idx="73">
                  <c:v>30.220815472523157</c:v>
                </c:pt>
                <c:pt idx="74">
                  <c:v>30.635587015258714</c:v>
                </c:pt>
                <c:pt idx="75">
                  <c:v>31.050380688683052</c:v>
                </c:pt>
                <c:pt idx="76">
                  <c:v>31.465196526579195</c:v>
                </c:pt>
                <c:pt idx="77">
                  <c:v>31.88003456274074</c:v>
                </c:pt>
                <c:pt idx="78">
                  <c:v>32.294894830971828</c:v>
                </c:pt>
                <c:pt idx="79">
                  <c:v>32.709777365087255</c:v>
                </c:pt>
                <c:pt idx="80">
                  <c:v>33.124682198912389</c:v>
                </c:pt>
                <c:pt idx="81">
                  <c:v>33.539609366283244</c:v>
                </c:pt>
                <c:pt idx="82">
                  <c:v>33.954558901046468</c:v>
                </c:pt>
                <c:pt idx="83">
                  <c:v>34.369530837059337</c:v>
                </c:pt>
                <c:pt idx="84">
                  <c:v>34.784525208189777</c:v>
                </c:pt>
                <c:pt idx="85">
                  <c:v>35.19954204831641</c:v>
                </c:pt>
                <c:pt idx="86">
                  <c:v>35.614581391328507</c:v>
                </c:pt>
                <c:pt idx="87">
                  <c:v>36.029643271126048</c:v>
                </c:pt>
                <c:pt idx="88">
                  <c:v>36.444727721619699</c:v>
                </c:pt>
                <c:pt idx="89">
                  <c:v>36.859834776730857</c:v>
                </c:pt>
                <c:pt idx="90">
                  <c:v>37.274964470391623</c:v>
                </c:pt>
                <c:pt idx="91">
                  <c:v>37.69011683654481</c:v>
                </c:pt>
                <c:pt idx="92">
                  <c:v>38.105291909144029</c:v>
                </c:pt>
                <c:pt idx="93">
                  <c:v>38.520489722153613</c:v>
                </c:pt>
                <c:pt idx="94">
                  <c:v>38.935710309548668</c:v>
                </c:pt>
                <c:pt idx="95">
                  <c:v>39.350953705315092</c:v>
                </c:pt>
                <c:pt idx="96">
                  <c:v>39.766219943449535</c:v>
                </c:pt>
                <c:pt idx="97">
                  <c:v>40.181509057959488</c:v>
                </c:pt>
                <c:pt idx="98">
                  <c:v>40.596821082863237</c:v>
                </c:pt>
                <c:pt idx="99">
                  <c:v>41.012156052189894</c:v>
                </c:pt>
                <c:pt idx="100">
                  <c:v>41.427513999979382</c:v>
                </c:pt>
              </c:numCache>
            </c:numRef>
          </c:val>
          <c:smooth val="0"/>
          <c:extLst>
            <c:ext xmlns:c16="http://schemas.microsoft.com/office/drawing/2014/chart" uri="{C3380CC4-5D6E-409C-BE32-E72D297353CC}">
              <c16:uniqueId val="{00000000-E5BE-46CE-908E-4F68425D4B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Dual'!$AI$5:$AI$105</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13.333333333333334</c:v>
                </c:pt>
                <c:pt idx="17">
                  <c:v>13.333333333333334</c:v>
                </c:pt>
                <c:pt idx="18">
                  <c:v>13.333333333333334</c:v>
                </c:pt>
                <c:pt idx="19">
                  <c:v>13.333333333333334</c:v>
                </c:pt>
                <c:pt idx="20">
                  <c:v>13.333333333333334</c:v>
                </c:pt>
                <c:pt idx="21">
                  <c:v>13.333333333333334</c:v>
                </c:pt>
                <c:pt idx="22">
                  <c:v>13.333333333333334</c:v>
                </c:pt>
                <c:pt idx="23">
                  <c:v>13.333333333333334</c:v>
                </c:pt>
                <c:pt idx="24">
                  <c:v>13.333333333333334</c:v>
                </c:pt>
                <c:pt idx="25">
                  <c:v>13.333333333333334</c:v>
                </c:pt>
                <c:pt idx="26">
                  <c:v>13.333333333333334</c:v>
                </c:pt>
                <c:pt idx="27">
                  <c:v>13.333333333333334</c:v>
                </c:pt>
                <c:pt idx="28">
                  <c:v>13.333333333333334</c:v>
                </c:pt>
                <c:pt idx="29">
                  <c:v>13.333333333333334</c:v>
                </c:pt>
                <c:pt idx="30">
                  <c:v>13.333333333333334</c:v>
                </c:pt>
                <c:pt idx="31">
                  <c:v>13.333333333333334</c:v>
                </c:pt>
                <c:pt idx="32">
                  <c:v>13.333333333333334</c:v>
                </c:pt>
                <c:pt idx="33">
                  <c:v>13.333333333333334</c:v>
                </c:pt>
                <c:pt idx="34">
                  <c:v>13.333333333333334</c:v>
                </c:pt>
                <c:pt idx="35">
                  <c:v>13.333333333333334</c:v>
                </c:pt>
                <c:pt idx="36">
                  <c:v>13.333333333333334</c:v>
                </c:pt>
                <c:pt idx="37">
                  <c:v>13.416347127466446</c:v>
                </c:pt>
                <c:pt idx="38">
                  <c:v>13.77887544465988</c:v>
                </c:pt>
                <c:pt idx="39">
                  <c:v>14.141399974855631</c:v>
                </c:pt>
                <c:pt idx="40">
                  <c:v>14.503920733065094</c:v>
                </c:pt>
                <c:pt idx="41">
                  <c:v>14.866437734300325</c:v>
                </c:pt>
                <c:pt idx="42">
                  <c:v>15.228950993574013</c:v>
                </c:pt>
                <c:pt idx="43">
                  <c:v>15.591460525899517</c:v>
                </c:pt>
                <c:pt idx="44">
                  <c:v>15.953966346290827</c:v>
                </c:pt>
                <c:pt idx="45">
                  <c:v>16.316468469762597</c:v>
                </c:pt>
                <c:pt idx="46">
                  <c:v>16.678966911330129</c:v>
                </c:pt>
                <c:pt idx="47">
                  <c:v>17.041461686009384</c:v>
                </c:pt>
                <c:pt idx="48">
                  <c:v>17.403952808816996</c:v>
                </c:pt>
                <c:pt idx="49">
                  <c:v>17.766440294770241</c:v>
                </c:pt>
                <c:pt idx="50">
                  <c:v>18.128924158887074</c:v>
                </c:pt>
                <c:pt idx="51">
                  <c:v>18.491404416186107</c:v>
                </c:pt>
                <c:pt idx="52">
                  <c:v>18.853881081686627</c:v>
                </c:pt>
                <c:pt idx="53">
                  <c:v>19.216354170408582</c:v>
                </c:pt>
                <c:pt idx="54">
                  <c:v>19.578823697372606</c:v>
                </c:pt>
                <c:pt idx="55">
                  <c:v>19.941289677599993</c:v>
                </c:pt>
                <c:pt idx="56">
                  <c:v>20.303752126112727</c:v>
                </c:pt>
                <c:pt idx="57">
                  <c:v>20.666211057933459</c:v>
                </c:pt>
                <c:pt idx="58">
                  <c:v>21.028666488085545</c:v>
                </c:pt>
                <c:pt idx="59">
                  <c:v>21.391118431592993</c:v>
                </c:pt>
                <c:pt idx="60">
                  <c:v>21.753566903480507</c:v>
                </c:pt>
                <c:pt idx="61">
                  <c:v>22.116011918773495</c:v>
                </c:pt>
                <c:pt idx="62">
                  <c:v>22.478453492498026</c:v>
                </c:pt>
                <c:pt idx="63">
                  <c:v>22.840891639680898</c:v>
                </c:pt>
                <c:pt idx="64">
                  <c:v>23.203326375349565</c:v>
                </c:pt>
                <c:pt idx="65">
                  <c:v>23.5657577145322</c:v>
                </c:pt>
                <c:pt idx="66">
                  <c:v>23.928185672257669</c:v>
                </c:pt>
                <c:pt idx="67">
                  <c:v>24.29061026355555</c:v>
                </c:pt>
                <c:pt idx="68">
                  <c:v>24.653031503456095</c:v>
                </c:pt>
                <c:pt idx="69">
                  <c:v>25.015449406990289</c:v>
                </c:pt>
                <c:pt idx="70">
                  <c:v>25.377863989189809</c:v>
                </c:pt>
                <c:pt idx="71">
                  <c:v>25.740275265087046</c:v>
                </c:pt>
                <c:pt idx="72">
                  <c:v>26.102683249715113</c:v>
                </c:pt>
                <c:pt idx="73">
                  <c:v>26.465087958107809</c:v>
                </c:pt>
                <c:pt idx="74">
                  <c:v>26.827489405299687</c:v>
                </c:pt>
                <c:pt idx="75">
                  <c:v>27.189887606325975</c:v>
                </c:pt>
                <c:pt idx="76">
                  <c:v>27.552282576222648</c:v>
                </c:pt>
                <c:pt idx="77">
                  <c:v>27.914674330026418</c:v>
                </c:pt>
                <c:pt idx="78">
                  <c:v>28.277062882774668</c:v>
                </c:pt>
                <c:pt idx="79">
                  <c:v>28.639448249505573</c:v>
                </c:pt>
                <c:pt idx="80">
                  <c:v>29.00183044525798</c:v>
                </c:pt>
                <c:pt idx="81">
                  <c:v>29.364209485071509</c:v>
                </c:pt>
                <c:pt idx="82">
                  <c:v>29.726585383986475</c:v>
                </c:pt>
                <c:pt idx="83">
                  <c:v>30.088958157043979</c:v>
                </c:pt>
                <c:pt idx="84">
                  <c:v>30.451327819285801</c:v>
                </c:pt>
                <c:pt idx="85">
                  <c:v>30.813694385754502</c:v>
                </c:pt>
                <c:pt idx="86">
                  <c:v>31.17605787149337</c:v>
                </c:pt>
                <c:pt idx="87">
                  <c:v>31.538418291546439</c:v>
                </c:pt>
                <c:pt idx="88">
                  <c:v>31.900775660958491</c:v>
                </c:pt>
                <c:pt idx="89">
                  <c:v>32.263129994775042</c:v>
                </c:pt>
                <c:pt idx="90">
                  <c:v>32.625481308042389</c:v>
                </c:pt>
                <c:pt idx="91">
                  <c:v>32.987829615807527</c:v>
                </c:pt>
                <c:pt idx="92">
                  <c:v>33.350174933118282</c:v>
                </c:pt>
                <c:pt idx="93">
                  <c:v>33.712517275023174</c:v>
                </c:pt>
                <c:pt idx="94">
                  <c:v>34.074856656571512</c:v>
                </c:pt>
                <c:pt idx="95">
                  <c:v>34.437193092813352</c:v>
                </c:pt>
                <c:pt idx="96">
                  <c:v>34.799526598799524</c:v>
                </c:pt>
                <c:pt idx="97">
                  <c:v>35.161857189581625</c:v>
                </c:pt>
                <c:pt idx="98">
                  <c:v>35.52418488021199</c:v>
                </c:pt>
                <c:pt idx="99">
                  <c:v>35.886509685743782</c:v>
                </c:pt>
                <c:pt idx="100">
                  <c:v>36.248831621230863</c:v>
                </c:pt>
              </c:numCache>
            </c:numRef>
          </c:val>
          <c:smooth val="0"/>
          <c:extLst>
            <c:ext xmlns:c16="http://schemas.microsoft.com/office/drawing/2014/chart" uri="{C3380CC4-5D6E-409C-BE32-E72D297353CC}">
              <c16:uniqueId val="{00000001-E5BE-46CE-908E-4F68425D4B37}"/>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13.333333333333334</c:v>
                </c:pt>
                <c:pt idx="17">
                  <c:v>13.333333333333334</c:v>
                </c:pt>
                <c:pt idx="18">
                  <c:v>13.333333333333334</c:v>
                </c:pt>
                <c:pt idx="19">
                  <c:v>13.333333333333334</c:v>
                </c:pt>
                <c:pt idx="20">
                  <c:v>13.333333333333334</c:v>
                </c:pt>
                <c:pt idx="21">
                  <c:v>13.333333333333334</c:v>
                </c:pt>
                <c:pt idx="22">
                  <c:v>13.333333333333334</c:v>
                </c:pt>
                <c:pt idx="23">
                  <c:v>13.333333333333334</c:v>
                </c:pt>
                <c:pt idx="24">
                  <c:v>13.333333333333334</c:v>
                </c:pt>
                <c:pt idx="25">
                  <c:v>13.333333333333334</c:v>
                </c:pt>
                <c:pt idx="26">
                  <c:v>13.333333333333334</c:v>
                </c:pt>
                <c:pt idx="27">
                  <c:v>13.333333333333334</c:v>
                </c:pt>
                <c:pt idx="28">
                  <c:v>13.333333333333334</c:v>
                </c:pt>
                <c:pt idx="29">
                  <c:v>13.333333333333334</c:v>
                </c:pt>
                <c:pt idx="30">
                  <c:v>13.333333333333334</c:v>
                </c:pt>
                <c:pt idx="31">
                  <c:v>13.333333333333334</c:v>
                </c:pt>
                <c:pt idx="32">
                  <c:v>13.333333333333334</c:v>
                </c:pt>
                <c:pt idx="33">
                  <c:v>13.333333333333334</c:v>
                </c:pt>
                <c:pt idx="34">
                  <c:v>13.333333333333334</c:v>
                </c:pt>
                <c:pt idx="35">
                  <c:v>13.333333333333334</c:v>
                </c:pt>
                <c:pt idx="36">
                  <c:v>13.333333333333334</c:v>
                </c:pt>
                <c:pt idx="37">
                  <c:v>13.333333333333334</c:v>
                </c:pt>
                <c:pt idx="38">
                  <c:v>13.333333333333334</c:v>
                </c:pt>
                <c:pt idx="39">
                  <c:v>13.333333333333334</c:v>
                </c:pt>
                <c:pt idx="40">
                  <c:v>13.333333333333334</c:v>
                </c:pt>
                <c:pt idx="41">
                  <c:v>13.333333333333334</c:v>
                </c:pt>
                <c:pt idx="42">
                  <c:v>13.62786110353696</c:v>
                </c:pt>
                <c:pt idx="43">
                  <c:v>13.952037916146946</c:v>
                </c:pt>
                <c:pt idx="44">
                  <c:v>14.276201075996852</c:v>
                </c:pt>
                <c:pt idx="45">
                  <c:v>14.600350591121247</c:v>
                </c:pt>
                <c:pt idx="46">
                  <c:v>14.924486469553891</c:v>
                </c:pt>
                <c:pt idx="47">
                  <c:v>15.248608719327741</c:v>
                </c:pt>
                <c:pt idx="48">
                  <c:v>15.572717348474942</c:v>
                </c:pt>
                <c:pt idx="49">
                  <c:v>15.896812365026811</c:v>
                </c:pt>
                <c:pt idx="50">
                  <c:v>16.220893777013892</c:v>
                </c:pt>
                <c:pt idx="51">
                  <c:v>16.544961592465889</c:v>
                </c:pt>
                <c:pt idx="52">
                  <c:v>16.869015819411718</c:v>
                </c:pt>
                <c:pt idx="53">
                  <c:v>17.193056465879494</c:v>
                </c:pt>
                <c:pt idx="54">
                  <c:v>17.517083539896507</c:v>
                </c:pt>
                <c:pt idx="55">
                  <c:v>17.841097049489253</c:v>
                </c:pt>
                <c:pt idx="56">
                  <c:v>18.165097002683424</c:v>
                </c:pt>
                <c:pt idx="57">
                  <c:v>18.489083407503912</c:v>
                </c:pt>
                <c:pt idx="58">
                  <c:v>18.813056271974801</c:v>
                </c:pt>
                <c:pt idx="59">
                  <c:v>19.137015604119377</c:v>
                </c:pt>
                <c:pt idx="60">
                  <c:v>19.460961411960124</c:v>
                </c:pt>
                <c:pt idx="61">
                  <c:v>19.784893703518719</c:v>
                </c:pt>
                <c:pt idx="62">
                  <c:v>20.108812486816035</c:v>
                </c:pt>
                <c:pt idx="63">
                  <c:v>20.43271776987217</c:v>
                </c:pt>
                <c:pt idx="64">
                  <c:v>20.756609560706409</c:v>
                </c:pt>
                <c:pt idx="65">
                  <c:v>21.080487867337233</c:v>
                </c:pt>
                <c:pt idx="66">
                  <c:v>21.404352697782322</c:v>
                </c:pt>
                <c:pt idx="67">
                  <c:v>21.728204060058587</c:v>
                </c:pt>
                <c:pt idx="68">
                  <c:v>22.052041962182106</c:v>
                </c:pt>
                <c:pt idx="69">
                  <c:v>22.375866412168183</c:v>
                </c:pt>
                <c:pt idx="70">
                  <c:v>22.699677418031328</c:v>
                </c:pt>
                <c:pt idx="71">
                  <c:v>23.023474987785264</c:v>
                </c:pt>
                <c:pt idx="72">
                  <c:v>23.347259129442897</c:v>
                </c:pt>
                <c:pt idx="73">
                  <c:v>23.671029851016353</c:v>
                </c:pt>
                <c:pt idx="74">
                  <c:v>23.994787160516967</c:v>
                </c:pt>
                <c:pt idx="75">
                  <c:v>24.318531065955284</c:v>
                </c:pt>
                <c:pt idx="76">
                  <c:v>24.642261575341056</c:v>
                </c:pt>
                <c:pt idx="77">
                  <c:v>24.965978696683248</c:v>
                </c:pt>
                <c:pt idx="78">
                  <c:v>25.289682437990027</c:v>
                </c:pt>
                <c:pt idx="79">
                  <c:v>25.613372807268789</c:v>
                </c:pt>
                <c:pt idx="80">
                  <c:v>25.937049812526109</c:v>
                </c:pt>
                <c:pt idx="81">
                  <c:v>26.260713461767821</c:v>
                </c:pt>
                <c:pt idx="82">
                  <c:v>26.584363762998919</c:v>
                </c:pt>
                <c:pt idx="83">
                  <c:v>26.908000724223658</c:v>
                </c:pt>
                <c:pt idx="84">
                  <c:v>27.231624353445493</c:v>
                </c:pt>
                <c:pt idx="85">
                  <c:v>27.555234658667086</c:v>
                </c:pt>
                <c:pt idx="86">
                  <c:v>27.878831647890308</c:v>
                </c:pt>
                <c:pt idx="87">
                  <c:v>28.202415329116267</c:v>
                </c:pt>
                <c:pt idx="88">
                  <c:v>28.525985710345278</c:v>
                </c:pt>
                <c:pt idx="89">
                  <c:v>28.849542799576877</c:v>
                </c:pt>
                <c:pt idx="90">
                  <c:v>29.173086604809804</c:v>
                </c:pt>
                <c:pt idx="91">
                  <c:v>29.496617134042051</c:v>
                </c:pt>
                <c:pt idx="92">
                  <c:v>29.820134395270795</c:v>
                </c:pt>
                <c:pt idx="93">
                  <c:v>30.143638396492456</c:v>
                </c:pt>
                <c:pt idx="94">
                  <c:v>30.46712914570265</c:v>
                </c:pt>
                <c:pt idx="95">
                  <c:v>30.790606650896262</c:v>
                </c:pt>
                <c:pt idx="96">
                  <c:v>31.114070920067356</c:v>
                </c:pt>
                <c:pt idx="97">
                  <c:v>31.437521961209232</c:v>
                </c:pt>
                <c:pt idx="98">
                  <c:v>31.760959782314405</c:v>
                </c:pt>
                <c:pt idx="99">
                  <c:v>32.084384391374641</c:v>
                </c:pt>
                <c:pt idx="100">
                  <c:v>32.40779579638091</c:v>
                </c:pt>
              </c:numCache>
            </c:numRef>
          </c:val>
          <c:smooth val="0"/>
          <c:extLst>
            <c:ext xmlns:c16="http://schemas.microsoft.com/office/drawing/2014/chart" uri="{C3380CC4-5D6E-409C-BE32-E72D297353CC}">
              <c16:uniqueId val="{00000002-E5BE-46CE-908E-4F68425D4B37}"/>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1.0057142857142858</c:v>
                </c:pt>
                <c:pt idx="2">
                  <c:v>1.0119049662865327</c:v>
                </c:pt>
                <c:pt idx="3">
                  <c:v>1.0119049662865327</c:v>
                </c:pt>
                <c:pt idx="4">
                  <c:v>1.0158732883820436</c:v>
                </c:pt>
                <c:pt idx="5">
                  <c:v>1.0198416104775545</c:v>
                </c:pt>
                <c:pt idx="6">
                  <c:v>1.0238099325730654</c:v>
                </c:pt>
                <c:pt idx="7">
                  <c:v>1.0277782546685763</c:v>
                </c:pt>
                <c:pt idx="8">
                  <c:v>1.0317465767640872</c:v>
                </c:pt>
                <c:pt idx="9">
                  <c:v>1.0357148988595981</c:v>
                </c:pt>
                <c:pt idx="10">
                  <c:v>1.039683220955109</c:v>
                </c:pt>
                <c:pt idx="11">
                  <c:v>1.0436515430506199</c:v>
                </c:pt>
                <c:pt idx="12">
                  <c:v>1.0476198651461308</c:v>
                </c:pt>
                <c:pt idx="13">
                  <c:v>1.0515881872416417</c:v>
                </c:pt>
                <c:pt idx="14">
                  <c:v>1.0555565093371526</c:v>
                </c:pt>
                <c:pt idx="15">
                  <c:v>1.0595248314326635</c:v>
                </c:pt>
                <c:pt idx="16">
                  <c:v>1.0634931535281744</c:v>
                </c:pt>
                <c:pt idx="17">
                  <c:v>1.0674614756236853</c:v>
                </c:pt>
                <c:pt idx="18">
                  <c:v>1.0714297977191962</c:v>
                </c:pt>
                <c:pt idx="19">
                  <c:v>1.0753981198147071</c:v>
                </c:pt>
                <c:pt idx="20">
                  <c:v>1.079366441910218</c:v>
                </c:pt>
                <c:pt idx="21">
                  <c:v>1.0833347640057289</c:v>
                </c:pt>
                <c:pt idx="22">
                  <c:v>1.0873030861012398</c:v>
                </c:pt>
                <c:pt idx="23">
                  <c:v>1.0912714081967507</c:v>
                </c:pt>
                <c:pt idx="24">
                  <c:v>1.0952397302922616</c:v>
                </c:pt>
                <c:pt idx="25">
                  <c:v>1.0992080523877725</c:v>
                </c:pt>
                <c:pt idx="26">
                  <c:v>1.1031763744832834</c:v>
                </c:pt>
                <c:pt idx="27">
                  <c:v>1.1071446965787943</c:v>
                </c:pt>
                <c:pt idx="28">
                  <c:v>1.1111130186743052</c:v>
                </c:pt>
                <c:pt idx="29">
                  <c:v>1.1150813407698161</c:v>
                </c:pt>
                <c:pt idx="30">
                  <c:v>1.119049662865327</c:v>
                </c:pt>
                <c:pt idx="31">
                  <c:v>1.1230179849608379</c:v>
                </c:pt>
                <c:pt idx="32">
                  <c:v>1.2</c:v>
                </c:pt>
                <c:pt idx="33">
                  <c:v>1.4328748586076894</c:v>
                </c:pt>
                <c:pt idx="34">
                  <c:v>1.7394777454028278</c:v>
                </c:pt>
                <c:pt idx="35">
                  <c:v>2.046096030654394</c:v>
                </c:pt>
                <c:pt idx="36">
                  <c:v>2.3527297390800834</c:v>
                </c:pt>
                <c:pt idx="37">
                  <c:v>2.6593788954050943</c:v>
                </c:pt>
                <c:pt idx="38">
                  <c:v>2.9660435243621621</c:v>
                </c:pt>
                <c:pt idx="39">
                  <c:v>3.2727236506915345</c:v>
                </c:pt>
                <c:pt idx="40">
                  <c:v>3.5794192991410041</c:v>
                </c:pt>
                <c:pt idx="41">
                  <c:v>3.8861304944659087</c:v>
                </c:pt>
                <c:pt idx="42">
                  <c:v>4.1928572614291264</c:v>
                </c:pt>
                <c:pt idx="43">
                  <c:v>4.4995996248011103</c:v>
                </c:pt>
                <c:pt idx="44">
                  <c:v>4.8063576093598694</c:v>
                </c:pt>
                <c:pt idx="45">
                  <c:v>5.1131312398909943</c:v>
                </c:pt>
                <c:pt idx="46">
                  <c:v>5.4199205411876594</c:v>
                </c:pt>
                <c:pt idx="47">
                  <c:v>5.7267255380506175</c:v>
                </c:pt>
                <c:pt idx="48">
                  <c:v>6.0335462552882539</c:v>
                </c:pt>
                <c:pt idx="49">
                  <c:v>6.3403827177165271</c:v>
                </c:pt>
                <c:pt idx="50">
                  <c:v>6.6472349501590289</c:v>
                </c:pt>
                <c:pt idx="51">
                  <c:v>6.9541029774469765</c:v>
                </c:pt>
                <c:pt idx="52">
                  <c:v>7.2609868244192048</c:v>
                </c:pt>
                <c:pt idx="53">
                  <c:v>7.5678865159222113</c:v>
                </c:pt>
                <c:pt idx="54">
                  <c:v>7.8748020768101235</c:v>
                </c:pt>
                <c:pt idx="55">
                  <c:v>8.1817335319447224</c:v>
                </c:pt>
                <c:pt idx="56">
                  <c:v>8.4886809061954818</c:v>
                </c:pt>
                <c:pt idx="57">
                  <c:v>8.7956442244395099</c:v>
                </c:pt>
                <c:pt idx="58">
                  <c:v>9.1026235115616227</c:v>
                </c:pt>
                <c:pt idx="59">
                  <c:v>9.4096187924543244</c:v>
                </c:pt>
                <c:pt idx="60">
                  <c:v>9.7166300920177928</c:v>
                </c:pt>
                <c:pt idx="61">
                  <c:v>10.023657435159931</c:v>
                </c:pt>
                <c:pt idx="62">
                  <c:v>10.330700846796356</c:v>
                </c:pt>
                <c:pt idx="63">
                  <c:v>10.637760351850389</c:v>
                </c:pt>
                <c:pt idx="64">
                  <c:v>10.944835975253103</c:v>
                </c:pt>
                <c:pt idx="65">
                  <c:v>11.251927741943291</c:v>
                </c:pt>
                <c:pt idx="66">
                  <c:v>11.559035676867492</c:v>
                </c:pt>
                <c:pt idx="67">
                  <c:v>11.866159804980018</c:v>
                </c:pt>
                <c:pt idx="68">
                  <c:v>12.173300151242909</c:v>
                </c:pt>
                <c:pt idx="69">
                  <c:v>12.480456740626016</c:v>
                </c:pt>
                <c:pt idx="70">
                  <c:v>12.78762959810693</c:v>
                </c:pt>
                <c:pt idx="71">
                  <c:v>13.094818748671063</c:v>
                </c:pt>
                <c:pt idx="72">
                  <c:v>13.402024217311594</c:v>
                </c:pt>
                <c:pt idx="73">
                  <c:v>13.709246029029497</c:v>
                </c:pt>
                <c:pt idx="74">
                  <c:v>14.016484208833614</c:v>
                </c:pt>
                <c:pt idx="75">
                  <c:v>14.323738781740534</c:v>
                </c:pt>
                <c:pt idx="76">
                  <c:v>14.631009772774712</c:v>
                </c:pt>
                <c:pt idx="77">
                  <c:v>14.938297206968446</c:v>
                </c:pt>
                <c:pt idx="78">
                  <c:v>15.245601109361846</c:v>
                </c:pt>
                <c:pt idx="79">
                  <c:v>15.552921505002903</c:v>
                </c:pt>
                <c:pt idx="80">
                  <c:v>15.860258418947447</c:v>
                </c:pt>
                <c:pt idx="81">
                  <c:v>16.16761187625919</c:v>
                </c:pt>
                <c:pt idx="82">
                  <c:v>16.474981902009727</c:v>
                </c:pt>
                <c:pt idx="83">
                  <c:v>16.782368521278521</c:v>
                </c:pt>
                <c:pt idx="84">
                  <c:v>17.089771759152921</c:v>
                </c:pt>
                <c:pt idx="85">
                  <c:v>17.397191640728202</c:v>
                </c:pt>
                <c:pt idx="86">
                  <c:v>17.704628191107535</c:v>
                </c:pt>
                <c:pt idx="87">
                  <c:v>18.012081435402006</c:v>
                </c:pt>
                <c:pt idx="88">
                  <c:v>18.319551398730638</c:v>
                </c:pt>
                <c:pt idx="89">
                  <c:v>18.627038106220386</c:v>
                </c:pt>
                <c:pt idx="90">
                  <c:v>18.934541583006137</c:v>
                </c:pt>
                <c:pt idx="91">
                  <c:v>19.24206185423072</c:v>
                </c:pt>
                <c:pt idx="92">
                  <c:v>19.549598945044956</c:v>
                </c:pt>
                <c:pt idx="93">
                  <c:v>19.857152880607611</c:v>
                </c:pt>
                <c:pt idx="94">
                  <c:v>20.164723686085431</c:v>
                </c:pt>
                <c:pt idx="95">
                  <c:v>20.472311386653153</c:v>
                </c:pt>
                <c:pt idx="96">
                  <c:v>20.77991600749348</c:v>
                </c:pt>
                <c:pt idx="97">
                  <c:v>21.08753757379715</c:v>
                </c:pt>
                <c:pt idx="98">
                  <c:v>21.395176110762886</c:v>
                </c:pt>
                <c:pt idx="99">
                  <c:v>21.702831643597449</c:v>
                </c:pt>
                <c:pt idx="100">
                  <c:v>22.010504197515591</c:v>
                </c:pt>
              </c:numCache>
            </c:numRef>
          </c:val>
          <c:smooth val="0"/>
          <c:extLst>
            <c:ext xmlns:c16="http://schemas.microsoft.com/office/drawing/2014/chart" uri="{C3380CC4-5D6E-409C-BE32-E72D297353CC}">
              <c16:uniqueId val="{00000000-DC32-4242-87FA-45A0737872EA}"/>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Dual'!$AJ$5:$AJ$105</c:f>
              <c:numCache>
                <c:formatCode>0.000</c:formatCode>
                <c:ptCount val="101"/>
                <c:pt idx="0">
                  <c:v>1.0057142857142858</c:v>
                </c:pt>
                <c:pt idx="1">
                  <c:v>1.0057142857142858</c:v>
                </c:pt>
                <c:pt idx="2">
                  <c:v>1.0079366441910218</c:v>
                </c:pt>
                <c:pt idx="3">
                  <c:v>1.0119049662865327</c:v>
                </c:pt>
                <c:pt idx="4">
                  <c:v>1.0158732883820436</c:v>
                </c:pt>
                <c:pt idx="5">
                  <c:v>1.0198416104775545</c:v>
                </c:pt>
                <c:pt idx="6">
                  <c:v>1.0238099325730654</c:v>
                </c:pt>
                <c:pt idx="7">
                  <c:v>1.0277782546685763</c:v>
                </c:pt>
                <c:pt idx="8">
                  <c:v>1.0317465767640872</c:v>
                </c:pt>
                <c:pt idx="9">
                  <c:v>1.0357148988595981</c:v>
                </c:pt>
                <c:pt idx="10">
                  <c:v>1.039683220955109</c:v>
                </c:pt>
                <c:pt idx="11">
                  <c:v>1.0436515430506199</c:v>
                </c:pt>
                <c:pt idx="12">
                  <c:v>1.0476198651461308</c:v>
                </c:pt>
                <c:pt idx="13">
                  <c:v>1.0515881872416417</c:v>
                </c:pt>
                <c:pt idx="14">
                  <c:v>1.0555565093371526</c:v>
                </c:pt>
                <c:pt idx="15">
                  <c:v>1.0595248314326635</c:v>
                </c:pt>
                <c:pt idx="16">
                  <c:v>1.0634931535281744</c:v>
                </c:pt>
                <c:pt idx="17">
                  <c:v>1.0674614756236853</c:v>
                </c:pt>
                <c:pt idx="18">
                  <c:v>1.0714297977191962</c:v>
                </c:pt>
                <c:pt idx="19">
                  <c:v>1.0753981198147071</c:v>
                </c:pt>
                <c:pt idx="20">
                  <c:v>1.079366441910218</c:v>
                </c:pt>
                <c:pt idx="21">
                  <c:v>1.0833347640057289</c:v>
                </c:pt>
                <c:pt idx="22">
                  <c:v>1.0873030861012398</c:v>
                </c:pt>
                <c:pt idx="23">
                  <c:v>1.0912714081967507</c:v>
                </c:pt>
                <c:pt idx="24">
                  <c:v>1.0952397302922616</c:v>
                </c:pt>
                <c:pt idx="25">
                  <c:v>1.0992080523877725</c:v>
                </c:pt>
                <c:pt idx="26">
                  <c:v>1.1031763744832834</c:v>
                </c:pt>
                <c:pt idx="27">
                  <c:v>1.1071446965787943</c:v>
                </c:pt>
                <c:pt idx="28">
                  <c:v>1.1111130186743052</c:v>
                </c:pt>
                <c:pt idx="29">
                  <c:v>1.1150813407698161</c:v>
                </c:pt>
                <c:pt idx="30">
                  <c:v>1.119049662865327</c:v>
                </c:pt>
                <c:pt idx="31">
                  <c:v>1.1230179849608379</c:v>
                </c:pt>
                <c:pt idx="32">
                  <c:v>1.1269863070563488</c:v>
                </c:pt>
                <c:pt idx="33">
                  <c:v>1.1309546291518597</c:v>
                </c:pt>
                <c:pt idx="34">
                  <c:v>1.1349229512473706</c:v>
                </c:pt>
                <c:pt idx="35">
                  <c:v>1.1388912733428815</c:v>
                </c:pt>
                <c:pt idx="36">
                  <c:v>1.1428595954383924</c:v>
                </c:pt>
                <c:pt idx="37">
                  <c:v>1.2614916993578609</c:v>
                </c:pt>
                <c:pt idx="38">
                  <c:v>1.5300311935752191</c:v>
                </c:pt>
                <c:pt idx="39">
                  <c:v>1.7985678826091087</c:v>
                </c:pt>
                <c:pt idx="40">
                  <c:v>2.0671017775790812</c:v>
                </c:pt>
                <c:pt idx="41">
                  <c:v>2.3356328896051783</c:v>
                </c:pt>
                <c:pt idx="42">
                  <c:v>2.6041612298079109</c:v>
                </c:pt>
                <c:pt idx="43">
                  <c:v>2.8726868093082842</c:v>
                </c:pt>
                <c:pt idx="44">
                  <c:v>3.141209639227772</c:v>
                </c:pt>
                <c:pt idx="45">
                  <c:v>3.4097297306883432</c:v>
                </c:pt>
                <c:pt idx="46">
                  <c:v>3.6782470948124404</c:v>
                </c:pt>
                <c:pt idx="47">
                  <c:v>3.9467617427230008</c:v>
                </c:pt>
                <c:pt idx="48">
                  <c:v>4.2152736855434538</c:v>
                </c:pt>
                <c:pt idx="49">
                  <c:v>4.4837829343977091</c:v>
                </c:pt>
                <c:pt idx="50">
                  <c:v>4.7522895004101775</c:v>
                </c:pt>
                <c:pt idx="51">
                  <c:v>5.0207933947057581</c:v>
                </c:pt>
                <c:pt idx="52">
                  <c:v>5.2892946284098468</c:v>
                </c:pt>
                <c:pt idx="53">
                  <c:v>5.557793212648332</c:v>
                </c:pt>
                <c:pt idx="54">
                  <c:v>5.8262891585476089</c:v>
                </c:pt>
                <c:pt idx="55">
                  <c:v>6.0947824772345625</c:v>
                </c:pt>
                <c:pt idx="56">
                  <c:v>6.3632731798365869</c:v>
                </c:pt>
                <c:pt idx="57">
                  <c:v>6.6317612774815746</c:v>
                </c:pt>
                <c:pt idx="58">
                  <c:v>6.900246781297934</c:v>
                </c:pt>
                <c:pt idx="59">
                  <c:v>7.1687297024145629</c:v>
                </c:pt>
                <c:pt idx="60">
                  <c:v>7.4372100519608688</c:v>
                </c:pt>
                <c:pt idx="61">
                  <c:v>7.7056878410667853</c:v>
                </c:pt>
                <c:pt idx="62">
                  <c:v>7.9741630808627351</c:v>
                </c:pt>
                <c:pt idx="63">
                  <c:v>8.2426357824796774</c:v>
                </c:pt>
                <c:pt idx="64">
                  <c:v>8.5111059570490593</c:v>
                </c:pt>
                <c:pt idx="65">
                  <c:v>8.7795736157028621</c:v>
                </c:pt>
                <c:pt idx="66">
                  <c:v>9.0480387695735818</c:v>
                </c:pt>
                <c:pt idx="67">
                  <c:v>9.3165014297942328</c:v>
                </c:pt>
                <c:pt idx="68">
                  <c:v>9.5849616074983413</c:v>
                </c:pt>
                <c:pt idx="69">
                  <c:v>9.8534193138199644</c:v>
                </c:pt>
                <c:pt idx="70">
                  <c:v>10.121874559893685</c:v>
                </c:pt>
                <c:pt idx="71">
                  <c:v>10.3903273568546</c:v>
                </c:pt>
                <c:pt idx="72">
                  <c:v>10.658777715838355</c:v>
                </c:pt>
                <c:pt idx="73">
                  <c:v>10.927225647981093</c:v>
                </c:pt>
                <c:pt idx="74">
                  <c:v>11.195671164419519</c:v>
                </c:pt>
                <c:pt idx="75">
                  <c:v>11.464114276290845</c:v>
                </c:pt>
                <c:pt idx="76">
                  <c:v>11.732554994732824</c:v>
                </c:pt>
                <c:pt idx="77">
                  <c:v>12.000993330883766</c:v>
                </c:pt>
                <c:pt idx="78">
                  <c:v>12.269429295882469</c:v>
                </c:pt>
                <c:pt idx="79">
                  <c:v>12.537862900868324</c:v>
                </c:pt>
                <c:pt idx="80">
                  <c:v>12.806294156981219</c:v>
                </c:pt>
                <c:pt idx="81">
                  <c:v>13.074723075361613</c:v>
                </c:pt>
                <c:pt idx="82">
                  <c:v>13.343149667150474</c:v>
                </c:pt>
                <c:pt idx="83">
                  <c:v>13.611573943489367</c:v>
                </c:pt>
                <c:pt idx="84">
                  <c:v>13.879995915520343</c:v>
                </c:pt>
                <c:pt idx="85">
                  <c:v>14.148415594386048</c:v>
                </c:pt>
                <c:pt idx="86">
                  <c:v>14.416832991229654</c:v>
                </c:pt>
                <c:pt idx="87">
                  <c:v>14.685248117194893</c:v>
                </c:pt>
                <c:pt idx="88">
                  <c:v>14.953660983426042</c:v>
                </c:pt>
                <c:pt idx="89">
                  <c:v>15.222071601067929</c:v>
                </c:pt>
                <c:pt idx="90">
                  <c:v>15.490479981265963</c:v>
                </c:pt>
                <c:pt idx="91">
                  <c:v>15.758886135166069</c:v>
                </c:pt>
                <c:pt idx="92">
                  <c:v>16.027290073914774</c:v>
                </c:pt>
                <c:pt idx="93">
                  <c:v>16.295691808659139</c:v>
                </c:pt>
                <c:pt idx="94">
                  <c:v>16.5640913505468</c:v>
                </c:pt>
                <c:pt idx="95">
                  <c:v>16.832488710725936</c:v>
                </c:pt>
                <c:pt idx="96">
                  <c:v>17.100883900345323</c:v>
                </c:pt>
                <c:pt idx="97">
                  <c:v>17.369276930554285</c:v>
                </c:pt>
                <c:pt idx="98">
                  <c:v>17.637667812502706</c:v>
                </c:pt>
                <c:pt idx="99">
                  <c:v>17.906056557341071</c:v>
                </c:pt>
                <c:pt idx="100">
                  <c:v>18.17444317622039</c:v>
                </c:pt>
              </c:numCache>
            </c:numRef>
          </c:val>
          <c:smooth val="0"/>
          <c:extLst>
            <c:ext xmlns:c16="http://schemas.microsoft.com/office/drawing/2014/chart" uri="{C3380CC4-5D6E-409C-BE32-E72D297353CC}">
              <c16:uniqueId val="{00000001-DC32-4242-87FA-45A0737872EA}"/>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1.0057142857142858</c:v>
                </c:pt>
                <c:pt idx="2">
                  <c:v>1.0079359475583825</c:v>
                </c:pt>
                <c:pt idx="3">
                  <c:v>1.0119039213375738</c:v>
                </c:pt>
                <c:pt idx="4">
                  <c:v>1.0158718951167651</c:v>
                </c:pt>
                <c:pt idx="5">
                  <c:v>1.0198398688959565</c:v>
                </c:pt>
                <c:pt idx="6">
                  <c:v>1.0238078426751476</c:v>
                </c:pt>
                <c:pt idx="7">
                  <c:v>1.0277758164543389</c:v>
                </c:pt>
                <c:pt idx="8">
                  <c:v>1.0317437902335302</c:v>
                </c:pt>
                <c:pt idx="9">
                  <c:v>1.0357117640127216</c:v>
                </c:pt>
                <c:pt idx="10">
                  <c:v>1.0396797377919127</c:v>
                </c:pt>
                <c:pt idx="11">
                  <c:v>1.043647711571104</c:v>
                </c:pt>
                <c:pt idx="12">
                  <c:v>1.0476156853502954</c:v>
                </c:pt>
                <c:pt idx="13">
                  <c:v>1.0515836591294867</c:v>
                </c:pt>
                <c:pt idx="14">
                  <c:v>1.0555516329086778</c:v>
                </c:pt>
                <c:pt idx="15">
                  <c:v>1.0595196066878692</c:v>
                </c:pt>
                <c:pt idx="16">
                  <c:v>1.0634875804670605</c:v>
                </c:pt>
                <c:pt idx="17">
                  <c:v>1.0674555542462518</c:v>
                </c:pt>
                <c:pt idx="18">
                  <c:v>1.0714235280254429</c:v>
                </c:pt>
                <c:pt idx="19">
                  <c:v>1.0753915018046343</c:v>
                </c:pt>
                <c:pt idx="20">
                  <c:v>1.0793594755838256</c:v>
                </c:pt>
                <c:pt idx="21">
                  <c:v>1.0833274493630167</c:v>
                </c:pt>
                <c:pt idx="22">
                  <c:v>1.0872954231422081</c:v>
                </c:pt>
                <c:pt idx="23">
                  <c:v>1.0912633969213994</c:v>
                </c:pt>
                <c:pt idx="24">
                  <c:v>1.0952313707005907</c:v>
                </c:pt>
                <c:pt idx="25">
                  <c:v>1.0991993444797818</c:v>
                </c:pt>
                <c:pt idx="26">
                  <c:v>1.1031673182589732</c:v>
                </c:pt>
                <c:pt idx="27">
                  <c:v>1.1071352920381645</c:v>
                </c:pt>
                <c:pt idx="28">
                  <c:v>1.1111032658173559</c:v>
                </c:pt>
                <c:pt idx="29">
                  <c:v>1.115071239596547</c:v>
                </c:pt>
                <c:pt idx="30">
                  <c:v>1.1190392133757383</c:v>
                </c:pt>
                <c:pt idx="31">
                  <c:v>1.1230071871549296</c:v>
                </c:pt>
                <c:pt idx="32">
                  <c:v>1.126975160934121</c:v>
                </c:pt>
                <c:pt idx="33">
                  <c:v>1.1309431347133121</c:v>
                </c:pt>
                <c:pt idx="34">
                  <c:v>1.1349111084925034</c:v>
                </c:pt>
                <c:pt idx="35">
                  <c:v>1.1388790822716948</c:v>
                </c:pt>
                <c:pt idx="36">
                  <c:v>1.1428470560508859</c:v>
                </c:pt>
                <c:pt idx="37">
                  <c:v>1.1468150298300772</c:v>
                </c:pt>
                <c:pt idx="38">
                  <c:v>1.1507830036092686</c:v>
                </c:pt>
                <c:pt idx="39">
                  <c:v>1.1547509773884599</c:v>
                </c:pt>
                <c:pt idx="40">
                  <c:v>1.158718951167651</c:v>
                </c:pt>
                <c:pt idx="41">
                  <c:v>1.2</c:v>
                </c:pt>
                <c:pt idx="42">
                  <c:v>1.4181687186693523</c:v>
                </c:pt>
                <c:pt idx="43">
                  <c:v>1.6582996909730456</c:v>
                </c:pt>
                <c:pt idx="44">
                  <c:v>1.8984205501211244</c:v>
                </c:pt>
                <c:pt idx="45">
                  <c:v>2.1385313020651204</c:v>
                </c:pt>
                <c:pt idx="46">
                  <c:v>2.3786319527559678</c:v>
                </c:pt>
                <c:pt idx="47">
                  <c:v>2.6187225081440055</c:v>
                </c:pt>
                <c:pt idx="48">
                  <c:v>2.8588029741789693</c:v>
                </c:pt>
                <c:pt idx="49">
                  <c:v>3.0988733568099835</c:v>
                </c:pt>
                <c:pt idx="50">
                  <c:v>3.3389336619855978</c:v>
                </c:pt>
                <c:pt idx="51">
                  <c:v>3.5789838956537441</c:v>
                </c:pt>
                <c:pt idx="52">
                  <c:v>3.8190240637617663</c:v>
                </c:pt>
                <c:pt idx="53">
                  <c:v>4.0590541722564142</c:v>
                </c:pt>
                <c:pt idx="54">
                  <c:v>4.2990742270838327</c:v>
                </c:pt>
                <c:pt idx="55">
                  <c:v>4.5390842341895699</c:v>
                </c:pt>
                <c:pt idx="56">
                  <c:v>4.7790841995185849</c:v>
                </c:pt>
                <c:pt idx="57">
                  <c:v>5.0190741290152436</c:v>
                </c:pt>
                <c:pt idx="58">
                  <c:v>5.259054028623309</c:v>
                </c:pt>
                <c:pt idx="59">
                  <c:v>5.4990239042859574</c:v>
                </c:pt>
                <c:pt idx="60">
                  <c:v>5.7389837619457706</c:v>
                </c:pt>
                <c:pt idx="61">
                  <c:v>5.9789336075447297</c:v>
                </c:pt>
                <c:pt idx="62">
                  <c:v>6.2188734470242233</c:v>
                </c:pt>
                <c:pt idx="63">
                  <c:v>6.4588032863250637</c:v>
                </c:pt>
                <c:pt idx="64">
                  <c:v>6.6987231313874629</c:v>
                </c:pt>
                <c:pt idx="65">
                  <c:v>6.9386329881510358</c:v>
                </c:pt>
                <c:pt idx="66">
                  <c:v>7.1785328625548059</c:v>
                </c:pt>
                <c:pt idx="67">
                  <c:v>7.4184227605372248</c:v>
                </c:pt>
                <c:pt idx="68">
                  <c:v>7.6583026880361276</c:v>
                </c:pt>
                <c:pt idx="69">
                  <c:v>7.8981726509887773</c:v>
                </c:pt>
                <c:pt idx="70">
                  <c:v>8.1380326553318465</c:v>
                </c:pt>
                <c:pt idx="71">
                  <c:v>8.3778827070014295</c:v>
                </c:pt>
                <c:pt idx="72">
                  <c:v>8.6177228119330103</c:v>
                </c:pt>
                <c:pt idx="73">
                  <c:v>8.8575529760614948</c:v>
                </c:pt>
                <c:pt idx="74">
                  <c:v>9.0973732053212082</c:v>
                </c:pt>
                <c:pt idx="75">
                  <c:v>9.3371835056458874</c:v>
                </c:pt>
                <c:pt idx="76">
                  <c:v>9.5769838829686815</c:v>
                </c:pt>
                <c:pt idx="77">
                  <c:v>9.8167743432221588</c:v>
                </c:pt>
                <c:pt idx="78">
                  <c:v>10.056554892338291</c:v>
                </c:pt>
                <c:pt idx="79">
                  <c:v>10.296325536248483</c:v>
                </c:pt>
                <c:pt idx="80">
                  <c:v>10.536086280883536</c:v>
                </c:pt>
                <c:pt idx="81">
                  <c:v>10.775837132173693</c:v>
                </c:pt>
                <c:pt idx="82">
                  <c:v>11.015578096048582</c:v>
                </c:pt>
                <c:pt idx="83">
                  <c:v>11.255309178437276</c:v>
                </c:pt>
                <c:pt idx="84">
                  <c:v>11.495030385268265</c:v>
                </c:pt>
                <c:pt idx="85">
                  <c:v>11.734741722469446</c:v>
                </c:pt>
                <c:pt idx="86">
                  <c:v>11.974443195968128</c:v>
                </c:pt>
                <c:pt idx="87">
                  <c:v>12.214134811691061</c:v>
                </c:pt>
                <c:pt idx="88">
                  <c:v>12.453816575564403</c:v>
                </c:pt>
                <c:pt idx="89">
                  <c:v>12.693488493513735</c:v>
                </c:pt>
                <c:pt idx="90">
                  <c:v>12.933150571464051</c:v>
                </c:pt>
                <c:pt idx="91">
                  <c:v>13.172802815339791</c:v>
                </c:pt>
                <c:pt idx="92">
                  <c:v>13.412445231064787</c:v>
                </c:pt>
                <c:pt idx="93">
                  <c:v>13.65207782456231</c:v>
                </c:pt>
                <c:pt idx="94">
                  <c:v>13.891700601755046</c:v>
                </c:pt>
                <c:pt idx="95">
                  <c:v>14.131313568565133</c:v>
                </c:pt>
                <c:pt idx="96">
                  <c:v>14.370916730914086</c:v>
                </c:pt>
                <c:pt idx="97">
                  <c:v>14.610510094722887</c:v>
                </c:pt>
                <c:pt idx="98">
                  <c:v>14.850093665911904</c:v>
                </c:pt>
                <c:pt idx="99">
                  <c:v>15.089667450400967</c:v>
                </c:pt>
                <c:pt idx="100">
                  <c:v>15.329231454109314</c:v>
                </c:pt>
              </c:numCache>
            </c:numRef>
          </c:val>
          <c:smooth val="0"/>
          <c:extLst>
            <c:ext xmlns:c16="http://schemas.microsoft.com/office/drawing/2014/chart" uri="{C3380CC4-5D6E-409C-BE32-E72D297353CC}">
              <c16:uniqueId val="{00000002-DC32-4242-87FA-45A0737872EA}"/>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1.4809382944719625E-4</c:v>
                </c:pt>
                <c:pt idx="1">
                  <c:v>86.872885316650354</c:v>
                </c:pt>
                <c:pt idx="2">
                  <c:v>90.328545320751914</c:v>
                </c:pt>
                <c:pt idx="3">
                  <c:v>89.994584887123395</c:v>
                </c:pt>
                <c:pt idx="4">
                  <c:v>89.237010948576696</c:v>
                </c:pt>
                <c:pt idx="5">
                  <c:v>88.253940712789969</c:v>
                </c:pt>
                <c:pt idx="6">
                  <c:v>87.125100933807161</c:v>
                </c:pt>
                <c:pt idx="7">
                  <c:v>85.893404095456773</c:v>
                </c:pt>
                <c:pt idx="8">
                  <c:v>84.586371030937599</c:v>
                </c:pt>
                <c:pt idx="9">
                  <c:v>83.223671847048792</c:v>
                </c:pt>
                <c:pt idx="10">
                  <c:v>81.820343684831471</c:v>
                </c:pt>
                <c:pt idx="11">
                  <c:v>80.388372507383295</c:v>
                </c:pt>
                <c:pt idx="12">
                  <c:v>78.937562881682709</c:v>
                </c:pt>
                <c:pt idx="13">
                  <c:v>77.476062838839198</c:v>
                </c:pt>
                <c:pt idx="14">
                  <c:v>76.010706553134995</c:v>
                </c:pt>
                <c:pt idx="15">
                  <c:v>74.547253506252986</c:v>
                </c:pt>
                <c:pt idx="16">
                  <c:v>73.090564936822389</c:v>
                </c:pt>
                <c:pt idx="17">
                  <c:v>71.644740023645795</c:v>
                </c:pt>
                <c:pt idx="18">
                  <c:v>70.213224802135286</c:v>
                </c:pt>
                <c:pt idx="19">
                  <c:v>68.798901695278516</c:v>
                </c:pt>
                <c:pt idx="20">
                  <c:v>67.404164645353831</c:v>
                </c:pt>
                <c:pt idx="21">
                  <c:v>66.030983132029917</c:v>
                </c:pt>
                <c:pt idx="22">
                  <c:v>64.68095732923129</c:v>
                </c:pt>
                <c:pt idx="23">
                  <c:v>63.355366005414957</c:v>
                </c:pt>
                <c:pt idx="24">
                  <c:v>62.055208353466007</c:v>
                </c:pt>
                <c:pt idx="25">
                  <c:v>60.781240657923142</c:v>
                </c:pt>
                <c:pt idx="26">
                  <c:v>59.534008516180378</c:v>
                </c:pt>
                <c:pt idx="27">
                  <c:v>58.313875195073919</c:v>
                </c:pt>
                <c:pt idx="28">
                  <c:v>57.121046605455831</c:v>
                </c:pt>
                <c:pt idx="29">
                  <c:v>55.955593302836007</c:v>
                </c:pt>
                <c:pt idx="30">
                  <c:v>54.817469864234383</c:v>
                </c:pt>
                <c:pt idx="31">
                  <c:v>53.706531945041988</c:v>
                </c:pt>
                <c:pt idx="32">
                  <c:v>52.622551281681893</c:v>
                </c:pt>
                <c:pt idx="33">
                  <c:v>51.565228874021649</c:v>
                </c:pt>
                <c:pt idx="34">
                  <c:v>50.534206554345133</c:v>
                </c:pt>
                <c:pt idx="35">
                  <c:v>49.529077126232416</c:v>
                </c:pt>
                <c:pt idx="36">
                  <c:v>48.549393236208758</c:v>
                </c:pt>
                <c:pt idx="37">
                  <c:v>51.879925740555109</c:v>
                </c:pt>
                <c:pt idx="38">
                  <c:v>52.445530303193365</c:v>
                </c:pt>
                <c:pt idx="39">
                  <c:v>52.996574544814287</c:v>
                </c:pt>
                <c:pt idx="40">
                  <c:v>53.533578048665944</c:v>
                </c:pt>
                <c:pt idx="41">
                  <c:v>54.05703656572004</c:v>
                </c:pt>
                <c:pt idx="42">
                  <c:v>54.5674232727321</c:v>
                </c:pt>
                <c:pt idx="43">
                  <c:v>55.065189964043313</c:v>
                </c:pt>
                <c:pt idx="44">
                  <c:v>55.550768178937695</c:v>
                </c:pt>
                <c:pt idx="45">
                  <c:v>56.024570266826224</c:v>
                </c:pt>
                <c:pt idx="46">
                  <c:v>56.486990392828588</c:v>
                </c:pt>
                <c:pt idx="47">
                  <c:v>56.938405486490652</c:v>
                </c:pt>
                <c:pt idx="48">
                  <c:v>57.379176136455513</c:v>
                </c:pt>
                <c:pt idx="49">
                  <c:v>57.809647433918698</c:v>
                </c:pt>
                <c:pt idx="50">
                  <c:v>58.230149767662674</c:v>
                </c:pt>
                <c:pt idx="51">
                  <c:v>58.640999573397266</c:v>
                </c:pt>
                <c:pt idx="52">
                  <c:v>59.04250004004178</c:v>
                </c:pt>
                <c:pt idx="53">
                  <c:v>59.434941775477022</c:v>
                </c:pt>
                <c:pt idx="54">
                  <c:v>59.818603434181369</c:v>
                </c:pt>
                <c:pt idx="55">
                  <c:v>60.193752309042857</c:v>
                </c:pt>
                <c:pt idx="56">
                  <c:v>60.560644889519402</c:v>
                </c:pt>
                <c:pt idx="57">
                  <c:v>60.919527388197011</c:v>
                </c:pt>
                <c:pt idx="58">
                  <c:v>61.270636237676356</c:v>
                </c:pt>
                <c:pt idx="59">
                  <c:v>61.614198559606216</c:v>
                </c:pt>
                <c:pt idx="60">
                  <c:v>61.950432607568551</c:v>
                </c:pt>
                <c:pt idx="61">
                  <c:v>62.279548185416559</c:v>
                </c:pt>
                <c:pt idx="62">
                  <c:v>62.601747042564725</c:v>
                </c:pt>
                <c:pt idx="63">
                  <c:v>62.917223247638034</c:v>
                </c:pt>
                <c:pt idx="64">
                  <c:v>63.226163541794165</c:v>
                </c:pt>
                <c:pt idx="65">
                  <c:v>63.528747672950992</c:v>
                </c:pt>
                <c:pt idx="66">
                  <c:v>63.825148712070323</c:v>
                </c:pt>
                <c:pt idx="67">
                  <c:v>64.115533352576392</c:v>
                </c:pt>
                <c:pt idx="68">
                  <c:v>64.400062193916085</c:v>
                </c:pt>
                <c:pt idx="69">
                  <c:v>64.678890010204242</c:v>
                </c:pt>
                <c:pt idx="70">
                  <c:v>64.952166004835362</c:v>
                </c:pt>
                <c:pt idx="71">
                  <c:v>65.220034051887367</c:v>
                </c:pt>
                <c:pt idx="72">
                  <c:v>65.482632925088168</c:v>
                </c:pt>
                <c:pt idx="73">
                  <c:v>65.740096515068316</c:v>
                </c:pt>
                <c:pt idx="74">
                  <c:v>65.99255403557548</c:v>
                </c:pt>
                <c:pt idx="75">
                  <c:v>66.240130219282605</c:v>
                </c:pt>
                <c:pt idx="76">
                  <c:v>66.482945503784876</c:v>
                </c:pt>
                <c:pt idx="77">
                  <c:v>66.721116208337776</c:v>
                </c:pt>
                <c:pt idx="78">
                  <c:v>66.954754701858434</c:v>
                </c:pt>
                <c:pt idx="79">
                  <c:v>67.183969562676765</c:v>
                </c:pt>
                <c:pt idx="80">
                  <c:v>67.408865730494426</c:v>
                </c:pt>
                <c:pt idx="81">
                  <c:v>67.629544650978744</c:v>
                </c:pt>
                <c:pt idx="82">
                  <c:v>67.84610441339548</c:v>
                </c:pt>
                <c:pt idx="83">
                  <c:v>68.058639881656774</c:v>
                </c:pt>
                <c:pt idx="84">
                  <c:v>68.267242819138673</c:v>
                </c:pt>
                <c:pt idx="85">
                  <c:v>68.472002007601489</c:v>
                </c:pt>
                <c:pt idx="86">
                  <c:v>68.673003360524916</c:v>
                </c:pt>
                <c:pt idx="87">
                  <c:v>68.870330031151866</c:v>
                </c:pt>
                <c:pt idx="88">
                  <c:v>69.064062515517605</c:v>
                </c:pt>
                <c:pt idx="89">
                  <c:v>69.254278750722335</c:v>
                </c:pt>
                <c:pt idx="90">
                  <c:v>69.441054208693799</c:v>
                </c:pt>
                <c:pt idx="91">
                  <c:v>69.624461985666684</c:v>
                </c:pt>
                <c:pt idx="92">
                  <c:v>69.804572887598141</c:v>
                </c:pt>
                <c:pt idx="93">
                  <c:v>69.981455511720327</c:v>
                </c:pt>
                <c:pt idx="94">
                  <c:v>70.155176324423749</c:v>
                </c:pt>
                <c:pt idx="95">
                  <c:v>70.32579973565052</c:v>
                </c:pt>
                <c:pt idx="96">
                  <c:v>70.493388169968668</c:v>
                </c:pt>
                <c:pt idx="97">
                  <c:v>70.658002134487248</c:v>
                </c:pt>
                <c:pt idx="98">
                  <c:v>70.819700283764135</c:v>
                </c:pt>
                <c:pt idx="99">
                  <c:v>70.978539481847918</c:v>
                </c:pt>
                <c:pt idx="100">
                  <c:v>71.104158159857306</c:v>
                </c:pt>
              </c:numCache>
            </c:numRef>
          </c:val>
          <c:smooth val="0"/>
          <c:extLst>
            <c:ext xmlns:c16="http://schemas.microsoft.com/office/drawing/2014/chart" uri="{C3380CC4-5D6E-409C-BE32-E72D297353CC}">
              <c16:uniqueId val="{00000000-AC8A-4551-AD17-C0E237FEA675}"/>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2.9287500000000001E-6</c:v>
                </c:pt>
                <c:pt idx="1">
                  <c:v>14.643749999999999</c:v>
                </c:pt>
                <c:pt idx="2">
                  <c:v>29.287499999999998</c:v>
                </c:pt>
                <c:pt idx="3">
                  <c:v>43.931249999999999</c:v>
                </c:pt>
                <c:pt idx="4">
                  <c:v>58.574999999999996</c:v>
                </c:pt>
                <c:pt idx="5">
                  <c:v>73.21875</c:v>
                </c:pt>
                <c:pt idx="6">
                  <c:v>87.862499999999997</c:v>
                </c:pt>
                <c:pt idx="7">
                  <c:v>102.50625000000002</c:v>
                </c:pt>
                <c:pt idx="8">
                  <c:v>117.14999999999999</c:v>
                </c:pt>
                <c:pt idx="9">
                  <c:v>131.79374999999999</c:v>
                </c:pt>
                <c:pt idx="10">
                  <c:v>146.4375</c:v>
                </c:pt>
                <c:pt idx="11">
                  <c:v>161.08125000000001</c:v>
                </c:pt>
                <c:pt idx="12">
                  <c:v>175.72499999999999</c:v>
                </c:pt>
                <c:pt idx="13">
                  <c:v>190.36875000000001</c:v>
                </c:pt>
                <c:pt idx="14">
                  <c:v>205.01250000000005</c:v>
                </c:pt>
                <c:pt idx="15">
                  <c:v>219.65624999999997</c:v>
                </c:pt>
                <c:pt idx="16">
                  <c:v>234.29999999999998</c:v>
                </c:pt>
                <c:pt idx="17">
                  <c:v>248.94375000000002</c:v>
                </c:pt>
                <c:pt idx="18">
                  <c:v>263.58749999999998</c:v>
                </c:pt>
                <c:pt idx="19">
                  <c:v>278.23124999999999</c:v>
                </c:pt>
                <c:pt idx="20">
                  <c:v>292.875</c:v>
                </c:pt>
                <c:pt idx="21">
                  <c:v>307.51875000000001</c:v>
                </c:pt>
                <c:pt idx="22">
                  <c:v>322.16250000000002</c:v>
                </c:pt>
                <c:pt idx="23">
                  <c:v>336.80625000000003</c:v>
                </c:pt>
                <c:pt idx="24">
                  <c:v>351.45</c:v>
                </c:pt>
                <c:pt idx="25">
                  <c:v>366.09375</c:v>
                </c:pt>
                <c:pt idx="26">
                  <c:v>380.73750000000001</c:v>
                </c:pt>
                <c:pt idx="27">
                  <c:v>395.38125000000002</c:v>
                </c:pt>
                <c:pt idx="28">
                  <c:v>410.02500000000009</c:v>
                </c:pt>
                <c:pt idx="29">
                  <c:v>424.66874999999999</c:v>
                </c:pt>
                <c:pt idx="30">
                  <c:v>439.31249999999994</c:v>
                </c:pt>
                <c:pt idx="31">
                  <c:v>453.95624999999995</c:v>
                </c:pt>
                <c:pt idx="32">
                  <c:v>468.59999999999997</c:v>
                </c:pt>
                <c:pt idx="33">
                  <c:v>483.24374999999998</c:v>
                </c:pt>
                <c:pt idx="34">
                  <c:v>497.88750000000005</c:v>
                </c:pt>
                <c:pt idx="35">
                  <c:v>512.53125</c:v>
                </c:pt>
                <c:pt idx="36">
                  <c:v>527.17499999999995</c:v>
                </c:pt>
                <c:pt idx="37">
                  <c:v>541.81875000000002</c:v>
                </c:pt>
                <c:pt idx="38">
                  <c:v>556.46249999999998</c:v>
                </c:pt>
                <c:pt idx="39">
                  <c:v>571.10625000000005</c:v>
                </c:pt>
                <c:pt idx="40">
                  <c:v>585.75</c:v>
                </c:pt>
                <c:pt idx="41">
                  <c:v>600.39374999999995</c:v>
                </c:pt>
                <c:pt idx="42">
                  <c:v>615.03750000000002</c:v>
                </c:pt>
                <c:pt idx="43">
                  <c:v>629.68124999999998</c:v>
                </c:pt>
                <c:pt idx="44">
                  <c:v>644.32500000000005</c:v>
                </c:pt>
                <c:pt idx="45">
                  <c:v>658.96875</c:v>
                </c:pt>
                <c:pt idx="46">
                  <c:v>673.61250000000007</c:v>
                </c:pt>
                <c:pt idx="47">
                  <c:v>688.2562499999998</c:v>
                </c:pt>
                <c:pt idx="48">
                  <c:v>702.9</c:v>
                </c:pt>
                <c:pt idx="49">
                  <c:v>717.54374999999993</c:v>
                </c:pt>
                <c:pt idx="50">
                  <c:v>732.1875</c:v>
                </c:pt>
                <c:pt idx="51">
                  <c:v>746.83124999999995</c:v>
                </c:pt>
                <c:pt idx="52">
                  <c:v>761.47500000000002</c:v>
                </c:pt>
                <c:pt idx="53">
                  <c:v>776.11875000000009</c:v>
                </c:pt>
                <c:pt idx="54">
                  <c:v>790.76250000000005</c:v>
                </c:pt>
                <c:pt idx="55">
                  <c:v>805.40625</c:v>
                </c:pt>
                <c:pt idx="56">
                  <c:v>820.05000000000018</c:v>
                </c:pt>
                <c:pt idx="57">
                  <c:v>834.6937499999998</c:v>
                </c:pt>
                <c:pt idx="58">
                  <c:v>849.33749999999998</c:v>
                </c:pt>
                <c:pt idx="59">
                  <c:v>863.98124999999993</c:v>
                </c:pt>
                <c:pt idx="60">
                  <c:v>878.62499999999989</c:v>
                </c:pt>
                <c:pt idx="61">
                  <c:v>893.26874999999995</c:v>
                </c:pt>
                <c:pt idx="62">
                  <c:v>907.91249999999991</c:v>
                </c:pt>
                <c:pt idx="63">
                  <c:v>922.55624999999998</c:v>
                </c:pt>
                <c:pt idx="64">
                  <c:v>937.19999999999993</c:v>
                </c:pt>
                <c:pt idx="65">
                  <c:v>951.84375</c:v>
                </c:pt>
                <c:pt idx="66">
                  <c:v>966.48749999999995</c:v>
                </c:pt>
                <c:pt idx="67">
                  <c:v>981.13125000000002</c:v>
                </c:pt>
                <c:pt idx="68">
                  <c:v>995.77500000000009</c:v>
                </c:pt>
                <c:pt idx="69">
                  <c:v>1010.4187499999999</c:v>
                </c:pt>
                <c:pt idx="70">
                  <c:v>1025.0625</c:v>
                </c:pt>
                <c:pt idx="71">
                  <c:v>1039.7062499999997</c:v>
                </c:pt>
                <c:pt idx="72">
                  <c:v>1054.3499999999999</c:v>
                </c:pt>
                <c:pt idx="73">
                  <c:v>1068.9937499999999</c:v>
                </c:pt>
                <c:pt idx="74">
                  <c:v>1083.6375</c:v>
                </c:pt>
                <c:pt idx="75">
                  <c:v>1098.28125</c:v>
                </c:pt>
                <c:pt idx="76">
                  <c:v>1112.925</c:v>
                </c:pt>
                <c:pt idx="77">
                  <c:v>1127.5687499999999</c:v>
                </c:pt>
                <c:pt idx="78">
                  <c:v>1142.2125000000001</c:v>
                </c:pt>
                <c:pt idx="79">
                  <c:v>1156.8562499999998</c:v>
                </c:pt>
                <c:pt idx="80">
                  <c:v>1171.5</c:v>
                </c:pt>
                <c:pt idx="81">
                  <c:v>1186.14375</c:v>
                </c:pt>
                <c:pt idx="82">
                  <c:v>1200.7874999999999</c:v>
                </c:pt>
                <c:pt idx="83">
                  <c:v>1215.4312499999999</c:v>
                </c:pt>
                <c:pt idx="84">
                  <c:v>1230.075</c:v>
                </c:pt>
                <c:pt idx="85">
                  <c:v>1244.7187499999998</c:v>
                </c:pt>
                <c:pt idx="86">
                  <c:v>1259.3625</c:v>
                </c:pt>
                <c:pt idx="87">
                  <c:v>1274.0062499999997</c:v>
                </c:pt>
                <c:pt idx="88">
                  <c:v>1288.6500000000001</c:v>
                </c:pt>
                <c:pt idx="89">
                  <c:v>1303.2937499999998</c:v>
                </c:pt>
                <c:pt idx="90">
                  <c:v>1317.9375</c:v>
                </c:pt>
                <c:pt idx="91">
                  <c:v>1332.58125</c:v>
                </c:pt>
                <c:pt idx="92">
                  <c:v>1347.2250000000001</c:v>
                </c:pt>
                <c:pt idx="93">
                  <c:v>1361.8687500000001</c:v>
                </c:pt>
                <c:pt idx="94">
                  <c:v>1376.5124999999996</c:v>
                </c:pt>
                <c:pt idx="95">
                  <c:v>1391.15625</c:v>
                </c:pt>
                <c:pt idx="96">
                  <c:v>1405.8</c:v>
                </c:pt>
                <c:pt idx="97">
                  <c:v>1420.4437499999997</c:v>
                </c:pt>
                <c:pt idx="98">
                  <c:v>1435.0874999999999</c:v>
                </c:pt>
                <c:pt idx="99">
                  <c:v>1449.7312499999998</c:v>
                </c:pt>
                <c:pt idx="100">
                  <c:v>1464.375</c:v>
                </c:pt>
              </c:numCache>
            </c:numRef>
          </c:val>
          <c:smooth val="0"/>
          <c:extLst>
            <c:ext xmlns:c16="http://schemas.microsoft.com/office/drawing/2014/chart" uri="{C3380CC4-5D6E-409C-BE32-E72D297353CC}">
              <c16:uniqueId val="{00000001-AC8A-4551-AD17-C0E237FEA675}"/>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73.09942527174789</c:v>
                </c:pt>
                <c:pt idx="1">
                  <c:v>73.064872909380028</c:v>
                </c:pt>
                <c:pt idx="2">
                  <c:v>101.50268938547849</c:v>
                </c:pt>
                <c:pt idx="3">
                  <c:v>152.33881913514665</c:v>
                </c:pt>
                <c:pt idx="4">
                  <c:v>203.23159822996965</c:v>
                </c:pt>
                <c:pt idx="5">
                  <c:v>254.18112141370668</c:v>
                </c:pt>
                <c:pt idx="6">
                  <c:v>305.18748364150878</c:v>
                </c:pt>
                <c:pt idx="7">
                  <c:v>356.25078008050781</c:v>
                </c:pt>
                <c:pt idx="8">
                  <c:v>407.3711061104089</c:v>
                </c:pt>
                <c:pt idx="9">
                  <c:v>458.54855732408419</c:v>
                </c:pt>
                <c:pt idx="10">
                  <c:v>509.78322952816887</c:v>
                </c:pt>
                <c:pt idx="11">
                  <c:v>561.07521874365864</c:v>
                </c:pt>
                <c:pt idx="12">
                  <c:v>612.42462120650964</c:v>
                </c:pt>
                <c:pt idx="13">
                  <c:v>663.83153336824068</c:v>
                </c:pt>
                <c:pt idx="14">
                  <c:v>715.29605189653671</c:v>
                </c:pt>
                <c:pt idx="15">
                  <c:v>766.81827367585458</c:v>
                </c:pt>
                <c:pt idx="16">
                  <c:v>818.39829580803246</c:v>
                </c:pt>
                <c:pt idx="17">
                  <c:v>870.03621561289776</c:v>
                </c:pt>
                <c:pt idx="18">
                  <c:v>921.73213062887999</c:v>
                </c:pt>
                <c:pt idx="19">
                  <c:v>973.48613861362674</c:v>
                </c:pt>
                <c:pt idx="20">
                  <c:v>1025.2983375446156</c:v>
                </c:pt>
                <c:pt idx="21">
                  <c:v>1077.1688256197779</c:v>
                </c:pt>
                <c:pt idx="22">
                  <c:v>1129.0977012581141</c:v>
                </c:pt>
                <c:pt idx="23">
                  <c:v>1181.0850631003193</c:v>
                </c:pt>
                <c:pt idx="24">
                  <c:v>1233.1310100094074</c:v>
                </c:pt>
                <c:pt idx="25">
                  <c:v>1285.2356410713369</c:v>
                </c:pt>
                <c:pt idx="26">
                  <c:v>1337.3990555956384</c:v>
                </c:pt>
                <c:pt idx="27">
                  <c:v>1389.6213531160502</c:v>
                </c:pt>
                <c:pt idx="28">
                  <c:v>1441.902633391147</c:v>
                </c:pt>
                <c:pt idx="29">
                  <c:v>1494.2429964049757</c:v>
                </c:pt>
                <c:pt idx="30">
                  <c:v>1546.6425423676958</c:v>
                </c:pt>
                <c:pt idx="31">
                  <c:v>1599.1013717162152</c:v>
                </c:pt>
                <c:pt idx="32">
                  <c:v>1651.6195851148329</c:v>
                </c:pt>
                <c:pt idx="33">
                  <c:v>1704.1972834558853</c:v>
                </c:pt>
                <c:pt idx="34">
                  <c:v>1756.8345678603896</c:v>
                </c:pt>
                <c:pt idx="35">
                  <c:v>1809.5315396786909</c:v>
                </c:pt>
                <c:pt idx="36">
                  <c:v>1862.2883004911189</c:v>
                </c:pt>
                <c:pt idx="37">
                  <c:v>1780.2949458889993</c:v>
                </c:pt>
                <c:pt idx="38">
                  <c:v>1788.426536818024</c:v>
                </c:pt>
                <c:pt idx="39">
                  <c:v>1796.7828531489686</c:v>
                </c:pt>
                <c:pt idx="40">
                  <c:v>1805.3663297166308</c:v>
                </c:pt>
                <c:pt idx="41">
                  <c:v>1814.1793763685002</c:v>
                </c:pt>
                <c:pt idx="42">
                  <c:v>1823.2243875261167</c:v>
                </c:pt>
                <c:pt idx="43">
                  <c:v>1832.5037506092769</c:v>
                </c:pt>
                <c:pt idx="44">
                  <c:v>1842.019853502157</c:v>
                </c:pt>
                <c:pt idx="45">
                  <c:v>1851.7750912101021</c:v>
                </c:pt>
                <c:pt idx="46">
                  <c:v>1861.7718718310489</c:v>
                </c:pt>
                <c:pt idx="47">
                  <c:v>1872.0126219455226</c:v>
                </c:pt>
                <c:pt idx="48">
                  <c:v>1882.4997915125875</c:v>
                </c:pt>
                <c:pt idx="49">
                  <c:v>1893.2358583456128</c:v>
                </c:pt>
                <c:pt idx="50">
                  <c:v>1904.2233322305217</c:v>
                </c:pt>
                <c:pt idx="51">
                  <c:v>1915.464758739889</c:v>
                </c:pt>
                <c:pt idx="52">
                  <c:v>1926.9627227885585</c:v>
                </c:pt>
                <c:pt idx="53">
                  <c:v>1938.7198519699923</c:v>
                </c:pt>
                <c:pt idx="54">
                  <c:v>1950.738819707185</c:v>
                </c:pt>
                <c:pt idx="55">
                  <c:v>1963.0223482474266</c:v>
                </c:pt>
                <c:pt idx="56">
                  <c:v>1975.5732115264038</c:v>
                </c:pt>
                <c:pt idx="57">
                  <c:v>1988.3942379238954</c:v>
                </c:pt>
                <c:pt idx="58">
                  <c:v>2001.4883129305954</c:v>
                </c:pt>
                <c:pt idx="59">
                  <c:v>2014.8583817432932</c:v>
                </c:pt>
                <c:pt idx="60">
                  <c:v>2028.5074518036649</c:v>
                </c:pt>
                <c:pt idx="61">
                  <c:v>2042.4385952942853</c:v>
                </c:pt>
                <c:pt idx="62">
                  <c:v>2056.6549516040104</c:v>
                </c:pt>
                <c:pt idx="63">
                  <c:v>2071.1597297737208</c:v>
                </c:pt>
                <c:pt idx="64">
                  <c:v>2085.9562109323329</c:v>
                </c:pt>
                <c:pt idx="65">
                  <c:v>2101.0477507321411</c:v>
                </c:pt>
                <c:pt idx="66">
                  <c:v>2116.4377817917975</c:v>
                </c:pt>
                <c:pt idx="67">
                  <c:v>2132.1298161546074</c:v>
                </c:pt>
                <c:pt idx="68">
                  <c:v>2148.127447769245</c:v>
                </c:pt>
                <c:pt idx="69">
                  <c:v>2164.4343549996161</c:v>
                </c:pt>
                <c:pt idx="70">
                  <c:v>2181.0543031701327</c:v>
                </c:pt>
                <c:pt idx="71">
                  <c:v>2197.9911471524019</c:v>
                </c:pt>
                <c:pt idx="72">
                  <c:v>2215.2488339990696</c:v>
                </c:pt>
                <c:pt idx="73">
                  <c:v>2232.831405630322</c:v>
                </c:pt>
                <c:pt idx="74">
                  <c:v>2250.7430015784239</c:v>
                </c:pt>
                <c:pt idx="75">
                  <c:v>2268.9878617955114</c:v>
                </c:pt>
                <c:pt idx="76">
                  <c:v>2287.5703295298035</c:v>
                </c:pt>
                <c:pt idx="77">
                  <c:v>2306.4948542753168</c:v>
                </c:pt>
                <c:pt idx="78">
                  <c:v>2325.7659948001392</c:v>
                </c:pt>
                <c:pt idx="79">
                  <c:v>2345.3884222583561</c:v>
                </c:pt>
                <c:pt idx="80">
                  <c:v>2365.3669233906903</c:v>
                </c:pt>
                <c:pt idx="81">
                  <c:v>2385.7064038190301</c:v>
                </c:pt>
                <c:pt idx="82">
                  <c:v>2406.4118914400269</c:v>
                </c:pt>
                <c:pt idx="83">
                  <c:v>2427.4885399231107</c:v>
                </c:pt>
                <c:pt idx="84">
                  <c:v>2448.9416323182922</c:v>
                </c:pt>
                <c:pt idx="85">
                  <c:v>2470.7765847793694</c:v>
                </c:pt>
                <c:pt idx="86">
                  <c:v>2492.998950408185</c:v>
                </c:pt>
                <c:pt idx="87">
                  <c:v>2515.6144232258553</c:v>
                </c:pt>
                <c:pt idx="88">
                  <c:v>2538.6288422770117</c:v>
                </c:pt>
                <c:pt idx="89">
                  <c:v>2562.0481958733603</c:v>
                </c:pt>
                <c:pt idx="90">
                  <c:v>2585.8786259830267</c:v>
                </c:pt>
                <c:pt idx="91">
                  <c:v>2610.1264327724748</c:v>
                </c:pt>
                <c:pt idx="92">
                  <c:v>2634.7980793080123</c:v>
                </c:pt>
                <c:pt idx="93">
                  <c:v>2659.9001964241602</c:v>
                </c:pt>
                <c:pt idx="94">
                  <c:v>2685.4395877665484</c:v>
                </c:pt>
                <c:pt idx="95">
                  <c:v>2711.423235017262</c:v>
                </c:pt>
                <c:pt idx="96">
                  <c:v>2737.8583033109212</c:v>
                </c:pt>
                <c:pt idx="97">
                  <c:v>2764.7521468502059</c:v>
                </c:pt>
                <c:pt idx="98">
                  <c:v>2792.1123147298695</c:v>
                </c:pt>
                <c:pt idx="99">
                  <c:v>2819.9465569787694</c:v>
                </c:pt>
                <c:pt idx="100">
                  <c:v>2848.2628308298526</c:v>
                </c:pt>
              </c:numCache>
            </c:numRef>
          </c:val>
          <c:smooth val="0"/>
          <c:extLst>
            <c:ext xmlns:c16="http://schemas.microsoft.com/office/drawing/2014/chart" uri="{C3380CC4-5D6E-409C-BE32-E72D297353CC}">
              <c16:uniqueId val="{00000002-AC8A-4551-AD17-C0E237FEA675}"/>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49.7954494244497</c:v>
                </c:pt>
                <c:pt idx="1">
                  <c:v>49.798889570565379</c:v>
                </c:pt>
                <c:pt idx="2">
                  <c:v>64.076753879549912</c:v>
                </c:pt>
                <c:pt idx="3">
                  <c:v>107.24578453997132</c:v>
                </c:pt>
                <c:pt idx="4">
                  <c:v>177.2184176320805</c:v>
                </c:pt>
                <c:pt idx="5">
                  <c:v>278.17727704172052</c:v>
                </c:pt>
                <c:pt idx="6">
                  <c:v>413.80071894557483</c:v>
                </c:pt>
                <c:pt idx="7">
                  <c:v>587.41196110392048</c:v>
                </c:pt>
                <c:pt idx="8">
                  <c:v>802.06635150416128</c:v>
                </c:pt>
                <c:pt idx="9">
                  <c:v>1060.6077712206968</c:v>
                </c:pt>
                <c:pt idx="10">
                  <c:v>1365.7076200432009</c:v>
                </c:pt>
                <c:pt idx="11">
                  <c:v>1719.8931097953614</c:v>
                </c:pt>
                <c:pt idx="12">
                  <c:v>2125.5685749932891</c:v>
                </c:pt>
                <c:pt idx="13">
                  <c:v>2585.0320014576114</c:v>
                </c:pt>
                <c:pt idx="14">
                  <c:v>3100.4881538861569</c:v>
                </c:pt>
                <c:pt idx="15">
                  <c:v>3674.0592089385113</c:v>
                </c:pt>
                <c:pt idx="16">
                  <c:v>4307.7935112881232</c:v>
                </c:pt>
                <c:pt idx="17">
                  <c:v>5003.6728863539711</c:v>
                </c:pt>
                <c:pt idx="18">
                  <c:v>5763.6188224328271</c:v>
                </c:pt>
                <c:pt idx="19">
                  <c:v>6589.4977528434429</c:v>
                </c:pt>
                <c:pt idx="20">
                  <c:v>7483.1256115026354</c:v>
                </c:pt>
                <c:pt idx="21">
                  <c:v>8446.2717946038538</c:v>
                </c:pt>
                <c:pt idx="22">
                  <c:v>9480.662631449175</c:v>
                </c:pt>
                <c:pt idx="23">
                  <c:v>10587.984445570415</c:v>
                </c:pt>
                <c:pt idx="24">
                  <c:v>11769.886270802093</c:v>
                </c:pt>
                <c:pt idx="25">
                  <c:v>13027.982274409487</c:v>
                </c:pt>
                <c:pt idx="26">
                  <c:v>14363.853929673955</c:v>
                </c:pt>
                <c:pt idx="27">
                  <c:v>15779.05197275882</c:v>
                </c:pt>
                <c:pt idx="28">
                  <c:v>17275.098172691196</c:v>
                </c:pt>
                <c:pt idx="29">
                  <c:v>18853.486938522332</c:v>
                </c:pt>
                <c:pt idx="30">
                  <c:v>20515.686783884972</c:v>
                </c:pt>
                <c:pt idx="31">
                  <c:v>22263.141666048923</c:v>
                </c:pt>
                <c:pt idx="32">
                  <c:v>24097.272214027147</c:v>
                </c:pt>
                <c:pt idx="33">
                  <c:v>26019.476858183669</c:v>
                </c:pt>
                <c:pt idx="34">
                  <c:v>28031.13287205388</c:v>
                </c:pt>
                <c:pt idx="35">
                  <c:v>30133.597335636008</c:v>
                </c:pt>
                <c:pt idx="36">
                  <c:v>32328.20802819436</c:v>
                </c:pt>
                <c:pt idx="37">
                  <c:v>28907.747896780533</c:v>
                </c:pt>
                <c:pt idx="38">
                  <c:v>29010.18645977668</c:v>
                </c:pt>
                <c:pt idx="39">
                  <c:v>29108.703181017238</c:v>
                </c:pt>
                <c:pt idx="40">
                  <c:v>29203.591528050205</c:v>
                </c:pt>
                <c:pt idx="41">
                  <c:v>29295.118610969388</c:v>
                </c:pt>
                <c:pt idx="42">
                  <c:v>29383.52808113991</c:v>
                </c:pt>
                <c:pt idx="43">
                  <c:v>29469.042656193989</c:v>
                </c:pt>
                <c:pt idx="44">
                  <c:v>29551.866326269312</c:v>
                </c:pt>
                <c:pt idx="45">
                  <c:v>29632.186287426135</c:v>
                </c:pt>
                <c:pt idx="46">
                  <c:v>29710.17464077023</c:v>
                </c:pt>
                <c:pt idx="47">
                  <c:v>29785.989889722317</c:v>
                </c:pt>
                <c:pt idx="48">
                  <c:v>29859.778262844626</c:v>
                </c:pt>
                <c:pt idx="49">
                  <c:v>29931.67488546552</c:v>
                </c:pt>
                <c:pt idx="50">
                  <c:v>30001.804819874509</c:v>
                </c:pt>
                <c:pt idx="51">
                  <c:v>30070.283990960681</c:v>
                </c:pt>
                <c:pt idx="52">
                  <c:v>30137.220011738689</c:v>
                </c:pt>
                <c:pt idx="53">
                  <c:v>30202.712921164159</c:v>
                </c:pt>
                <c:pt idx="54">
                  <c:v>30266.855844914557</c:v>
                </c:pt>
                <c:pt idx="55">
                  <c:v>30329.73558835543</c:v>
                </c:pt>
                <c:pt idx="56">
                  <c:v>30391.433169669948</c:v>
                </c:pt>
                <c:pt idx="57">
                  <c:v>30452.024300077312</c:v>
                </c:pt>
                <c:pt idx="58">
                  <c:v>30511.579817165806</c:v>
                </c:pt>
                <c:pt idx="59">
                  <c:v>30570.166076591489</c:v>
                </c:pt>
                <c:pt idx="60">
                  <c:v>30627.84530673657</c:v>
                </c:pt>
                <c:pt idx="61">
                  <c:v>30684.675930347861</c:v>
                </c:pt>
                <c:pt idx="62">
                  <c:v>30740.712856689021</c:v>
                </c:pt>
                <c:pt idx="63">
                  <c:v>30796.007747309573</c:v>
                </c:pt>
                <c:pt idx="64">
                  <c:v>30850.609258171</c:v>
                </c:pt>
                <c:pt idx="65">
                  <c:v>30904.563260546965</c:v>
                </c:pt>
                <c:pt idx="66">
                  <c:v>30957.913042838256</c:v>
                </c:pt>
                <c:pt idx="67">
                  <c:v>31010.699495198198</c:v>
                </c:pt>
                <c:pt idx="68">
                  <c:v>31062.961278654057</c:v>
                </c:pt>
                <c:pt idx="69">
                  <c:v>31114.734980222263</c:v>
                </c:pt>
                <c:pt idx="70">
                  <c:v>31166.055255353443</c:v>
                </c:pt>
                <c:pt idx="71">
                  <c:v>31216.954958898146</c:v>
                </c:pt>
                <c:pt idx="72">
                  <c:v>31267.465265660125</c:v>
                </c:pt>
                <c:pt idx="73">
                  <c:v>31317.615781490222</c:v>
                </c:pt>
                <c:pt idx="74">
                  <c:v>31367.434645776135</c:v>
                </c:pt>
                <c:pt idx="75">
                  <c:v>31416.948626098238</c:v>
                </c:pt>
                <c:pt idx="76">
                  <c:v>31466.183205738649</c:v>
                </c:pt>
                <c:pt idx="77">
                  <c:v>31515.162664669711</c:v>
                </c:pt>
                <c:pt idx="78">
                  <c:v>31563.910154580328</c:v>
                </c:pt>
                <c:pt idx="79">
                  <c:v>31612.447768447939</c:v>
                </c:pt>
                <c:pt idx="80">
                  <c:v>31660.796605112686</c:v>
                </c:pt>
                <c:pt idx="81">
                  <c:v>31708.976829271207</c:v>
                </c:pt>
                <c:pt idx="82">
                  <c:v>31757.007727262411</c:v>
                </c:pt>
                <c:pt idx="83">
                  <c:v>31804.907758988746</c:v>
                </c:pt>
                <c:pt idx="84">
                  <c:v>31852.694606281933</c:v>
                </c:pt>
                <c:pt idx="85">
                  <c:v>31900.385217994455</c:v>
                </c:pt>
                <c:pt idx="86">
                  <c:v>31947.995852074313</c:v>
                </c:pt>
                <c:pt idx="87">
                  <c:v>31995.542114856216</c:v>
                </c:pt>
                <c:pt idx="88">
                  <c:v>32043.038997782409</c:v>
                </c:pt>
                <c:pt idx="89">
                  <c:v>32090.500911749714</c:v>
                </c:pt>
                <c:pt idx="90">
                  <c:v>32137.941719257724</c:v>
                </c:pt>
                <c:pt idx="91">
                  <c:v>32185.374764525663</c:v>
                </c:pt>
                <c:pt idx="92">
                  <c:v>32232.812901722908</c:v>
                </c:pt>
                <c:pt idx="93">
                  <c:v>32280.26852145384</c:v>
                </c:pt>
                <c:pt idx="94">
                  <c:v>32327.753575620383</c:v>
                </c:pt>
                <c:pt idx="95">
                  <c:v>32375.279600779373</c:v>
                </c:pt>
                <c:pt idx="96">
                  <c:v>32422.857740099793</c:v>
                </c:pt>
                <c:pt idx="97">
                  <c:v>32470.498764019034</c:v>
                </c:pt>
                <c:pt idx="98">
                  <c:v>32518.213089686335</c:v>
                </c:pt>
                <c:pt idx="99">
                  <c:v>32566.010799278978</c:v>
                </c:pt>
                <c:pt idx="100">
                  <c:v>32613.901657265935</c:v>
                </c:pt>
              </c:numCache>
            </c:numRef>
          </c:val>
          <c:smooth val="0"/>
          <c:extLst>
            <c:ext xmlns:c16="http://schemas.microsoft.com/office/drawing/2014/chart" uri="{C3380CC4-5D6E-409C-BE32-E72D297353CC}">
              <c16:uniqueId val="{00000003-AC8A-4551-AD17-C0E237FEA675}"/>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c:v>
                </c:pt>
                <c:pt idx="2">
                  <c:v>20.833691001432225</c:v>
                </c:pt>
                <c:pt idx="3">
                  <c:v>20.833691001432225</c:v>
                </c:pt>
                <c:pt idx="4">
                  <c:v>27.778254668576302</c:v>
                </c:pt>
                <c:pt idx="5">
                  <c:v>34.722818335720376</c:v>
                </c:pt>
                <c:pt idx="6">
                  <c:v>41.66738200286445</c:v>
                </c:pt>
                <c:pt idx="7">
                  <c:v>48.611945670008538</c:v>
                </c:pt>
                <c:pt idx="8">
                  <c:v>55.556509337152605</c:v>
                </c:pt>
                <c:pt idx="9">
                  <c:v>62.501073004296671</c:v>
                </c:pt>
                <c:pt idx="10">
                  <c:v>69.445636671440752</c:v>
                </c:pt>
                <c:pt idx="11">
                  <c:v>76.390200338584819</c:v>
                </c:pt>
                <c:pt idx="12">
                  <c:v>83.3347640057289</c:v>
                </c:pt>
                <c:pt idx="13">
                  <c:v>90.279327672872981</c:v>
                </c:pt>
                <c:pt idx="14">
                  <c:v>97.223891340017076</c:v>
                </c:pt>
                <c:pt idx="15">
                  <c:v>104.16845500716113</c:v>
                </c:pt>
                <c:pt idx="16">
                  <c:v>111.11301867430521</c:v>
                </c:pt>
                <c:pt idx="17">
                  <c:v>118.0575823414493</c:v>
                </c:pt>
                <c:pt idx="18">
                  <c:v>125.00214600859334</c:v>
                </c:pt>
                <c:pt idx="19">
                  <c:v>131.94670967573745</c:v>
                </c:pt>
                <c:pt idx="20">
                  <c:v>138.8912733428815</c:v>
                </c:pt>
                <c:pt idx="21">
                  <c:v>145.83583701002559</c:v>
                </c:pt>
                <c:pt idx="22">
                  <c:v>152.78040067716964</c:v>
                </c:pt>
                <c:pt idx="23">
                  <c:v>159.72496434431372</c:v>
                </c:pt>
                <c:pt idx="24">
                  <c:v>166.6695280114578</c:v>
                </c:pt>
                <c:pt idx="25">
                  <c:v>173.61409167860191</c:v>
                </c:pt>
                <c:pt idx="26">
                  <c:v>180.55865534574596</c:v>
                </c:pt>
                <c:pt idx="27">
                  <c:v>187.50321901289004</c:v>
                </c:pt>
                <c:pt idx="28">
                  <c:v>194.44778268003415</c:v>
                </c:pt>
                <c:pt idx="29">
                  <c:v>201.39234634717818</c:v>
                </c:pt>
                <c:pt idx="30">
                  <c:v>208.33691001432226</c:v>
                </c:pt>
                <c:pt idx="31">
                  <c:v>215.28147368146637</c:v>
                </c:pt>
                <c:pt idx="32">
                  <c:v>212.28432427268808</c:v>
                </c:pt>
                <c:pt idx="33">
                  <c:v>206.10691267739978</c:v>
                </c:pt>
                <c:pt idx="34">
                  <c:v>200.27828892639309</c:v>
                </c:pt>
                <c:pt idx="35">
                  <c:v>194.76972346628364</c:v>
                </c:pt>
                <c:pt idx="36">
                  <c:v>189.55555768608298</c:v>
                </c:pt>
                <c:pt idx="37">
                  <c:v>184.61280427508262</c:v>
                </c:pt>
                <c:pt idx="38">
                  <c:v>179.92080840728147</c:v>
                </c:pt>
                <c:pt idx="39">
                  <c:v>175.46095921862383</c:v>
                </c:pt>
                <c:pt idx="40">
                  <c:v>171.21644307777169</c:v>
                </c:pt>
                <c:pt idx="41">
                  <c:v>167.17203175397916</c:v>
                </c:pt>
                <c:pt idx="42">
                  <c:v>163.31389985624571</c:v>
                </c:pt>
                <c:pt idx="43">
                  <c:v>159.62946693110447</c:v>
                </c:pt>
                <c:pt idx="44">
                  <c:v>156.10726041882467</c:v>
                </c:pt>
                <c:pt idx="45">
                  <c:v>152.73679632271865</c:v>
                </c:pt>
                <c:pt idx="46">
                  <c:v>149.50847497686107</c:v>
                </c:pt>
                <c:pt idx="47">
                  <c:v>146.41348972952002</c:v>
                </c:pt>
                <c:pt idx="48">
                  <c:v>143.4437467129209</c:v>
                </c:pt>
                <c:pt idx="49">
                  <c:v>140.59179416022235</c:v>
                </c:pt>
                <c:pt idx="50">
                  <c:v>137.85075997003366</c:v>
                </c:pt>
                <c:pt idx="51">
                  <c:v>135.21429641714798</c:v>
                </c:pt>
                <c:pt idx="52">
                  <c:v>132.67653107309295</c:v>
                </c:pt>
                <c:pt idx="53">
                  <c:v>130.23202313775113</c:v>
                </c:pt>
                <c:pt idx="54">
                  <c:v>127.87572449860293</c:v>
                </c:pt>
                <c:pt idx="55">
                  <c:v>125.60294493104954</c:v>
                </c:pt>
                <c:pt idx="56">
                  <c:v>123.40932093499265</c:v>
                </c:pt>
                <c:pt idx="57">
                  <c:v>121.2907877719764</c:v>
                </c:pt>
                <c:pt idx="58">
                  <c:v>119.24355432585403</c:v>
                </c:pt>
                <c:pt idx="59">
                  <c:v>117.26408045986594</c:v>
                </c:pt>
                <c:pt idx="60">
                  <c:v>115.34905658561809</c:v>
                </c:pt>
                <c:pt idx="61">
                  <c:v>113.49538519591633</c:v>
                </c:pt>
                <c:pt idx="62">
                  <c:v>111.7001641446991</c:v>
                </c:pt>
                <c:pt idx="63">
                  <c:v>109.96067148422864</c:v>
                </c:pt>
                <c:pt idx="64">
                  <c:v>108.27435169291559</c:v>
                </c:pt>
                <c:pt idx="65">
                  <c:v>106.63880314722137</c:v>
                </c:pt>
                <c:pt idx="66">
                  <c:v>105.05176670847116</c:v>
                </c:pt>
                <c:pt idx="67">
                  <c:v>103.51111531051389</c:v>
                </c:pt>
                <c:pt idx="68">
                  <c:v>102.01484444731101</c:v>
                </c:pt>
                <c:pt idx="69">
                  <c:v>100.5610634709973</c:v>
                </c:pt>
                <c:pt idx="70">
                  <c:v>99.147987620981993</c:v>
                </c:pt>
                <c:pt idx="71">
                  <c:v>97.773930713427262</c:v>
                </c:pt>
                <c:pt idx="72">
                  <c:v>96.437298428145724</c:v>
                </c:pt>
                <c:pt idx="73">
                  <c:v>95.136582136723064</c:v>
                </c:pt>
                <c:pt idx="74">
                  <c:v>93.870353221633238</c:v>
                </c:pt>
                <c:pt idx="75">
                  <c:v>92.637257841374051</c:v>
                </c:pt>
                <c:pt idx="76">
                  <c:v>91.436012101293926</c:v>
                </c:pt>
                <c:pt idx="77">
                  <c:v>90.265397593899635</c:v>
                </c:pt>
                <c:pt idx="78">
                  <c:v>89.124257276078282</c:v>
                </c:pt>
                <c:pt idx="79">
                  <c:v>88.011491653908266</c:v>
                </c:pt>
                <c:pt idx="80">
                  <c:v>86.926055248615256</c:v>
                </c:pt>
                <c:pt idx="81">
                  <c:v>85.866953319795243</c:v>
                </c:pt>
                <c:pt idx="82">
                  <c:v>84.833238824317348</c:v>
                </c:pt>
                <c:pt idx="83">
                  <c:v>83.824009591364032</c:v>
                </c:pt>
                <c:pt idx="84">
                  <c:v>82.838405695897137</c:v>
                </c:pt>
                <c:pt idx="85">
                  <c:v>81.875607014477353</c:v>
                </c:pt>
                <c:pt idx="86">
                  <c:v>80.934830948836179</c:v>
                </c:pt>
                <c:pt idx="87">
                  <c:v>80.015330303919043</c:v>
                </c:pt>
                <c:pt idx="88">
                  <c:v>79.116391308308366</c:v>
                </c:pt>
                <c:pt idx="89">
                  <c:v>78.237331766003564</c:v>
                </c:pt>
                <c:pt idx="90">
                  <c:v>77.377499329500409</c:v>
                </c:pt>
                <c:pt idx="91">
                  <c:v>76.536269884982403</c:v>
                </c:pt>
                <c:pt idx="92">
                  <c:v>75.713046041223478</c:v>
                </c:pt>
                <c:pt idx="93">
                  <c:v>74.907255714513909</c:v>
                </c:pt>
                <c:pt idx="94">
                  <c:v>74.118350802564521</c:v>
                </c:pt>
                <c:pt idx="95">
                  <c:v>73.345805940930006</c:v>
                </c:pt>
                <c:pt idx="96">
                  <c:v>72.589117336021971</c:v>
                </c:pt>
                <c:pt idx="97">
                  <c:v>71.847801669264413</c:v>
                </c:pt>
                <c:pt idx="98">
                  <c:v>71.121395067382608</c:v>
                </c:pt>
                <c:pt idx="99">
                  <c:v>70.409452134215726</c:v>
                </c:pt>
                <c:pt idx="100">
                  <c:v>69.711545039806637</c:v>
                </c:pt>
              </c:numCache>
            </c:numRef>
          </c:val>
          <c:smooth val="0"/>
          <c:extLst>
            <c:ext xmlns:c16="http://schemas.microsoft.com/office/drawing/2014/chart" uri="{C3380CC4-5D6E-409C-BE32-E72D297353CC}">
              <c16:uniqueId val="{00000000-14B5-4C6D-ADBB-33FE896DCEBE}"/>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c:v>
                </c:pt>
                <c:pt idx="2">
                  <c:v>13.889127334288151</c:v>
                </c:pt>
                <c:pt idx="3">
                  <c:v>20.833691001432225</c:v>
                </c:pt>
                <c:pt idx="4">
                  <c:v>27.778254668576302</c:v>
                </c:pt>
                <c:pt idx="5">
                  <c:v>34.722818335720376</c:v>
                </c:pt>
                <c:pt idx="6">
                  <c:v>41.66738200286445</c:v>
                </c:pt>
                <c:pt idx="7">
                  <c:v>48.611945670008538</c:v>
                </c:pt>
                <c:pt idx="8">
                  <c:v>55.556509337152605</c:v>
                </c:pt>
                <c:pt idx="9">
                  <c:v>62.501073004296671</c:v>
                </c:pt>
                <c:pt idx="10">
                  <c:v>69.445636671440752</c:v>
                </c:pt>
                <c:pt idx="11">
                  <c:v>76.390200338584819</c:v>
                </c:pt>
                <c:pt idx="12">
                  <c:v>83.3347640057289</c:v>
                </c:pt>
                <c:pt idx="13">
                  <c:v>90.279327672872981</c:v>
                </c:pt>
                <c:pt idx="14">
                  <c:v>97.223891340017076</c:v>
                </c:pt>
                <c:pt idx="15">
                  <c:v>104.16845500716113</c:v>
                </c:pt>
                <c:pt idx="16">
                  <c:v>111.11301867430521</c:v>
                </c:pt>
                <c:pt idx="17">
                  <c:v>118.0575823414493</c:v>
                </c:pt>
                <c:pt idx="18">
                  <c:v>125.00214600859334</c:v>
                </c:pt>
                <c:pt idx="19">
                  <c:v>131.94670967573745</c:v>
                </c:pt>
                <c:pt idx="20">
                  <c:v>138.8912733428815</c:v>
                </c:pt>
                <c:pt idx="21">
                  <c:v>145.83583701002559</c:v>
                </c:pt>
                <c:pt idx="22">
                  <c:v>152.78040067716964</c:v>
                </c:pt>
                <c:pt idx="23">
                  <c:v>159.72496434431372</c:v>
                </c:pt>
                <c:pt idx="24">
                  <c:v>166.6695280114578</c:v>
                </c:pt>
                <c:pt idx="25">
                  <c:v>173.61409167860191</c:v>
                </c:pt>
                <c:pt idx="26">
                  <c:v>180.55865534574596</c:v>
                </c:pt>
                <c:pt idx="27">
                  <c:v>187.50321901289004</c:v>
                </c:pt>
                <c:pt idx="28">
                  <c:v>194.44778268003415</c:v>
                </c:pt>
                <c:pt idx="29">
                  <c:v>201.39234634717818</c:v>
                </c:pt>
                <c:pt idx="30">
                  <c:v>208.33691001432226</c:v>
                </c:pt>
                <c:pt idx="31">
                  <c:v>215.28147368146637</c:v>
                </c:pt>
                <c:pt idx="32">
                  <c:v>222.22603734861042</c:v>
                </c:pt>
                <c:pt idx="33">
                  <c:v>229.1706010157545</c:v>
                </c:pt>
                <c:pt idx="34">
                  <c:v>236.11516468289861</c:v>
                </c:pt>
                <c:pt idx="35">
                  <c:v>243.0597283500426</c:v>
                </c:pt>
                <c:pt idx="36">
                  <c:v>250.00429201718669</c:v>
                </c:pt>
                <c:pt idx="37">
                  <c:v>237.55972718735387</c:v>
                </c:pt>
                <c:pt idx="38">
                  <c:v>231.60015096318938</c:v>
                </c:pt>
                <c:pt idx="39">
                  <c:v>225.93238417529975</c:v>
                </c:pt>
                <c:pt idx="40">
                  <c:v>220.53550598709793</c:v>
                </c:pt>
                <c:pt idx="41">
                  <c:v>215.3905487356939</c:v>
                </c:pt>
                <c:pt idx="42">
                  <c:v>210.48027519470898</c:v>
                </c:pt>
                <c:pt idx="43">
                  <c:v>205.78898563815912</c:v>
                </c:pt>
                <c:pt idx="44">
                  <c:v>201.30235015510937</c:v>
                </c:pt>
                <c:pt idx="45">
                  <c:v>197.0072624418882</c:v>
                </c:pt>
                <c:pt idx="46">
                  <c:v>192.8917119295561</c:v>
                </c:pt>
                <c:pt idx="47">
                  <c:v>188.94467161898564</c:v>
                </c:pt>
                <c:pt idx="48">
                  <c:v>185.1559994176398</c:v>
                </c:pt>
                <c:pt idx="49">
                  <c:v>181.51635111921755</c:v>
                </c:pt>
                <c:pt idx="50">
                  <c:v>178.01710345416637</c:v>
                </c:pt>
                <c:pt idx="51">
                  <c:v>174.65028587704097</c:v>
                </c:pt>
                <c:pt idx="52">
                  <c:v>171.40851995488921</c:v>
                </c:pt>
                <c:pt idx="53">
                  <c:v>168.28496538652499</c:v>
                </c:pt>
                <c:pt idx="54">
                  <c:v>165.27327182152305</c:v>
                </c:pt>
                <c:pt idx="55">
                  <c:v>162.36753576474561</c:v>
                </c:pt>
                <c:pt idx="56">
                  <c:v>159.56226195098171</c:v>
                </c:pt>
                <c:pt idx="57">
                  <c:v>156.85232865794958</c:v>
                </c:pt>
                <c:pt idx="58">
                  <c:v>154.23295649699344</c:v>
                </c:pt>
                <c:pt idx="59">
                  <c:v>151.69968028137856</c:v>
                </c:pt>
                <c:pt idx="60">
                  <c:v>149.24832362384043</c:v>
                </c:pt>
                <c:pt idx="61">
                  <c:v>146.87497595938945</c:v>
                </c:pt>
                <c:pt idx="62">
                  <c:v>144.57597172746438</c:v>
                </c:pt>
                <c:pt idx="63">
                  <c:v>142.34787148033178</c:v>
                </c:pt>
                <c:pt idx="64">
                  <c:v>140.18744471295213</c:v>
                </c:pt>
                <c:pt idx="65">
                  <c:v>138.09165423403914</c:v>
                </c:pt>
                <c:pt idx="66">
                  <c:v>136.05764191929816</c:v>
                </c:pt>
                <c:pt idx="67">
                  <c:v>134.08271570630646</c:v>
                </c:pt>
                <c:pt idx="68">
                  <c:v>132.16433770659413</c:v>
                </c:pt>
                <c:pt idx="69">
                  <c:v>130.30011332453935</c:v>
                </c:pt>
                <c:pt idx="70">
                  <c:v>128.48778128498083</c:v>
                </c:pt>
                <c:pt idx="71">
                  <c:v>126.72520448222465</c:v>
                </c:pt>
                <c:pt idx="72">
                  <c:v>125.01036157258297</c:v>
                </c:pt>
                <c:pt idx="73">
                  <c:v>123.34133924090466</c:v>
                </c:pt>
                <c:pt idx="74">
                  <c:v>121.71632507889161</c:v>
                </c:pt>
                <c:pt idx="75">
                  <c:v>120.13360101947298</c:v>
                </c:pt>
                <c:pt idx="76">
                  <c:v>118.59153727723347</c:v>
                </c:pt>
                <c:pt idx="77">
                  <c:v>117.0885867499691</c:v>
                </c:pt>
                <c:pt idx="78">
                  <c:v>115.62327984094196</c:v>
                </c:pt>
                <c:pt idx="79">
                  <c:v>114.19421966540757</c:v>
                </c:pt>
                <c:pt idx="80">
                  <c:v>112.80007760855031</c:v>
                </c:pt>
                <c:pt idx="81">
                  <c:v>111.43958920513199</c:v>
                </c:pt>
                <c:pt idx="82">
                  <c:v>110.11155031399747</c:v>
                </c:pt>
                <c:pt idx="83">
                  <c:v>108.8148135631079</c:v>
                </c:pt>
                <c:pt idx="84">
                  <c:v>107.54828504304437</c:v>
                </c:pt>
                <c:pt idx="85">
                  <c:v>106.31092122895225</c:v>
                </c:pt>
                <c:pt idx="86">
                  <c:v>105.10172611272458</c:v>
                </c:pt>
                <c:pt idx="87">
                  <c:v>103.91974852885863</c:v>
                </c:pt>
                <c:pt idx="88">
                  <c:v>102.76407965889683</c:v>
                </c:pt>
                <c:pt idx="89">
                  <c:v>101.63385070069127</c:v>
                </c:pt>
                <c:pt idx="90">
                  <c:v>100.52823068992902</c:v>
                </c:pt>
                <c:pt idx="91">
                  <c:v>99.44642446243995</c:v>
                </c:pt>
                <c:pt idx="92">
                  <c:v>98.387670746784281</c:v>
                </c:pt>
                <c:pt idx="93">
                  <c:v>97.351240377506087</c:v>
                </c:pt>
                <c:pt idx="94">
                  <c:v>96.33643462023872</c:v>
                </c:pt>
                <c:pt idx="95">
                  <c:v>95.342583600578479</c:v>
                </c:pt>
                <c:pt idx="96">
                  <c:v>94.369044829301842</c:v>
                </c:pt>
                <c:pt idx="97">
                  <c:v>93.415201817104048</c:v>
                </c:pt>
                <c:pt idx="98">
                  <c:v>92.480462772582598</c:v>
                </c:pt>
                <c:pt idx="99">
                  <c:v>91.564259377686852</c:v>
                </c:pt>
                <c:pt idx="100">
                  <c:v>90.66604563531078</c:v>
                </c:pt>
              </c:numCache>
            </c:numRef>
          </c:val>
          <c:smooth val="0"/>
          <c:extLst>
            <c:ext xmlns:c16="http://schemas.microsoft.com/office/drawing/2014/chart" uri="{C3380CC4-5D6E-409C-BE32-E72D297353CC}">
              <c16:uniqueId val="{00000001-14B5-4C6D-ADBB-33FE896DCEBE}"/>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c:v>
                </c:pt>
                <c:pt idx="2">
                  <c:v>13.88790822716947</c:v>
                </c:pt>
                <c:pt idx="3">
                  <c:v>20.831862340754203</c:v>
                </c:pt>
                <c:pt idx="4">
                  <c:v>27.775816454338941</c:v>
                </c:pt>
                <c:pt idx="5">
                  <c:v>34.719770567923675</c:v>
                </c:pt>
                <c:pt idx="6">
                  <c:v>41.663724681508405</c:v>
                </c:pt>
                <c:pt idx="7">
                  <c:v>48.607678795093143</c:v>
                </c:pt>
                <c:pt idx="8">
                  <c:v>55.551632908677881</c:v>
                </c:pt>
                <c:pt idx="9">
                  <c:v>62.495587022262612</c:v>
                </c:pt>
                <c:pt idx="10">
                  <c:v>69.43954113584735</c:v>
                </c:pt>
                <c:pt idx="11">
                  <c:v>76.383495249432102</c:v>
                </c:pt>
                <c:pt idx="12">
                  <c:v>83.327449363016811</c:v>
                </c:pt>
                <c:pt idx="13">
                  <c:v>90.271403476601549</c:v>
                </c:pt>
                <c:pt idx="14">
                  <c:v>97.215357590186287</c:v>
                </c:pt>
                <c:pt idx="15">
                  <c:v>104.15931170377101</c:v>
                </c:pt>
                <c:pt idx="16">
                  <c:v>111.10326581735576</c:v>
                </c:pt>
                <c:pt idx="17">
                  <c:v>118.0472199309405</c:v>
                </c:pt>
                <c:pt idx="18">
                  <c:v>124.99117404452522</c:v>
                </c:pt>
                <c:pt idx="19">
                  <c:v>131.93512815810996</c:v>
                </c:pt>
                <c:pt idx="20">
                  <c:v>138.8790822716947</c:v>
                </c:pt>
                <c:pt idx="21">
                  <c:v>145.82303638527941</c:v>
                </c:pt>
                <c:pt idx="22">
                  <c:v>152.7669904988642</c:v>
                </c:pt>
                <c:pt idx="23">
                  <c:v>159.71094461244891</c:v>
                </c:pt>
                <c:pt idx="24">
                  <c:v>166.65489872603362</c:v>
                </c:pt>
                <c:pt idx="25">
                  <c:v>173.59885283961839</c:v>
                </c:pt>
                <c:pt idx="26">
                  <c:v>180.5428069532031</c:v>
                </c:pt>
                <c:pt idx="27">
                  <c:v>187.48676106678786</c:v>
                </c:pt>
                <c:pt idx="28">
                  <c:v>194.43071518037257</c:v>
                </c:pt>
                <c:pt idx="29">
                  <c:v>201.37466929395728</c:v>
                </c:pt>
                <c:pt idx="30">
                  <c:v>208.31862340754202</c:v>
                </c:pt>
                <c:pt idx="31">
                  <c:v>215.26257752112676</c:v>
                </c:pt>
                <c:pt idx="32">
                  <c:v>222.20653163471152</c:v>
                </c:pt>
                <c:pt idx="33">
                  <c:v>229.15048574829626</c:v>
                </c:pt>
                <c:pt idx="34">
                  <c:v>236.094439861881</c:v>
                </c:pt>
                <c:pt idx="35">
                  <c:v>243.03839397546571</c:v>
                </c:pt>
                <c:pt idx="36">
                  <c:v>249.98234808905045</c:v>
                </c:pt>
                <c:pt idx="37">
                  <c:v>256.92630220263516</c:v>
                </c:pt>
                <c:pt idx="38">
                  <c:v>263.87025631621992</c:v>
                </c:pt>
                <c:pt idx="39">
                  <c:v>270.81421042980469</c:v>
                </c:pt>
                <c:pt idx="40">
                  <c:v>277.7581645433894</c:v>
                </c:pt>
                <c:pt idx="41">
                  <c:v>266.11462956577873</c:v>
                </c:pt>
                <c:pt idx="42">
                  <c:v>260.11864826767874</c:v>
                </c:pt>
                <c:pt idx="43">
                  <c:v>254.38738352869817</c:v>
                </c:pt>
                <c:pt idx="44">
                  <c:v>248.90368328794969</c:v>
                </c:pt>
                <c:pt idx="45">
                  <c:v>243.6518459593662</c:v>
                </c:pt>
                <c:pt idx="46">
                  <c:v>238.61747028070943</c:v>
                </c:pt>
                <c:pt idx="47">
                  <c:v>233.78732343633209</c:v>
                </c:pt>
                <c:pt idx="48">
                  <c:v>229.14922491065488</c:v>
                </c:pt>
                <c:pt idx="49">
                  <c:v>224.6919439258881</c:v>
                </c:pt>
                <c:pt idx="50">
                  <c:v>220.40510864585855</c:v>
                </c:pt>
                <c:pt idx="51">
                  <c:v>216.27912560069146</c:v>
                </c:pt>
                <c:pt idx="52">
                  <c:v>212.30510801475214</c:v>
                </c:pt>
                <c:pt idx="53">
                  <c:v>208.47481191086604</c:v>
                </c:pt>
                <c:pt idx="54">
                  <c:v>204.78057902397083</c:v>
                </c:pt>
                <c:pt idx="55">
                  <c:v>201.21528569233857</c:v>
                </c:pt>
                <c:pt idx="56">
                  <c:v>197.77229700865919</c:v>
                </c:pt>
                <c:pt idx="57">
                  <c:v>194.44542561009413</c:v>
                </c:pt>
                <c:pt idx="58">
                  <c:v>191.2288945687859</c:v>
                </c:pt>
                <c:pt idx="59">
                  <c:v>188.11730391458551</c:v>
                </c:pt>
                <c:pt idx="60">
                  <c:v>185.10560038188763</c:v>
                </c:pt>
                <c:pt idx="61">
                  <c:v>182.18905002403966</c:v>
                </c:pt>
                <c:pt idx="62">
                  <c:v>179.36321338314991</c:v>
                </c:pt>
                <c:pt idx="63">
                  <c:v>176.62392294136447</c:v>
                </c:pt>
                <c:pt idx="64">
                  <c:v>173.96726261273628</c:v>
                </c:pt>
                <c:pt idx="65">
                  <c:v>171.38954906344165</c:v>
                </c:pt>
                <c:pt idx="66">
                  <c:v>168.88731467296014</c:v>
                </c:pt>
                <c:pt idx="67">
                  <c:v>166.45729197046566</c:v>
                </c:pt>
                <c:pt idx="68">
                  <c:v>164.0963993995384</c:v>
                </c:pt>
                <c:pt idx="69">
                  <c:v>161.80172828078753</c:v>
                </c:pt>
                <c:pt idx="70">
                  <c:v>159.57053085640604</c:v>
                </c:pt>
                <c:pt idx="71">
                  <c:v>157.40020931333643</c:v>
                </c:pt>
                <c:pt idx="72">
                  <c:v>155.28830569284946</c:v>
                </c:pt>
                <c:pt idx="73">
                  <c:v>153.23249260413471</c:v>
                </c:pt>
                <c:pt idx="74">
                  <c:v>151.23056466814134</c:v>
                </c:pt>
                <c:pt idx="75">
                  <c:v>149.28043062553994</c:v>
                </c:pt>
                <c:pt idx="76">
                  <c:v>147.38010604943457</c:v>
                </c:pt>
                <c:pt idx="77">
                  <c:v>145.52770660944194</c:v>
                </c:pt>
                <c:pt idx="78">
                  <c:v>143.72144183907358</c:v>
                </c:pt>
                <c:pt idx="79">
                  <c:v>141.95960936308711</c:v>
                </c:pt>
                <c:pt idx="80">
                  <c:v>140.24058954568406</c:v>
                </c:pt>
                <c:pt idx="81">
                  <c:v>138.56284052418843</c:v>
                </c:pt>
                <c:pt idx="82">
                  <c:v>136.92489359619904</c:v>
                </c:pt>
                <c:pt idx="83">
                  <c:v>135.32534893120607</c:v>
                </c:pt>
                <c:pt idx="84">
                  <c:v>133.76287158035603</c:v>
                </c:pt>
                <c:pt idx="85">
                  <c:v>132.23618776045811</c:v>
                </c:pt>
                <c:pt idx="86">
                  <c:v>130.74408139049078</c:v>
                </c:pt>
                <c:pt idx="87">
                  <c:v>129.2853908608169</c:v>
                </c:pt>
                <c:pt idx="88">
                  <c:v>127.85900601706743</c:v>
                </c:pt>
                <c:pt idx="89">
                  <c:v>126.46386534223566</c:v>
                </c:pt>
                <c:pt idx="90">
                  <c:v>125.0989533219492</c:v>
                </c:pt>
                <c:pt idx="91">
                  <c:v>123.76329797917685</c:v>
                </c:pt>
                <c:pt idx="92">
                  <c:v>122.45596856579348</c:v>
                </c:pt>
                <c:pt idx="93">
                  <c:v>121.17607339948034</c:v>
                </c:pt>
                <c:pt idx="94">
                  <c:v>119.92275783539822</c:v>
                </c:pt>
                <c:pt idx="95">
                  <c:v>118.69520236293519</c:v>
                </c:pt>
                <c:pt idx="96">
                  <c:v>117.49262081862517</c:v>
                </c:pt>
                <c:pt idx="97">
                  <c:v>116.31425870704581</c:v>
                </c:pt>
                <c:pt idx="98">
                  <c:v>115.15939162216061</c:v>
                </c:pt>
                <c:pt idx="99">
                  <c:v>114.02732376216494</c:v>
                </c:pt>
                <c:pt idx="100">
                  <c:v>112.91738653143696</c:v>
                </c:pt>
              </c:numCache>
            </c:numRef>
          </c:val>
          <c:smooth val="0"/>
          <c:extLst>
            <c:ext xmlns:c16="http://schemas.microsoft.com/office/drawing/2014/chart" uri="{C3380CC4-5D6E-409C-BE32-E72D297353CC}">
              <c16:uniqueId val="{00000002-14B5-4C6D-ADBB-33FE896DCEBE}"/>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B5-4C6D-ADBB-33FE896DCEBE}"/>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B5-4C6D-ADBB-33FE896DCEBE}"/>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B5-4C6D-ADBB-33FE896DCEBE}"/>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c:v>
                </c:pt>
                <c:pt idx="2">
                  <c:v>20.833691001432225</c:v>
                </c:pt>
                <c:pt idx="3">
                  <c:v>20.833691001432225</c:v>
                </c:pt>
                <c:pt idx="4">
                  <c:v>27.778254668576302</c:v>
                </c:pt>
                <c:pt idx="5">
                  <c:v>34.722818335720376</c:v>
                </c:pt>
                <c:pt idx="6">
                  <c:v>41.66738200286445</c:v>
                </c:pt>
                <c:pt idx="7">
                  <c:v>48.611945670008538</c:v>
                </c:pt>
                <c:pt idx="8">
                  <c:v>55.556509337152605</c:v>
                </c:pt>
                <c:pt idx="9">
                  <c:v>62.501073004296671</c:v>
                </c:pt>
                <c:pt idx="10">
                  <c:v>69.445636671440752</c:v>
                </c:pt>
                <c:pt idx="11">
                  <c:v>76.390200338584819</c:v>
                </c:pt>
                <c:pt idx="12">
                  <c:v>83.3347640057289</c:v>
                </c:pt>
                <c:pt idx="13">
                  <c:v>90.279327672872981</c:v>
                </c:pt>
                <c:pt idx="14">
                  <c:v>97.223891340017076</c:v>
                </c:pt>
                <c:pt idx="15">
                  <c:v>104.16845500716113</c:v>
                </c:pt>
                <c:pt idx="16">
                  <c:v>111.11301867430521</c:v>
                </c:pt>
                <c:pt idx="17">
                  <c:v>118.0575823414493</c:v>
                </c:pt>
                <c:pt idx="18">
                  <c:v>125.00214600859334</c:v>
                </c:pt>
                <c:pt idx="19">
                  <c:v>131.94670967573745</c:v>
                </c:pt>
                <c:pt idx="20">
                  <c:v>138.8912733428815</c:v>
                </c:pt>
                <c:pt idx="21">
                  <c:v>145.83583701002559</c:v>
                </c:pt>
                <c:pt idx="22">
                  <c:v>152.78040067716964</c:v>
                </c:pt>
                <c:pt idx="23">
                  <c:v>159.72496434431372</c:v>
                </c:pt>
                <c:pt idx="24">
                  <c:v>166.6695280114578</c:v>
                </c:pt>
                <c:pt idx="25">
                  <c:v>173.61409167860191</c:v>
                </c:pt>
                <c:pt idx="26">
                  <c:v>180.55865534574596</c:v>
                </c:pt>
                <c:pt idx="27">
                  <c:v>187.50321901289004</c:v>
                </c:pt>
                <c:pt idx="28">
                  <c:v>194.44778268003415</c:v>
                </c:pt>
                <c:pt idx="29">
                  <c:v>201.39234634717818</c:v>
                </c:pt>
                <c:pt idx="30">
                  <c:v>208.33691001432226</c:v>
                </c:pt>
                <c:pt idx="31">
                  <c:v>215.28147368146637</c:v>
                </c:pt>
                <c:pt idx="32">
                  <c:v>212.28432427268808</c:v>
                </c:pt>
                <c:pt idx="33">
                  <c:v>206.10691267739978</c:v>
                </c:pt>
                <c:pt idx="34">
                  <c:v>200.27828892639309</c:v>
                </c:pt>
                <c:pt idx="35">
                  <c:v>194.76972346628364</c:v>
                </c:pt>
                <c:pt idx="36">
                  <c:v>189.55555768608298</c:v>
                </c:pt>
                <c:pt idx="37">
                  <c:v>184.61280427508262</c:v>
                </c:pt>
                <c:pt idx="38">
                  <c:v>179.92080840728147</c:v>
                </c:pt>
                <c:pt idx="39">
                  <c:v>175.46095921862383</c:v>
                </c:pt>
                <c:pt idx="40">
                  <c:v>171.21644307777169</c:v>
                </c:pt>
                <c:pt idx="41">
                  <c:v>167.17203175397916</c:v>
                </c:pt>
                <c:pt idx="42">
                  <c:v>163.31389985624571</c:v>
                </c:pt>
                <c:pt idx="43">
                  <c:v>159.62946693110447</c:v>
                </c:pt>
                <c:pt idx="44">
                  <c:v>156.10726041882467</c:v>
                </c:pt>
                <c:pt idx="45">
                  <c:v>152.73679632271865</c:v>
                </c:pt>
                <c:pt idx="46">
                  <c:v>149.50847497686107</c:v>
                </c:pt>
                <c:pt idx="47">
                  <c:v>146.41348972952002</c:v>
                </c:pt>
                <c:pt idx="48">
                  <c:v>143.4437467129209</c:v>
                </c:pt>
                <c:pt idx="49">
                  <c:v>140.59179416022235</c:v>
                </c:pt>
                <c:pt idx="50">
                  <c:v>137.85075997003366</c:v>
                </c:pt>
                <c:pt idx="51">
                  <c:v>135.21429641714798</c:v>
                </c:pt>
                <c:pt idx="52">
                  <c:v>132.67653107309295</c:v>
                </c:pt>
                <c:pt idx="53">
                  <c:v>130.23202313775113</c:v>
                </c:pt>
                <c:pt idx="54">
                  <c:v>127.87572449860293</c:v>
                </c:pt>
                <c:pt idx="55">
                  <c:v>125.60294493104954</c:v>
                </c:pt>
                <c:pt idx="56">
                  <c:v>123.40932093499265</c:v>
                </c:pt>
                <c:pt idx="57">
                  <c:v>121.2907877719764</c:v>
                </c:pt>
                <c:pt idx="58">
                  <c:v>119.24355432585403</c:v>
                </c:pt>
                <c:pt idx="59">
                  <c:v>117.26408045986594</c:v>
                </c:pt>
                <c:pt idx="60">
                  <c:v>115.34905658561809</c:v>
                </c:pt>
                <c:pt idx="61">
                  <c:v>113.49538519591633</c:v>
                </c:pt>
                <c:pt idx="62">
                  <c:v>111.7001641446991</c:v>
                </c:pt>
                <c:pt idx="63">
                  <c:v>109.96067148422864</c:v>
                </c:pt>
                <c:pt idx="64">
                  <c:v>108.27435169291559</c:v>
                </c:pt>
                <c:pt idx="65">
                  <c:v>106.63880314722137</c:v>
                </c:pt>
                <c:pt idx="66">
                  <c:v>105.05176670847116</c:v>
                </c:pt>
                <c:pt idx="67">
                  <c:v>103.51111531051389</c:v>
                </c:pt>
                <c:pt idx="68">
                  <c:v>102.01484444731101</c:v>
                </c:pt>
                <c:pt idx="69">
                  <c:v>100.5610634709973</c:v>
                </c:pt>
                <c:pt idx="70">
                  <c:v>99.147987620981993</c:v>
                </c:pt>
                <c:pt idx="71">
                  <c:v>97.773930713427262</c:v>
                </c:pt>
                <c:pt idx="72">
                  <c:v>96.437298428145724</c:v>
                </c:pt>
                <c:pt idx="73">
                  <c:v>95.136582136723064</c:v>
                </c:pt>
                <c:pt idx="74">
                  <c:v>93.870353221633238</c:v>
                </c:pt>
                <c:pt idx="75">
                  <c:v>92.637257841374051</c:v>
                </c:pt>
                <c:pt idx="76">
                  <c:v>91.436012101293926</c:v>
                </c:pt>
                <c:pt idx="77">
                  <c:v>90.265397593899635</c:v>
                </c:pt>
                <c:pt idx="78">
                  <c:v>89.124257276078282</c:v>
                </c:pt>
                <c:pt idx="79">
                  <c:v>88.011491653908266</c:v>
                </c:pt>
                <c:pt idx="80">
                  <c:v>86.926055248615256</c:v>
                </c:pt>
                <c:pt idx="81">
                  <c:v>85.866953319795243</c:v>
                </c:pt>
                <c:pt idx="82">
                  <c:v>84.833238824317348</c:v>
                </c:pt>
                <c:pt idx="83">
                  <c:v>83.824009591364032</c:v>
                </c:pt>
                <c:pt idx="84">
                  <c:v>82.838405695897137</c:v>
                </c:pt>
                <c:pt idx="85">
                  <c:v>81.875607014477353</c:v>
                </c:pt>
                <c:pt idx="86">
                  <c:v>80.934830948836179</c:v>
                </c:pt>
                <c:pt idx="87">
                  <c:v>80.015330303919043</c:v>
                </c:pt>
                <c:pt idx="88">
                  <c:v>79.116391308308366</c:v>
                </c:pt>
                <c:pt idx="89">
                  <c:v>78.237331766003564</c:v>
                </c:pt>
                <c:pt idx="90">
                  <c:v>77.377499329500409</c:v>
                </c:pt>
                <c:pt idx="91">
                  <c:v>76.536269884982403</c:v>
                </c:pt>
                <c:pt idx="92">
                  <c:v>75.713046041223478</c:v>
                </c:pt>
                <c:pt idx="93">
                  <c:v>74.907255714513909</c:v>
                </c:pt>
                <c:pt idx="94">
                  <c:v>74.118350802564521</c:v>
                </c:pt>
                <c:pt idx="95">
                  <c:v>73.345805940930006</c:v>
                </c:pt>
                <c:pt idx="96">
                  <c:v>72.589117336021971</c:v>
                </c:pt>
                <c:pt idx="97">
                  <c:v>71.847801669264413</c:v>
                </c:pt>
                <c:pt idx="98">
                  <c:v>71.121395067382608</c:v>
                </c:pt>
                <c:pt idx="99">
                  <c:v>70.409452134215726</c:v>
                </c:pt>
                <c:pt idx="100">
                  <c:v>69.711545039806637</c:v>
                </c:pt>
              </c:numCache>
            </c:numRef>
          </c:val>
          <c:smooth val="0"/>
          <c:extLst>
            <c:ext xmlns:c16="http://schemas.microsoft.com/office/drawing/2014/chart" uri="{C3380CC4-5D6E-409C-BE32-E72D297353CC}">
              <c16:uniqueId val="{00000006-14B5-4C6D-ADBB-33FE896DCEBE}"/>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c:v>
                </c:pt>
                <c:pt idx="2">
                  <c:v>13.889127334288151</c:v>
                </c:pt>
                <c:pt idx="3">
                  <c:v>20.833691001432225</c:v>
                </c:pt>
                <c:pt idx="4">
                  <c:v>27.778254668576302</c:v>
                </c:pt>
                <c:pt idx="5">
                  <c:v>34.722818335720376</c:v>
                </c:pt>
                <c:pt idx="6">
                  <c:v>41.66738200286445</c:v>
                </c:pt>
                <c:pt idx="7">
                  <c:v>48.611945670008538</c:v>
                </c:pt>
                <c:pt idx="8">
                  <c:v>55.556509337152605</c:v>
                </c:pt>
                <c:pt idx="9">
                  <c:v>62.501073004296671</c:v>
                </c:pt>
                <c:pt idx="10">
                  <c:v>69.445636671440752</c:v>
                </c:pt>
                <c:pt idx="11">
                  <c:v>76.390200338584819</c:v>
                </c:pt>
                <c:pt idx="12">
                  <c:v>83.3347640057289</c:v>
                </c:pt>
                <c:pt idx="13">
                  <c:v>90.279327672872981</c:v>
                </c:pt>
                <c:pt idx="14">
                  <c:v>97.223891340017076</c:v>
                </c:pt>
                <c:pt idx="15">
                  <c:v>104.16845500716113</c:v>
                </c:pt>
                <c:pt idx="16">
                  <c:v>111.11301867430521</c:v>
                </c:pt>
                <c:pt idx="17">
                  <c:v>118.0575823414493</c:v>
                </c:pt>
                <c:pt idx="18">
                  <c:v>125.00214600859334</c:v>
                </c:pt>
                <c:pt idx="19">
                  <c:v>131.94670967573745</c:v>
                </c:pt>
                <c:pt idx="20">
                  <c:v>138.8912733428815</c:v>
                </c:pt>
                <c:pt idx="21">
                  <c:v>145.83583701002559</c:v>
                </c:pt>
                <c:pt idx="22">
                  <c:v>152.78040067716964</c:v>
                </c:pt>
                <c:pt idx="23">
                  <c:v>159.72496434431372</c:v>
                </c:pt>
                <c:pt idx="24">
                  <c:v>166.6695280114578</c:v>
                </c:pt>
                <c:pt idx="25">
                  <c:v>173.61409167860191</c:v>
                </c:pt>
                <c:pt idx="26">
                  <c:v>180.55865534574596</c:v>
                </c:pt>
                <c:pt idx="27">
                  <c:v>187.50321901289004</c:v>
                </c:pt>
                <c:pt idx="28">
                  <c:v>194.44778268003415</c:v>
                </c:pt>
                <c:pt idx="29">
                  <c:v>201.39234634717818</c:v>
                </c:pt>
                <c:pt idx="30">
                  <c:v>208.33691001432226</c:v>
                </c:pt>
                <c:pt idx="31">
                  <c:v>215.28147368146637</c:v>
                </c:pt>
                <c:pt idx="32">
                  <c:v>222.22603734861042</c:v>
                </c:pt>
                <c:pt idx="33">
                  <c:v>229.1706010157545</c:v>
                </c:pt>
                <c:pt idx="34">
                  <c:v>236.11516468289861</c:v>
                </c:pt>
                <c:pt idx="35">
                  <c:v>243.0597283500426</c:v>
                </c:pt>
                <c:pt idx="36">
                  <c:v>250.00429201718669</c:v>
                </c:pt>
                <c:pt idx="37">
                  <c:v>237.55972718735387</c:v>
                </c:pt>
                <c:pt idx="38">
                  <c:v>231.60015096318938</c:v>
                </c:pt>
                <c:pt idx="39">
                  <c:v>225.93238417529975</c:v>
                </c:pt>
                <c:pt idx="40">
                  <c:v>220.53550598709793</c:v>
                </c:pt>
                <c:pt idx="41">
                  <c:v>215.3905487356939</c:v>
                </c:pt>
                <c:pt idx="42">
                  <c:v>210.48027519470898</c:v>
                </c:pt>
                <c:pt idx="43">
                  <c:v>205.78898563815912</c:v>
                </c:pt>
                <c:pt idx="44">
                  <c:v>201.30235015510937</c:v>
                </c:pt>
                <c:pt idx="45">
                  <c:v>197.0072624418882</c:v>
                </c:pt>
                <c:pt idx="46">
                  <c:v>192.8917119295561</c:v>
                </c:pt>
                <c:pt idx="47">
                  <c:v>188.94467161898564</c:v>
                </c:pt>
                <c:pt idx="48">
                  <c:v>185.1559994176398</c:v>
                </c:pt>
                <c:pt idx="49">
                  <c:v>181.51635111921755</c:v>
                </c:pt>
                <c:pt idx="50">
                  <c:v>178.01710345416637</c:v>
                </c:pt>
                <c:pt idx="51">
                  <c:v>174.65028587704097</c:v>
                </c:pt>
                <c:pt idx="52">
                  <c:v>171.40851995488921</c:v>
                </c:pt>
                <c:pt idx="53">
                  <c:v>168.28496538652499</c:v>
                </c:pt>
                <c:pt idx="54">
                  <c:v>165.27327182152305</c:v>
                </c:pt>
                <c:pt idx="55">
                  <c:v>162.36753576474561</c:v>
                </c:pt>
                <c:pt idx="56">
                  <c:v>159.56226195098171</c:v>
                </c:pt>
                <c:pt idx="57">
                  <c:v>156.85232865794958</c:v>
                </c:pt>
                <c:pt idx="58">
                  <c:v>154.23295649699344</c:v>
                </c:pt>
                <c:pt idx="59">
                  <c:v>151.69968028137856</c:v>
                </c:pt>
                <c:pt idx="60">
                  <c:v>149.24832362384043</c:v>
                </c:pt>
                <c:pt idx="61">
                  <c:v>146.87497595938945</c:v>
                </c:pt>
                <c:pt idx="62">
                  <c:v>144.57597172746438</c:v>
                </c:pt>
                <c:pt idx="63">
                  <c:v>142.34787148033178</c:v>
                </c:pt>
                <c:pt idx="64">
                  <c:v>140.18744471295213</c:v>
                </c:pt>
                <c:pt idx="65">
                  <c:v>138.09165423403914</c:v>
                </c:pt>
                <c:pt idx="66">
                  <c:v>136.05764191929816</c:v>
                </c:pt>
                <c:pt idx="67">
                  <c:v>134.08271570630646</c:v>
                </c:pt>
                <c:pt idx="68">
                  <c:v>132.16433770659413</c:v>
                </c:pt>
                <c:pt idx="69">
                  <c:v>130.30011332453935</c:v>
                </c:pt>
                <c:pt idx="70">
                  <c:v>128.48778128498083</c:v>
                </c:pt>
                <c:pt idx="71">
                  <c:v>126.72520448222465</c:v>
                </c:pt>
                <c:pt idx="72">
                  <c:v>125.01036157258297</c:v>
                </c:pt>
                <c:pt idx="73">
                  <c:v>123.34133924090466</c:v>
                </c:pt>
                <c:pt idx="74">
                  <c:v>121.71632507889161</c:v>
                </c:pt>
                <c:pt idx="75">
                  <c:v>120.13360101947298</c:v>
                </c:pt>
                <c:pt idx="76">
                  <c:v>118.59153727723347</c:v>
                </c:pt>
                <c:pt idx="77">
                  <c:v>117.0885867499691</c:v>
                </c:pt>
                <c:pt idx="78">
                  <c:v>115.62327984094196</c:v>
                </c:pt>
                <c:pt idx="79">
                  <c:v>114.19421966540757</c:v>
                </c:pt>
                <c:pt idx="80">
                  <c:v>112.80007760855031</c:v>
                </c:pt>
                <c:pt idx="81">
                  <c:v>111.43958920513199</c:v>
                </c:pt>
                <c:pt idx="82">
                  <c:v>110.11155031399747</c:v>
                </c:pt>
                <c:pt idx="83">
                  <c:v>108.8148135631079</c:v>
                </c:pt>
                <c:pt idx="84">
                  <c:v>107.54828504304437</c:v>
                </c:pt>
                <c:pt idx="85">
                  <c:v>106.31092122895225</c:v>
                </c:pt>
                <c:pt idx="86">
                  <c:v>105.10172611272458</c:v>
                </c:pt>
                <c:pt idx="87">
                  <c:v>103.91974852885863</c:v>
                </c:pt>
                <c:pt idx="88">
                  <c:v>102.76407965889683</c:v>
                </c:pt>
                <c:pt idx="89">
                  <c:v>101.63385070069127</c:v>
                </c:pt>
                <c:pt idx="90">
                  <c:v>100.52823068992902</c:v>
                </c:pt>
                <c:pt idx="91">
                  <c:v>99.44642446243995</c:v>
                </c:pt>
                <c:pt idx="92">
                  <c:v>98.387670746784281</c:v>
                </c:pt>
                <c:pt idx="93">
                  <c:v>97.351240377506087</c:v>
                </c:pt>
                <c:pt idx="94">
                  <c:v>96.33643462023872</c:v>
                </c:pt>
                <c:pt idx="95">
                  <c:v>95.342583600578479</c:v>
                </c:pt>
                <c:pt idx="96">
                  <c:v>94.369044829301842</c:v>
                </c:pt>
                <c:pt idx="97">
                  <c:v>93.415201817104048</c:v>
                </c:pt>
                <c:pt idx="98">
                  <c:v>92.480462772582598</c:v>
                </c:pt>
                <c:pt idx="99">
                  <c:v>91.564259377686852</c:v>
                </c:pt>
                <c:pt idx="100">
                  <c:v>90.66604563531078</c:v>
                </c:pt>
              </c:numCache>
            </c:numRef>
          </c:val>
          <c:smooth val="0"/>
          <c:extLst>
            <c:ext xmlns:c16="http://schemas.microsoft.com/office/drawing/2014/chart" uri="{C3380CC4-5D6E-409C-BE32-E72D297353CC}">
              <c16:uniqueId val="{00000007-14B5-4C6D-ADBB-33FE896DCEBE}"/>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c:v>
                </c:pt>
                <c:pt idx="2">
                  <c:v>13.88790822716947</c:v>
                </c:pt>
                <c:pt idx="3">
                  <c:v>20.831862340754203</c:v>
                </c:pt>
                <c:pt idx="4">
                  <c:v>27.775816454338941</c:v>
                </c:pt>
                <c:pt idx="5">
                  <c:v>34.719770567923675</c:v>
                </c:pt>
                <c:pt idx="6">
                  <c:v>41.663724681508405</c:v>
                </c:pt>
                <c:pt idx="7">
                  <c:v>48.607678795093143</c:v>
                </c:pt>
                <c:pt idx="8">
                  <c:v>55.551632908677881</c:v>
                </c:pt>
                <c:pt idx="9">
                  <c:v>62.495587022262612</c:v>
                </c:pt>
                <c:pt idx="10">
                  <c:v>69.43954113584735</c:v>
                </c:pt>
                <c:pt idx="11">
                  <c:v>76.383495249432102</c:v>
                </c:pt>
                <c:pt idx="12">
                  <c:v>83.327449363016811</c:v>
                </c:pt>
                <c:pt idx="13">
                  <c:v>90.271403476601549</c:v>
                </c:pt>
                <c:pt idx="14">
                  <c:v>97.215357590186287</c:v>
                </c:pt>
                <c:pt idx="15">
                  <c:v>104.15931170377101</c:v>
                </c:pt>
                <c:pt idx="16">
                  <c:v>111.10326581735576</c:v>
                </c:pt>
                <c:pt idx="17">
                  <c:v>118.0472199309405</c:v>
                </c:pt>
                <c:pt idx="18">
                  <c:v>124.99117404452522</c:v>
                </c:pt>
                <c:pt idx="19">
                  <c:v>131.93512815810996</c:v>
                </c:pt>
                <c:pt idx="20">
                  <c:v>138.8790822716947</c:v>
                </c:pt>
                <c:pt idx="21">
                  <c:v>145.82303638527941</c:v>
                </c:pt>
                <c:pt idx="22">
                  <c:v>152.7669904988642</c:v>
                </c:pt>
                <c:pt idx="23">
                  <c:v>159.71094461244891</c:v>
                </c:pt>
                <c:pt idx="24">
                  <c:v>166.65489872603362</c:v>
                </c:pt>
                <c:pt idx="25">
                  <c:v>173.59885283961839</c:v>
                </c:pt>
                <c:pt idx="26">
                  <c:v>180.5428069532031</c:v>
                </c:pt>
                <c:pt idx="27">
                  <c:v>187.48676106678786</c:v>
                </c:pt>
                <c:pt idx="28">
                  <c:v>194.43071518037257</c:v>
                </c:pt>
                <c:pt idx="29">
                  <c:v>201.37466929395728</c:v>
                </c:pt>
                <c:pt idx="30">
                  <c:v>208.31862340754202</c:v>
                </c:pt>
                <c:pt idx="31">
                  <c:v>215.26257752112676</c:v>
                </c:pt>
                <c:pt idx="32">
                  <c:v>222.20653163471152</c:v>
                </c:pt>
                <c:pt idx="33">
                  <c:v>229.15048574829626</c:v>
                </c:pt>
                <c:pt idx="34">
                  <c:v>236.094439861881</c:v>
                </c:pt>
                <c:pt idx="35">
                  <c:v>243.03839397546571</c:v>
                </c:pt>
                <c:pt idx="36">
                  <c:v>249.98234808905045</c:v>
                </c:pt>
                <c:pt idx="37">
                  <c:v>256.92630220263516</c:v>
                </c:pt>
                <c:pt idx="38">
                  <c:v>263.87025631621992</c:v>
                </c:pt>
                <c:pt idx="39">
                  <c:v>270.81421042980469</c:v>
                </c:pt>
                <c:pt idx="40">
                  <c:v>277.7581645433894</c:v>
                </c:pt>
                <c:pt idx="41">
                  <c:v>266.11462956577873</c:v>
                </c:pt>
                <c:pt idx="42">
                  <c:v>260.11864826767874</c:v>
                </c:pt>
                <c:pt idx="43">
                  <c:v>254.38738352869817</c:v>
                </c:pt>
                <c:pt idx="44">
                  <c:v>248.90368328794969</c:v>
                </c:pt>
                <c:pt idx="45">
                  <c:v>243.6518459593662</c:v>
                </c:pt>
                <c:pt idx="46">
                  <c:v>238.61747028070943</c:v>
                </c:pt>
                <c:pt idx="47">
                  <c:v>233.78732343633209</c:v>
                </c:pt>
                <c:pt idx="48">
                  <c:v>229.14922491065488</c:v>
                </c:pt>
                <c:pt idx="49">
                  <c:v>224.6919439258881</c:v>
                </c:pt>
                <c:pt idx="50">
                  <c:v>220.40510864585855</c:v>
                </c:pt>
                <c:pt idx="51">
                  <c:v>216.27912560069146</c:v>
                </c:pt>
                <c:pt idx="52">
                  <c:v>212.30510801475214</c:v>
                </c:pt>
                <c:pt idx="53">
                  <c:v>208.47481191086604</c:v>
                </c:pt>
                <c:pt idx="54">
                  <c:v>204.78057902397083</c:v>
                </c:pt>
                <c:pt idx="55">
                  <c:v>201.21528569233857</c:v>
                </c:pt>
                <c:pt idx="56">
                  <c:v>197.77229700865919</c:v>
                </c:pt>
                <c:pt idx="57">
                  <c:v>194.44542561009413</c:v>
                </c:pt>
                <c:pt idx="58">
                  <c:v>191.2288945687859</c:v>
                </c:pt>
                <c:pt idx="59">
                  <c:v>188.11730391458551</c:v>
                </c:pt>
                <c:pt idx="60">
                  <c:v>185.10560038188763</c:v>
                </c:pt>
                <c:pt idx="61">
                  <c:v>182.18905002403966</c:v>
                </c:pt>
                <c:pt idx="62">
                  <c:v>179.36321338314991</c:v>
                </c:pt>
                <c:pt idx="63">
                  <c:v>176.62392294136447</c:v>
                </c:pt>
                <c:pt idx="64">
                  <c:v>173.96726261273628</c:v>
                </c:pt>
                <c:pt idx="65">
                  <c:v>171.38954906344165</c:v>
                </c:pt>
                <c:pt idx="66">
                  <c:v>168.88731467296014</c:v>
                </c:pt>
                <c:pt idx="67">
                  <c:v>166.45729197046566</c:v>
                </c:pt>
                <c:pt idx="68">
                  <c:v>164.0963993995384</c:v>
                </c:pt>
                <c:pt idx="69">
                  <c:v>161.80172828078753</c:v>
                </c:pt>
                <c:pt idx="70">
                  <c:v>159.57053085640604</c:v>
                </c:pt>
                <c:pt idx="71">
                  <c:v>157.40020931333643</c:v>
                </c:pt>
                <c:pt idx="72">
                  <c:v>155.28830569284946</c:v>
                </c:pt>
                <c:pt idx="73">
                  <c:v>153.23249260413471</c:v>
                </c:pt>
                <c:pt idx="74">
                  <c:v>151.23056466814134</c:v>
                </c:pt>
                <c:pt idx="75">
                  <c:v>149.28043062553994</c:v>
                </c:pt>
                <c:pt idx="76">
                  <c:v>147.38010604943457</c:v>
                </c:pt>
                <c:pt idx="77">
                  <c:v>145.52770660944194</c:v>
                </c:pt>
                <c:pt idx="78">
                  <c:v>143.72144183907358</c:v>
                </c:pt>
                <c:pt idx="79">
                  <c:v>141.95960936308711</c:v>
                </c:pt>
                <c:pt idx="80">
                  <c:v>140.24058954568406</c:v>
                </c:pt>
                <c:pt idx="81">
                  <c:v>138.56284052418843</c:v>
                </c:pt>
                <c:pt idx="82">
                  <c:v>136.92489359619904</c:v>
                </c:pt>
                <c:pt idx="83">
                  <c:v>135.32534893120607</c:v>
                </c:pt>
                <c:pt idx="84">
                  <c:v>133.76287158035603</c:v>
                </c:pt>
                <c:pt idx="85">
                  <c:v>132.23618776045811</c:v>
                </c:pt>
                <c:pt idx="86">
                  <c:v>130.74408139049078</c:v>
                </c:pt>
                <c:pt idx="87">
                  <c:v>129.2853908608169</c:v>
                </c:pt>
                <c:pt idx="88">
                  <c:v>127.85900601706743</c:v>
                </c:pt>
                <c:pt idx="89">
                  <c:v>126.46386534223566</c:v>
                </c:pt>
                <c:pt idx="90">
                  <c:v>125.0989533219492</c:v>
                </c:pt>
                <c:pt idx="91">
                  <c:v>123.76329797917685</c:v>
                </c:pt>
                <c:pt idx="92">
                  <c:v>122.45596856579348</c:v>
                </c:pt>
                <c:pt idx="93">
                  <c:v>121.17607339948034</c:v>
                </c:pt>
                <c:pt idx="94">
                  <c:v>119.92275783539822</c:v>
                </c:pt>
                <c:pt idx="95">
                  <c:v>118.69520236293519</c:v>
                </c:pt>
                <c:pt idx="96">
                  <c:v>117.49262081862517</c:v>
                </c:pt>
                <c:pt idx="97">
                  <c:v>116.31425870704581</c:v>
                </c:pt>
                <c:pt idx="98">
                  <c:v>115.15939162216061</c:v>
                </c:pt>
                <c:pt idx="99">
                  <c:v>114.02732376216494</c:v>
                </c:pt>
                <c:pt idx="100">
                  <c:v>112.91738653143696</c:v>
                </c:pt>
              </c:numCache>
            </c:numRef>
          </c:val>
          <c:smooth val="0"/>
          <c:extLst>
            <c:ext xmlns:c16="http://schemas.microsoft.com/office/drawing/2014/chart" uri="{C3380CC4-5D6E-409C-BE32-E72D297353CC}">
              <c16:uniqueId val="{00000008-14B5-4C6D-ADBB-33FE896DCEBE}"/>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14B5-4C6D-ADBB-33FE896DCEBE}"/>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14B5-4C6D-ADBB-33FE896DCEBE}"/>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14B5-4C6D-ADBB-33FE896DCEBE}"/>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c:v>
                </c:pt>
                <c:pt idx="2">
                  <c:v>20.833691001432225</c:v>
                </c:pt>
                <c:pt idx="3">
                  <c:v>20.833691001432225</c:v>
                </c:pt>
                <c:pt idx="4">
                  <c:v>27.778254668576302</c:v>
                </c:pt>
                <c:pt idx="5">
                  <c:v>34.722818335720376</c:v>
                </c:pt>
                <c:pt idx="6">
                  <c:v>41.66738200286445</c:v>
                </c:pt>
                <c:pt idx="7">
                  <c:v>48.611945670008538</c:v>
                </c:pt>
                <c:pt idx="8">
                  <c:v>55.556509337152605</c:v>
                </c:pt>
                <c:pt idx="9">
                  <c:v>62.501073004296671</c:v>
                </c:pt>
                <c:pt idx="10">
                  <c:v>69.445636671440752</c:v>
                </c:pt>
                <c:pt idx="11">
                  <c:v>76.390200338584819</c:v>
                </c:pt>
                <c:pt idx="12">
                  <c:v>83.3347640057289</c:v>
                </c:pt>
                <c:pt idx="13">
                  <c:v>90.279327672872981</c:v>
                </c:pt>
                <c:pt idx="14">
                  <c:v>97.223891340017076</c:v>
                </c:pt>
                <c:pt idx="15">
                  <c:v>104.16845500716113</c:v>
                </c:pt>
                <c:pt idx="16">
                  <c:v>111.11301867430521</c:v>
                </c:pt>
                <c:pt idx="17">
                  <c:v>118.0575823414493</c:v>
                </c:pt>
                <c:pt idx="18">
                  <c:v>125.00214600859334</c:v>
                </c:pt>
                <c:pt idx="19">
                  <c:v>131.94670967573745</c:v>
                </c:pt>
                <c:pt idx="20">
                  <c:v>138.8912733428815</c:v>
                </c:pt>
                <c:pt idx="21">
                  <c:v>145.83583701002559</c:v>
                </c:pt>
                <c:pt idx="22">
                  <c:v>152.78040067716964</c:v>
                </c:pt>
                <c:pt idx="23">
                  <c:v>159.72496434431372</c:v>
                </c:pt>
                <c:pt idx="24">
                  <c:v>166.6695280114578</c:v>
                </c:pt>
                <c:pt idx="25">
                  <c:v>173.61409167860191</c:v>
                </c:pt>
                <c:pt idx="26">
                  <c:v>180.55865534574596</c:v>
                </c:pt>
                <c:pt idx="27">
                  <c:v>187.50321901289004</c:v>
                </c:pt>
                <c:pt idx="28">
                  <c:v>194.44778268003415</c:v>
                </c:pt>
                <c:pt idx="29">
                  <c:v>201.39234634717818</c:v>
                </c:pt>
                <c:pt idx="30">
                  <c:v>208.33691001432226</c:v>
                </c:pt>
                <c:pt idx="31">
                  <c:v>215.28147368146637</c:v>
                </c:pt>
                <c:pt idx="32">
                  <c:v>212.28432427268808</c:v>
                </c:pt>
                <c:pt idx="33">
                  <c:v>206.10691267739978</c:v>
                </c:pt>
                <c:pt idx="34">
                  <c:v>200.27828892639309</c:v>
                </c:pt>
                <c:pt idx="35">
                  <c:v>194.76972346628364</c:v>
                </c:pt>
                <c:pt idx="36">
                  <c:v>189.55555768608298</c:v>
                </c:pt>
                <c:pt idx="37">
                  <c:v>184.61280427508262</c:v>
                </c:pt>
                <c:pt idx="38">
                  <c:v>179.92080840728147</c:v>
                </c:pt>
                <c:pt idx="39">
                  <c:v>175.46095921862383</c:v>
                </c:pt>
                <c:pt idx="40">
                  <c:v>171.21644307777169</c:v>
                </c:pt>
                <c:pt idx="41">
                  <c:v>167.17203175397916</c:v>
                </c:pt>
                <c:pt idx="42">
                  <c:v>163.31389985624571</c:v>
                </c:pt>
                <c:pt idx="43">
                  <c:v>159.62946693110447</c:v>
                </c:pt>
                <c:pt idx="44">
                  <c:v>156.10726041882467</c:v>
                </c:pt>
                <c:pt idx="45">
                  <c:v>152.73679632271865</c:v>
                </c:pt>
                <c:pt idx="46">
                  <c:v>149.50847497686107</c:v>
                </c:pt>
                <c:pt idx="47">
                  <c:v>146.41348972952002</c:v>
                </c:pt>
                <c:pt idx="48">
                  <c:v>143.4437467129209</c:v>
                </c:pt>
                <c:pt idx="49">
                  <c:v>140.59179416022235</c:v>
                </c:pt>
                <c:pt idx="50">
                  <c:v>137.85075997003366</c:v>
                </c:pt>
                <c:pt idx="51">
                  <c:v>135.21429641714798</c:v>
                </c:pt>
                <c:pt idx="52">
                  <c:v>132.67653107309295</c:v>
                </c:pt>
                <c:pt idx="53">
                  <c:v>130.23202313775113</c:v>
                </c:pt>
                <c:pt idx="54">
                  <c:v>127.87572449860293</c:v>
                </c:pt>
                <c:pt idx="55">
                  <c:v>125.60294493104954</c:v>
                </c:pt>
                <c:pt idx="56">
                  <c:v>123.40932093499265</c:v>
                </c:pt>
                <c:pt idx="57">
                  <c:v>121.2907877719764</c:v>
                </c:pt>
                <c:pt idx="58">
                  <c:v>119.24355432585403</c:v>
                </c:pt>
                <c:pt idx="59">
                  <c:v>117.26408045986594</c:v>
                </c:pt>
                <c:pt idx="60">
                  <c:v>115.34905658561809</c:v>
                </c:pt>
                <c:pt idx="61">
                  <c:v>113.49538519591633</c:v>
                </c:pt>
                <c:pt idx="62">
                  <c:v>111.7001641446991</c:v>
                </c:pt>
                <c:pt idx="63">
                  <c:v>109.96067148422864</c:v>
                </c:pt>
                <c:pt idx="64">
                  <c:v>108.27435169291559</c:v>
                </c:pt>
                <c:pt idx="65">
                  <c:v>106.63880314722137</c:v>
                </c:pt>
                <c:pt idx="66">
                  <c:v>105.05176670847116</c:v>
                </c:pt>
                <c:pt idx="67">
                  <c:v>103.51111531051389</c:v>
                </c:pt>
                <c:pt idx="68">
                  <c:v>102.01484444731101</c:v>
                </c:pt>
                <c:pt idx="69">
                  <c:v>100.5610634709973</c:v>
                </c:pt>
                <c:pt idx="70">
                  <c:v>99.147987620981993</c:v>
                </c:pt>
                <c:pt idx="71">
                  <c:v>97.773930713427262</c:v>
                </c:pt>
                <c:pt idx="72">
                  <c:v>96.437298428145724</c:v>
                </c:pt>
                <c:pt idx="73">
                  <c:v>95.136582136723064</c:v>
                </c:pt>
                <c:pt idx="74">
                  <c:v>93.870353221633238</c:v>
                </c:pt>
                <c:pt idx="75">
                  <c:v>92.637257841374051</c:v>
                </c:pt>
                <c:pt idx="76">
                  <c:v>91.436012101293926</c:v>
                </c:pt>
                <c:pt idx="77">
                  <c:v>90.265397593899635</c:v>
                </c:pt>
                <c:pt idx="78">
                  <c:v>89.124257276078282</c:v>
                </c:pt>
                <c:pt idx="79">
                  <c:v>88.011491653908266</c:v>
                </c:pt>
                <c:pt idx="80">
                  <c:v>86.926055248615256</c:v>
                </c:pt>
                <c:pt idx="81">
                  <c:v>85.866953319795243</c:v>
                </c:pt>
                <c:pt idx="82">
                  <c:v>84.833238824317348</c:v>
                </c:pt>
                <c:pt idx="83">
                  <c:v>83.824009591364032</c:v>
                </c:pt>
                <c:pt idx="84">
                  <c:v>82.838405695897137</c:v>
                </c:pt>
                <c:pt idx="85">
                  <c:v>81.875607014477353</c:v>
                </c:pt>
                <c:pt idx="86">
                  <c:v>80.934830948836179</c:v>
                </c:pt>
                <c:pt idx="87">
                  <c:v>80.015330303919043</c:v>
                </c:pt>
                <c:pt idx="88">
                  <c:v>79.116391308308366</c:v>
                </c:pt>
                <c:pt idx="89">
                  <c:v>78.237331766003564</c:v>
                </c:pt>
                <c:pt idx="90">
                  <c:v>77.377499329500409</c:v>
                </c:pt>
                <c:pt idx="91">
                  <c:v>76.536269884982403</c:v>
                </c:pt>
                <c:pt idx="92">
                  <c:v>75.713046041223478</c:v>
                </c:pt>
                <c:pt idx="93">
                  <c:v>74.907255714513909</c:v>
                </c:pt>
                <c:pt idx="94">
                  <c:v>74.118350802564521</c:v>
                </c:pt>
                <c:pt idx="95">
                  <c:v>73.345805940930006</c:v>
                </c:pt>
                <c:pt idx="96">
                  <c:v>72.589117336021971</c:v>
                </c:pt>
                <c:pt idx="97">
                  <c:v>71.847801669264413</c:v>
                </c:pt>
                <c:pt idx="98">
                  <c:v>71.121395067382608</c:v>
                </c:pt>
                <c:pt idx="99">
                  <c:v>70.409452134215726</c:v>
                </c:pt>
                <c:pt idx="100">
                  <c:v>69.711545039806637</c:v>
                </c:pt>
              </c:numCache>
            </c:numRef>
          </c:val>
          <c:smooth val="0"/>
          <c:extLst>
            <c:ext xmlns:c16="http://schemas.microsoft.com/office/drawing/2014/chart" uri="{C3380CC4-5D6E-409C-BE32-E72D297353CC}">
              <c16:uniqueId val="{00000000-DE77-4B43-A489-D4421C0BE99A}"/>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c:v>
                </c:pt>
                <c:pt idx="2">
                  <c:v>13.889127334288151</c:v>
                </c:pt>
                <c:pt idx="3">
                  <c:v>20.833691001432225</c:v>
                </c:pt>
                <c:pt idx="4">
                  <c:v>27.778254668576302</c:v>
                </c:pt>
                <c:pt idx="5">
                  <c:v>34.722818335720376</c:v>
                </c:pt>
                <c:pt idx="6">
                  <c:v>41.66738200286445</c:v>
                </c:pt>
                <c:pt idx="7">
                  <c:v>48.611945670008538</c:v>
                </c:pt>
                <c:pt idx="8">
                  <c:v>55.556509337152605</c:v>
                </c:pt>
                <c:pt idx="9">
                  <c:v>62.501073004296671</c:v>
                </c:pt>
                <c:pt idx="10">
                  <c:v>69.445636671440752</c:v>
                </c:pt>
                <c:pt idx="11">
                  <c:v>76.390200338584819</c:v>
                </c:pt>
                <c:pt idx="12">
                  <c:v>83.3347640057289</c:v>
                </c:pt>
                <c:pt idx="13">
                  <c:v>90.279327672872981</c:v>
                </c:pt>
                <c:pt idx="14">
                  <c:v>97.223891340017076</c:v>
                </c:pt>
                <c:pt idx="15">
                  <c:v>104.16845500716113</c:v>
                </c:pt>
                <c:pt idx="16">
                  <c:v>111.11301867430521</c:v>
                </c:pt>
                <c:pt idx="17">
                  <c:v>118.0575823414493</c:v>
                </c:pt>
                <c:pt idx="18">
                  <c:v>125.00214600859334</c:v>
                </c:pt>
                <c:pt idx="19">
                  <c:v>131.94670967573745</c:v>
                </c:pt>
                <c:pt idx="20">
                  <c:v>138.8912733428815</c:v>
                </c:pt>
                <c:pt idx="21">
                  <c:v>145.83583701002559</c:v>
                </c:pt>
                <c:pt idx="22">
                  <c:v>152.78040067716964</c:v>
                </c:pt>
                <c:pt idx="23">
                  <c:v>159.72496434431372</c:v>
                </c:pt>
                <c:pt idx="24">
                  <c:v>166.6695280114578</c:v>
                </c:pt>
                <c:pt idx="25">
                  <c:v>173.61409167860191</c:v>
                </c:pt>
                <c:pt idx="26">
                  <c:v>180.55865534574596</c:v>
                </c:pt>
                <c:pt idx="27">
                  <c:v>187.50321901289004</c:v>
                </c:pt>
                <c:pt idx="28">
                  <c:v>194.44778268003415</c:v>
                </c:pt>
                <c:pt idx="29">
                  <c:v>201.39234634717818</c:v>
                </c:pt>
                <c:pt idx="30">
                  <c:v>208.33691001432226</c:v>
                </c:pt>
                <c:pt idx="31">
                  <c:v>215.28147368146637</c:v>
                </c:pt>
                <c:pt idx="32">
                  <c:v>222.22603734861042</c:v>
                </c:pt>
                <c:pt idx="33">
                  <c:v>229.1706010157545</c:v>
                </c:pt>
                <c:pt idx="34">
                  <c:v>236.11516468289861</c:v>
                </c:pt>
                <c:pt idx="35">
                  <c:v>243.0597283500426</c:v>
                </c:pt>
                <c:pt idx="36">
                  <c:v>250.00429201718669</c:v>
                </c:pt>
                <c:pt idx="37">
                  <c:v>237.55972718735387</c:v>
                </c:pt>
                <c:pt idx="38">
                  <c:v>231.60015096318938</c:v>
                </c:pt>
                <c:pt idx="39">
                  <c:v>225.93238417529975</c:v>
                </c:pt>
                <c:pt idx="40">
                  <c:v>220.53550598709793</c:v>
                </c:pt>
                <c:pt idx="41">
                  <c:v>215.3905487356939</c:v>
                </c:pt>
                <c:pt idx="42">
                  <c:v>210.48027519470898</c:v>
                </c:pt>
                <c:pt idx="43">
                  <c:v>205.78898563815912</c:v>
                </c:pt>
                <c:pt idx="44">
                  <c:v>201.30235015510937</c:v>
                </c:pt>
                <c:pt idx="45">
                  <c:v>197.0072624418882</c:v>
                </c:pt>
                <c:pt idx="46">
                  <c:v>192.8917119295561</c:v>
                </c:pt>
                <c:pt idx="47">
                  <c:v>188.94467161898564</c:v>
                </c:pt>
                <c:pt idx="48">
                  <c:v>185.1559994176398</c:v>
                </c:pt>
                <c:pt idx="49">
                  <c:v>181.51635111921755</c:v>
                </c:pt>
                <c:pt idx="50">
                  <c:v>178.01710345416637</c:v>
                </c:pt>
                <c:pt idx="51">
                  <c:v>174.65028587704097</c:v>
                </c:pt>
                <c:pt idx="52">
                  <c:v>171.40851995488921</c:v>
                </c:pt>
                <c:pt idx="53">
                  <c:v>168.28496538652499</c:v>
                </c:pt>
                <c:pt idx="54">
                  <c:v>165.27327182152305</c:v>
                </c:pt>
                <c:pt idx="55">
                  <c:v>162.36753576474561</c:v>
                </c:pt>
                <c:pt idx="56">
                  <c:v>159.56226195098171</c:v>
                </c:pt>
                <c:pt idx="57">
                  <c:v>156.85232865794958</c:v>
                </c:pt>
                <c:pt idx="58">
                  <c:v>154.23295649699344</c:v>
                </c:pt>
                <c:pt idx="59">
                  <c:v>151.69968028137856</c:v>
                </c:pt>
                <c:pt idx="60">
                  <c:v>149.24832362384043</c:v>
                </c:pt>
                <c:pt idx="61">
                  <c:v>146.87497595938945</c:v>
                </c:pt>
                <c:pt idx="62">
                  <c:v>144.57597172746438</c:v>
                </c:pt>
                <c:pt idx="63">
                  <c:v>142.34787148033178</c:v>
                </c:pt>
                <c:pt idx="64">
                  <c:v>140.18744471295213</c:v>
                </c:pt>
                <c:pt idx="65">
                  <c:v>138.09165423403914</c:v>
                </c:pt>
                <c:pt idx="66">
                  <c:v>136.05764191929816</c:v>
                </c:pt>
                <c:pt idx="67">
                  <c:v>134.08271570630646</c:v>
                </c:pt>
                <c:pt idx="68">
                  <c:v>132.16433770659413</c:v>
                </c:pt>
                <c:pt idx="69">
                  <c:v>130.30011332453935</c:v>
                </c:pt>
                <c:pt idx="70">
                  <c:v>128.48778128498083</c:v>
                </c:pt>
                <c:pt idx="71">
                  <c:v>126.72520448222465</c:v>
                </c:pt>
                <c:pt idx="72">
                  <c:v>125.01036157258297</c:v>
                </c:pt>
                <c:pt idx="73">
                  <c:v>123.34133924090466</c:v>
                </c:pt>
                <c:pt idx="74">
                  <c:v>121.71632507889161</c:v>
                </c:pt>
                <c:pt idx="75">
                  <c:v>120.13360101947298</c:v>
                </c:pt>
                <c:pt idx="76">
                  <c:v>118.59153727723347</c:v>
                </c:pt>
                <c:pt idx="77">
                  <c:v>117.0885867499691</c:v>
                </c:pt>
                <c:pt idx="78">
                  <c:v>115.62327984094196</c:v>
                </c:pt>
                <c:pt idx="79">
                  <c:v>114.19421966540757</c:v>
                </c:pt>
                <c:pt idx="80">
                  <c:v>112.80007760855031</c:v>
                </c:pt>
                <c:pt idx="81">
                  <c:v>111.43958920513199</c:v>
                </c:pt>
                <c:pt idx="82">
                  <c:v>110.11155031399747</c:v>
                </c:pt>
                <c:pt idx="83">
                  <c:v>108.8148135631079</c:v>
                </c:pt>
                <c:pt idx="84">
                  <c:v>107.54828504304437</c:v>
                </c:pt>
                <c:pt idx="85">
                  <c:v>106.31092122895225</c:v>
                </c:pt>
                <c:pt idx="86">
                  <c:v>105.10172611272458</c:v>
                </c:pt>
                <c:pt idx="87">
                  <c:v>103.91974852885863</c:v>
                </c:pt>
                <c:pt idx="88">
                  <c:v>102.76407965889683</c:v>
                </c:pt>
                <c:pt idx="89">
                  <c:v>101.63385070069127</c:v>
                </c:pt>
                <c:pt idx="90">
                  <c:v>100.52823068992902</c:v>
                </c:pt>
                <c:pt idx="91">
                  <c:v>99.44642446243995</c:v>
                </c:pt>
                <c:pt idx="92">
                  <c:v>98.387670746784281</c:v>
                </c:pt>
                <c:pt idx="93">
                  <c:v>97.351240377506087</c:v>
                </c:pt>
                <c:pt idx="94">
                  <c:v>96.33643462023872</c:v>
                </c:pt>
                <c:pt idx="95">
                  <c:v>95.342583600578479</c:v>
                </c:pt>
                <c:pt idx="96">
                  <c:v>94.369044829301842</c:v>
                </c:pt>
                <c:pt idx="97">
                  <c:v>93.415201817104048</c:v>
                </c:pt>
                <c:pt idx="98">
                  <c:v>92.480462772582598</c:v>
                </c:pt>
                <c:pt idx="99">
                  <c:v>91.564259377686852</c:v>
                </c:pt>
                <c:pt idx="100">
                  <c:v>90.66604563531078</c:v>
                </c:pt>
              </c:numCache>
            </c:numRef>
          </c:val>
          <c:smooth val="0"/>
          <c:extLst>
            <c:ext xmlns:c16="http://schemas.microsoft.com/office/drawing/2014/chart" uri="{C3380CC4-5D6E-409C-BE32-E72D297353CC}">
              <c16:uniqueId val="{00000001-DE77-4B43-A489-D4421C0BE99A}"/>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c:v>
                </c:pt>
                <c:pt idx="2">
                  <c:v>13.88790822716947</c:v>
                </c:pt>
                <c:pt idx="3">
                  <c:v>20.831862340754203</c:v>
                </c:pt>
                <c:pt idx="4">
                  <c:v>27.775816454338941</c:v>
                </c:pt>
                <c:pt idx="5">
                  <c:v>34.719770567923675</c:v>
                </c:pt>
                <c:pt idx="6">
                  <c:v>41.663724681508405</c:v>
                </c:pt>
                <c:pt idx="7">
                  <c:v>48.607678795093143</c:v>
                </c:pt>
                <c:pt idx="8">
                  <c:v>55.551632908677881</c:v>
                </c:pt>
                <c:pt idx="9">
                  <c:v>62.495587022262612</c:v>
                </c:pt>
                <c:pt idx="10">
                  <c:v>69.43954113584735</c:v>
                </c:pt>
                <c:pt idx="11">
                  <c:v>76.383495249432102</c:v>
                </c:pt>
                <c:pt idx="12">
                  <c:v>83.327449363016811</c:v>
                </c:pt>
                <c:pt idx="13">
                  <c:v>90.271403476601549</c:v>
                </c:pt>
                <c:pt idx="14">
                  <c:v>97.215357590186287</c:v>
                </c:pt>
                <c:pt idx="15">
                  <c:v>104.15931170377101</c:v>
                </c:pt>
                <c:pt idx="16">
                  <c:v>111.10326581735576</c:v>
                </c:pt>
                <c:pt idx="17">
                  <c:v>118.0472199309405</c:v>
                </c:pt>
                <c:pt idx="18">
                  <c:v>124.99117404452522</c:v>
                </c:pt>
                <c:pt idx="19">
                  <c:v>131.93512815810996</c:v>
                </c:pt>
                <c:pt idx="20">
                  <c:v>138.8790822716947</c:v>
                </c:pt>
                <c:pt idx="21">
                  <c:v>145.82303638527941</c:v>
                </c:pt>
                <c:pt idx="22">
                  <c:v>152.7669904988642</c:v>
                </c:pt>
                <c:pt idx="23">
                  <c:v>159.71094461244891</c:v>
                </c:pt>
                <c:pt idx="24">
                  <c:v>166.65489872603362</c:v>
                </c:pt>
                <c:pt idx="25">
                  <c:v>173.59885283961839</c:v>
                </c:pt>
                <c:pt idx="26">
                  <c:v>180.5428069532031</c:v>
                </c:pt>
                <c:pt idx="27">
                  <c:v>187.48676106678786</c:v>
                </c:pt>
                <c:pt idx="28">
                  <c:v>194.43071518037257</c:v>
                </c:pt>
                <c:pt idx="29">
                  <c:v>201.37466929395728</c:v>
                </c:pt>
                <c:pt idx="30">
                  <c:v>208.31862340754202</c:v>
                </c:pt>
                <c:pt idx="31">
                  <c:v>215.26257752112676</c:v>
                </c:pt>
                <c:pt idx="32">
                  <c:v>222.20653163471152</c:v>
                </c:pt>
                <c:pt idx="33">
                  <c:v>229.15048574829626</c:v>
                </c:pt>
                <c:pt idx="34">
                  <c:v>236.094439861881</c:v>
                </c:pt>
                <c:pt idx="35">
                  <c:v>243.03839397546571</c:v>
                </c:pt>
                <c:pt idx="36">
                  <c:v>249.98234808905045</c:v>
                </c:pt>
                <c:pt idx="37">
                  <c:v>256.92630220263516</c:v>
                </c:pt>
                <c:pt idx="38">
                  <c:v>263.87025631621992</c:v>
                </c:pt>
                <c:pt idx="39">
                  <c:v>270.81421042980469</c:v>
                </c:pt>
                <c:pt idx="40">
                  <c:v>277.7581645433894</c:v>
                </c:pt>
                <c:pt idx="41">
                  <c:v>266.11462956577873</c:v>
                </c:pt>
                <c:pt idx="42">
                  <c:v>260.11864826767874</c:v>
                </c:pt>
                <c:pt idx="43">
                  <c:v>254.38738352869817</c:v>
                </c:pt>
                <c:pt idx="44">
                  <c:v>248.90368328794969</c:v>
                </c:pt>
                <c:pt idx="45">
                  <c:v>243.6518459593662</c:v>
                </c:pt>
                <c:pt idx="46">
                  <c:v>238.61747028070943</c:v>
                </c:pt>
                <c:pt idx="47">
                  <c:v>233.78732343633209</c:v>
                </c:pt>
                <c:pt idx="48">
                  <c:v>229.14922491065488</c:v>
                </c:pt>
                <c:pt idx="49">
                  <c:v>224.6919439258881</c:v>
                </c:pt>
                <c:pt idx="50">
                  <c:v>220.40510864585855</c:v>
                </c:pt>
                <c:pt idx="51">
                  <c:v>216.27912560069146</c:v>
                </c:pt>
                <c:pt idx="52">
                  <c:v>212.30510801475214</c:v>
                </c:pt>
                <c:pt idx="53">
                  <c:v>208.47481191086604</c:v>
                </c:pt>
                <c:pt idx="54">
                  <c:v>204.78057902397083</c:v>
                </c:pt>
                <c:pt idx="55">
                  <c:v>201.21528569233857</c:v>
                </c:pt>
                <c:pt idx="56">
                  <c:v>197.77229700865919</c:v>
                </c:pt>
                <c:pt idx="57">
                  <c:v>194.44542561009413</c:v>
                </c:pt>
                <c:pt idx="58">
                  <c:v>191.2288945687859</c:v>
                </c:pt>
                <c:pt idx="59">
                  <c:v>188.11730391458551</c:v>
                </c:pt>
                <c:pt idx="60">
                  <c:v>185.10560038188763</c:v>
                </c:pt>
                <c:pt idx="61">
                  <c:v>182.18905002403966</c:v>
                </c:pt>
                <c:pt idx="62">
                  <c:v>179.36321338314991</c:v>
                </c:pt>
                <c:pt idx="63">
                  <c:v>176.62392294136447</c:v>
                </c:pt>
                <c:pt idx="64">
                  <c:v>173.96726261273628</c:v>
                </c:pt>
                <c:pt idx="65">
                  <c:v>171.38954906344165</c:v>
                </c:pt>
                <c:pt idx="66">
                  <c:v>168.88731467296014</c:v>
                </c:pt>
                <c:pt idx="67">
                  <c:v>166.45729197046566</c:v>
                </c:pt>
                <c:pt idx="68">
                  <c:v>164.0963993995384</c:v>
                </c:pt>
                <c:pt idx="69">
                  <c:v>161.80172828078753</c:v>
                </c:pt>
                <c:pt idx="70">
                  <c:v>159.57053085640604</c:v>
                </c:pt>
                <c:pt idx="71">
                  <c:v>157.40020931333643</c:v>
                </c:pt>
                <c:pt idx="72">
                  <c:v>155.28830569284946</c:v>
                </c:pt>
                <c:pt idx="73">
                  <c:v>153.23249260413471</c:v>
                </c:pt>
                <c:pt idx="74">
                  <c:v>151.23056466814134</c:v>
                </c:pt>
                <c:pt idx="75">
                  <c:v>149.28043062553994</c:v>
                </c:pt>
                <c:pt idx="76">
                  <c:v>147.38010604943457</c:v>
                </c:pt>
                <c:pt idx="77">
                  <c:v>145.52770660944194</c:v>
                </c:pt>
                <c:pt idx="78">
                  <c:v>143.72144183907358</c:v>
                </c:pt>
                <c:pt idx="79">
                  <c:v>141.95960936308711</c:v>
                </c:pt>
                <c:pt idx="80">
                  <c:v>140.24058954568406</c:v>
                </c:pt>
                <c:pt idx="81">
                  <c:v>138.56284052418843</c:v>
                </c:pt>
                <c:pt idx="82">
                  <c:v>136.92489359619904</c:v>
                </c:pt>
                <c:pt idx="83">
                  <c:v>135.32534893120607</c:v>
                </c:pt>
                <c:pt idx="84">
                  <c:v>133.76287158035603</c:v>
                </c:pt>
                <c:pt idx="85">
                  <c:v>132.23618776045811</c:v>
                </c:pt>
                <c:pt idx="86">
                  <c:v>130.74408139049078</c:v>
                </c:pt>
                <c:pt idx="87">
                  <c:v>129.2853908608169</c:v>
                </c:pt>
                <c:pt idx="88">
                  <c:v>127.85900601706743</c:v>
                </c:pt>
                <c:pt idx="89">
                  <c:v>126.46386534223566</c:v>
                </c:pt>
                <c:pt idx="90">
                  <c:v>125.0989533219492</c:v>
                </c:pt>
                <c:pt idx="91">
                  <c:v>123.76329797917685</c:v>
                </c:pt>
                <c:pt idx="92">
                  <c:v>122.45596856579348</c:v>
                </c:pt>
                <c:pt idx="93">
                  <c:v>121.17607339948034</c:v>
                </c:pt>
                <c:pt idx="94">
                  <c:v>119.92275783539822</c:v>
                </c:pt>
                <c:pt idx="95">
                  <c:v>118.69520236293519</c:v>
                </c:pt>
                <c:pt idx="96">
                  <c:v>117.49262081862517</c:v>
                </c:pt>
                <c:pt idx="97">
                  <c:v>116.31425870704581</c:v>
                </c:pt>
                <c:pt idx="98">
                  <c:v>115.15939162216061</c:v>
                </c:pt>
                <c:pt idx="99">
                  <c:v>114.02732376216494</c:v>
                </c:pt>
                <c:pt idx="100">
                  <c:v>112.91738653143696</c:v>
                </c:pt>
              </c:numCache>
            </c:numRef>
          </c:val>
          <c:smooth val="0"/>
          <c:extLst>
            <c:ext xmlns:c16="http://schemas.microsoft.com/office/drawing/2014/chart" uri="{C3380CC4-5D6E-409C-BE32-E72D297353CC}">
              <c16:uniqueId val="{00000002-DE77-4B43-A489-D4421C0BE99A}"/>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E77-4B43-A489-D4421C0BE99A}"/>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E77-4B43-A489-D4421C0BE99A}"/>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E77-4B43-A489-D4421C0BE99A}"/>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1.666668734584487E-2</c:v>
                </c:pt>
                <c:pt idx="1">
                  <c:v>1.671303530258568E-2</c:v>
                </c:pt>
                <c:pt idx="2">
                  <c:v>2.3225977753519898E-2</c:v>
                </c:pt>
                <c:pt idx="3">
                  <c:v>3.4838966630279841E-2</c:v>
                </c:pt>
                <c:pt idx="4">
                  <c:v>4.6451955507039795E-2</c:v>
                </c:pt>
                <c:pt idx="5">
                  <c:v>5.8064944383799742E-2</c:v>
                </c:pt>
                <c:pt idx="6">
                  <c:v>6.9677933260559682E-2</c:v>
                </c:pt>
                <c:pt idx="7">
                  <c:v>8.1290922137319657E-2</c:v>
                </c:pt>
                <c:pt idx="8">
                  <c:v>9.290391101407959E-2</c:v>
                </c:pt>
                <c:pt idx="9">
                  <c:v>0.10451689989083952</c:v>
                </c:pt>
                <c:pt idx="10">
                  <c:v>0.11612988876759948</c:v>
                </c:pt>
                <c:pt idx="11">
                  <c:v>0.1277428776443594</c:v>
                </c:pt>
                <c:pt idx="12">
                  <c:v>0.13935586652111936</c:v>
                </c:pt>
                <c:pt idx="13">
                  <c:v>0.1509688553978793</c:v>
                </c:pt>
                <c:pt idx="14">
                  <c:v>0.16258184427463931</c:v>
                </c:pt>
                <c:pt idx="15">
                  <c:v>0.17419483315139922</c:v>
                </c:pt>
                <c:pt idx="16">
                  <c:v>0.18580782202815918</c:v>
                </c:pt>
                <c:pt idx="17">
                  <c:v>0.19742081090491914</c:v>
                </c:pt>
                <c:pt idx="18">
                  <c:v>0.20903379978167905</c:v>
                </c:pt>
                <c:pt idx="19">
                  <c:v>0.22064678865843904</c:v>
                </c:pt>
                <c:pt idx="20">
                  <c:v>0.23225977753519897</c:v>
                </c:pt>
                <c:pt idx="21">
                  <c:v>0.24387276641195893</c:v>
                </c:pt>
                <c:pt idx="22">
                  <c:v>0.25548575528871881</c:v>
                </c:pt>
                <c:pt idx="23">
                  <c:v>0.2670987441654788</c:v>
                </c:pt>
                <c:pt idx="24">
                  <c:v>0.27871173304223873</c:v>
                </c:pt>
                <c:pt idx="25">
                  <c:v>0.29032472191899877</c:v>
                </c:pt>
                <c:pt idx="26">
                  <c:v>0.3019377107957586</c:v>
                </c:pt>
                <c:pt idx="27">
                  <c:v>0.31355069967251864</c:v>
                </c:pt>
                <c:pt idx="28">
                  <c:v>0.32516368854927863</c:v>
                </c:pt>
                <c:pt idx="29">
                  <c:v>0.33677667742603851</c:v>
                </c:pt>
                <c:pt idx="30">
                  <c:v>0.34838966630279844</c:v>
                </c:pt>
                <c:pt idx="31">
                  <c:v>0.36000265517955843</c:v>
                </c:pt>
                <c:pt idx="32">
                  <c:v>0.37161564405631836</c:v>
                </c:pt>
                <c:pt idx="33">
                  <c:v>0.38322863293307835</c:v>
                </c:pt>
                <c:pt idx="34">
                  <c:v>0.39484162180983828</c:v>
                </c:pt>
                <c:pt idx="35">
                  <c:v>0.40645461068659811</c:v>
                </c:pt>
                <c:pt idx="36">
                  <c:v>0.41806759956335809</c:v>
                </c:pt>
                <c:pt idx="37">
                  <c:v>0.3997532403576694</c:v>
                </c:pt>
                <c:pt idx="38">
                  <c:v>0.40029248055669814</c:v>
                </c:pt>
                <c:pt idx="39">
                  <c:v>0.40080732102948124</c:v>
                </c:pt>
                <c:pt idx="40">
                  <c:v>0.40129951120368001</c:v>
                </c:pt>
                <c:pt idx="41">
                  <c:v>0.40177063718003303</c:v>
                </c:pt>
                <c:pt idx="42">
                  <c:v>0.40222214035792786</c:v>
                </c:pt>
                <c:pt idx="43">
                  <c:v>0.40265533356897154</c:v>
                </c:pt>
                <c:pt idx="44">
                  <c:v>0.40307141509905525</c:v>
                </c:pt>
                <c:pt idx="45">
                  <c:v>0.40347148091444113</c:v>
                </c:pt>
                <c:pt idx="46">
                  <c:v>0.40385653535462873</c:v>
                </c:pt>
                <c:pt idx="47">
                  <c:v>0.40422750051173112</c:v>
                </c:pt>
                <c:pt idx="48">
                  <c:v>0.40458522448082246</c:v>
                </c:pt>
                <c:pt idx="49">
                  <c:v>0.4049304886366924</c:v>
                </c:pt>
                <c:pt idx="50">
                  <c:v>0.40526401406846319</c:v>
                </c:pt>
                <c:pt idx="51">
                  <c:v>0.4055864672836183</c:v>
                </c:pt>
                <c:pt idx="52">
                  <c:v>0.40589846527642509</c:v>
                </c:pt>
                <c:pt idx="53">
                  <c:v>0.40620058004187332</c:v>
                </c:pt>
                <c:pt idx="54">
                  <c:v>0.40649334260463338</c:v>
                </c:pt>
                <c:pt idx="55">
                  <c:v>0.40677724662275527</c:v>
                </c:pt>
                <c:pt idx="56">
                  <c:v>0.40705275161757232</c:v>
                </c:pt>
                <c:pt idx="57">
                  <c:v>0.40732028587427244</c:v>
                </c:pt>
                <c:pt idx="58">
                  <c:v>0.40758024905166074</c:v>
                </c:pt>
                <c:pt idx="59">
                  <c:v>0.4078330145345696</c:v>
                </c:pt>
                <c:pt idx="60">
                  <c:v>0.40807893155804392</c:v>
                </c:pt>
                <c:pt idx="61">
                  <c:v>0.40831832712872468</c:v>
                </c:pt>
                <c:pt idx="62">
                  <c:v>0.40855150776566412</c:v>
                </c:pt>
                <c:pt idx="63">
                  <c:v>0.40877876108006583</c:v>
                </c:pt>
                <c:pt idx="64">
                  <c:v>0.40900035721107403</c:v>
                </c:pt>
                <c:pt idx="65">
                  <c:v>0.40921655013268543</c:v>
                </c:pt>
                <c:pt idx="66">
                  <c:v>0.40942757884508185</c:v>
                </c:pt>
                <c:pt idx="67">
                  <c:v>0.40963366846213639</c:v>
                </c:pt>
                <c:pt idx="68">
                  <c:v>0.40983503120549464</c:v>
                </c:pt>
                <c:pt idx="69">
                  <c:v>0.41003186731446911</c:v>
                </c:pt>
                <c:pt idx="70">
                  <c:v>0.41022436587994171</c:v>
                </c:pt>
                <c:pt idx="71">
                  <c:v>0.41041270560958198</c:v>
                </c:pt>
                <c:pt idx="72">
                  <c:v>0.4105970555308901</c:v>
                </c:pt>
                <c:pt idx="73">
                  <c:v>0.4107775756378797</c:v>
                </c:pt>
                <c:pt idx="74">
                  <c:v>0.410954417486602</c:v>
                </c:pt>
                <c:pt idx="75">
                  <c:v>0.41112772474417258</c:v>
                </c:pt>
                <c:pt idx="76">
                  <c:v>0.41129763369547995</c:v>
                </c:pt>
                <c:pt idx="77">
                  <c:v>0.41146427371133498</c:v>
                </c:pt>
                <c:pt idx="78">
                  <c:v>0.41162776768144094</c:v>
                </c:pt>
                <c:pt idx="79">
                  <c:v>0.41178823241522949</c:v>
                </c:pt>
                <c:pt idx="80">
                  <c:v>0.41194577901331242</c:v>
                </c:pt>
                <c:pt idx="81">
                  <c:v>0.41210051321203017</c:v>
                </c:pt>
                <c:pt idx="82">
                  <c:v>0.41225253570334514</c:v>
                </c:pt>
                <c:pt idx="83">
                  <c:v>0.41240194243211237</c:v>
                </c:pt>
                <c:pt idx="84">
                  <c:v>0.41254882487257311</c:v>
                </c:pt>
                <c:pt idx="85">
                  <c:v>0.41269327028574593</c:v>
                </c:pt>
                <c:pt idx="86">
                  <c:v>0.41283536195923737</c:v>
                </c:pt>
                <c:pt idx="87">
                  <c:v>0.41297517943085682</c:v>
                </c:pt>
                <c:pt idx="88">
                  <c:v>0.41311279869729872</c:v>
                </c:pt>
                <c:pt idx="89">
                  <c:v>0.41324829240904215</c:v>
                </c:pt>
                <c:pt idx="90">
                  <c:v>0.4133817300525166</c:v>
                </c:pt>
                <c:pt idx="91">
                  <c:v>0.41351317812049765</c:v>
                </c:pt>
                <c:pt idx="92">
                  <c:v>0.41364270027160649</c:v>
                </c:pt>
                <c:pt idx="93">
                  <c:v>0.41377035747972024</c:v>
                </c:pt>
                <c:pt idx="94">
                  <c:v>0.41389620817402856</c:v>
                </c:pt>
                <c:pt idx="95">
                  <c:v>0.41402030837041415</c:v>
                </c:pt>
                <c:pt idx="96">
                  <c:v>0.41414271179477452</c:v>
                </c:pt>
                <c:pt idx="97">
                  <c:v>0.41426346999886093</c:v>
                </c:pt>
                <c:pt idx="98">
                  <c:v>0.41438263246915352</c:v>
                </c:pt>
                <c:pt idx="99">
                  <c:v>0.41450024672926022</c:v>
                </c:pt>
                <c:pt idx="100">
                  <c:v>0.41461635843628281</c:v>
                </c:pt>
              </c:numCache>
            </c:numRef>
          </c:val>
          <c:smooth val="0"/>
          <c:extLst>
            <c:ext xmlns:c16="http://schemas.microsoft.com/office/drawing/2014/chart" uri="{C3380CC4-5D6E-409C-BE32-E72D297353CC}">
              <c16:uniqueId val="{00000006-DE77-4B43-A489-D4421C0BE99A}"/>
            </c:ext>
          </c:extLst>
        </c:ser>
        <c:ser>
          <c:idx val="16"/>
          <c:order val="16"/>
          <c:spPr>
            <a:ln w="25400">
              <a:solidFill>
                <a:srgbClr val="00B050"/>
              </a:solidFill>
              <a:prstDash val="dash"/>
            </a:ln>
          </c:spPr>
          <c:marker>
            <c:symbol val="none"/>
          </c:marker>
          <c:val>
            <c:numRef>
              <c:f>'Calculations - Dual'!$AU$110:$AU$210</c:f>
              <c:numCache>
                <c:formatCode>0.000</c:formatCode>
                <c:ptCount val="101"/>
                <c:pt idx="0">
                  <c:v>2.2227840682823276E-2</c:v>
                </c:pt>
                <c:pt idx="1">
                  <c:v>2.2304731869941211E-2</c:v>
                </c:pt>
                <c:pt idx="2">
                  <c:v>4.6503807460942133E-2</c:v>
                </c:pt>
                <c:pt idx="3">
                  <c:v>4.6503807460942133E-2</c:v>
                </c:pt>
                <c:pt idx="4">
                  <c:v>6.2005076614589517E-2</c:v>
                </c:pt>
                <c:pt idx="5">
                  <c:v>7.7506345768236895E-2</c:v>
                </c:pt>
                <c:pt idx="6">
                  <c:v>9.3007614921884266E-2</c:v>
                </c:pt>
                <c:pt idx="7">
                  <c:v>0.10850888407553169</c:v>
                </c:pt>
                <c:pt idx="8">
                  <c:v>0.12401015322917903</c:v>
                </c:pt>
                <c:pt idx="9">
                  <c:v>0.13951142238282641</c:v>
                </c:pt>
                <c:pt idx="10">
                  <c:v>0.15501269153647379</c:v>
                </c:pt>
                <c:pt idx="11">
                  <c:v>0.17051396069012115</c:v>
                </c:pt>
                <c:pt idx="12">
                  <c:v>0.18601522984376853</c:v>
                </c:pt>
                <c:pt idx="13">
                  <c:v>0.20151649899741592</c:v>
                </c:pt>
                <c:pt idx="14">
                  <c:v>0.21701776815106338</c:v>
                </c:pt>
                <c:pt idx="15">
                  <c:v>0.23251903730471069</c:v>
                </c:pt>
                <c:pt idx="16">
                  <c:v>0.24802030645835807</c:v>
                </c:pt>
                <c:pt idx="17">
                  <c:v>0.26352157561200545</c:v>
                </c:pt>
                <c:pt idx="18">
                  <c:v>0.27902284476565281</c:v>
                </c:pt>
                <c:pt idx="19">
                  <c:v>0.29452411391930022</c:v>
                </c:pt>
                <c:pt idx="20">
                  <c:v>0.31002538307294758</c:v>
                </c:pt>
                <c:pt idx="21">
                  <c:v>0.32552665222659499</c:v>
                </c:pt>
                <c:pt idx="22">
                  <c:v>0.34102792138024229</c:v>
                </c:pt>
                <c:pt idx="23">
                  <c:v>0.35652919053388971</c:v>
                </c:pt>
                <c:pt idx="24">
                  <c:v>0.37203045968753706</c:v>
                </c:pt>
                <c:pt idx="25">
                  <c:v>0.38753172884118459</c:v>
                </c:pt>
                <c:pt idx="26">
                  <c:v>0.40303299799483183</c:v>
                </c:pt>
                <c:pt idx="27">
                  <c:v>0.4185342671484793</c:v>
                </c:pt>
                <c:pt idx="28">
                  <c:v>0.43403553630212677</c:v>
                </c:pt>
                <c:pt idx="29">
                  <c:v>0.44953680545577401</c:v>
                </c:pt>
                <c:pt idx="30">
                  <c:v>0.46503807460942137</c:v>
                </c:pt>
                <c:pt idx="31">
                  <c:v>0.48053934376306884</c:v>
                </c:pt>
                <c:pt idx="32">
                  <c:v>0.47385291246670824</c:v>
                </c:pt>
                <c:pt idx="33">
                  <c:v>0.47097741515476022</c:v>
                </c:pt>
                <c:pt idx="34">
                  <c:v>0.47160434679260022</c:v>
                </c:pt>
                <c:pt idx="35">
                  <c:v>0.47219996195390646</c:v>
                </c:pt>
                <c:pt idx="36">
                  <c:v>0.47276677149556451</c:v>
                </c:pt>
                <c:pt idx="37">
                  <c:v>0.47330702487091236</c:v>
                </c:pt>
                <c:pt idx="38">
                  <c:v>0.47382274328497553</c:v>
                </c:pt>
                <c:pt idx="39">
                  <c:v>0.47431574792823694</c:v>
                </c:pt>
                <c:pt idx="40">
                  <c:v>0.47478768412064426</c:v>
                </c:pt>
                <c:pt idx="41">
                  <c:v>0.47524004204071713</c:v>
                </c:pt>
                <c:pt idx="42">
                  <c:v>0.475674174590275</c:v>
                </c:pt>
                <c:pt idx="43">
                  <c:v>0.4760913128461628</c:v>
                </c:pt>
                <c:pt idx="44">
                  <c:v>0.47649257947084944</c:v>
                </c:pt>
                <c:pt idx="45">
                  <c:v>0.47687900038968672</c:v>
                </c:pt>
                <c:pt idx="46">
                  <c:v>0.4772515149906944</c:v>
                </c:pt>
                <c:pt idx="47">
                  <c:v>0.47761098506046201</c:v>
                </c:pt>
                <c:pt idx="48">
                  <c:v>0.47795820263518113</c:v>
                </c:pt>
                <c:pt idx="49">
                  <c:v>0.47829389691742524</c:v>
                </c:pt>
                <c:pt idx="50">
                  <c:v>0.47861874038585456</c:v>
                </c:pt>
                <c:pt idx="51">
                  <c:v>0.47893335420561889</c:v>
                </c:pt>
                <c:pt idx="52">
                  <c:v>0.47923831303109027</c:v>
                </c:pt>
                <c:pt idx="53">
                  <c:v>0.47953414927908933</c:v>
                </c:pt>
                <c:pt idx="54">
                  <c:v>0.47982135693948347</c:v>
                </c:pt>
                <c:pt idx="55">
                  <c:v>0.48010039498055357</c:v>
                </c:pt>
                <c:pt idx="56">
                  <c:v>0.480371690398532</c:v>
                </c:pt>
                <c:pt idx="57">
                  <c:v>0.48063564095394345</c:v>
                </c:pt>
                <c:pt idx="58">
                  <c:v>0.48089261763164731</c:v>
                </c:pt>
                <c:pt idx="59">
                  <c:v>0.48114296685659003</c:v>
                </c:pt>
                <c:pt idx="60">
                  <c:v>0.48138701249310928</c:v>
                </c:pt>
                <c:pt idx="61">
                  <c:v>0.48162505765206176</c:v>
                </c:pt>
                <c:pt idx="62">
                  <c:v>0.48185738632698849</c:v>
                </c:pt>
                <c:pt idx="63">
                  <c:v>0.48208426487788969</c:v>
                </c:pt>
                <c:pt idx="64">
                  <c:v>0.48230594337891908</c:v>
                </c:pt>
                <c:pt idx="65">
                  <c:v>0.48252265684433787</c:v>
                </c:pt>
                <c:pt idx="66">
                  <c:v>0.48273462634536585</c:v>
                </c:pt>
                <c:pt idx="67">
                  <c:v>0.48294206002909562</c:v>
                </c:pt>
                <c:pt idx="68">
                  <c:v>0.48314515404934094</c:v>
                </c:pt>
                <c:pt idx="69">
                  <c:v>0.48334409341817636</c:v>
                </c:pt>
                <c:pt idx="70">
                  <c:v>0.48353905278594067</c:v>
                </c:pt>
                <c:pt idx="71">
                  <c:v>0.48373019715661641</c:v>
                </c:pt>
                <c:pt idx="72">
                  <c:v>0.48391768254474998</c:v>
                </c:pt>
                <c:pt idx="73">
                  <c:v>0.48410165657940807</c:v>
                </c:pt>
                <c:pt idx="74">
                  <c:v>0.48428225906008826</c:v>
                </c:pt>
                <c:pt idx="75">
                  <c:v>0.48445962246898416</c:v>
                </c:pt>
                <c:pt idx="76">
                  <c:v>0.48463387244354905</c:v>
                </c:pt>
                <c:pt idx="77">
                  <c:v>0.48480512821290606</c:v>
                </c:pt>
                <c:pt idx="78">
                  <c:v>0.48497350300128672</c:v>
                </c:pt>
                <c:pt idx="79">
                  <c:v>0.48513910440137298</c:v>
                </c:pt>
                <c:pt idx="80">
                  <c:v>0.48530203472012379</c:v>
                </c:pt>
                <c:pt idx="81">
                  <c:v>0.48546239129942953</c:v>
                </c:pt>
                <c:pt idx="82">
                  <c:v>0.48562026681370207</c:v>
                </c:pt>
                <c:pt idx="83">
                  <c:v>0.48577574954631519</c:v>
                </c:pt>
                <c:pt idx="84">
                  <c:v>0.48592892364662715</c:v>
                </c:pt>
                <c:pt idx="85">
                  <c:v>0.48607986936915892</c:v>
                </c:pt>
                <c:pt idx="86">
                  <c:v>0.48622866329635772</c:v>
                </c:pt>
                <c:pt idx="87">
                  <c:v>0.48637537854624358</c:v>
                </c:pt>
                <c:pt idx="88">
                  <c:v>0.48652008496612259</c:v>
                </c:pt>
                <c:pt idx="89">
                  <c:v>0.48666284931344822</c:v>
                </c:pt>
                <c:pt idx="90">
                  <c:v>0.48680373542481065</c:v>
                </c:pt>
                <c:pt idx="91">
                  <c:v>0.48694280437395554</c:v>
                </c:pt>
                <c:pt idx="92">
                  <c:v>0.48708011461965522</c:v>
                </c:pt>
                <c:pt idx="93">
                  <c:v>0.48721572214418235</c:v>
                </c:pt>
                <c:pt idx="94">
                  <c:v>0.48734968058307654</c:v>
                </c:pt>
                <c:pt idx="95">
                  <c:v>0.4874820413468362</c:v>
                </c:pt>
                <c:pt idx="96">
                  <c:v>0.48761285373511565</c:v>
                </c:pt>
                <c:pt idx="97">
                  <c:v>0.48774216504396056</c:v>
                </c:pt>
                <c:pt idx="98">
                  <c:v>0.48787002066657126</c:v>
                </c:pt>
                <c:pt idx="99">
                  <c:v>0.48799646418804637</c:v>
                </c:pt>
                <c:pt idx="100">
                  <c:v>0.48812153747452097</c:v>
                </c:pt>
              </c:numCache>
            </c:numRef>
          </c:val>
          <c:smooth val="0"/>
          <c:extLst>
            <c:ext xmlns:c16="http://schemas.microsoft.com/office/drawing/2014/chart" uri="{C3380CC4-5D6E-409C-BE32-E72D297353CC}">
              <c16:uniqueId val="{00000007-DE77-4B43-A489-D4421C0BE99A}"/>
            </c:ext>
          </c:extLst>
        </c:ser>
        <c:ser>
          <c:idx val="17"/>
          <c:order val="17"/>
          <c:spPr>
            <a:ln w="25400">
              <a:solidFill>
                <a:srgbClr val="FF0000"/>
              </a:solidFill>
            </a:ln>
          </c:spPr>
          <c:marker>
            <c:symbol val="none"/>
          </c:marker>
          <c:val>
            <c:numRef>
              <c:f>'Calculations - Dual'!$AU$216:$AU$316</c:f>
              <c:numCache>
                <c:formatCode>0.000</c:formatCode>
                <c:ptCount val="101"/>
                <c:pt idx="0">
                  <c:v>1.2501721339313591E-2</c:v>
                </c:pt>
                <c:pt idx="1">
                  <c:v>1.2525843859803218E-2</c:v>
                </c:pt>
                <c:pt idx="2">
                  <c:v>1.7403032611332515E-2</c:v>
                </c:pt>
                <c:pt idx="3">
                  <c:v>2.6104548916998767E-2</c:v>
                </c:pt>
                <c:pt idx="4">
                  <c:v>3.4806065222665029E-2</c:v>
                </c:pt>
                <c:pt idx="5">
                  <c:v>4.3507581528331278E-2</c:v>
                </c:pt>
                <c:pt idx="6">
                  <c:v>5.2209097833997534E-2</c:v>
                </c:pt>
                <c:pt idx="7">
                  <c:v>6.0910614139663796E-2</c:v>
                </c:pt>
                <c:pt idx="8">
                  <c:v>6.9612130445330059E-2</c:v>
                </c:pt>
                <c:pt idx="9">
                  <c:v>7.8313646750996294E-2</c:v>
                </c:pt>
                <c:pt idx="10">
                  <c:v>8.7015163056662556E-2</c:v>
                </c:pt>
                <c:pt idx="11">
                  <c:v>9.5716679362328846E-2</c:v>
                </c:pt>
                <c:pt idx="12">
                  <c:v>0.10441819566799507</c:v>
                </c:pt>
                <c:pt idx="13">
                  <c:v>0.11311971197366133</c:v>
                </c:pt>
                <c:pt idx="14">
                  <c:v>0.12182122827932759</c:v>
                </c:pt>
                <c:pt idx="15">
                  <c:v>0.13052274458499383</c:v>
                </c:pt>
                <c:pt idx="16">
                  <c:v>0.13922426089066012</c:v>
                </c:pt>
                <c:pt idx="17">
                  <c:v>0.14792577719632635</c:v>
                </c:pt>
                <c:pt idx="18">
                  <c:v>0.15662729350199259</c:v>
                </c:pt>
                <c:pt idx="19">
                  <c:v>0.16532880980765888</c:v>
                </c:pt>
                <c:pt idx="20">
                  <c:v>0.17403032611332511</c:v>
                </c:pt>
                <c:pt idx="21">
                  <c:v>0.18273184241899135</c:v>
                </c:pt>
                <c:pt idx="22">
                  <c:v>0.19143335872465769</c:v>
                </c:pt>
                <c:pt idx="23">
                  <c:v>0.2001348750303239</c:v>
                </c:pt>
                <c:pt idx="24">
                  <c:v>0.20883639133599013</c:v>
                </c:pt>
                <c:pt idx="25">
                  <c:v>0.21753790764165643</c:v>
                </c:pt>
                <c:pt idx="26">
                  <c:v>0.22623942394732266</c:v>
                </c:pt>
                <c:pt idx="27">
                  <c:v>0.23494094025298895</c:v>
                </c:pt>
                <c:pt idx="28">
                  <c:v>0.24364245655865518</c:v>
                </c:pt>
                <c:pt idx="29">
                  <c:v>0.25234397286432136</c:v>
                </c:pt>
                <c:pt idx="30">
                  <c:v>0.26104548916998765</c:v>
                </c:pt>
                <c:pt idx="31">
                  <c:v>0.26974700547565389</c:v>
                </c:pt>
                <c:pt idx="32">
                  <c:v>0.27844852178132024</c:v>
                </c:pt>
                <c:pt idx="33">
                  <c:v>0.28715003808698641</c:v>
                </c:pt>
                <c:pt idx="34">
                  <c:v>0.2958515543926527</c:v>
                </c:pt>
                <c:pt idx="35">
                  <c:v>0.30455307069831894</c:v>
                </c:pt>
                <c:pt idx="36">
                  <c:v>0.31325458700398517</c:v>
                </c:pt>
                <c:pt idx="37">
                  <c:v>0.32195610330965146</c:v>
                </c:pt>
                <c:pt idx="38">
                  <c:v>0.33065761961531775</c:v>
                </c:pt>
                <c:pt idx="39">
                  <c:v>0.33935913592098405</c:v>
                </c:pt>
                <c:pt idx="40">
                  <c:v>0.34806065222665022</c:v>
                </c:pt>
                <c:pt idx="41">
                  <c:v>0.33347785628125876</c:v>
                </c:pt>
                <c:pt idx="42">
                  <c:v>0.33318487441349848</c:v>
                </c:pt>
                <c:pt idx="43">
                  <c:v>0.33361524253154035</c:v>
                </c:pt>
                <c:pt idx="44">
                  <c:v>0.33402827282142605</c:v>
                </c:pt>
                <c:pt idx="45">
                  <c:v>0.33442506498228058</c:v>
                </c:pt>
                <c:pt idx="46">
                  <c:v>0.33480662764186203</c:v>
                </c:pt>
                <c:pt idx="47">
                  <c:v>0.33517388759290606</c:v>
                </c:pt>
                <c:pt idx="48">
                  <c:v>0.33552769792773379</c:v>
                </c:pt>
                <c:pt idx="49">
                  <c:v>0.33586884522145083</c:v>
                </c:pt>
                <c:pt idx="50">
                  <c:v>0.33619805589108104</c:v>
                </c:pt>
                <c:pt idx="51">
                  <c:v>0.33651600183885622</c:v>
                </c:pt>
                <c:pt idx="52">
                  <c:v>0.33682330547194456</c:v>
                </c:pt>
                <c:pt idx="53">
                  <c:v>0.33712054417754761</c:v>
                </c:pt>
                <c:pt idx="54">
                  <c:v>0.33740825432108357</c:v>
                </c:pt>
                <c:pt idx="55">
                  <c:v>0.33768693482571494</c:v>
                </c:pt>
                <c:pt idx="56">
                  <c:v>0.3379570503834905</c:v>
                </c:pt>
                <c:pt idx="57">
                  <c:v>0.33821903434158479</c:v>
                </c:pt>
                <c:pt idx="58">
                  <c:v>0.33847329130135173</c:v>
                </c:pt>
                <c:pt idx="59">
                  <c:v>0.33872019946298826</c:v>
                </c:pt>
                <c:pt idx="60">
                  <c:v>0.33896011274438831</c:v>
                </c:pt>
                <c:pt idx="61">
                  <c:v>0.33919336269916028</c:v>
                </c:pt>
                <c:pt idx="62">
                  <c:v>0.3394202602556699</c:v>
                </c:pt>
                <c:pt idx="63">
                  <c:v>0.33964109729629599</c:v>
                </c:pt>
                <c:pt idx="64">
                  <c:v>0.3398561480937668</c:v>
                </c:pt>
                <c:pt idx="65">
                  <c:v>0.34006567061944548</c:v>
                </c:pt>
                <c:pt idx="66">
                  <c:v>0.34026990773668464</c:v>
                </c:pt>
                <c:pt idx="67">
                  <c:v>0.34046908829086264</c:v>
                </c:pt>
                <c:pt idx="68">
                  <c:v>0.3406634281063865</c:v>
                </c:pt>
                <c:pt idx="69">
                  <c:v>0.34085313089979669</c:v>
                </c:pt>
                <c:pt idx="70">
                  <c:v>0.34103838911709572</c:v>
                </c:pt>
                <c:pt idx="71">
                  <c:v>0.34121938470253832</c:v>
                </c:pt>
                <c:pt idx="72">
                  <c:v>0.3413962898053382</c:v>
                </c:pt>
                <c:pt idx="73">
                  <c:v>0.34156926743006488</c:v>
                </c:pt>
                <c:pt idx="74">
                  <c:v>0.3417384720358953</c:v>
                </c:pt>
                <c:pt idx="75">
                  <c:v>0.34190405008935132</c:v>
                </c:pt>
                <c:pt idx="76">
                  <c:v>0.34206614057468393</c:v>
                </c:pt>
                <c:pt idx="77">
                  <c:v>0.34222487546563946</c:v>
                </c:pt>
                <c:pt idx="78">
                  <c:v>0.34238038016197592</c:v>
                </c:pt>
                <c:pt idx="79">
                  <c:v>0.34253277389376513</c:v>
                </c:pt>
                <c:pt idx="80">
                  <c:v>0.34268217009621899</c:v>
                </c:pt>
                <c:pt idx="81">
                  <c:v>0.34282867675751816</c:v>
                </c:pt>
                <c:pt idx="82">
                  <c:v>0.34297239674188396</c:v>
                </c:pt>
                <c:pt idx="83">
                  <c:v>0.34311342808992629</c:v>
                </c:pt>
                <c:pt idx="84">
                  <c:v>0.34325186429810856</c:v>
                </c:pt>
                <c:pt idx="85">
                  <c:v>0.3433877945790077</c:v>
                </c:pt>
                <c:pt idx="86">
                  <c:v>0.34352130410388726</c:v>
                </c:pt>
                <c:pt idx="87">
                  <c:v>0.3436524742289741</c:v>
                </c:pt>
                <c:pt idx="88">
                  <c:v>0.34378138270669906</c:v>
                </c:pt>
                <c:pt idx="89">
                  <c:v>0.34390810388305615</c:v>
                </c:pt>
                <c:pt idx="90">
                  <c:v>0.34403270888213211</c:v>
                </c:pt>
                <c:pt idx="91">
                  <c:v>0.34415526577876904</c:v>
                </c:pt>
                <c:pt idx="92">
                  <c:v>0.34427583976024206</c:v>
                </c:pt>
                <c:pt idx="93">
                  <c:v>0.3443944932777559</c:v>
                </c:pt>
                <c:pt idx="94">
                  <c:v>0.34451128618850563</c:v>
                </c:pt>
                <c:pt idx="95">
                  <c:v>0.34462627588897365</c:v>
                </c:pt>
                <c:pt idx="96">
                  <c:v>0.34473951744009368</c:v>
                </c:pt>
                <c:pt idx="97">
                  <c:v>0.34485106368485058</c:v>
                </c:pt>
                <c:pt idx="98">
                  <c:v>0.34496096535884474</c:v>
                </c:pt>
                <c:pt idx="99">
                  <c:v>0.34506927119430952</c:v>
                </c:pt>
                <c:pt idx="100">
                  <c:v>0.34517602801802633</c:v>
                </c:pt>
              </c:numCache>
            </c:numRef>
          </c:val>
          <c:smooth val="0"/>
          <c:extLst>
            <c:ext xmlns:c16="http://schemas.microsoft.com/office/drawing/2014/chart" uri="{C3380CC4-5D6E-409C-BE32-E72D297353CC}">
              <c16:uniqueId val="{00000008-DE77-4B43-A489-D4421C0BE99A}"/>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c:v>
                </c:pt>
                <c:pt idx="2">
                  <c:v>20.833691001432225</c:v>
                </c:pt>
                <c:pt idx="3">
                  <c:v>20.833691001432225</c:v>
                </c:pt>
                <c:pt idx="4">
                  <c:v>27.778254668576302</c:v>
                </c:pt>
                <c:pt idx="5">
                  <c:v>34.722818335720376</c:v>
                </c:pt>
                <c:pt idx="6">
                  <c:v>41.66738200286445</c:v>
                </c:pt>
                <c:pt idx="7">
                  <c:v>48.611945670008538</c:v>
                </c:pt>
                <c:pt idx="8">
                  <c:v>55.556509337152605</c:v>
                </c:pt>
                <c:pt idx="9">
                  <c:v>62.501073004296671</c:v>
                </c:pt>
                <c:pt idx="10">
                  <c:v>69.445636671440752</c:v>
                </c:pt>
                <c:pt idx="11">
                  <c:v>76.390200338584819</c:v>
                </c:pt>
                <c:pt idx="12">
                  <c:v>83.3347640057289</c:v>
                </c:pt>
                <c:pt idx="13">
                  <c:v>90.279327672872981</c:v>
                </c:pt>
                <c:pt idx="14">
                  <c:v>97.223891340017076</c:v>
                </c:pt>
                <c:pt idx="15">
                  <c:v>104.16845500716113</c:v>
                </c:pt>
                <c:pt idx="16">
                  <c:v>111.11301867430521</c:v>
                </c:pt>
                <c:pt idx="17">
                  <c:v>118.0575823414493</c:v>
                </c:pt>
                <c:pt idx="18">
                  <c:v>125.00214600859334</c:v>
                </c:pt>
                <c:pt idx="19">
                  <c:v>131.94670967573745</c:v>
                </c:pt>
                <c:pt idx="20">
                  <c:v>138.8912733428815</c:v>
                </c:pt>
                <c:pt idx="21">
                  <c:v>145.83583701002559</c:v>
                </c:pt>
                <c:pt idx="22">
                  <c:v>152.78040067716964</c:v>
                </c:pt>
                <c:pt idx="23">
                  <c:v>159.72496434431372</c:v>
                </c:pt>
                <c:pt idx="24">
                  <c:v>166.6695280114578</c:v>
                </c:pt>
                <c:pt idx="25">
                  <c:v>173.61409167860191</c:v>
                </c:pt>
                <c:pt idx="26">
                  <c:v>180.55865534574596</c:v>
                </c:pt>
                <c:pt idx="27">
                  <c:v>187.50321901289004</c:v>
                </c:pt>
                <c:pt idx="28">
                  <c:v>194.44778268003415</c:v>
                </c:pt>
                <c:pt idx="29">
                  <c:v>201.39234634717818</c:v>
                </c:pt>
                <c:pt idx="30">
                  <c:v>208.33691001432226</c:v>
                </c:pt>
                <c:pt idx="31">
                  <c:v>215.28147368146637</c:v>
                </c:pt>
                <c:pt idx="32">
                  <c:v>212.28432427268808</c:v>
                </c:pt>
                <c:pt idx="33">
                  <c:v>206.10691267739978</c:v>
                </c:pt>
                <c:pt idx="34">
                  <c:v>200.27828892639309</c:v>
                </c:pt>
                <c:pt idx="35">
                  <c:v>194.76972346628364</c:v>
                </c:pt>
                <c:pt idx="36">
                  <c:v>189.55555768608298</c:v>
                </c:pt>
                <c:pt idx="37">
                  <c:v>184.61280427508262</c:v>
                </c:pt>
                <c:pt idx="38">
                  <c:v>179.92080840728147</c:v>
                </c:pt>
                <c:pt idx="39">
                  <c:v>175.46095921862383</c:v>
                </c:pt>
                <c:pt idx="40">
                  <c:v>171.21644307777169</c:v>
                </c:pt>
                <c:pt idx="41">
                  <c:v>167.17203175397916</c:v>
                </c:pt>
                <c:pt idx="42">
                  <c:v>163.31389985624571</c:v>
                </c:pt>
                <c:pt idx="43">
                  <c:v>159.62946693110447</c:v>
                </c:pt>
                <c:pt idx="44">
                  <c:v>156.10726041882467</c:v>
                </c:pt>
                <c:pt idx="45">
                  <c:v>152.73679632271865</c:v>
                </c:pt>
                <c:pt idx="46">
                  <c:v>149.50847497686107</c:v>
                </c:pt>
                <c:pt idx="47">
                  <c:v>146.41348972952002</c:v>
                </c:pt>
                <c:pt idx="48">
                  <c:v>143.4437467129209</c:v>
                </c:pt>
                <c:pt idx="49">
                  <c:v>140.59179416022235</c:v>
                </c:pt>
                <c:pt idx="50">
                  <c:v>137.85075997003366</c:v>
                </c:pt>
                <c:pt idx="51">
                  <c:v>135.21429641714798</c:v>
                </c:pt>
                <c:pt idx="52">
                  <c:v>132.67653107309295</c:v>
                </c:pt>
                <c:pt idx="53">
                  <c:v>130.23202313775113</c:v>
                </c:pt>
                <c:pt idx="54">
                  <c:v>127.87572449860293</c:v>
                </c:pt>
                <c:pt idx="55">
                  <c:v>125.60294493104954</c:v>
                </c:pt>
                <c:pt idx="56">
                  <c:v>123.40932093499265</c:v>
                </c:pt>
                <c:pt idx="57">
                  <c:v>121.2907877719764</c:v>
                </c:pt>
                <c:pt idx="58">
                  <c:v>119.24355432585403</c:v>
                </c:pt>
                <c:pt idx="59">
                  <c:v>117.26408045986594</c:v>
                </c:pt>
                <c:pt idx="60">
                  <c:v>115.34905658561809</c:v>
                </c:pt>
                <c:pt idx="61">
                  <c:v>113.49538519591633</c:v>
                </c:pt>
                <c:pt idx="62">
                  <c:v>111.7001641446991</c:v>
                </c:pt>
                <c:pt idx="63">
                  <c:v>109.96067148422864</c:v>
                </c:pt>
                <c:pt idx="64">
                  <c:v>108.27435169291559</c:v>
                </c:pt>
                <c:pt idx="65">
                  <c:v>106.63880314722137</c:v>
                </c:pt>
                <c:pt idx="66">
                  <c:v>105.05176670847116</c:v>
                </c:pt>
                <c:pt idx="67">
                  <c:v>103.51111531051389</c:v>
                </c:pt>
                <c:pt idx="68">
                  <c:v>102.01484444731101</c:v>
                </c:pt>
                <c:pt idx="69">
                  <c:v>100.5610634709973</c:v>
                </c:pt>
                <c:pt idx="70">
                  <c:v>99.147987620981993</c:v>
                </c:pt>
                <c:pt idx="71">
                  <c:v>97.773930713427262</c:v>
                </c:pt>
                <c:pt idx="72">
                  <c:v>96.437298428145724</c:v>
                </c:pt>
                <c:pt idx="73">
                  <c:v>95.136582136723064</c:v>
                </c:pt>
                <c:pt idx="74">
                  <c:v>93.870353221633238</c:v>
                </c:pt>
                <c:pt idx="75">
                  <c:v>92.637257841374051</c:v>
                </c:pt>
                <c:pt idx="76">
                  <c:v>91.436012101293926</c:v>
                </c:pt>
                <c:pt idx="77">
                  <c:v>90.265397593899635</c:v>
                </c:pt>
                <c:pt idx="78">
                  <c:v>89.124257276078282</c:v>
                </c:pt>
                <c:pt idx="79">
                  <c:v>88.011491653908266</c:v>
                </c:pt>
                <c:pt idx="80">
                  <c:v>86.926055248615256</c:v>
                </c:pt>
                <c:pt idx="81">
                  <c:v>85.866953319795243</c:v>
                </c:pt>
                <c:pt idx="82">
                  <c:v>84.833238824317348</c:v>
                </c:pt>
                <c:pt idx="83">
                  <c:v>83.824009591364032</c:v>
                </c:pt>
                <c:pt idx="84">
                  <c:v>82.838405695897137</c:v>
                </c:pt>
                <c:pt idx="85">
                  <c:v>81.875607014477353</c:v>
                </c:pt>
                <c:pt idx="86">
                  <c:v>80.934830948836179</c:v>
                </c:pt>
                <c:pt idx="87">
                  <c:v>80.015330303919043</c:v>
                </c:pt>
                <c:pt idx="88">
                  <c:v>79.116391308308366</c:v>
                </c:pt>
                <c:pt idx="89">
                  <c:v>78.237331766003564</c:v>
                </c:pt>
                <c:pt idx="90">
                  <c:v>77.377499329500409</c:v>
                </c:pt>
                <c:pt idx="91">
                  <c:v>76.536269884982403</c:v>
                </c:pt>
                <c:pt idx="92">
                  <c:v>75.713046041223478</c:v>
                </c:pt>
                <c:pt idx="93">
                  <c:v>74.907255714513909</c:v>
                </c:pt>
                <c:pt idx="94">
                  <c:v>74.118350802564521</c:v>
                </c:pt>
                <c:pt idx="95">
                  <c:v>73.345805940930006</c:v>
                </c:pt>
                <c:pt idx="96">
                  <c:v>72.589117336021971</c:v>
                </c:pt>
                <c:pt idx="97">
                  <c:v>71.847801669264413</c:v>
                </c:pt>
                <c:pt idx="98">
                  <c:v>71.121395067382608</c:v>
                </c:pt>
                <c:pt idx="99">
                  <c:v>70.409452134215726</c:v>
                </c:pt>
                <c:pt idx="100">
                  <c:v>69.711545039806637</c:v>
                </c:pt>
              </c:numCache>
            </c:numRef>
          </c:val>
          <c:smooth val="0"/>
          <c:extLst>
            <c:ext xmlns:c16="http://schemas.microsoft.com/office/drawing/2014/chart" uri="{C3380CC4-5D6E-409C-BE32-E72D297353CC}">
              <c16:uniqueId val="{00000009-DE77-4B43-A489-D4421C0BE99A}"/>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c:v>
                </c:pt>
                <c:pt idx="2">
                  <c:v>13.889127334288151</c:v>
                </c:pt>
                <c:pt idx="3">
                  <c:v>20.833691001432225</c:v>
                </c:pt>
                <c:pt idx="4">
                  <c:v>27.778254668576302</c:v>
                </c:pt>
                <c:pt idx="5">
                  <c:v>34.722818335720376</c:v>
                </c:pt>
                <c:pt idx="6">
                  <c:v>41.66738200286445</c:v>
                </c:pt>
                <c:pt idx="7">
                  <c:v>48.611945670008538</c:v>
                </c:pt>
                <c:pt idx="8">
                  <c:v>55.556509337152605</c:v>
                </c:pt>
                <c:pt idx="9">
                  <c:v>62.501073004296671</c:v>
                </c:pt>
                <c:pt idx="10">
                  <c:v>69.445636671440752</c:v>
                </c:pt>
                <c:pt idx="11">
                  <c:v>76.390200338584819</c:v>
                </c:pt>
                <c:pt idx="12">
                  <c:v>83.3347640057289</c:v>
                </c:pt>
                <c:pt idx="13">
                  <c:v>90.279327672872981</c:v>
                </c:pt>
                <c:pt idx="14">
                  <c:v>97.223891340017076</c:v>
                </c:pt>
                <c:pt idx="15">
                  <c:v>104.16845500716113</c:v>
                </c:pt>
                <c:pt idx="16">
                  <c:v>111.11301867430521</c:v>
                </c:pt>
                <c:pt idx="17">
                  <c:v>118.0575823414493</c:v>
                </c:pt>
                <c:pt idx="18">
                  <c:v>125.00214600859334</c:v>
                </c:pt>
                <c:pt idx="19">
                  <c:v>131.94670967573745</c:v>
                </c:pt>
                <c:pt idx="20">
                  <c:v>138.8912733428815</c:v>
                </c:pt>
                <c:pt idx="21">
                  <c:v>145.83583701002559</c:v>
                </c:pt>
                <c:pt idx="22">
                  <c:v>152.78040067716964</c:v>
                </c:pt>
                <c:pt idx="23">
                  <c:v>159.72496434431372</c:v>
                </c:pt>
                <c:pt idx="24">
                  <c:v>166.6695280114578</c:v>
                </c:pt>
                <c:pt idx="25">
                  <c:v>173.61409167860191</c:v>
                </c:pt>
                <c:pt idx="26">
                  <c:v>180.55865534574596</c:v>
                </c:pt>
                <c:pt idx="27">
                  <c:v>187.50321901289004</c:v>
                </c:pt>
                <c:pt idx="28">
                  <c:v>194.44778268003415</c:v>
                </c:pt>
                <c:pt idx="29">
                  <c:v>201.39234634717818</c:v>
                </c:pt>
                <c:pt idx="30">
                  <c:v>208.33691001432226</c:v>
                </c:pt>
                <c:pt idx="31">
                  <c:v>215.28147368146637</c:v>
                </c:pt>
                <c:pt idx="32">
                  <c:v>222.22603734861042</c:v>
                </c:pt>
                <c:pt idx="33">
                  <c:v>229.1706010157545</c:v>
                </c:pt>
                <c:pt idx="34">
                  <c:v>236.11516468289861</c:v>
                </c:pt>
                <c:pt idx="35">
                  <c:v>243.0597283500426</c:v>
                </c:pt>
                <c:pt idx="36">
                  <c:v>250.00429201718669</c:v>
                </c:pt>
                <c:pt idx="37">
                  <c:v>237.55972718735387</c:v>
                </c:pt>
                <c:pt idx="38">
                  <c:v>231.60015096318938</c:v>
                </c:pt>
                <c:pt idx="39">
                  <c:v>225.93238417529975</c:v>
                </c:pt>
                <c:pt idx="40">
                  <c:v>220.53550598709793</c:v>
                </c:pt>
                <c:pt idx="41">
                  <c:v>215.3905487356939</c:v>
                </c:pt>
                <c:pt idx="42">
                  <c:v>210.48027519470898</c:v>
                </c:pt>
                <c:pt idx="43">
                  <c:v>205.78898563815912</c:v>
                </c:pt>
                <c:pt idx="44">
                  <c:v>201.30235015510937</c:v>
                </c:pt>
                <c:pt idx="45">
                  <c:v>197.0072624418882</c:v>
                </c:pt>
                <c:pt idx="46">
                  <c:v>192.8917119295561</c:v>
                </c:pt>
                <c:pt idx="47">
                  <c:v>188.94467161898564</c:v>
                </c:pt>
                <c:pt idx="48">
                  <c:v>185.1559994176398</c:v>
                </c:pt>
                <c:pt idx="49">
                  <c:v>181.51635111921755</c:v>
                </c:pt>
                <c:pt idx="50">
                  <c:v>178.01710345416637</c:v>
                </c:pt>
                <c:pt idx="51">
                  <c:v>174.65028587704097</c:v>
                </c:pt>
                <c:pt idx="52">
                  <c:v>171.40851995488921</c:v>
                </c:pt>
                <c:pt idx="53">
                  <c:v>168.28496538652499</c:v>
                </c:pt>
                <c:pt idx="54">
                  <c:v>165.27327182152305</c:v>
                </c:pt>
                <c:pt idx="55">
                  <c:v>162.36753576474561</c:v>
                </c:pt>
                <c:pt idx="56">
                  <c:v>159.56226195098171</c:v>
                </c:pt>
                <c:pt idx="57">
                  <c:v>156.85232865794958</c:v>
                </c:pt>
                <c:pt idx="58">
                  <c:v>154.23295649699344</c:v>
                </c:pt>
                <c:pt idx="59">
                  <c:v>151.69968028137856</c:v>
                </c:pt>
                <c:pt idx="60">
                  <c:v>149.24832362384043</c:v>
                </c:pt>
                <c:pt idx="61">
                  <c:v>146.87497595938945</c:v>
                </c:pt>
                <c:pt idx="62">
                  <c:v>144.57597172746438</c:v>
                </c:pt>
                <c:pt idx="63">
                  <c:v>142.34787148033178</c:v>
                </c:pt>
                <c:pt idx="64">
                  <c:v>140.18744471295213</c:v>
                </c:pt>
                <c:pt idx="65">
                  <c:v>138.09165423403914</c:v>
                </c:pt>
                <c:pt idx="66">
                  <c:v>136.05764191929816</c:v>
                </c:pt>
                <c:pt idx="67">
                  <c:v>134.08271570630646</c:v>
                </c:pt>
                <c:pt idx="68">
                  <c:v>132.16433770659413</c:v>
                </c:pt>
                <c:pt idx="69">
                  <c:v>130.30011332453935</c:v>
                </c:pt>
                <c:pt idx="70">
                  <c:v>128.48778128498083</c:v>
                </c:pt>
                <c:pt idx="71">
                  <c:v>126.72520448222465</c:v>
                </c:pt>
                <c:pt idx="72">
                  <c:v>125.01036157258297</c:v>
                </c:pt>
                <c:pt idx="73">
                  <c:v>123.34133924090466</c:v>
                </c:pt>
                <c:pt idx="74">
                  <c:v>121.71632507889161</c:v>
                </c:pt>
                <c:pt idx="75">
                  <c:v>120.13360101947298</c:v>
                </c:pt>
                <c:pt idx="76">
                  <c:v>118.59153727723347</c:v>
                </c:pt>
                <c:pt idx="77">
                  <c:v>117.0885867499691</c:v>
                </c:pt>
                <c:pt idx="78">
                  <c:v>115.62327984094196</c:v>
                </c:pt>
                <c:pt idx="79">
                  <c:v>114.19421966540757</c:v>
                </c:pt>
                <c:pt idx="80">
                  <c:v>112.80007760855031</c:v>
                </c:pt>
                <c:pt idx="81">
                  <c:v>111.43958920513199</c:v>
                </c:pt>
                <c:pt idx="82">
                  <c:v>110.11155031399747</c:v>
                </c:pt>
                <c:pt idx="83">
                  <c:v>108.8148135631079</c:v>
                </c:pt>
                <c:pt idx="84">
                  <c:v>107.54828504304437</c:v>
                </c:pt>
                <c:pt idx="85">
                  <c:v>106.31092122895225</c:v>
                </c:pt>
                <c:pt idx="86">
                  <c:v>105.10172611272458</c:v>
                </c:pt>
                <c:pt idx="87">
                  <c:v>103.91974852885863</c:v>
                </c:pt>
                <c:pt idx="88">
                  <c:v>102.76407965889683</c:v>
                </c:pt>
                <c:pt idx="89">
                  <c:v>101.63385070069127</c:v>
                </c:pt>
                <c:pt idx="90">
                  <c:v>100.52823068992902</c:v>
                </c:pt>
                <c:pt idx="91">
                  <c:v>99.44642446243995</c:v>
                </c:pt>
                <c:pt idx="92">
                  <c:v>98.387670746784281</c:v>
                </c:pt>
                <c:pt idx="93">
                  <c:v>97.351240377506087</c:v>
                </c:pt>
                <c:pt idx="94">
                  <c:v>96.33643462023872</c:v>
                </c:pt>
                <c:pt idx="95">
                  <c:v>95.342583600578479</c:v>
                </c:pt>
                <c:pt idx="96">
                  <c:v>94.369044829301842</c:v>
                </c:pt>
                <c:pt idx="97">
                  <c:v>93.415201817104048</c:v>
                </c:pt>
                <c:pt idx="98">
                  <c:v>92.480462772582598</c:v>
                </c:pt>
                <c:pt idx="99">
                  <c:v>91.564259377686852</c:v>
                </c:pt>
                <c:pt idx="100">
                  <c:v>90.66604563531078</c:v>
                </c:pt>
              </c:numCache>
            </c:numRef>
          </c:val>
          <c:smooth val="0"/>
          <c:extLst>
            <c:ext xmlns:c16="http://schemas.microsoft.com/office/drawing/2014/chart" uri="{C3380CC4-5D6E-409C-BE32-E72D297353CC}">
              <c16:uniqueId val="{0000000A-DE77-4B43-A489-D4421C0BE99A}"/>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c:v>
                </c:pt>
                <c:pt idx="2">
                  <c:v>13.88790822716947</c:v>
                </c:pt>
                <c:pt idx="3">
                  <c:v>20.831862340754203</c:v>
                </c:pt>
                <c:pt idx="4">
                  <c:v>27.775816454338941</c:v>
                </c:pt>
                <c:pt idx="5">
                  <c:v>34.719770567923675</c:v>
                </c:pt>
                <c:pt idx="6">
                  <c:v>41.663724681508405</c:v>
                </c:pt>
                <c:pt idx="7">
                  <c:v>48.607678795093143</c:v>
                </c:pt>
                <c:pt idx="8">
                  <c:v>55.551632908677881</c:v>
                </c:pt>
                <c:pt idx="9">
                  <c:v>62.495587022262612</c:v>
                </c:pt>
                <c:pt idx="10">
                  <c:v>69.43954113584735</c:v>
                </c:pt>
                <c:pt idx="11">
                  <c:v>76.383495249432102</c:v>
                </c:pt>
                <c:pt idx="12">
                  <c:v>83.327449363016811</c:v>
                </c:pt>
                <c:pt idx="13">
                  <c:v>90.271403476601549</c:v>
                </c:pt>
                <c:pt idx="14">
                  <c:v>97.215357590186287</c:v>
                </c:pt>
                <c:pt idx="15">
                  <c:v>104.15931170377101</c:v>
                </c:pt>
                <c:pt idx="16">
                  <c:v>111.10326581735576</c:v>
                </c:pt>
                <c:pt idx="17">
                  <c:v>118.0472199309405</c:v>
                </c:pt>
                <c:pt idx="18">
                  <c:v>124.99117404452522</c:v>
                </c:pt>
                <c:pt idx="19">
                  <c:v>131.93512815810996</c:v>
                </c:pt>
                <c:pt idx="20">
                  <c:v>138.8790822716947</c:v>
                </c:pt>
                <c:pt idx="21">
                  <c:v>145.82303638527941</c:v>
                </c:pt>
                <c:pt idx="22">
                  <c:v>152.7669904988642</c:v>
                </c:pt>
                <c:pt idx="23">
                  <c:v>159.71094461244891</c:v>
                </c:pt>
                <c:pt idx="24">
                  <c:v>166.65489872603362</c:v>
                </c:pt>
                <c:pt idx="25">
                  <c:v>173.59885283961839</c:v>
                </c:pt>
                <c:pt idx="26">
                  <c:v>180.5428069532031</c:v>
                </c:pt>
                <c:pt idx="27">
                  <c:v>187.48676106678786</c:v>
                </c:pt>
                <c:pt idx="28">
                  <c:v>194.43071518037257</c:v>
                </c:pt>
                <c:pt idx="29">
                  <c:v>201.37466929395728</c:v>
                </c:pt>
                <c:pt idx="30">
                  <c:v>208.31862340754202</c:v>
                </c:pt>
                <c:pt idx="31">
                  <c:v>215.26257752112676</c:v>
                </c:pt>
                <c:pt idx="32">
                  <c:v>222.20653163471152</c:v>
                </c:pt>
                <c:pt idx="33">
                  <c:v>229.15048574829626</c:v>
                </c:pt>
                <c:pt idx="34">
                  <c:v>236.094439861881</c:v>
                </c:pt>
                <c:pt idx="35">
                  <c:v>243.03839397546571</c:v>
                </c:pt>
                <c:pt idx="36">
                  <c:v>249.98234808905045</c:v>
                </c:pt>
                <c:pt idx="37">
                  <c:v>256.92630220263516</c:v>
                </c:pt>
                <c:pt idx="38">
                  <c:v>263.87025631621992</c:v>
                </c:pt>
                <c:pt idx="39">
                  <c:v>270.81421042980469</c:v>
                </c:pt>
                <c:pt idx="40">
                  <c:v>277.7581645433894</c:v>
                </c:pt>
                <c:pt idx="41">
                  <c:v>266.11462956577873</c:v>
                </c:pt>
                <c:pt idx="42">
                  <c:v>260.11864826767874</c:v>
                </c:pt>
                <c:pt idx="43">
                  <c:v>254.38738352869817</c:v>
                </c:pt>
                <c:pt idx="44">
                  <c:v>248.90368328794969</c:v>
                </c:pt>
                <c:pt idx="45">
                  <c:v>243.6518459593662</c:v>
                </c:pt>
                <c:pt idx="46">
                  <c:v>238.61747028070943</c:v>
                </c:pt>
                <c:pt idx="47">
                  <c:v>233.78732343633209</c:v>
                </c:pt>
                <c:pt idx="48">
                  <c:v>229.14922491065488</c:v>
                </c:pt>
                <c:pt idx="49">
                  <c:v>224.6919439258881</c:v>
                </c:pt>
                <c:pt idx="50">
                  <c:v>220.40510864585855</c:v>
                </c:pt>
                <c:pt idx="51">
                  <c:v>216.27912560069146</c:v>
                </c:pt>
                <c:pt idx="52">
                  <c:v>212.30510801475214</c:v>
                </c:pt>
                <c:pt idx="53">
                  <c:v>208.47481191086604</c:v>
                </c:pt>
                <c:pt idx="54">
                  <c:v>204.78057902397083</c:v>
                </c:pt>
                <c:pt idx="55">
                  <c:v>201.21528569233857</c:v>
                </c:pt>
                <c:pt idx="56">
                  <c:v>197.77229700865919</c:v>
                </c:pt>
                <c:pt idx="57">
                  <c:v>194.44542561009413</c:v>
                </c:pt>
                <c:pt idx="58">
                  <c:v>191.2288945687859</c:v>
                </c:pt>
                <c:pt idx="59">
                  <c:v>188.11730391458551</c:v>
                </c:pt>
                <c:pt idx="60">
                  <c:v>185.10560038188763</c:v>
                </c:pt>
                <c:pt idx="61">
                  <c:v>182.18905002403966</c:v>
                </c:pt>
                <c:pt idx="62">
                  <c:v>179.36321338314991</c:v>
                </c:pt>
                <c:pt idx="63">
                  <c:v>176.62392294136447</c:v>
                </c:pt>
                <c:pt idx="64">
                  <c:v>173.96726261273628</c:v>
                </c:pt>
                <c:pt idx="65">
                  <c:v>171.38954906344165</c:v>
                </c:pt>
                <c:pt idx="66">
                  <c:v>168.88731467296014</c:v>
                </c:pt>
                <c:pt idx="67">
                  <c:v>166.45729197046566</c:v>
                </c:pt>
                <c:pt idx="68">
                  <c:v>164.0963993995384</c:v>
                </c:pt>
                <c:pt idx="69">
                  <c:v>161.80172828078753</c:v>
                </c:pt>
                <c:pt idx="70">
                  <c:v>159.57053085640604</c:v>
                </c:pt>
                <c:pt idx="71">
                  <c:v>157.40020931333643</c:v>
                </c:pt>
                <c:pt idx="72">
                  <c:v>155.28830569284946</c:v>
                </c:pt>
                <c:pt idx="73">
                  <c:v>153.23249260413471</c:v>
                </c:pt>
                <c:pt idx="74">
                  <c:v>151.23056466814134</c:v>
                </c:pt>
                <c:pt idx="75">
                  <c:v>149.28043062553994</c:v>
                </c:pt>
                <c:pt idx="76">
                  <c:v>147.38010604943457</c:v>
                </c:pt>
                <c:pt idx="77">
                  <c:v>145.52770660944194</c:v>
                </c:pt>
                <c:pt idx="78">
                  <c:v>143.72144183907358</c:v>
                </c:pt>
                <c:pt idx="79">
                  <c:v>141.95960936308711</c:v>
                </c:pt>
                <c:pt idx="80">
                  <c:v>140.24058954568406</c:v>
                </c:pt>
                <c:pt idx="81">
                  <c:v>138.56284052418843</c:v>
                </c:pt>
                <c:pt idx="82">
                  <c:v>136.92489359619904</c:v>
                </c:pt>
                <c:pt idx="83">
                  <c:v>135.32534893120607</c:v>
                </c:pt>
                <c:pt idx="84">
                  <c:v>133.76287158035603</c:v>
                </c:pt>
                <c:pt idx="85">
                  <c:v>132.23618776045811</c:v>
                </c:pt>
                <c:pt idx="86">
                  <c:v>130.74408139049078</c:v>
                </c:pt>
                <c:pt idx="87">
                  <c:v>129.2853908608169</c:v>
                </c:pt>
                <c:pt idx="88">
                  <c:v>127.85900601706743</c:v>
                </c:pt>
                <c:pt idx="89">
                  <c:v>126.46386534223566</c:v>
                </c:pt>
                <c:pt idx="90">
                  <c:v>125.0989533219492</c:v>
                </c:pt>
                <c:pt idx="91">
                  <c:v>123.76329797917685</c:v>
                </c:pt>
                <c:pt idx="92">
                  <c:v>122.45596856579348</c:v>
                </c:pt>
                <c:pt idx="93">
                  <c:v>121.17607339948034</c:v>
                </c:pt>
                <c:pt idx="94">
                  <c:v>119.92275783539822</c:v>
                </c:pt>
                <c:pt idx="95">
                  <c:v>118.69520236293519</c:v>
                </c:pt>
                <c:pt idx="96">
                  <c:v>117.49262081862517</c:v>
                </c:pt>
                <c:pt idx="97">
                  <c:v>116.31425870704581</c:v>
                </c:pt>
                <c:pt idx="98">
                  <c:v>115.15939162216061</c:v>
                </c:pt>
                <c:pt idx="99">
                  <c:v>114.02732376216494</c:v>
                </c:pt>
                <c:pt idx="100">
                  <c:v>112.91738653143696</c:v>
                </c:pt>
              </c:numCache>
            </c:numRef>
          </c:val>
          <c:smooth val="0"/>
          <c:extLst>
            <c:ext xmlns:c16="http://schemas.microsoft.com/office/drawing/2014/chart" uri="{C3380CC4-5D6E-409C-BE32-E72D297353CC}">
              <c16:uniqueId val="{0000000B-DE77-4B43-A489-D4421C0BE99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DE77-4B43-A489-D4421C0BE99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DE77-4B43-A489-D4421C0BE99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DE77-4B43-A489-D4421C0BE99A}"/>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1.666668734584487E-2</c:v>
                </c:pt>
                <c:pt idx="1">
                  <c:v>1.671303530258568E-2</c:v>
                </c:pt>
                <c:pt idx="2">
                  <c:v>2.3225977753519898E-2</c:v>
                </c:pt>
                <c:pt idx="3">
                  <c:v>3.4838966630279841E-2</c:v>
                </c:pt>
                <c:pt idx="4">
                  <c:v>4.6451955507039795E-2</c:v>
                </c:pt>
                <c:pt idx="5">
                  <c:v>5.8064944383799742E-2</c:v>
                </c:pt>
                <c:pt idx="6">
                  <c:v>6.9677933260559682E-2</c:v>
                </c:pt>
                <c:pt idx="7">
                  <c:v>8.1290922137319657E-2</c:v>
                </c:pt>
                <c:pt idx="8">
                  <c:v>9.290391101407959E-2</c:v>
                </c:pt>
                <c:pt idx="9">
                  <c:v>0.10451689989083952</c:v>
                </c:pt>
                <c:pt idx="10">
                  <c:v>0.11612988876759948</c:v>
                </c:pt>
                <c:pt idx="11">
                  <c:v>0.1277428776443594</c:v>
                </c:pt>
                <c:pt idx="12">
                  <c:v>0.13935586652111936</c:v>
                </c:pt>
                <c:pt idx="13">
                  <c:v>0.1509688553978793</c:v>
                </c:pt>
                <c:pt idx="14">
                  <c:v>0.16258184427463931</c:v>
                </c:pt>
                <c:pt idx="15">
                  <c:v>0.17419483315139922</c:v>
                </c:pt>
                <c:pt idx="16">
                  <c:v>0.18580782202815918</c:v>
                </c:pt>
                <c:pt idx="17">
                  <c:v>0.19742081090491914</c:v>
                </c:pt>
                <c:pt idx="18">
                  <c:v>0.20903379978167905</c:v>
                </c:pt>
                <c:pt idx="19">
                  <c:v>0.22064678865843904</c:v>
                </c:pt>
                <c:pt idx="20">
                  <c:v>0.23225977753519897</c:v>
                </c:pt>
                <c:pt idx="21">
                  <c:v>0.24387276641195893</c:v>
                </c:pt>
                <c:pt idx="22">
                  <c:v>0.25548575528871881</c:v>
                </c:pt>
                <c:pt idx="23">
                  <c:v>0.2670987441654788</c:v>
                </c:pt>
                <c:pt idx="24">
                  <c:v>0.27871173304223873</c:v>
                </c:pt>
                <c:pt idx="25">
                  <c:v>0.29032472191899877</c:v>
                </c:pt>
                <c:pt idx="26">
                  <c:v>0.3019377107957586</c:v>
                </c:pt>
                <c:pt idx="27">
                  <c:v>0.31355069967251864</c:v>
                </c:pt>
                <c:pt idx="28">
                  <c:v>0.32516368854927863</c:v>
                </c:pt>
                <c:pt idx="29">
                  <c:v>0.33677667742603851</c:v>
                </c:pt>
                <c:pt idx="30">
                  <c:v>0.34838966630279844</c:v>
                </c:pt>
                <c:pt idx="31">
                  <c:v>0.36000265517955843</c:v>
                </c:pt>
                <c:pt idx="32">
                  <c:v>0.37161564405631836</c:v>
                </c:pt>
                <c:pt idx="33">
                  <c:v>0.38322863293307835</c:v>
                </c:pt>
                <c:pt idx="34">
                  <c:v>0.39484162180983828</c:v>
                </c:pt>
                <c:pt idx="35">
                  <c:v>0.40645461068659811</c:v>
                </c:pt>
                <c:pt idx="36">
                  <c:v>0.41806759956335809</c:v>
                </c:pt>
                <c:pt idx="37">
                  <c:v>0.3997532403576694</c:v>
                </c:pt>
                <c:pt idx="38">
                  <c:v>0.40029248055669814</c:v>
                </c:pt>
                <c:pt idx="39">
                  <c:v>0.40080732102948124</c:v>
                </c:pt>
                <c:pt idx="40">
                  <c:v>0.40129951120368001</c:v>
                </c:pt>
                <c:pt idx="41">
                  <c:v>0.40177063718003303</c:v>
                </c:pt>
                <c:pt idx="42">
                  <c:v>0.40222214035792786</c:v>
                </c:pt>
                <c:pt idx="43">
                  <c:v>0.40265533356897154</c:v>
                </c:pt>
                <c:pt idx="44">
                  <c:v>0.40307141509905525</c:v>
                </c:pt>
                <c:pt idx="45">
                  <c:v>0.40347148091444113</c:v>
                </c:pt>
                <c:pt idx="46">
                  <c:v>0.40385653535462873</c:v>
                </c:pt>
                <c:pt idx="47">
                  <c:v>0.40422750051173112</c:v>
                </c:pt>
                <c:pt idx="48">
                  <c:v>0.40458522448082246</c:v>
                </c:pt>
                <c:pt idx="49">
                  <c:v>0.4049304886366924</c:v>
                </c:pt>
                <c:pt idx="50">
                  <c:v>0.40526401406846319</c:v>
                </c:pt>
                <c:pt idx="51">
                  <c:v>0.4055864672836183</c:v>
                </c:pt>
                <c:pt idx="52">
                  <c:v>0.40589846527642509</c:v>
                </c:pt>
                <c:pt idx="53">
                  <c:v>0.40620058004187332</c:v>
                </c:pt>
                <c:pt idx="54">
                  <c:v>0.40649334260463338</c:v>
                </c:pt>
                <c:pt idx="55">
                  <c:v>0.40677724662275527</c:v>
                </c:pt>
                <c:pt idx="56">
                  <c:v>0.40705275161757232</c:v>
                </c:pt>
                <c:pt idx="57">
                  <c:v>0.40732028587427244</c:v>
                </c:pt>
                <c:pt idx="58">
                  <c:v>0.40758024905166074</c:v>
                </c:pt>
                <c:pt idx="59">
                  <c:v>0.4078330145345696</c:v>
                </c:pt>
                <c:pt idx="60">
                  <c:v>0.40807893155804392</c:v>
                </c:pt>
                <c:pt idx="61">
                  <c:v>0.40831832712872468</c:v>
                </c:pt>
                <c:pt idx="62">
                  <c:v>0.40855150776566412</c:v>
                </c:pt>
                <c:pt idx="63">
                  <c:v>0.40877876108006583</c:v>
                </c:pt>
                <c:pt idx="64">
                  <c:v>0.40900035721107403</c:v>
                </c:pt>
                <c:pt idx="65">
                  <c:v>0.40921655013268543</c:v>
                </c:pt>
                <c:pt idx="66">
                  <c:v>0.40942757884508185</c:v>
                </c:pt>
                <c:pt idx="67">
                  <c:v>0.40963366846213639</c:v>
                </c:pt>
                <c:pt idx="68">
                  <c:v>0.40983503120549464</c:v>
                </c:pt>
                <c:pt idx="69">
                  <c:v>0.41003186731446911</c:v>
                </c:pt>
                <c:pt idx="70">
                  <c:v>0.41022436587994171</c:v>
                </c:pt>
                <c:pt idx="71">
                  <c:v>0.41041270560958198</c:v>
                </c:pt>
                <c:pt idx="72">
                  <c:v>0.4105970555308901</c:v>
                </c:pt>
                <c:pt idx="73">
                  <c:v>0.4107775756378797</c:v>
                </c:pt>
                <c:pt idx="74">
                  <c:v>0.410954417486602</c:v>
                </c:pt>
                <c:pt idx="75">
                  <c:v>0.41112772474417258</c:v>
                </c:pt>
                <c:pt idx="76">
                  <c:v>0.41129763369547995</c:v>
                </c:pt>
                <c:pt idx="77">
                  <c:v>0.41146427371133498</c:v>
                </c:pt>
                <c:pt idx="78">
                  <c:v>0.41162776768144094</c:v>
                </c:pt>
                <c:pt idx="79">
                  <c:v>0.41178823241522949</c:v>
                </c:pt>
                <c:pt idx="80">
                  <c:v>0.41194577901331242</c:v>
                </c:pt>
                <c:pt idx="81">
                  <c:v>0.41210051321203017</c:v>
                </c:pt>
                <c:pt idx="82">
                  <c:v>0.41225253570334514</c:v>
                </c:pt>
                <c:pt idx="83">
                  <c:v>0.41240194243211237</c:v>
                </c:pt>
                <c:pt idx="84">
                  <c:v>0.41254882487257311</c:v>
                </c:pt>
                <c:pt idx="85">
                  <c:v>0.41269327028574593</c:v>
                </c:pt>
                <c:pt idx="86">
                  <c:v>0.41283536195923737</c:v>
                </c:pt>
                <c:pt idx="87">
                  <c:v>0.41297517943085682</c:v>
                </c:pt>
                <c:pt idx="88">
                  <c:v>0.41311279869729872</c:v>
                </c:pt>
                <c:pt idx="89">
                  <c:v>0.41324829240904215</c:v>
                </c:pt>
                <c:pt idx="90">
                  <c:v>0.4133817300525166</c:v>
                </c:pt>
                <c:pt idx="91">
                  <c:v>0.41351317812049765</c:v>
                </c:pt>
                <c:pt idx="92">
                  <c:v>0.41364270027160649</c:v>
                </c:pt>
                <c:pt idx="93">
                  <c:v>0.41377035747972024</c:v>
                </c:pt>
                <c:pt idx="94">
                  <c:v>0.41389620817402856</c:v>
                </c:pt>
                <c:pt idx="95">
                  <c:v>0.41402030837041415</c:v>
                </c:pt>
                <c:pt idx="96">
                  <c:v>0.41414271179477452</c:v>
                </c:pt>
                <c:pt idx="97">
                  <c:v>0.41426346999886093</c:v>
                </c:pt>
                <c:pt idx="98">
                  <c:v>0.41438263246915352</c:v>
                </c:pt>
                <c:pt idx="99">
                  <c:v>0.41450024672926022</c:v>
                </c:pt>
                <c:pt idx="100">
                  <c:v>0.41461635843628281</c:v>
                </c:pt>
              </c:numCache>
            </c:numRef>
          </c:val>
          <c:smooth val="0"/>
          <c:extLst>
            <c:ext xmlns:c16="http://schemas.microsoft.com/office/drawing/2014/chart" uri="{C3380CC4-5D6E-409C-BE32-E72D297353CC}">
              <c16:uniqueId val="{0000000F-DE77-4B43-A489-D4421C0BE99A}"/>
            </c:ext>
          </c:extLst>
        </c:ser>
        <c:ser>
          <c:idx val="7"/>
          <c:order val="7"/>
          <c:spPr>
            <a:ln w="25400">
              <a:solidFill>
                <a:srgbClr val="00B050"/>
              </a:solidFill>
              <a:prstDash val="dash"/>
            </a:ln>
          </c:spPr>
          <c:marker>
            <c:symbol val="none"/>
          </c:marker>
          <c:val>
            <c:numRef>
              <c:f>'Calculations - Dual'!$AU$110:$AU$210</c:f>
              <c:numCache>
                <c:formatCode>0.000</c:formatCode>
                <c:ptCount val="101"/>
                <c:pt idx="0">
                  <c:v>2.2227840682823276E-2</c:v>
                </c:pt>
                <c:pt idx="1">
                  <c:v>2.2304731869941211E-2</c:v>
                </c:pt>
                <c:pt idx="2">
                  <c:v>4.6503807460942133E-2</c:v>
                </c:pt>
                <c:pt idx="3">
                  <c:v>4.6503807460942133E-2</c:v>
                </c:pt>
                <c:pt idx="4">
                  <c:v>6.2005076614589517E-2</c:v>
                </c:pt>
                <c:pt idx="5">
                  <c:v>7.7506345768236895E-2</c:v>
                </c:pt>
                <c:pt idx="6">
                  <c:v>9.3007614921884266E-2</c:v>
                </c:pt>
                <c:pt idx="7">
                  <c:v>0.10850888407553169</c:v>
                </c:pt>
                <c:pt idx="8">
                  <c:v>0.12401015322917903</c:v>
                </c:pt>
                <c:pt idx="9">
                  <c:v>0.13951142238282641</c:v>
                </c:pt>
                <c:pt idx="10">
                  <c:v>0.15501269153647379</c:v>
                </c:pt>
                <c:pt idx="11">
                  <c:v>0.17051396069012115</c:v>
                </c:pt>
                <c:pt idx="12">
                  <c:v>0.18601522984376853</c:v>
                </c:pt>
                <c:pt idx="13">
                  <c:v>0.20151649899741592</c:v>
                </c:pt>
                <c:pt idx="14">
                  <c:v>0.21701776815106338</c:v>
                </c:pt>
                <c:pt idx="15">
                  <c:v>0.23251903730471069</c:v>
                </c:pt>
                <c:pt idx="16">
                  <c:v>0.24802030645835807</c:v>
                </c:pt>
                <c:pt idx="17">
                  <c:v>0.26352157561200545</c:v>
                </c:pt>
                <c:pt idx="18">
                  <c:v>0.27902284476565281</c:v>
                </c:pt>
                <c:pt idx="19">
                  <c:v>0.29452411391930022</c:v>
                </c:pt>
                <c:pt idx="20">
                  <c:v>0.31002538307294758</c:v>
                </c:pt>
                <c:pt idx="21">
                  <c:v>0.32552665222659499</c:v>
                </c:pt>
                <c:pt idx="22">
                  <c:v>0.34102792138024229</c:v>
                </c:pt>
                <c:pt idx="23">
                  <c:v>0.35652919053388971</c:v>
                </c:pt>
                <c:pt idx="24">
                  <c:v>0.37203045968753706</c:v>
                </c:pt>
                <c:pt idx="25">
                  <c:v>0.38753172884118459</c:v>
                </c:pt>
                <c:pt idx="26">
                  <c:v>0.40303299799483183</c:v>
                </c:pt>
                <c:pt idx="27">
                  <c:v>0.4185342671484793</c:v>
                </c:pt>
                <c:pt idx="28">
                  <c:v>0.43403553630212677</c:v>
                </c:pt>
                <c:pt idx="29">
                  <c:v>0.44953680545577401</c:v>
                </c:pt>
                <c:pt idx="30">
                  <c:v>0.46503807460942137</c:v>
                </c:pt>
                <c:pt idx="31">
                  <c:v>0.48053934376306884</c:v>
                </c:pt>
                <c:pt idx="32">
                  <c:v>0.47385291246670824</c:v>
                </c:pt>
                <c:pt idx="33">
                  <c:v>0.47097741515476022</c:v>
                </c:pt>
                <c:pt idx="34">
                  <c:v>0.47160434679260022</c:v>
                </c:pt>
                <c:pt idx="35">
                  <c:v>0.47219996195390646</c:v>
                </c:pt>
                <c:pt idx="36">
                  <c:v>0.47276677149556451</c:v>
                </c:pt>
                <c:pt idx="37">
                  <c:v>0.47330702487091236</c:v>
                </c:pt>
                <c:pt idx="38">
                  <c:v>0.47382274328497553</c:v>
                </c:pt>
                <c:pt idx="39">
                  <c:v>0.47431574792823694</c:v>
                </c:pt>
                <c:pt idx="40">
                  <c:v>0.47478768412064426</c:v>
                </c:pt>
                <c:pt idx="41">
                  <c:v>0.47524004204071713</c:v>
                </c:pt>
                <c:pt idx="42">
                  <c:v>0.475674174590275</c:v>
                </c:pt>
                <c:pt idx="43">
                  <c:v>0.4760913128461628</c:v>
                </c:pt>
                <c:pt idx="44">
                  <c:v>0.47649257947084944</c:v>
                </c:pt>
                <c:pt idx="45">
                  <c:v>0.47687900038968672</c:v>
                </c:pt>
                <c:pt idx="46">
                  <c:v>0.4772515149906944</c:v>
                </c:pt>
                <c:pt idx="47">
                  <c:v>0.47761098506046201</c:v>
                </c:pt>
                <c:pt idx="48">
                  <c:v>0.47795820263518113</c:v>
                </c:pt>
                <c:pt idx="49">
                  <c:v>0.47829389691742524</c:v>
                </c:pt>
                <c:pt idx="50">
                  <c:v>0.47861874038585456</c:v>
                </c:pt>
                <c:pt idx="51">
                  <c:v>0.47893335420561889</c:v>
                </c:pt>
                <c:pt idx="52">
                  <c:v>0.47923831303109027</c:v>
                </c:pt>
                <c:pt idx="53">
                  <c:v>0.47953414927908933</c:v>
                </c:pt>
                <c:pt idx="54">
                  <c:v>0.47982135693948347</c:v>
                </c:pt>
                <c:pt idx="55">
                  <c:v>0.48010039498055357</c:v>
                </c:pt>
                <c:pt idx="56">
                  <c:v>0.480371690398532</c:v>
                </c:pt>
                <c:pt idx="57">
                  <c:v>0.48063564095394345</c:v>
                </c:pt>
                <c:pt idx="58">
                  <c:v>0.48089261763164731</c:v>
                </c:pt>
                <c:pt idx="59">
                  <c:v>0.48114296685659003</c:v>
                </c:pt>
                <c:pt idx="60">
                  <c:v>0.48138701249310928</c:v>
                </c:pt>
                <c:pt idx="61">
                  <c:v>0.48162505765206176</c:v>
                </c:pt>
                <c:pt idx="62">
                  <c:v>0.48185738632698849</c:v>
                </c:pt>
                <c:pt idx="63">
                  <c:v>0.48208426487788969</c:v>
                </c:pt>
                <c:pt idx="64">
                  <c:v>0.48230594337891908</c:v>
                </c:pt>
                <c:pt idx="65">
                  <c:v>0.48252265684433787</c:v>
                </c:pt>
                <c:pt idx="66">
                  <c:v>0.48273462634536585</c:v>
                </c:pt>
                <c:pt idx="67">
                  <c:v>0.48294206002909562</c:v>
                </c:pt>
                <c:pt idx="68">
                  <c:v>0.48314515404934094</c:v>
                </c:pt>
                <c:pt idx="69">
                  <c:v>0.48334409341817636</c:v>
                </c:pt>
                <c:pt idx="70">
                  <c:v>0.48353905278594067</c:v>
                </c:pt>
                <c:pt idx="71">
                  <c:v>0.48373019715661641</c:v>
                </c:pt>
                <c:pt idx="72">
                  <c:v>0.48391768254474998</c:v>
                </c:pt>
                <c:pt idx="73">
                  <c:v>0.48410165657940807</c:v>
                </c:pt>
                <c:pt idx="74">
                  <c:v>0.48428225906008826</c:v>
                </c:pt>
                <c:pt idx="75">
                  <c:v>0.48445962246898416</c:v>
                </c:pt>
                <c:pt idx="76">
                  <c:v>0.48463387244354905</c:v>
                </c:pt>
                <c:pt idx="77">
                  <c:v>0.48480512821290606</c:v>
                </c:pt>
                <c:pt idx="78">
                  <c:v>0.48497350300128672</c:v>
                </c:pt>
                <c:pt idx="79">
                  <c:v>0.48513910440137298</c:v>
                </c:pt>
                <c:pt idx="80">
                  <c:v>0.48530203472012379</c:v>
                </c:pt>
                <c:pt idx="81">
                  <c:v>0.48546239129942953</c:v>
                </c:pt>
                <c:pt idx="82">
                  <c:v>0.48562026681370207</c:v>
                </c:pt>
                <c:pt idx="83">
                  <c:v>0.48577574954631519</c:v>
                </c:pt>
                <c:pt idx="84">
                  <c:v>0.48592892364662715</c:v>
                </c:pt>
                <c:pt idx="85">
                  <c:v>0.48607986936915892</c:v>
                </c:pt>
                <c:pt idx="86">
                  <c:v>0.48622866329635772</c:v>
                </c:pt>
                <c:pt idx="87">
                  <c:v>0.48637537854624358</c:v>
                </c:pt>
                <c:pt idx="88">
                  <c:v>0.48652008496612259</c:v>
                </c:pt>
                <c:pt idx="89">
                  <c:v>0.48666284931344822</c:v>
                </c:pt>
                <c:pt idx="90">
                  <c:v>0.48680373542481065</c:v>
                </c:pt>
                <c:pt idx="91">
                  <c:v>0.48694280437395554</c:v>
                </c:pt>
                <c:pt idx="92">
                  <c:v>0.48708011461965522</c:v>
                </c:pt>
                <c:pt idx="93">
                  <c:v>0.48721572214418235</c:v>
                </c:pt>
                <c:pt idx="94">
                  <c:v>0.48734968058307654</c:v>
                </c:pt>
                <c:pt idx="95">
                  <c:v>0.4874820413468362</c:v>
                </c:pt>
                <c:pt idx="96">
                  <c:v>0.48761285373511565</c:v>
                </c:pt>
                <c:pt idx="97">
                  <c:v>0.48774216504396056</c:v>
                </c:pt>
                <c:pt idx="98">
                  <c:v>0.48787002066657126</c:v>
                </c:pt>
                <c:pt idx="99">
                  <c:v>0.48799646418804637</c:v>
                </c:pt>
                <c:pt idx="100">
                  <c:v>0.48812153747452097</c:v>
                </c:pt>
              </c:numCache>
            </c:numRef>
          </c:val>
          <c:smooth val="0"/>
          <c:extLst>
            <c:ext xmlns:c16="http://schemas.microsoft.com/office/drawing/2014/chart" uri="{C3380CC4-5D6E-409C-BE32-E72D297353CC}">
              <c16:uniqueId val="{00000010-DE77-4B43-A489-D4421C0BE99A}"/>
            </c:ext>
          </c:extLst>
        </c:ser>
        <c:ser>
          <c:idx val="8"/>
          <c:order val="8"/>
          <c:spPr>
            <a:ln w="25400">
              <a:solidFill>
                <a:srgbClr val="FF0000"/>
              </a:solidFill>
            </a:ln>
          </c:spPr>
          <c:marker>
            <c:symbol val="none"/>
          </c:marker>
          <c:val>
            <c:numRef>
              <c:f>'Calculations - Dual'!$AU$216:$AU$316</c:f>
              <c:numCache>
                <c:formatCode>0.000</c:formatCode>
                <c:ptCount val="101"/>
                <c:pt idx="0">
                  <c:v>1.2501721339313591E-2</c:v>
                </c:pt>
                <c:pt idx="1">
                  <c:v>1.2525843859803218E-2</c:v>
                </c:pt>
                <c:pt idx="2">
                  <c:v>1.7403032611332515E-2</c:v>
                </c:pt>
                <c:pt idx="3">
                  <c:v>2.6104548916998767E-2</c:v>
                </c:pt>
                <c:pt idx="4">
                  <c:v>3.4806065222665029E-2</c:v>
                </c:pt>
                <c:pt idx="5">
                  <c:v>4.3507581528331278E-2</c:v>
                </c:pt>
                <c:pt idx="6">
                  <c:v>5.2209097833997534E-2</c:v>
                </c:pt>
                <c:pt idx="7">
                  <c:v>6.0910614139663796E-2</c:v>
                </c:pt>
                <c:pt idx="8">
                  <c:v>6.9612130445330059E-2</c:v>
                </c:pt>
                <c:pt idx="9">
                  <c:v>7.8313646750996294E-2</c:v>
                </c:pt>
                <c:pt idx="10">
                  <c:v>8.7015163056662556E-2</c:v>
                </c:pt>
                <c:pt idx="11">
                  <c:v>9.5716679362328846E-2</c:v>
                </c:pt>
                <c:pt idx="12">
                  <c:v>0.10441819566799507</c:v>
                </c:pt>
                <c:pt idx="13">
                  <c:v>0.11311971197366133</c:v>
                </c:pt>
                <c:pt idx="14">
                  <c:v>0.12182122827932759</c:v>
                </c:pt>
                <c:pt idx="15">
                  <c:v>0.13052274458499383</c:v>
                </c:pt>
                <c:pt idx="16">
                  <c:v>0.13922426089066012</c:v>
                </c:pt>
                <c:pt idx="17">
                  <c:v>0.14792577719632635</c:v>
                </c:pt>
                <c:pt idx="18">
                  <c:v>0.15662729350199259</c:v>
                </c:pt>
                <c:pt idx="19">
                  <c:v>0.16532880980765888</c:v>
                </c:pt>
                <c:pt idx="20">
                  <c:v>0.17403032611332511</c:v>
                </c:pt>
                <c:pt idx="21">
                  <c:v>0.18273184241899135</c:v>
                </c:pt>
                <c:pt idx="22">
                  <c:v>0.19143335872465769</c:v>
                </c:pt>
                <c:pt idx="23">
                  <c:v>0.2001348750303239</c:v>
                </c:pt>
                <c:pt idx="24">
                  <c:v>0.20883639133599013</c:v>
                </c:pt>
                <c:pt idx="25">
                  <c:v>0.21753790764165643</c:v>
                </c:pt>
                <c:pt idx="26">
                  <c:v>0.22623942394732266</c:v>
                </c:pt>
                <c:pt idx="27">
                  <c:v>0.23494094025298895</c:v>
                </c:pt>
                <c:pt idx="28">
                  <c:v>0.24364245655865518</c:v>
                </c:pt>
                <c:pt idx="29">
                  <c:v>0.25234397286432136</c:v>
                </c:pt>
                <c:pt idx="30">
                  <c:v>0.26104548916998765</c:v>
                </c:pt>
                <c:pt idx="31">
                  <c:v>0.26974700547565389</c:v>
                </c:pt>
                <c:pt idx="32">
                  <c:v>0.27844852178132024</c:v>
                </c:pt>
                <c:pt idx="33">
                  <c:v>0.28715003808698641</c:v>
                </c:pt>
                <c:pt idx="34">
                  <c:v>0.2958515543926527</c:v>
                </c:pt>
                <c:pt idx="35">
                  <c:v>0.30455307069831894</c:v>
                </c:pt>
                <c:pt idx="36">
                  <c:v>0.31325458700398517</c:v>
                </c:pt>
                <c:pt idx="37">
                  <c:v>0.32195610330965146</c:v>
                </c:pt>
                <c:pt idx="38">
                  <c:v>0.33065761961531775</c:v>
                </c:pt>
                <c:pt idx="39">
                  <c:v>0.33935913592098405</c:v>
                </c:pt>
                <c:pt idx="40">
                  <c:v>0.34806065222665022</c:v>
                </c:pt>
                <c:pt idx="41">
                  <c:v>0.33347785628125876</c:v>
                </c:pt>
                <c:pt idx="42">
                  <c:v>0.33318487441349848</c:v>
                </c:pt>
                <c:pt idx="43">
                  <c:v>0.33361524253154035</c:v>
                </c:pt>
                <c:pt idx="44">
                  <c:v>0.33402827282142605</c:v>
                </c:pt>
                <c:pt idx="45">
                  <c:v>0.33442506498228058</c:v>
                </c:pt>
                <c:pt idx="46">
                  <c:v>0.33480662764186203</c:v>
                </c:pt>
                <c:pt idx="47">
                  <c:v>0.33517388759290606</c:v>
                </c:pt>
                <c:pt idx="48">
                  <c:v>0.33552769792773379</c:v>
                </c:pt>
                <c:pt idx="49">
                  <c:v>0.33586884522145083</c:v>
                </c:pt>
                <c:pt idx="50">
                  <c:v>0.33619805589108104</c:v>
                </c:pt>
                <c:pt idx="51">
                  <c:v>0.33651600183885622</c:v>
                </c:pt>
                <c:pt idx="52">
                  <c:v>0.33682330547194456</c:v>
                </c:pt>
                <c:pt idx="53">
                  <c:v>0.33712054417754761</c:v>
                </c:pt>
                <c:pt idx="54">
                  <c:v>0.33740825432108357</c:v>
                </c:pt>
                <c:pt idx="55">
                  <c:v>0.33768693482571494</c:v>
                </c:pt>
                <c:pt idx="56">
                  <c:v>0.3379570503834905</c:v>
                </c:pt>
                <c:pt idx="57">
                  <c:v>0.33821903434158479</c:v>
                </c:pt>
                <c:pt idx="58">
                  <c:v>0.33847329130135173</c:v>
                </c:pt>
                <c:pt idx="59">
                  <c:v>0.33872019946298826</c:v>
                </c:pt>
                <c:pt idx="60">
                  <c:v>0.33896011274438831</c:v>
                </c:pt>
                <c:pt idx="61">
                  <c:v>0.33919336269916028</c:v>
                </c:pt>
                <c:pt idx="62">
                  <c:v>0.3394202602556699</c:v>
                </c:pt>
                <c:pt idx="63">
                  <c:v>0.33964109729629599</c:v>
                </c:pt>
                <c:pt idx="64">
                  <c:v>0.3398561480937668</c:v>
                </c:pt>
                <c:pt idx="65">
                  <c:v>0.34006567061944548</c:v>
                </c:pt>
                <c:pt idx="66">
                  <c:v>0.34026990773668464</c:v>
                </c:pt>
                <c:pt idx="67">
                  <c:v>0.34046908829086264</c:v>
                </c:pt>
                <c:pt idx="68">
                  <c:v>0.3406634281063865</c:v>
                </c:pt>
                <c:pt idx="69">
                  <c:v>0.34085313089979669</c:v>
                </c:pt>
                <c:pt idx="70">
                  <c:v>0.34103838911709572</c:v>
                </c:pt>
                <c:pt idx="71">
                  <c:v>0.34121938470253832</c:v>
                </c:pt>
                <c:pt idx="72">
                  <c:v>0.3413962898053382</c:v>
                </c:pt>
                <c:pt idx="73">
                  <c:v>0.34156926743006488</c:v>
                </c:pt>
                <c:pt idx="74">
                  <c:v>0.3417384720358953</c:v>
                </c:pt>
                <c:pt idx="75">
                  <c:v>0.34190405008935132</c:v>
                </c:pt>
                <c:pt idx="76">
                  <c:v>0.34206614057468393</c:v>
                </c:pt>
                <c:pt idx="77">
                  <c:v>0.34222487546563946</c:v>
                </c:pt>
                <c:pt idx="78">
                  <c:v>0.34238038016197592</c:v>
                </c:pt>
                <c:pt idx="79">
                  <c:v>0.34253277389376513</c:v>
                </c:pt>
                <c:pt idx="80">
                  <c:v>0.34268217009621899</c:v>
                </c:pt>
                <c:pt idx="81">
                  <c:v>0.34282867675751816</c:v>
                </c:pt>
                <c:pt idx="82">
                  <c:v>0.34297239674188396</c:v>
                </c:pt>
                <c:pt idx="83">
                  <c:v>0.34311342808992629</c:v>
                </c:pt>
                <c:pt idx="84">
                  <c:v>0.34325186429810856</c:v>
                </c:pt>
                <c:pt idx="85">
                  <c:v>0.3433877945790077</c:v>
                </c:pt>
                <c:pt idx="86">
                  <c:v>0.34352130410388726</c:v>
                </c:pt>
                <c:pt idx="87">
                  <c:v>0.3436524742289741</c:v>
                </c:pt>
                <c:pt idx="88">
                  <c:v>0.34378138270669906</c:v>
                </c:pt>
                <c:pt idx="89">
                  <c:v>0.34390810388305615</c:v>
                </c:pt>
                <c:pt idx="90">
                  <c:v>0.34403270888213211</c:v>
                </c:pt>
                <c:pt idx="91">
                  <c:v>0.34415526577876904</c:v>
                </c:pt>
                <c:pt idx="92">
                  <c:v>0.34427583976024206</c:v>
                </c:pt>
                <c:pt idx="93">
                  <c:v>0.3443944932777559</c:v>
                </c:pt>
                <c:pt idx="94">
                  <c:v>0.34451128618850563</c:v>
                </c:pt>
                <c:pt idx="95">
                  <c:v>0.34462627588897365</c:v>
                </c:pt>
                <c:pt idx="96">
                  <c:v>0.34473951744009368</c:v>
                </c:pt>
                <c:pt idx="97">
                  <c:v>0.34485106368485058</c:v>
                </c:pt>
                <c:pt idx="98">
                  <c:v>0.34496096535884474</c:v>
                </c:pt>
                <c:pt idx="99">
                  <c:v>0.34506927119430952</c:v>
                </c:pt>
                <c:pt idx="100">
                  <c:v>0.34517602801802633</c:v>
                </c:pt>
              </c:numCache>
            </c:numRef>
          </c:val>
          <c:smooth val="0"/>
          <c:extLst>
            <c:ext xmlns:c16="http://schemas.microsoft.com/office/drawing/2014/chart" uri="{C3380CC4-5D6E-409C-BE32-E72D297353CC}">
              <c16:uniqueId val="{00000011-DE77-4B43-A489-D4421C0BE99A}"/>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13.333333333333334</c:v>
                </c:pt>
                <c:pt idx="17">
                  <c:v>13.333333333333334</c:v>
                </c:pt>
                <c:pt idx="18">
                  <c:v>13.333333333333334</c:v>
                </c:pt>
                <c:pt idx="19">
                  <c:v>13.333333333333334</c:v>
                </c:pt>
                <c:pt idx="20">
                  <c:v>13.333333333333334</c:v>
                </c:pt>
                <c:pt idx="21">
                  <c:v>13.333333333333334</c:v>
                </c:pt>
                <c:pt idx="22">
                  <c:v>13.333333333333334</c:v>
                </c:pt>
                <c:pt idx="23">
                  <c:v>13.333333333333334</c:v>
                </c:pt>
                <c:pt idx="24">
                  <c:v>13.333333333333334</c:v>
                </c:pt>
                <c:pt idx="25">
                  <c:v>13.333333333333334</c:v>
                </c:pt>
                <c:pt idx="26">
                  <c:v>13.333333333333334</c:v>
                </c:pt>
                <c:pt idx="27">
                  <c:v>13.333333333333334</c:v>
                </c:pt>
                <c:pt idx="28">
                  <c:v>13.333333333333334</c:v>
                </c:pt>
                <c:pt idx="29">
                  <c:v>13.333333333333334</c:v>
                </c:pt>
                <c:pt idx="30">
                  <c:v>13.333333333333334</c:v>
                </c:pt>
                <c:pt idx="31">
                  <c:v>13.333333333333334</c:v>
                </c:pt>
                <c:pt idx="32">
                  <c:v>13.333333333333334</c:v>
                </c:pt>
                <c:pt idx="33">
                  <c:v>13.647714392453715</c:v>
                </c:pt>
                <c:pt idx="34">
                  <c:v>14.061628289627151</c:v>
                </c:pt>
                <c:pt idx="35">
                  <c:v>14.475562974716766</c:v>
                </c:pt>
                <c:pt idx="36">
                  <c:v>14.889518481091446</c:v>
                </c:pt>
                <c:pt idx="37">
                  <c:v>15.303494842130211</c:v>
                </c:pt>
                <c:pt idx="38">
                  <c:v>15.717492091222253</c:v>
                </c:pt>
                <c:pt idx="39">
                  <c:v>16.131510261766906</c:v>
                </c:pt>
                <c:pt idx="40">
                  <c:v>16.54554938717369</c:v>
                </c:pt>
                <c:pt idx="41">
                  <c:v>16.95960950086231</c:v>
                </c:pt>
                <c:pt idx="42">
                  <c:v>17.373690636262655</c:v>
                </c:pt>
                <c:pt idx="43">
                  <c:v>17.787792826814833</c:v>
                </c:pt>
                <c:pt idx="44">
                  <c:v>18.201916105969158</c:v>
                </c:pt>
                <c:pt idx="45">
                  <c:v>18.616060507186177</c:v>
                </c:pt>
                <c:pt idx="46">
                  <c:v>19.030226063936674</c:v>
                </c:pt>
                <c:pt idx="47">
                  <c:v>19.444412809701667</c:v>
                </c:pt>
                <c:pt idx="48">
                  <c:v>19.858620777972476</c:v>
                </c:pt>
                <c:pt idx="49">
                  <c:v>20.272850002250646</c:v>
                </c:pt>
                <c:pt idx="50">
                  <c:v>20.687100516048023</c:v>
                </c:pt>
                <c:pt idx="51">
                  <c:v>21.101372352886752</c:v>
                </c:pt>
                <c:pt idx="52">
                  <c:v>21.51566554629926</c:v>
                </c:pt>
                <c:pt idx="53">
                  <c:v>21.929980129828319</c:v>
                </c:pt>
                <c:pt idx="54">
                  <c:v>22.344316137027</c:v>
                </c:pt>
                <c:pt idx="55">
                  <c:v>22.75867360145871</c:v>
                </c:pt>
                <c:pt idx="56">
                  <c:v>23.173052556697236</c:v>
                </c:pt>
                <c:pt idx="57">
                  <c:v>23.587453036326671</c:v>
                </c:pt>
                <c:pt idx="58">
                  <c:v>24.001875073941527</c:v>
                </c:pt>
                <c:pt idx="59">
                  <c:v>24.416318703146672</c:v>
                </c:pt>
                <c:pt idx="60">
                  <c:v>24.830783957557355</c:v>
                </c:pt>
                <c:pt idx="61">
                  <c:v>25.245270870799242</c:v>
                </c:pt>
                <c:pt idx="62">
                  <c:v>25.659779476508415</c:v>
                </c:pt>
                <c:pt idx="63">
                  <c:v>26.07430980833136</c:v>
                </c:pt>
                <c:pt idx="64">
                  <c:v>26.488861899925023</c:v>
                </c:pt>
                <c:pt idx="65">
                  <c:v>26.903435784956777</c:v>
                </c:pt>
                <c:pt idx="66">
                  <c:v>27.31803149710445</c:v>
                </c:pt>
                <c:pt idx="67">
                  <c:v>27.732649070056361</c:v>
                </c:pt>
                <c:pt idx="68">
                  <c:v>28.147288537511262</c:v>
                </c:pt>
                <c:pt idx="69">
                  <c:v>28.561949933178457</c:v>
                </c:pt>
                <c:pt idx="70">
                  <c:v>28.976633290777691</c:v>
                </c:pt>
                <c:pt idx="71">
                  <c:v>29.391338644039269</c:v>
                </c:pt>
                <c:pt idx="72">
                  <c:v>29.806066026703988</c:v>
                </c:pt>
                <c:pt idx="73">
                  <c:v>30.220815472523157</c:v>
                </c:pt>
                <c:pt idx="74">
                  <c:v>30.635587015258714</c:v>
                </c:pt>
                <c:pt idx="75">
                  <c:v>31.050380688683052</c:v>
                </c:pt>
                <c:pt idx="76">
                  <c:v>31.465196526579195</c:v>
                </c:pt>
                <c:pt idx="77">
                  <c:v>31.88003456274074</c:v>
                </c:pt>
                <c:pt idx="78">
                  <c:v>32.294894830971828</c:v>
                </c:pt>
                <c:pt idx="79">
                  <c:v>32.709777365087255</c:v>
                </c:pt>
                <c:pt idx="80">
                  <c:v>33.124682198912389</c:v>
                </c:pt>
                <c:pt idx="81">
                  <c:v>33.539609366283244</c:v>
                </c:pt>
                <c:pt idx="82">
                  <c:v>33.954558901046468</c:v>
                </c:pt>
                <c:pt idx="83">
                  <c:v>34.369530837059337</c:v>
                </c:pt>
                <c:pt idx="84">
                  <c:v>34.784525208189777</c:v>
                </c:pt>
                <c:pt idx="85">
                  <c:v>35.19954204831641</c:v>
                </c:pt>
                <c:pt idx="86">
                  <c:v>35.614581391328507</c:v>
                </c:pt>
                <c:pt idx="87">
                  <c:v>36.029643271126048</c:v>
                </c:pt>
                <c:pt idx="88">
                  <c:v>36.444727721619699</c:v>
                </c:pt>
                <c:pt idx="89">
                  <c:v>36.859834776730857</c:v>
                </c:pt>
                <c:pt idx="90">
                  <c:v>37.274964470391623</c:v>
                </c:pt>
                <c:pt idx="91">
                  <c:v>37.69011683654481</c:v>
                </c:pt>
                <c:pt idx="92">
                  <c:v>38.105291909144029</c:v>
                </c:pt>
                <c:pt idx="93">
                  <c:v>38.520489722153613</c:v>
                </c:pt>
                <c:pt idx="94">
                  <c:v>38.935710309548668</c:v>
                </c:pt>
                <c:pt idx="95">
                  <c:v>39.350953705315092</c:v>
                </c:pt>
                <c:pt idx="96">
                  <c:v>39.766219943449535</c:v>
                </c:pt>
                <c:pt idx="97">
                  <c:v>40.181509057959488</c:v>
                </c:pt>
                <c:pt idx="98">
                  <c:v>40.596821082863237</c:v>
                </c:pt>
                <c:pt idx="99">
                  <c:v>41.012156052189894</c:v>
                </c:pt>
                <c:pt idx="100">
                  <c:v>41.427513999979382</c:v>
                </c:pt>
              </c:numCache>
            </c:numRef>
          </c:val>
          <c:smooth val="0"/>
          <c:extLst>
            <c:ext xmlns:c16="http://schemas.microsoft.com/office/drawing/2014/chart" uri="{C3380CC4-5D6E-409C-BE32-E72D297353CC}">
              <c16:uniqueId val="{00000000-FDDF-4115-9ADD-DED190BC6BDF}"/>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Dual'!$AI$5:$AI$105</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13.333333333333334</c:v>
                </c:pt>
                <c:pt idx="17">
                  <c:v>13.333333333333334</c:v>
                </c:pt>
                <c:pt idx="18">
                  <c:v>13.333333333333334</c:v>
                </c:pt>
                <c:pt idx="19">
                  <c:v>13.333333333333334</c:v>
                </c:pt>
                <c:pt idx="20">
                  <c:v>13.333333333333334</c:v>
                </c:pt>
                <c:pt idx="21">
                  <c:v>13.333333333333334</c:v>
                </c:pt>
                <c:pt idx="22">
                  <c:v>13.333333333333334</c:v>
                </c:pt>
                <c:pt idx="23">
                  <c:v>13.333333333333334</c:v>
                </c:pt>
                <c:pt idx="24">
                  <c:v>13.333333333333334</c:v>
                </c:pt>
                <c:pt idx="25">
                  <c:v>13.333333333333334</c:v>
                </c:pt>
                <c:pt idx="26">
                  <c:v>13.333333333333334</c:v>
                </c:pt>
                <c:pt idx="27">
                  <c:v>13.333333333333334</c:v>
                </c:pt>
                <c:pt idx="28">
                  <c:v>13.333333333333334</c:v>
                </c:pt>
                <c:pt idx="29">
                  <c:v>13.333333333333334</c:v>
                </c:pt>
                <c:pt idx="30">
                  <c:v>13.333333333333334</c:v>
                </c:pt>
                <c:pt idx="31">
                  <c:v>13.333333333333334</c:v>
                </c:pt>
                <c:pt idx="32">
                  <c:v>13.333333333333334</c:v>
                </c:pt>
                <c:pt idx="33">
                  <c:v>13.333333333333334</c:v>
                </c:pt>
                <c:pt idx="34">
                  <c:v>13.333333333333334</c:v>
                </c:pt>
                <c:pt idx="35">
                  <c:v>13.333333333333334</c:v>
                </c:pt>
                <c:pt idx="36">
                  <c:v>13.333333333333334</c:v>
                </c:pt>
                <c:pt idx="37">
                  <c:v>13.416347127466446</c:v>
                </c:pt>
                <c:pt idx="38">
                  <c:v>13.77887544465988</c:v>
                </c:pt>
                <c:pt idx="39">
                  <c:v>14.141399974855631</c:v>
                </c:pt>
                <c:pt idx="40">
                  <c:v>14.503920733065094</c:v>
                </c:pt>
                <c:pt idx="41">
                  <c:v>14.866437734300325</c:v>
                </c:pt>
                <c:pt idx="42">
                  <c:v>15.228950993574013</c:v>
                </c:pt>
                <c:pt idx="43">
                  <c:v>15.591460525899517</c:v>
                </c:pt>
                <c:pt idx="44">
                  <c:v>15.953966346290827</c:v>
                </c:pt>
                <c:pt idx="45">
                  <c:v>16.316468469762597</c:v>
                </c:pt>
                <c:pt idx="46">
                  <c:v>16.678966911330129</c:v>
                </c:pt>
                <c:pt idx="47">
                  <c:v>17.041461686009384</c:v>
                </c:pt>
                <c:pt idx="48">
                  <c:v>17.403952808816996</c:v>
                </c:pt>
                <c:pt idx="49">
                  <c:v>17.766440294770241</c:v>
                </c:pt>
                <c:pt idx="50">
                  <c:v>18.128924158887074</c:v>
                </c:pt>
                <c:pt idx="51">
                  <c:v>18.491404416186107</c:v>
                </c:pt>
                <c:pt idx="52">
                  <c:v>18.853881081686627</c:v>
                </c:pt>
                <c:pt idx="53">
                  <c:v>19.216354170408582</c:v>
                </c:pt>
                <c:pt idx="54">
                  <c:v>19.578823697372606</c:v>
                </c:pt>
                <c:pt idx="55">
                  <c:v>19.941289677599993</c:v>
                </c:pt>
                <c:pt idx="56">
                  <c:v>20.303752126112727</c:v>
                </c:pt>
                <c:pt idx="57">
                  <c:v>20.666211057933459</c:v>
                </c:pt>
                <c:pt idx="58">
                  <c:v>21.028666488085545</c:v>
                </c:pt>
                <c:pt idx="59">
                  <c:v>21.391118431592993</c:v>
                </c:pt>
                <c:pt idx="60">
                  <c:v>21.753566903480507</c:v>
                </c:pt>
                <c:pt idx="61">
                  <c:v>22.116011918773495</c:v>
                </c:pt>
                <c:pt idx="62">
                  <c:v>22.478453492498026</c:v>
                </c:pt>
                <c:pt idx="63">
                  <c:v>22.840891639680898</c:v>
                </c:pt>
                <c:pt idx="64">
                  <c:v>23.203326375349565</c:v>
                </c:pt>
                <c:pt idx="65">
                  <c:v>23.5657577145322</c:v>
                </c:pt>
                <c:pt idx="66">
                  <c:v>23.928185672257669</c:v>
                </c:pt>
                <c:pt idx="67">
                  <c:v>24.29061026355555</c:v>
                </c:pt>
                <c:pt idx="68">
                  <c:v>24.653031503456095</c:v>
                </c:pt>
                <c:pt idx="69">
                  <c:v>25.015449406990289</c:v>
                </c:pt>
                <c:pt idx="70">
                  <c:v>25.377863989189809</c:v>
                </c:pt>
                <c:pt idx="71">
                  <c:v>25.740275265087046</c:v>
                </c:pt>
                <c:pt idx="72">
                  <c:v>26.102683249715113</c:v>
                </c:pt>
                <c:pt idx="73">
                  <c:v>26.465087958107809</c:v>
                </c:pt>
                <c:pt idx="74">
                  <c:v>26.827489405299687</c:v>
                </c:pt>
                <c:pt idx="75">
                  <c:v>27.189887606325975</c:v>
                </c:pt>
                <c:pt idx="76">
                  <c:v>27.552282576222648</c:v>
                </c:pt>
                <c:pt idx="77">
                  <c:v>27.914674330026418</c:v>
                </c:pt>
                <c:pt idx="78">
                  <c:v>28.277062882774668</c:v>
                </c:pt>
                <c:pt idx="79">
                  <c:v>28.639448249505573</c:v>
                </c:pt>
                <c:pt idx="80">
                  <c:v>29.00183044525798</c:v>
                </c:pt>
                <c:pt idx="81">
                  <c:v>29.364209485071509</c:v>
                </c:pt>
                <c:pt idx="82">
                  <c:v>29.726585383986475</c:v>
                </c:pt>
                <c:pt idx="83">
                  <c:v>30.088958157043979</c:v>
                </c:pt>
                <c:pt idx="84">
                  <c:v>30.451327819285801</c:v>
                </c:pt>
                <c:pt idx="85">
                  <c:v>30.813694385754502</c:v>
                </c:pt>
                <c:pt idx="86">
                  <c:v>31.17605787149337</c:v>
                </c:pt>
                <c:pt idx="87">
                  <c:v>31.538418291546439</c:v>
                </c:pt>
                <c:pt idx="88">
                  <c:v>31.900775660958491</c:v>
                </c:pt>
                <c:pt idx="89">
                  <c:v>32.263129994775042</c:v>
                </c:pt>
                <c:pt idx="90">
                  <c:v>32.625481308042389</c:v>
                </c:pt>
                <c:pt idx="91">
                  <c:v>32.987829615807527</c:v>
                </c:pt>
                <c:pt idx="92">
                  <c:v>33.350174933118282</c:v>
                </c:pt>
                <c:pt idx="93">
                  <c:v>33.712517275023174</c:v>
                </c:pt>
                <c:pt idx="94">
                  <c:v>34.074856656571512</c:v>
                </c:pt>
                <c:pt idx="95">
                  <c:v>34.437193092813352</c:v>
                </c:pt>
                <c:pt idx="96">
                  <c:v>34.799526598799524</c:v>
                </c:pt>
                <c:pt idx="97">
                  <c:v>35.161857189581625</c:v>
                </c:pt>
                <c:pt idx="98">
                  <c:v>35.52418488021199</c:v>
                </c:pt>
                <c:pt idx="99">
                  <c:v>35.886509685743782</c:v>
                </c:pt>
                <c:pt idx="100">
                  <c:v>36.248831621230863</c:v>
                </c:pt>
              </c:numCache>
            </c:numRef>
          </c:val>
          <c:smooth val="0"/>
          <c:extLst>
            <c:ext xmlns:c16="http://schemas.microsoft.com/office/drawing/2014/chart" uri="{C3380CC4-5D6E-409C-BE32-E72D297353CC}">
              <c16:uniqueId val="{00000001-FDDF-4115-9ADD-DED190BC6BDF}"/>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13.333333333333334</c:v>
                </c:pt>
                <c:pt idx="1">
                  <c:v>13.333333333333334</c:v>
                </c:pt>
                <c:pt idx="2">
                  <c:v>13.333333333333334</c:v>
                </c:pt>
                <c:pt idx="3">
                  <c:v>13.333333333333334</c:v>
                </c:pt>
                <c:pt idx="4">
                  <c:v>13.333333333333334</c:v>
                </c:pt>
                <c:pt idx="5">
                  <c:v>13.333333333333334</c:v>
                </c:pt>
                <c:pt idx="6">
                  <c:v>13.333333333333334</c:v>
                </c:pt>
                <c:pt idx="7">
                  <c:v>13.333333333333334</c:v>
                </c:pt>
                <c:pt idx="8">
                  <c:v>13.333333333333334</c:v>
                </c:pt>
                <c:pt idx="9">
                  <c:v>13.333333333333334</c:v>
                </c:pt>
                <c:pt idx="10">
                  <c:v>13.333333333333334</c:v>
                </c:pt>
                <c:pt idx="11">
                  <c:v>13.333333333333334</c:v>
                </c:pt>
                <c:pt idx="12">
                  <c:v>13.333333333333334</c:v>
                </c:pt>
                <c:pt idx="13">
                  <c:v>13.333333333333334</c:v>
                </c:pt>
                <c:pt idx="14">
                  <c:v>13.333333333333334</c:v>
                </c:pt>
                <c:pt idx="15">
                  <c:v>13.333333333333334</c:v>
                </c:pt>
                <c:pt idx="16">
                  <c:v>13.333333333333334</c:v>
                </c:pt>
                <c:pt idx="17">
                  <c:v>13.333333333333334</c:v>
                </c:pt>
                <c:pt idx="18">
                  <c:v>13.333333333333334</c:v>
                </c:pt>
                <c:pt idx="19">
                  <c:v>13.333333333333334</c:v>
                </c:pt>
                <c:pt idx="20">
                  <c:v>13.333333333333334</c:v>
                </c:pt>
                <c:pt idx="21">
                  <c:v>13.333333333333334</c:v>
                </c:pt>
                <c:pt idx="22">
                  <c:v>13.333333333333334</c:v>
                </c:pt>
                <c:pt idx="23">
                  <c:v>13.333333333333334</c:v>
                </c:pt>
                <c:pt idx="24">
                  <c:v>13.333333333333334</c:v>
                </c:pt>
                <c:pt idx="25">
                  <c:v>13.333333333333334</c:v>
                </c:pt>
                <c:pt idx="26">
                  <c:v>13.333333333333334</c:v>
                </c:pt>
                <c:pt idx="27">
                  <c:v>13.333333333333334</c:v>
                </c:pt>
                <c:pt idx="28">
                  <c:v>13.333333333333334</c:v>
                </c:pt>
                <c:pt idx="29">
                  <c:v>13.333333333333334</c:v>
                </c:pt>
                <c:pt idx="30">
                  <c:v>13.333333333333334</c:v>
                </c:pt>
                <c:pt idx="31">
                  <c:v>13.333333333333334</c:v>
                </c:pt>
                <c:pt idx="32">
                  <c:v>13.333333333333334</c:v>
                </c:pt>
                <c:pt idx="33">
                  <c:v>13.333333333333334</c:v>
                </c:pt>
                <c:pt idx="34">
                  <c:v>13.333333333333334</c:v>
                </c:pt>
                <c:pt idx="35">
                  <c:v>13.333333333333334</c:v>
                </c:pt>
                <c:pt idx="36">
                  <c:v>13.333333333333334</c:v>
                </c:pt>
                <c:pt idx="37">
                  <c:v>13.333333333333334</c:v>
                </c:pt>
                <c:pt idx="38">
                  <c:v>13.333333333333334</c:v>
                </c:pt>
                <c:pt idx="39">
                  <c:v>13.333333333333334</c:v>
                </c:pt>
                <c:pt idx="40">
                  <c:v>13.333333333333334</c:v>
                </c:pt>
                <c:pt idx="41">
                  <c:v>13.333333333333334</c:v>
                </c:pt>
                <c:pt idx="42">
                  <c:v>13.62786110353696</c:v>
                </c:pt>
                <c:pt idx="43">
                  <c:v>13.952037916146946</c:v>
                </c:pt>
                <c:pt idx="44">
                  <c:v>14.276201075996852</c:v>
                </c:pt>
                <c:pt idx="45">
                  <c:v>14.600350591121247</c:v>
                </c:pt>
                <c:pt idx="46">
                  <c:v>14.924486469553891</c:v>
                </c:pt>
                <c:pt idx="47">
                  <c:v>15.248608719327741</c:v>
                </c:pt>
                <c:pt idx="48">
                  <c:v>15.572717348474942</c:v>
                </c:pt>
                <c:pt idx="49">
                  <c:v>15.896812365026811</c:v>
                </c:pt>
                <c:pt idx="50">
                  <c:v>16.220893777013892</c:v>
                </c:pt>
                <c:pt idx="51">
                  <c:v>16.544961592465889</c:v>
                </c:pt>
                <c:pt idx="52">
                  <c:v>16.869015819411718</c:v>
                </c:pt>
                <c:pt idx="53">
                  <c:v>17.193056465879494</c:v>
                </c:pt>
                <c:pt idx="54">
                  <c:v>17.517083539896507</c:v>
                </c:pt>
                <c:pt idx="55">
                  <c:v>17.841097049489253</c:v>
                </c:pt>
                <c:pt idx="56">
                  <c:v>18.165097002683424</c:v>
                </c:pt>
                <c:pt idx="57">
                  <c:v>18.489083407503912</c:v>
                </c:pt>
                <c:pt idx="58">
                  <c:v>18.813056271974801</c:v>
                </c:pt>
                <c:pt idx="59">
                  <c:v>19.137015604119377</c:v>
                </c:pt>
                <c:pt idx="60">
                  <c:v>19.460961411960124</c:v>
                </c:pt>
                <c:pt idx="61">
                  <c:v>19.784893703518719</c:v>
                </c:pt>
                <c:pt idx="62">
                  <c:v>20.108812486816035</c:v>
                </c:pt>
                <c:pt idx="63">
                  <c:v>20.43271776987217</c:v>
                </c:pt>
                <c:pt idx="64">
                  <c:v>20.756609560706409</c:v>
                </c:pt>
                <c:pt idx="65">
                  <c:v>21.080487867337233</c:v>
                </c:pt>
                <c:pt idx="66">
                  <c:v>21.404352697782322</c:v>
                </c:pt>
                <c:pt idx="67">
                  <c:v>21.728204060058587</c:v>
                </c:pt>
                <c:pt idx="68">
                  <c:v>22.052041962182106</c:v>
                </c:pt>
                <c:pt idx="69">
                  <c:v>22.375866412168183</c:v>
                </c:pt>
                <c:pt idx="70">
                  <c:v>22.699677418031328</c:v>
                </c:pt>
                <c:pt idx="71">
                  <c:v>23.023474987785264</c:v>
                </c:pt>
                <c:pt idx="72">
                  <c:v>23.347259129442897</c:v>
                </c:pt>
                <c:pt idx="73">
                  <c:v>23.671029851016353</c:v>
                </c:pt>
                <c:pt idx="74">
                  <c:v>23.994787160516967</c:v>
                </c:pt>
                <c:pt idx="75">
                  <c:v>24.318531065955284</c:v>
                </c:pt>
                <c:pt idx="76">
                  <c:v>24.642261575341056</c:v>
                </c:pt>
                <c:pt idx="77">
                  <c:v>24.965978696683248</c:v>
                </c:pt>
                <c:pt idx="78">
                  <c:v>25.289682437990027</c:v>
                </c:pt>
                <c:pt idx="79">
                  <c:v>25.613372807268789</c:v>
                </c:pt>
                <c:pt idx="80">
                  <c:v>25.937049812526109</c:v>
                </c:pt>
                <c:pt idx="81">
                  <c:v>26.260713461767821</c:v>
                </c:pt>
                <c:pt idx="82">
                  <c:v>26.584363762998919</c:v>
                </c:pt>
                <c:pt idx="83">
                  <c:v>26.908000724223658</c:v>
                </c:pt>
                <c:pt idx="84">
                  <c:v>27.231624353445493</c:v>
                </c:pt>
                <c:pt idx="85">
                  <c:v>27.555234658667086</c:v>
                </c:pt>
                <c:pt idx="86">
                  <c:v>27.878831647890308</c:v>
                </c:pt>
                <c:pt idx="87">
                  <c:v>28.202415329116267</c:v>
                </c:pt>
                <c:pt idx="88">
                  <c:v>28.525985710345278</c:v>
                </c:pt>
                <c:pt idx="89">
                  <c:v>28.849542799576877</c:v>
                </c:pt>
                <c:pt idx="90">
                  <c:v>29.173086604809804</c:v>
                </c:pt>
                <c:pt idx="91">
                  <c:v>29.496617134042051</c:v>
                </c:pt>
                <c:pt idx="92">
                  <c:v>29.820134395270795</c:v>
                </c:pt>
                <c:pt idx="93">
                  <c:v>30.143638396492456</c:v>
                </c:pt>
                <c:pt idx="94">
                  <c:v>30.46712914570265</c:v>
                </c:pt>
                <c:pt idx="95">
                  <c:v>30.790606650896262</c:v>
                </c:pt>
                <c:pt idx="96">
                  <c:v>31.114070920067356</c:v>
                </c:pt>
                <c:pt idx="97">
                  <c:v>31.437521961209232</c:v>
                </c:pt>
                <c:pt idx="98">
                  <c:v>31.760959782314405</c:v>
                </c:pt>
                <c:pt idx="99">
                  <c:v>32.084384391374641</c:v>
                </c:pt>
                <c:pt idx="100">
                  <c:v>32.40779579638091</c:v>
                </c:pt>
              </c:numCache>
            </c:numRef>
          </c:val>
          <c:smooth val="0"/>
          <c:extLst>
            <c:ext xmlns:c16="http://schemas.microsoft.com/office/drawing/2014/chart" uri="{C3380CC4-5D6E-409C-BE32-E72D297353CC}">
              <c16:uniqueId val="{00000002-FDDF-4115-9ADD-DED190BC6BDF}"/>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1.0057142857142858</c:v>
                </c:pt>
                <c:pt idx="2">
                  <c:v>1.0119049662865327</c:v>
                </c:pt>
                <c:pt idx="3">
                  <c:v>1.0119049662865327</c:v>
                </c:pt>
                <c:pt idx="4">
                  <c:v>1.0158732883820436</c:v>
                </c:pt>
                <c:pt idx="5">
                  <c:v>1.0198416104775545</c:v>
                </c:pt>
                <c:pt idx="6">
                  <c:v>1.0238099325730654</c:v>
                </c:pt>
                <c:pt idx="7">
                  <c:v>1.0277782546685763</c:v>
                </c:pt>
                <c:pt idx="8">
                  <c:v>1.0317465767640872</c:v>
                </c:pt>
                <c:pt idx="9">
                  <c:v>1.0357148988595981</c:v>
                </c:pt>
                <c:pt idx="10">
                  <c:v>1.039683220955109</c:v>
                </c:pt>
                <c:pt idx="11">
                  <c:v>1.0436515430506199</c:v>
                </c:pt>
                <c:pt idx="12">
                  <c:v>1.0476198651461308</c:v>
                </c:pt>
                <c:pt idx="13">
                  <c:v>1.0515881872416417</c:v>
                </c:pt>
                <c:pt idx="14">
                  <c:v>1.0555565093371526</c:v>
                </c:pt>
                <c:pt idx="15">
                  <c:v>1.0595248314326635</c:v>
                </c:pt>
                <c:pt idx="16">
                  <c:v>1.0634931535281744</c:v>
                </c:pt>
                <c:pt idx="17">
                  <c:v>1.0674614756236853</c:v>
                </c:pt>
                <c:pt idx="18">
                  <c:v>1.0714297977191962</c:v>
                </c:pt>
                <c:pt idx="19">
                  <c:v>1.0753981198147071</c:v>
                </c:pt>
                <c:pt idx="20">
                  <c:v>1.079366441910218</c:v>
                </c:pt>
                <c:pt idx="21">
                  <c:v>1.0833347640057289</c:v>
                </c:pt>
                <c:pt idx="22">
                  <c:v>1.0873030861012398</c:v>
                </c:pt>
                <c:pt idx="23">
                  <c:v>1.0912714081967507</c:v>
                </c:pt>
                <c:pt idx="24">
                  <c:v>1.0952397302922616</c:v>
                </c:pt>
                <c:pt idx="25">
                  <c:v>1.0992080523877725</c:v>
                </c:pt>
                <c:pt idx="26">
                  <c:v>1.1031763744832834</c:v>
                </c:pt>
                <c:pt idx="27">
                  <c:v>1.1071446965787943</c:v>
                </c:pt>
                <c:pt idx="28">
                  <c:v>1.1111130186743052</c:v>
                </c:pt>
                <c:pt idx="29">
                  <c:v>1.1150813407698161</c:v>
                </c:pt>
                <c:pt idx="30">
                  <c:v>1.119049662865327</c:v>
                </c:pt>
                <c:pt idx="31">
                  <c:v>1.1230179849608379</c:v>
                </c:pt>
                <c:pt idx="32">
                  <c:v>1.2</c:v>
                </c:pt>
                <c:pt idx="33">
                  <c:v>1.4328748586076894</c:v>
                </c:pt>
                <c:pt idx="34">
                  <c:v>1.7394777454028278</c:v>
                </c:pt>
                <c:pt idx="35">
                  <c:v>2.046096030654394</c:v>
                </c:pt>
                <c:pt idx="36">
                  <c:v>2.3527297390800834</c:v>
                </c:pt>
                <c:pt idx="37">
                  <c:v>2.6593788954050943</c:v>
                </c:pt>
                <c:pt idx="38">
                  <c:v>2.9660435243621621</c:v>
                </c:pt>
                <c:pt idx="39">
                  <c:v>3.2727236506915345</c:v>
                </c:pt>
                <c:pt idx="40">
                  <c:v>3.5794192991410041</c:v>
                </c:pt>
                <c:pt idx="41">
                  <c:v>3.8861304944659087</c:v>
                </c:pt>
                <c:pt idx="42">
                  <c:v>4.1928572614291264</c:v>
                </c:pt>
                <c:pt idx="43">
                  <c:v>4.4995996248011103</c:v>
                </c:pt>
                <c:pt idx="44">
                  <c:v>4.8063576093598694</c:v>
                </c:pt>
                <c:pt idx="45">
                  <c:v>5.1131312398909943</c:v>
                </c:pt>
                <c:pt idx="46">
                  <c:v>5.4199205411876594</c:v>
                </c:pt>
                <c:pt idx="47">
                  <c:v>5.7267255380506175</c:v>
                </c:pt>
                <c:pt idx="48">
                  <c:v>6.0335462552882539</c:v>
                </c:pt>
                <c:pt idx="49">
                  <c:v>6.3403827177165271</c:v>
                </c:pt>
                <c:pt idx="50">
                  <c:v>6.6472349501590289</c:v>
                </c:pt>
                <c:pt idx="51">
                  <c:v>6.9541029774469765</c:v>
                </c:pt>
                <c:pt idx="52">
                  <c:v>7.2609868244192048</c:v>
                </c:pt>
                <c:pt idx="53">
                  <c:v>7.5678865159222113</c:v>
                </c:pt>
                <c:pt idx="54">
                  <c:v>7.8748020768101235</c:v>
                </c:pt>
                <c:pt idx="55">
                  <c:v>8.1817335319447224</c:v>
                </c:pt>
                <c:pt idx="56">
                  <c:v>8.4886809061954818</c:v>
                </c:pt>
                <c:pt idx="57">
                  <c:v>8.7956442244395099</c:v>
                </c:pt>
                <c:pt idx="58">
                  <c:v>9.1026235115616227</c:v>
                </c:pt>
                <c:pt idx="59">
                  <c:v>9.4096187924543244</c:v>
                </c:pt>
                <c:pt idx="60">
                  <c:v>9.7166300920177928</c:v>
                </c:pt>
                <c:pt idx="61">
                  <c:v>10.023657435159931</c:v>
                </c:pt>
                <c:pt idx="62">
                  <c:v>10.330700846796356</c:v>
                </c:pt>
                <c:pt idx="63">
                  <c:v>10.637760351850389</c:v>
                </c:pt>
                <c:pt idx="64">
                  <c:v>10.944835975253103</c:v>
                </c:pt>
                <c:pt idx="65">
                  <c:v>11.251927741943291</c:v>
                </c:pt>
                <c:pt idx="66">
                  <c:v>11.559035676867492</c:v>
                </c:pt>
                <c:pt idx="67">
                  <c:v>11.866159804980018</c:v>
                </c:pt>
                <c:pt idx="68">
                  <c:v>12.173300151242909</c:v>
                </c:pt>
                <c:pt idx="69">
                  <c:v>12.480456740626016</c:v>
                </c:pt>
                <c:pt idx="70">
                  <c:v>12.78762959810693</c:v>
                </c:pt>
                <c:pt idx="71">
                  <c:v>13.094818748671063</c:v>
                </c:pt>
                <c:pt idx="72">
                  <c:v>13.402024217311594</c:v>
                </c:pt>
                <c:pt idx="73">
                  <c:v>13.709246029029497</c:v>
                </c:pt>
                <c:pt idx="74">
                  <c:v>14.016484208833614</c:v>
                </c:pt>
                <c:pt idx="75">
                  <c:v>14.323738781740534</c:v>
                </c:pt>
                <c:pt idx="76">
                  <c:v>14.631009772774712</c:v>
                </c:pt>
                <c:pt idx="77">
                  <c:v>14.938297206968446</c:v>
                </c:pt>
                <c:pt idx="78">
                  <c:v>15.245601109361846</c:v>
                </c:pt>
                <c:pt idx="79">
                  <c:v>15.552921505002903</c:v>
                </c:pt>
                <c:pt idx="80">
                  <c:v>15.860258418947447</c:v>
                </c:pt>
                <c:pt idx="81">
                  <c:v>16.16761187625919</c:v>
                </c:pt>
                <c:pt idx="82">
                  <c:v>16.474981902009727</c:v>
                </c:pt>
                <c:pt idx="83">
                  <c:v>16.782368521278521</c:v>
                </c:pt>
                <c:pt idx="84">
                  <c:v>17.089771759152921</c:v>
                </c:pt>
                <c:pt idx="85">
                  <c:v>17.397191640728202</c:v>
                </c:pt>
                <c:pt idx="86">
                  <c:v>17.704628191107535</c:v>
                </c:pt>
                <c:pt idx="87">
                  <c:v>18.012081435402006</c:v>
                </c:pt>
                <c:pt idx="88">
                  <c:v>18.319551398730638</c:v>
                </c:pt>
                <c:pt idx="89">
                  <c:v>18.627038106220386</c:v>
                </c:pt>
                <c:pt idx="90">
                  <c:v>18.934541583006137</c:v>
                </c:pt>
                <c:pt idx="91">
                  <c:v>19.24206185423072</c:v>
                </c:pt>
                <c:pt idx="92">
                  <c:v>19.549598945044956</c:v>
                </c:pt>
                <c:pt idx="93">
                  <c:v>19.857152880607611</c:v>
                </c:pt>
                <c:pt idx="94">
                  <c:v>20.164723686085431</c:v>
                </c:pt>
                <c:pt idx="95">
                  <c:v>20.472311386653153</c:v>
                </c:pt>
                <c:pt idx="96">
                  <c:v>20.77991600749348</c:v>
                </c:pt>
                <c:pt idx="97">
                  <c:v>21.08753757379715</c:v>
                </c:pt>
                <c:pt idx="98">
                  <c:v>21.395176110762886</c:v>
                </c:pt>
                <c:pt idx="99">
                  <c:v>21.702831643597449</c:v>
                </c:pt>
                <c:pt idx="100">
                  <c:v>22.010504197515591</c:v>
                </c:pt>
              </c:numCache>
            </c:numRef>
          </c:val>
          <c:smooth val="0"/>
          <c:extLst>
            <c:ext xmlns:c16="http://schemas.microsoft.com/office/drawing/2014/chart" uri="{C3380CC4-5D6E-409C-BE32-E72D297353CC}">
              <c16:uniqueId val="{00000000-3C9D-44D2-AF55-BD525814CC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Dual'!$AJ$5:$AJ$105</c:f>
              <c:numCache>
                <c:formatCode>0.000</c:formatCode>
                <c:ptCount val="101"/>
                <c:pt idx="0">
                  <c:v>1.0057142857142858</c:v>
                </c:pt>
                <c:pt idx="1">
                  <c:v>1.0057142857142858</c:v>
                </c:pt>
                <c:pt idx="2">
                  <c:v>1.0079366441910218</c:v>
                </c:pt>
                <c:pt idx="3">
                  <c:v>1.0119049662865327</c:v>
                </c:pt>
                <c:pt idx="4">
                  <c:v>1.0158732883820436</c:v>
                </c:pt>
                <c:pt idx="5">
                  <c:v>1.0198416104775545</c:v>
                </c:pt>
                <c:pt idx="6">
                  <c:v>1.0238099325730654</c:v>
                </c:pt>
                <c:pt idx="7">
                  <c:v>1.0277782546685763</c:v>
                </c:pt>
                <c:pt idx="8">
                  <c:v>1.0317465767640872</c:v>
                </c:pt>
                <c:pt idx="9">
                  <c:v>1.0357148988595981</c:v>
                </c:pt>
                <c:pt idx="10">
                  <c:v>1.039683220955109</c:v>
                </c:pt>
                <c:pt idx="11">
                  <c:v>1.0436515430506199</c:v>
                </c:pt>
                <c:pt idx="12">
                  <c:v>1.0476198651461308</c:v>
                </c:pt>
                <c:pt idx="13">
                  <c:v>1.0515881872416417</c:v>
                </c:pt>
                <c:pt idx="14">
                  <c:v>1.0555565093371526</c:v>
                </c:pt>
                <c:pt idx="15">
                  <c:v>1.0595248314326635</c:v>
                </c:pt>
                <c:pt idx="16">
                  <c:v>1.0634931535281744</c:v>
                </c:pt>
                <c:pt idx="17">
                  <c:v>1.0674614756236853</c:v>
                </c:pt>
                <c:pt idx="18">
                  <c:v>1.0714297977191962</c:v>
                </c:pt>
                <c:pt idx="19">
                  <c:v>1.0753981198147071</c:v>
                </c:pt>
                <c:pt idx="20">
                  <c:v>1.079366441910218</c:v>
                </c:pt>
                <c:pt idx="21">
                  <c:v>1.0833347640057289</c:v>
                </c:pt>
                <c:pt idx="22">
                  <c:v>1.0873030861012398</c:v>
                </c:pt>
                <c:pt idx="23">
                  <c:v>1.0912714081967507</c:v>
                </c:pt>
                <c:pt idx="24">
                  <c:v>1.0952397302922616</c:v>
                </c:pt>
                <c:pt idx="25">
                  <c:v>1.0992080523877725</c:v>
                </c:pt>
                <c:pt idx="26">
                  <c:v>1.1031763744832834</c:v>
                </c:pt>
                <c:pt idx="27">
                  <c:v>1.1071446965787943</c:v>
                </c:pt>
                <c:pt idx="28">
                  <c:v>1.1111130186743052</c:v>
                </c:pt>
                <c:pt idx="29">
                  <c:v>1.1150813407698161</c:v>
                </c:pt>
                <c:pt idx="30">
                  <c:v>1.119049662865327</c:v>
                </c:pt>
                <c:pt idx="31">
                  <c:v>1.1230179849608379</c:v>
                </c:pt>
                <c:pt idx="32">
                  <c:v>1.1269863070563488</c:v>
                </c:pt>
                <c:pt idx="33">
                  <c:v>1.1309546291518597</c:v>
                </c:pt>
                <c:pt idx="34">
                  <c:v>1.1349229512473706</c:v>
                </c:pt>
                <c:pt idx="35">
                  <c:v>1.1388912733428815</c:v>
                </c:pt>
                <c:pt idx="36">
                  <c:v>1.1428595954383924</c:v>
                </c:pt>
                <c:pt idx="37">
                  <c:v>1.2614916993578609</c:v>
                </c:pt>
                <c:pt idx="38">
                  <c:v>1.5300311935752191</c:v>
                </c:pt>
                <c:pt idx="39">
                  <c:v>1.7985678826091087</c:v>
                </c:pt>
                <c:pt idx="40">
                  <c:v>2.0671017775790812</c:v>
                </c:pt>
                <c:pt idx="41">
                  <c:v>2.3356328896051783</c:v>
                </c:pt>
                <c:pt idx="42">
                  <c:v>2.6041612298079109</c:v>
                </c:pt>
                <c:pt idx="43">
                  <c:v>2.8726868093082842</c:v>
                </c:pt>
                <c:pt idx="44">
                  <c:v>3.141209639227772</c:v>
                </c:pt>
                <c:pt idx="45">
                  <c:v>3.4097297306883432</c:v>
                </c:pt>
                <c:pt idx="46">
                  <c:v>3.6782470948124404</c:v>
                </c:pt>
                <c:pt idx="47">
                  <c:v>3.9467617427230008</c:v>
                </c:pt>
                <c:pt idx="48">
                  <c:v>4.2152736855434538</c:v>
                </c:pt>
                <c:pt idx="49">
                  <c:v>4.4837829343977091</c:v>
                </c:pt>
                <c:pt idx="50">
                  <c:v>4.7522895004101775</c:v>
                </c:pt>
                <c:pt idx="51">
                  <c:v>5.0207933947057581</c:v>
                </c:pt>
                <c:pt idx="52">
                  <c:v>5.2892946284098468</c:v>
                </c:pt>
                <c:pt idx="53">
                  <c:v>5.557793212648332</c:v>
                </c:pt>
                <c:pt idx="54">
                  <c:v>5.8262891585476089</c:v>
                </c:pt>
                <c:pt idx="55">
                  <c:v>6.0947824772345625</c:v>
                </c:pt>
                <c:pt idx="56">
                  <c:v>6.3632731798365869</c:v>
                </c:pt>
                <c:pt idx="57">
                  <c:v>6.6317612774815746</c:v>
                </c:pt>
                <c:pt idx="58">
                  <c:v>6.900246781297934</c:v>
                </c:pt>
                <c:pt idx="59">
                  <c:v>7.1687297024145629</c:v>
                </c:pt>
                <c:pt idx="60">
                  <c:v>7.4372100519608688</c:v>
                </c:pt>
                <c:pt idx="61">
                  <c:v>7.7056878410667853</c:v>
                </c:pt>
                <c:pt idx="62">
                  <c:v>7.9741630808627351</c:v>
                </c:pt>
                <c:pt idx="63">
                  <c:v>8.2426357824796774</c:v>
                </c:pt>
                <c:pt idx="64">
                  <c:v>8.5111059570490593</c:v>
                </c:pt>
                <c:pt idx="65">
                  <c:v>8.7795736157028621</c:v>
                </c:pt>
                <c:pt idx="66">
                  <c:v>9.0480387695735818</c:v>
                </c:pt>
                <c:pt idx="67">
                  <c:v>9.3165014297942328</c:v>
                </c:pt>
                <c:pt idx="68">
                  <c:v>9.5849616074983413</c:v>
                </c:pt>
                <c:pt idx="69">
                  <c:v>9.8534193138199644</c:v>
                </c:pt>
                <c:pt idx="70">
                  <c:v>10.121874559893685</c:v>
                </c:pt>
                <c:pt idx="71">
                  <c:v>10.3903273568546</c:v>
                </c:pt>
                <c:pt idx="72">
                  <c:v>10.658777715838355</c:v>
                </c:pt>
                <c:pt idx="73">
                  <c:v>10.927225647981093</c:v>
                </c:pt>
                <c:pt idx="74">
                  <c:v>11.195671164419519</c:v>
                </c:pt>
                <c:pt idx="75">
                  <c:v>11.464114276290845</c:v>
                </c:pt>
                <c:pt idx="76">
                  <c:v>11.732554994732824</c:v>
                </c:pt>
                <c:pt idx="77">
                  <c:v>12.000993330883766</c:v>
                </c:pt>
                <c:pt idx="78">
                  <c:v>12.269429295882469</c:v>
                </c:pt>
                <c:pt idx="79">
                  <c:v>12.537862900868324</c:v>
                </c:pt>
                <c:pt idx="80">
                  <c:v>12.806294156981219</c:v>
                </c:pt>
                <c:pt idx="81">
                  <c:v>13.074723075361613</c:v>
                </c:pt>
                <c:pt idx="82">
                  <c:v>13.343149667150474</c:v>
                </c:pt>
                <c:pt idx="83">
                  <c:v>13.611573943489367</c:v>
                </c:pt>
                <c:pt idx="84">
                  <c:v>13.879995915520343</c:v>
                </c:pt>
                <c:pt idx="85">
                  <c:v>14.148415594386048</c:v>
                </c:pt>
                <c:pt idx="86">
                  <c:v>14.416832991229654</c:v>
                </c:pt>
                <c:pt idx="87">
                  <c:v>14.685248117194893</c:v>
                </c:pt>
                <c:pt idx="88">
                  <c:v>14.953660983426042</c:v>
                </c:pt>
                <c:pt idx="89">
                  <c:v>15.222071601067929</c:v>
                </c:pt>
                <c:pt idx="90">
                  <c:v>15.490479981265963</c:v>
                </c:pt>
                <c:pt idx="91">
                  <c:v>15.758886135166069</c:v>
                </c:pt>
                <c:pt idx="92">
                  <c:v>16.027290073914774</c:v>
                </c:pt>
                <c:pt idx="93">
                  <c:v>16.295691808659139</c:v>
                </c:pt>
                <c:pt idx="94">
                  <c:v>16.5640913505468</c:v>
                </c:pt>
                <c:pt idx="95">
                  <c:v>16.832488710725936</c:v>
                </c:pt>
                <c:pt idx="96">
                  <c:v>17.100883900345323</c:v>
                </c:pt>
                <c:pt idx="97">
                  <c:v>17.369276930554285</c:v>
                </c:pt>
                <c:pt idx="98">
                  <c:v>17.637667812502706</c:v>
                </c:pt>
                <c:pt idx="99">
                  <c:v>17.906056557341071</c:v>
                </c:pt>
                <c:pt idx="100">
                  <c:v>18.17444317622039</c:v>
                </c:pt>
              </c:numCache>
            </c:numRef>
          </c:val>
          <c:smooth val="0"/>
          <c:extLst>
            <c:ext xmlns:c16="http://schemas.microsoft.com/office/drawing/2014/chart" uri="{C3380CC4-5D6E-409C-BE32-E72D297353CC}">
              <c16:uniqueId val="{00000001-3C9D-44D2-AF55-BD525814CC37}"/>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1.0057142857142858</c:v>
                </c:pt>
                <c:pt idx="2">
                  <c:v>1.0079359475583825</c:v>
                </c:pt>
                <c:pt idx="3">
                  <c:v>1.0119039213375738</c:v>
                </c:pt>
                <c:pt idx="4">
                  <c:v>1.0158718951167651</c:v>
                </c:pt>
                <c:pt idx="5">
                  <c:v>1.0198398688959565</c:v>
                </c:pt>
                <c:pt idx="6">
                  <c:v>1.0238078426751476</c:v>
                </c:pt>
                <c:pt idx="7">
                  <c:v>1.0277758164543389</c:v>
                </c:pt>
                <c:pt idx="8">
                  <c:v>1.0317437902335302</c:v>
                </c:pt>
                <c:pt idx="9">
                  <c:v>1.0357117640127216</c:v>
                </c:pt>
                <c:pt idx="10">
                  <c:v>1.0396797377919127</c:v>
                </c:pt>
                <c:pt idx="11">
                  <c:v>1.043647711571104</c:v>
                </c:pt>
                <c:pt idx="12">
                  <c:v>1.0476156853502954</c:v>
                </c:pt>
                <c:pt idx="13">
                  <c:v>1.0515836591294867</c:v>
                </c:pt>
                <c:pt idx="14">
                  <c:v>1.0555516329086778</c:v>
                </c:pt>
                <c:pt idx="15">
                  <c:v>1.0595196066878692</c:v>
                </c:pt>
                <c:pt idx="16">
                  <c:v>1.0634875804670605</c:v>
                </c:pt>
                <c:pt idx="17">
                  <c:v>1.0674555542462518</c:v>
                </c:pt>
                <c:pt idx="18">
                  <c:v>1.0714235280254429</c:v>
                </c:pt>
                <c:pt idx="19">
                  <c:v>1.0753915018046343</c:v>
                </c:pt>
                <c:pt idx="20">
                  <c:v>1.0793594755838256</c:v>
                </c:pt>
                <c:pt idx="21">
                  <c:v>1.0833274493630167</c:v>
                </c:pt>
                <c:pt idx="22">
                  <c:v>1.0872954231422081</c:v>
                </c:pt>
                <c:pt idx="23">
                  <c:v>1.0912633969213994</c:v>
                </c:pt>
                <c:pt idx="24">
                  <c:v>1.0952313707005907</c:v>
                </c:pt>
                <c:pt idx="25">
                  <c:v>1.0991993444797818</c:v>
                </c:pt>
                <c:pt idx="26">
                  <c:v>1.1031673182589732</c:v>
                </c:pt>
                <c:pt idx="27">
                  <c:v>1.1071352920381645</c:v>
                </c:pt>
                <c:pt idx="28">
                  <c:v>1.1111032658173559</c:v>
                </c:pt>
                <c:pt idx="29">
                  <c:v>1.115071239596547</c:v>
                </c:pt>
                <c:pt idx="30">
                  <c:v>1.1190392133757383</c:v>
                </c:pt>
                <c:pt idx="31">
                  <c:v>1.1230071871549296</c:v>
                </c:pt>
                <c:pt idx="32">
                  <c:v>1.126975160934121</c:v>
                </c:pt>
                <c:pt idx="33">
                  <c:v>1.1309431347133121</c:v>
                </c:pt>
                <c:pt idx="34">
                  <c:v>1.1349111084925034</c:v>
                </c:pt>
                <c:pt idx="35">
                  <c:v>1.1388790822716948</c:v>
                </c:pt>
                <c:pt idx="36">
                  <c:v>1.1428470560508859</c:v>
                </c:pt>
                <c:pt idx="37">
                  <c:v>1.1468150298300772</c:v>
                </c:pt>
                <c:pt idx="38">
                  <c:v>1.1507830036092686</c:v>
                </c:pt>
                <c:pt idx="39">
                  <c:v>1.1547509773884599</c:v>
                </c:pt>
                <c:pt idx="40">
                  <c:v>1.158718951167651</c:v>
                </c:pt>
                <c:pt idx="41">
                  <c:v>1.2</c:v>
                </c:pt>
                <c:pt idx="42">
                  <c:v>1.4181687186693523</c:v>
                </c:pt>
                <c:pt idx="43">
                  <c:v>1.6582996909730456</c:v>
                </c:pt>
                <c:pt idx="44">
                  <c:v>1.8984205501211244</c:v>
                </c:pt>
                <c:pt idx="45">
                  <c:v>2.1385313020651204</c:v>
                </c:pt>
                <c:pt idx="46">
                  <c:v>2.3786319527559678</c:v>
                </c:pt>
                <c:pt idx="47">
                  <c:v>2.6187225081440055</c:v>
                </c:pt>
                <c:pt idx="48">
                  <c:v>2.8588029741789693</c:v>
                </c:pt>
                <c:pt idx="49">
                  <c:v>3.0988733568099835</c:v>
                </c:pt>
                <c:pt idx="50">
                  <c:v>3.3389336619855978</c:v>
                </c:pt>
                <c:pt idx="51">
                  <c:v>3.5789838956537441</c:v>
                </c:pt>
                <c:pt idx="52">
                  <c:v>3.8190240637617663</c:v>
                </c:pt>
                <c:pt idx="53">
                  <c:v>4.0590541722564142</c:v>
                </c:pt>
                <c:pt idx="54">
                  <c:v>4.2990742270838327</c:v>
                </c:pt>
                <c:pt idx="55">
                  <c:v>4.5390842341895699</c:v>
                </c:pt>
                <c:pt idx="56">
                  <c:v>4.7790841995185849</c:v>
                </c:pt>
                <c:pt idx="57">
                  <c:v>5.0190741290152436</c:v>
                </c:pt>
                <c:pt idx="58">
                  <c:v>5.259054028623309</c:v>
                </c:pt>
                <c:pt idx="59">
                  <c:v>5.4990239042859574</c:v>
                </c:pt>
                <c:pt idx="60">
                  <c:v>5.7389837619457706</c:v>
                </c:pt>
                <c:pt idx="61">
                  <c:v>5.9789336075447297</c:v>
                </c:pt>
                <c:pt idx="62">
                  <c:v>6.2188734470242233</c:v>
                </c:pt>
                <c:pt idx="63">
                  <c:v>6.4588032863250637</c:v>
                </c:pt>
                <c:pt idx="64">
                  <c:v>6.6987231313874629</c:v>
                </c:pt>
                <c:pt idx="65">
                  <c:v>6.9386329881510358</c:v>
                </c:pt>
                <c:pt idx="66">
                  <c:v>7.1785328625548059</c:v>
                </c:pt>
                <c:pt idx="67">
                  <c:v>7.4184227605372248</c:v>
                </c:pt>
                <c:pt idx="68">
                  <c:v>7.6583026880361276</c:v>
                </c:pt>
                <c:pt idx="69">
                  <c:v>7.8981726509887773</c:v>
                </c:pt>
                <c:pt idx="70">
                  <c:v>8.1380326553318465</c:v>
                </c:pt>
                <c:pt idx="71">
                  <c:v>8.3778827070014295</c:v>
                </c:pt>
                <c:pt idx="72">
                  <c:v>8.6177228119330103</c:v>
                </c:pt>
                <c:pt idx="73">
                  <c:v>8.8575529760614948</c:v>
                </c:pt>
                <c:pt idx="74">
                  <c:v>9.0973732053212082</c:v>
                </c:pt>
                <c:pt idx="75">
                  <c:v>9.3371835056458874</c:v>
                </c:pt>
                <c:pt idx="76">
                  <c:v>9.5769838829686815</c:v>
                </c:pt>
                <c:pt idx="77">
                  <c:v>9.8167743432221588</c:v>
                </c:pt>
                <c:pt idx="78">
                  <c:v>10.056554892338291</c:v>
                </c:pt>
                <c:pt idx="79">
                  <c:v>10.296325536248483</c:v>
                </c:pt>
                <c:pt idx="80">
                  <c:v>10.536086280883536</c:v>
                </c:pt>
                <c:pt idx="81">
                  <c:v>10.775837132173693</c:v>
                </c:pt>
                <c:pt idx="82">
                  <c:v>11.015578096048582</c:v>
                </c:pt>
                <c:pt idx="83">
                  <c:v>11.255309178437276</c:v>
                </c:pt>
                <c:pt idx="84">
                  <c:v>11.495030385268265</c:v>
                </c:pt>
                <c:pt idx="85">
                  <c:v>11.734741722469446</c:v>
                </c:pt>
                <c:pt idx="86">
                  <c:v>11.974443195968128</c:v>
                </c:pt>
                <c:pt idx="87">
                  <c:v>12.214134811691061</c:v>
                </c:pt>
                <c:pt idx="88">
                  <c:v>12.453816575564403</c:v>
                </c:pt>
                <c:pt idx="89">
                  <c:v>12.693488493513735</c:v>
                </c:pt>
                <c:pt idx="90">
                  <c:v>12.933150571464051</c:v>
                </c:pt>
                <c:pt idx="91">
                  <c:v>13.172802815339791</c:v>
                </c:pt>
                <c:pt idx="92">
                  <c:v>13.412445231064787</c:v>
                </c:pt>
                <c:pt idx="93">
                  <c:v>13.65207782456231</c:v>
                </c:pt>
                <c:pt idx="94">
                  <c:v>13.891700601755046</c:v>
                </c:pt>
                <c:pt idx="95">
                  <c:v>14.131313568565133</c:v>
                </c:pt>
                <c:pt idx="96">
                  <c:v>14.370916730914086</c:v>
                </c:pt>
                <c:pt idx="97">
                  <c:v>14.610510094722887</c:v>
                </c:pt>
                <c:pt idx="98">
                  <c:v>14.850093665911904</c:v>
                </c:pt>
                <c:pt idx="99">
                  <c:v>15.089667450400967</c:v>
                </c:pt>
                <c:pt idx="100">
                  <c:v>15.329231454109314</c:v>
                </c:pt>
              </c:numCache>
            </c:numRef>
          </c:val>
          <c:smooth val="0"/>
          <c:extLst>
            <c:ext xmlns:c16="http://schemas.microsoft.com/office/drawing/2014/chart" uri="{C3380CC4-5D6E-409C-BE32-E72D297353CC}">
              <c16:uniqueId val="{00000002-3C9D-44D2-AF55-BD525814CC37}"/>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Calculations'!$AD$13:$AD$613</c:f>
              <c:numCache>
                <c:formatCode>0.00</c:formatCode>
                <c:ptCount val="601"/>
                <c:pt idx="0">
                  <c:v>79.587275464851061</c:v>
                </c:pt>
                <c:pt idx="1">
                  <c:v>78.789165109772327</c:v>
                </c:pt>
                <c:pt idx="2">
                  <c:v>77.990800816162846</c:v>
                </c:pt>
                <c:pt idx="3">
                  <c:v>77.192208527551344</c:v>
                </c:pt>
                <c:pt idx="4">
                  <c:v>76.393932230436818</c:v>
                </c:pt>
                <c:pt idx="5">
                  <c:v>75.59466204931914</c:v>
                </c:pt>
                <c:pt idx="6">
                  <c:v>74.795548585426872</c:v>
                </c:pt>
                <c:pt idx="7">
                  <c:v>73.996078720034276</c:v>
                </c:pt>
                <c:pt idx="8">
                  <c:v>73.196847013824893</c:v>
                </c:pt>
                <c:pt idx="9">
                  <c:v>72.397258794411627</c:v>
                </c:pt>
                <c:pt idx="10">
                  <c:v>71.597783180774087</c:v>
                </c:pt>
                <c:pt idx="11">
                  <c:v>70.798314943630018</c:v>
                </c:pt>
                <c:pt idx="12">
                  <c:v>69.998439140795455</c:v>
                </c:pt>
                <c:pt idx="13">
                  <c:v>69.198931928557045</c:v>
                </c:pt>
                <c:pt idx="14">
                  <c:v>68.399162727058922</c:v>
                </c:pt>
                <c:pt idx="15">
                  <c:v>67.599446830339772</c:v>
                </c:pt>
                <c:pt idx="16">
                  <c:v>66.799727686792565</c:v>
                </c:pt>
                <c:pt idx="17">
                  <c:v>66.000127329142117</c:v>
                </c:pt>
                <c:pt idx="18">
                  <c:v>65.200422444668064</c:v>
                </c:pt>
                <c:pt idx="19">
                  <c:v>64.400837578055075</c:v>
                </c:pt>
                <c:pt idx="20">
                  <c:v>63.601224024174584</c:v>
                </c:pt>
                <c:pt idx="21">
                  <c:v>62.80175709566339</c:v>
                </c:pt>
                <c:pt idx="22">
                  <c:v>62.002280296742057</c:v>
                </c:pt>
                <c:pt idx="23">
                  <c:v>61.203008417208082</c:v>
                </c:pt>
                <c:pt idx="24">
                  <c:v>60.403758431340684</c:v>
                </c:pt>
                <c:pt idx="25">
                  <c:v>59.604678679946559</c:v>
                </c:pt>
                <c:pt idx="26">
                  <c:v>58.805612794899218</c:v>
                </c:pt>
                <c:pt idx="27">
                  <c:v>58.006851193349227</c:v>
                </c:pt>
                <c:pt idx="28">
                  <c:v>57.208406285421333</c:v>
                </c:pt>
                <c:pt idx="29">
                  <c:v>56.410826293558699</c:v>
                </c:pt>
                <c:pt idx="30">
                  <c:v>55.612826210483981</c:v>
                </c:pt>
                <c:pt idx="31">
                  <c:v>54.815598049440453</c:v>
                </c:pt>
                <c:pt idx="32">
                  <c:v>54.018693179634091</c:v>
                </c:pt>
                <c:pt idx="33">
                  <c:v>53.222790100746103</c:v>
                </c:pt>
                <c:pt idx="34">
                  <c:v>52.427407949965527</c:v>
                </c:pt>
                <c:pt idx="35">
                  <c:v>51.633153861631847</c:v>
                </c:pt>
                <c:pt idx="36">
                  <c:v>50.84009644608151</c:v>
                </c:pt>
                <c:pt idx="37">
                  <c:v>50.048037202021824</c:v>
                </c:pt>
                <c:pt idx="38">
                  <c:v>49.258002035952671</c:v>
                </c:pt>
                <c:pt idx="39">
                  <c:v>48.469677598888623</c:v>
                </c:pt>
                <c:pt idx="40">
                  <c:v>47.683747256603716</c:v>
                </c:pt>
                <c:pt idx="41">
                  <c:v>46.900599156192214</c:v>
                </c:pt>
                <c:pt idx="42">
                  <c:v>46.120879990471828</c:v>
                </c:pt>
                <c:pt idx="43">
                  <c:v>45.344997171657056</c:v>
                </c:pt>
                <c:pt idx="44">
                  <c:v>44.573905831975573</c:v>
                </c:pt>
                <c:pt idx="45">
                  <c:v>43.808327550418241</c:v>
                </c:pt>
                <c:pt idx="46">
                  <c:v>43.049439795455207</c:v>
                </c:pt>
                <c:pt idx="47">
                  <c:v>42.298265611731253</c:v>
                </c:pt>
                <c:pt idx="48">
                  <c:v>41.556355504037185</c:v>
                </c:pt>
                <c:pt idx="49">
                  <c:v>40.825079816509032</c:v>
                </c:pt>
                <c:pt idx="50">
                  <c:v>40.10631652859098</c:v>
                </c:pt>
                <c:pt idx="51">
                  <c:v>39.401872397829301</c:v>
                </c:pt>
                <c:pt idx="52">
                  <c:v>38.714144562441398</c:v>
                </c:pt>
                <c:pt idx="53">
                  <c:v>38.045452137835902</c:v>
                </c:pt>
                <c:pt idx="54">
                  <c:v>37.398679415565404</c:v>
                </c:pt>
                <c:pt idx="55">
                  <c:v>36.77532491424801</c:v>
                </c:pt>
                <c:pt idx="56">
                  <c:v>36.178877030673185</c:v>
                </c:pt>
                <c:pt idx="57">
                  <c:v>35.611443652772429</c:v>
                </c:pt>
                <c:pt idx="58">
                  <c:v>35.075750166283683</c:v>
                </c:pt>
                <c:pt idx="59">
                  <c:v>34.57340460673845</c:v>
                </c:pt>
                <c:pt idx="60">
                  <c:v>34.106305610811333</c:v>
                </c:pt>
                <c:pt idx="61">
                  <c:v>33.675464317636774</c:v>
                </c:pt>
                <c:pt idx="62">
                  <c:v>33.281187053348958</c:v>
                </c:pt>
                <c:pt idx="63">
                  <c:v>32.923748841751348</c:v>
                </c:pt>
                <c:pt idx="64">
                  <c:v>32.602143401552809</c:v>
                </c:pt>
                <c:pt idx="65">
                  <c:v>32.31523371756856</c:v>
                </c:pt>
                <c:pt idx="66">
                  <c:v>32.061236774657587</c:v>
                </c:pt>
                <c:pt idx="67">
                  <c:v>31.838046327874075</c:v>
                </c:pt>
                <c:pt idx="68">
                  <c:v>31.64319584561725</c:v>
                </c:pt>
                <c:pt idx="69">
                  <c:v>31.474184471459893</c:v>
                </c:pt>
                <c:pt idx="70">
                  <c:v>31.328373292120091</c:v>
                </c:pt>
                <c:pt idx="71">
                  <c:v>31.203226053039039</c:v>
                </c:pt>
                <c:pt idx="72">
                  <c:v>31.096257350605022</c:v>
                </c:pt>
                <c:pt idx="73">
                  <c:v>31.005190549026228</c:v>
                </c:pt>
                <c:pt idx="74">
                  <c:v>30.927885954147843</c:v>
                </c:pt>
                <c:pt idx="75">
                  <c:v>30.862443081502118</c:v>
                </c:pt>
                <c:pt idx="76">
                  <c:v>30.807139875561521</c:v>
                </c:pt>
                <c:pt idx="77">
                  <c:v>30.760485025216081</c:v>
                </c:pt>
                <c:pt idx="78">
                  <c:v>30.721151962864962</c:v>
                </c:pt>
                <c:pt idx="79">
                  <c:v>30.688008139494375</c:v>
                </c:pt>
                <c:pt idx="80">
                  <c:v>30.660005088729353</c:v>
                </c:pt>
                <c:pt idx="81">
                  <c:v>30.636328143305494</c:v>
                </c:pt>
                <c:pt idx="82">
                  <c:v>30.616220537023576</c:v>
                </c:pt>
                <c:pt idx="83">
                  <c:v>30.599058278208325</c:v>
                </c:pt>
                <c:pt idx="84">
                  <c:v>30.584276098678696</c:v>
                </c:pt>
                <c:pt idx="85">
                  <c:v>30.571402744146845</c:v>
                </c:pt>
                <c:pt idx="86">
                  <c:v>30.560013615303596</c:v>
                </c:pt>
                <c:pt idx="87">
                  <c:v>30.549727277739205</c:v>
                </c:pt>
                <c:pt idx="88">
                  <c:v>30.540212126792113</c:v>
                </c:pt>
                <c:pt idx="89">
                  <c:v>30.531142963692794</c:v>
                </c:pt>
                <c:pt idx="90">
                  <c:v>30.522220277694615</c:v>
                </c:pt>
                <c:pt idx="91">
                  <c:v>30.513144794378935</c:v>
                </c:pt>
                <c:pt idx="92">
                  <c:v>30.503614531541988</c:v>
                </c:pt>
                <c:pt idx="93">
                  <c:v>30.493308916868468</c:v>
                </c:pt>
                <c:pt idx="94">
                  <c:v>30.490573317694295</c:v>
                </c:pt>
                <c:pt idx="95">
                  <c:v>30.489168988581312</c:v>
                </c:pt>
                <c:pt idx="96">
                  <c:v>30.487761321968719</c:v>
                </c:pt>
                <c:pt idx="97">
                  <c:v>30.486317141385307</c:v>
                </c:pt>
                <c:pt idx="98">
                  <c:v>30.484868623168108</c:v>
                </c:pt>
                <c:pt idx="99">
                  <c:v>30.483381256765728</c:v>
                </c:pt>
                <c:pt idx="100">
                  <c:v>30.481888543901832</c:v>
                </c:pt>
                <c:pt idx="101">
                  <c:v>30.480355728066037</c:v>
                </c:pt>
                <c:pt idx="102">
                  <c:v>30.478816554851569</c:v>
                </c:pt>
                <c:pt idx="103">
                  <c:v>30.477233670006378</c:v>
                </c:pt>
                <c:pt idx="104">
                  <c:v>30.475643394112105</c:v>
                </c:pt>
                <c:pt idx="105">
                  <c:v>30.474008025417621</c:v>
                </c:pt>
                <c:pt idx="106">
                  <c:v>30.472364226671864</c:v>
                </c:pt>
                <c:pt idx="107">
                  <c:v>30.470673909878148</c:v>
                </c:pt>
                <c:pt idx="108">
                  <c:v>30.468974120166909</c:v>
                </c:pt>
                <c:pt idx="109">
                  <c:v>30.467225151898258</c:v>
                </c:pt>
                <c:pt idx="110">
                  <c:v>30.465465650710502</c:v>
                </c:pt>
                <c:pt idx="111">
                  <c:v>30.463653017604003</c:v>
                </c:pt>
                <c:pt idx="112">
                  <c:v>30.461828756251847</c:v>
                </c:pt>
                <c:pt idx="113">
                  <c:v>30.459949722470018</c:v>
                </c:pt>
                <c:pt idx="114">
                  <c:v>30.458057957294248</c:v>
                </c:pt>
                <c:pt idx="115">
                  <c:v>30.456108492076073</c:v>
                </c:pt>
                <c:pt idx="116">
                  <c:v>30.454145168135071</c:v>
                </c:pt>
                <c:pt idx="117">
                  <c:v>30.452121119240772</c:v>
                </c:pt>
                <c:pt idx="118">
                  <c:v>30.450082058045119</c:v>
                </c:pt>
                <c:pt idx="119">
                  <c:v>30.447980424891639</c:v>
                </c:pt>
                <c:pt idx="120">
                  <c:v>30.445862617430485</c:v>
                </c:pt>
                <c:pt idx="121">
                  <c:v>30.443679047092008</c:v>
                </c:pt>
                <c:pt idx="122">
                  <c:v>30.441478112622185</c:v>
                </c:pt>
                <c:pt idx="123">
                  <c:v>30.439206798057455</c:v>
                </c:pt>
                <c:pt idx="124">
                  <c:v>30.436916878259144</c:v>
                </c:pt>
                <c:pt idx="125">
                  <c:v>30.434554469937535</c:v>
                </c:pt>
                <c:pt idx="126">
                  <c:v>30.43217220449645</c:v>
                </c:pt>
                <c:pt idx="127">
                  <c:v>30.429713929387745</c:v>
                </c:pt>
                <c:pt idx="128">
                  <c:v>30.427234512454842</c:v>
                </c:pt>
                <c:pt idx="129">
                  <c:v>30.424675447919451</c:v>
                </c:pt>
                <c:pt idx="130">
                  <c:v>30.422093922588218</c:v>
                </c:pt>
                <c:pt idx="131">
                  <c:v>30.419428991514422</c:v>
                </c:pt>
                <c:pt idx="132">
                  <c:v>30.41808760382219</c:v>
                </c:pt>
                <c:pt idx="133">
                  <c:v>30.416740245074998</c:v>
                </c:pt>
                <c:pt idx="134">
                  <c:v>30.415354654475003</c:v>
                </c:pt>
                <c:pt idx="135">
                  <c:v>30.413962771607032</c:v>
                </c:pt>
                <c:pt idx="136">
                  <c:v>30.412564580356687</c:v>
                </c:pt>
                <c:pt idx="137">
                  <c:v>30.411160065293082</c:v>
                </c:pt>
                <c:pt idx="138">
                  <c:v>30.409717106181272</c:v>
                </c:pt>
                <c:pt idx="139">
                  <c:v>30.408267502295551</c:v>
                </c:pt>
                <c:pt idx="140">
                  <c:v>30.406811239206984</c:v>
                </c:pt>
                <c:pt idx="141">
                  <c:v>30.405348303142055</c:v>
                </c:pt>
                <c:pt idx="142">
                  <c:v>30.403843749933426</c:v>
                </c:pt>
                <c:pt idx="143">
                  <c:v>30.402332176320762</c:v>
                </c:pt>
                <c:pt idx="144">
                  <c:v>30.400813569526616</c:v>
                </c:pt>
                <c:pt idx="145">
                  <c:v>30.399287917404976</c:v>
                </c:pt>
                <c:pt idx="146">
                  <c:v>30.397719620850982</c:v>
                </c:pt>
                <c:pt idx="147">
                  <c:v>30.396143925004488</c:v>
                </c:pt>
                <c:pt idx="148">
                  <c:v>30.394560818779027</c:v>
                </c:pt>
                <c:pt idx="149">
                  <c:v>30.392970291695644</c:v>
                </c:pt>
                <c:pt idx="150">
                  <c:v>30.391335298895385</c:v>
                </c:pt>
                <c:pt idx="151">
                  <c:v>30.389692517781892</c:v>
                </c:pt>
                <c:pt idx="152">
                  <c:v>30.388041938983335</c:v>
                </c:pt>
                <c:pt idx="153">
                  <c:v>30.386383553712783</c:v>
                </c:pt>
                <c:pt idx="154">
                  <c:v>30.384678036377245</c:v>
                </c:pt>
                <c:pt idx="155">
                  <c:v>30.382964323877797</c:v>
                </c:pt>
                <c:pt idx="156">
                  <c:v>30.381242408577677</c:v>
                </c:pt>
                <c:pt idx="157">
                  <c:v>30.379512283404718</c:v>
                </c:pt>
                <c:pt idx="158">
                  <c:v>30.377733063286648</c:v>
                </c:pt>
                <c:pt idx="159">
                  <c:v>30.375945230332068</c:v>
                </c:pt>
                <c:pt idx="160">
                  <c:v>30.374148778683114</c:v>
                </c:pt>
                <c:pt idx="161">
                  <c:v>30.372343703027251</c:v>
                </c:pt>
                <c:pt idx="162">
                  <c:v>30.370488324835744</c:v>
                </c:pt>
                <c:pt idx="163">
                  <c:v>30.368623913188237</c:v>
                </c:pt>
                <c:pt idx="164">
                  <c:v>30.366750464061333</c:v>
                </c:pt>
                <c:pt idx="165">
                  <c:v>30.364867973957903</c:v>
                </c:pt>
                <c:pt idx="166">
                  <c:v>30.362931451811356</c:v>
                </c:pt>
                <c:pt idx="167">
                  <c:v>30.360985448792853</c:v>
                </c:pt>
                <c:pt idx="168">
                  <c:v>30.359029962760367</c:v>
                </c:pt>
                <c:pt idx="169">
                  <c:v>30.357064992081895</c:v>
                </c:pt>
                <c:pt idx="170">
                  <c:v>30.355048061340945</c:v>
                </c:pt>
                <c:pt idx="171">
                  <c:v>30.353021232638852</c:v>
                </c:pt>
                <c:pt idx="172">
                  <c:v>30.350984505785519</c:v>
                </c:pt>
                <c:pt idx="173">
                  <c:v>30.348937881081454</c:v>
                </c:pt>
                <c:pt idx="174">
                  <c:v>30.346829386327812</c:v>
                </c:pt>
                <c:pt idx="175">
                  <c:v>30.344710490539445</c:v>
                </c:pt>
                <c:pt idx="176">
                  <c:v>30.342581195550608</c:v>
                </c:pt>
                <c:pt idx="177">
                  <c:v>30.340441503675073</c:v>
                </c:pt>
                <c:pt idx="178">
                  <c:v>30.338238415812544</c:v>
                </c:pt>
                <c:pt idx="179">
                  <c:v>30.336024419853764</c:v>
                </c:pt>
                <c:pt idx="180">
                  <c:v>30.33379951976147</c:v>
                </c:pt>
                <c:pt idx="181">
                  <c:v>30.331563719966471</c:v>
                </c:pt>
                <c:pt idx="182">
                  <c:v>30.329271980370251</c:v>
                </c:pt>
                <c:pt idx="183">
                  <c:v>30.326968911463727</c:v>
                </c:pt>
                <c:pt idx="184">
                  <c:v>30.324654519366486</c:v>
                </c:pt>
                <c:pt idx="185">
                  <c:v>30.322328810647598</c:v>
                </c:pt>
                <c:pt idx="186">
                  <c:v>30.319927479446669</c:v>
                </c:pt>
                <c:pt idx="187">
                  <c:v>30.317514217253319</c:v>
                </c:pt>
                <c:pt idx="188">
                  <c:v>30.315089032590183</c:v>
                </c:pt>
                <c:pt idx="189">
                  <c:v>30.312651934424949</c:v>
                </c:pt>
                <c:pt idx="190">
                  <c:v>30.310156079780157</c:v>
                </c:pt>
                <c:pt idx="191">
                  <c:v>30.307647872740962</c:v>
                </c:pt>
                <c:pt idx="192">
                  <c:v>30.305127324143996</c:v>
                </c:pt>
                <c:pt idx="193">
                  <c:v>30.302594445253035</c:v>
                </c:pt>
                <c:pt idx="194">
                  <c:v>30.299982354117773</c:v>
                </c:pt>
                <c:pt idx="195">
                  <c:v>30.297357303045345</c:v>
                </c:pt>
                <c:pt idx="196">
                  <c:v>30.294719305533462</c:v>
                </c:pt>
                <c:pt idx="197">
                  <c:v>30.292068375502076</c:v>
                </c:pt>
                <c:pt idx="198">
                  <c:v>30.289346050411822</c:v>
                </c:pt>
                <c:pt idx="199">
                  <c:v>30.286610250902143</c:v>
                </c:pt>
                <c:pt idx="200">
                  <c:v>30.283860993118651</c:v>
                </c:pt>
                <c:pt idx="201">
                  <c:v>30.281098293617944</c:v>
                </c:pt>
                <c:pt idx="202">
                  <c:v>30.27826253418748</c:v>
                </c:pt>
                <c:pt idx="203">
                  <c:v>30.275412786974435</c:v>
                </c:pt>
                <c:pt idx="204">
                  <c:v>30.272549070878423</c:v>
                </c:pt>
                <c:pt idx="205">
                  <c:v>30.269671405199041</c:v>
                </c:pt>
                <c:pt idx="206">
                  <c:v>30.26670886183263</c:v>
                </c:pt>
                <c:pt idx="207">
                  <c:v>30.263731719927382</c:v>
                </c:pt>
                <c:pt idx="208">
                  <c:v>30.260740001470772</c:v>
                </c:pt>
                <c:pt idx="209">
                  <c:v>30.25773372884478</c:v>
                </c:pt>
                <c:pt idx="210">
                  <c:v>30.254630241945328</c:v>
                </c:pt>
                <c:pt idx="211">
                  <c:v>30.25151144437978</c:v>
                </c:pt>
                <c:pt idx="212">
                  <c:v>30.248377361645368</c:v>
                </c:pt>
                <c:pt idx="213">
                  <c:v>30.24522801963316</c:v>
                </c:pt>
                <c:pt idx="214">
                  <c:v>30.242000208719411</c:v>
                </c:pt>
                <c:pt idx="215">
                  <c:v>30.238756579731788</c:v>
                </c:pt>
                <c:pt idx="216">
                  <c:v>30.235497161340067</c:v>
                </c:pt>
                <c:pt idx="217">
                  <c:v>30.232221982596478</c:v>
                </c:pt>
                <c:pt idx="218">
                  <c:v>30.228855852698722</c:v>
                </c:pt>
                <c:pt idx="219">
                  <c:v>30.225473298201212</c:v>
                </c:pt>
                <c:pt idx="220">
                  <c:v>30.222074351366039</c:v>
                </c:pt>
                <c:pt idx="221">
                  <c:v>30.218659044831341</c:v>
                </c:pt>
                <c:pt idx="222">
                  <c:v>30.215150724436871</c:v>
                </c:pt>
                <c:pt idx="223">
                  <c:v>30.211625376939182</c:v>
                </c:pt>
                <c:pt idx="224">
                  <c:v>30.208083038363945</c:v>
                </c:pt>
                <c:pt idx="225">
                  <c:v>30.204523745106147</c:v>
                </c:pt>
                <c:pt idx="226">
                  <c:v>30.200858191411839</c:v>
                </c:pt>
                <c:pt idx="227">
                  <c:v>30.197174905975714</c:v>
                </c:pt>
                <c:pt idx="228">
                  <c:v>30.193473929127844</c:v>
                </c:pt>
                <c:pt idx="229">
                  <c:v>30.189755301564961</c:v>
                </c:pt>
                <c:pt idx="230">
                  <c:v>30.182082255725994</c:v>
                </c:pt>
                <c:pt idx="231">
                  <c:v>30.178218129727163</c:v>
                </c:pt>
                <c:pt idx="232">
                  <c:v>30.174335661869467</c:v>
                </c:pt>
                <c:pt idx="233">
                  <c:v>30.170342076055157</c:v>
                </c:pt>
                <c:pt idx="234">
                  <c:v>30.166329364285481</c:v>
                </c:pt>
                <c:pt idx="235">
                  <c:v>30.162297576217068</c:v>
                </c:pt>
                <c:pt idx="236">
                  <c:v>30.1582467618652</c:v>
                </c:pt>
                <c:pt idx="237">
                  <c:v>30.154094200077253</c:v>
                </c:pt>
                <c:pt idx="238">
                  <c:v>30.149921938380103</c:v>
                </c:pt>
                <c:pt idx="239">
                  <c:v>30.145730030990279</c:v>
                </c:pt>
                <c:pt idx="240">
                  <c:v>30.141518532473654</c:v>
                </c:pt>
                <c:pt idx="241">
                  <c:v>30.137179062220483</c:v>
                </c:pt>
                <c:pt idx="242">
                  <c:v>30.132819103553004</c:v>
                </c:pt>
                <c:pt idx="243">
                  <c:v>30.128438716415435</c:v>
                </c:pt>
                <c:pt idx="244">
                  <c:v>30.124037961098864</c:v>
                </c:pt>
                <c:pt idx="245">
                  <c:v>30.11951869500345</c:v>
                </c:pt>
                <c:pt idx="246">
                  <c:v>30.114978276432254</c:v>
                </c:pt>
                <c:pt idx="247">
                  <c:v>30.110416770837901</c:v>
                </c:pt>
                <c:pt idx="248">
                  <c:v>30.105834244012151</c:v>
                </c:pt>
                <c:pt idx="249">
                  <c:v>30.101118220805809</c:v>
                </c:pt>
                <c:pt idx="250">
                  <c:v>30.096380279252337</c:v>
                </c:pt>
                <c:pt idx="251">
                  <c:v>30.091620491122594</c:v>
                </c:pt>
                <c:pt idx="252">
                  <c:v>30.086838928520994</c:v>
                </c:pt>
                <c:pt idx="253">
                  <c:v>30.081933773498871</c:v>
                </c:pt>
                <c:pt idx="254">
                  <c:v>30.077006065572725</c:v>
                </c:pt>
                <c:pt idx="255">
                  <c:v>30.072055882538827</c:v>
                </c:pt>
                <c:pt idx="256">
                  <c:v>30.067083302516107</c:v>
                </c:pt>
                <c:pt idx="257">
                  <c:v>30.061958706534888</c:v>
                </c:pt>
                <c:pt idx="258">
                  <c:v>30.056810705636593</c:v>
                </c:pt>
                <c:pt idx="259">
                  <c:v>30.051639385167018</c:v>
                </c:pt>
                <c:pt idx="260">
                  <c:v>30.046444830788328</c:v>
                </c:pt>
                <c:pt idx="261">
                  <c:v>30.041108275977926</c:v>
                </c:pt>
                <c:pt idx="262">
                  <c:v>30.035747601378198</c:v>
                </c:pt>
                <c:pt idx="263">
                  <c:v>30.030362899589171</c:v>
                </c:pt>
                <c:pt idx="264">
                  <c:v>30.024954263515092</c:v>
                </c:pt>
                <c:pt idx="265">
                  <c:v>30.019400794567307</c:v>
                </c:pt>
                <c:pt idx="266">
                  <c:v>30.013822513014699</c:v>
                </c:pt>
                <c:pt idx="267">
                  <c:v>30.008219519015036</c:v>
                </c:pt>
                <c:pt idx="268">
                  <c:v>30.002591913015507</c:v>
                </c:pt>
                <c:pt idx="269">
                  <c:v>29.996802968832714</c:v>
                </c:pt>
                <c:pt idx="270">
                  <c:v>29.990988423452876</c:v>
                </c:pt>
                <c:pt idx="271">
                  <c:v>29.985148385656842</c:v>
                </c:pt>
                <c:pt idx="272">
                  <c:v>29.979282964499721</c:v>
                </c:pt>
                <c:pt idx="273">
                  <c:v>29.973253033629163</c:v>
                </c:pt>
                <c:pt idx="274">
                  <c:v>29.967196739999199</c:v>
                </c:pt>
                <c:pt idx="275">
                  <c:v>29.961114201388703</c:v>
                </c:pt>
                <c:pt idx="276">
                  <c:v>29.955005535831923</c:v>
                </c:pt>
                <c:pt idx="277">
                  <c:v>29.948743370437967</c:v>
                </c:pt>
                <c:pt idx="278">
                  <c:v>29.94245423253366</c:v>
                </c:pt>
                <c:pt idx="279">
                  <c:v>29.936138248402461</c:v>
                </c:pt>
                <c:pt idx="280">
                  <c:v>29.92979554455821</c:v>
                </c:pt>
                <c:pt idx="281">
                  <c:v>29.923253347251869</c:v>
                </c:pt>
                <c:pt idx="282">
                  <c:v>29.916683234291767</c:v>
                </c:pt>
                <c:pt idx="283">
                  <c:v>29.910085343438407</c:v>
                </c:pt>
                <c:pt idx="284">
                  <c:v>29.903459812659136</c:v>
                </c:pt>
                <c:pt idx="285">
                  <c:v>29.896674905233702</c:v>
                </c:pt>
                <c:pt idx="286">
                  <c:v>29.889861544022921</c:v>
                </c:pt>
                <c:pt idx="287">
                  <c:v>29.883019875931922</c:v>
                </c:pt>
                <c:pt idx="288">
                  <c:v>29.876150048038461</c:v>
                </c:pt>
                <c:pt idx="289">
                  <c:v>29.869073444875514</c:v>
                </c:pt>
                <c:pt idx="290">
                  <c:v>29.861967520608687</c:v>
                </c:pt>
                <c:pt idx="291">
                  <c:v>29.854832434510289</c:v>
                </c:pt>
                <c:pt idx="292">
                  <c:v>29.847668345989959</c:v>
                </c:pt>
                <c:pt idx="293">
                  <c:v>29.840308851679072</c:v>
                </c:pt>
                <c:pt idx="294">
                  <c:v>29.832919336974992</c:v>
                </c:pt>
                <c:pt idx="295">
                  <c:v>29.825499972957843</c:v>
                </c:pt>
                <c:pt idx="296">
                  <c:v>29.818050930801796</c:v>
                </c:pt>
                <c:pt idx="297">
                  <c:v>29.810403122329369</c:v>
                </c:pt>
                <c:pt idx="298">
                  <c:v>29.802724642154278</c:v>
                </c:pt>
                <c:pt idx="299">
                  <c:v>29.795015673530138</c:v>
                </c:pt>
                <c:pt idx="300">
                  <c:v>29.787276399754386</c:v>
                </c:pt>
                <c:pt idx="301">
                  <c:v>29.779335052374126</c:v>
                </c:pt>
                <c:pt idx="302">
                  <c:v>29.771362433551705</c:v>
                </c:pt>
                <c:pt idx="303">
                  <c:v>29.763358739050332</c:v>
                </c:pt>
                <c:pt idx="304">
                  <c:v>29.755324164619374</c:v>
                </c:pt>
                <c:pt idx="305">
                  <c:v>29.747052516936478</c:v>
                </c:pt>
                <c:pt idx="306">
                  <c:v>29.73874880871815</c:v>
                </c:pt>
                <c:pt idx="307">
                  <c:v>29.730413250955415</c:v>
                </c:pt>
                <c:pt idx="308">
                  <c:v>29.722046054558739</c:v>
                </c:pt>
                <c:pt idx="309">
                  <c:v>29.713470111252875</c:v>
                </c:pt>
                <c:pt idx="310">
                  <c:v>29.704861625930153</c:v>
                </c:pt>
                <c:pt idx="311">
                  <c:v>29.696220822755318</c:v>
                </c:pt>
                <c:pt idx="312">
                  <c:v>29.687547925737647</c:v>
                </c:pt>
                <c:pt idx="313">
                  <c:v>29.678630451071342</c:v>
                </c:pt>
                <c:pt idx="314">
                  <c:v>29.669679773218888</c:v>
                </c:pt>
                <c:pt idx="315">
                  <c:v>29.660696132368756</c:v>
                </c:pt>
                <c:pt idx="316">
                  <c:v>29.651679768466764</c:v>
                </c:pt>
                <c:pt idx="317">
                  <c:v>29.642415078509284</c:v>
                </c:pt>
                <c:pt idx="318">
                  <c:v>29.633116596859157</c:v>
                </c:pt>
                <c:pt idx="319">
                  <c:v>29.623784580109366</c:v>
                </c:pt>
                <c:pt idx="320">
                  <c:v>29.614419284511293</c:v>
                </c:pt>
                <c:pt idx="321">
                  <c:v>29.604802009542084</c:v>
                </c:pt>
                <c:pt idx="322">
                  <c:v>29.595150431556796</c:v>
                </c:pt>
                <c:pt idx="323">
                  <c:v>29.585464823875377</c:v>
                </c:pt>
                <c:pt idx="324">
                  <c:v>29.575745459364953</c:v>
                </c:pt>
                <c:pt idx="325">
                  <c:v>29.565770567741939</c:v>
                </c:pt>
                <c:pt idx="326">
                  <c:v>29.555760943230418</c:v>
                </c:pt>
                <c:pt idx="327">
                  <c:v>29.545716876136048</c:v>
                </c:pt>
                <c:pt idx="328">
                  <c:v>29.53563865618775</c:v>
                </c:pt>
                <c:pt idx="329">
                  <c:v>29.525284161416447</c:v>
                </c:pt>
                <c:pt idx="330">
                  <c:v>29.514894472421489</c:v>
                </c:pt>
                <c:pt idx="331">
                  <c:v>29.504469898227544</c:v>
                </c:pt>
                <c:pt idx="332">
                  <c:v>29.494010747140674</c:v>
                </c:pt>
                <c:pt idx="333">
                  <c:v>29.48328921207623</c:v>
                </c:pt>
                <c:pt idx="334">
                  <c:v>29.472532231270069</c:v>
                </c:pt>
                <c:pt idx="335">
                  <c:v>29.461740131085079</c:v>
                </c:pt>
                <c:pt idx="336">
                  <c:v>29.450913237014174</c:v>
                </c:pt>
                <c:pt idx="337">
                  <c:v>29.43978523374669</c:v>
                </c:pt>
                <c:pt idx="338">
                  <c:v>29.428621398881489</c:v>
                </c:pt>
                <c:pt idx="339">
                  <c:v>29.417422079459836</c:v>
                </c:pt>
                <c:pt idx="340">
                  <c:v>29.406187621474729</c:v>
                </c:pt>
                <c:pt idx="341">
                  <c:v>29.394648347222905</c:v>
                </c:pt>
                <c:pt idx="342">
                  <c:v>29.383072963735589</c:v>
                </c:pt>
                <c:pt idx="343">
                  <c:v>29.371461838881178</c:v>
                </c:pt>
                <c:pt idx="344">
                  <c:v>29.359815339283632</c:v>
                </c:pt>
                <c:pt idx="345">
                  <c:v>29.347878706034138</c:v>
                </c:pt>
                <c:pt idx="346">
                  <c:v>29.335905908252322</c:v>
                </c:pt>
                <c:pt idx="347">
                  <c:v>29.323897332906725</c:v>
                </c:pt>
                <c:pt idx="348">
                  <c:v>29.311853365516306</c:v>
                </c:pt>
                <c:pt idx="349">
                  <c:v>29.299479346861013</c:v>
                </c:pt>
                <c:pt idx="350">
                  <c:v>29.287069002883538</c:v>
                </c:pt>
                <c:pt idx="351">
                  <c:v>29.274622743130902</c:v>
                </c:pt>
                <c:pt idx="352">
                  <c:v>29.262140975459758</c:v>
                </c:pt>
                <c:pt idx="353">
                  <c:v>29.249325660814002</c:v>
                </c:pt>
                <c:pt idx="354">
                  <c:v>29.23647398694176</c:v>
                </c:pt>
                <c:pt idx="355">
                  <c:v>29.223586385881632</c:v>
                </c:pt>
                <c:pt idx="356">
                  <c:v>29.210663287720774</c:v>
                </c:pt>
                <c:pt idx="357">
                  <c:v>29.197422214968714</c:v>
                </c:pt>
                <c:pt idx="358">
                  <c:v>29.184144981960078</c:v>
                </c:pt>
                <c:pt idx="359">
                  <c:v>29.170832041076181</c:v>
                </c:pt>
                <c:pt idx="360">
                  <c:v>29.157483842478729</c:v>
                </c:pt>
                <c:pt idx="361">
                  <c:v>29.143776777815404</c:v>
                </c:pt>
                <c:pt idx="362">
                  <c:v>29.130033678196021</c:v>
                </c:pt>
                <c:pt idx="363">
                  <c:v>29.116255019858208</c:v>
                </c:pt>
                <c:pt idx="364">
                  <c:v>29.102441276507239</c:v>
                </c:pt>
                <c:pt idx="365">
                  <c:v>29.088284788471199</c:v>
                </c:pt>
                <c:pt idx="366">
                  <c:v>29.074092631563566</c:v>
                </c:pt>
                <c:pt idx="367">
                  <c:v>29.059865303440276</c:v>
                </c:pt>
                <c:pt idx="368">
                  <c:v>29.045603298906414</c:v>
                </c:pt>
                <c:pt idx="369">
                  <c:v>29.030957050739744</c:v>
                </c:pt>
                <c:pt idx="370">
                  <c:v>29.016275451345098</c:v>
                </c:pt>
                <c:pt idx="371">
                  <c:v>29.001559023294231</c:v>
                </c:pt>
                <c:pt idx="372">
                  <c:v>28.986808285938181</c:v>
                </c:pt>
                <c:pt idx="373">
                  <c:v>28.97169003161239</c:v>
                </c:pt>
                <c:pt idx="374">
                  <c:v>28.956536991366217</c:v>
                </c:pt>
                <c:pt idx="375">
                  <c:v>28.941349709917287</c:v>
                </c:pt>
                <c:pt idx="376">
                  <c:v>28.926128728389365</c:v>
                </c:pt>
                <c:pt idx="377">
                  <c:v>28.910498257405848</c:v>
                </c:pt>
                <c:pt idx="378">
                  <c:v>28.894833543523465</c:v>
                </c:pt>
                <c:pt idx="379">
                  <c:v>28.879135157024322</c:v>
                </c:pt>
                <c:pt idx="380">
                  <c:v>28.863403664165702</c:v>
                </c:pt>
                <c:pt idx="381">
                  <c:v>28.847300047501925</c:v>
                </c:pt>
                <c:pt idx="382">
                  <c:v>28.831163065915714</c:v>
                </c:pt>
                <c:pt idx="383">
                  <c:v>28.814993309921782</c:v>
                </c:pt>
                <c:pt idx="384">
                  <c:v>28.798791365601346</c:v>
                </c:pt>
                <c:pt idx="385">
                  <c:v>28.782155099696922</c:v>
                </c:pt>
                <c:pt idx="386">
                  <c:v>28.765486262156976</c:v>
                </c:pt>
                <c:pt idx="387">
                  <c:v>28.748785469174969</c:v>
                </c:pt>
                <c:pt idx="388">
                  <c:v>28.732053332018435</c:v>
                </c:pt>
                <c:pt idx="389">
                  <c:v>28.714904980125585</c:v>
                </c:pt>
                <c:pt idx="390">
                  <c:v>28.697725105518273</c:v>
                </c:pt>
                <c:pt idx="391">
                  <c:v>28.680514346534633</c:v>
                </c:pt>
                <c:pt idx="392">
                  <c:v>28.663273336099834</c:v>
                </c:pt>
                <c:pt idx="393">
                  <c:v>28.645614491655248</c:v>
                </c:pt>
                <c:pt idx="394">
                  <c:v>28.627925342574692</c:v>
                </c:pt>
                <c:pt idx="395">
                  <c:v>28.610206547835983</c:v>
                </c:pt>
                <c:pt idx="396">
                  <c:v>28.592458760503391</c:v>
                </c:pt>
                <c:pt idx="397">
                  <c:v>28.574250721399942</c:v>
                </c:pt>
                <c:pt idx="398">
                  <c:v>28.55601363283548</c:v>
                </c:pt>
                <c:pt idx="399">
                  <c:v>28.537748177339225</c:v>
                </c:pt>
                <c:pt idx="400">
                  <c:v>28.519455030958003</c:v>
                </c:pt>
                <c:pt idx="401">
                  <c:v>28.500721008769865</c:v>
                </c:pt>
                <c:pt idx="402">
                  <c:v>28.481959440517286</c:v>
                </c:pt>
                <c:pt idx="403">
                  <c:v>28.463171028115045</c:v>
                </c:pt>
                <c:pt idx="404">
                  <c:v>28.44435646644466</c:v>
                </c:pt>
                <c:pt idx="405">
                  <c:v>28.425079457631618</c:v>
                </c:pt>
                <c:pt idx="406">
                  <c:v>28.40577652261117</c:v>
                </c:pt>
                <c:pt idx="407">
                  <c:v>28.386448382970087</c:v>
                </c:pt>
                <c:pt idx="408">
                  <c:v>28.367095752672991</c:v>
                </c:pt>
                <c:pt idx="409">
                  <c:v>28.347259204717016</c:v>
                </c:pt>
                <c:pt idx="410">
                  <c:v>28.327398479770064</c:v>
                </c:pt>
                <c:pt idx="411">
                  <c:v>28.307514319194095</c:v>
                </c:pt>
                <c:pt idx="412">
                  <c:v>28.287607456101419</c:v>
                </c:pt>
                <c:pt idx="413">
                  <c:v>28.267216364178939</c:v>
                </c:pt>
                <c:pt idx="414">
                  <c:v>28.246803031436052</c:v>
                </c:pt>
                <c:pt idx="415">
                  <c:v>28.226368216577317</c:v>
                </c:pt>
                <c:pt idx="416">
                  <c:v>28.205912669428042</c:v>
                </c:pt>
                <c:pt idx="417">
                  <c:v>28.184951892154668</c:v>
                </c:pt>
                <c:pt idx="418">
                  <c:v>28.163970950627487</c:v>
                </c:pt>
                <c:pt idx="419">
                  <c:v>28.142970620612275</c:v>
                </c:pt>
                <c:pt idx="420">
                  <c:v>28.121951668331132</c:v>
                </c:pt>
                <c:pt idx="421">
                  <c:v>28.100449050537087</c:v>
                </c:pt>
                <c:pt idx="422">
                  <c:v>28.078928565513678</c:v>
                </c:pt>
                <c:pt idx="423">
                  <c:v>28.057391000951412</c:v>
                </c:pt>
                <c:pt idx="424">
                  <c:v>28.035837134378756</c:v>
                </c:pt>
                <c:pt idx="425">
                  <c:v>28.013736800728598</c:v>
                </c:pt>
                <c:pt idx="426">
                  <c:v>27.991620973131248</c:v>
                </c:pt>
                <c:pt idx="427">
                  <c:v>27.96949045519192</c:v>
                </c:pt>
                <c:pt idx="428">
                  <c:v>27.947346039626176</c:v>
                </c:pt>
                <c:pt idx="429">
                  <c:v>27.924677523363471</c:v>
                </c:pt>
                <c:pt idx="430">
                  <c:v>27.901996105235149</c:v>
                </c:pt>
                <c:pt idx="431">
                  <c:v>27.879302599213169</c:v>
                </c:pt>
                <c:pt idx="432">
                  <c:v>27.856597807708489</c:v>
                </c:pt>
                <c:pt idx="433">
                  <c:v>27.833370513060693</c:v>
                </c:pt>
                <c:pt idx="434">
                  <c:v>27.810133078849859</c:v>
                </c:pt>
                <c:pt idx="435">
                  <c:v>27.786886326098394</c:v>
                </c:pt>
                <c:pt idx="436">
                  <c:v>27.7636310636193</c:v>
                </c:pt>
                <c:pt idx="437">
                  <c:v>27.739812594138552</c:v>
                </c:pt>
                <c:pt idx="438">
                  <c:v>27.715986881033274</c:v>
                </c:pt>
                <c:pt idx="439">
                  <c:v>27.69215475339027</c:v>
                </c:pt>
                <c:pt idx="440">
                  <c:v>27.668317027376069</c:v>
                </c:pt>
                <c:pt idx="441">
                  <c:v>27.643918486442587</c:v>
                </c:pt>
                <c:pt idx="442">
                  <c:v>27.619515771395623</c:v>
                </c:pt>
                <c:pt idx="443">
                  <c:v>27.595109715658047</c:v>
                </c:pt>
                <c:pt idx="444">
                  <c:v>27.570701139053742</c:v>
                </c:pt>
                <c:pt idx="445">
                  <c:v>27.545734596220683</c:v>
                </c:pt>
                <c:pt idx="446">
                  <c:v>27.520767108170482</c:v>
                </c:pt>
                <c:pt idx="447">
                  <c:v>27.495799508862085</c:v>
                </c:pt>
                <c:pt idx="448">
                  <c:v>27.470832618016278</c:v>
                </c:pt>
                <c:pt idx="449">
                  <c:v>27.445268268568842</c:v>
                </c:pt>
                <c:pt idx="450">
                  <c:v>27.419706356621671</c:v>
                </c:pt>
                <c:pt idx="451">
                  <c:v>27.394147716984829</c:v>
                </c:pt>
                <c:pt idx="452">
                  <c:v>27.368593169538439</c:v>
                </c:pt>
                <c:pt idx="453">
                  <c:v>27.342466309746243</c:v>
                </c:pt>
                <c:pt idx="454">
                  <c:v>27.316345416222095</c:v>
                </c:pt>
                <c:pt idx="455">
                  <c:v>27.290231318443894</c:v>
                </c:pt>
                <c:pt idx="456">
                  <c:v>27.264124830369276</c:v>
                </c:pt>
                <c:pt idx="457">
                  <c:v>27.237407510363209</c:v>
                </c:pt>
                <c:pt idx="458">
                  <c:v>27.210699842908529</c:v>
                </c:pt>
                <c:pt idx="459">
                  <c:v>27.184002652076408</c:v>
                </c:pt>
                <c:pt idx="460">
                  <c:v>27.157316745783817</c:v>
                </c:pt>
                <c:pt idx="461">
                  <c:v>27.130024727296185</c:v>
                </c:pt>
                <c:pt idx="462">
                  <c:v>27.102746182993549</c:v>
                </c:pt>
                <c:pt idx="463">
                  <c:v>27.075481927237334</c:v>
                </c:pt>
                <c:pt idx="464">
                  <c:v>27.048232757664902</c:v>
                </c:pt>
                <c:pt idx="465">
                  <c:v>27.020361371435648</c:v>
                </c:pt>
                <c:pt idx="466">
                  <c:v>26.992507424751246</c:v>
                </c:pt>
                <c:pt idx="467">
                  <c:v>26.964671719840887</c:v>
                </c:pt>
                <c:pt idx="468">
                  <c:v>26.93685504165807</c:v>
                </c:pt>
                <c:pt idx="469">
                  <c:v>26.908421826107155</c:v>
                </c:pt>
                <c:pt idx="470">
                  <c:v>26.880010125963011</c:v>
                </c:pt>
                <c:pt idx="471">
                  <c:v>26.851620726980563</c:v>
                </c:pt>
                <c:pt idx="472">
                  <c:v>26.823254397163975</c:v>
                </c:pt>
                <c:pt idx="473">
                  <c:v>26.794235348280711</c:v>
                </c:pt>
                <c:pt idx="474">
                  <c:v>26.765242057222274</c:v>
                </c:pt>
                <c:pt idx="475">
                  <c:v>26.736275292375019</c:v>
                </c:pt>
                <c:pt idx="476">
                  <c:v>26.70733580387602</c:v>
                </c:pt>
                <c:pt idx="477">
                  <c:v>26.677750343725091</c:v>
                </c:pt>
                <c:pt idx="478">
                  <c:v>26.64819497932811</c:v>
                </c:pt>
                <c:pt idx="479">
                  <c:v>26.618670457212332</c:v>
                </c:pt>
                <c:pt idx="480">
                  <c:v>26.589177505245587</c:v>
                </c:pt>
                <c:pt idx="481">
                  <c:v>26.559045746367499</c:v>
                </c:pt>
                <c:pt idx="482">
                  <c:v>26.528948495010948</c:v>
                </c:pt>
                <c:pt idx="483">
                  <c:v>26.498886471538352</c:v>
                </c:pt>
                <c:pt idx="484">
                  <c:v>26.468860377335602</c:v>
                </c:pt>
                <c:pt idx="485">
                  <c:v>26.438182157479172</c:v>
                </c:pt>
                <c:pt idx="486">
                  <c:v>26.407542962780227</c:v>
                </c:pt>
                <c:pt idx="487">
                  <c:v>26.376943484748562</c:v>
                </c:pt>
                <c:pt idx="488">
                  <c:v>26.346384395644613</c:v>
                </c:pt>
                <c:pt idx="489">
                  <c:v>26.315139739897052</c:v>
                </c:pt>
                <c:pt idx="490">
                  <c:v>26.283938786524367</c:v>
                </c:pt>
                <c:pt idx="491">
                  <c:v>26.252782196715682</c:v>
                </c:pt>
                <c:pt idx="492">
                  <c:v>26.221670612135924</c:v>
                </c:pt>
                <c:pt idx="493">
                  <c:v>26.189882258995748</c:v>
                </c:pt>
                <c:pt idx="494">
                  <c:v>26.158142328597663</c:v>
                </c:pt>
                <c:pt idx="495">
                  <c:v>26.126451447537896</c:v>
                </c:pt>
                <c:pt idx="496">
                  <c:v>26.094810222720902</c:v>
                </c:pt>
                <c:pt idx="497">
                  <c:v>26.062480877482873</c:v>
                </c:pt>
                <c:pt idx="498">
                  <c:v>26.03020476350553</c:v>
                </c:pt>
                <c:pt idx="499">
                  <c:v>25.997982469929504</c:v>
                </c:pt>
                <c:pt idx="500">
                  <c:v>25.965814566094885</c:v>
                </c:pt>
                <c:pt idx="501">
                  <c:v>25.932947867011507</c:v>
                </c:pt>
                <c:pt idx="502">
                  <c:v>25.90013928829698</c:v>
                </c:pt>
                <c:pt idx="503">
                  <c:v>25.867389378758713</c:v>
                </c:pt>
                <c:pt idx="504">
                  <c:v>25.834698667358047</c:v>
                </c:pt>
                <c:pt idx="505">
                  <c:v>25.801319393893195</c:v>
                </c:pt>
                <c:pt idx="506">
                  <c:v>25.76800312540021</c:v>
                </c:pt>
                <c:pt idx="507">
                  <c:v>25.734750366582965</c:v>
                </c:pt>
                <c:pt idx="508">
                  <c:v>25.701561602368237</c:v>
                </c:pt>
                <c:pt idx="509">
                  <c:v>25.66767473641837</c:v>
                </c:pt>
                <c:pt idx="510">
                  <c:v>25.633855813874646</c:v>
                </c:pt>
                <c:pt idx="511">
                  <c:v>25.600105292751472</c:v>
                </c:pt>
                <c:pt idx="512">
                  <c:v>25.566423611421712</c:v>
                </c:pt>
                <c:pt idx="513">
                  <c:v>25.532015057937439</c:v>
                </c:pt>
                <c:pt idx="514">
                  <c:v>25.497679516162385</c:v>
                </c:pt>
                <c:pt idx="515">
                  <c:v>25.463417395579974</c:v>
                </c:pt>
                <c:pt idx="516">
                  <c:v>25.429229086192294</c:v>
                </c:pt>
                <c:pt idx="517">
                  <c:v>25.394325704734342</c:v>
                </c:pt>
                <c:pt idx="518">
                  <c:v>25.359500358937616</c:v>
                </c:pt>
                <c:pt idx="519">
                  <c:v>25.32475340644914</c:v>
                </c:pt>
                <c:pt idx="520">
                  <c:v>25.290085185713316</c:v>
                </c:pt>
                <c:pt idx="521">
                  <c:v>25.254694378990436</c:v>
                </c:pt>
                <c:pt idx="522">
                  <c:v>25.219386657580849</c:v>
                </c:pt>
                <c:pt idx="523">
                  <c:v>25.18416232492639</c:v>
                </c:pt>
                <c:pt idx="524">
                  <c:v>25.149021665617802</c:v>
                </c:pt>
                <c:pt idx="525">
                  <c:v>25.113151574853543</c:v>
                </c:pt>
                <c:pt idx="526">
                  <c:v>25.077369634721865</c:v>
                </c:pt>
                <c:pt idx="527">
                  <c:v>25.041676092201936</c:v>
                </c:pt>
                <c:pt idx="528">
                  <c:v>25.00607117584704</c:v>
                </c:pt>
                <c:pt idx="529">
                  <c:v>24.969730645449687</c:v>
                </c:pt>
                <c:pt idx="530">
                  <c:v>24.933483336379808</c:v>
                </c:pt>
                <c:pt idx="531">
                  <c:v>24.897329437025995</c:v>
                </c:pt>
                <c:pt idx="532">
                  <c:v>24.861269117850174</c:v>
                </c:pt>
                <c:pt idx="533">
                  <c:v>24.824448683509061</c:v>
                </c:pt>
                <c:pt idx="534">
                  <c:v>24.787726637682322</c:v>
                </c:pt>
                <c:pt idx="535">
                  <c:v>24.751103108370948</c:v>
                </c:pt>
                <c:pt idx="536">
                  <c:v>24.714578206186943</c:v>
                </c:pt>
                <c:pt idx="537">
                  <c:v>24.677326158245535</c:v>
                </c:pt>
                <c:pt idx="538">
                  <c:v>24.640177447363104</c:v>
                </c:pt>
                <c:pt idx="539">
                  <c:v>24.60313213893032</c:v>
                </c:pt>
                <c:pt idx="540">
                  <c:v>24.566190281630973</c:v>
                </c:pt>
                <c:pt idx="541">
                  <c:v>24.528479600373498</c:v>
                </c:pt>
                <c:pt idx="542">
                  <c:v>24.49087738673412</c:v>
                </c:pt>
                <c:pt idx="543">
                  <c:v>24.453383642060203</c:v>
                </c:pt>
                <c:pt idx="544">
                  <c:v>24.415998351678262</c:v>
                </c:pt>
                <c:pt idx="545">
                  <c:v>24.377859284161755</c:v>
                </c:pt>
                <c:pt idx="546">
                  <c:v>24.339833673535534</c:v>
                </c:pt>
                <c:pt idx="547">
                  <c:v>24.301921455533538</c:v>
                </c:pt>
                <c:pt idx="548">
                  <c:v>24.264122550658278</c:v>
                </c:pt>
                <c:pt idx="549">
                  <c:v>24.2255668577032</c:v>
                </c:pt>
                <c:pt idx="550">
                  <c:v>24.187129563522326</c:v>
                </c:pt>
                <c:pt idx="551">
                  <c:v>24.148810536984563</c:v>
                </c:pt>
                <c:pt idx="552">
                  <c:v>24.110609632583319</c:v>
                </c:pt>
                <c:pt idx="553">
                  <c:v>24.071631619644691</c:v>
                </c:pt>
                <c:pt idx="554">
                  <c:v>24.032777003328974</c:v>
                </c:pt>
                <c:pt idx="555">
                  <c:v>23.994045584309937</c:v>
                </c:pt>
                <c:pt idx="556">
                  <c:v>23.955437149780835</c:v>
                </c:pt>
                <c:pt idx="557">
                  <c:v>23.876791396445292</c:v>
                </c:pt>
                <c:pt idx="558">
                  <c:v>23.798657877876433</c:v>
                </c:pt>
                <c:pt idx="559">
                  <c:v>23.719261020428867</c:v>
                </c:pt>
                <c:pt idx="560">
                  <c:v>23.64039509063619</c:v>
                </c:pt>
                <c:pt idx="561">
                  <c:v>23.560205007181416</c:v>
                </c:pt>
                <c:pt idx="562">
                  <c:v>23.480565138779085</c:v>
                </c:pt>
                <c:pt idx="563">
                  <c:v>23.399780781711847</c:v>
                </c:pt>
                <c:pt idx="564">
                  <c:v>23.319563183562522</c:v>
                </c:pt>
                <c:pt idx="565">
                  <c:v>23.237907550325538</c:v>
                </c:pt>
                <c:pt idx="566">
                  <c:v>23.156839104391036</c:v>
                </c:pt>
                <c:pt idx="567">
                  <c:v>23.074381480466574</c:v>
                </c:pt>
                <c:pt idx="568">
                  <c:v>22.992530569243449</c:v>
                </c:pt>
                <c:pt idx="569">
                  <c:v>22.90966240011425</c:v>
                </c:pt>
                <c:pt idx="570">
                  <c:v>22.827414661722898</c:v>
                </c:pt>
                <c:pt idx="571">
                  <c:v>22.743549476068804</c:v>
                </c:pt>
                <c:pt idx="572">
                  <c:v>22.660327199201635</c:v>
                </c:pt>
                <c:pt idx="573">
                  <c:v>22.576171700104695</c:v>
                </c:pt>
                <c:pt idx="574">
                  <c:v>22.492670776909431</c:v>
                </c:pt>
                <c:pt idx="575">
                  <c:v>22.407654212187129</c:v>
                </c:pt>
                <c:pt idx="576">
                  <c:v>22.323312669349495</c:v>
                </c:pt>
                <c:pt idx="577">
                  <c:v>21.973556051646597</c:v>
                </c:pt>
                <c:pt idx="578">
                  <c:v>21.63521205111191</c:v>
                </c:pt>
                <c:pt idx="579">
                  <c:v>20.931021305474246</c:v>
                </c:pt>
                <c:pt idx="580">
                  <c:v>20.211708487338527</c:v>
                </c:pt>
                <c:pt idx="581">
                  <c:v>19.480232354755685</c:v>
                </c:pt>
                <c:pt idx="582">
                  <c:v>18.737860176673273</c:v>
                </c:pt>
                <c:pt idx="583">
                  <c:v>17.986680218276987</c:v>
                </c:pt>
                <c:pt idx="584">
                  <c:v>17.227478482833458</c:v>
                </c:pt>
                <c:pt idx="585">
                  <c:v>16.461865358706849</c:v>
                </c:pt>
                <c:pt idx="586">
                  <c:v>15.690748021760676</c:v>
                </c:pt>
                <c:pt idx="587">
                  <c:v>14.914584521500817</c:v>
                </c:pt>
                <c:pt idx="588">
                  <c:v>14.134861834987053</c:v>
                </c:pt>
                <c:pt idx="589">
                  <c:v>13.351588411305022</c:v>
                </c:pt>
                <c:pt idx="590">
                  <c:v>12.565597428884134</c:v>
                </c:pt>
                <c:pt idx="591">
                  <c:v>11.777275704416603</c:v>
                </c:pt>
                <c:pt idx="592">
                  <c:v>10.98711435363597</c:v>
                </c:pt>
                <c:pt idx="593">
                  <c:v>10.195201774150791</c:v>
                </c:pt>
                <c:pt idx="594">
                  <c:v>9.4020169368591553</c:v>
                </c:pt>
                <c:pt idx="595">
                  <c:v>8.607624363227762</c:v>
                </c:pt>
                <c:pt idx="596">
                  <c:v>7.8123718855381981</c:v>
                </c:pt>
                <c:pt idx="597">
                  <c:v>7.0162445169684453</c:v>
                </c:pt>
                <c:pt idx="598">
                  <c:v>6.2195682731534223</c:v>
                </c:pt>
                <c:pt idx="599">
                  <c:v>5.4222478235459812</c:v>
                </c:pt>
                <c:pt idx="600">
                  <c:v>4.6244959024526642</c:v>
                </c:pt>
              </c:numCache>
            </c:numRef>
          </c:yVal>
          <c:smooth val="0"/>
          <c:extLst>
            <c:ext xmlns:c16="http://schemas.microsoft.com/office/drawing/2014/chart" uri="{C3380CC4-5D6E-409C-BE32-E72D297353CC}">
              <c16:uniqueId val="{00000000-C943-44AE-BE69-B37F145E1EAF}"/>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Calculations'!$AE$13:$AE$613</c:f>
              <c:numCache>
                <c:formatCode>0.00</c:formatCode>
                <c:ptCount val="601"/>
                <c:pt idx="0">
                  <c:v>-86.762741234429782</c:v>
                </c:pt>
                <c:pt idx="1">
                  <c:v>-87.010219335063084</c:v>
                </c:pt>
                <c:pt idx="2">
                  <c:v>-87.232430206606537</c:v>
                </c:pt>
                <c:pt idx="3">
                  <c:v>-87.431240830272515</c:v>
                </c:pt>
                <c:pt idx="4">
                  <c:v>-87.608213510262487</c:v>
                </c:pt>
                <c:pt idx="5">
                  <c:v>-87.765120562563922</c:v>
                </c:pt>
                <c:pt idx="6">
                  <c:v>-87.903040460588429</c:v>
                </c:pt>
                <c:pt idx="7">
                  <c:v>-88.023229755874084</c:v>
                </c:pt>
                <c:pt idx="8">
                  <c:v>-88.126617768708471</c:v>
                </c:pt>
                <c:pt idx="9">
                  <c:v>-88.214157812194941</c:v>
                </c:pt>
                <c:pt idx="10">
                  <c:v>-88.28653580115882</c:v>
                </c:pt>
                <c:pt idx="11">
                  <c:v>-88.344380156118376</c:v>
                </c:pt>
                <c:pt idx="12">
                  <c:v>-88.388202162689154</c:v>
                </c:pt>
                <c:pt idx="13">
                  <c:v>-88.41833072250779</c:v>
                </c:pt>
                <c:pt idx="14">
                  <c:v>-88.43504858560209</c:v>
                </c:pt>
                <c:pt idx="15">
                  <c:v>-88.438486029393999</c:v>
                </c:pt>
                <c:pt idx="16">
                  <c:v>-88.428673771953129</c:v>
                </c:pt>
                <c:pt idx="17">
                  <c:v>-88.40553278238869</c:v>
                </c:pt>
                <c:pt idx="18">
                  <c:v>-88.368860193268347</c:v>
                </c:pt>
                <c:pt idx="19">
                  <c:v>-88.318354949540307</c:v>
                </c:pt>
                <c:pt idx="20">
                  <c:v>-88.253580565703075</c:v>
                </c:pt>
                <c:pt idx="21">
                  <c:v>-88.174003685842109</c:v>
                </c:pt>
                <c:pt idx="22">
                  <c:v>-88.078935715025608</c:v>
                </c:pt>
                <c:pt idx="23">
                  <c:v>-87.96759940510745</c:v>
                </c:pt>
                <c:pt idx="24">
                  <c:v>-87.839028935080407</c:v>
                </c:pt>
                <c:pt idx="25">
                  <c:v>-87.692160350239035</c:v>
                </c:pt>
                <c:pt idx="26">
                  <c:v>-87.525720601099266</c:v>
                </c:pt>
                <c:pt idx="27">
                  <c:v>-87.338364405552966</c:v>
                </c:pt>
                <c:pt idx="28">
                  <c:v>-87.128522912121227</c:v>
                </c:pt>
                <c:pt idx="29">
                  <c:v>-86.894603844451879</c:v>
                </c:pt>
                <c:pt idx="30">
                  <c:v>-86.634254082577613</c:v>
                </c:pt>
                <c:pt idx="31">
                  <c:v>-86.345658501399356</c:v>
                </c:pt>
                <c:pt idx="32">
                  <c:v>-86.026246467917275</c:v>
                </c:pt>
                <c:pt idx="33">
                  <c:v>-85.673636286478839</c:v>
                </c:pt>
                <c:pt idx="34">
                  <c:v>-85.284690280687713</c:v>
                </c:pt>
                <c:pt idx="35">
                  <c:v>-84.856483321954684</c:v>
                </c:pt>
                <c:pt idx="36">
                  <c:v>-84.385547586895612</c:v>
                </c:pt>
                <c:pt idx="37">
                  <c:v>-83.867885922807815</c:v>
                </c:pt>
                <c:pt idx="38">
                  <c:v>-83.299969642040026</c:v>
                </c:pt>
                <c:pt idx="39">
                  <c:v>-82.677015102443065</c:v>
                </c:pt>
                <c:pt idx="40">
                  <c:v>-81.994580983512932</c:v>
                </c:pt>
                <c:pt idx="41">
                  <c:v>-81.247643432135519</c:v>
                </c:pt>
                <c:pt idx="42">
                  <c:v>-80.431049235802433</c:v>
                </c:pt>
                <c:pt idx="43">
                  <c:v>-79.539015945636649</c:v>
                </c:pt>
                <c:pt idx="44">
                  <c:v>-78.566010784397633</c:v>
                </c:pt>
                <c:pt idx="45">
                  <c:v>-77.505916742537622</c:v>
                </c:pt>
                <c:pt idx="46">
                  <c:v>-76.352965978446335</c:v>
                </c:pt>
                <c:pt idx="47">
                  <c:v>-75.100991970049122</c:v>
                </c:pt>
                <c:pt idx="48">
                  <c:v>-73.744624344143944</c:v>
                </c:pt>
                <c:pt idx="49">
                  <c:v>-72.27828286422789</c:v>
                </c:pt>
                <c:pt idx="50">
                  <c:v>-70.697651235787646</c:v>
                </c:pt>
                <c:pt idx="51">
                  <c:v>-68.998820783770739</c:v>
                </c:pt>
                <c:pt idx="52">
                  <c:v>-67.18017952402478</c:v>
                </c:pt>
                <c:pt idx="53">
                  <c:v>-65.241314460064231</c:v>
                </c:pt>
                <c:pt idx="54">
                  <c:v>-63.185349244490325</c:v>
                </c:pt>
                <c:pt idx="55">
                  <c:v>-61.013074840296191</c:v>
                </c:pt>
                <c:pt idx="56">
                  <c:v>-58.734602298828023</c:v>
                </c:pt>
                <c:pt idx="57">
                  <c:v>-56.358656157195426</c:v>
                </c:pt>
                <c:pt idx="58">
                  <c:v>-53.90031503676925</c:v>
                </c:pt>
                <c:pt idx="59">
                  <c:v>-51.374036154107358</c:v>
                </c:pt>
                <c:pt idx="60">
                  <c:v>-48.800167798319535</c:v>
                </c:pt>
                <c:pt idx="61">
                  <c:v>-46.199280542758146</c:v>
                </c:pt>
                <c:pt idx="62">
                  <c:v>-43.592150205435928</c:v>
                </c:pt>
                <c:pt idx="63">
                  <c:v>-41.003779148770626</c:v>
                </c:pt>
                <c:pt idx="64">
                  <c:v>-38.454016324597745</c:v>
                </c:pt>
                <c:pt idx="65">
                  <c:v>-35.964325618613195</c:v>
                </c:pt>
                <c:pt idx="66">
                  <c:v>-33.552798900326756</c:v>
                </c:pt>
                <c:pt idx="67">
                  <c:v>-31.235364437016162</c:v>
                </c:pt>
                <c:pt idx="68">
                  <c:v>-29.0239640426554</c:v>
                </c:pt>
                <c:pt idx="69">
                  <c:v>-26.928739751701013</c:v>
                </c:pt>
                <c:pt idx="70">
                  <c:v>-24.955851461632925</c:v>
                </c:pt>
                <c:pt idx="71">
                  <c:v>-23.10957060600899</c:v>
                </c:pt>
                <c:pt idx="72">
                  <c:v>-21.391013594192607</c:v>
                </c:pt>
                <c:pt idx="73">
                  <c:v>-19.800142841536385</c:v>
                </c:pt>
                <c:pt idx="74">
                  <c:v>-18.334526876082666</c:v>
                </c:pt>
                <c:pt idx="75">
                  <c:v>-16.991202706214974</c:v>
                </c:pt>
                <c:pt idx="76">
                  <c:v>-15.765844149881183</c:v>
                </c:pt>
                <c:pt idx="77">
                  <c:v>-14.654276811570494</c:v>
                </c:pt>
                <c:pt idx="78">
                  <c:v>-13.651562407206718</c:v>
                </c:pt>
                <c:pt idx="79">
                  <c:v>-12.753264233882254</c:v>
                </c:pt>
                <c:pt idx="80">
                  <c:v>-11.953054962023488</c:v>
                </c:pt>
                <c:pt idx="81">
                  <c:v>-11.247497415713397</c:v>
                </c:pt>
                <c:pt idx="82">
                  <c:v>-10.631755985272951</c:v>
                </c:pt>
                <c:pt idx="83">
                  <c:v>-10.102288457788315</c:v>
                </c:pt>
                <c:pt idx="84">
                  <c:v>-9.6551403550190003</c:v>
                </c:pt>
                <c:pt idx="85">
                  <c:v>-9.2875076340137568</c:v>
                </c:pt>
                <c:pt idx="86">
                  <c:v>-8.9967169638000364</c:v>
                </c:pt>
                <c:pt idx="87">
                  <c:v>-8.7805774781421491</c:v>
                </c:pt>
                <c:pt idx="88">
                  <c:v>-8.6377277973379822</c:v>
                </c:pt>
                <c:pt idx="89">
                  <c:v>-8.5669889673890118</c:v>
                </c:pt>
                <c:pt idx="90">
                  <c:v>-8.5678937889874831</c:v>
                </c:pt>
                <c:pt idx="91">
                  <c:v>-8.6404417096350681</c:v>
                </c:pt>
                <c:pt idx="92">
                  <c:v>-8.7851415128879076</c:v>
                </c:pt>
                <c:pt idx="93">
                  <c:v>-9.0030951633697818</c:v>
                </c:pt>
                <c:pt idx="94">
                  <c:v>-9.0691721878271547</c:v>
                </c:pt>
                <c:pt idx="95">
                  <c:v>-9.1041900703131606</c:v>
                </c:pt>
                <c:pt idx="96">
                  <c:v>-9.1399799771194079</c:v>
                </c:pt>
                <c:pt idx="97">
                  <c:v>-9.1773706911042154</c:v>
                </c:pt>
                <c:pt idx="98">
                  <c:v>-9.2155141841143333</c:v>
                </c:pt>
                <c:pt idx="99">
                  <c:v>-9.2553037865394803</c:v>
                </c:pt>
                <c:pt idx="100">
                  <c:v>-9.2958276008161338</c:v>
                </c:pt>
                <c:pt idx="101">
                  <c:v>-9.3380123436082361</c:v>
                </c:pt>
                <c:pt idx="102">
                  <c:v>-9.3809122653959314</c:v>
                </c:pt>
                <c:pt idx="103">
                  <c:v>-9.4255515020283589</c:v>
                </c:pt>
                <c:pt idx="104">
                  <c:v>-9.4708885176504616</c:v>
                </c:pt>
                <c:pt idx="105">
                  <c:v>-9.5179797205506809</c:v>
                </c:pt>
                <c:pt idx="106">
                  <c:v>-9.5657507670621147</c:v>
                </c:pt>
                <c:pt idx="107">
                  <c:v>-9.6152888310223776</c:v>
                </c:pt>
                <c:pt idx="108">
                  <c:v>-9.6654883703262779</c:v>
                </c:pt>
                <c:pt idx="109">
                  <c:v>-9.7175014916352165</c:v>
                </c:pt>
                <c:pt idx="110">
                  <c:v>-9.7701582403309661</c:v>
                </c:pt>
                <c:pt idx="111">
                  <c:v>-9.8247124140357123</c:v>
                </c:pt>
                <c:pt idx="112">
                  <c:v>-9.8798936310510417</c:v>
                </c:pt>
                <c:pt idx="113">
                  <c:v>-9.9369846096892456</c:v>
                </c:pt>
                <c:pt idx="114">
                  <c:v>-9.9946855371972116</c:v>
                </c:pt>
                <c:pt idx="115">
                  <c:v>-10.054344727807754</c:v>
                </c:pt>
                <c:pt idx="116">
                  <c:v>-10.114597093404877</c:v>
                </c:pt>
                <c:pt idx="117">
                  <c:v>-10.176856642369655</c:v>
                </c:pt>
                <c:pt idx="118">
                  <c:v>-10.239692856790805</c:v>
                </c:pt>
                <c:pt idx="119">
                  <c:v>-10.304545983531519</c:v>
                </c:pt>
                <c:pt idx="120">
                  <c:v>-10.369958812971554</c:v>
                </c:pt>
                <c:pt idx="121">
                  <c:v>-10.437436678617539</c:v>
                </c:pt>
                <c:pt idx="122">
                  <c:v>-10.505457543694478</c:v>
                </c:pt>
                <c:pt idx="123">
                  <c:v>-10.575632580328895</c:v>
                </c:pt>
                <c:pt idx="124">
                  <c:v>-10.646334720854325</c:v>
                </c:pt>
                <c:pt idx="125">
                  <c:v>-10.719199302473305</c:v>
                </c:pt>
                <c:pt idx="126">
                  <c:v>-10.792574602268278</c:v>
                </c:pt>
                <c:pt idx="127">
                  <c:v>-10.868160812458932</c:v>
                </c:pt>
                <c:pt idx="128">
                  <c:v>-10.944241478118578</c:v>
                </c:pt>
                <c:pt idx="129">
                  <c:v>-11.022581476168273</c:v>
                </c:pt>
                <c:pt idx="130">
                  <c:v>-11.101399749932474</c:v>
                </c:pt>
                <c:pt idx="131">
                  <c:v>-11.182525649933419</c:v>
                </c:pt>
                <c:pt idx="132">
                  <c:v>-11.223263064080145</c:v>
                </c:pt>
                <c:pt idx="133">
                  <c:v>-11.264113691458741</c:v>
                </c:pt>
                <c:pt idx="134">
                  <c:v>-11.306050335499579</c:v>
                </c:pt>
                <c:pt idx="135">
                  <c:v>-11.348100901944303</c:v>
                </c:pt>
                <c:pt idx="136">
                  <c:v>-11.390263072924824</c:v>
                </c:pt>
                <c:pt idx="137">
                  <c:v>-11.432534581497329</c:v>
                </c:pt>
                <c:pt idx="138">
                  <c:v>-11.475876593453762</c:v>
                </c:pt>
                <c:pt idx="139">
                  <c:v>-11.51932832511692</c:v>
                </c:pt>
                <c:pt idx="140">
                  <c:v>-11.562887507703586</c:v>
                </c:pt>
                <c:pt idx="141">
                  <c:v>-11.60655192211647</c:v>
                </c:pt>
                <c:pt idx="142">
                  <c:v>-11.651358507568915</c:v>
                </c:pt>
                <c:pt idx="143">
                  <c:v>-11.696270822057828</c:v>
                </c:pt>
                <c:pt idx="144">
                  <c:v>-11.741286637680181</c:v>
                </c:pt>
                <c:pt idx="145">
                  <c:v>-11.78640377520526</c:v>
                </c:pt>
                <c:pt idx="146">
                  <c:v>-11.832668657831944</c:v>
                </c:pt>
                <c:pt idx="147">
                  <c:v>-11.87903514541334</c:v>
                </c:pt>
                <c:pt idx="148">
                  <c:v>-11.925501053181883</c:v>
                </c:pt>
                <c:pt idx="149">
                  <c:v>-11.97206424394922</c:v>
                </c:pt>
                <c:pt idx="150">
                  <c:v>-12.019802542834359</c:v>
                </c:pt>
                <c:pt idx="151">
                  <c:v>-12.067638296113003</c:v>
                </c:pt>
                <c:pt idx="152">
                  <c:v>-12.115569360965196</c:v>
                </c:pt>
                <c:pt idx="153">
                  <c:v>-12.163593641078046</c:v>
                </c:pt>
                <c:pt idx="154">
                  <c:v>-12.212842828345655</c:v>
                </c:pt>
                <c:pt idx="155">
                  <c:v>-12.262185370818885</c:v>
                </c:pt>
                <c:pt idx="156">
                  <c:v>-12.311619163613253</c:v>
                </c:pt>
                <c:pt idx="157">
                  <c:v>-12.361142147381157</c:v>
                </c:pt>
                <c:pt idx="158">
                  <c:v>-12.411917145296483</c:v>
                </c:pt>
                <c:pt idx="159">
                  <c:v>-12.462781343774376</c:v>
                </c:pt>
                <c:pt idx="160">
                  <c:v>-12.51373267507816</c:v>
                </c:pt>
                <c:pt idx="161">
                  <c:v>-12.564769116047229</c:v>
                </c:pt>
                <c:pt idx="162">
                  <c:v>-12.617061375499372</c:v>
                </c:pt>
                <c:pt idx="163">
                  <c:v>-12.669438545989491</c:v>
                </c:pt>
                <c:pt idx="164">
                  <c:v>-12.72189859879329</c:v>
                </c:pt>
                <c:pt idx="165">
                  <c:v>-12.774439548735424</c:v>
                </c:pt>
                <c:pt idx="166">
                  <c:v>-12.828308847315931</c:v>
                </c:pt>
                <c:pt idx="167">
                  <c:v>-12.88225885154112</c:v>
                </c:pt>
                <c:pt idx="168">
                  <c:v>-12.936287565552636</c:v>
                </c:pt>
                <c:pt idx="169">
                  <c:v>-12.990393036176668</c:v>
                </c:pt>
                <c:pt idx="170">
                  <c:v>-13.045736825844683</c:v>
                </c:pt>
                <c:pt idx="171">
                  <c:v>-13.10115671331503</c:v>
                </c:pt>
                <c:pt idx="172">
                  <c:v>-13.156650747287776</c:v>
                </c:pt>
                <c:pt idx="173">
                  <c:v>-13.21221701793988</c:v>
                </c:pt>
                <c:pt idx="174">
                  <c:v>-13.269257153377019</c:v>
                </c:pt>
                <c:pt idx="175">
                  <c:v>-13.32636927708637</c:v>
                </c:pt>
                <c:pt idx="176">
                  <c:v>-13.383551459427338</c:v>
                </c:pt>
                <c:pt idx="177">
                  <c:v>-13.440801811664393</c:v>
                </c:pt>
                <c:pt idx="178">
                  <c:v>-13.499528731218811</c:v>
                </c:pt>
                <c:pt idx="179">
                  <c:v>-13.558323326983134</c:v>
                </c:pt>
                <c:pt idx="180">
                  <c:v>-13.617183693691713</c:v>
                </c:pt>
                <c:pt idx="181">
                  <c:v>-13.676107966322533</c:v>
                </c:pt>
                <c:pt idx="182">
                  <c:v>-13.736274666902718</c:v>
                </c:pt>
                <c:pt idx="183">
                  <c:v>-13.796504058769504</c:v>
                </c:pt>
                <c:pt idx="184">
                  <c:v>-13.856794285038742</c:v>
                </c:pt>
                <c:pt idx="185">
                  <c:v>-13.917143527726749</c:v>
                </c:pt>
                <c:pt idx="186">
                  <c:v>-13.979209014202359</c:v>
                </c:pt>
                <c:pt idx="187">
                  <c:v>-14.041333032227206</c:v>
                </c:pt>
                <c:pt idx="188">
                  <c:v>-14.103513731234109</c:v>
                </c:pt>
                <c:pt idx="189">
                  <c:v>-14.165749299375905</c:v>
                </c:pt>
                <c:pt idx="190">
                  <c:v>-14.229227182263493</c:v>
                </c:pt>
                <c:pt idx="191">
                  <c:v>-14.29275836743534</c:v>
                </c:pt>
                <c:pt idx="192">
                  <c:v>-14.356341054636884</c:v>
                </c:pt>
                <c:pt idx="193">
                  <c:v>-14.41997348092352</c:v>
                </c:pt>
                <c:pt idx="194">
                  <c:v>-14.485324074673541</c:v>
                </c:pt>
                <c:pt idx="195">
                  <c:v>-14.550723404072555</c:v>
                </c:pt>
                <c:pt idx="196">
                  <c:v>-14.616169679717265</c:v>
                </c:pt>
                <c:pt idx="197">
                  <c:v>-14.681661149186098</c:v>
                </c:pt>
                <c:pt idx="198">
                  <c:v>-14.748631641557044</c:v>
                </c:pt>
                <c:pt idx="199">
                  <c:v>-14.815645742403522</c:v>
                </c:pt>
                <c:pt idx="200">
                  <c:v>-14.882701694814733</c:v>
                </c:pt>
                <c:pt idx="201">
                  <c:v>-14.949797777931805</c:v>
                </c:pt>
                <c:pt idx="202">
                  <c:v>-15.018371311482005</c:v>
                </c:pt>
                <c:pt idx="203">
                  <c:v>-15.086983195572754</c:v>
                </c:pt>
                <c:pt idx="204">
                  <c:v>-15.155631706509517</c:v>
                </c:pt>
                <c:pt idx="205">
                  <c:v>-15.224315155697681</c:v>
                </c:pt>
                <c:pt idx="206">
                  <c:v>-15.294714170267238</c:v>
                </c:pt>
                <c:pt idx="207">
                  <c:v>-15.36514637519601</c:v>
                </c:pt>
                <c:pt idx="208">
                  <c:v>-15.435610063261553</c:v>
                </c:pt>
                <c:pt idx="209">
                  <c:v>-15.506103561838874</c:v>
                </c:pt>
                <c:pt idx="210">
                  <c:v>-15.578551118106617</c:v>
                </c:pt>
                <c:pt idx="211">
                  <c:v>-15.651026664503258</c:v>
                </c:pt>
                <c:pt idx="212">
                  <c:v>-15.723528495537717</c:v>
                </c:pt>
                <c:pt idx="213">
                  <c:v>-15.796054940205289</c:v>
                </c:pt>
                <c:pt idx="214">
                  <c:v>-15.870050751429899</c:v>
                </c:pt>
                <c:pt idx="215">
                  <c:v>-15.944068761686099</c:v>
                </c:pt>
                <c:pt idx="216">
                  <c:v>-16.018107302944532</c:v>
                </c:pt>
                <c:pt idx="217">
                  <c:v>-16.092164740591119</c:v>
                </c:pt>
                <c:pt idx="218">
                  <c:v>-16.167928662180142</c:v>
                </c:pt>
                <c:pt idx="219">
                  <c:v>-16.24370899585514</c:v>
                </c:pt>
                <c:pt idx="220">
                  <c:v>-16.319504095313494</c:v>
                </c:pt>
                <c:pt idx="221">
                  <c:v>-16.395312347020692</c:v>
                </c:pt>
                <c:pt idx="222">
                  <c:v>-16.47282254002355</c:v>
                </c:pt>
                <c:pt idx="223">
                  <c:v>-16.550343169101396</c:v>
                </c:pt>
                <c:pt idx="224">
                  <c:v>-16.627872610947794</c:v>
                </c:pt>
                <c:pt idx="225">
                  <c:v>-16.705409274347783</c:v>
                </c:pt>
                <c:pt idx="226">
                  <c:v>-16.784884177382033</c:v>
                </c:pt>
                <c:pt idx="227">
                  <c:v>-16.864363381424681</c:v>
                </c:pt>
                <c:pt idx="228">
                  <c:v>-16.943845272711201</c:v>
                </c:pt>
                <c:pt idx="229">
                  <c:v>-17.023328269250552</c:v>
                </c:pt>
                <c:pt idx="230">
                  <c:v>-17.186156644863612</c:v>
                </c:pt>
                <c:pt idx="231">
                  <c:v>-17.267566077903812</c:v>
                </c:pt>
                <c:pt idx="232">
                  <c:v>-17.348970236535852</c:v>
                </c:pt>
                <c:pt idx="233">
                  <c:v>-17.432299766688182</c:v>
                </c:pt>
                <c:pt idx="234">
                  <c:v>-17.515620535200721</c:v>
                </c:pt>
                <c:pt idx="235">
                  <c:v>-17.598930953919194</c:v>
                </c:pt>
                <c:pt idx="236">
                  <c:v>-17.682229465678653</c:v>
                </c:pt>
                <c:pt idx="237">
                  <c:v>-17.767204236109343</c:v>
                </c:pt>
                <c:pt idx="238">
                  <c:v>-17.852163431712867</c:v>
                </c:pt>
                <c:pt idx="239">
                  <c:v>-17.937105493192856</c:v>
                </c:pt>
                <c:pt idx="240">
                  <c:v>-18.022028891454667</c:v>
                </c:pt>
                <c:pt idx="241">
                  <c:v>-18.109102670743699</c:v>
                </c:pt>
                <c:pt idx="242">
                  <c:v>-18.196153656659025</c:v>
                </c:pt>
                <c:pt idx="243">
                  <c:v>-18.28318029370784</c:v>
                </c:pt>
                <c:pt idx="244">
                  <c:v>-18.370181056474816</c:v>
                </c:pt>
                <c:pt idx="245">
                  <c:v>-18.459081515794729</c:v>
                </c:pt>
                <c:pt idx="246">
                  <c:v>-18.547951811327078</c:v>
                </c:pt>
                <c:pt idx="247">
                  <c:v>-18.636790406465874</c:v>
                </c:pt>
                <c:pt idx="248">
                  <c:v>-18.725595794191474</c:v>
                </c:pt>
                <c:pt idx="249">
                  <c:v>-18.816531189800948</c:v>
                </c:pt>
                <c:pt idx="250">
                  <c:v>-18.907428628884301</c:v>
                </c:pt>
                <c:pt idx="251">
                  <c:v>-18.998286583164575</c:v>
                </c:pt>
                <c:pt idx="252">
                  <c:v>-19.089103553755237</c:v>
                </c:pt>
                <c:pt idx="253">
                  <c:v>-19.181798754906435</c:v>
                </c:pt>
                <c:pt idx="254">
                  <c:v>-19.274448150705872</c:v>
                </c:pt>
                <c:pt idx="255">
                  <c:v>-19.367050235238928</c:v>
                </c:pt>
                <c:pt idx="256">
                  <c:v>-19.459603531456363</c:v>
                </c:pt>
                <c:pt idx="257">
                  <c:v>-19.554502362347893</c:v>
                </c:pt>
                <c:pt idx="258">
                  <c:v>-19.649346785033824</c:v>
                </c:pt>
                <c:pt idx="259">
                  <c:v>-19.744135294731976</c:v>
                </c:pt>
                <c:pt idx="260">
                  <c:v>-19.838866415575744</c:v>
                </c:pt>
                <c:pt idx="261">
                  <c:v>-19.935689647756519</c:v>
                </c:pt>
                <c:pt idx="262">
                  <c:v>-20.032449819889607</c:v>
                </c:pt>
                <c:pt idx="263">
                  <c:v>-20.129145442473593</c:v>
                </c:pt>
                <c:pt idx="264">
                  <c:v>-20.22577505465112</c:v>
                </c:pt>
                <c:pt idx="265">
                  <c:v>-20.324482272654382</c:v>
                </c:pt>
                <c:pt idx="266">
                  <c:v>-20.423117515544504</c:v>
                </c:pt>
                <c:pt idx="267">
                  <c:v>-20.521679311262897</c:v>
                </c:pt>
                <c:pt idx="268">
                  <c:v>-20.620166216112089</c:v>
                </c:pt>
                <c:pt idx="269">
                  <c:v>-20.720952926175492</c:v>
                </c:pt>
                <c:pt idx="270">
                  <c:v>-20.821658106886041</c:v>
                </c:pt>
                <c:pt idx="271">
                  <c:v>-20.922280295526384</c:v>
                </c:pt>
                <c:pt idx="272">
                  <c:v>-21.022818057715075</c:v>
                </c:pt>
                <c:pt idx="273">
                  <c:v>-21.125638088667824</c:v>
                </c:pt>
                <c:pt idx="274">
                  <c:v>-21.228366710798824</c:v>
                </c:pt>
                <c:pt idx="275">
                  <c:v>-21.331002473782313</c:v>
                </c:pt>
                <c:pt idx="276">
                  <c:v>-21.433543955582319</c:v>
                </c:pt>
                <c:pt idx="277">
                  <c:v>-21.538113191606058</c:v>
                </c:pt>
                <c:pt idx="278">
                  <c:v>-21.642581288935105</c:v>
                </c:pt>
                <c:pt idx="279">
                  <c:v>-21.746946822250766</c:v>
                </c:pt>
                <c:pt idx="280">
                  <c:v>-21.851208394212108</c:v>
                </c:pt>
                <c:pt idx="281">
                  <c:v>-21.958184544888493</c:v>
                </c:pt>
                <c:pt idx="282">
                  <c:v>-22.065048125585573</c:v>
                </c:pt>
                <c:pt idx="283">
                  <c:v>-22.171797710340055</c:v>
                </c:pt>
                <c:pt idx="284">
                  <c:v>-22.278431901597376</c:v>
                </c:pt>
                <c:pt idx="285">
                  <c:v>-22.387055080906755</c:v>
                </c:pt>
                <c:pt idx="286">
                  <c:v>-22.495555408537502</c:v>
                </c:pt>
                <c:pt idx="287">
                  <c:v>-22.603931489601823</c:v>
                </c:pt>
                <c:pt idx="288">
                  <c:v>-22.71218195729201</c:v>
                </c:pt>
                <c:pt idx="289">
                  <c:v>-22.823100074166049</c:v>
                </c:pt>
                <c:pt idx="290">
                  <c:v>-22.933883170424505</c:v>
                </c:pt>
                <c:pt idx="291">
                  <c:v>-23.044529858581733</c:v>
                </c:pt>
                <c:pt idx="292">
                  <c:v>-23.155038779623908</c:v>
                </c:pt>
                <c:pt idx="293">
                  <c:v>-23.267957510710026</c:v>
                </c:pt>
                <c:pt idx="294">
                  <c:v>-23.380729244380287</c:v>
                </c:pt>
                <c:pt idx="295">
                  <c:v>-23.493352613802386</c:v>
                </c:pt>
                <c:pt idx="296">
                  <c:v>-23.605826280748865</c:v>
                </c:pt>
                <c:pt idx="297">
                  <c:v>-23.720684242954263</c:v>
                </c:pt>
                <c:pt idx="298">
                  <c:v>-23.835382922200704</c:v>
                </c:pt>
                <c:pt idx="299">
                  <c:v>-23.949920976438857</c:v>
                </c:pt>
                <c:pt idx="300">
                  <c:v>-24.064297092347523</c:v>
                </c:pt>
                <c:pt idx="301">
                  <c:v>-24.181030907363091</c:v>
                </c:pt>
                <c:pt idx="302">
                  <c:v>-24.297592866148651</c:v>
                </c:pt>
                <c:pt idx="303">
                  <c:v>-24.413981655646985</c:v>
                </c:pt>
                <c:pt idx="304">
                  <c:v>-24.530195991644963</c:v>
                </c:pt>
                <c:pt idx="305">
                  <c:v>-24.649195964563898</c:v>
                </c:pt>
                <c:pt idx="306">
                  <c:v>-24.76800981377416</c:v>
                </c:pt>
                <c:pt idx="307">
                  <c:v>-24.886636244852674</c:v>
                </c:pt>
                <c:pt idx="308">
                  <c:v>-25.005073992773813</c:v>
                </c:pt>
                <c:pt idx="309">
                  <c:v>-25.125811581761468</c:v>
                </c:pt>
                <c:pt idx="310">
                  <c:v>-25.246349877225928</c:v>
                </c:pt>
                <c:pt idx="311">
                  <c:v>-25.366687623595517</c:v>
                </c:pt>
                <c:pt idx="312">
                  <c:v>-25.48682359478445</c:v>
                </c:pt>
                <c:pt idx="313">
                  <c:v>-25.609679243151849</c:v>
                </c:pt>
                <c:pt idx="314">
                  <c:v>-25.732320641351677</c:v>
                </c:pt>
                <c:pt idx="315">
                  <c:v>-25.854746563888291</c:v>
                </c:pt>
                <c:pt idx="316">
                  <c:v>-25.9769558152686</c:v>
                </c:pt>
                <c:pt idx="317">
                  <c:v>-26.101849122449199</c:v>
                </c:pt>
                <c:pt idx="318">
                  <c:v>-26.226512875805692</c:v>
                </c:pt>
                <c:pt idx="319">
                  <c:v>-26.350945886403686</c:v>
                </c:pt>
                <c:pt idx="320">
                  <c:v>-26.475146995803833</c:v>
                </c:pt>
                <c:pt idx="321">
                  <c:v>-26.60199527253809</c:v>
                </c:pt>
                <c:pt idx="322">
                  <c:v>-26.728598377747439</c:v>
                </c:pt>
                <c:pt idx="323">
                  <c:v>-26.854955165692086</c:v>
                </c:pt>
                <c:pt idx="324">
                  <c:v>-26.981064521594497</c:v>
                </c:pt>
                <c:pt idx="325">
                  <c:v>-27.109782938127701</c:v>
                </c:pt>
                <c:pt idx="326">
                  <c:v>-27.238240285994717</c:v>
                </c:pt>
                <c:pt idx="327">
                  <c:v>-27.366435469418811</c:v>
                </c:pt>
                <c:pt idx="328">
                  <c:v>-27.494367424025043</c:v>
                </c:pt>
                <c:pt idx="329">
                  <c:v>-27.625087165313104</c:v>
                </c:pt>
                <c:pt idx="330">
                  <c:v>-27.755528767853836</c:v>
                </c:pt>
                <c:pt idx="331">
                  <c:v>-27.885691187579592</c:v>
                </c:pt>
                <c:pt idx="332">
                  <c:v>-28.015573412444763</c:v>
                </c:pt>
                <c:pt idx="333">
                  <c:v>-28.147984047899385</c:v>
                </c:pt>
                <c:pt idx="334">
                  <c:v>-28.280100158351033</c:v>
                </c:pt>
                <c:pt idx="335">
                  <c:v>-28.411920764201557</c:v>
                </c:pt>
                <c:pt idx="336">
                  <c:v>-28.543444918243367</c:v>
                </c:pt>
                <c:pt idx="337">
                  <c:v>-28.677884306800316</c:v>
                </c:pt>
                <c:pt idx="338">
                  <c:v>-28.812010622404092</c:v>
                </c:pt>
                <c:pt idx="339">
                  <c:v>-28.945822948404672</c:v>
                </c:pt>
                <c:pt idx="340">
                  <c:v>-29.079320401288935</c:v>
                </c:pt>
                <c:pt idx="341">
                  <c:v>-29.21568442205049</c:v>
                </c:pt>
                <c:pt idx="342">
                  <c:v>-29.351716552894221</c:v>
                </c:pt>
                <c:pt idx="343">
                  <c:v>-29.487415949439082</c:v>
                </c:pt>
                <c:pt idx="344">
                  <c:v>-29.62278180112898</c:v>
                </c:pt>
                <c:pt idx="345">
                  <c:v>-29.76075421300602</c:v>
                </c:pt>
                <c:pt idx="346">
                  <c:v>-29.898376768621024</c:v>
                </c:pt>
                <c:pt idx="347">
                  <c:v>-30.035648708688033</c:v>
                </c:pt>
                <c:pt idx="348">
                  <c:v>-30.172569308160771</c:v>
                </c:pt>
                <c:pt idx="349">
                  <c:v>-30.31246441287395</c:v>
                </c:pt>
                <c:pt idx="350">
                  <c:v>-30.451989396614248</c:v>
                </c:pt>
                <c:pt idx="351">
                  <c:v>-30.59114358766767</c:v>
                </c:pt>
                <c:pt idx="352">
                  <c:v>-30.729926349319143</c:v>
                </c:pt>
                <c:pt idx="353">
                  <c:v>-30.871628033631033</c:v>
                </c:pt>
                <c:pt idx="354">
                  <c:v>-31.012939149805113</c:v>
                </c:pt>
                <c:pt idx="355">
                  <c:v>-31.153859124377767</c:v>
                </c:pt>
                <c:pt idx="356">
                  <c:v>-31.294387419554134</c:v>
                </c:pt>
                <c:pt idx="357">
                  <c:v>-31.437574453671324</c:v>
                </c:pt>
                <c:pt idx="358">
                  <c:v>-31.580351518978471</c:v>
                </c:pt>
                <c:pt idx="359">
                  <c:v>-31.722718152843331</c:v>
                </c:pt>
                <c:pt idx="360">
                  <c:v>-31.864673928668577</c:v>
                </c:pt>
                <c:pt idx="361">
                  <c:v>-32.009636200099116</c:v>
                </c:pt>
                <c:pt idx="362">
                  <c:v>-32.154166709565956</c:v>
                </c:pt>
                <c:pt idx="363">
                  <c:v>-32.298265111876717</c:v>
                </c:pt>
                <c:pt idx="364">
                  <c:v>-32.441931098540181</c:v>
                </c:pt>
                <c:pt idx="365">
                  <c:v>-32.588342442883125</c:v>
                </c:pt>
                <c:pt idx="366">
                  <c:v>-32.734301402003901</c:v>
                </c:pt>
                <c:pt idx="367">
                  <c:v>-32.879807760727566</c:v>
                </c:pt>
                <c:pt idx="368">
                  <c:v>-33.024861340916637</c:v>
                </c:pt>
                <c:pt idx="369">
                  <c:v>-33.172992755071611</c:v>
                </c:pt>
                <c:pt idx="370">
                  <c:v>-33.320648710633485</c:v>
                </c:pt>
                <c:pt idx="371">
                  <c:v>-33.467829132245292</c:v>
                </c:pt>
                <c:pt idx="372">
                  <c:v>-33.614533982183616</c:v>
                </c:pt>
                <c:pt idx="373">
                  <c:v>-33.764054724270537</c:v>
                </c:pt>
                <c:pt idx="374">
                  <c:v>-33.913078245445753</c:v>
                </c:pt>
                <c:pt idx="375">
                  <c:v>-34.061604622521138</c:v>
                </c:pt>
                <c:pt idx="376">
                  <c:v>-34.209633970177961</c:v>
                </c:pt>
                <c:pt idx="377">
                  <c:v>-34.36079585839498</c:v>
                </c:pt>
                <c:pt idx="378">
                  <c:v>-34.511436280719771</c:v>
                </c:pt>
                <c:pt idx="379">
                  <c:v>-34.661555479100514</c:v>
                </c:pt>
                <c:pt idx="380">
                  <c:v>-34.81115373380382</c:v>
                </c:pt>
                <c:pt idx="381">
                  <c:v>-34.963433642541013</c:v>
                </c:pt>
                <c:pt idx="382">
                  <c:v>-35.115170655956561</c:v>
                </c:pt>
                <c:pt idx="383">
                  <c:v>-35.266365191334437</c:v>
                </c:pt>
                <c:pt idx="384">
                  <c:v>-35.417017704144989</c:v>
                </c:pt>
                <c:pt idx="385">
                  <c:v>-35.570842037570344</c:v>
                </c:pt>
                <c:pt idx="386">
                  <c:v>-35.724098237269686</c:v>
                </c:pt>
                <c:pt idx="387">
                  <c:v>-35.876786912675506</c:v>
                </c:pt>
                <c:pt idx="388">
                  <c:v>-36.028908711629505</c:v>
                </c:pt>
                <c:pt idx="389">
                  <c:v>-36.183939602233679</c:v>
                </c:pt>
                <c:pt idx="390">
                  <c:v>-36.338378760345009</c:v>
                </c:pt>
                <c:pt idx="391">
                  <c:v>-36.492226998461831</c:v>
                </c:pt>
                <c:pt idx="392">
                  <c:v>-36.64548516728749</c:v>
                </c:pt>
                <c:pt idx="393">
                  <c:v>-36.801576133321582</c:v>
                </c:pt>
                <c:pt idx="394">
                  <c:v>-36.957052145050191</c:v>
                </c:pt>
                <c:pt idx="395">
                  <c:v>-37.111914229660201</c:v>
                </c:pt>
                <c:pt idx="396">
                  <c:v>-37.266163452091327</c:v>
                </c:pt>
                <c:pt idx="397">
                  <c:v>-37.423523244087114</c:v>
                </c:pt>
                <c:pt idx="398">
                  <c:v>-37.580242434144076</c:v>
                </c:pt>
                <c:pt idx="399">
                  <c:v>-37.736322283566906</c:v>
                </c:pt>
                <c:pt idx="400">
                  <c:v>-37.891764091034126</c:v>
                </c:pt>
                <c:pt idx="401">
                  <c:v>-38.050056325455124</c:v>
                </c:pt>
                <c:pt idx="402">
                  <c:v>-38.207684249183316</c:v>
                </c:pt>
                <c:pt idx="403">
                  <c:v>-38.36464936556245</c:v>
                </c:pt>
                <c:pt idx="404">
                  <c:v>-38.520953214465813</c:v>
                </c:pt>
                <c:pt idx="405">
                  <c:v>-38.680197207427049</c:v>
                </c:pt>
                <c:pt idx="406">
                  <c:v>-38.83875229702447</c:v>
                </c:pt>
                <c:pt idx="407">
                  <c:v>-38.99662024469179</c:v>
                </c:pt>
                <c:pt idx="408">
                  <c:v>-39.153802847401657</c:v>
                </c:pt>
                <c:pt idx="409">
                  <c:v>-39.31400775857103</c:v>
                </c:pt>
                <c:pt idx="410">
                  <c:v>-39.473498329631504</c:v>
                </c:pt>
                <c:pt idx="411">
                  <c:v>-39.632276597277944</c:v>
                </c:pt>
                <c:pt idx="412">
                  <c:v>-39.790344632571006</c:v>
                </c:pt>
                <c:pt idx="413">
                  <c:v>-39.951344122672509</c:v>
                </c:pt>
                <c:pt idx="414">
                  <c:v>-40.111604561111456</c:v>
                </c:pt>
                <c:pt idx="415">
                  <c:v>-40.271128270795629</c:v>
                </c:pt>
                <c:pt idx="416">
                  <c:v>-40.429917607470749</c:v>
                </c:pt>
                <c:pt idx="417">
                  <c:v>-40.591709995628996</c:v>
                </c:pt>
                <c:pt idx="418">
                  <c:v>-40.752737904935849</c:v>
                </c:pt>
                <c:pt idx="419">
                  <c:v>-40.913003961955944</c:v>
                </c:pt>
                <c:pt idx="420">
                  <c:v>-41.072510824328056</c:v>
                </c:pt>
                <c:pt idx="421">
                  <c:v>-41.234766232477902</c:v>
                </c:pt>
                <c:pt idx="422">
                  <c:v>-41.396234176716888</c:v>
                </c:pt>
                <c:pt idx="423">
                  <c:v>-41.55691758803389</c:v>
                </c:pt>
                <c:pt idx="424">
                  <c:v>-41.716819426231496</c:v>
                </c:pt>
                <c:pt idx="425">
                  <c:v>-41.879848323892482</c:v>
                </c:pt>
                <c:pt idx="426">
                  <c:v>-42.042063090434759</c:v>
                </c:pt>
                <c:pt idx="427">
                  <c:v>-42.203466995765922</c:v>
                </c:pt>
                <c:pt idx="428">
                  <c:v>-42.364063336289767</c:v>
                </c:pt>
                <c:pt idx="429">
                  <c:v>-42.527529943323991</c:v>
                </c:pt>
                <c:pt idx="430">
                  <c:v>-42.690158379277491</c:v>
                </c:pt>
                <c:pt idx="431">
                  <c:v>-42.851952251830689</c:v>
                </c:pt>
                <c:pt idx="432">
                  <c:v>-43.012915192319362</c:v>
                </c:pt>
                <c:pt idx="433">
                  <c:v>-43.17665004243355</c:v>
                </c:pt>
                <c:pt idx="434">
                  <c:v>-43.339523837539026</c:v>
                </c:pt>
                <c:pt idx="435">
                  <c:v>-43.501540528542726</c:v>
                </c:pt>
                <c:pt idx="436">
                  <c:v>-43.662704086768905</c:v>
                </c:pt>
                <c:pt idx="437">
                  <c:v>-43.826835682065663</c:v>
                </c:pt>
                <c:pt idx="438">
                  <c:v>-43.990081406876605</c:v>
                </c:pt>
                <c:pt idx="439">
                  <c:v>-44.15244558199457</c:v>
                </c:pt>
                <c:pt idx="440">
                  <c:v>-44.31393254512588</c:v>
                </c:pt>
                <c:pt idx="441">
                  <c:v>-44.478281532195226</c:v>
                </c:pt>
                <c:pt idx="442">
                  <c:v>-44.641721159252427</c:v>
                </c:pt>
                <c:pt idx="443">
                  <c:v>-44.804256121154438</c:v>
                </c:pt>
                <c:pt idx="444">
                  <c:v>-44.965891125736157</c:v>
                </c:pt>
                <c:pt idx="445">
                  <c:v>-45.130283279026209</c:v>
                </c:pt>
                <c:pt idx="446">
                  <c:v>-45.293743990829682</c:v>
                </c:pt>
                <c:pt idx="447">
                  <c:v>-45.45627833189085</c:v>
                </c:pt>
                <c:pt idx="448">
                  <c:v>-45.617891381587413</c:v>
                </c:pt>
                <c:pt idx="449">
                  <c:v>-45.782432636462573</c:v>
                </c:pt>
                <c:pt idx="450">
                  <c:v>-45.946018662268443</c:v>
                </c:pt>
                <c:pt idx="451">
                  <c:v>-46.108654932539132</c:v>
                </c:pt>
                <c:pt idx="452">
                  <c:v>-46.270346924738782</c:v>
                </c:pt>
                <c:pt idx="453">
                  <c:v>-46.434721396896357</c:v>
                </c:pt>
                <c:pt idx="454">
                  <c:v>-46.59812003062374</c:v>
                </c:pt>
                <c:pt idx="455">
                  <c:v>-46.760548687516049</c:v>
                </c:pt>
                <c:pt idx="456">
                  <c:v>-46.922013227977637</c:v>
                </c:pt>
                <c:pt idx="457">
                  <c:v>-47.08631698647158</c:v>
                </c:pt>
                <c:pt idx="458">
                  <c:v>-47.249622745713388</c:v>
                </c:pt>
                <c:pt idx="459">
                  <c:v>-47.411936781222273</c:v>
                </c:pt>
                <c:pt idx="460">
                  <c:v>-47.573265361811764</c:v>
                </c:pt>
                <c:pt idx="461">
                  <c:v>-47.737320317749521</c:v>
                </c:pt>
                <c:pt idx="462">
                  <c:v>-47.9003568515949</c:v>
                </c:pt>
                <c:pt idx="463">
                  <c:v>-48.062381648493613</c:v>
                </c:pt>
                <c:pt idx="464">
                  <c:v>-48.223401380988449</c:v>
                </c:pt>
                <c:pt idx="465">
                  <c:v>-48.387161287144494</c:v>
                </c:pt>
                <c:pt idx="466">
                  <c:v>-48.549882560582276</c:v>
                </c:pt>
                <c:pt idx="467">
                  <c:v>-48.711572305338585</c:v>
                </c:pt>
                <c:pt idx="468">
                  <c:v>-48.872237606555643</c:v>
                </c:pt>
                <c:pt idx="469">
                  <c:v>-49.035529728145001</c:v>
                </c:pt>
                <c:pt idx="470">
                  <c:v>-49.197764878904621</c:v>
                </c:pt>
                <c:pt idx="471">
                  <c:v>-49.358950573220667</c:v>
                </c:pt>
                <c:pt idx="472">
                  <c:v>-49.519094299971016</c:v>
                </c:pt>
                <c:pt idx="473">
                  <c:v>-49.681990558723378</c:v>
                </c:pt>
                <c:pt idx="474">
                  <c:v>-49.84381029261273</c:v>
                </c:pt>
                <c:pt idx="475">
                  <c:v>-50.00456144984296</c:v>
                </c:pt>
                <c:pt idx="476">
                  <c:v>-50.164251946038078</c:v>
                </c:pt>
                <c:pt idx="477">
                  <c:v>-50.326577167859426</c:v>
                </c:pt>
                <c:pt idx="478">
                  <c:v>-50.487808337603191</c:v>
                </c:pt>
                <c:pt idx="479">
                  <c:v>-50.647953825323206</c:v>
                </c:pt>
                <c:pt idx="480">
                  <c:v>-50.807021961137963</c:v>
                </c:pt>
                <c:pt idx="481">
                  <c:v>-50.968609756945895</c:v>
                </c:pt>
                <c:pt idx="482">
                  <c:v>-51.129088026236595</c:v>
                </c:pt>
                <c:pt idx="483">
                  <c:v>-51.288465546243579</c:v>
                </c:pt>
                <c:pt idx="484">
                  <c:v>-51.446751046691944</c:v>
                </c:pt>
                <c:pt idx="485">
                  <c:v>-51.607553128109672</c:v>
                </c:pt>
                <c:pt idx="486">
                  <c:v>-51.767230748286622</c:v>
                </c:pt>
                <c:pt idx="487">
                  <c:v>-51.925793093163065</c:v>
                </c:pt>
                <c:pt idx="488">
                  <c:v>-52.0832492932972</c:v>
                </c:pt>
                <c:pt idx="489">
                  <c:v>-52.243320487516037</c:v>
                </c:pt>
                <c:pt idx="490">
                  <c:v>-52.402251388437605</c:v>
                </c:pt>
                <c:pt idx="491">
                  <c:v>-52.560051609991866</c:v>
                </c:pt>
                <c:pt idx="492">
                  <c:v>-52.716730702396887</c:v>
                </c:pt>
                <c:pt idx="493">
                  <c:v>-52.875905244799036</c:v>
                </c:pt>
                <c:pt idx="494">
                  <c:v>-53.033925896368764</c:v>
                </c:pt>
                <c:pt idx="495">
                  <c:v>-53.190802678849103</c:v>
                </c:pt>
                <c:pt idx="496">
                  <c:v>-53.346545541825378</c:v>
                </c:pt>
                <c:pt idx="497">
                  <c:v>-53.504767801855238</c:v>
                </c:pt>
                <c:pt idx="498">
                  <c:v>-53.661823324471079</c:v>
                </c:pt>
                <c:pt idx="499">
                  <c:v>-53.817722536431042</c:v>
                </c:pt>
                <c:pt idx="500">
                  <c:v>-53.972475783646665</c:v>
                </c:pt>
                <c:pt idx="501">
                  <c:v>-54.129688553437816</c:v>
                </c:pt>
                <c:pt idx="502">
                  <c:v>-54.285722553274972</c:v>
                </c:pt>
                <c:pt idx="503">
                  <c:v>-54.440588610598468</c:v>
                </c:pt>
                <c:pt idx="504">
                  <c:v>-54.594297463097085</c:v>
                </c:pt>
                <c:pt idx="505">
                  <c:v>-54.750348121954339</c:v>
                </c:pt>
                <c:pt idx="506">
                  <c:v>-54.905210286379301</c:v>
                </c:pt>
                <c:pt idx="507">
                  <c:v>-55.058895158294327</c:v>
                </c:pt>
                <c:pt idx="508">
                  <c:v>-55.21141384101886</c:v>
                </c:pt>
                <c:pt idx="509">
                  <c:v>-55.366251870484994</c:v>
                </c:pt>
                <c:pt idx="510">
                  <c:v>-55.51989253743978</c:v>
                </c:pt>
                <c:pt idx="511">
                  <c:v>-55.672347410667996</c:v>
                </c:pt>
                <c:pt idx="512">
                  <c:v>-55.823627951380061</c:v>
                </c:pt>
                <c:pt idx="513">
                  <c:v>-55.977290888121431</c:v>
                </c:pt>
                <c:pt idx="514">
                  <c:v>-56.129747106315882</c:v>
                </c:pt>
                <c:pt idx="515">
                  <c:v>-56.281008553213269</c:v>
                </c:pt>
                <c:pt idx="516">
                  <c:v>-56.431087059160781</c:v>
                </c:pt>
                <c:pt idx="517">
                  <c:v>-56.583429476702868</c:v>
                </c:pt>
                <c:pt idx="518">
                  <c:v>-56.734558204572018</c:v>
                </c:pt>
                <c:pt idx="519">
                  <c:v>-56.884485537234035</c:v>
                </c:pt>
                <c:pt idx="520">
                  <c:v>-57.033223643129972</c:v>
                </c:pt>
                <c:pt idx="521">
                  <c:v>-57.184194567914773</c:v>
                </c:pt>
                <c:pt idx="522">
                  <c:v>-57.333945811669608</c:v>
                </c:pt>
                <c:pt idx="523">
                  <c:v>-57.482490004207122</c:v>
                </c:pt>
                <c:pt idx="524">
                  <c:v>-57.629839640181956</c:v>
                </c:pt>
                <c:pt idx="525">
                  <c:v>-57.779388610509173</c:v>
                </c:pt>
                <c:pt idx="526">
                  <c:v>-57.927712918324723</c:v>
                </c:pt>
                <c:pt idx="527">
                  <c:v>-58.074825515602839</c:v>
                </c:pt>
                <c:pt idx="528">
                  <c:v>-58.220739210054461</c:v>
                </c:pt>
                <c:pt idx="529">
                  <c:v>-58.368816595912968</c:v>
                </c:pt>
                <c:pt idx="530">
                  <c:v>-58.51566537221305</c:v>
                </c:pt>
                <c:pt idx="531">
                  <c:v>-58.661298798651103</c:v>
                </c:pt>
                <c:pt idx="532">
                  <c:v>-58.805729981623031</c:v>
                </c:pt>
                <c:pt idx="533">
                  <c:v>-58.952362625450228</c:v>
                </c:pt>
                <c:pt idx="534">
                  <c:v>-59.097762501174813</c:v>
                </c:pt>
                <c:pt idx="535">
                  <c:v>-59.241943181470241</c:v>
                </c:pt>
                <c:pt idx="536">
                  <c:v>-59.384918076447264</c:v>
                </c:pt>
                <c:pt idx="537">
                  <c:v>-59.52990569394391</c:v>
                </c:pt>
                <c:pt idx="538">
                  <c:v>-59.673660009191011</c:v>
                </c:pt>
                <c:pt idx="539">
                  <c:v>-59.816194849033756</c:v>
                </c:pt>
                <c:pt idx="540">
                  <c:v>-59.957523869313015</c:v>
                </c:pt>
                <c:pt idx="541">
                  <c:v>-60.100969313857689</c:v>
                </c:pt>
                <c:pt idx="542">
                  <c:v>-60.243179492842792</c:v>
                </c:pt>
                <c:pt idx="543">
                  <c:v>-60.384168511500995</c:v>
                </c:pt>
                <c:pt idx="544">
                  <c:v>-60.523950295118979</c:v>
                </c:pt>
                <c:pt idx="545">
                  <c:v>-60.665734832549703</c:v>
                </c:pt>
                <c:pt idx="546">
                  <c:v>-60.806284483360571</c:v>
                </c:pt>
                <c:pt idx="547">
                  <c:v>-60.9456135913683</c:v>
                </c:pt>
                <c:pt idx="548">
                  <c:v>-61.083736312079708</c:v>
                </c:pt>
                <c:pt idx="549">
                  <c:v>-61.223818639909609</c:v>
                </c:pt>
                <c:pt idx="550">
                  <c:v>-61.362667532851376</c:v>
                </c:pt>
                <c:pt idx="551">
                  <c:v>-61.500297553885375</c:v>
                </c:pt>
                <c:pt idx="552">
                  <c:v>-61.636723069586523</c:v>
                </c:pt>
                <c:pt idx="553">
                  <c:v>-61.77512752871003</c:v>
                </c:pt>
                <c:pt idx="554">
                  <c:v>-61.912299942355958</c:v>
                </c:pt>
                <c:pt idx="555">
                  <c:v>-62.048255092840684</c:v>
                </c:pt>
                <c:pt idx="556">
                  <c:v>-62.183007557909242</c:v>
                </c:pt>
                <c:pt idx="557">
                  <c:v>-62.455144626456089</c:v>
                </c:pt>
                <c:pt idx="558">
                  <c:v>-62.722423316020382</c:v>
                </c:pt>
                <c:pt idx="559">
                  <c:v>-62.990923980063052</c:v>
                </c:pt>
                <c:pt idx="560">
                  <c:v>-63.254585717398079</c:v>
                </c:pt>
                <c:pt idx="561">
                  <c:v>-63.519614225569349</c:v>
                </c:pt>
                <c:pt idx="562">
                  <c:v>-63.779819030817883</c:v>
                </c:pt>
                <c:pt idx="563">
                  <c:v>-64.040752075437666</c:v>
                </c:pt>
                <c:pt idx="564">
                  <c:v>-64.29690099966102</c:v>
                </c:pt>
                <c:pt idx="565">
                  <c:v>-64.554666667126284</c:v>
                </c:pt>
                <c:pt idx="566">
                  <c:v>-64.807655780305282</c:v>
                </c:pt>
                <c:pt idx="567">
                  <c:v>-65.062038998145198</c:v>
                </c:pt>
                <c:pt idx="568">
                  <c:v>-65.311662472583834</c:v>
                </c:pt>
                <c:pt idx="569">
                  <c:v>-65.561502366516379</c:v>
                </c:pt>
                <c:pt idx="570">
                  <c:v>-65.806644401967745</c:v>
                </c:pt>
                <c:pt idx="571">
                  <c:v>-66.053751303574913</c:v>
                </c:pt>
                <c:pt idx="572">
                  <c:v>-66.296156435943601</c:v>
                </c:pt>
                <c:pt idx="573">
                  <c:v>-66.538479062749161</c:v>
                </c:pt>
                <c:pt idx="574">
                  <c:v>-66.776175077723224</c:v>
                </c:pt>
                <c:pt idx="575">
                  <c:v>-67.015421755685338</c:v>
                </c:pt>
                <c:pt idx="576">
                  <c:v>-67.250054331403391</c:v>
                </c:pt>
                <c:pt idx="577">
                  <c:v>-68.195060264930632</c:v>
                </c:pt>
                <c:pt idx="578">
                  <c:v>-69.068159147915139</c:v>
                </c:pt>
                <c:pt idx="579">
                  <c:v>-70.765424731417767</c:v>
                </c:pt>
                <c:pt idx="580">
                  <c:v>-72.346857954406701</c:v>
                </c:pt>
                <c:pt idx="581">
                  <c:v>-73.813700612129921</c:v>
                </c:pt>
                <c:pt idx="582">
                  <c:v>-75.17154065350438</c:v>
                </c:pt>
                <c:pt idx="583">
                  <c:v>-76.424709567217405</c:v>
                </c:pt>
                <c:pt idx="584">
                  <c:v>-77.579909402623201</c:v>
                </c:pt>
                <c:pt idx="585">
                  <c:v>-78.642426327920333</c:v>
                </c:pt>
                <c:pt idx="586">
                  <c:v>-79.618483160421221</c:v>
                </c:pt>
                <c:pt idx="587">
                  <c:v>-80.514517653739333</c:v>
                </c:pt>
                <c:pt idx="588">
                  <c:v>-81.335485026842264</c:v>
                </c:pt>
                <c:pt idx="589">
                  <c:v>-82.087652830180716</c:v>
                </c:pt>
                <c:pt idx="590">
                  <c:v>-82.776031859786968</c:v>
                </c:pt>
                <c:pt idx="591">
                  <c:v>-83.405714662820586</c:v>
                </c:pt>
                <c:pt idx="592">
                  <c:v>-83.98134451467223</c:v>
                </c:pt>
                <c:pt idx="593">
                  <c:v>-84.507497691340816</c:v>
                </c:pt>
                <c:pt idx="594">
                  <c:v>-84.988131765355462</c:v>
                </c:pt>
                <c:pt idx="595">
                  <c:v>-85.427147312358912</c:v>
                </c:pt>
                <c:pt idx="596">
                  <c:v>-85.827971314053073</c:v>
                </c:pt>
                <c:pt idx="597">
                  <c:v>-86.193932096192412</c:v>
                </c:pt>
                <c:pt idx="598">
                  <c:v>-86.527924845323511</c:v>
                </c:pt>
                <c:pt idx="599">
                  <c:v>-86.832778297983438</c:v>
                </c:pt>
                <c:pt idx="600">
                  <c:v>-87.110958896969677</c:v>
                </c:pt>
              </c:numCache>
            </c:numRef>
          </c:yVal>
          <c:smooth val="0"/>
          <c:extLst>
            <c:ext xmlns:c16="http://schemas.microsoft.com/office/drawing/2014/chart" uri="{C3380CC4-5D6E-409C-BE32-E72D297353CC}">
              <c16:uniqueId val="{00000001-C943-44AE-BE69-B37F145E1EAF}"/>
            </c:ext>
          </c:extLst>
        </c:ser>
        <c:ser>
          <c:idx val="2"/>
          <c:order val="2"/>
          <c:tx>
            <c:v>pwr plant</c:v>
          </c:tx>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Calculations'!$AG$13:$AG$613</c:f>
              <c:numCache>
                <c:formatCode>0.00</c:formatCode>
                <c:ptCount val="601"/>
                <c:pt idx="0">
                  <c:v>57.290014935313003</c:v>
                </c:pt>
                <c:pt idx="1">
                  <c:v>57.289948361238991</c:v>
                </c:pt>
                <c:pt idx="2">
                  <c:v>57.289868329458315</c:v>
                </c:pt>
                <c:pt idx="3">
                  <c:v>57.28977211757136</c:v>
                </c:pt>
                <c:pt idx="4">
                  <c:v>57.289656534915324</c:v>
                </c:pt>
                <c:pt idx="5">
                  <c:v>57.289517442541246</c:v>
                </c:pt>
                <c:pt idx="6">
                  <c:v>57.289350284685987</c:v>
                </c:pt>
                <c:pt idx="7">
                  <c:v>57.289149265384253</c:v>
                </c:pt>
                <c:pt idx="8">
                  <c:v>57.288907703626165</c:v>
                </c:pt>
                <c:pt idx="9">
                  <c:v>57.288617204053487</c:v>
                </c:pt>
                <c:pt idx="10">
                  <c:v>57.288268051019173</c:v>
                </c:pt>
                <c:pt idx="11">
                  <c:v>57.287848356674843</c:v>
                </c:pt>
                <c:pt idx="12">
                  <c:v>57.287343589419031</c:v>
                </c:pt>
                <c:pt idx="13">
                  <c:v>57.286737101454186</c:v>
                </c:pt>
                <c:pt idx="14">
                  <c:v>57.286007839180556</c:v>
                </c:pt>
                <c:pt idx="15">
                  <c:v>57.285131292728181</c:v>
                </c:pt>
                <c:pt idx="16">
                  <c:v>57.284077673931407</c:v>
                </c:pt>
                <c:pt idx="17">
                  <c:v>57.282811461013793</c:v>
                </c:pt>
                <c:pt idx="18">
                  <c:v>57.281289389245131</c:v>
                </c:pt>
                <c:pt idx="19">
                  <c:v>57.279460356277752</c:v>
                </c:pt>
                <c:pt idx="20">
                  <c:v>57.277262184418582</c:v>
                </c:pt>
                <c:pt idx="21">
                  <c:v>57.274621155909784</c:v>
                </c:pt>
                <c:pt idx="22">
                  <c:v>57.271447716579544</c:v>
                </c:pt>
                <c:pt idx="23">
                  <c:v>57.267635994276141</c:v>
                </c:pt>
                <c:pt idx="24">
                  <c:v>57.263057174438885</c:v>
                </c:pt>
                <c:pt idx="25">
                  <c:v>57.257558741978478</c:v>
                </c:pt>
                <c:pt idx="26">
                  <c:v>57.25095587585686</c:v>
                </c:pt>
                <c:pt idx="27">
                  <c:v>57.243031396326188</c:v>
                </c:pt>
                <c:pt idx="28">
                  <c:v>57.233523725484865</c:v>
                </c:pt>
                <c:pt idx="29">
                  <c:v>57.222129010690722</c:v>
                </c:pt>
                <c:pt idx="30">
                  <c:v>57.208455711119854</c:v>
                </c:pt>
                <c:pt idx="31">
                  <c:v>57.192079648322917</c:v>
                </c:pt>
                <c:pt idx="32">
                  <c:v>57.172466864802075</c:v>
                </c:pt>
                <c:pt idx="33">
                  <c:v>57.149013873841255</c:v>
                </c:pt>
                <c:pt idx="34">
                  <c:v>57.120974572281298</c:v>
                </c:pt>
                <c:pt idx="35">
                  <c:v>57.08750934315713</c:v>
                </c:pt>
                <c:pt idx="36">
                  <c:v>57.047617778387632</c:v>
                </c:pt>
                <c:pt idx="37">
                  <c:v>57.000115459860552</c:v>
                </c:pt>
                <c:pt idx="38">
                  <c:v>56.94371210251883</c:v>
                </c:pt>
                <c:pt idx="39">
                  <c:v>56.876836484610848</c:v>
                </c:pt>
                <c:pt idx="40">
                  <c:v>56.797779439357434</c:v>
                </c:pt>
                <c:pt idx="41">
                  <c:v>56.704597672564702</c:v>
                </c:pt>
                <c:pt idx="42">
                  <c:v>56.595167801639114</c:v>
                </c:pt>
                <c:pt idx="43">
                  <c:v>56.467133713514414</c:v>
                </c:pt>
                <c:pt idx="44">
                  <c:v>56.318054349938443</c:v>
                </c:pt>
                <c:pt idx="45">
                  <c:v>56.145327263212785</c:v>
                </c:pt>
                <c:pt idx="46">
                  <c:v>55.946388193453757</c:v>
                </c:pt>
                <c:pt idx="47">
                  <c:v>55.718657636517008</c:v>
                </c:pt>
                <c:pt idx="48">
                  <c:v>55.459825987497247</c:v>
                </c:pt>
                <c:pt idx="49">
                  <c:v>55.167744493918363</c:v>
                </c:pt>
                <c:pt idx="50">
                  <c:v>54.840767449799714</c:v>
                </c:pt>
                <c:pt idx="51">
                  <c:v>54.477620033571839</c:v>
                </c:pt>
                <c:pt idx="52">
                  <c:v>54.077796080001015</c:v>
                </c:pt>
                <c:pt idx="53">
                  <c:v>53.641286611386789</c:v>
                </c:pt>
                <c:pt idx="54">
                  <c:v>53.169013767406597</c:v>
                </c:pt>
                <c:pt idx="55">
                  <c:v>52.661345406053861</c:v>
                </c:pt>
                <c:pt idx="56">
                  <c:v>52.120641018091035</c:v>
                </c:pt>
                <c:pt idx="57">
                  <c:v>51.548621207926431</c:v>
                </c:pt>
                <c:pt idx="58">
                  <c:v>50.948066599177665</c:v>
                </c:pt>
                <c:pt idx="59">
                  <c:v>50.321056342888035</c:v>
                </c:pt>
                <c:pt idx="60">
                  <c:v>49.670541788042968</c:v>
                </c:pt>
                <c:pt idx="61">
                  <c:v>48.999010983866064</c:v>
                </c:pt>
                <c:pt idx="62">
                  <c:v>48.308571705148367</c:v>
                </c:pt>
                <c:pt idx="63">
                  <c:v>47.602213511490817</c:v>
                </c:pt>
                <c:pt idx="64">
                  <c:v>46.881520907890462</c:v>
                </c:pt>
                <c:pt idx="65">
                  <c:v>46.148709776757144</c:v>
                </c:pt>
                <c:pt idx="66">
                  <c:v>45.405460695525207</c:v>
                </c:pt>
                <c:pt idx="67">
                  <c:v>44.653418248976507</c:v>
                </c:pt>
                <c:pt idx="68">
                  <c:v>43.893710527017944</c:v>
                </c:pt>
                <c:pt idx="69">
                  <c:v>43.127712150567476</c:v>
                </c:pt>
                <c:pt idx="70">
                  <c:v>42.356283081282236</c:v>
                </c:pt>
                <c:pt idx="71">
                  <c:v>41.58045239143371</c:v>
                </c:pt>
                <c:pt idx="72">
                  <c:v>40.80080303013019</c:v>
                </c:pt>
                <c:pt idx="73">
                  <c:v>40.018170536283584</c:v>
                </c:pt>
                <c:pt idx="74">
                  <c:v>39.23290811008367</c:v>
                </c:pt>
                <c:pt idx="75">
                  <c:v>38.445613528533038</c:v>
                </c:pt>
                <c:pt idx="76">
                  <c:v>37.656517019239061</c:v>
                </c:pt>
                <c:pt idx="77">
                  <c:v>36.866233155651599</c:v>
                </c:pt>
                <c:pt idx="78">
                  <c:v>36.07505540716059</c:v>
                </c:pt>
                <c:pt idx="79">
                  <c:v>35.283770101732706</c:v>
                </c:pt>
                <c:pt idx="80">
                  <c:v>34.491312658882393</c:v>
                </c:pt>
                <c:pt idx="81">
                  <c:v>33.699052167399429</c:v>
                </c:pt>
                <c:pt idx="82">
                  <c:v>32.906710262408147</c:v>
                </c:pt>
                <c:pt idx="83">
                  <c:v>32.115115527501281</c:v>
                </c:pt>
                <c:pt idx="84">
                  <c:v>31.323935266260506</c:v>
                </c:pt>
                <c:pt idx="85">
                  <c:v>30.533915189393369</c:v>
                </c:pt>
                <c:pt idx="86">
                  <c:v>29.745266192315061</c:v>
                </c:pt>
                <c:pt idx="87">
                  <c:v>28.95793923206789</c:v>
                </c:pt>
                <c:pt idx="88">
                  <c:v>28.173112415547493</c:v>
                </c:pt>
                <c:pt idx="89">
                  <c:v>27.390647838956003</c:v>
                </c:pt>
                <c:pt idx="90">
                  <c:v>26.611417947396138</c:v>
                </c:pt>
                <c:pt idx="91">
                  <c:v>25.836027609767083</c:v>
                </c:pt>
                <c:pt idx="92">
                  <c:v>25.065369469440274</c:v>
                </c:pt>
                <c:pt idx="93">
                  <c:v>24.30013835558999</c:v>
                </c:pt>
                <c:pt idx="94">
                  <c:v>24.109898354209673</c:v>
                </c:pt>
                <c:pt idx="95">
                  <c:v>24.014351439485743</c:v>
                </c:pt>
                <c:pt idx="96">
                  <c:v>23.920008030596854</c:v>
                </c:pt>
                <c:pt idx="97">
                  <c:v>23.824696030794854</c:v>
                </c:pt>
                <c:pt idx="98">
                  <c:v>23.730589578638813</c:v>
                </c:pt>
                <c:pt idx="99">
                  <c:v>23.635498497099015</c:v>
                </c:pt>
                <c:pt idx="100">
                  <c:v>23.5416156841146</c:v>
                </c:pt>
                <c:pt idx="101">
                  <c:v>23.44680570113433</c:v>
                </c:pt>
                <c:pt idx="102">
                  <c:v>23.353205523770196</c:v>
                </c:pt>
                <c:pt idx="103">
                  <c:v>23.258596297695597</c:v>
                </c:pt>
                <c:pt idx="104">
                  <c:v>23.165200807512964</c:v>
                </c:pt>
                <c:pt idx="105">
                  <c:v>23.070856179969748</c:v>
                </c:pt>
                <c:pt idx="106">
                  <c:v>22.977727966987512</c:v>
                </c:pt>
                <c:pt idx="107">
                  <c:v>22.883708148995474</c:v>
                </c:pt>
                <c:pt idx="108">
                  <c:v>22.790906253339745</c:v>
                </c:pt>
                <c:pt idx="109">
                  <c:v>22.697204617516775</c:v>
                </c:pt>
                <c:pt idx="110">
                  <c:v>22.604722961790316</c:v>
                </c:pt>
                <c:pt idx="111">
                  <c:v>22.511274416856836</c:v>
                </c:pt>
                <c:pt idx="112">
                  <c:v>22.419050005569755</c:v>
                </c:pt>
                <c:pt idx="113">
                  <c:v>22.325919197285934</c:v>
                </c:pt>
                <c:pt idx="114">
                  <c:v>22.234015425665454</c:v>
                </c:pt>
                <c:pt idx="115">
                  <c:v>22.141204841076991</c:v>
                </c:pt>
                <c:pt idx="116">
                  <c:v>22.049624569832872</c:v>
                </c:pt>
                <c:pt idx="117">
                  <c:v>21.957139411556454</c:v>
                </c:pt>
                <c:pt idx="118">
                  <c:v>21.865888165047316</c:v>
                </c:pt>
                <c:pt idx="119">
                  <c:v>21.773791658303779</c:v>
                </c:pt>
                <c:pt idx="120">
                  <c:v>21.682931451257723</c:v>
                </c:pt>
                <c:pt idx="121">
                  <c:v>21.591229287186245</c:v>
                </c:pt>
                <c:pt idx="122">
                  <c:v>21.500766130077785</c:v>
                </c:pt>
                <c:pt idx="123">
                  <c:v>21.409413887466904</c:v>
                </c:pt>
                <c:pt idx="124">
                  <c:v>21.319305055619395</c:v>
                </c:pt>
                <c:pt idx="125">
                  <c:v>21.228368503311415</c:v>
                </c:pt>
                <c:pt idx="126">
                  <c:v>21.138678510909852</c:v>
                </c:pt>
                <c:pt idx="127">
                  <c:v>21.048170073994761</c:v>
                </c:pt>
                <c:pt idx="128">
                  <c:v>20.958911535510385</c:v>
                </c:pt>
                <c:pt idx="129">
                  <c:v>20.868845631350723</c:v>
                </c:pt>
                <c:pt idx="130">
                  <c:v>20.780033114710605</c:v>
                </c:pt>
                <c:pt idx="131">
                  <c:v>20.690426021027267</c:v>
                </c:pt>
                <c:pt idx="132">
                  <c:v>20.646095529832174</c:v>
                </c:pt>
                <c:pt idx="133">
                  <c:v>20.602075917983221</c:v>
                </c:pt>
                <c:pt idx="134">
                  <c:v>20.557328489796763</c:v>
                </c:pt>
                <c:pt idx="135">
                  <c:v>20.512899959694177</c:v>
                </c:pt>
                <c:pt idx="136">
                  <c:v>20.468786905694202</c:v>
                </c:pt>
                <c:pt idx="137">
                  <c:v>20.424985962832636</c:v>
                </c:pt>
                <c:pt idx="138">
                  <c:v>20.380509943699245</c:v>
                </c:pt>
                <c:pt idx="139">
                  <c:v>20.336353426936174</c:v>
                </c:pt>
                <c:pt idx="140">
                  <c:v>20.292512989875785</c:v>
                </c:pt>
                <c:pt idx="141">
                  <c:v>20.248985266741766</c:v>
                </c:pt>
                <c:pt idx="142">
                  <c:v>20.204745821904577</c:v>
                </c:pt>
                <c:pt idx="143">
                  <c:v>20.160827136769257</c:v>
                </c:pt>
                <c:pt idx="144">
                  <c:v>20.117225777351297</c:v>
                </c:pt>
                <c:pt idx="145">
                  <c:v>20.073938366658552</c:v>
                </c:pt>
                <c:pt idx="146">
                  <c:v>20.029969718854403</c:v>
                </c:pt>
                <c:pt idx="147">
                  <c:v>19.986322757697515</c:v>
                </c:pt>
                <c:pt idx="148">
                  <c:v>19.942994042981958</c:v>
                </c:pt>
                <c:pt idx="149">
                  <c:v>19.899980191474064</c:v>
                </c:pt>
                <c:pt idx="150">
                  <c:v>19.856294197468017</c:v>
                </c:pt>
                <c:pt idx="151">
                  <c:v>19.812930807365955</c:v>
                </c:pt>
                <c:pt idx="152">
                  <c:v>19.769886574647366</c:v>
                </c:pt>
                <c:pt idx="153">
                  <c:v>19.727158109737704</c:v>
                </c:pt>
                <c:pt idx="154">
                  <c:v>19.683747321816018</c:v>
                </c:pt>
                <c:pt idx="155">
                  <c:v>19.640660334900257</c:v>
                </c:pt>
                <c:pt idx="156">
                  <c:v>19.597893691392411</c:v>
                </c:pt>
                <c:pt idx="157">
                  <c:v>19.555443990709954</c:v>
                </c:pt>
                <c:pt idx="158">
                  <c:v>19.512323152464223</c:v>
                </c:pt>
                <c:pt idx="159">
                  <c:v>19.469527271662525</c:v>
                </c:pt>
                <c:pt idx="160">
                  <c:v>19.427052879943425</c:v>
                </c:pt>
                <c:pt idx="161">
                  <c:v>19.384896566014667</c:v>
                </c:pt>
                <c:pt idx="162">
                  <c:v>19.34209957207263</c:v>
                </c:pt>
                <c:pt idx="163">
                  <c:v>19.299628361128715</c:v>
                </c:pt>
                <c:pt idx="164">
                  <c:v>19.257479458948016</c:v>
                </c:pt>
                <c:pt idx="165">
                  <c:v>19.215649448303147</c:v>
                </c:pt>
                <c:pt idx="166">
                  <c:v>19.173153806692625</c:v>
                </c:pt>
                <c:pt idx="167">
                  <c:v>19.130985298003523</c:v>
                </c:pt>
                <c:pt idx="168">
                  <c:v>19.089140433314874</c:v>
                </c:pt>
                <c:pt idx="169">
                  <c:v>19.047615780835123</c:v>
                </c:pt>
                <c:pt idx="170">
                  <c:v>19.005527124566587</c:v>
                </c:pt>
                <c:pt idx="171">
                  <c:v>18.963765509585869</c:v>
                </c:pt>
                <c:pt idx="172">
                  <c:v>18.922327454763352</c:v>
                </c:pt>
                <c:pt idx="173">
                  <c:v>18.881209535724039</c:v>
                </c:pt>
                <c:pt idx="174">
                  <c:v>18.839383847585037</c:v>
                </c:pt>
                <c:pt idx="175">
                  <c:v>18.797887528327905</c:v>
                </c:pt>
                <c:pt idx="176">
                  <c:v>18.756717065494843</c:v>
                </c:pt>
                <c:pt idx="177">
                  <c:v>18.715869003848496</c:v>
                </c:pt>
                <c:pt idx="178">
                  <c:v>18.674347317913242</c:v>
                </c:pt>
                <c:pt idx="179">
                  <c:v>18.633156918833201</c:v>
                </c:pt>
                <c:pt idx="180">
                  <c:v>18.592294268719087</c:v>
                </c:pt>
                <c:pt idx="181">
                  <c:v>18.551755887230648</c:v>
                </c:pt>
                <c:pt idx="182">
                  <c:v>18.510737248924997</c:v>
                </c:pt>
                <c:pt idx="183">
                  <c:v>18.470048842728282</c:v>
                </c:pt>
                <c:pt idx="184">
                  <c:v>18.429687152074134</c:v>
                </c:pt>
                <c:pt idx="185">
                  <c:v>18.389648717257895</c:v>
                </c:pt>
                <c:pt idx="186">
                  <c:v>18.348844298700815</c:v>
                </c:pt>
                <c:pt idx="187">
                  <c:v>18.308373901156362</c:v>
                </c:pt>
                <c:pt idx="188">
                  <c:v>18.268233951325506</c:v>
                </c:pt>
                <c:pt idx="189">
                  <c:v>18.228420933757327</c:v>
                </c:pt>
                <c:pt idx="190">
                  <c:v>18.188180895411882</c:v>
                </c:pt>
                <c:pt idx="191">
                  <c:v>18.148273193050237</c:v>
                </c:pt>
                <c:pt idx="192">
                  <c:v>18.108694283270555</c:v>
                </c:pt>
                <c:pt idx="193">
                  <c:v>18.069440679638106</c:v>
                </c:pt>
                <c:pt idx="194">
                  <c:v>18.029492568563917</c:v>
                </c:pt>
                <c:pt idx="195">
                  <c:v>17.989879783648419</c:v>
                </c:pt>
                <c:pt idx="196">
                  <c:v>17.950598735817689</c:v>
                </c:pt>
                <c:pt idx="197">
                  <c:v>17.91164589369815</c:v>
                </c:pt>
                <c:pt idx="198">
                  <c:v>17.872175518688248</c:v>
                </c:pt>
                <c:pt idx="199">
                  <c:v>17.833040603343182</c:v>
                </c:pt>
                <c:pt idx="200">
                  <c:v>17.794237557661276</c:v>
                </c:pt>
                <c:pt idx="201">
                  <c:v>17.755762849113189</c:v>
                </c:pt>
                <c:pt idx="202">
                  <c:v>17.716799034532713</c:v>
                </c:pt>
                <c:pt idx="203">
                  <c:v>17.678170507260109</c:v>
                </c:pt>
                <c:pt idx="204">
                  <c:v>17.639873680290293</c:v>
                </c:pt>
                <c:pt idx="205">
                  <c:v>17.6019050237785</c:v>
                </c:pt>
                <c:pt idx="206">
                  <c:v>17.563343749880566</c:v>
                </c:pt>
                <c:pt idx="207">
                  <c:v>17.525119585615737</c:v>
                </c:pt>
                <c:pt idx="208">
                  <c:v>17.487228913989771</c:v>
                </c:pt>
                <c:pt idx="209">
                  <c:v>17.449668175554422</c:v>
                </c:pt>
                <c:pt idx="210">
                  <c:v>17.411421775978649</c:v>
                </c:pt>
                <c:pt idx="211">
                  <c:v>17.373516137992308</c:v>
                </c:pt>
                <c:pt idx="212">
                  <c:v>17.335947583937664</c:v>
                </c:pt>
                <c:pt idx="213">
                  <c:v>17.298712494734943</c:v>
                </c:pt>
                <c:pt idx="214">
                  <c:v>17.261074986556892</c:v>
                </c:pt>
                <c:pt idx="215">
                  <c:v>17.223776945931071</c:v>
                </c:pt>
                <c:pt idx="216">
                  <c:v>17.186814713061015</c:v>
                </c:pt>
                <c:pt idx="217">
                  <c:v>17.150184686100015</c:v>
                </c:pt>
                <c:pt idx="218">
                  <c:v>17.113059406264753</c:v>
                </c:pt>
                <c:pt idx="219">
                  <c:v>17.076274212765579</c:v>
                </c:pt>
                <c:pt idx="220">
                  <c:v>17.039825431637766</c:v>
                </c:pt>
                <c:pt idx="221">
                  <c:v>17.00370944691873</c:v>
                </c:pt>
                <c:pt idx="222">
                  <c:v>16.967128630276267</c:v>
                </c:pt>
                <c:pt idx="223">
                  <c:v>16.930888151328787</c:v>
                </c:pt>
                <c:pt idx="224">
                  <c:v>16.894984326655628</c:v>
                </c:pt>
                <c:pt idx="225">
                  <c:v>16.859413530797141</c:v>
                </c:pt>
                <c:pt idx="226">
                  <c:v>16.823298083580369</c:v>
                </c:pt>
                <c:pt idx="227">
                  <c:v>16.78752494112144</c:v>
                </c:pt>
                <c:pt idx="228">
                  <c:v>16.752090381417272</c:v>
                </c:pt>
                <c:pt idx="229">
                  <c:v>16.716990741000178</c:v>
                </c:pt>
                <c:pt idx="230">
                  <c:v>16.646115224567428</c:v>
                </c:pt>
                <c:pt idx="231">
                  <c:v>16.611189422209428</c:v>
                </c:pt>
                <c:pt idx="232">
                  <c:v>16.576599976753922</c:v>
                </c:pt>
                <c:pt idx="233">
                  <c:v>16.541534047816754</c:v>
                </c:pt>
                <c:pt idx="234">
                  <c:v>16.506812980683854</c:v>
                </c:pt>
                <c:pt idx="235">
                  <c:v>16.472432994221059</c:v>
                </c:pt>
                <c:pt idx="236">
                  <c:v>16.438390366625171</c:v>
                </c:pt>
                <c:pt idx="237">
                  <c:v>16.404000913546131</c:v>
                </c:pt>
                <c:pt idx="238">
                  <c:v>16.369955004003685</c:v>
                </c:pt>
                <c:pt idx="239">
                  <c:v>16.336248867804262</c:v>
                </c:pt>
                <c:pt idx="240">
                  <c:v>16.302878793657872</c:v>
                </c:pt>
                <c:pt idx="241">
                  <c:v>16.269000741094878</c:v>
                </c:pt>
                <c:pt idx="242">
                  <c:v>16.235468433124531</c:v>
                </c:pt>
                <c:pt idx="243">
                  <c:v>16.202278051263413</c:v>
                </c:pt>
                <c:pt idx="244">
                  <c:v>16.169425836752364</c:v>
                </c:pt>
                <c:pt idx="245">
                  <c:v>16.136191234588402</c:v>
                </c:pt>
                <c:pt idx="246">
                  <c:v>16.10330219789568</c:v>
                </c:pt>
                <c:pt idx="247">
                  <c:v>16.07075489769856</c:v>
                </c:pt>
                <c:pt idx="248">
                  <c:v>16.038545564798742</c:v>
                </c:pt>
                <c:pt idx="249">
                  <c:v>16.005897192422346</c:v>
                </c:pt>
                <c:pt idx="250">
                  <c:v>15.973595654342743</c:v>
                </c:pt>
                <c:pt idx="251">
                  <c:v>15.941637085663645</c:v>
                </c:pt>
                <c:pt idx="252">
                  <c:v>15.910017681868251</c:v>
                </c:pt>
                <c:pt idx="253">
                  <c:v>15.878075200214003</c:v>
                </c:pt>
                <c:pt idx="254">
                  <c:v>15.846478560073203</c:v>
                </c:pt>
                <c:pt idx="255">
                  <c:v>15.815223896951146</c:v>
                </c:pt>
                <c:pt idx="256">
                  <c:v>15.784307406604722</c:v>
                </c:pt>
                <c:pt idx="257">
                  <c:v>15.752937473323751</c:v>
                </c:pt>
                <c:pt idx="258">
                  <c:v>15.721915539315102</c:v>
                </c:pt>
                <c:pt idx="259">
                  <c:v>15.691237686368449</c:v>
                </c:pt>
                <c:pt idx="260">
                  <c:v>15.660900057547549</c:v>
                </c:pt>
                <c:pt idx="261">
                  <c:v>15.630220890928413</c:v>
                </c:pt>
                <c:pt idx="262">
                  <c:v>15.599889619400518</c:v>
                </c:pt>
                <c:pt idx="263">
                  <c:v>15.569902307618941</c:v>
                </c:pt>
                <c:pt idx="264">
                  <c:v>15.540255081805492</c:v>
                </c:pt>
                <c:pt idx="265">
                  <c:v>15.510296564478947</c:v>
                </c:pt>
                <c:pt idx="266">
                  <c:v>15.480685421666012</c:v>
                </c:pt>
                <c:pt idx="267">
                  <c:v>15.451417706768513</c:v>
                </c:pt>
                <c:pt idx="268">
                  <c:v>15.42248953495838</c:v>
                </c:pt>
                <c:pt idx="269">
                  <c:v>15.393210563899579</c:v>
                </c:pt>
                <c:pt idx="270">
                  <c:v>15.364279682177472</c:v>
                </c:pt>
                <c:pt idx="271">
                  <c:v>15.335692909762981</c:v>
                </c:pt>
                <c:pt idx="272">
                  <c:v>15.307446329098264</c:v>
                </c:pt>
                <c:pt idx="273">
                  <c:v>15.278881852034676</c:v>
                </c:pt>
                <c:pt idx="274">
                  <c:v>15.250665691830891</c:v>
                </c:pt>
                <c:pt idx="275">
                  <c:v>15.222793842166272</c:v>
                </c:pt>
                <c:pt idx="276">
                  <c:v>15.195262359784394</c:v>
                </c:pt>
                <c:pt idx="277">
                  <c:v>15.16750694556525</c:v>
                </c:pt>
                <c:pt idx="278">
                  <c:v>15.140098054675121</c:v>
                </c:pt>
                <c:pt idx="279">
                  <c:v>15.113031688413432</c:v>
                </c:pt>
                <c:pt idx="280">
                  <c:v>15.086303911068182</c:v>
                </c:pt>
                <c:pt idx="281">
                  <c:v>15.059200532601318</c:v>
                </c:pt>
                <c:pt idx="282">
                  <c:v>15.032446117395466</c:v>
                </c:pt>
                <c:pt idx="283">
                  <c:v>15.006036600247835</c:v>
                </c:pt>
                <c:pt idx="284">
                  <c:v>14.979967980471613</c:v>
                </c:pt>
                <c:pt idx="285">
                  <c:v>14.95373071475985</c:v>
                </c:pt>
                <c:pt idx="286">
                  <c:v>14.927839761764176</c:v>
                </c:pt>
                <c:pt idx="287">
                  <c:v>14.902291077568751</c:v>
                </c:pt>
                <c:pt idx="288">
                  <c:v>14.877080682500811</c:v>
                </c:pt>
                <c:pt idx="289">
                  <c:v>14.85156571535002</c:v>
                </c:pt>
                <c:pt idx="290">
                  <c:v>14.826398478525602</c:v>
                </c:pt>
                <c:pt idx="291">
                  <c:v>14.801574877809456</c:v>
                </c:pt>
                <c:pt idx="292">
                  <c:v>14.77709088452057</c:v>
                </c:pt>
                <c:pt idx="293">
                  <c:v>14.752388420700555</c:v>
                </c:pt>
                <c:pt idx="294">
                  <c:v>14.728033114673194</c:v>
                </c:pt>
                <c:pt idx="295">
                  <c:v>14.7040208563925</c:v>
                </c:pt>
                <c:pt idx="296">
                  <c:v>14.680347601970391</c:v>
                </c:pt>
                <c:pt idx="297">
                  <c:v>14.656486063975427</c:v>
                </c:pt>
                <c:pt idx="298">
                  <c:v>14.632970670391055</c:v>
                </c:pt>
                <c:pt idx="299">
                  <c:v>14.609797303113659</c:v>
                </c:pt>
                <c:pt idx="300">
                  <c:v>14.586961910710784</c:v>
                </c:pt>
                <c:pt idx="301">
                  <c:v>14.563967228274233</c:v>
                </c:pt>
                <c:pt idx="302">
                  <c:v>14.541317265324256</c:v>
                </c:pt>
                <c:pt idx="303">
                  <c:v>14.519007903308022</c:v>
                </c:pt>
                <c:pt idx="304">
                  <c:v>14.497035090753831</c:v>
                </c:pt>
                <c:pt idx="305">
                  <c:v>14.474846464562429</c:v>
                </c:pt>
                <c:pt idx="306">
                  <c:v>14.453003378241277</c:v>
                </c:pt>
                <c:pt idx="307">
                  <c:v>14.43150167299606</c:v>
                </c:pt>
                <c:pt idx="308">
                  <c:v>14.410337258456165</c:v>
                </c:pt>
                <c:pt idx="309">
                  <c:v>14.389070697407259</c:v>
                </c:pt>
                <c:pt idx="310">
                  <c:v>14.368147385364253</c:v>
                </c:pt>
                <c:pt idx="311">
                  <c:v>14.347563179957492</c:v>
                </c:pt>
                <c:pt idx="312">
                  <c:v>14.327314007416639</c:v>
                </c:pt>
                <c:pt idx="313">
                  <c:v>14.306914154775916</c:v>
                </c:pt>
                <c:pt idx="314">
                  <c:v>14.286857438084235</c:v>
                </c:pt>
                <c:pt idx="315">
                  <c:v>14.267139693240598</c:v>
                </c:pt>
                <c:pt idx="316">
                  <c:v>14.247756825833937</c:v>
                </c:pt>
                <c:pt idx="317">
                  <c:v>14.228255190126873</c:v>
                </c:pt>
                <c:pt idx="318">
                  <c:v>14.209096100518071</c:v>
                </c:pt>
                <c:pt idx="319">
                  <c:v>14.190275381195367</c:v>
                </c:pt>
                <c:pt idx="320">
                  <c:v>14.171788926990567</c:v>
                </c:pt>
                <c:pt idx="321">
                  <c:v>14.153214361386915</c:v>
                </c:pt>
                <c:pt idx="322">
                  <c:v>14.134981312797411</c:v>
                </c:pt>
                <c:pt idx="323">
                  <c:v>14.117085603589842</c:v>
                </c:pt>
                <c:pt idx="324">
                  <c:v>14.099523127597141</c:v>
                </c:pt>
                <c:pt idx="325">
                  <c:v>14.081901977948416</c:v>
                </c:pt>
                <c:pt idx="326">
                  <c:v>14.064620915880081</c:v>
                </c:pt>
                <c:pt idx="327">
                  <c:v>14.047675771679293</c:v>
                </c:pt>
                <c:pt idx="328">
                  <c:v>14.03106244778982</c:v>
                </c:pt>
                <c:pt idx="329">
                  <c:v>14.014391161527339</c:v>
                </c:pt>
                <c:pt idx="330">
                  <c:v>13.998059298439623</c:v>
                </c:pt>
                <c:pt idx="331">
                  <c:v>13.982062685620292</c:v>
                </c:pt>
                <c:pt idx="332">
                  <c:v>13.966397223369304</c:v>
                </c:pt>
                <c:pt idx="333">
                  <c:v>13.950729595332195</c:v>
                </c:pt>
                <c:pt idx="334">
                  <c:v>13.935399223146485</c:v>
                </c:pt>
                <c:pt idx="335">
                  <c:v>13.92040196183766</c:v>
                </c:pt>
                <c:pt idx="336">
                  <c:v>13.905733740067614</c:v>
                </c:pt>
                <c:pt idx="337">
                  <c:v>13.891043057659243</c:v>
                </c:pt>
                <c:pt idx="338">
                  <c:v>13.876689321097462</c:v>
                </c:pt>
                <c:pt idx="339">
                  <c:v>13.862668383334192</c:v>
                </c:pt>
                <c:pt idx="340">
                  <c:v>13.848976172217224</c:v>
                </c:pt>
                <c:pt idx="341">
                  <c:v>13.835292837406287</c:v>
                </c:pt>
                <c:pt idx="342">
                  <c:v>13.821945739419517</c:v>
                </c:pt>
                <c:pt idx="343">
                  <c:v>13.8089307413338</c:v>
                </c:pt>
                <c:pt idx="344">
                  <c:v>13.796243782232416</c:v>
                </c:pt>
                <c:pt idx="345">
                  <c:v>13.783614860433893</c:v>
                </c:pt>
                <c:pt idx="346">
                  <c:v>13.771320104568412</c:v>
                </c:pt>
                <c:pt idx="347">
                  <c:v>13.759355418531262</c:v>
                </c:pt>
                <c:pt idx="348">
                  <c:v>13.747716782730668</c:v>
                </c:pt>
                <c:pt idx="349">
                  <c:v>13.736128230800734</c:v>
                </c:pt>
                <c:pt idx="350">
                  <c:v>13.724873528638133</c:v>
                </c:pt>
                <c:pt idx="351">
                  <c:v>13.713948595335491</c:v>
                </c:pt>
                <c:pt idx="352">
                  <c:v>13.703349427807845</c:v>
                </c:pt>
                <c:pt idx="353">
                  <c:v>13.692831291792466</c:v>
                </c:pt>
                <c:pt idx="354">
                  <c:v>13.682646370420567</c:v>
                </c:pt>
                <c:pt idx="355">
                  <c:v>13.672790611491321</c:v>
                </c:pt>
                <c:pt idx="356">
                  <c:v>13.663260041797296</c:v>
                </c:pt>
                <c:pt idx="357">
                  <c:v>13.653853531967524</c:v>
                </c:pt>
                <c:pt idx="358">
                  <c:v>13.644778404260116</c:v>
                </c:pt>
                <c:pt idx="359">
                  <c:v>13.636030665582625</c:v>
                </c:pt>
                <c:pt idx="360">
                  <c:v>13.627606402430732</c:v>
                </c:pt>
                <c:pt idx="361">
                  <c:v>13.619309719406944</c:v>
                </c:pt>
                <c:pt idx="362">
                  <c:v>13.611344285542359</c:v>
                </c:pt>
                <c:pt idx="363">
                  <c:v>13.60370614614251</c:v>
                </c:pt>
                <c:pt idx="364">
                  <c:v>13.596391427494158</c:v>
                </c:pt>
                <c:pt idx="365">
                  <c:v>13.58924449054356</c:v>
                </c:pt>
                <c:pt idx="366">
                  <c:v>13.582427575044132</c:v>
                </c:pt>
                <c:pt idx="367">
                  <c:v>13.575936795643987</c:v>
                </c:pt>
                <c:pt idx="368">
                  <c:v>13.569768348816689</c:v>
                </c:pt>
                <c:pt idx="369">
                  <c:v>13.563779404980018</c:v>
                </c:pt>
                <c:pt idx="370">
                  <c:v>13.558120928050188</c:v>
                </c:pt>
                <c:pt idx="371">
                  <c:v>13.55278908564819</c:v>
                </c:pt>
                <c:pt idx="372">
                  <c:v>13.547780128873084</c:v>
                </c:pt>
                <c:pt idx="373">
                  <c:v>13.542988305663275</c:v>
                </c:pt>
                <c:pt idx="374">
                  <c:v>13.538526424398178</c:v>
                </c:pt>
                <c:pt idx="375">
                  <c:v>13.534390737552153</c:v>
                </c:pt>
                <c:pt idx="376">
                  <c:v>13.530577582225011</c:v>
                </c:pt>
                <c:pt idx="377">
                  <c:v>13.527001266689727</c:v>
                </c:pt>
                <c:pt idx="378">
                  <c:v>13.52375605466986</c:v>
                </c:pt>
                <c:pt idx="379">
                  <c:v>13.520838272116226</c:v>
                </c:pt>
                <c:pt idx="380">
                  <c:v>13.518244331597057</c:v>
                </c:pt>
                <c:pt idx="381">
                  <c:v>13.515925300537063</c:v>
                </c:pt>
                <c:pt idx="382">
                  <c:v>13.513936901162605</c:v>
                </c:pt>
                <c:pt idx="383">
                  <c:v>13.512275579404758</c:v>
                </c:pt>
                <c:pt idx="384">
                  <c:v>13.51093786893431</c:v>
                </c:pt>
                <c:pt idx="385">
                  <c:v>13.509899211378029</c:v>
                </c:pt>
                <c:pt idx="386">
                  <c:v>13.509193309277592</c:v>
                </c:pt>
                <c:pt idx="387">
                  <c:v>13.508816708995344</c:v>
                </c:pt>
                <c:pt idx="388">
                  <c:v>13.508766047115415</c:v>
                </c:pt>
                <c:pt idx="389">
                  <c:v>13.509048064318133</c:v>
                </c:pt>
                <c:pt idx="390">
                  <c:v>13.509664330783194</c:v>
                </c:pt>
                <c:pt idx="391">
                  <c:v>13.510611529198922</c:v>
                </c:pt>
                <c:pt idx="392">
                  <c:v>13.511886434624991</c:v>
                </c:pt>
                <c:pt idx="393">
                  <c:v>13.513525537945712</c:v>
                </c:pt>
                <c:pt idx="394">
                  <c:v>13.515500703868808</c:v>
                </c:pt>
                <c:pt idx="395">
                  <c:v>13.517808775252556</c:v>
                </c:pt>
                <c:pt idx="396">
                  <c:v>13.520446689657117</c:v>
                </c:pt>
                <c:pt idx="397">
                  <c:v>13.523487495258234</c:v>
                </c:pt>
                <c:pt idx="398">
                  <c:v>13.526868148272513</c:v>
                </c:pt>
                <c:pt idx="399">
                  <c:v>13.530585657509967</c:v>
                </c:pt>
                <c:pt idx="400">
                  <c:v>13.53463712995924</c:v>
                </c:pt>
                <c:pt idx="401">
                  <c:v>13.539122501269107</c:v>
                </c:pt>
                <c:pt idx="402">
                  <c:v>13.543951273128759</c:v>
                </c:pt>
                <c:pt idx="403">
                  <c:v>13.549120661816069</c:v>
                </c:pt>
                <c:pt idx="404">
                  <c:v>13.554627985201471</c:v>
                </c:pt>
                <c:pt idx="405">
                  <c:v>13.560610044295105</c:v>
                </c:pt>
                <c:pt idx="406">
                  <c:v>13.566940524732198</c:v>
                </c:pt>
                <c:pt idx="407">
                  <c:v>13.573616875494231</c:v>
                </c:pt>
                <c:pt idx="408">
                  <c:v>13.580636651535574</c:v>
                </c:pt>
                <c:pt idx="409">
                  <c:v>13.588176328919936</c:v>
                </c:pt>
                <c:pt idx="410">
                  <c:v>13.596071075072738</c:v>
                </c:pt>
                <c:pt idx="411">
                  <c:v>13.604318604267988</c:v>
                </c:pt>
                <c:pt idx="412">
                  <c:v>13.612916742290436</c:v>
                </c:pt>
                <c:pt idx="413">
                  <c:v>13.622074947891818</c:v>
                </c:pt>
                <c:pt idx="414">
                  <c:v>13.631595954416815</c:v>
                </c:pt>
                <c:pt idx="415">
                  <c:v>13.641477788745586</c:v>
                </c:pt>
                <c:pt idx="416">
                  <c:v>13.651718595730468</c:v>
                </c:pt>
                <c:pt idx="417">
                  <c:v>13.662571989898979</c:v>
                </c:pt>
                <c:pt idx="418">
                  <c:v>13.673798004852886</c:v>
                </c:pt>
                <c:pt idx="419">
                  <c:v>13.685395029155135</c:v>
                </c:pt>
                <c:pt idx="420">
                  <c:v>13.697361577497968</c:v>
                </c:pt>
                <c:pt idx="421">
                  <c:v>13.709973446509592</c:v>
                </c:pt>
                <c:pt idx="422">
                  <c:v>13.722968640272056</c:v>
                </c:pt>
                <c:pt idx="423">
                  <c:v>13.73634597726708</c:v>
                </c:pt>
                <c:pt idx="424">
                  <c:v>13.750104411298267</c:v>
                </c:pt>
                <c:pt idx="425">
                  <c:v>13.764595715930415</c:v>
                </c:pt>
                <c:pt idx="426">
                  <c:v>13.779485313552124</c:v>
                </c:pt>
                <c:pt idx="427">
                  <c:v>13.79477251888558</c:v>
                </c:pt>
                <c:pt idx="428">
                  <c:v>13.810456794797183</c:v>
                </c:pt>
                <c:pt idx="429">
                  <c:v>13.826913170762179</c:v>
                </c:pt>
                <c:pt idx="430">
                  <c:v>13.843784474656397</c:v>
                </c:pt>
                <c:pt idx="431">
                  <c:v>13.86107061324253</c:v>
                </c:pt>
                <c:pt idx="432">
                  <c:v>13.878771656329754</c:v>
                </c:pt>
                <c:pt idx="433">
                  <c:v>13.89730087502838</c:v>
                </c:pt>
                <c:pt idx="434">
                  <c:v>13.916264580467359</c:v>
                </c:pt>
                <c:pt idx="435">
                  <c:v>13.935663379916702</c:v>
                </c:pt>
                <c:pt idx="436">
                  <c:v>13.955498061911007</c:v>
                </c:pt>
                <c:pt idx="437">
                  <c:v>13.976258931220034</c:v>
                </c:pt>
                <c:pt idx="438">
                  <c:v>13.997479005241804</c:v>
                </c:pt>
                <c:pt idx="439">
                  <c:v>14.019159728987303</c:v>
                </c:pt>
                <c:pt idx="440">
                  <c:v>14.041302752624325</c:v>
                </c:pt>
                <c:pt idx="441">
                  <c:v>14.064442650470614</c:v>
                </c:pt>
                <c:pt idx="442">
                  <c:v>14.088070822538478</c:v>
                </c:pt>
                <c:pt idx="443">
                  <c:v>14.112189717830006</c:v>
                </c:pt>
                <c:pt idx="444">
                  <c:v>14.136802020081049</c:v>
                </c:pt>
                <c:pt idx="445">
                  <c:v>14.162488610005564</c:v>
                </c:pt>
                <c:pt idx="446">
                  <c:v>14.188697793234862</c:v>
                </c:pt>
                <c:pt idx="447">
                  <c:v>14.21543322375393</c:v>
                </c:pt>
                <c:pt idx="448">
                  <c:v>14.242698827123125</c:v>
                </c:pt>
                <c:pt idx="449">
                  <c:v>14.271172414774714</c:v>
                </c:pt>
                <c:pt idx="450">
                  <c:v>14.300211144386131</c:v>
                </c:pt>
                <c:pt idx="451">
                  <c:v>14.329820146128633</c:v>
                </c:pt>
                <c:pt idx="452">
                  <c:v>14.360004870049002</c:v>
                </c:pt>
                <c:pt idx="453">
                  <c:v>14.391472993266255</c:v>
                </c:pt>
                <c:pt idx="454">
                  <c:v>14.423555726226491</c:v>
                </c:pt>
                <c:pt idx="455">
                  <c:v>14.456259976748013</c:v>
                </c:pt>
                <c:pt idx="456">
                  <c:v>14.489593032276609</c:v>
                </c:pt>
                <c:pt idx="457">
                  <c:v>14.524376516434572</c:v>
                </c:pt>
                <c:pt idx="458">
                  <c:v>14.559835717432264</c:v>
                </c:pt>
                <c:pt idx="459">
                  <c:v>14.595979748993653</c:v>
                </c:pt>
                <c:pt idx="460">
                  <c:v>14.632818183209329</c:v>
                </c:pt>
                <c:pt idx="461">
                  <c:v>14.671239798486262</c:v>
                </c:pt>
                <c:pt idx="462">
                  <c:v>14.710410179621791</c:v>
                </c:pt>
                <c:pt idx="463">
                  <c:v>14.750341150598285</c:v>
                </c:pt>
                <c:pt idx="464">
                  <c:v>14.791045094598758</c:v>
                </c:pt>
                <c:pt idx="465">
                  <c:v>14.833516923633645</c:v>
                </c:pt>
                <c:pt idx="466">
                  <c:v>14.87682649314614</c:v>
                </c:pt>
                <c:pt idx="467">
                  <c:v>14.920989007402879</c:v>
                </c:pt>
                <c:pt idx="468">
                  <c:v>14.966020361981746</c:v>
                </c:pt>
                <c:pt idx="469">
                  <c:v>15.012999202328388</c:v>
                </c:pt>
                <c:pt idx="470">
                  <c:v>15.060923088954997</c:v>
                </c:pt>
                <c:pt idx="471">
                  <c:v>15.109811430680747</c:v>
                </c:pt>
                <c:pt idx="472">
                  <c:v>15.159684499506778</c:v>
                </c:pt>
                <c:pt idx="473">
                  <c:v>15.211790958790681</c:v>
                </c:pt>
                <c:pt idx="474">
                  <c:v>15.264975655212091</c:v>
                </c:pt>
                <c:pt idx="475">
                  <c:v>15.319263368160716</c:v>
                </c:pt>
                <c:pt idx="476">
                  <c:v>15.374679972089339</c:v>
                </c:pt>
                <c:pt idx="477">
                  <c:v>15.432585972792738</c:v>
                </c:pt>
                <c:pt idx="478">
                  <c:v>15.491732656781565</c:v>
                </c:pt>
                <c:pt idx="479">
                  <c:v>15.552151599522519</c:v>
                </c:pt>
                <c:pt idx="480">
                  <c:v>15.613875779907785</c:v>
                </c:pt>
                <c:pt idx="481">
                  <c:v>15.678392886246478</c:v>
                </c:pt>
                <c:pt idx="482">
                  <c:v>15.744349940491729</c:v>
                </c:pt>
                <c:pt idx="483">
                  <c:v>15.811787182683046</c:v>
                </c:pt>
                <c:pt idx="484">
                  <c:v>15.880746670896063</c:v>
                </c:pt>
                <c:pt idx="485">
                  <c:v>15.952911848919111</c:v>
                </c:pt>
                <c:pt idx="486">
                  <c:v>16.026765262287523</c:v>
                </c:pt>
                <c:pt idx="487">
                  <c:v>16.1023584022691</c:v>
                </c:pt>
                <c:pt idx="488">
                  <c:v>16.179745149674382</c:v>
                </c:pt>
                <c:pt idx="489">
                  <c:v>16.260892809188341</c:v>
                </c:pt>
                <c:pt idx="490">
                  <c:v>16.344043053171671</c:v>
                </c:pt>
                <c:pt idx="491">
                  <c:v>16.429262295551855</c:v>
                </c:pt>
                <c:pt idx="492">
                  <c:v>16.516620150336646</c:v>
                </c:pt>
                <c:pt idx="493">
                  <c:v>16.608300937464545</c:v>
                </c:pt>
                <c:pt idx="494">
                  <c:v>16.702379521542607</c:v>
                </c:pt>
                <c:pt idx="495">
                  <c:v>16.798942072998557</c:v>
                </c:pt>
                <c:pt idx="496">
                  <c:v>16.898079115296667</c:v>
                </c:pt>
                <c:pt idx="497">
                  <c:v>17.002299973632354</c:v>
                </c:pt>
                <c:pt idx="498">
                  <c:v>17.109424092319351</c:v>
                </c:pt>
                <c:pt idx="499">
                  <c:v>17.219564423278808</c:v>
                </c:pt>
                <c:pt idx="500">
                  <c:v>17.332839968904427</c:v>
                </c:pt>
                <c:pt idx="501">
                  <c:v>17.452154108514023</c:v>
                </c:pt>
                <c:pt idx="502">
                  <c:v>17.575025887490451</c:v>
                </c:pt>
                <c:pt idx="503">
                  <c:v>17.701605319070516</c:v>
                </c:pt>
                <c:pt idx="504">
                  <c:v>17.832051049254627</c:v>
                </c:pt>
                <c:pt idx="505">
                  <c:v>17.969666431133486</c:v>
                </c:pt>
                <c:pt idx="506">
                  <c:v>18.1116938935142</c:v>
                </c:pt>
                <c:pt idx="507">
                  <c:v>18.258335701371568</c:v>
                </c:pt>
                <c:pt idx="508">
                  <c:v>18.409806810999619</c:v>
                </c:pt>
                <c:pt idx="509">
                  <c:v>18.570004544447155</c:v>
                </c:pt>
                <c:pt idx="510">
                  <c:v>18.735757169711579</c:v>
                </c:pt>
                <c:pt idx="511">
                  <c:v>18.907343510185971</c:v>
                </c:pt>
                <c:pt idx="512">
                  <c:v>19.085061822233168</c:v>
                </c:pt>
                <c:pt idx="513">
                  <c:v>19.273679503005933</c:v>
                </c:pt>
                <c:pt idx="514">
                  <c:v>19.469426578673822</c:v>
                </c:pt>
                <c:pt idx="515">
                  <c:v>19.672699618225991</c:v>
                </c:pt>
                <c:pt idx="516">
                  <c:v>19.88392659774529</c:v>
                </c:pt>
                <c:pt idx="517">
                  <c:v>20.108761359156336</c:v>
                </c:pt>
                <c:pt idx="518">
                  <c:v>20.34294559046181</c:v>
                </c:pt>
                <c:pt idx="519">
                  <c:v>20.587065317011781</c:v>
                </c:pt>
                <c:pt idx="520">
                  <c:v>20.841760652403792</c:v>
                </c:pt>
                <c:pt idx="521">
                  <c:v>21.114044289207033</c:v>
                </c:pt>
                <c:pt idx="522">
                  <c:v>21.398961711867202</c:v>
                </c:pt>
                <c:pt idx="523">
                  <c:v>21.69742782974393</c:v>
                </c:pt>
                <c:pt idx="524">
                  <c:v>22.010458933684514</c:v>
                </c:pt>
                <c:pt idx="525">
                  <c:v>22.347021981080964</c:v>
                </c:pt>
                <c:pt idx="526">
                  <c:v>22.701386907360138</c:v>
                </c:pt>
                <c:pt idx="527">
                  <c:v>23.07509653922957</c:v>
                </c:pt>
                <c:pt idx="528">
                  <c:v>23.469906195265221</c:v>
                </c:pt>
                <c:pt idx="529">
                  <c:v>23.89783302534374</c:v>
                </c:pt>
                <c:pt idx="530">
                  <c:v>24.352448846366901</c:v>
                </c:pt>
                <c:pt idx="531">
                  <c:v>24.83666166991776</c:v>
                </c:pt>
                <c:pt idx="532">
                  <c:v>25.353899617284924</c:v>
                </c:pt>
                <c:pt idx="533">
                  <c:v>25.921914750753675</c:v>
                </c:pt>
                <c:pt idx="534">
                  <c:v>26.534125280791887</c:v>
                </c:pt>
                <c:pt idx="535">
                  <c:v>27.197037400226016</c:v>
                </c:pt>
                <c:pt idx="536">
                  <c:v>27.918772071213844</c:v>
                </c:pt>
                <c:pt idx="537">
                  <c:v>28.728513592316745</c:v>
                </c:pt>
                <c:pt idx="538">
                  <c:v>29.625006144737629</c:v>
                </c:pt>
                <c:pt idx="539">
                  <c:v>30.627622199942305</c:v>
                </c:pt>
                <c:pt idx="540">
                  <c:v>31.763284958824801</c:v>
                </c:pt>
                <c:pt idx="541">
                  <c:v>33.104539294049182</c:v>
                </c:pt>
                <c:pt idx="542">
                  <c:v>34.690667900428977</c:v>
                </c:pt>
                <c:pt idx="543">
                  <c:v>36.629270625250705</c:v>
                </c:pt>
                <c:pt idx="544">
                  <c:v>39.120970893582943</c:v>
                </c:pt>
                <c:pt idx="545">
                  <c:v>42.712019426241092</c:v>
                </c:pt>
                <c:pt idx="546">
                  <c:v>48.897001159046106</c:v>
                </c:pt>
                <c:pt idx="547">
                  <c:v>78.902932953820255</c:v>
                </c:pt>
                <c:pt idx="548">
                  <c:v>48.429044933197915</c:v>
                </c:pt>
                <c:pt idx="549">
                  <c:v>42.480040060153883</c:v>
                </c:pt>
                <c:pt idx="550">
                  <c:v>39.012138688987832</c:v>
                </c:pt>
                <c:pt idx="551">
                  <c:v>36.565639066840852</c:v>
                </c:pt>
                <c:pt idx="552">
                  <c:v>34.681251673846177</c:v>
                </c:pt>
                <c:pt idx="553">
                  <c:v>33.121361378648764</c:v>
                </c:pt>
                <c:pt idx="554">
                  <c:v>31.819089519571293</c:v>
                </c:pt>
                <c:pt idx="555">
                  <c:v>30.705323426231445</c:v>
                </c:pt>
                <c:pt idx="556">
                  <c:v>29.735773045877728</c:v>
                </c:pt>
                <c:pt idx="557">
                  <c:v>28.083789862377881</c:v>
                </c:pt>
                <c:pt idx="558">
                  <c:v>26.755542696624786</c:v>
                </c:pt>
                <c:pt idx="559">
                  <c:v>25.636239395310039</c:v>
                </c:pt>
                <c:pt idx="560">
                  <c:v>24.698986673278561</c:v>
                </c:pt>
                <c:pt idx="561">
                  <c:v>23.88635261454235</c:v>
                </c:pt>
                <c:pt idx="562">
                  <c:v>23.192694369633237</c:v>
                </c:pt>
                <c:pt idx="563">
                  <c:v>22.584489014770035</c:v>
                </c:pt>
                <c:pt idx="564">
                  <c:v>22.060526737219757</c:v>
                </c:pt>
                <c:pt idx="565">
                  <c:v>21.596880386979024</c:v>
                </c:pt>
                <c:pt idx="566">
                  <c:v>21.196482153354598</c:v>
                </c:pt>
                <c:pt idx="567">
                  <c:v>20.84238538538553</c:v>
                </c:pt>
                <c:pt idx="568">
                  <c:v>20.537280422232385</c:v>
                </c:pt>
                <c:pt idx="569">
                  <c:v>20.269808082158708</c:v>
                </c:pt>
                <c:pt idx="570">
                  <c:v>20.040820131983033</c:v>
                </c:pt>
                <c:pt idx="571">
                  <c:v>19.840603184889392</c:v>
                </c:pt>
                <c:pt idx="572">
                  <c:v>19.671596368101817</c:v>
                </c:pt>
                <c:pt idx="573">
                  <c:v>19.527662527311701</c:v>
                </c:pt>
                <c:pt idx="574">
                  <c:v>19.409016969474383</c:v>
                </c:pt>
                <c:pt idx="575">
                  <c:v>19.310618497230831</c:v>
                </c:pt>
                <c:pt idx="576">
                  <c:v>19.233335619355042</c:v>
                </c:pt>
                <c:pt idx="577">
                  <c:v>19.095697854818717</c:v>
                </c:pt>
                <c:pt idx="578">
                  <c:v>19.193236818578107</c:v>
                </c:pt>
                <c:pt idx="579">
                  <c:v>20.046003671040484</c:v>
                </c:pt>
                <c:pt idx="580">
                  <c:v>22.33220916090076</c:v>
                </c:pt>
                <c:pt idx="581">
                  <c:v>30.434231790485512</c:v>
                </c:pt>
                <c:pt idx="582">
                  <c:v>29.672025766595521</c:v>
                </c:pt>
                <c:pt idx="583">
                  <c:v>23.953725889701655</c:v>
                </c:pt>
                <c:pt idx="584">
                  <c:v>23.849464577799701</c:v>
                </c:pt>
                <c:pt idx="585">
                  <c:v>26.932947967706951</c:v>
                </c:pt>
                <c:pt idx="586">
                  <c:v>41.337804244074604</c:v>
                </c:pt>
                <c:pt idx="587">
                  <c:v>27.33309933475617</c:v>
                </c:pt>
                <c:pt idx="588">
                  <c:v>28.189684735734332</c:v>
                </c:pt>
                <c:pt idx="589">
                  <c:v>62.58024674853074</c:v>
                </c:pt>
                <c:pt idx="590">
                  <c:v>30.027643711442455</c:v>
                </c:pt>
                <c:pt idx="591">
                  <c:v>34.251321346209586</c:v>
                </c:pt>
                <c:pt idx="592">
                  <c:v>33.349858821617417</c:v>
                </c:pt>
                <c:pt idx="593">
                  <c:v>35.861152805189178</c:v>
                </c:pt>
                <c:pt idx="594">
                  <c:v>35.040641508515208</c:v>
                </c:pt>
                <c:pt idx="595">
                  <c:v>50.757356020546275</c:v>
                </c:pt>
                <c:pt idx="596">
                  <c:v>37.464682952957453</c:v>
                </c:pt>
                <c:pt idx="597">
                  <c:v>38.829763154817137</c:v>
                </c:pt>
                <c:pt idx="598">
                  <c:v>43.556223637134259</c:v>
                </c:pt>
                <c:pt idx="599">
                  <c:v>53.103401509497814</c:v>
                </c:pt>
                <c:pt idx="600">
                  <c:v>60.420052146766039</c:v>
                </c:pt>
              </c:numCache>
            </c:numRef>
          </c:yVal>
          <c:smooth val="0"/>
          <c:extLst>
            <c:ext xmlns:c16="http://schemas.microsoft.com/office/drawing/2014/chart" uri="{C3380CC4-5D6E-409C-BE32-E72D297353CC}">
              <c16:uniqueId val="{00000002-C943-44AE-BE69-B37F145E1EAF}"/>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1.4809382944719625E-4</c:v>
                </c:pt>
                <c:pt idx="1">
                  <c:v>86.872885316650354</c:v>
                </c:pt>
                <c:pt idx="2">
                  <c:v>90.328545320751914</c:v>
                </c:pt>
                <c:pt idx="3">
                  <c:v>89.994584887123395</c:v>
                </c:pt>
                <c:pt idx="4">
                  <c:v>89.237010948576696</c:v>
                </c:pt>
                <c:pt idx="5">
                  <c:v>88.253940712789969</c:v>
                </c:pt>
                <c:pt idx="6">
                  <c:v>87.125100933807161</c:v>
                </c:pt>
                <c:pt idx="7">
                  <c:v>85.893404095456773</c:v>
                </c:pt>
                <c:pt idx="8">
                  <c:v>84.586371030937599</c:v>
                </c:pt>
                <c:pt idx="9">
                  <c:v>83.223671847048792</c:v>
                </c:pt>
                <c:pt idx="10">
                  <c:v>81.820343684831471</c:v>
                </c:pt>
                <c:pt idx="11">
                  <c:v>80.388372507383295</c:v>
                </c:pt>
                <c:pt idx="12">
                  <c:v>78.937562881682709</c:v>
                </c:pt>
                <c:pt idx="13">
                  <c:v>77.476062838839198</c:v>
                </c:pt>
                <c:pt idx="14">
                  <c:v>76.010706553134995</c:v>
                </c:pt>
                <c:pt idx="15">
                  <c:v>74.547253506252986</c:v>
                </c:pt>
                <c:pt idx="16">
                  <c:v>73.090564936822389</c:v>
                </c:pt>
                <c:pt idx="17">
                  <c:v>71.644740023645795</c:v>
                </c:pt>
                <c:pt idx="18">
                  <c:v>70.213224802135286</c:v>
                </c:pt>
                <c:pt idx="19">
                  <c:v>68.798901695278516</c:v>
                </c:pt>
                <c:pt idx="20">
                  <c:v>67.404164645353831</c:v>
                </c:pt>
                <c:pt idx="21">
                  <c:v>66.030983132029917</c:v>
                </c:pt>
                <c:pt idx="22">
                  <c:v>64.68095732923129</c:v>
                </c:pt>
                <c:pt idx="23">
                  <c:v>63.355366005414957</c:v>
                </c:pt>
                <c:pt idx="24">
                  <c:v>62.055208353466007</c:v>
                </c:pt>
                <c:pt idx="25">
                  <c:v>60.781240657923142</c:v>
                </c:pt>
                <c:pt idx="26">
                  <c:v>59.534008516180378</c:v>
                </c:pt>
                <c:pt idx="27">
                  <c:v>58.313875195073919</c:v>
                </c:pt>
                <c:pt idx="28">
                  <c:v>57.121046605455831</c:v>
                </c:pt>
                <c:pt idx="29">
                  <c:v>55.955593302836007</c:v>
                </c:pt>
                <c:pt idx="30">
                  <c:v>54.817469864234383</c:v>
                </c:pt>
                <c:pt idx="31">
                  <c:v>53.706531945041988</c:v>
                </c:pt>
                <c:pt idx="32">
                  <c:v>52.622551281681893</c:v>
                </c:pt>
                <c:pt idx="33">
                  <c:v>51.565228874021649</c:v>
                </c:pt>
                <c:pt idx="34">
                  <c:v>50.534206554345133</c:v>
                </c:pt>
                <c:pt idx="35">
                  <c:v>49.529077126232416</c:v>
                </c:pt>
                <c:pt idx="36">
                  <c:v>48.549393236208758</c:v>
                </c:pt>
                <c:pt idx="37">
                  <c:v>51.879925740555109</c:v>
                </c:pt>
                <c:pt idx="38">
                  <c:v>52.445530303193365</c:v>
                </c:pt>
                <c:pt idx="39">
                  <c:v>52.996574544814287</c:v>
                </c:pt>
                <c:pt idx="40">
                  <c:v>53.533578048665944</c:v>
                </c:pt>
                <c:pt idx="41">
                  <c:v>54.05703656572004</c:v>
                </c:pt>
                <c:pt idx="42">
                  <c:v>54.5674232727321</c:v>
                </c:pt>
                <c:pt idx="43">
                  <c:v>55.065189964043313</c:v>
                </c:pt>
                <c:pt idx="44">
                  <c:v>55.550768178937695</c:v>
                </c:pt>
                <c:pt idx="45">
                  <c:v>56.024570266826224</c:v>
                </c:pt>
                <c:pt idx="46">
                  <c:v>56.486990392828588</c:v>
                </c:pt>
                <c:pt idx="47">
                  <c:v>56.938405486490652</c:v>
                </c:pt>
                <c:pt idx="48">
                  <c:v>57.379176136455513</c:v>
                </c:pt>
                <c:pt idx="49">
                  <c:v>57.809647433918698</c:v>
                </c:pt>
                <c:pt idx="50">
                  <c:v>58.230149767662674</c:v>
                </c:pt>
                <c:pt idx="51">
                  <c:v>58.640999573397266</c:v>
                </c:pt>
                <c:pt idx="52">
                  <c:v>59.04250004004178</c:v>
                </c:pt>
                <c:pt idx="53">
                  <c:v>59.434941775477022</c:v>
                </c:pt>
                <c:pt idx="54">
                  <c:v>59.818603434181369</c:v>
                </c:pt>
                <c:pt idx="55">
                  <c:v>60.193752309042857</c:v>
                </c:pt>
                <c:pt idx="56">
                  <c:v>60.560644889519402</c:v>
                </c:pt>
                <c:pt idx="57">
                  <c:v>60.919527388197011</c:v>
                </c:pt>
                <c:pt idx="58">
                  <c:v>61.270636237676356</c:v>
                </c:pt>
                <c:pt idx="59">
                  <c:v>61.614198559606216</c:v>
                </c:pt>
                <c:pt idx="60">
                  <c:v>61.950432607568551</c:v>
                </c:pt>
                <c:pt idx="61">
                  <c:v>62.279548185416559</c:v>
                </c:pt>
                <c:pt idx="62">
                  <c:v>62.601747042564725</c:v>
                </c:pt>
                <c:pt idx="63">
                  <c:v>62.917223247638034</c:v>
                </c:pt>
                <c:pt idx="64">
                  <c:v>63.226163541794165</c:v>
                </c:pt>
                <c:pt idx="65">
                  <c:v>63.528747672950992</c:v>
                </c:pt>
                <c:pt idx="66">
                  <c:v>63.825148712070323</c:v>
                </c:pt>
                <c:pt idx="67">
                  <c:v>64.115533352576392</c:v>
                </c:pt>
                <c:pt idx="68">
                  <c:v>64.400062193916085</c:v>
                </c:pt>
                <c:pt idx="69">
                  <c:v>64.678890010204242</c:v>
                </c:pt>
                <c:pt idx="70">
                  <c:v>64.952166004835362</c:v>
                </c:pt>
                <c:pt idx="71">
                  <c:v>65.220034051887367</c:v>
                </c:pt>
                <c:pt idx="72">
                  <c:v>65.482632925088168</c:v>
                </c:pt>
                <c:pt idx="73">
                  <c:v>65.740096515068316</c:v>
                </c:pt>
                <c:pt idx="74">
                  <c:v>65.99255403557548</c:v>
                </c:pt>
                <c:pt idx="75">
                  <c:v>66.240130219282605</c:v>
                </c:pt>
                <c:pt idx="76">
                  <c:v>66.482945503784876</c:v>
                </c:pt>
                <c:pt idx="77">
                  <c:v>66.721116208337776</c:v>
                </c:pt>
                <c:pt idx="78">
                  <c:v>66.954754701858434</c:v>
                </c:pt>
                <c:pt idx="79">
                  <c:v>67.183969562676765</c:v>
                </c:pt>
                <c:pt idx="80">
                  <c:v>67.408865730494426</c:v>
                </c:pt>
                <c:pt idx="81">
                  <c:v>67.629544650978744</c:v>
                </c:pt>
                <c:pt idx="82">
                  <c:v>67.84610441339548</c:v>
                </c:pt>
                <c:pt idx="83">
                  <c:v>68.058639881656774</c:v>
                </c:pt>
                <c:pt idx="84">
                  <c:v>68.267242819138673</c:v>
                </c:pt>
                <c:pt idx="85">
                  <c:v>68.472002007601489</c:v>
                </c:pt>
                <c:pt idx="86">
                  <c:v>68.673003360524916</c:v>
                </c:pt>
                <c:pt idx="87">
                  <c:v>68.870330031151866</c:v>
                </c:pt>
                <c:pt idx="88">
                  <c:v>69.064062515517605</c:v>
                </c:pt>
                <c:pt idx="89">
                  <c:v>69.254278750722335</c:v>
                </c:pt>
                <c:pt idx="90">
                  <c:v>69.441054208693799</c:v>
                </c:pt>
                <c:pt idx="91">
                  <c:v>69.624461985666684</c:v>
                </c:pt>
                <c:pt idx="92">
                  <c:v>69.804572887598141</c:v>
                </c:pt>
                <c:pt idx="93">
                  <c:v>69.981455511720327</c:v>
                </c:pt>
                <c:pt idx="94">
                  <c:v>70.155176324423749</c:v>
                </c:pt>
                <c:pt idx="95">
                  <c:v>70.32579973565052</c:v>
                </c:pt>
                <c:pt idx="96">
                  <c:v>70.493388169968668</c:v>
                </c:pt>
                <c:pt idx="97">
                  <c:v>70.658002134487248</c:v>
                </c:pt>
                <c:pt idx="98">
                  <c:v>70.819700283764135</c:v>
                </c:pt>
                <c:pt idx="99">
                  <c:v>70.978539481847918</c:v>
                </c:pt>
                <c:pt idx="100">
                  <c:v>71.104158159857306</c:v>
                </c:pt>
              </c:numCache>
            </c:numRef>
          </c:val>
          <c:smooth val="0"/>
          <c:extLst>
            <c:ext xmlns:c16="http://schemas.microsoft.com/office/drawing/2014/chart" uri="{C3380CC4-5D6E-409C-BE32-E72D297353CC}">
              <c16:uniqueId val="{00000000-9FB2-40F7-8293-C6828AB4E751}"/>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2.9287500000000001E-6</c:v>
                </c:pt>
                <c:pt idx="1">
                  <c:v>14.643749999999999</c:v>
                </c:pt>
                <c:pt idx="2">
                  <c:v>29.287499999999998</c:v>
                </c:pt>
                <c:pt idx="3">
                  <c:v>43.931249999999999</c:v>
                </c:pt>
                <c:pt idx="4">
                  <c:v>58.574999999999996</c:v>
                </c:pt>
                <c:pt idx="5">
                  <c:v>73.21875</c:v>
                </c:pt>
                <c:pt idx="6">
                  <c:v>87.862499999999997</c:v>
                </c:pt>
                <c:pt idx="7">
                  <c:v>102.50625000000002</c:v>
                </c:pt>
                <c:pt idx="8">
                  <c:v>117.14999999999999</c:v>
                </c:pt>
                <c:pt idx="9">
                  <c:v>131.79374999999999</c:v>
                </c:pt>
                <c:pt idx="10">
                  <c:v>146.4375</c:v>
                </c:pt>
                <c:pt idx="11">
                  <c:v>161.08125000000001</c:v>
                </c:pt>
                <c:pt idx="12">
                  <c:v>175.72499999999999</c:v>
                </c:pt>
                <c:pt idx="13">
                  <c:v>190.36875000000001</c:v>
                </c:pt>
                <c:pt idx="14">
                  <c:v>205.01250000000005</c:v>
                </c:pt>
                <c:pt idx="15">
                  <c:v>219.65624999999997</c:v>
                </c:pt>
                <c:pt idx="16">
                  <c:v>234.29999999999998</c:v>
                </c:pt>
                <c:pt idx="17">
                  <c:v>248.94375000000002</c:v>
                </c:pt>
                <c:pt idx="18">
                  <c:v>263.58749999999998</c:v>
                </c:pt>
                <c:pt idx="19">
                  <c:v>278.23124999999999</c:v>
                </c:pt>
                <c:pt idx="20">
                  <c:v>292.875</c:v>
                </c:pt>
                <c:pt idx="21">
                  <c:v>307.51875000000001</c:v>
                </c:pt>
                <c:pt idx="22">
                  <c:v>322.16250000000002</c:v>
                </c:pt>
                <c:pt idx="23">
                  <c:v>336.80625000000003</c:v>
                </c:pt>
                <c:pt idx="24">
                  <c:v>351.45</c:v>
                </c:pt>
                <c:pt idx="25">
                  <c:v>366.09375</c:v>
                </c:pt>
                <c:pt idx="26">
                  <c:v>380.73750000000001</c:v>
                </c:pt>
                <c:pt idx="27">
                  <c:v>395.38125000000002</c:v>
                </c:pt>
                <c:pt idx="28">
                  <c:v>410.02500000000009</c:v>
                </c:pt>
                <c:pt idx="29">
                  <c:v>424.66874999999999</c:v>
                </c:pt>
                <c:pt idx="30">
                  <c:v>439.31249999999994</c:v>
                </c:pt>
                <c:pt idx="31">
                  <c:v>453.95624999999995</c:v>
                </c:pt>
                <c:pt idx="32">
                  <c:v>468.59999999999997</c:v>
                </c:pt>
                <c:pt idx="33">
                  <c:v>483.24374999999998</c:v>
                </c:pt>
                <c:pt idx="34">
                  <c:v>497.88750000000005</c:v>
                </c:pt>
                <c:pt idx="35">
                  <c:v>512.53125</c:v>
                </c:pt>
                <c:pt idx="36">
                  <c:v>527.17499999999995</c:v>
                </c:pt>
                <c:pt idx="37">
                  <c:v>541.81875000000002</c:v>
                </c:pt>
                <c:pt idx="38">
                  <c:v>556.46249999999998</c:v>
                </c:pt>
                <c:pt idx="39">
                  <c:v>571.10625000000005</c:v>
                </c:pt>
                <c:pt idx="40">
                  <c:v>585.75</c:v>
                </c:pt>
                <c:pt idx="41">
                  <c:v>600.39374999999995</c:v>
                </c:pt>
                <c:pt idx="42">
                  <c:v>615.03750000000002</c:v>
                </c:pt>
                <c:pt idx="43">
                  <c:v>629.68124999999998</c:v>
                </c:pt>
                <c:pt idx="44">
                  <c:v>644.32500000000005</c:v>
                </c:pt>
                <c:pt idx="45">
                  <c:v>658.96875</c:v>
                </c:pt>
                <c:pt idx="46">
                  <c:v>673.61250000000007</c:v>
                </c:pt>
                <c:pt idx="47">
                  <c:v>688.2562499999998</c:v>
                </c:pt>
                <c:pt idx="48">
                  <c:v>702.9</c:v>
                </c:pt>
                <c:pt idx="49">
                  <c:v>717.54374999999993</c:v>
                </c:pt>
                <c:pt idx="50">
                  <c:v>732.1875</c:v>
                </c:pt>
                <c:pt idx="51">
                  <c:v>746.83124999999995</c:v>
                </c:pt>
                <c:pt idx="52">
                  <c:v>761.47500000000002</c:v>
                </c:pt>
                <c:pt idx="53">
                  <c:v>776.11875000000009</c:v>
                </c:pt>
                <c:pt idx="54">
                  <c:v>790.76250000000005</c:v>
                </c:pt>
                <c:pt idx="55">
                  <c:v>805.40625</c:v>
                </c:pt>
                <c:pt idx="56">
                  <c:v>820.05000000000018</c:v>
                </c:pt>
                <c:pt idx="57">
                  <c:v>834.6937499999998</c:v>
                </c:pt>
                <c:pt idx="58">
                  <c:v>849.33749999999998</c:v>
                </c:pt>
                <c:pt idx="59">
                  <c:v>863.98124999999993</c:v>
                </c:pt>
                <c:pt idx="60">
                  <c:v>878.62499999999989</c:v>
                </c:pt>
                <c:pt idx="61">
                  <c:v>893.26874999999995</c:v>
                </c:pt>
                <c:pt idx="62">
                  <c:v>907.91249999999991</c:v>
                </c:pt>
                <c:pt idx="63">
                  <c:v>922.55624999999998</c:v>
                </c:pt>
                <c:pt idx="64">
                  <c:v>937.19999999999993</c:v>
                </c:pt>
                <c:pt idx="65">
                  <c:v>951.84375</c:v>
                </c:pt>
                <c:pt idx="66">
                  <c:v>966.48749999999995</c:v>
                </c:pt>
                <c:pt idx="67">
                  <c:v>981.13125000000002</c:v>
                </c:pt>
                <c:pt idx="68">
                  <c:v>995.77500000000009</c:v>
                </c:pt>
                <c:pt idx="69">
                  <c:v>1010.4187499999999</c:v>
                </c:pt>
                <c:pt idx="70">
                  <c:v>1025.0625</c:v>
                </c:pt>
                <c:pt idx="71">
                  <c:v>1039.7062499999997</c:v>
                </c:pt>
                <c:pt idx="72">
                  <c:v>1054.3499999999999</c:v>
                </c:pt>
                <c:pt idx="73">
                  <c:v>1068.9937499999999</c:v>
                </c:pt>
                <c:pt idx="74">
                  <c:v>1083.6375</c:v>
                </c:pt>
                <c:pt idx="75">
                  <c:v>1098.28125</c:v>
                </c:pt>
                <c:pt idx="76">
                  <c:v>1112.925</c:v>
                </c:pt>
                <c:pt idx="77">
                  <c:v>1127.5687499999999</c:v>
                </c:pt>
                <c:pt idx="78">
                  <c:v>1142.2125000000001</c:v>
                </c:pt>
                <c:pt idx="79">
                  <c:v>1156.8562499999998</c:v>
                </c:pt>
                <c:pt idx="80">
                  <c:v>1171.5</c:v>
                </c:pt>
                <c:pt idx="81">
                  <c:v>1186.14375</c:v>
                </c:pt>
                <c:pt idx="82">
                  <c:v>1200.7874999999999</c:v>
                </c:pt>
                <c:pt idx="83">
                  <c:v>1215.4312499999999</c:v>
                </c:pt>
                <c:pt idx="84">
                  <c:v>1230.075</c:v>
                </c:pt>
                <c:pt idx="85">
                  <c:v>1244.7187499999998</c:v>
                </c:pt>
                <c:pt idx="86">
                  <c:v>1259.3625</c:v>
                </c:pt>
                <c:pt idx="87">
                  <c:v>1274.0062499999997</c:v>
                </c:pt>
                <c:pt idx="88">
                  <c:v>1288.6500000000001</c:v>
                </c:pt>
                <c:pt idx="89">
                  <c:v>1303.2937499999998</c:v>
                </c:pt>
                <c:pt idx="90">
                  <c:v>1317.9375</c:v>
                </c:pt>
                <c:pt idx="91">
                  <c:v>1332.58125</c:v>
                </c:pt>
                <c:pt idx="92">
                  <c:v>1347.2250000000001</c:v>
                </c:pt>
                <c:pt idx="93">
                  <c:v>1361.8687500000001</c:v>
                </c:pt>
                <c:pt idx="94">
                  <c:v>1376.5124999999996</c:v>
                </c:pt>
                <c:pt idx="95">
                  <c:v>1391.15625</c:v>
                </c:pt>
                <c:pt idx="96">
                  <c:v>1405.8</c:v>
                </c:pt>
                <c:pt idx="97">
                  <c:v>1420.4437499999997</c:v>
                </c:pt>
                <c:pt idx="98">
                  <c:v>1435.0874999999999</c:v>
                </c:pt>
                <c:pt idx="99">
                  <c:v>1449.7312499999998</c:v>
                </c:pt>
                <c:pt idx="100">
                  <c:v>1464.375</c:v>
                </c:pt>
              </c:numCache>
            </c:numRef>
          </c:val>
          <c:smooth val="0"/>
          <c:extLst>
            <c:ext xmlns:c16="http://schemas.microsoft.com/office/drawing/2014/chart" uri="{C3380CC4-5D6E-409C-BE32-E72D297353CC}">
              <c16:uniqueId val="{00000001-9FB2-40F7-8293-C6828AB4E751}"/>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73.09942527174789</c:v>
                </c:pt>
                <c:pt idx="1">
                  <c:v>73.064872909380028</c:v>
                </c:pt>
                <c:pt idx="2">
                  <c:v>101.50268938547849</c:v>
                </c:pt>
                <c:pt idx="3">
                  <c:v>152.33881913514665</c:v>
                </c:pt>
                <c:pt idx="4">
                  <c:v>203.23159822996965</c:v>
                </c:pt>
                <c:pt idx="5">
                  <c:v>254.18112141370668</c:v>
                </c:pt>
                <c:pt idx="6">
                  <c:v>305.18748364150878</c:v>
                </c:pt>
                <c:pt idx="7">
                  <c:v>356.25078008050781</c:v>
                </c:pt>
                <c:pt idx="8">
                  <c:v>407.3711061104089</c:v>
                </c:pt>
                <c:pt idx="9">
                  <c:v>458.54855732408419</c:v>
                </c:pt>
                <c:pt idx="10">
                  <c:v>509.78322952816887</c:v>
                </c:pt>
                <c:pt idx="11">
                  <c:v>561.07521874365864</c:v>
                </c:pt>
                <c:pt idx="12">
                  <c:v>612.42462120650964</c:v>
                </c:pt>
                <c:pt idx="13">
                  <c:v>663.83153336824068</c:v>
                </c:pt>
                <c:pt idx="14">
                  <c:v>715.29605189653671</c:v>
                </c:pt>
                <c:pt idx="15">
                  <c:v>766.81827367585458</c:v>
                </c:pt>
                <c:pt idx="16">
                  <c:v>818.39829580803246</c:v>
                </c:pt>
                <c:pt idx="17">
                  <c:v>870.03621561289776</c:v>
                </c:pt>
                <c:pt idx="18">
                  <c:v>921.73213062887999</c:v>
                </c:pt>
                <c:pt idx="19">
                  <c:v>973.48613861362674</c:v>
                </c:pt>
                <c:pt idx="20">
                  <c:v>1025.2983375446156</c:v>
                </c:pt>
                <c:pt idx="21">
                  <c:v>1077.1688256197779</c:v>
                </c:pt>
                <c:pt idx="22">
                  <c:v>1129.0977012581141</c:v>
                </c:pt>
                <c:pt idx="23">
                  <c:v>1181.0850631003193</c:v>
                </c:pt>
                <c:pt idx="24">
                  <c:v>1233.1310100094074</c:v>
                </c:pt>
                <c:pt idx="25">
                  <c:v>1285.2356410713369</c:v>
                </c:pt>
                <c:pt idx="26">
                  <c:v>1337.3990555956384</c:v>
                </c:pt>
                <c:pt idx="27">
                  <c:v>1389.6213531160502</c:v>
                </c:pt>
                <c:pt idx="28">
                  <c:v>1441.902633391147</c:v>
                </c:pt>
                <c:pt idx="29">
                  <c:v>1494.2429964049757</c:v>
                </c:pt>
                <c:pt idx="30">
                  <c:v>1546.6425423676958</c:v>
                </c:pt>
                <c:pt idx="31">
                  <c:v>1599.1013717162152</c:v>
                </c:pt>
                <c:pt idx="32">
                  <c:v>1651.6195851148329</c:v>
                </c:pt>
                <c:pt idx="33">
                  <c:v>1704.1972834558853</c:v>
                </c:pt>
                <c:pt idx="34">
                  <c:v>1756.8345678603896</c:v>
                </c:pt>
                <c:pt idx="35">
                  <c:v>1809.5315396786909</c:v>
                </c:pt>
                <c:pt idx="36">
                  <c:v>1862.2883004911189</c:v>
                </c:pt>
                <c:pt idx="37">
                  <c:v>1780.2949458889993</c:v>
                </c:pt>
                <c:pt idx="38">
                  <c:v>1788.426536818024</c:v>
                </c:pt>
                <c:pt idx="39">
                  <c:v>1796.7828531489686</c:v>
                </c:pt>
                <c:pt idx="40">
                  <c:v>1805.3663297166308</c:v>
                </c:pt>
                <c:pt idx="41">
                  <c:v>1814.1793763685002</c:v>
                </c:pt>
                <c:pt idx="42">
                  <c:v>1823.2243875261167</c:v>
                </c:pt>
                <c:pt idx="43">
                  <c:v>1832.5037506092769</c:v>
                </c:pt>
                <c:pt idx="44">
                  <c:v>1842.019853502157</c:v>
                </c:pt>
                <c:pt idx="45">
                  <c:v>1851.7750912101021</c:v>
                </c:pt>
                <c:pt idx="46">
                  <c:v>1861.7718718310489</c:v>
                </c:pt>
                <c:pt idx="47">
                  <c:v>1872.0126219455226</c:v>
                </c:pt>
                <c:pt idx="48">
                  <c:v>1882.4997915125875</c:v>
                </c:pt>
                <c:pt idx="49">
                  <c:v>1893.2358583456128</c:v>
                </c:pt>
                <c:pt idx="50">
                  <c:v>1904.2233322305217</c:v>
                </c:pt>
                <c:pt idx="51">
                  <c:v>1915.464758739889</c:v>
                </c:pt>
                <c:pt idx="52">
                  <c:v>1926.9627227885585</c:v>
                </c:pt>
                <c:pt idx="53">
                  <c:v>1938.7198519699923</c:v>
                </c:pt>
                <c:pt idx="54">
                  <c:v>1950.738819707185</c:v>
                </c:pt>
                <c:pt idx="55">
                  <c:v>1963.0223482474266</c:v>
                </c:pt>
                <c:pt idx="56">
                  <c:v>1975.5732115264038</c:v>
                </c:pt>
                <c:pt idx="57">
                  <c:v>1988.3942379238954</c:v>
                </c:pt>
                <c:pt idx="58">
                  <c:v>2001.4883129305954</c:v>
                </c:pt>
                <c:pt idx="59">
                  <c:v>2014.8583817432932</c:v>
                </c:pt>
                <c:pt idx="60">
                  <c:v>2028.5074518036649</c:v>
                </c:pt>
                <c:pt idx="61">
                  <c:v>2042.4385952942853</c:v>
                </c:pt>
                <c:pt idx="62">
                  <c:v>2056.6549516040104</c:v>
                </c:pt>
                <c:pt idx="63">
                  <c:v>2071.1597297737208</c:v>
                </c:pt>
                <c:pt idx="64">
                  <c:v>2085.9562109323329</c:v>
                </c:pt>
                <c:pt idx="65">
                  <c:v>2101.0477507321411</c:v>
                </c:pt>
                <c:pt idx="66">
                  <c:v>2116.4377817917975</c:v>
                </c:pt>
                <c:pt idx="67">
                  <c:v>2132.1298161546074</c:v>
                </c:pt>
                <c:pt idx="68">
                  <c:v>2148.127447769245</c:v>
                </c:pt>
                <c:pt idx="69">
                  <c:v>2164.4343549996161</c:v>
                </c:pt>
                <c:pt idx="70">
                  <c:v>2181.0543031701327</c:v>
                </c:pt>
                <c:pt idx="71">
                  <c:v>2197.9911471524019</c:v>
                </c:pt>
                <c:pt idx="72">
                  <c:v>2215.2488339990696</c:v>
                </c:pt>
                <c:pt idx="73">
                  <c:v>2232.831405630322</c:v>
                </c:pt>
                <c:pt idx="74">
                  <c:v>2250.7430015784239</c:v>
                </c:pt>
                <c:pt idx="75">
                  <c:v>2268.9878617955114</c:v>
                </c:pt>
                <c:pt idx="76">
                  <c:v>2287.5703295298035</c:v>
                </c:pt>
                <c:pt idx="77">
                  <c:v>2306.4948542753168</c:v>
                </c:pt>
                <c:pt idx="78">
                  <c:v>2325.7659948001392</c:v>
                </c:pt>
                <c:pt idx="79">
                  <c:v>2345.3884222583561</c:v>
                </c:pt>
                <c:pt idx="80">
                  <c:v>2365.3669233906903</c:v>
                </c:pt>
                <c:pt idx="81">
                  <c:v>2385.7064038190301</c:v>
                </c:pt>
                <c:pt idx="82">
                  <c:v>2406.4118914400269</c:v>
                </c:pt>
                <c:pt idx="83">
                  <c:v>2427.4885399231107</c:v>
                </c:pt>
                <c:pt idx="84">
                  <c:v>2448.9416323182922</c:v>
                </c:pt>
                <c:pt idx="85">
                  <c:v>2470.7765847793694</c:v>
                </c:pt>
                <c:pt idx="86">
                  <c:v>2492.998950408185</c:v>
                </c:pt>
                <c:pt idx="87">
                  <c:v>2515.6144232258553</c:v>
                </c:pt>
                <c:pt idx="88">
                  <c:v>2538.6288422770117</c:v>
                </c:pt>
                <c:pt idx="89">
                  <c:v>2562.0481958733603</c:v>
                </c:pt>
                <c:pt idx="90">
                  <c:v>2585.8786259830267</c:v>
                </c:pt>
                <c:pt idx="91">
                  <c:v>2610.1264327724748</c:v>
                </c:pt>
                <c:pt idx="92">
                  <c:v>2634.7980793080123</c:v>
                </c:pt>
                <c:pt idx="93">
                  <c:v>2659.9001964241602</c:v>
                </c:pt>
                <c:pt idx="94">
                  <c:v>2685.4395877665484</c:v>
                </c:pt>
                <c:pt idx="95">
                  <c:v>2711.423235017262</c:v>
                </c:pt>
                <c:pt idx="96">
                  <c:v>2737.8583033109212</c:v>
                </c:pt>
                <c:pt idx="97">
                  <c:v>2764.7521468502059</c:v>
                </c:pt>
                <c:pt idx="98">
                  <c:v>2792.1123147298695</c:v>
                </c:pt>
                <c:pt idx="99">
                  <c:v>2819.9465569787694</c:v>
                </c:pt>
                <c:pt idx="100">
                  <c:v>2848.2628308298526</c:v>
                </c:pt>
              </c:numCache>
            </c:numRef>
          </c:val>
          <c:smooth val="0"/>
          <c:extLst>
            <c:ext xmlns:c16="http://schemas.microsoft.com/office/drawing/2014/chart" uri="{C3380CC4-5D6E-409C-BE32-E72D297353CC}">
              <c16:uniqueId val="{00000002-9FB2-40F7-8293-C6828AB4E751}"/>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49.7954494244497</c:v>
                </c:pt>
                <c:pt idx="1">
                  <c:v>49.798889570565379</c:v>
                </c:pt>
                <c:pt idx="2">
                  <c:v>64.076753879549912</c:v>
                </c:pt>
                <c:pt idx="3">
                  <c:v>107.24578453997132</c:v>
                </c:pt>
                <c:pt idx="4">
                  <c:v>177.2184176320805</c:v>
                </c:pt>
                <c:pt idx="5">
                  <c:v>278.17727704172052</c:v>
                </c:pt>
                <c:pt idx="6">
                  <c:v>413.80071894557483</c:v>
                </c:pt>
                <c:pt idx="7">
                  <c:v>587.41196110392048</c:v>
                </c:pt>
                <c:pt idx="8">
                  <c:v>802.06635150416128</c:v>
                </c:pt>
                <c:pt idx="9">
                  <c:v>1060.6077712206968</c:v>
                </c:pt>
                <c:pt idx="10">
                  <c:v>1365.7076200432009</c:v>
                </c:pt>
                <c:pt idx="11">
                  <c:v>1719.8931097953614</c:v>
                </c:pt>
                <c:pt idx="12">
                  <c:v>2125.5685749932891</c:v>
                </c:pt>
                <c:pt idx="13">
                  <c:v>2585.0320014576114</c:v>
                </c:pt>
                <c:pt idx="14">
                  <c:v>3100.4881538861569</c:v>
                </c:pt>
                <c:pt idx="15">
                  <c:v>3674.0592089385113</c:v>
                </c:pt>
                <c:pt idx="16">
                  <c:v>4307.7935112881232</c:v>
                </c:pt>
                <c:pt idx="17">
                  <c:v>5003.6728863539711</c:v>
                </c:pt>
                <c:pt idx="18">
                  <c:v>5763.6188224328271</c:v>
                </c:pt>
                <c:pt idx="19">
                  <c:v>6589.4977528434429</c:v>
                </c:pt>
                <c:pt idx="20">
                  <c:v>7483.1256115026354</c:v>
                </c:pt>
                <c:pt idx="21">
                  <c:v>8446.2717946038538</c:v>
                </c:pt>
                <c:pt idx="22">
                  <c:v>9480.662631449175</c:v>
                </c:pt>
                <c:pt idx="23">
                  <c:v>10587.984445570415</c:v>
                </c:pt>
                <c:pt idx="24">
                  <c:v>11769.886270802093</c:v>
                </c:pt>
                <c:pt idx="25">
                  <c:v>13027.982274409487</c:v>
                </c:pt>
                <c:pt idx="26">
                  <c:v>14363.853929673955</c:v>
                </c:pt>
                <c:pt idx="27">
                  <c:v>15779.05197275882</c:v>
                </c:pt>
                <c:pt idx="28">
                  <c:v>17275.098172691196</c:v>
                </c:pt>
                <c:pt idx="29">
                  <c:v>18853.486938522332</c:v>
                </c:pt>
                <c:pt idx="30">
                  <c:v>20515.686783884972</c:v>
                </c:pt>
                <c:pt idx="31">
                  <c:v>22263.141666048923</c:v>
                </c:pt>
                <c:pt idx="32">
                  <c:v>24097.272214027147</c:v>
                </c:pt>
                <c:pt idx="33">
                  <c:v>26019.476858183669</c:v>
                </c:pt>
                <c:pt idx="34">
                  <c:v>28031.13287205388</c:v>
                </c:pt>
                <c:pt idx="35">
                  <c:v>30133.597335636008</c:v>
                </c:pt>
                <c:pt idx="36">
                  <c:v>32328.20802819436</c:v>
                </c:pt>
                <c:pt idx="37">
                  <c:v>28907.747896780533</c:v>
                </c:pt>
                <c:pt idx="38">
                  <c:v>29010.18645977668</c:v>
                </c:pt>
                <c:pt idx="39">
                  <c:v>29108.703181017238</c:v>
                </c:pt>
                <c:pt idx="40">
                  <c:v>29203.591528050205</c:v>
                </c:pt>
                <c:pt idx="41">
                  <c:v>29295.118610969388</c:v>
                </c:pt>
                <c:pt idx="42">
                  <c:v>29383.52808113991</c:v>
                </c:pt>
                <c:pt idx="43">
                  <c:v>29469.042656193989</c:v>
                </c:pt>
                <c:pt idx="44">
                  <c:v>29551.866326269312</c:v>
                </c:pt>
                <c:pt idx="45">
                  <c:v>29632.186287426135</c:v>
                </c:pt>
                <c:pt idx="46">
                  <c:v>29710.17464077023</c:v>
                </c:pt>
                <c:pt idx="47">
                  <c:v>29785.989889722317</c:v>
                </c:pt>
                <c:pt idx="48">
                  <c:v>29859.778262844626</c:v>
                </c:pt>
                <c:pt idx="49">
                  <c:v>29931.67488546552</c:v>
                </c:pt>
                <c:pt idx="50">
                  <c:v>30001.804819874509</c:v>
                </c:pt>
                <c:pt idx="51">
                  <c:v>30070.283990960681</c:v>
                </c:pt>
                <c:pt idx="52">
                  <c:v>30137.220011738689</c:v>
                </c:pt>
                <c:pt idx="53">
                  <c:v>30202.712921164159</c:v>
                </c:pt>
                <c:pt idx="54">
                  <c:v>30266.855844914557</c:v>
                </c:pt>
                <c:pt idx="55">
                  <c:v>30329.73558835543</c:v>
                </c:pt>
                <c:pt idx="56">
                  <c:v>30391.433169669948</c:v>
                </c:pt>
                <c:pt idx="57">
                  <c:v>30452.024300077312</c:v>
                </c:pt>
                <c:pt idx="58">
                  <c:v>30511.579817165806</c:v>
                </c:pt>
                <c:pt idx="59">
                  <c:v>30570.166076591489</c:v>
                </c:pt>
                <c:pt idx="60">
                  <c:v>30627.84530673657</c:v>
                </c:pt>
                <c:pt idx="61">
                  <c:v>30684.675930347861</c:v>
                </c:pt>
                <c:pt idx="62">
                  <c:v>30740.712856689021</c:v>
                </c:pt>
                <c:pt idx="63">
                  <c:v>30796.007747309573</c:v>
                </c:pt>
                <c:pt idx="64">
                  <c:v>30850.609258171</c:v>
                </c:pt>
                <c:pt idx="65">
                  <c:v>30904.563260546965</c:v>
                </c:pt>
                <c:pt idx="66">
                  <c:v>30957.913042838256</c:v>
                </c:pt>
                <c:pt idx="67">
                  <c:v>31010.699495198198</c:v>
                </c:pt>
                <c:pt idx="68">
                  <c:v>31062.961278654057</c:v>
                </c:pt>
                <c:pt idx="69">
                  <c:v>31114.734980222263</c:v>
                </c:pt>
                <c:pt idx="70">
                  <c:v>31166.055255353443</c:v>
                </c:pt>
                <c:pt idx="71">
                  <c:v>31216.954958898146</c:v>
                </c:pt>
                <c:pt idx="72">
                  <c:v>31267.465265660125</c:v>
                </c:pt>
                <c:pt idx="73">
                  <c:v>31317.615781490222</c:v>
                </c:pt>
                <c:pt idx="74">
                  <c:v>31367.434645776135</c:v>
                </c:pt>
                <c:pt idx="75">
                  <c:v>31416.948626098238</c:v>
                </c:pt>
                <c:pt idx="76">
                  <c:v>31466.183205738649</c:v>
                </c:pt>
                <c:pt idx="77">
                  <c:v>31515.162664669711</c:v>
                </c:pt>
                <c:pt idx="78">
                  <c:v>31563.910154580328</c:v>
                </c:pt>
                <c:pt idx="79">
                  <c:v>31612.447768447939</c:v>
                </c:pt>
                <c:pt idx="80">
                  <c:v>31660.796605112686</c:v>
                </c:pt>
                <c:pt idx="81">
                  <c:v>31708.976829271207</c:v>
                </c:pt>
                <c:pt idx="82">
                  <c:v>31757.007727262411</c:v>
                </c:pt>
                <c:pt idx="83">
                  <c:v>31804.907758988746</c:v>
                </c:pt>
                <c:pt idx="84">
                  <c:v>31852.694606281933</c:v>
                </c:pt>
                <c:pt idx="85">
                  <c:v>31900.385217994455</c:v>
                </c:pt>
                <c:pt idx="86">
                  <c:v>31947.995852074313</c:v>
                </c:pt>
                <c:pt idx="87">
                  <c:v>31995.542114856216</c:v>
                </c:pt>
                <c:pt idx="88">
                  <c:v>32043.038997782409</c:v>
                </c:pt>
                <c:pt idx="89">
                  <c:v>32090.500911749714</c:v>
                </c:pt>
                <c:pt idx="90">
                  <c:v>32137.941719257724</c:v>
                </c:pt>
                <c:pt idx="91">
                  <c:v>32185.374764525663</c:v>
                </c:pt>
                <c:pt idx="92">
                  <c:v>32232.812901722908</c:v>
                </c:pt>
                <c:pt idx="93">
                  <c:v>32280.26852145384</c:v>
                </c:pt>
                <c:pt idx="94">
                  <c:v>32327.753575620383</c:v>
                </c:pt>
                <c:pt idx="95">
                  <c:v>32375.279600779373</c:v>
                </c:pt>
                <c:pt idx="96">
                  <c:v>32422.857740099793</c:v>
                </c:pt>
                <c:pt idx="97">
                  <c:v>32470.498764019034</c:v>
                </c:pt>
                <c:pt idx="98">
                  <c:v>32518.213089686335</c:v>
                </c:pt>
                <c:pt idx="99">
                  <c:v>32566.010799278978</c:v>
                </c:pt>
                <c:pt idx="100">
                  <c:v>32613.901657265935</c:v>
                </c:pt>
              </c:numCache>
            </c:numRef>
          </c:val>
          <c:smooth val="0"/>
          <c:extLst>
            <c:ext xmlns:c16="http://schemas.microsoft.com/office/drawing/2014/chart" uri="{C3380CC4-5D6E-409C-BE32-E72D297353CC}">
              <c16:uniqueId val="{00000003-9FB2-40F7-8293-C6828AB4E751}"/>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c:v>
                </c:pt>
                <c:pt idx="2">
                  <c:v>20.833691001432225</c:v>
                </c:pt>
                <c:pt idx="3">
                  <c:v>20.833691001432225</c:v>
                </c:pt>
                <c:pt idx="4">
                  <c:v>27.778254668576302</c:v>
                </c:pt>
                <c:pt idx="5">
                  <c:v>34.722818335720376</c:v>
                </c:pt>
                <c:pt idx="6">
                  <c:v>41.66738200286445</c:v>
                </c:pt>
                <c:pt idx="7">
                  <c:v>48.611945670008538</c:v>
                </c:pt>
                <c:pt idx="8">
                  <c:v>55.556509337152605</c:v>
                </c:pt>
                <c:pt idx="9">
                  <c:v>62.501073004296671</c:v>
                </c:pt>
                <c:pt idx="10">
                  <c:v>69.445636671440752</c:v>
                </c:pt>
                <c:pt idx="11">
                  <c:v>76.390200338584819</c:v>
                </c:pt>
                <c:pt idx="12">
                  <c:v>83.3347640057289</c:v>
                </c:pt>
                <c:pt idx="13">
                  <c:v>90.279327672872981</c:v>
                </c:pt>
                <c:pt idx="14">
                  <c:v>97.223891340017076</c:v>
                </c:pt>
                <c:pt idx="15">
                  <c:v>104.16845500716113</c:v>
                </c:pt>
                <c:pt idx="16">
                  <c:v>111.11301867430521</c:v>
                </c:pt>
                <c:pt idx="17">
                  <c:v>118.0575823414493</c:v>
                </c:pt>
                <c:pt idx="18">
                  <c:v>125.00214600859334</c:v>
                </c:pt>
                <c:pt idx="19">
                  <c:v>131.94670967573745</c:v>
                </c:pt>
                <c:pt idx="20">
                  <c:v>138.8912733428815</c:v>
                </c:pt>
                <c:pt idx="21">
                  <c:v>145.83583701002559</c:v>
                </c:pt>
                <c:pt idx="22">
                  <c:v>152.78040067716964</c:v>
                </c:pt>
                <c:pt idx="23">
                  <c:v>159.72496434431372</c:v>
                </c:pt>
                <c:pt idx="24">
                  <c:v>166.6695280114578</c:v>
                </c:pt>
                <c:pt idx="25">
                  <c:v>173.61409167860191</c:v>
                </c:pt>
                <c:pt idx="26">
                  <c:v>180.55865534574596</c:v>
                </c:pt>
                <c:pt idx="27">
                  <c:v>187.50321901289004</c:v>
                </c:pt>
                <c:pt idx="28">
                  <c:v>194.44778268003415</c:v>
                </c:pt>
                <c:pt idx="29">
                  <c:v>201.39234634717818</c:v>
                </c:pt>
                <c:pt idx="30">
                  <c:v>208.33691001432226</c:v>
                </c:pt>
                <c:pt idx="31">
                  <c:v>215.28147368146637</c:v>
                </c:pt>
                <c:pt idx="32">
                  <c:v>212.28432427268808</c:v>
                </c:pt>
                <c:pt idx="33">
                  <c:v>206.10691267739978</c:v>
                </c:pt>
                <c:pt idx="34">
                  <c:v>200.27828892639309</c:v>
                </c:pt>
                <c:pt idx="35">
                  <c:v>194.76972346628364</c:v>
                </c:pt>
                <c:pt idx="36">
                  <c:v>189.55555768608298</c:v>
                </c:pt>
                <c:pt idx="37">
                  <c:v>184.61280427508262</c:v>
                </c:pt>
                <c:pt idx="38">
                  <c:v>179.92080840728147</c:v>
                </c:pt>
                <c:pt idx="39">
                  <c:v>175.46095921862383</c:v>
                </c:pt>
                <c:pt idx="40">
                  <c:v>171.21644307777169</c:v>
                </c:pt>
                <c:pt idx="41">
                  <c:v>167.17203175397916</c:v>
                </c:pt>
                <c:pt idx="42">
                  <c:v>163.31389985624571</c:v>
                </c:pt>
                <c:pt idx="43">
                  <c:v>159.62946693110447</c:v>
                </c:pt>
                <c:pt idx="44">
                  <c:v>156.10726041882467</c:v>
                </c:pt>
                <c:pt idx="45">
                  <c:v>152.73679632271865</c:v>
                </c:pt>
                <c:pt idx="46">
                  <c:v>149.50847497686107</c:v>
                </c:pt>
                <c:pt idx="47">
                  <c:v>146.41348972952002</c:v>
                </c:pt>
                <c:pt idx="48">
                  <c:v>143.4437467129209</c:v>
                </c:pt>
                <c:pt idx="49">
                  <c:v>140.59179416022235</c:v>
                </c:pt>
                <c:pt idx="50">
                  <c:v>137.85075997003366</c:v>
                </c:pt>
                <c:pt idx="51">
                  <c:v>135.21429641714798</c:v>
                </c:pt>
                <c:pt idx="52">
                  <c:v>132.67653107309295</c:v>
                </c:pt>
                <c:pt idx="53">
                  <c:v>130.23202313775113</c:v>
                </c:pt>
                <c:pt idx="54">
                  <c:v>127.87572449860293</c:v>
                </c:pt>
                <c:pt idx="55">
                  <c:v>125.60294493104954</c:v>
                </c:pt>
                <c:pt idx="56">
                  <c:v>123.40932093499265</c:v>
                </c:pt>
                <c:pt idx="57">
                  <c:v>121.2907877719764</c:v>
                </c:pt>
                <c:pt idx="58">
                  <c:v>119.24355432585403</c:v>
                </c:pt>
                <c:pt idx="59">
                  <c:v>117.26408045986594</c:v>
                </c:pt>
                <c:pt idx="60">
                  <c:v>115.34905658561809</c:v>
                </c:pt>
                <c:pt idx="61">
                  <c:v>113.49538519591633</c:v>
                </c:pt>
                <c:pt idx="62">
                  <c:v>111.7001641446991</c:v>
                </c:pt>
                <c:pt idx="63">
                  <c:v>109.96067148422864</c:v>
                </c:pt>
                <c:pt idx="64">
                  <c:v>108.27435169291559</c:v>
                </c:pt>
                <c:pt idx="65">
                  <c:v>106.63880314722137</c:v>
                </c:pt>
                <c:pt idx="66">
                  <c:v>105.05176670847116</c:v>
                </c:pt>
                <c:pt idx="67">
                  <c:v>103.51111531051389</c:v>
                </c:pt>
                <c:pt idx="68">
                  <c:v>102.01484444731101</c:v>
                </c:pt>
                <c:pt idx="69">
                  <c:v>100.5610634709973</c:v>
                </c:pt>
                <c:pt idx="70">
                  <c:v>99.147987620981993</c:v>
                </c:pt>
                <c:pt idx="71">
                  <c:v>97.773930713427262</c:v>
                </c:pt>
                <c:pt idx="72">
                  <c:v>96.437298428145724</c:v>
                </c:pt>
                <c:pt idx="73">
                  <c:v>95.136582136723064</c:v>
                </c:pt>
                <c:pt idx="74">
                  <c:v>93.870353221633238</c:v>
                </c:pt>
                <c:pt idx="75">
                  <c:v>92.637257841374051</c:v>
                </c:pt>
                <c:pt idx="76">
                  <c:v>91.436012101293926</c:v>
                </c:pt>
                <c:pt idx="77">
                  <c:v>90.265397593899635</c:v>
                </c:pt>
                <c:pt idx="78">
                  <c:v>89.124257276078282</c:v>
                </c:pt>
                <c:pt idx="79">
                  <c:v>88.011491653908266</c:v>
                </c:pt>
                <c:pt idx="80">
                  <c:v>86.926055248615256</c:v>
                </c:pt>
                <c:pt idx="81">
                  <c:v>85.866953319795243</c:v>
                </c:pt>
                <c:pt idx="82">
                  <c:v>84.833238824317348</c:v>
                </c:pt>
                <c:pt idx="83">
                  <c:v>83.824009591364032</c:v>
                </c:pt>
                <c:pt idx="84">
                  <c:v>82.838405695897137</c:v>
                </c:pt>
                <c:pt idx="85">
                  <c:v>81.875607014477353</c:v>
                </c:pt>
                <c:pt idx="86">
                  <c:v>80.934830948836179</c:v>
                </c:pt>
                <c:pt idx="87">
                  <c:v>80.015330303919043</c:v>
                </c:pt>
                <c:pt idx="88">
                  <c:v>79.116391308308366</c:v>
                </c:pt>
                <c:pt idx="89">
                  <c:v>78.237331766003564</c:v>
                </c:pt>
                <c:pt idx="90">
                  <c:v>77.377499329500409</c:v>
                </c:pt>
                <c:pt idx="91">
                  <c:v>76.536269884982403</c:v>
                </c:pt>
                <c:pt idx="92">
                  <c:v>75.713046041223478</c:v>
                </c:pt>
                <c:pt idx="93">
                  <c:v>74.907255714513909</c:v>
                </c:pt>
                <c:pt idx="94">
                  <c:v>74.118350802564521</c:v>
                </c:pt>
                <c:pt idx="95">
                  <c:v>73.345805940930006</c:v>
                </c:pt>
                <c:pt idx="96">
                  <c:v>72.589117336021971</c:v>
                </c:pt>
                <c:pt idx="97">
                  <c:v>71.847801669264413</c:v>
                </c:pt>
                <c:pt idx="98">
                  <c:v>71.121395067382608</c:v>
                </c:pt>
                <c:pt idx="99">
                  <c:v>70.409452134215726</c:v>
                </c:pt>
                <c:pt idx="100">
                  <c:v>69.711545039806637</c:v>
                </c:pt>
              </c:numCache>
            </c:numRef>
          </c:val>
          <c:smooth val="0"/>
          <c:extLst>
            <c:ext xmlns:c16="http://schemas.microsoft.com/office/drawing/2014/chart" uri="{C3380CC4-5D6E-409C-BE32-E72D297353CC}">
              <c16:uniqueId val="{00000000-8D54-466C-9E56-3B54C69CECB8}"/>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c:v>
                </c:pt>
                <c:pt idx="2">
                  <c:v>13.889127334288151</c:v>
                </c:pt>
                <c:pt idx="3">
                  <c:v>20.833691001432225</c:v>
                </c:pt>
                <c:pt idx="4">
                  <c:v>27.778254668576302</c:v>
                </c:pt>
                <c:pt idx="5">
                  <c:v>34.722818335720376</c:v>
                </c:pt>
                <c:pt idx="6">
                  <c:v>41.66738200286445</c:v>
                </c:pt>
                <c:pt idx="7">
                  <c:v>48.611945670008538</c:v>
                </c:pt>
                <c:pt idx="8">
                  <c:v>55.556509337152605</c:v>
                </c:pt>
                <c:pt idx="9">
                  <c:v>62.501073004296671</c:v>
                </c:pt>
                <c:pt idx="10">
                  <c:v>69.445636671440752</c:v>
                </c:pt>
                <c:pt idx="11">
                  <c:v>76.390200338584819</c:v>
                </c:pt>
                <c:pt idx="12">
                  <c:v>83.3347640057289</c:v>
                </c:pt>
                <c:pt idx="13">
                  <c:v>90.279327672872981</c:v>
                </c:pt>
                <c:pt idx="14">
                  <c:v>97.223891340017076</c:v>
                </c:pt>
                <c:pt idx="15">
                  <c:v>104.16845500716113</c:v>
                </c:pt>
                <c:pt idx="16">
                  <c:v>111.11301867430521</c:v>
                </c:pt>
                <c:pt idx="17">
                  <c:v>118.0575823414493</c:v>
                </c:pt>
                <c:pt idx="18">
                  <c:v>125.00214600859334</c:v>
                </c:pt>
                <c:pt idx="19">
                  <c:v>131.94670967573745</c:v>
                </c:pt>
                <c:pt idx="20">
                  <c:v>138.8912733428815</c:v>
                </c:pt>
                <c:pt idx="21">
                  <c:v>145.83583701002559</c:v>
                </c:pt>
                <c:pt idx="22">
                  <c:v>152.78040067716964</c:v>
                </c:pt>
                <c:pt idx="23">
                  <c:v>159.72496434431372</c:v>
                </c:pt>
                <c:pt idx="24">
                  <c:v>166.6695280114578</c:v>
                </c:pt>
                <c:pt idx="25">
                  <c:v>173.61409167860191</c:v>
                </c:pt>
                <c:pt idx="26">
                  <c:v>180.55865534574596</c:v>
                </c:pt>
                <c:pt idx="27">
                  <c:v>187.50321901289004</c:v>
                </c:pt>
                <c:pt idx="28">
                  <c:v>194.44778268003415</c:v>
                </c:pt>
                <c:pt idx="29">
                  <c:v>201.39234634717818</c:v>
                </c:pt>
                <c:pt idx="30">
                  <c:v>208.33691001432226</c:v>
                </c:pt>
                <c:pt idx="31">
                  <c:v>215.28147368146637</c:v>
                </c:pt>
                <c:pt idx="32">
                  <c:v>222.22603734861042</c:v>
                </c:pt>
                <c:pt idx="33">
                  <c:v>229.1706010157545</c:v>
                </c:pt>
                <c:pt idx="34">
                  <c:v>236.11516468289861</c:v>
                </c:pt>
                <c:pt idx="35">
                  <c:v>243.0597283500426</c:v>
                </c:pt>
                <c:pt idx="36">
                  <c:v>250.00429201718669</c:v>
                </c:pt>
                <c:pt idx="37">
                  <c:v>237.55972718735387</c:v>
                </c:pt>
                <c:pt idx="38">
                  <c:v>231.60015096318938</c:v>
                </c:pt>
                <c:pt idx="39">
                  <c:v>225.93238417529975</c:v>
                </c:pt>
                <c:pt idx="40">
                  <c:v>220.53550598709793</c:v>
                </c:pt>
                <c:pt idx="41">
                  <c:v>215.3905487356939</c:v>
                </c:pt>
                <c:pt idx="42">
                  <c:v>210.48027519470898</c:v>
                </c:pt>
                <c:pt idx="43">
                  <c:v>205.78898563815912</c:v>
                </c:pt>
                <c:pt idx="44">
                  <c:v>201.30235015510937</c:v>
                </c:pt>
                <c:pt idx="45">
                  <c:v>197.0072624418882</c:v>
                </c:pt>
                <c:pt idx="46">
                  <c:v>192.8917119295561</c:v>
                </c:pt>
                <c:pt idx="47">
                  <c:v>188.94467161898564</c:v>
                </c:pt>
                <c:pt idx="48">
                  <c:v>185.1559994176398</c:v>
                </c:pt>
                <c:pt idx="49">
                  <c:v>181.51635111921755</c:v>
                </c:pt>
                <c:pt idx="50">
                  <c:v>178.01710345416637</c:v>
                </c:pt>
                <c:pt idx="51">
                  <c:v>174.65028587704097</c:v>
                </c:pt>
                <c:pt idx="52">
                  <c:v>171.40851995488921</c:v>
                </c:pt>
                <c:pt idx="53">
                  <c:v>168.28496538652499</c:v>
                </c:pt>
                <c:pt idx="54">
                  <c:v>165.27327182152305</c:v>
                </c:pt>
                <c:pt idx="55">
                  <c:v>162.36753576474561</c:v>
                </c:pt>
                <c:pt idx="56">
                  <c:v>159.56226195098171</c:v>
                </c:pt>
                <c:pt idx="57">
                  <c:v>156.85232865794958</c:v>
                </c:pt>
                <c:pt idx="58">
                  <c:v>154.23295649699344</c:v>
                </c:pt>
                <c:pt idx="59">
                  <c:v>151.69968028137856</c:v>
                </c:pt>
                <c:pt idx="60">
                  <c:v>149.24832362384043</c:v>
                </c:pt>
                <c:pt idx="61">
                  <c:v>146.87497595938945</c:v>
                </c:pt>
                <c:pt idx="62">
                  <c:v>144.57597172746438</c:v>
                </c:pt>
                <c:pt idx="63">
                  <c:v>142.34787148033178</c:v>
                </c:pt>
                <c:pt idx="64">
                  <c:v>140.18744471295213</c:v>
                </c:pt>
                <c:pt idx="65">
                  <c:v>138.09165423403914</c:v>
                </c:pt>
                <c:pt idx="66">
                  <c:v>136.05764191929816</c:v>
                </c:pt>
                <c:pt idx="67">
                  <c:v>134.08271570630646</c:v>
                </c:pt>
                <c:pt idx="68">
                  <c:v>132.16433770659413</c:v>
                </c:pt>
                <c:pt idx="69">
                  <c:v>130.30011332453935</c:v>
                </c:pt>
                <c:pt idx="70">
                  <c:v>128.48778128498083</c:v>
                </c:pt>
                <c:pt idx="71">
                  <c:v>126.72520448222465</c:v>
                </c:pt>
                <c:pt idx="72">
                  <c:v>125.01036157258297</c:v>
                </c:pt>
                <c:pt idx="73">
                  <c:v>123.34133924090466</c:v>
                </c:pt>
                <c:pt idx="74">
                  <c:v>121.71632507889161</c:v>
                </c:pt>
                <c:pt idx="75">
                  <c:v>120.13360101947298</c:v>
                </c:pt>
                <c:pt idx="76">
                  <c:v>118.59153727723347</c:v>
                </c:pt>
                <c:pt idx="77">
                  <c:v>117.0885867499691</c:v>
                </c:pt>
                <c:pt idx="78">
                  <c:v>115.62327984094196</c:v>
                </c:pt>
                <c:pt idx="79">
                  <c:v>114.19421966540757</c:v>
                </c:pt>
                <c:pt idx="80">
                  <c:v>112.80007760855031</c:v>
                </c:pt>
                <c:pt idx="81">
                  <c:v>111.43958920513199</c:v>
                </c:pt>
                <c:pt idx="82">
                  <c:v>110.11155031399747</c:v>
                </c:pt>
                <c:pt idx="83">
                  <c:v>108.8148135631079</c:v>
                </c:pt>
                <c:pt idx="84">
                  <c:v>107.54828504304437</c:v>
                </c:pt>
                <c:pt idx="85">
                  <c:v>106.31092122895225</c:v>
                </c:pt>
                <c:pt idx="86">
                  <c:v>105.10172611272458</c:v>
                </c:pt>
                <c:pt idx="87">
                  <c:v>103.91974852885863</c:v>
                </c:pt>
                <c:pt idx="88">
                  <c:v>102.76407965889683</c:v>
                </c:pt>
                <c:pt idx="89">
                  <c:v>101.63385070069127</c:v>
                </c:pt>
                <c:pt idx="90">
                  <c:v>100.52823068992902</c:v>
                </c:pt>
                <c:pt idx="91">
                  <c:v>99.44642446243995</c:v>
                </c:pt>
                <c:pt idx="92">
                  <c:v>98.387670746784281</c:v>
                </c:pt>
                <c:pt idx="93">
                  <c:v>97.351240377506087</c:v>
                </c:pt>
                <c:pt idx="94">
                  <c:v>96.33643462023872</c:v>
                </c:pt>
                <c:pt idx="95">
                  <c:v>95.342583600578479</c:v>
                </c:pt>
                <c:pt idx="96">
                  <c:v>94.369044829301842</c:v>
                </c:pt>
                <c:pt idx="97">
                  <c:v>93.415201817104048</c:v>
                </c:pt>
                <c:pt idx="98">
                  <c:v>92.480462772582598</c:v>
                </c:pt>
                <c:pt idx="99">
                  <c:v>91.564259377686852</c:v>
                </c:pt>
                <c:pt idx="100">
                  <c:v>90.66604563531078</c:v>
                </c:pt>
              </c:numCache>
            </c:numRef>
          </c:val>
          <c:smooth val="0"/>
          <c:extLst>
            <c:ext xmlns:c16="http://schemas.microsoft.com/office/drawing/2014/chart" uri="{C3380CC4-5D6E-409C-BE32-E72D297353CC}">
              <c16:uniqueId val="{00000001-8D54-466C-9E56-3B54C69CECB8}"/>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c:v>
                </c:pt>
                <c:pt idx="2">
                  <c:v>13.88790822716947</c:v>
                </c:pt>
                <c:pt idx="3">
                  <c:v>20.831862340754203</c:v>
                </c:pt>
                <c:pt idx="4">
                  <c:v>27.775816454338941</c:v>
                </c:pt>
                <c:pt idx="5">
                  <c:v>34.719770567923675</c:v>
                </c:pt>
                <c:pt idx="6">
                  <c:v>41.663724681508405</c:v>
                </c:pt>
                <c:pt idx="7">
                  <c:v>48.607678795093143</c:v>
                </c:pt>
                <c:pt idx="8">
                  <c:v>55.551632908677881</c:v>
                </c:pt>
                <c:pt idx="9">
                  <c:v>62.495587022262612</c:v>
                </c:pt>
                <c:pt idx="10">
                  <c:v>69.43954113584735</c:v>
                </c:pt>
                <c:pt idx="11">
                  <c:v>76.383495249432102</c:v>
                </c:pt>
                <c:pt idx="12">
                  <c:v>83.327449363016811</c:v>
                </c:pt>
                <c:pt idx="13">
                  <c:v>90.271403476601549</c:v>
                </c:pt>
                <c:pt idx="14">
                  <c:v>97.215357590186287</c:v>
                </c:pt>
                <c:pt idx="15">
                  <c:v>104.15931170377101</c:v>
                </c:pt>
                <c:pt idx="16">
                  <c:v>111.10326581735576</c:v>
                </c:pt>
                <c:pt idx="17">
                  <c:v>118.0472199309405</c:v>
                </c:pt>
                <c:pt idx="18">
                  <c:v>124.99117404452522</c:v>
                </c:pt>
                <c:pt idx="19">
                  <c:v>131.93512815810996</c:v>
                </c:pt>
                <c:pt idx="20">
                  <c:v>138.8790822716947</c:v>
                </c:pt>
                <c:pt idx="21">
                  <c:v>145.82303638527941</c:v>
                </c:pt>
                <c:pt idx="22">
                  <c:v>152.7669904988642</c:v>
                </c:pt>
                <c:pt idx="23">
                  <c:v>159.71094461244891</c:v>
                </c:pt>
                <c:pt idx="24">
                  <c:v>166.65489872603362</c:v>
                </c:pt>
                <c:pt idx="25">
                  <c:v>173.59885283961839</c:v>
                </c:pt>
                <c:pt idx="26">
                  <c:v>180.5428069532031</c:v>
                </c:pt>
                <c:pt idx="27">
                  <c:v>187.48676106678786</c:v>
                </c:pt>
                <c:pt idx="28">
                  <c:v>194.43071518037257</c:v>
                </c:pt>
                <c:pt idx="29">
                  <c:v>201.37466929395728</c:v>
                </c:pt>
                <c:pt idx="30">
                  <c:v>208.31862340754202</c:v>
                </c:pt>
                <c:pt idx="31">
                  <c:v>215.26257752112676</c:v>
                </c:pt>
                <c:pt idx="32">
                  <c:v>222.20653163471152</c:v>
                </c:pt>
                <c:pt idx="33">
                  <c:v>229.15048574829626</c:v>
                </c:pt>
                <c:pt idx="34">
                  <c:v>236.094439861881</c:v>
                </c:pt>
                <c:pt idx="35">
                  <c:v>243.03839397546571</c:v>
                </c:pt>
                <c:pt idx="36">
                  <c:v>249.98234808905045</c:v>
                </c:pt>
                <c:pt idx="37">
                  <c:v>256.92630220263516</c:v>
                </c:pt>
                <c:pt idx="38">
                  <c:v>263.87025631621992</c:v>
                </c:pt>
                <c:pt idx="39">
                  <c:v>270.81421042980469</c:v>
                </c:pt>
                <c:pt idx="40">
                  <c:v>277.7581645433894</c:v>
                </c:pt>
                <c:pt idx="41">
                  <c:v>266.11462956577873</c:v>
                </c:pt>
                <c:pt idx="42">
                  <c:v>260.11864826767874</c:v>
                </c:pt>
                <c:pt idx="43">
                  <c:v>254.38738352869817</c:v>
                </c:pt>
                <c:pt idx="44">
                  <c:v>248.90368328794969</c:v>
                </c:pt>
                <c:pt idx="45">
                  <c:v>243.6518459593662</c:v>
                </c:pt>
                <c:pt idx="46">
                  <c:v>238.61747028070943</c:v>
                </c:pt>
                <c:pt idx="47">
                  <c:v>233.78732343633209</c:v>
                </c:pt>
                <c:pt idx="48">
                  <c:v>229.14922491065488</c:v>
                </c:pt>
                <c:pt idx="49">
                  <c:v>224.6919439258881</c:v>
                </c:pt>
                <c:pt idx="50">
                  <c:v>220.40510864585855</c:v>
                </c:pt>
                <c:pt idx="51">
                  <c:v>216.27912560069146</c:v>
                </c:pt>
                <c:pt idx="52">
                  <c:v>212.30510801475214</c:v>
                </c:pt>
                <c:pt idx="53">
                  <c:v>208.47481191086604</c:v>
                </c:pt>
                <c:pt idx="54">
                  <c:v>204.78057902397083</c:v>
                </c:pt>
                <c:pt idx="55">
                  <c:v>201.21528569233857</c:v>
                </c:pt>
                <c:pt idx="56">
                  <c:v>197.77229700865919</c:v>
                </c:pt>
                <c:pt idx="57">
                  <c:v>194.44542561009413</c:v>
                </c:pt>
                <c:pt idx="58">
                  <c:v>191.2288945687859</c:v>
                </c:pt>
                <c:pt idx="59">
                  <c:v>188.11730391458551</c:v>
                </c:pt>
                <c:pt idx="60">
                  <c:v>185.10560038188763</c:v>
                </c:pt>
                <c:pt idx="61">
                  <c:v>182.18905002403966</c:v>
                </c:pt>
                <c:pt idx="62">
                  <c:v>179.36321338314991</c:v>
                </c:pt>
                <c:pt idx="63">
                  <c:v>176.62392294136447</c:v>
                </c:pt>
                <c:pt idx="64">
                  <c:v>173.96726261273628</c:v>
                </c:pt>
                <c:pt idx="65">
                  <c:v>171.38954906344165</c:v>
                </c:pt>
                <c:pt idx="66">
                  <c:v>168.88731467296014</c:v>
                </c:pt>
                <c:pt idx="67">
                  <c:v>166.45729197046566</c:v>
                </c:pt>
                <c:pt idx="68">
                  <c:v>164.0963993995384</c:v>
                </c:pt>
                <c:pt idx="69">
                  <c:v>161.80172828078753</c:v>
                </c:pt>
                <c:pt idx="70">
                  <c:v>159.57053085640604</c:v>
                </c:pt>
                <c:pt idx="71">
                  <c:v>157.40020931333643</c:v>
                </c:pt>
                <c:pt idx="72">
                  <c:v>155.28830569284946</c:v>
                </c:pt>
                <c:pt idx="73">
                  <c:v>153.23249260413471</c:v>
                </c:pt>
                <c:pt idx="74">
                  <c:v>151.23056466814134</c:v>
                </c:pt>
                <c:pt idx="75">
                  <c:v>149.28043062553994</c:v>
                </c:pt>
                <c:pt idx="76">
                  <c:v>147.38010604943457</c:v>
                </c:pt>
                <c:pt idx="77">
                  <c:v>145.52770660944194</c:v>
                </c:pt>
                <c:pt idx="78">
                  <c:v>143.72144183907358</c:v>
                </c:pt>
                <c:pt idx="79">
                  <c:v>141.95960936308711</c:v>
                </c:pt>
                <c:pt idx="80">
                  <c:v>140.24058954568406</c:v>
                </c:pt>
                <c:pt idx="81">
                  <c:v>138.56284052418843</c:v>
                </c:pt>
                <c:pt idx="82">
                  <c:v>136.92489359619904</c:v>
                </c:pt>
                <c:pt idx="83">
                  <c:v>135.32534893120607</c:v>
                </c:pt>
                <c:pt idx="84">
                  <c:v>133.76287158035603</c:v>
                </c:pt>
                <c:pt idx="85">
                  <c:v>132.23618776045811</c:v>
                </c:pt>
                <c:pt idx="86">
                  <c:v>130.74408139049078</c:v>
                </c:pt>
                <c:pt idx="87">
                  <c:v>129.2853908608169</c:v>
                </c:pt>
                <c:pt idx="88">
                  <c:v>127.85900601706743</c:v>
                </c:pt>
                <c:pt idx="89">
                  <c:v>126.46386534223566</c:v>
                </c:pt>
                <c:pt idx="90">
                  <c:v>125.0989533219492</c:v>
                </c:pt>
                <c:pt idx="91">
                  <c:v>123.76329797917685</c:v>
                </c:pt>
                <c:pt idx="92">
                  <c:v>122.45596856579348</c:v>
                </c:pt>
                <c:pt idx="93">
                  <c:v>121.17607339948034</c:v>
                </c:pt>
                <c:pt idx="94">
                  <c:v>119.92275783539822</c:v>
                </c:pt>
                <c:pt idx="95">
                  <c:v>118.69520236293519</c:v>
                </c:pt>
                <c:pt idx="96">
                  <c:v>117.49262081862517</c:v>
                </c:pt>
                <c:pt idx="97">
                  <c:v>116.31425870704581</c:v>
                </c:pt>
                <c:pt idx="98">
                  <c:v>115.15939162216061</c:v>
                </c:pt>
                <c:pt idx="99">
                  <c:v>114.02732376216494</c:v>
                </c:pt>
                <c:pt idx="100">
                  <c:v>112.91738653143696</c:v>
                </c:pt>
              </c:numCache>
            </c:numRef>
          </c:val>
          <c:smooth val="0"/>
          <c:extLst>
            <c:ext xmlns:c16="http://schemas.microsoft.com/office/drawing/2014/chart" uri="{C3380CC4-5D6E-409C-BE32-E72D297353CC}">
              <c16:uniqueId val="{00000002-8D54-466C-9E56-3B54C69CECB8}"/>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8D54-466C-9E56-3B54C69CECB8}"/>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8D54-466C-9E56-3B54C69CECB8}"/>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8D54-466C-9E56-3B54C69CECB8}"/>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c:v>
                </c:pt>
                <c:pt idx="2">
                  <c:v>20.833691001432225</c:v>
                </c:pt>
                <c:pt idx="3">
                  <c:v>20.833691001432225</c:v>
                </c:pt>
                <c:pt idx="4">
                  <c:v>27.778254668576302</c:v>
                </c:pt>
                <c:pt idx="5">
                  <c:v>34.722818335720376</c:v>
                </c:pt>
                <c:pt idx="6">
                  <c:v>41.66738200286445</c:v>
                </c:pt>
                <c:pt idx="7">
                  <c:v>48.611945670008538</c:v>
                </c:pt>
                <c:pt idx="8">
                  <c:v>55.556509337152605</c:v>
                </c:pt>
                <c:pt idx="9">
                  <c:v>62.501073004296671</c:v>
                </c:pt>
                <c:pt idx="10">
                  <c:v>69.445636671440752</c:v>
                </c:pt>
                <c:pt idx="11">
                  <c:v>76.390200338584819</c:v>
                </c:pt>
                <c:pt idx="12">
                  <c:v>83.3347640057289</c:v>
                </c:pt>
                <c:pt idx="13">
                  <c:v>90.279327672872981</c:v>
                </c:pt>
                <c:pt idx="14">
                  <c:v>97.223891340017076</c:v>
                </c:pt>
                <c:pt idx="15">
                  <c:v>104.16845500716113</c:v>
                </c:pt>
                <c:pt idx="16">
                  <c:v>111.11301867430521</c:v>
                </c:pt>
                <c:pt idx="17">
                  <c:v>118.0575823414493</c:v>
                </c:pt>
                <c:pt idx="18">
                  <c:v>125.00214600859334</c:v>
                </c:pt>
                <c:pt idx="19">
                  <c:v>131.94670967573745</c:v>
                </c:pt>
                <c:pt idx="20">
                  <c:v>138.8912733428815</c:v>
                </c:pt>
                <c:pt idx="21">
                  <c:v>145.83583701002559</c:v>
                </c:pt>
                <c:pt idx="22">
                  <c:v>152.78040067716964</c:v>
                </c:pt>
                <c:pt idx="23">
                  <c:v>159.72496434431372</c:v>
                </c:pt>
                <c:pt idx="24">
                  <c:v>166.6695280114578</c:v>
                </c:pt>
                <c:pt idx="25">
                  <c:v>173.61409167860191</c:v>
                </c:pt>
                <c:pt idx="26">
                  <c:v>180.55865534574596</c:v>
                </c:pt>
                <c:pt idx="27">
                  <c:v>187.50321901289004</c:v>
                </c:pt>
                <c:pt idx="28">
                  <c:v>194.44778268003415</c:v>
                </c:pt>
                <c:pt idx="29">
                  <c:v>201.39234634717818</c:v>
                </c:pt>
                <c:pt idx="30">
                  <c:v>208.33691001432226</c:v>
                </c:pt>
                <c:pt idx="31">
                  <c:v>215.28147368146637</c:v>
                </c:pt>
                <c:pt idx="32">
                  <c:v>212.28432427268808</c:v>
                </c:pt>
                <c:pt idx="33">
                  <c:v>206.10691267739978</c:v>
                </c:pt>
                <c:pt idx="34">
                  <c:v>200.27828892639309</c:v>
                </c:pt>
                <c:pt idx="35">
                  <c:v>194.76972346628364</c:v>
                </c:pt>
                <c:pt idx="36">
                  <c:v>189.55555768608298</c:v>
                </c:pt>
                <c:pt idx="37">
                  <c:v>184.61280427508262</c:v>
                </c:pt>
                <c:pt idx="38">
                  <c:v>179.92080840728147</c:v>
                </c:pt>
                <c:pt idx="39">
                  <c:v>175.46095921862383</c:v>
                </c:pt>
                <c:pt idx="40">
                  <c:v>171.21644307777169</c:v>
                </c:pt>
                <c:pt idx="41">
                  <c:v>167.17203175397916</c:v>
                </c:pt>
                <c:pt idx="42">
                  <c:v>163.31389985624571</c:v>
                </c:pt>
                <c:pt idx="43">
                  <c:v>159.62946693110447</c:v>
                </c:pt>
                <c:pt idx="44">
                  <c:v>156.10726041882467</c:v>
                </c:pt>
                <c:pt idx="45">
                  <c:v>152.73679632271865</c:v>
                </c:pt>
                <c:pt idx="46">
                  <c:v>149.50847497686107</c:v>
                </c:pt>
                <c:pt idx="47">
                  <c:v>146.41348972952002</c:v>
                </c:pt>
                <c:pt idx="48">
                  <c:v>143.4437467129209</c:v>
                </c:pt>
                <c:pt idx="49">
                  <c:v>140.59179416022235</c:v>
                </c:pt>
                <c:pt idx="50">
                  <c:v>137.85075997003366</c:v>
                </c:pt>
                <c:pt idx="51">
                  <c:v>135.21429641714798</c:v>
                </c:pt>
                <c:pt idx="52">
                  <c:v>132.67653107309295</c:v>
                </c:pt>
                <c:pt idx="53">
                  <c:v>130.23202313775113</c:v>
                </c:pt>
                <c:pt idx="54">
                  <c:v>127.87572449860293</c:v>
                </c:pt>
                <c:pt idx="55">
                  <c:v>125.60294493104954</c:v>
                </c:pt>
                <c:pt idx="56">
                  <c:v>123.40932093499265</c:v>
                </c:pt>
                <c:pt idx="57">
                  <c:v>121.2907877719764</c:v>
                </c:pt>
                <c:pt idx="58">
                  <c:v>119.24355432585403</c:v>
                </c:pt>
                <c:pt idx="59">
                  <c:v>117.26408045986594</c:v>
                </c:pt>
                <c:pt idx="60">
                  <c:v>115.34905658561809</c:v>
                </c:pt>
                <c:pt idx="61">
                  <c:v>113.49538519591633</c:v>
                </c:pt>
                <c:pt idx="62">
                  <c:v>111.7001641446991</c:v>
                </c:pt>
                <c:pt idx="63">
                  <c:v>109.96067148422864</c:v>
                </c:pt>
                <c:pt idx="64">
                  <c:v>108.27435169291559</c:v>
                </c:pt>
                <c:pt idx="65">
                  <c:v>106.63880314722137</c:v>
                </c:pt>
                <c:pt idx="66">
                  <c:v>105.05176670847116</c:v>
                </c:pt>
                <c:pt idx="67">
                  <c:v>103.51111531051389</c:v>
                </c:pt>
                <c:pt idx="68">
                  <c:v>102.01484444731101</c:v>
                </c:pt>
                <c:pt idx="69">
                  <c:v>100.5610634709973</c:v>
                </c:pt>
                <c:pt idx="70">
                  <c:v>99.147987620981993</c:v>
                </c:pt>
                <c:pt idx="71">
                  <c:v>97.773930713427262</c:v>
                </c:pt>
                <c:pt idx="72">
                  <c:v>96.437298428145724</c:v>
                </c:pt>
                <c:pt idx="73">
                  <c:v>95.136582136723064</c:v>
                </c:pt>
                <c:pt idx="74">
                  <c:v>93.870353221633238</c:v>
                </c:pt>
                <c:pt idx="75">
                  <c:v>92.637257841374051</c:v>
                </c:pt>
                <c:pt idx="76">
                  <c:v>91.436012101293926</c:v>
                </c:pt>
                <c:pt idx="77">
                  <c:v>90.265397593899635</c:v>
                </c:pt>
                <c:pt idx="78">
                  <c:v>89.124257276078282</c:v>
                </c:pt>
                <c:pt idx="79">
                  <c:v>88.011491653908266</c:v>
                </c:pt>
                <c:pt idx="80">
                  <c:v>86.926055248615256</c:v>
                </c:pt>
                <c:pt idx="81">
                  <c:v>85.866953319795243</c:v>
                </c:pt>
                <c:pt idx="82">
                  <c:v>84.833238824317348</c:v>
                </c:pt>
                <c:pt idx="83">
                  <c:v>83.824009591364032</c:v>
                </c:pt>
                <c:pt idx="84">
                  <c:v>82.838405695897137</c:v>
                </c:pt>
                <c:pt idx="85">
                  <c:v>81.875607014477353</c:v>
                </c:pt>
                <c:pt idx="86">
                  <c:v>80.934830948836179</c:v>
                </c:pt>
                <c:pt idx="87">
                  <c:v>80.015330303919043</c:v>
                </c:pt>
                <c:pt idx="88">
                  <c:v>79.116391308308366</c:v>
                </c:pt>
                <c:pt idx="89">
                  <c:v>78.237331766003564</c:v>
                </c:pt>
                <c:pt idx="90">
                  <c:v>77.377499329500409</c:v>
                </c:pt>
                <c:pt idx="91">
                  <c:v>76.536269884982403</c:v>
                </c:pt>
                <c:pt idx="92">
                  <c:v>75.713046041223478</c:v>
                </c:pt>
                <c:pt idx="93">
                  <c:v>74.907255714513909</c:v>
                </c:pt>
                <c:pt idx="94">
                  <c:v>74.118350802564521</c:v>
                </c:pt>
                <c:pt idx="95">
                  <c:v>73.345805940930006</c:v>
                </c:pt>
                <c:pt idx="96">
                  <c:v>72.589117336021971</c:v>
                </c:pt>
                <c:pt idx="97">
                  <c:v>71.847801669264413</c:v>
                </c:pt>
                <c:pt idx="98">
                  <c:v>71.121395067382608</c:v>
                </c:pt>
                <c:pt idx="99">
                  <c:v>70.409452134215726</c:v>
                </c:pt>
                <c:pt idx="100">
                  <c:v>69.711545039806637</c:v>
                </c:pt>
              </c:numCache>
            </c:numRef>
          </c:val>
          <c:smooth val="0"/>
          <c:extLst>
            <c:ext xmlns:c16="http://schemas.microsoft.com/office/drawing/2014/chart" uri="{C3380CC4-5D6E-409C-BE32-E72D297353CC}">
              <c16:uniqueId val="{00000006-8D54-466C-9E56-3B54C69CECB8}"/>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c:v>
                </c:pt>
                <c:pt idx="2">
                  <c:v>13.889127334288151</c:v>
                </c:pt>
                <c:pt idx="3">
                  <c:v>20.833691001432225</c:v>
                </c:pt>
                <c:pt idx="4">
                  <c:v>27.778254668576302</c:v>
                </c:pt>
                <c:pt idx="5">
                  <c:v>34.722818335720376</c:v>
                </c:pt>
                <c:pt idx="6">
                  <c:v>41.66738200286445</c:v>
                </c:pt>
                <c:pt idx="7">
                  <c:v>48.611945670008538</c:v>
                </c:pt>
                <c:pt idx="8">
                  <c:v>55.556509337152605</c:v>
                </c:pt>
                <c:pt idx="9">
                  <c:v>62.501073004296671</c:v>
                </c:pt>
                <c:pt idx="10">
                  <c:v>69.445636671440752</c:v>
                </c:pt>
                <c:pt idx="11">
                  <c:v>76.390200338584819</c:v>
                </c:pt>
                <c:pt idx="12">
                  <c:v>83.3347640057289</c:v>
                </c:pt>
                <c:pt idx="13">
                  <c:v>90.279327672872981</c:v>
                </c:pt>
                <c:pt idx="14">
                  <c:v>97.223891340017076</c:v>
                </c:pt>
                <c:pt idx="15">
                  <c:v>104.16845500716113</c:v>
                </c:pt>
                <c:pt idx="16">
                  <c:v>111.11301867430521</c:v>
                </c:pt>
                <c:pt idx="17">
                  <c:v>118.0575823414493</c:v>
                </c:pt>
                <c:pt idx="18">
                  <c:v>125.00214600859334</c:v>
                </c:pt>
                <c:pt idx="19">
                  <c:v>131.94670967573745</c:v>
                </c:pt>
                <c:pt idx="20">
                  <c:v>138.8912733428815</c:v>
                </c:pt>
                <c:pt idx="21">
                  <c:v>145.83583701002559</c:v>
                </c:pt>
                <c:pt idx="22">
                  <c:v>152.78040067716964</c:v>
                </c:pt>
                <c:pt idx="23">
                  <c:v>159.72496434431372</c:v>
                </c:pt>
                <c:pt idx="24">
                  <c:v>166.6695280114578</c:v>
                </c:pt>
                <c:pt idx="25">
                  <c:v>173.61409167860191</c:v>
                </c:pt>
                <c:pt idx="26">
                  <c:v>180.55865534574596</c:v>
                </c:pt>
                <c:pt idx="27">
                  <c:v>187.50321901289004</c:v>
                </c:pt>
                <c:pt idx="28">
                  <c:v>194.44778268003415</c:v>
                </c:pt>
                <c:pt idx="29">
                  <c:v>201.39234634717818</c:v>
                </c:pt>
                <c:pt idx="30">
                  <c:v>208.33691001432226</c:v>
                </c:pt>
                <c:pt idx="31">
                  <c:v>215.28147368146637</c:v>
                </c:pt>
                <c:pt idx="32">
                  <c:v>222.22603734861042</c:v>
                </c:pt>
                <c:pt idx="33">
                  <c:v>229.1706010157545</c:v>
                </c:pt>
                <c:pt idx="34">
                  <c:v>236.11516468289861</c:v>
                </c:pt>
                <c:pt idx="35">
                  <c:v>243.0597283500426</c:v>
                </c:pt>
                <c:pt idx="36">
                  <c:v>250.00429201718669</c:v>
                </c:pt>
                <c:pt idx="37">
                  <c:v>237.55972718735387</c:v>
                </c:pt>
                <c:pt idx="38">
                  <c:v>231.60015096318938</c:v>
                </c:pt>
                <c:pt idx="39">
                  <c:v>225.93238417529975</c:v>
                </c:pt>
                <c:pt idx="40">
                  <c:v>220.53550598709793</c:v>
                </c:pt>
                <c:pt idx="41">
                  <c:v>215.3905487356939</c:v>
                </c:pt>
                <c:pt idx="42">
                  <c:v>210.48027519470898</c:v>
                </c:pt>
                <c:pt idx="43">
                  <c:v>205.78898563815912</c:v>
                </c:pt>
                <c:pt idx="44">
                  <c:v>201.30235015510937</c:v>
                </c:pt>
                <c:pt idx="45">
                  <c:v>197.0072624418882</c:v>
                </c:pt>
                <c:pt idx="46">
                  <c:v>192.8917119295561</c:v>
                </c:pt>
                <c:pt idx="47">
                  <c:v>188.94467161898564</c:v>
                </c:pt>
                <c:pt idx="48">
                  <c:v>185.1559994176398</c:v>
                </c:pt>
                <c:pt idx="49">
                  <c:v>181.51635111921755</c:v>
                </c:pt>
                <c:pt idx="50">
                  <c:v>178.01710345416637</c:v>
                </c:pt>
                <c:pt idx="51">
                  <c:v>174.65028587704097</c:v>
                </c:pt>
                <c:pt idx="52">
                  <c:v>171.40851995488921</c:v>
                </c:pt>
                <c:pt idx="53">
                  <c:v>168.28496538652499</c:v>
                </c:pt>
                <c:pt idx="54">
                  <c:v>165.27327182152305</c:v>
                </c:pt>
                <c:pt idx="55">
                  <c:v>162.36753576474561</c:v>
                </c:pt>
                <c:pt idx="56">
                  <c:v>159.56226195098171</c:v>
                </c:pt>
                <c:pt idx="57">
                  <c:v>156.85232865794958</c:v>
                </c:pt>
                <c:pt idx="58">
                  <c:v>154.23295649699344</c:v>
                </c:pt>
                <c:pt idx="59">
                  <c:v>151.69968028137856</c:v>
                </c:pt>
                <c:pt idx="60">
                  <c:v>149.24832362384043</c:v>
                </c:pt>
                <c:pt idx="61">
                  <c:v>146.87497595938945</c:v>
                </c:pt>
                <c:pt idx="62">
                  <c:v>144.57597172746438</c:v>
                </c:pt>
                <c:pt idx="63">
                  <c:v>142.34787148033178</c:v>
                </c:pt>
                <c:pt idx="64">
                  <c:v>140.18744471295213</c:v>
                </c:pt>
                <c:pt idx="65">
                  <c:v>138.09165423403914</c:v>
                </c:pt>
                <c:pt idx="66">
                  <c:v>136.05764191929816</c:v>
                </c:pt>
                <c:pt idx="67">
                  <c:v>134.08271570630646</c:v>
                </c:pt>
                <c:pt idx="68">
                  <c:v>132.16433770659413</c:v>
                </c:pt>
                <c:pt idx="69">
                  <c:v>130.30011332453935</c:v>
                </c:pt>
                <c:pt idx="70">
                  <c:v>128.48778128498083</c:v>
                </c:pt>
                <c:pt idx="71">
                  <c:v>126.72520448222465</c:v>
                </c:pt>
                <c:pt idx="72">
                  <c:v>125.01036157258297</c:v>
                </c:pt>
                <c:pt idx="73">
                  <c:v>123.34133924090466</c:v>
                </c:pt>
                <c:pt idx="74">
                  <c:v>121.71632507889161</c:v>
                </c:pt>
                <c:pt idx="75">
                  <c:v>120.13360101947298</c:v>
                </c:pt>
                <c:pt idx="76">
                  <c:v>118.59153727723347</c:v>
                </c:pt>
                <c:pt idx="77">
                  <c:v>117.0885867499691</c:v>
                </c:pt>
                <c:pt idx="78">
                  <c:v>115.62327984094196</c:v>
                </c:pt>
                <c:pt idx="79">
                  <c:v>114.19421966540757</c:v>
                </c:pt>
                <c:pt idx="80">
                  <c:v>112.80007760855031</c:v>
                </c:pt>
                <c:pt idx="81">
                  <c:v>111.43958920513199</c:v>
                </c:pt>
                <c:pt idx="82">
                  <c:v>110.11155031399747</c:v>
                </c:pt>
                <c:pt idx="83">
                  <c:v>108.8148135631079</c:v>
                </c:pt>
                <c:pt idx="84">
                  <c:v>107.54828504304437</c:v>
                </c:pt>
                <c:pt idx="85">
                  <c:v>106.31092122895225</c:v>
                </c:pt>
                <c:pt idx="86">
                  <c:v>105.10172611272458</c:v>
                </c:pt>
                <c:pt idx="87">
                  <c:v>103.91974852885863</c:v>
                </c:pt>
                <c:pt idx="88">
                  <c:v>102.76407965889683</c:v>
                </c:pt>
                <c:pt idx="89">
                  <c:v>101.63385070069127</c:v>
                </c:pt>
                <c:pt idx="90">
                  <c:v>100.52823068992902</c:v>
                </c:pt>
                <c:pt idx="91">
                  <c:v>99.44642446243995</c:v>
                </c:pt>
                <c:pt idx="92">
                  <c:v>98.387670746784281</c:v>
                </c:pt>
                <c:pt idx="93">
                  <c:v>97.351240377506087</c:v>
                </c:pt>
                <c:pt idx="94">
                  <c:v>96.33643462023872</c:v>
                </c:pt>
                <c:pt idx="95">
                  <c:v>95.342583600578479</c:v>
                </c:pt>
                <c:pt idx="96">
                  <c:v>94.369044829301842</c:v>
                </c:pt>
                <c:pt idx="97">
                  <c:v>93.415201817104048</c:v>
                </c:pt>
                <c:pt idx="98">
                  <c:v>92.480462772582598</c:v>
                </c:pt>
                <c:pt idx="99">
                  <c:v>91.564259377686852</c:v>
                </c:pt>
                <c:pt idx="100">
                  <c:v>90.66604563531078</c:v>
                </c:pt>
              </c:numCache>
            </c:numRef>
          </c:val>
          <c:smooth val="0"/>
          <c:extLst>
            <c:ext xmlns:c16="http://schemas.microsoft.com/office/drawing/2014/chart" uri="{C3380CC4-5D6E-409C-BE32-E72D297353CC}">
              <c16:uniqueId val="{00000007-8D54-466C-9E56-3B54C69CECB8}"/>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c:v>
                </c:pt>
                <c:pt idx="2">
                  <c:v>13.88790822716947</c:v>
                </c:pt>
                <c:pt idx="3">
                  <c:v>20.831862340754203</c:v>
                </c:pt>
                <c:pt idx="4">
                  <c:v>27.775816454338941</c:v>
                </c:pt>
                <c:pt idx="5">
                  <c:v>34.719770567923675</c:v>
                </c:pt>
                <c:pt idx="6">
                  <c:v>41.663724681508405</c:v>
                </c:pt>
                <c:pt idx="7">
                  <c:v>48.607678795093143</c:v>
                </c:pt>
                <c:pt idx="8">
                  <c:v>55.551632908677881</c:v>
                </c:pt>
                <c:pt idx="9">
                  <c:v>62.495587022262612</c:v>
                </c:pt>
                <c:pt idx="10">
                  <c:v>69.43954113584735</c:v>
                </c:pt>
                <c:pt idx="11">
                  <c:v>76.383495249432102</c:v>
                </c:pt>
                <c:pt idx="12">
                  <c:v>83.327449363016811</c:v>
                </c:pt>
                <c:pt idx="13">
                  <c:v>90.271403476601549</c:v>
                </c:pt>
                <c:pt idx="14">
                  <c:v>97.215357590186287</c:v>
                </c:pt>
                <c:pt idx="15">
                  <c:v>104.15931170377101</c:v>
                </c:pt>
                <c:pt idx="16">
                  <c:v>111.10326581735576</c:v>
                </c:pt>
                <c:pt idx="17">
                  <c:v>118.0472199309405</c:v>
                </c:pt>
                <c:pt idx="18">
                  <c:v>124.99117404452522</c:v>
                </c:pt>
                <c:pt idx="19">
                  <c:v>131.93512815810996</c:v>
                </c:pt>
                <c:pt idx="20">
                  <c:v>138.8790822716947</c:v>
                </c:pt>
                <c:pt idx="21">
                  <c:v>145.82303638527941</c:v>
                </c:pt>
                <c:pt idx="22">
                  <c:v>152.7669904988642</c:v>
                </c:pt>
                <c:pt idx="23">
                  <c:v>159.71094461244891</c:v>
                </c:pt>
                <c:pt idx="24">
                  <c:v>166.65489872603362</c:v>
                </c:pt>
                <c:pt idx="25">
                  <c:v>173.59885283961839</c:v>
                </c:pt>
                <c:pt idx="26">
                  <c:v>180.5428069532031</c:v>
                </c:pt>
                <c:pt idx="27">
                  <c:v>187.48676106678786</c:v>
                </c:pt>
                <c:pt idx="28">
                  <c:v>194.43071518037257</c:v>
                </c:pt>
                <c:pt idx="29">
                  <c:v>201.37466929395728</c:v>
                </c:pt>
                <c:pt idx="30">
                  <c:v>208.31862340754202</c:v>
                </c:pt>
                <c:pt idx="31">
                  <c:v>215.26257752112676</c:v>
                </c:pt>
                <c:pt idx="32">
                  <c:v>222.20653163471152</c:v>
                </c:pt>
                <c:pt idx="33">
                  <c:v>229.15048574829626</c:v>
                </c:pt>
                <c:pt idx="34">
                  <c:v>236.094439861881</c:v>
                </c:pt>
                <c:pt idx="35">
                  <c:v>243.03839397546571</c:v>
                </c:pt>
                <c:pt idx="36">
                  <c:v>249.98234808905045</c:v>
                </c:pt>
                <c:pt idx="37">
                  <c:v>256.92630220263516</c:v>
                </c:pt>
                <c:pt idx="38">
                  <c:v>263.87025631621992</c:v>
                </c:pt>
                <c:pt idx="39">
                  <c:v>270.81421042980469</c:v>
                </c:pt>
                <c:pt idx="40">
                  <c:v>277.7581645433894</c:v>
                </c:pt>
                <c:pt idx="41">
                  <c:v>266.11462956577873</c:v>
                </c:pt>
                <c:pt idx="42">
                  <c:v>260.11864826767874</c:v>
                </c:pt>
                <c:pt idx="43">
                  <c:v>254.38738352869817</c:v>
                </c:pt>
                <c:pt idx="44">
                  <c:v>248.90368328794969</c:v>
                </c:pt>
                <c:pt idx="45">
                  <c:v>243.6518459593662</c:v>
                </c:pt>
                <c:pt idx="46">
                  <c:v>238.61747028070943</c:v>
                </c:pt>
                <c:pt idx="47">
                  <c:v>233.78732343633209</c:v>
                </c:pt>
                <c:pt idx="48">
                  <c:v>229.14922491065488</c:v>
                </c:pt>
                <c:pt idx="49">
                  <c:v>224.6919439258881</c:v>
                </c:pt>
                <c:pt idx="50">
                  <c:v>220.40510864585855</c:v>
                </c:pt>
                <c:pt idx="51">
                  <c:v>216.27912560069146</c:v>
                </c:pt>
                <c:pt idx="52">
                  <c:v>212.30510801475214</c:v>
                </c:pt>
                <c:pt idx="53">
                  <c:v>208.47481191086604</c:v>
                </c:pt>
                <c:pt idx="54">
                  <c:v>204.78057902397083</c:v>
                </c:pt>
                <c:pt idx="55">
                  <c:v>201.21528569233857</c:v>
                </c:pt>
                <c:pt idx="56">
                  <c:v>197.77229700865919</c:v>
                </c:pt>
                <c:pt idx="57">
                  <c:v>194.44542561009413</c:v>
                </c:pt>
                <c:pt idx="58">
                  <c:v>191.2288945687859</c:v>
                </c:pt>
                <c:pt idx="59">
                  <c:v>188.11730391458551</c:v>
                </c:pt>
                <c:pt idx="60">
                  <c:v>185.10560038188763</c:v>
                </c:pt>
                <c:pt idx="61">
                  <c:v>182.18905002403966</c:v>
                </c:pt>
                <c:pt idx="62">
                  <c:v>179.36321338314991</c:v>
                </c:pt>
                <c:pt idx="63">
                  <c:v>176.62392294136447</c:v>
                </c:pt>
                <c:pt idx="64">
                  <c:v>173.96726261273628</c:v>
                </c:pt>
                <c:pt idx="65">
                  <c:v>171.38954906344165</c:v>
                </c:pt>
                <c:pt idx="66">
                  <c:v>168.88731467296014</c:v>
                </c:pt>
                <c:pt idx="67">
                  <c:v>166.45729197046566</c:v>
                </c:pt>
                <c:pt idx="68">
                  <c:v>164.0963993995384</c:v>
                </c:pt>
                <c:pt idx="69">
                  <c:v>161.80172828078753</c:v>
                </c:pt>
                <c:pt idx="70">
                  <c:v>159.57053085640604</c:v>
                </c:pt>
                <c:pt idx="71">
                  <c:v>157.40020931333643</c:v>
                </c:pt>
                <c:pt idx="72">
                  <c:v>155.28830569284946</c:v>
                </c:pt>
                <c:pt idx="73">
                  <c:v>153.23249260413471</c:v>
                </c:pt>
                <c:pt idx="74">
                  <c:v>151.23056466814134</c:v>
                </c:pt>
                <c:pt idx="75">
                  <c:v>149.28043062553994</c:v>
                </c:pt>
                <c:pt idx="76">
                  <c:v>147.38010604943457</c:v>
                </c:pt>
                <c:pt idx="77">
                  <c:v>145.52770660944194</c:v>
                </c:pt>
                <c:pt idx="78">
                  <c:v>143.72144183907358</c:v>
                </c:pt>
                <c:pt idx="79">
                  <c:v>141.95960936308711</c:v>
                </c:pt>
                <c:pt idx="80">
                  <c:v>140.24058954568406</c:v>
                </c:pt>
                <c:pt idx="81">
                  <c:v>138.56284052418843</c:v>
                </c:pt>
                <c:pt idx="82">
                  <c:v>136.92489359619904</c:v>
                </c:pt>
                <c:pt idx="83">
                  <c:v>135.32534893120607</c:v>
                </c:pt>
                <c:pt idx="84">
                  <c:v>133.76287158035603</c:v>
                </c:pt>
                <c:pt idx="85">
                  <c:v>132.23618776045811</c:v>
                </c:pt>
                <c:pt idx="86">
                  <c:v>130.74408139049078</c:v>
                </c:pt>
                <c:pt idx="87">
                  <c:v>129.2853908608169</c:v>
                </c:pt>
                <c:pt idx="88">
                  <c:v>127.85900601706743</c:v>
                </c:pt>
                <c:pt idx="89">
                  <c:v>126.46386534223566</c:v>
                </c:pt>
                <c:pt idx="90">
                  <c:v>125.0989533219492</c:v>
                </c:pt>
                <c:pt idx="91">
                  <c:v>123.76329797917685</c:v>
                </c:pt>
                <c:pt idx="92">
                  <c:v>122.45596856579348</c:v>
                </c:pt>
                <c:pt idx="93">
                  <c:v>121.17607339948034</c:v>
                </c:pt>
                <c:pt idx="94">
                  <c:v>119.92275783539822</c:v>
                </c:pt>
                <c:pt idx="95">
                  <c:v>118.69520236293519</c:v>
                </c:pt>
                <c:pt idx="96">
                  <c:v>117.49262081862517</c:v>
                </c:pt>
                <c:pt idx="97">
                  <c:v>116.31425870704581</c:v>
                </c:pt>
                <c:pt idx="98">
                  <c:v>115.15939162216061</c:v>
                </c:pt>
                <c:pt idx="99">
                  <c:v>114.02732376216494</c:v>
                </c:pt>
                <c:pt idx="100">
                  <c:v>112.91738653143696</c:v>
                </c:pt>
              </c:numCache>
            </c:numRef>
          </c:val>
          <c:smooth val="0"/>
          <c:extLst>
            <c:ext xmlns:c16="http://schemas.microsoft.com/office/drawing/2014/chart" uri="{C3380CC4-5D6E-409C-BE32-E72D297353CC}">
              <c16:uniqueId val="{00000008-8D54-466C-9E56-3B54C69CECB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8D54-466C-9E56-3B54C69CECB8}"/>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8D54-466C-9E56-3B54C69CECB8}"/>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8D54-466C-9E56-3B54C69CECB8}"/>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9</c:v>
                </c:pt>
                <c:pt idx="1">
                  <c:v>9.07</c:v>
                </c:pt>
                <c:pt idx="2">
                  <c:v>9.14</c:v>
                </c:pt>
                <c:pt idx="3">
                  <c:v>9.2100000000000009</c:v>
                </c:pt>
                <c:pt idx="4">
                  <c:v>9.2799999999999994</c:v>
                </c:pt>
                <c:pt idx="5">
                  <c:v>9.35</c:v>
                </c:pt>
                <c:pt idx="6">
                  <c:v>9.42</c:v>
                </c:pt>
                <c:pt idx="7">
                  <c:v>9.49</c:v>
                </c:pt>
                <c:pt idx="8">
                  <c:v>9.56</c:v>
                </c:pt>
                <c:pt idx="9">
                  <c:v>9.6300000000000008</c:v>
                </c:pt>
                <c:pt idx="10">
                  <c:v>9.6999999999999993</c:v>
                </c:pt>
                <c:pt idx="11">
                  <c:v>9.77</c:v>
                </c:pt>
                <c:pt idx="12">
                  <c:v>9.84</c:v>
                </c:pt>
                <c:pt idx="13">
                  <c:v>9.91</c:v>
                </c:pt>
                <c:pt idx="14">
                  <c:v>9.98</c:v>
                </c:pt>
                <c:pt idx="15">
                  <c:v>10.050000000000001</c:v>
                </c:pt>
                <c:pt idx="16">
                  <c:v>10.120000000000001</c:v>
                </c:pt>
                <c:pt idx="17">
                  <c:v>10.19</c:v>
                </c:pt>
                <c:pt idx="18">
                  <c:v>10.26</c:v>
                </c:pt>
                <c:pt idx="19">
                  <c:v>10.33</c:v>
                </c:pt>
                <c:pt idx="20">
                  <c:v>10.4</c:v>
                </c:pt>
                <c:pt idx="21">
                  <c:v>10.47</c:v>
                </c:pt>
                <c:pt idx="22">
                  <c:v>10.54</c:v>
                </c:pt>
                <c:pt idx="23">
                  <c:v>10.61</c:v>
                </c:pt>
                <c:pt idx="24">
                  <c:v>10.68</c:v>
                </c:pt>
                <c:pt idx="25">
                  <c:v>10.75</c:v>
                </c:pt>
                <c:pt idx="26">
                  <c:v>10.82</c:v>
                </c:pt>
                <c:pt idx="27">
                  <c:v>10.89</c:v>
                </c:pt>
                <c:pt idx="28">
                  <c:v>10.96</c:v>
                </c:pt>
                <c:pt idx="29">
                  <c:v>11.03</c:v>
                </c:pt>
                <c:pt idx="30">
                  <c:v>11.1</c:v>
                </c:pt>
                <c:pt idx="31">
                  <c:v>11.17</c:v>
                </c:pt>
                <c:pt idx="32">
                  <c:v>11.24</c:v>
                </c:pt>
                <c:pt idx="33">
                  <c:v>11.31</c:v>
                </c:pt>
                <c:pt idx="34">
                  <c:v>11.38</c:v>
                </c:pt>
                <c:pt idx="35">
                  <c:v>11.45</c:v>
                </c:pt>
                <c:pt idx="36">
                  <c:v>11.52</c:v>
                </c:pt>
                <c:pt idx="37">
                  <c:v>11.59</c:v>
                </c:pt>
                <c:pt idx="38">
                  <c:v>11.66</c:v>
                </c:pt>
                <c:pt idx="39">
                  <c:v>11.73</c:v>
                </c:pt>
                <c:pt idx="40">
                  <c:v>11.8</c:v>
                </c:pt>
                <c:pt idx="41">
                  <c:v>11.87</c:v>
                </c:pt>
                <c:pt idx="42">
                  <c:v>11.94</c:v>
                </c:pt>
                <c:pt idx="43">
                  <c:v>12.01</c:v>
                </c:pt>
                <c:pt idx="44">
                  <c:v>12.08</c:v>
                </c:pt>
                <c:pt idx="45">
                  <c:v>12.15</c:v>
                </c:pt>
                <c:pt idx="46">
                  <c:v>12.22</c:v>
                </c:pt>
                <c:pt idx="47">
                  <c:v>12.29</c:v>
                </c:pt>
                <c:pt idx="48">
                  <c:v>12.36</c:v>
                </c:pt>
                <c:pt idx="49">
                  <c:v>12.43</c:v>
                </c:pt>
                <c:pt idx="50">
                  <c:v>12.5</c:v>
                </c:pt>
                <c:pt idx="51">
                  <c:v>12.57</c:v>
                </c:pt>
                <c:pt idx="52">
                  <c:v>12.64</c:v>
                </c:pt>
                <c:pt idx="53">
                  <c:v>12.71</c:v>
                </c:pt>
                <c:pt idx="54">
                  <c:v>12.780000000000001</c:v>
                </c:pt>
                <c:pt idx="55">
                  <c:v>12.850000000000001</c:v>
                </c:pt>
                <c:pt idx="56">
                  <c:v>12.92</c:v>
                </c:pt>
                <c:pt idx="57">
                  <c:v>12.99</c:v>
                </c:pt>
                <c:pt idx="58">
                  <c:v>13.059999999999999</c:v>
                </c:pt>
                <c:pt idx="59">
                  <c:v>13.129999999999999</c:v>
                </c:pt>
                <c:pt idx="60">
                  <c:v>13.2</c:v>
                </c:pt>
                <c:pt idx="61">
                  <c:v>13.27</c:v>
                </c:pt>
                <c:pt idx="62">
                  <c:v>13.34</c:v>
                </c:pt>
                <c:pt idx="63">
                  <c:v>13.41</c:v>
                </c:pt>
                <c:pt idx="64">
                  <c:v>13.48</c:v>
                </c:pt>
                <c:pt idx="65">
                  <c:v>13.55</c:v>
                </c:pt>
                <c:pt idx="66">
                  <c:v>13.620000000000001</c:v>
                </c:pt>
                <c:pt idx="67">
                  <c:v>13.690000000000001</c:v>
                </c:pt>
                <c:pt idx="68">
                  <c:v>13.760000000000002</c:v>
                </c:pt>
                <c:pt idx="69">
                  <c:v>13.83</c:v>
                </c:pt>
                <c:pt idx="70">
                  <c:v>13.899999999999999</c:v>
                </c:pt>
                <c:pt idx="71">
                  <c:v>13.969999999999999</c:v>
                </c:pt>
                <c:pt idx="72">
                  <c:v>14.04</c:v>
                </c:pt>
                <c:pt idx="73">
                  <c:v>14.11</c:v>
                </c:pt>
                <c:pt idx="74">
                  <c:v>14.18</c:v>
                </c:pt>
                <c:pt idx="75">
                  <c:v>14.25</c:v>
                </c:pt>
                <c:pt idx="76">
                  <c:v>14.32</c:v>
                </c:pt>
                <c:pt idx="77">
                  <c:v>14.39</c:v>
                </c:pt>
                <c:pt idx="78">
                  <c:v>14.46</c:v>
                </c:pt>
                <c:pt idx="79">
                  <c:v>14.530000000000001</c:v>
                </c:pt>
                <c:pt idx="80">
                  <c:v>14.600000000000001</c:v>
                </c:pt>
                <c:pt idx="81">
                  <c:v>14.67</c:v>
                </c:pt>
                <c:pt idx="82">
                  <c:v>14.739999999999998</c:v>
                </c:pt>
                <c:pt idx="83">
                  <c:v>14.809999999999999</c:v>
                </c:pt>
                <c:pt idx="84">
                  <c:v>14.879999999999999</c:v>
                </c:pt>
                <c:pt idx="85">
                  <c:v>14.95</c:v>
                </c:pt>
                <c:pt idx="86">
                  <c:v>15.02</c:v>
                </c:pt>
                <c:pt idx="87">
                  <c:v>15.09</c:v>
                </c:pt>
                <c:pt idx="88">
                  <c:v>15.16</c:v>
                </c:pt>
                <c:pt idx="89">
                  <c:v>15.23</c:v>
                </c:pt>
                <c:pt idx="90">
                  <c:v>15.3</c:v>
                </c:pt>
                <c:pt idx="91">
                  <c:v>15.370000000000001</c:v>
                </c:pt>
                <c:pt idx="92">
                  <c:v>15.440000000000001</c:v>
                </c:pt>
                <c:pt idx="93">
                  <c:v>15.510000000000002</c:v>
                </c:pt>
                <c:pt idx="94">
                  <c:v>15.58</c:v>
                </c:pt>
                <c:pt idx="95">
                  <c:v>15.649999999999999</c:v>
                </c:pt>
                <c:pt idx="96">
                  <c:v>15.719999999999999</c:v>
                </c:pt>
                <c:pt idx="97">
                  <c:v>15.79</c:v>
                </c:pt>
                <c:pt idx="98">
                  <c:v>15.86</c:v>
                </c:pt>
                <c:pt idx="99">
                  <c:v>15.93</c:v>
                </c:pt>
                <c:pt idx="100">
                  <c:v>16</c:v>
                </c:pt>
              </c:numCache>
            </c:numRef>
          </c:xVal>
          <c:yVal>
            <c:numRef>
              <c:f>'Fsw vs VIN'!$M$6:$M$106</c:f>
              <c:numCache>
                <c:formatCode>0.0</c:formatCode>
                <c:ptCount val="101"/>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A7ED-4BB2-BB4F-6969824E41D0}"/>
            </c:ext>
          </c:extLst>
        </c:ser>
        <c:dLbls>
          <c:showLegendKey val="0"/>
          <c:showVal val="0"/>
          <c:showCatName val="0"/>
          <c:showSerName val="0"/>
          <c:showPercent val="0"/>
          <c:showBubbleSize val="0"/>
        </c:dLbls>
        <c:axId val="447869696"/>
        <c:axId val="447871616"/>
      </c:scatterChart>
      <c:valAx>
        <c:axId val="447869696"/>
        <c:scaling>
          <c:orientation val="minMax"/>
        </c:scaling>
        <c:delete val="0"/>
        <c:axPos val="b"/>
        <c:majorGridlines/>
        <c:title>
          <c:tx>
            <c:rich>
              <a:bodyPr/>
              <a:lstStyle/>
              <a:p>
                <a:pPr>
                  <a:defRPr lang="ja-JP"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975" b="1" i="0" u="none" strike="noStrike" baseline="0">
                <a:solidFill>
                  <a:srgbClr val="000000"/>
                </a:solidFill>
                <a:latin typeface="Arial"/>
                <a:ea typeface="Arial"/>
                <a:cs typeface="Arial"/>
              </a:defRPr>
            </a:pPr>
            <a:endParaRPr lang="en-US"/>
          </a:p>
        </c:txPr>
        <c:crossAx val="447871616"/>
        <c:crosses val="autoZero"/>
        <c:crossBetween val="midCat"/>
      </c:valAx>
      <c:valAx>
        <c:axId val="447871616"/>
        <c:scaling>
          <c:orientation val="minMax"/>
        </c:scaling>
        <c:delete val="0"/>
        <c:axPos val="l"/>
        <c:majorGridlines>
          <c:spPr>
            <a:ln w="3175">
              <a:solidFill>
                <a:srgbClr val="000000"/>
              </a:solidFill>
              <a:prstDash val="solid"/>
            </a:ln>
          </c:spPr>
        </c:majorGridlines>
        <c:title>
          <c:tx>
            <c:rich>
              <a:bodyPr/>
              <a:lstStyle/>
              <a:p>
                <a:pPr>
                  <a:defRPr lang="ja-JP"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ja-JP" sz="1200" b="1" i="0" u="none" strike="noStrike" baseline="0">
                <a:solidFill>
                  <a:srgbClr val="000000"/>
                </a:solidFill>
                <a:latin typeface="Arial"/>
                <a:ea typeface="Arial"/>
                <a:cs typeface="Arial"/>
              </a:defRPr>
            </a:pPr>
            <a:endParaRPr lang="en-US"/>
          </a:p>
        </c:txPr>
        <c:crossAx val="44786969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lang="ja-JP"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Single'!$CB$5:$CB$105</c:f>
              <c:numCache>
                <c:formatCode>0.00</c:formatCode>
                <c:ptCount val="101"/>
                <c:pt idx="0">
                  <c:v>1.2160998152881747E-4</c:v>
                </c:pt>
                <c:pt idx="1">
                  <c:v>83.854061296468402</c:v>
                </c:pt>
                <c:pt idx="2">
                  <c:v>89.751760793884486</c:v>
                </c:pt>
                <c:pt idx="3">
                  <c:v>90.421137115258347</c:v>
                </c:pt>
                <c:pt idx="4">
                  <c:v>90.758388167913296</c:v>
                </c:pt>
                <c:pt idx="5">
                  <c:v>90.960987093669175</c:v>
                </c:pt>
                <c:pt idx="6">
                  <c:v>91.095751076065284</c:v>
                </c:pt>
                <c:pt idx="7">
                  <c:v>91.191563118237013</c:v>
                </c:pt>
                <c:pt idx="8">
                  <c:v>91.262946555314556</c:v>
                </c:pt>
                <c:pt idx="9">
                  <c:v>91.318002438967554</c:v>
                </c:pt>
                <c:pt idx="10">
                  <c:v>91.361606105425579</c:v>
                </c:pt>
                <c:pt idx="11">
                  <c:v>91.396867357744583</c:v>
                </c:pt>
                <c:pt idx="12">
                  <c:v>91.425863320284577</c:v>
                </c:pt>
                <c:pt idx="13">
                  <c:v>91.450034234741963</c:v>
                </c:pt>
                <c:pt idx="14">
                  <c:v>91.470410179916485</c:v>
                </c:pt>
                <c:pt idx="15">
                  <c:v>91.487747378377421</c:v>
                </c:pt>
                <c:pt idx="16">
                  <c:v>91.502613533367466</c:v>
                </c:pt>
                <c:pt idx="17">
                  <c:v>91.515443127358154</c:v>
                </c:pt>
                <c:pt idx="18">
                  <c:v>91.526574334323499</c:v>
                </c:pt>
                <c:pt idx="19">
                  <c:v>91.53627430340994</c:v>
                </c:pt>
                <c:pt idx="20">
                  <c:v>91.544756874756743</c:v>
                </c:pt>
                <c:pt idx="21">
                  <c:v>91.552195244618702</c:v>
                </c:pt>
                <c:pt idx="22">
                  <c:v>91.558731183507817</c:v>
                </c:pt>
                <c:pt idx="23">
                  <c:v>91.564481854359641</c:v>
                </c:pt>
                <c:pt idx="24">
                  <c:v>91.569544929390105</c:v>
                </c:pt>
                <c:pt idx="25">
                  <c:v>91.574002481141974</c:v>
                </c:pt>
                <c:pt idx="26">
                  <c:v>91.577923977169448</c:v>
                </c:pt>
                <c:pt idx="27">
                  <c:v>91.581368610358965</c:v>
                </c:pt>
                <c:pt idx="28">
                  <c:v>91.584387130707583</c:v>
                </c:pt>
                <c:pt idx="29">
                  <c:v>91.587023298707251</c:v>
                </c:pt>
                <c:pt idx="30">
                  <c:v>91.589315048493617</c:v>
                </c:pt>
                <c:pt idx="31">
                  <c:v>91.591295426199679</c:v>
                </c:pt>
                <c:pt idx="32">
                  <c:v>91.592993352618478</c:v>
                </c:pt>
                <c:pt idx="33">
                  <c:v>91.594434247391206</c:v>
                </c:pt>
                <c:pt idx="34">
                  <c:v>91.595640543191934</c:v>
                </c:pt>
                <c:pt idx="35">
                  <c:v>91.596632111881007</c:v>
                </c:pt>
                <c:pt idx="36">
                  <c:v>91.59742661972281</c:v>
                </c:pt>
                <c:pt idx="37">
                  <c:v>91.59803982507151</c:v>
                </c:pt>
                <c:pt idx="38">
                  <c:v>91.59848582910999</c:v>
                </c:pt>
                <c:pt idx="39">
                  <c:v>91.862173294534827</c:v>
                </c:pt>
                <c:pt idx="40">
                  <c:v>91.966981180931455</c:v>
                </c:pt>
                <c:pt idx="41">
                  <c:v>92.065822135702973</c:v>
                </c:pt>
                <c:pt idx="42">
                  <c:v>92.159113993670942</c:v>
                </c:pt>
                <c:pt idx="43">
                  <c:v>92.247240471198324</c:v>
                </c:pt>
                <c:pt idx="44">
                  <c:v>92.330550401540293</c:v>
                </c:pt>
                <c:pt idx="45">
                  <c:v>92.409361582385202</c:v>
                </c:pt>
                <c:pt idx="46">
                  <c:v>92.483964126692726</c:v>
                </c:pt>
                <c:pt idx="47">
                  <c:v>92.554623389819241</c:v>
                </c:pt>
                <c:pt idx="48">
                  <c:v>92.621582533949223</c:v>
                </c:pt>
                <c:pt idx="49">
                  <c:v>92.685064781039443</c:v>
                </c:pt>
                <c:pt idx="50">
                  <c:v>92.745275397405251</c:v>
                </c:pt>
                <c:pt idx="51">
                  <c:v>92.802403446403588</c:v>
                </c:pt>
                <c:pt idx="52">
                  <c:v>92.856623340130199</c:v>
                </c:pt>
                <c:pt idx="53">
                  <c:v>92.908096216436704</c:v>
                </c:pt>
                <c:pt idx="54">
                  <c:v>92.956971163720056</c:v>
                </c:pt>
                <c:pt idx="55">
                  <c:v>93.003386312706311</c:v>
                </c:pt>
                <c:pt idx="56">
                  <c:v>93.047469811730622</c:v>
                </c:pt>
                <c:pt idx="57">
                  <c:v>93.089340699723138</c:v>
                </c:pt>
                <c:pt idx="58">
                  <c:v>93.129109689165929</c:v>
                </c:pt>
                <c:pt idx="59">
                  <c:v>93.166879869638592</c:v>
                </c:pt>
                <c:pt idx="60">
                  <c:v>93.202747341164169</c:v>
                </c:pt>
                <c:pt idx="61">
                  <c:v>93.23680178536938</c:v>
                </c:pt>
                <c:pt idx="62">
                  <c:v>93.269126981444657</c:v>
                </c:pt>
                <c:pt idx="63">
                  <c:v>93.299801273009848</c:v>
                </c:pt>
                <c:pt idx="64">
                  <c:v>93.328897991231472</c:v>
                </c:pt>
                <c:pt idx="65">
                  <c:v>93.356485838884268</c:v>
                </c:pt>
                <c:pt idx="66">
                  <c:v>93.382629239483435</c:v>
                </c:pt>
                <c:pt idx="67">
                  <c:v>93.407388655123782</c:v>
                </c:pt>
                <c:pt idx="68">
                  <c:v>93.430820876236524</c:v>
                </c:pt>
                <c:pt idx="69">
                  <c:v>93.452979286103357</c:v>
                </c:pt>
                <c:pt idx="70">
                  <c:v>93.473914102644514</c:v>
                </c:pt>
                <c:pt idx="71">
                  <c:v>93.493672599714785</c:v>
                </c:pt>
                <c:pt idx="72">
                  <c:v>93.51229930989436</c:v>
                </c:pt>
                <c:pt idx="73">
                  <c:v>93.529836210543749</c:v>
                </c:pt>
                <c:pt idx="74">
                  <c:v>93.546322894702072</c:v>
                </c:pt>
                <c:pt idx="75">
                  <c:v>93.56179672823896</c:v>
                </c:pt>
                <c:pt idx="76">
                  <c:v>93.576292994523271</c:v>
                </c:pt>
                <c:pt idx="77">
                  <c:v>93.589845027739798</c:v>
                </c:pt>
                <c:pt idx="78">
                  <c:v>93.602484335870088</c:v>
                </c:pt>
                <c:pt idx="79">
                  <c:v>93.61424071425013</c:v>
                </c:pt>
                <c:pt idx="80">
                  <c:v>93.625142350526986</c:v>
                </c:pt>
                <c:pt idx="81">
                  <c:v>93.635215921754707</c:v>
                </c:pt>
                <c:pt idx="82">
                  <c:v>93.644486684298329</c:v>
                </c:pt>
                <c:pt idx="83">
                  <c:v>93.652978557149439</c:v>
                </c:pt>
                <c:pt idx="84">
                  <c:v>93.660714199200285</c:v>
                </c:pt>
                <c:pt idx="85">
                  <c:v>93.667715080970794</c:v>
                </c:pt>
                <c:pt idx="86">
                  <c:v>93.674001551237666</c:v>
                </c:pt>
                <c:pt idx="87">
                  <c:v>93.679592898972786</c:v>
                </c:pt>
                <c:pt idx="88">
                  <c:v>93.684507410961459</c:v>
                </c:pt>
                <c:pt idx="89">
                  <c:v>93.688762425437062</c:v>
                </c:pt>
                <c:pt idx="90">
                  <c:v>93.692374382039162</c:v>
                </c:pt>
                <c:pt idx="91">
                  <c:v>93.695358868374797</c:v>
                </c:pt>
                <c:pt idx="92">
                  <c:v>93.697730663438065</c:v>
                </c:pt>
                <c:pt idx="93">
                  <c:v>93.699503778121169</c:v>
                </c:pt>
                <c:pt idx="94">
                  <c:v>93.700691493030263</c:v>
                </c:pt>
                <c:pt idx="95">
                  <c:v>93.701306393800692</c:v>
                </c:pt>
                <c:pt idx="96">
                  <c:v>93.701360404090735</c:v>
                </c:pt>
                <c:pt idx="97">
                  <c:v>93.700864816417223</c:v>
                </c:pt>
                <c:pt idx="98">
                  <c:v>93.699830320983082</c:v>
                </c:pt>
                <c:pt idx="99">
                  <c:v>93.698267032634902</c:v>
                </c:pt>
                <c:pt idx="100">
                  <c:v>93.696184516076968</c:v>
                </c:pt>
              </c:numCache>
            </c:numRef>
          </c:val>
          <c:smooth val="0"/>
          <c:extLst>
            <c:ext xmlns:c16="http://schemas.microsoft.com/office/drawing/2014/chart" uri="{C3380CC4-5D6E-409C-BE32-E72D297353CC}">
              <c16:uniqueId val="{00000000-3B81-4204-928B-6CDC733DE792}"/>
            </c:ext>
          </c:extLst>
        </c:ser>
        <c:dLbls>
          <c:showLegendKey val="0"/>
          <c:showVal val="0"/>
          <c:showCatName val="0"/>
          <c:showSerName val="0"/>
          <c:showPercent val="0"/>
          <c:showBubbleSize val="0"/>
        </c:dLbls>
        <c:marker val="1"/>
        <c:smooth val="0"/>
        <c:axId val="451805952"/>
        <c:axId val="451807872"/>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2.2187500000000001E-6</c:v>
                </c:pt>
                <c:pt idx="1">
                  <c:v>11.09375</c:v>
                </c:pt>
                <c:pt idx="2">
                  <c:v>22.1875</c:v>
                </c:pt>
                <c:pt idx="3">
                  <c:v>33.28125</c:v>
                </c:pt>
                <c:pt idx="4">
                  <c:v>44.375</c:v>
                </c:pt>
                <c:pt idx="5">
                  <c:v>55.46875</c:v>
                </c:pt>
                <c:pt idx="6">
                  <c:v>66.5625</c:v>
                </c:pt>
                <c:pt idx="7">
                  <c:v>77.656250000000014</c:v>
                </c:pt>
                <c:pt idx="8">
                  <c:v>88.75</c:v>
                </c:pt>
                <c:pt idx="9">
                  <c:v>99.843749999999986</c:v>
                </c:pt>
                <c:pt idx="10">
                  <c:v>110.9375</c:v>
                </c:pt>
                <c:pt idx="11">
                  <c:v>122.03125000000001</c:v>
                </c:pt>
                <c:pt idx="12">
                  <c:v>133.125</c:v>
                </c:pt>
                <c:pt idx="13">
                  <c:v>144.21875</c:v>
                </c:pt>
                <c:pt idx="14">
                  <c:v>155.31250000000003</c:v>
                </c:pt>
                <c:pt idx="15">
                  <c:v>166.40624999999997</c:v>
                </c:pt>
                <c:pt idx="16">
                  <c:v>177.5</c:v>
                </c:pt>
                <c:pt idx="17">
                  <c:v>188.59375</c:v>
                </c:pt>
                <c:pt idx="18">
                  <c:v>199.68749999999997</c:v>
                </c:pt>
                <c:pt idx="19">
                  <c:v>210.78124999999997</c:v>
                </c:pt>
                <c:pt idx="20">
                  <c:v>221.875</c:v>
                </c:pt>
                <c:pt idx="21">
                  <c:v>232.96875</c:v>
                </c:pt>
                <c:pt idx="22">
                  <c:v>244.06250000000003</c:v>
                </c:pt>
                <c:pt idx="23">
                  <c:v>255.15625000000003</c:v>
                </c:pt>
                <c:pt idx="24">
                  <c:v>266.25</c:v>
                </c:pt>
                <c:pt idx="25">
                  <c:v>277.34375</c:v>
                </c:pt>
                <c:pt idx="26">
                  <c:v>288.4375</c:v>
                </c:pt>
                <c:pt idx="27">
                  <c:v>299.53125</c:v>
                </c:pt>
                <c:pt idx="28">
                  <c:v>310.62500000000006</c:v>
                </c:pt>
                <c:pt idx="29">
                  <c:v>321.71875</c:v>
                </c:pt>
                <c:pt idx="30">
                  <c:v>332.81249999999994</c:v>
                </c:pt>
                <c:pt idx="31">
                  <c:v>343.90624999999994</c:v>
                </c:pt>
                <c:pt idx="32">
                  <c:v>355</c:v>
                </c:pt>
                <c:pt idx="33">
                  <c:v>366.09375</c:v>
                </c:pt>
                <c:pt idx="34">
                  <c:v>377.1875</c:v>
                </c:pt>
                <c:pt idx="35">
                  <c:v>388.28124999999994</c:v>
                </c:pt>
                <c:pt idx="36">
                  <c:v>399.37499999999994</c:v>
                </c:pt>
                <c:pt idx="37">
                  <c:v>410.46875</c:v>
                </c:pt>
                <c:pt idx="38">
                  <c:v>421.56249999999994</c:v>
                </c:pt>
                <c:pt idx="39">
                  <c:v>432.65625</c:v>
                </c:pt>
                <c:pt idx="40">
                  <c:v>443.75</c:v>
                </c:pt>
                <c:pt idx="41">
                  <c:v>454.84374999999994</c:v>
                </c:pt>
                <c:pt idx="42">
                  <c:v>465.9375</c:v>
                </c:pt>
                <c:pt idx="43">
                  <c:v>477.03124999999994</c:v>
                </c:pt>
                <c:pt idx="44">
                  <c:v>488.12500000000006</c:v>
                </c:pt>
                <c:pt idx="45">
                  <c:v>499.21875</c:v>
                </c:pt>
                <c:pt idx="46">
                  <c:v>510.31250000000006</c:v>
                </c:pt>
                <c:pt idx="47">
                  <c:v>521.40624999999989</c:v>
                </c:pt>
                <c:pt idx="48">
                  <c:v>532.5</c:v>
                </c:pt>
                <c:pt idx="49">
                  <c:v>543.59375</c:v>
                </c:pt>
                <c:pt idx="50">
                  <c:v>554.6875</c:v>
                </c:pt>
                <c:pt idx="51">
                  <c:v>565.78124999999989</c:v>
                </c:pt>
                <c:pt idx="52">
                  <c:v>576.875</c:v>
                </c:pt>
                <c:pt idx="53">
                  <c:v>587.96875</c:v>
                </c:pt>
                <c:pt idx="54">
                  <c:v>599.0625</c:v>
                </c:pt>
                <c:pt idx="55">
                  <c:v>610.15625</c:v>
                </c:pt>
                <c:pt idx="56">
                  <c:v>621.25000000000011</c:v>
                </c:pt>
                <c:pt idx="57">
                  <c:v>632.34374999999989</c:v>
                </c:pt>
                <c:pt idx="58">
                  <c:v>643.4375</c:v>
                </c:pt>
                <c:pt idx="59">
                  <c:v>654.53124999999989</c:v>
                </c:pt>
                <c:pt idx="60">
                  <c:v>665.62499999999989</c:v>
                </c:pt>
                <c:pt idx="61">
                  <c:v>676.71874999999989</c:v>
                </c:pt>
                <c:pt idx="62">
                  <c:v>687.81249999999989</c:v>
                </c:pt>
                <c:pt idx="63">
                  <c:v>698.90625</c:v>
                </c:pt>
                <c:pt idx="64">
                  <c:v>710</c:v>
                </c:pt>
                <c:pt idx="65">
                  <c:v>721.09375</c:v>
                </c:pt>
                <c:pt idx="66">
                  <c:v>732.1875</c:v>
                </c:pt>
                <c:pt idx="67">
                  <c:v>743.28125</c:v>
                </c:pt>
                <c:pt idx="68">
                  <c:v>754.375</c:v>
                </c:pt>
                <c:pt idx="69">
                  <c:v>765.46874999999989</c:v>
                </c:pt>
                <c:pt idx="70">
                  <c:v>776.56249999999989</c:v>
                </c:pt>
                <c:pt idx="71">
                  <c:v>787.65625</c:v>
                </c:pt>
                <c:pt idx="72">
                  <c:v>798.74999999999989</c:v>
                </c:pt>
                <c:pt idx="73">
                  <c:v>809.84375</c:v>
                </c:pt>
                <c:pt idx="74">
                  <c:v>820.9375</c:v>
                </c:pt>
                <c:pt idx="75">
                  <c:v>832.03125</c:v>
                </c:pt>
                <c:pt idx="76">
                  <c:v>843.12499999999989</c:v>
                </c:pt>
                <c:pt idx="77">
                  <c:v>854.21875</c:v>
                </c:pt>
                <c:pt idx="78">
                  <c:v>865.3125</c:v>
                </c:pt>
                <c:pt idx="79">
                  <c:v>876.40624999999989</c:v>
                </c:pt>
                <c:pt idx="80">
                  <c:v>887.5</c:v>
                </c:pt>
                <c:pt idx="81">
                  <c:v>898.59375000000011</c:v>
                </c:pt>
                <c:pt idx="82">
                  <c:v>909.68749999999989</c:v>
                </c:pt>
                <c:pt idx="83">
                  <c:v>920.78124999999989</c:v>
                </c:pt>
                <c:pt idx="84">
                  <c:v>931.875</c:v>
                </c:pt>
                <c:pt idx="85">
                  <c:v>942.96874999999989</c:v>
                </c:pt>
                <c:pt idx="86">
                  <c:v>954.06249999999989</c:v>
                </c:pt>
                <c:pt idx="87">
                  <c:v>965.15624999999977</c:v>
                </c:pt>
                <c:pt idx="88">
                  <c:v>976.25000000000011</c:v>
                </c:pt>
                <c:pt idx="89">
                  <c:v>987.34375</c:v>
                </c:pt>
                <c:pt idx="90">
                  <c:v>998.4375</c:v>
                </c:pt>
                <c:pt idx="91">
                  <c:v>1009.53125</c:v>
                </c:pt>
                <c:pt idx="92">
                  <c:v>1020.6250000000001</c:v>
                </c:pt>
                <c:pt idx="93">
                  <c:v>1031.71875</c:v>
                </c:pt>
                <c:pt idx="94">
                  <c:v>1042.8124999999998</c:v>
                </c:pt>
                <c:pt idx="95">
                  <c:v>1053.90625</c:v>
                </c:pt>
                <c:pt idx="96">
                  <c:v>1065</c:v>
                </c:pt>
                <c:pt idx="97">
                  <c:v>1076.0937499999998</c:v>
                </c:pt>
                <c:pt idx="98">
                  <c:v>1087.1875</c:v>
                </c:pt>
                <c:pt idx="99">
                  <c:v>1098.2812499999998</c:v>
                </c:pt>
                <c:pt idx="100">
                  <c:v>1109.375</c:v>
                </c:pt>
              </c:numCache>
            </c:numRef>
          </c:val>
          <c:smooth val="0"/>
          <c:extLst>
            <c:ext xmlns:c16="http://schemas.microsoft.com/office/drawing/2014/chart" uri="{C3380CC4-5D6E-409C-BE32-E72D297353CC}">
              <c16:uniqueId val="{00000001-3B81-4204-928B-6CDC733DE792}"/>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87.357659262096632</c:v>
                </c:pt>
                <c:pt idx="1">
                  <c:v>87.378140690773165</c:v>
                </c:pt>
                <c:pt idx="2">
                  <c:v>93.27200281516123</c:v>
                </c:pt>
                <c:pt idx="3">
                  <c:v>139.97979296464996</c:v>
                </c:pt>
                <c:pt idx="4">
                  <c:v>186.73554055464308</c:v>
                </c:pt>
                <c:pt idx="5">
                  <c:v>233.53931948386577</c:v>
                </c:pt>
                <c:pt idx="6">
                  <c:v>280.39120380295077</c:v>
                </c:pt>
                <c:pt idx="7">
                  <c:v>327.29126771482913</c:v>
                </c:pt>
                <c:pt idx="8">
                  <c:v>374.23958557512208</c:v>
                </c:pt>
                <c:pt idx="9">
                  <c:v>421.23623189253334</c:v>
                </c:pt>
                <c:pt idx="10">
                  <c:v>468.28128132924405</c:v>
                </c:pt>
                <c:pt idx="11">
                  <c:v>515.3748087013073</c:v>
                </c:pt>
                <c:pt idx="12">
                  <c:v>562.51688897904614</c:v>
                </c:pt>
                <c:pt idx="13">
                  <c:v>609.7075972874494</c:v>
                </c:pt>
                <c:pt idx="14">
                  <c:v>656.94700890657259</c:v>
                </c:pt>
                <c:pt idx="15">
                  <c:v>704.23519927193729</c:v>
                </c:pt>
                <c:pt idx="16">
                  <c:v>751.5722439749328</c:v>
                </c:pt>
                <c:pt idx="17">
                  <c:v>798.95821876321872</c:v>
                </c:pt>
                <c:pt idx="18">
                  <c:v>846.39319954112977</c:v>
                </c:pt>
                <c:pt idx="19">
                  <c:v>893.87726237008019</c:v>
                </c:pt>
                <c:pt idx="20">
                  <c:v>941.41048346897071</c:v>
                </c:pt>
                <c:pt idx="21">
                  <c:v>988.99293921459628</c:v>
                </c:pt>
                <c:pt idx="22">
                  <c:v>1036.6247061420547</c:v>
                </c:pt>
                <c:pt idx="23">
                  <c:v>1084.3058609451593</c:v>
                </c:pt>
                <c:pt idx="24">
                  <c:v>1132.036480476846</c:v>
                </c:pt>
                <c:pt idx="25">
                  <c:v>1179.8166417495902</c:v>
                </c:pt>
                <c:pt idx="26">
                  <c:v>1227.6464219358202</c:v>
                </c:pt>
                <c:pt idx="27">
                  <c:v>1275.5258983683316</c:v>
                </c:pt>
                <c:pt idx="28">
                  <c:v>1323.4551485407044</c:v>
                </c:pt>
                <c:pt idx="29">
                  <c:v>1371.4342501077219</c:v>
                </c:pt>
                <c:pt idx="30">
                  <c:v>1419.4632808857893</c:v>
                </c:pt>
                <c:pt idx="31">
                  <c:v>1467.5423188533543</c:v>
                </c:pt>
                <c:pt idx="32">
                  <c:v>1515.6714421513302</c:v>
                </c:pt>
                <c:pt idx="33">
                  <c:v>1563.8507290835175</c:v>
                </c:pt>
                <c:pt idx="34">
                  <c:v>1612.0802581170296</c:v>
                </c:pt>
                <c:pt idx="35">
                  <c:v>1660.3601078827205</c:v>
                </c:pt>
                <c:pt idx="36">
                  <c:v>1708.6903571756072</c:v>
                </c:pt>
                <c:pt idx="37">
                  <c:v>1757.0710849553043</c:v>
                </c:pt>
                <c:pt idx="38">
                  <c:v>1805.5023703464492</c:v>
                </c:pt>
                <c:pt idx="39">
                  <c:v>1760.6871984369536</c:v>
                </c:pt>
                <c:pt idx="40">
                  <c:v>1768.2535147463955</c:v>
                </c:pt>
                <c:pt idx="41">
                  <c:v>1776.0174134019658</c:v>
                </c:pt>
                <c:pt idx="42">
                  <c:v>1783.9821086909822</c:v>
                </c:pt>
                <c:pt idx="43">
                  <c:v>1792.1496197132881</c:v>
                </c:pt>
                <c:pt idx="44">
                  <c:v>1800.5219520369112</c:v>
                </c:pt>
                <c:pt idx="45">
                  <c:v>1809.1011041603094</c:v>
                </c:pt>
                <c:pt idx="46">
                  <c:v>1817.8890732680647</c:v>
                </c:pt>
                <c:pt idx="47">
                  <c:v>1826.8878603847634</c:v>
                </c:pt>
                <c:pt idx="48">
                  <c:v>1836.0994750151472</c:v>
                </c:pt>
                <c:pt idx="49">
                  <c:v>1845.5259393449016</c:v>
                </c:pt>
                <c:pt idx="50">
                  <c:v>1855.1692920651092</c:v>
                </c:pt>
                <c:pt idx="51">
                  <c:v>1865.0315918739968</c:v>
                </c:pt>
                <c:pt idx="52">
                  <c:v>1875.1149207017806</c:v>
                </c:pt>
                <c:pt idx="53">
                  <c:v>1885.4213866978728</c:v>
                </c:pt>
                <c:pt idx="54">
                  <c:v>1895.953127014229</c:v>
                </c:pt>
                <c:pt idx="55">
                  <c:v>1906.7123104139985</c:v>
                </c:pt>
                <c:pt idx="56">
                  <c:v>1917.7011397307656</c:v>
                </c:pt>
                <c:pt idx="57">
                  <c:v>1928.921854200373</c:v>
                </c:pt>
                <c:pt idx="58">
                  <c:v>1940.376731684531</c:v>
                </c:pt>
                <c:pt idx="59">
                  <c:v>1952.0680908030354</c:v>
                </c:pt>
                <c:pt idx="60">
                  <c:v>1963.9982929894236</c:v>
                </c:pt>
                <c:pt idx="61">
                  <c:v>1976.1697444831375</c:v>
                </c:pt>
                <c:pt idx="62">
                  <c:v>1988.5848982698246</c:v>
                </c:pt>
                <c:pt idx="63">
                  <c:v>2001.2462559801206</c:v>
                </c:pt>
                <c:pt idx="64">
                  <c:v>2014.1563697561674</c:v>
                </c:pt>
                <c:pt idx="65">
                  <c:v>2027.3178440942336</c:v>
                </c:pt>
                <c:pt idx="66">
                  <c:v>2040.7333376709405</c:v>
                </c:pt>
                <c:pt idx="67">
                  <c:v>2054.4055651599656</c:v>
                </c:pt>
                <c:pt idx="68">
                  <c:v>2068.3372990454709</c:v>
                </c:pt>
                <c:pt idx="69">
                  <c:v>2082.5313714380263</c:v>
                </c:pt>
                <c:pt idx="70">
                  <c:v>2096.9906758983225</c:v>
                </c:pt>
                <c:pt idx="71">
                  <c:v>2111.7181692736399</c:v>
                </c:pt>
                <c:pt idx="72">
                  <c:v>2126.7168735516861</c:v>
                </c:pt>
                <c:pt idx="73">
                  <c:v>2141.9898777361918</c:v>
                </c:pt>
                <c:pt idx="74">
                  <c:v>2157.5403397483492</c:v>
                </c:pt>
                <c:pt idx="75">
                  <c:v>2173.3714883580956</c:v>
                </c:pt>
                <c:pt idx="76">
                  <c:v>2189.4866251489825</c:v>
                </c:pt>
                <c:pt idx="77">
                  <c:v>2205.8891265203047</c:v>
                </c:pt>
                <c:pt idx="78">
                  <c:v>2222.5824457300587</c:v>
                </c:pt>
                <c:pt idx="79">
                  <c:v>2239.5701149821871</c:v>
                </c:pt>
                <c:pt idx="80">
                  <c:v>2256.8557475615521</c:v>
                </c:pt>
                <c:pt idx="81">
                  <c:v>2274.443040020004</c:v>
                </c:pt>
                <c:pt idx="82">
                  <c:v>2292.3357744169311</c:v>
                </c:pt>
                <c:pt idx="83">
                  <c:v>2310.537820617636</c:v>
                </c:pt>
                <c:pt idx="84">
                  <c:v>2329.0531386529124</c:v>
                </c:pt>
                <c:pt idx="85">
                  <c:v>2347.885781143244</c:v>
                </c:pt>
                <c:pt idx="86">
                  <c:v>2367.0398957910379</c:v>
                </c:pt>
                <c:pt idx="87">
                  <c:v>2386.5197279444001</c:v>
                </c:pt>
                <c:pt idx="88">
                  <c:v>2406.3296232360112</c:v>
                </c:pt>
                <c:pt idx="89">
                  <c:v>2426.4740303007293</c:v>
                </c:pt>
                <c:pt idx="90">
                  <c:v>2446.9575035756429</c:v>
                </c:pt>
                <c:pt idx="91">
                  <c:v>2467.7847061864009</c:v>
                </c:pt>
                <c:pt idx="92">
                  <c:v>2488.9604129237418</c:v>
                </c:pt>
                <c:pt idx="93">
                  <c:v>2510.4895133142882</c:v>
                </c:pt>
                <c:pt idx="94">
                  <c:v>2532.3770147897785</c:v>
                </c:pt>
                <c:pt idx="95">
                  <c:v>2554.6280459590835</c:v>
                </c:pt>
                <c:pt idx="96">
                  <c:v>2577.2478599874735</c:v>
                </c:pt>
                <c:pt idx="97">
                  <c:v>2600.2418380878094</c:v>
                </c:pt>
                <c:pt idx="98">
                  <c:v>2623.6154931284905</c:v>
                </c:pt>
                <c:pt idx="99">
                  <c:v>2647.3744733631606</c:v>
                </c:pt>
                <c:pt idx="100">
                  <c:v>2671.5245662874313</c:v>
                </c:pt>
              </c:numCache>
            </c:numRef>
          </c:val>
          <c:smooth val="0"/>
          <c:extLst>
            <c:ext xmlns:c16="http://schemas.microsoft.com/office/drawing/2014/chart" uri="{C3380CC4-5D6E-409C-BE32-E72D297353CC}">
              <c16:uniqueId val="{00000002-3B81-4204-928B-6CDC733DE792}"/>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40.438135993020772</c:v>
                </c:pt>
                <c:pt idx="1">
                  <c:v>53.222579539945478</c:v>
                </c:pt>
                <c:pt idx="2">
                  <c:v>66.248550495818591</c:v>
                </c:pt>
                <c:pt idx="3">
                  <c:v>80.960878264659712</c:v>
                </c:pt>
                <c:pt idx="4">
                  <c:v>95.674586937709222</c:v>
                </c:pt>
                <c:pt idx="5">
                  <c:v>110.38967672570207</c:v>
                </c:pt>
                <c:pt idx="6">
                  <c:v>125.1061478394159</c:v>
                </c:pt>
                <c:pt idx="7">
                  <c:v>139.82400048967131</c:v>
                </c:pt>
                <c:pt idx="8">
                  <c:v>154.54323488733183</c:v>
                </c:pt>
                <c:pt idx="9">
                  <c:v>169.26385124330392</c:v>
                </c:pt>
                <c:pt idx="10">
                  <c:v>183.98584976853687</c:v>
                </c:pt>
                <c:pt idx="11">
                  <c:v>198.7092306740229</c:v>
                </c:pt>
                <c:pt idx="12">
                  <c:v>213.43399417079735</c:v>
                </c:pt>
                <c:pt idx="13">
                  <c:v>228.16014046993834</c:v>
                </c:pt>
                <c:pt idx="14">
                  <c:v>242.88766978256703</c:v>
                </c:pt>
                <c:pt idx="15">
                  <c:v>257.61658231984762</c:v>
                </c:pt>
                <c:pt idx="16">
                  <c:v>272.34687829298707</c:v>
                </c:pt>
                <c:pt idx="17">
                  <c:v>287.07855791323573</c:v>
                </c:pt>
                <c:pt idx="18">
                  <c:v>301.81162139188655</c:v>
                </c:pt>
                <c:pt idx="19">
                  <c:v>316.54606894027575</c:v>
                </c:pt>
                <c:pt idx="20">
                  <c:v>331.28190076978268</c:v>
                </c:pt>
                <c:pt idx="21">
                  <c:v>346.01911709182923</c:v>
                </c:pt>
                <c:pt idx="22">
                  <c:v>360.75771811788115</c:v>
                </c:pt>
                <c:pt idx="23">
                  <c:v>375.49770405944651</c:v>
                </c:pt>
                <c:pt idx="24">
                  <c:v>390.23907512807671</c:v>
                </c:pt>
                <c:pt idx="25">
                  <c:v>404.98183153536644</c:v>
                </c:pt>
                <c:pt idx="26">
                  <c:v>419.72597349295324</c:v>
                </c:pt>
                <c:pt idx="27">
                  <c:v>434.47150121251804</c:v>
                </c:pt>
                <c:pt idx="28">
                  <c:v>449.21841490578436</c:v>
                </c:pt>
                <c:pt idx="29">
                  <c:v>463.96671478451947</c:v>
                </c:pt>
                <c:pt idx="30">
                  <c:v>478.71640106053354</c:v>
                </c:pt>
                <c:pt idx="31">
                  <c:v>493.46747394567967</c:v>
                </c:pt>
                <c:pt idx="32">
                  <c:v>508.21993365185449</c:v>
                </c:pt>
                <c:pt idx="33">
                  <c:v>522.9737803909976</c:v>
                </c:pt>
                <c:pt idx="34">
                  <c:v>537.72901437509177</c:v>
                </c:pt>
                <c:pt idx="35">
                  <c:v>552.48563581616304</c:v>
                </c:pt>
                <c:pt idx="36">
                  <c:v>567.24364492628081</c:v>
                </c:pt>
                <c:pt idx="37">
                  <c:v>582.00304191755731</c:v>
                </c:pt>
                <c:pt idx="38">
                  <c:v>596.76382700214833</c:v>
                </c:pt>
                <c:pt idx="39">
                  <c:v>608.17205152555437</c:v>
                </c:pt>
                <c:pt idx="40">
                  <c:v>625.74042741533549</c:v>
                </c:pt>
                <c:pt idx="41">
                  <c:v>643.41044306762831</c:v>
                </c:pt>
                <c:pt idx="42">
                  <c:v>661.18189186321126</c:v>
                </c:pt>
                <c:pt idx="43">
                  <c:v>679.05515377738857</c:v>
                </c:pt>
                <c:pt idx="44">
                  <c:v>697.03061342682281</c:v>
                </c:pt>
                <c:pt idx="45">
                  <c:v>715.10866003389185</c:v>
                </c:pt>
                <c:pt idx="46">
                  <c:v>733.28968739957941</c:v>
                </c:pt>
                <c:pt idx="47">
                  <c:v>751.57409388374094</c:v>
                </c:pt>
                <c:pt idx="48">
                  <c:v>769.96228239177879</c:v>
                </c:pt>
                <c:pt idx="49">
                  <c:v>788.45466036690198</c:v>
                </c:pt>
                <c:pt idx="50">
                  <c:v>807.0516397872874</c:v>
                </c:pt>
                <c:pt idx="51">
                  <c:v>825.75363716754907</c:v>
                </c:pt>
                <c:pt idx="52">
                  <c:v>844.56107356402197</c:v>
                </c:pt>
                <c:pt idx="53">
                  <c:v>863.47437458343461</c:v>
                </c:pt>
                <c:pt idx="54">
                  <c:v>882.4939703946078</c:v>
                </c:pt>
                <c:pt idx="55">
                  <c:v>901.62029574286453</c:v>
                </c:pt>
                <c:pt idx="56">
                  <c:v>920.85378996688996</c:v>
                </c:pt>
                <c:pt idx="57">
                  <c:v>940.19489701780401</c:v>
                </c:pt>
                <c:pt idx="58">
                  <c:v>959.64406548025408</c:v>
                </c:pt>
                <c:pt idx="59">
                  <c:v>979.20174859534859</c:v>
                </c:pt>
                <c:pt idx="60">
                  <c:v>998.86840428529274</c:v>
                </c:pt>
                <c:pt idx="61">
                  <c:v>1018.6444951795852</c:v>
                </c:pt>
                <c:pt idx="62">
                  <c:v>1038.5304886426743</c:v>
                </c:pt>
                <c:pt idx="63">
                  <c:v>1058.526856802969</c:v>
                </c:pt>
                <c:pt idx="64">
                  <c:v>1078.6340765831224</c:v>
                </c:pt>
                <c:pt idx="65">
                  <c:v>1098.8526297315152</c:v>
                </c:pt>
                <c:pt idx="66">
                  <c:v>1119.1830028548727</c:v>
                </c:pt>
                <c:pt idx="67">
                  <c:v>1139.6256874519595</c:v>
                </c:pt>
                <c:pt idx="68">
                  <c:v>1160.181179948303</c:v>
                </c:pt>
                <c:pt idx="69">
                  <c:v>1180.8499817319066</c:v>
                </c:pt>
                <c:pt idx="70">
                  <c:v>1201.6325991899105</c:v>
                </c:pt>
                <c:pt idx="71">
                  <c:v>1222.5295437461691</c:v>
                </c:pt>
                <c:pt idx="72">
                  <c:v>1243.5413318997248</c:v>
                </c:pt>
                <c:pt idx="73">
                  <c:v>1264.6684852641417</c:v>
                </c:pt>
                <c:pt idx="74">
                  <c:v>1285.9115306076883</c:v>
                </c:pt>
                <c:pt idx="75">
                  <c:v>1307.2709998943508</c:v>
                </c:pt>
                <c:pt idx="76">
                  <c:v>1328.7474303256581</c:v>
                </c:pt>
                <c:pt idx="77">
                  <c:v>1350.3413643833069</c:v>
                </c:pt>
                <c:pt idx="78">
                  <c:v>1372.053349872582</c:v>
                </c:pt>
                <c:pt idx="79">
                  <c:v>1393.8839399665567</c:v>
                </c:pt>
                <c:pt idx="80">
                  <c:v>1415.8336932510706</c:v>
                </c:pt>
                <c:pt idx="81">
                  <c:v>1437.9031737704784</c:v>
                </c:pt>
                <c:pt idx="82">
                  <c:v>1460.0929510741644</c:v>
                </c:pt>
                <c:pt idx="83">
                  <c:v>1482.4036002638286</c:v>
                </c:pt>
                <c:pt idx="84">
                  <c:v>1504.8357020415251</c:v>
                </c:pt>
                <c:pt idx="85">
                  <c:v>1527.3898427584777</c:v>
                </c:pt>
                <c:pt idx="86">
                  <c:v>1550.0666144646482</c:v>
                </c:pt>
                <c:pt idx="87">
                  <c:v>1572.8666149590795</c:v>
                </c:pt>
                <c:pt idx="88">
                  <c:v>1595.7904478409994</c:v>
                </c:pt>
                <c:pt idx="89">
                  <c:v>1618.8387225617037</c:v>
                </c:pt>
                <c:pt idx="90">
                  <c:v>1642.0120544772099</c:v>
                </c:pt>
                <c:pt idx="91">
                  <c:v>1665.3110649016915</c:v>
                </c:pt>
                <c:pt idx="92">
                  <c:v>1688.7363811616985</c:v>
                </c:pt>
                <c:pt idx="93">
                  <c:v>1712.288636651168</c:v>
                </c:pt>
                <c:pt idx="94">
                  <c:v>1735.9684708872353</c:v>
                </c:pt>
                <c:pt idx="95">
                  <c:v>1759.7765295668414</c:v>
                </c:pt>
                <c:pt idx="96">
                  <c:v>1783.7134646241605</c:v>
                </c:pt>
                <c:pt idx="97">
                  <c:v>1807.7799342888368</c:v>
                </c:pt>
                <c:pt idx="98">
                  <c:v>1831.9766031450583</c:v>
                </c:pt>
                <c:pt idx="99">
                  <c:v>1856.3041421914572</c:v>
                </c:pt>
                <c:pt idx="100">
                  <c:v>1880.7632289018563</c:v>
                </c:pt>
              </c:numCache>
            </c:numRef>
          </c:val>
          <c:smooth val="0"/>
          <c:extLst>
            <c:ext xmlns:c16="http://schemas.microsoft.com/office/drawing/2014/chart" uri="{C3380CC4-5D6E-409C-BE32-E72D297353CC}">
              <c16:uniqueId val="{00000003-3B81-4204-928B-6CDC733DE792}"/>
            </c:ext>
          </c:extLst>
        </c:ser>
        <c:dLbls>
          <c:showLegendKey val="0"/>
          <c:showVal val="0"/>
          <c:showCatName val="0"/>
          <c:showSerName val="0"/>
          <c:showPercent val="0"/>
          <c:showBubbleSize val="0"/>
        </c:dLbls>
        <c:marker val="1"/>
        <c:smooth val="0"/>
        <c:axId val="451820160"/>
        <c:axId val="451818240"/>
      </c:lineChart>
      <c:catAx>
        <c:axId val="451805952"/>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807872"/>
        <c:crosses val="autoZero"/>
        <c:auto val="1"/>
        <c:lblAlgn val="ctr"/>
        <c:lblOffset val="100"/>
        <c:tickLblSkip val="20"/>
        <c:tickMarkSkip val="20"/>
        <c:noMultiLvlLbl val="0"/>
      </c:catAx>
      <c:valAx>
        <c:axId val="451807872"/>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05952"/>
        <c:crossesAt val="0"/>
        <c:crossBetween val="between"/>
        <c:majorUnit val="5"/>
        <c:minorUnit val="2.5"/>
      </c:valAx>
      <c:valAx>
        <c:axId val="45181824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820160"/>
        <c:crosses val="max"/>
        <c:crossBetween val="between"/>
      </c:valAx>
      <c:catAx>
        <c:axId val="451820160"/>
        <c:scaling>
          <c:orientation val="minMax"/>
        </c:scaling>
        <c:delete val="1"/>
        <c:axPos val="b"/>
        <c:numFmt formatCode="General" sourceLinked="1"/>
        <c:majorTickMark val="out"/>
        <c:minorTickMark val="none"/>
        <c:tickLblPos val="nextTo"/>
        <c:crossAx val="45181824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1.4809382944719625E-4</c:v>
                </c:pt>
                <c:pt idx="1">
                  <c:v>86.872885316650354</c:v>
                </c:pt>
                <c:pt idx="2">
                  <c:v>90.328545320751914</c:v>
                </c:pt>
                <c:pt idx="3">
                  <c:v>89.994584887123395</c:v>
                </c:pt>
                <c:pt idx="4">
                  <c:v>89.237010948576696</c:v>
                </c:pt>
                <c:pt idx="5">
                  <c:v>88.253940712789969</c:v>
                </c:pt>
                <c:pt idx="6">
                  <c:v>87.125100933807161</c:v>
                </c:pt>
                <c:pt idx="7">
                  <c:v>85.893404095456773</c:v>
                </c:pt>
                <c:pt idx="8">
                  <c:v>84.586371030937599</c:v>
                </c:pt>
                <c:pt idx="9">
                  <c:v>83.223671847048792</c:v>
                </c:pt>
                <c:pt idx="10">
                  <c:v>81.820343684831471</c:v>
                </c:pt>
                <c:pt idx="11">
                  <c:v>80.388372507383295</c:v>
                </c:pt>
                <c:pt idx="12">
                  <c:v>78.937562881682709</c:v>
                </c:pt>
                <c:pt idx="13">
                  <c:v>77.476062838839198</c:v>
                </c:pt>
                <c:pt idx="14">
                  <c:v>76.010706553134995</c:v>
                </c:pt>
                <c:pt idx="15">
                  <c:v>74.547253506252986</c:v>
                </c:pt>
                <c:pt idx="16">
                  <c:v>73.090564936822389</c:v>
                </c:pt>
                <c:pt idx="17">
                  <c:v>71.644740023645795</c:v>
                </c:pt>
                <c:pt idx="18">
                  <c:v>70.213224802135286</c:v>
                </c:pt>
                <c:pt idx="19">
                  <c:v>68.798901695278516</c:v>
                </c:pt>
                <c:pt idx="20">
                  <c:v>67.404164645353831</c:v>
                </c:pt>
                <c:pt idx="21">
                  <c:v>66.030983132029917</c:v>
                </c:pt>
                <c:pt idx="22">
                  <c:v>64.68095732923129</c:v>
                </c:pt>
                <c:pt idx="23">
                  <c:v>63.355366005414957</c:v>
                </c:pt>
                <c:pt idx="24">
                  <c:v>62.055208353466007</c:v>
                </c:pt>
                <c:pt idx="25">
                  <c:v>60.781240657923142</c:v>
                </c:pt>
                <c:pt idx="26">
                  <c:v>59.534008516180378</c:v>
                </c:pt>
                <c:pt idx="27">
                  <c:v>58.313875195073919</c:v>
                </c:pt>
                <c:pt idx="28">
                  <c:v>57.121046605455831</c:v>
                </c:pt>
                <c:pt idx="29">
                  <c:v>55.955593302836007</c:v>
                </c:pt>
                <c:pt idx="30">
                  <c:v>54.817469864234383</c:v>
                </c:pt>
                <c:pt idx="31">
                  <c:v>53.706531945041988</c:v>
                </c:pt>
                <c:pt idx="32">
                  <c:v>52.622551281681893</c:v>
                </c:pt>
                <c:pt idx="33">
                  <c:v>51.565228874021649</c:v>
                </c:pt>
                <c:pt idx="34">
                  <c:v>50.534206554345133</c:v>
                </c:pt>
                <c:pt idx="35">
                  <c:v>49.529077126232416</c:v>
                </c:pt>
                <c:pt idx="36">
                  <c:v>48.549393236208758</c:v>
                </c:pt>
                <c:pt idx="37">
                  <c:v>51.879925740555109</c:v>
                </c:pt>
                <c:pt idx="38">
                  <c:v>52.445530303193365</c:v>
                </c:pt>
                <c:pt idx="39">
                  <c:v>52.996574544814287</c:v>
                </c:pt>
                <c:pt idx="40">
                  <c:v>53.533578048665944</c:v>
                </c:pt>
                <c:pt idx="41">
                  <c:v>54.05703656572004</c:v>
                </c:pt>
                <c:pt idx="42">
                  <c:v>54.5674232727321</c:v>
                </c:pt>
                <c:pt idx="43">
                  <c:v>55.065189964043313</c:v>
                </c:pt>
                <c:pt idx="44">
                  <c:v>55.550768178937695</c:v>
                </c:pt>
                <c:pt idx="45">
                  <c:v>56.024570266826224</c:v>
                </c:pt>
                <c:pt idx="46">
                  <c:v>56.486990392828588</c:v>
                </c:pt>
                <c:pt idx="47">
                  <c:v>56.938405486490652</c:v>
                </c:pt>
                <c:pt idx="48">
                  <c:v>57.379176136455513</c:v>
                </c:pt>
                <c:pt idx="49">
                  <c:v>57.809647433918698</c:v>
                </c:pt>
                <c:pt idx="50">
                  <c:v>58.230149767662674</c:v>
                </c:pt>
                <c:pt idx="51">
                  <c:v>58.640999573397266</c:v>
                </c:pt>
                <c:pt idx="52">
                  <c:v>59.04250004004178</c:v>
                </c:pt>
                <c:pt idx="53">
                  <c:v>59.434941775477022</c:v>
                </c:pt>
                <c:pt idx="54">
                  <c:v>59.818603434181369</c:v>
                </c:pt>
                <c:pt idx="55">
                  <c:v>60.193752309042857</c:v>
                </c:pt>
                <c:pt idx="56">
                  <c:v>60.560644889519402</c:v>
                </c:pt>
                <c:pt idx="57">
                  <c:v>60.919527388197011</c:v>
                </c:pt>
                <c:pt idx="58">
                  <c:v>61.270636237676356</c:v>
                </c:pt>
                <c:pt idx="59">
                  <c:v>61.614198559606216</c:v>
                </c:pt>
                <c:pt idx="60">
                  <c:v>61.950432607568551</c:v>
                </c:pt>
                <c:pt idx="61">
                  <c:v>62.279548185416559</c:v>
                </c:pt>
                <c:pt idx="62">
                  <c:v>62.601747042564725</c:v>
                </c:pt>
                <c:pt idx="63">
                  <c:v>62.917223247638034</c:v>
                </c:pt>
                <c:pt idx="64">
                  <c:v>63.226163541794165</c:v>
                </c:pt>
                <c:pt idx="65">
                  <c:v>63.528747672950992</c:v>
                </c:pt>
                <c:pt idx="66">
                  <c:v>63.825148712070323</c:v>
                </c:pt>
                <c:pt idx="67">
                  <c:v>64.115533352576392</c:v>
                </c:pt>
                <c:pt idx="68">
                  <c:v>64.400062193916085</c:v>
                </c:pt>
                <c:pt idx="69">
                  <c:v>64.678890010204242</c:v>
                </c:pt>
                <c:pt idx="70">
                  <c:v>64.952166004835362</c:v>
                </c:pt>
                <c:pt idx="71">
                  <c:v>65.220034051887367</c:v>
                </c:pt>
                <c:pt idx="72">
                  <c:v>65.482632925088168</c:v>
                </c:pt>
                <c:pt idx="73">
                  <c:v>65.740096515068316</c:v>
                </c:pt>
                <c:pt idx="74">
                  <c:v>65.99255403557548</c:v>
                </c:pt>
                <c:pt idx="75">
                  <c:v>66.240130219282605</c:v>
                </c:pt>
                <c:pt idx="76">
                  <c:v>66.482945503784876</c:v>
                </c:pt>
                <c:pt idx="77">
                  <c:v>66.721116208337776</c:v>
                </c:pt>
                <c:pt idx="78">
                  <c:v>66.954754701858434</c:v>
                </c:pt>
                <c:pt idx="79">
                  <c:v>67.183969562676765</c:v>
                </c:pt>
                <c:pt idx="80">
                  <c:v>67.408865730494426</c:v>
                </c:pt>
                <c:pt idx="81">
                  <c:v>67.629544650978744</c:v>
                </c:pt>
                <c:pt idx="82">
                  <c:v>67.84610441339548</c:v>
                </c:pt>
                <c:pt idx="83">
                  <c:v>68.058639881656774</c:v>
                </c:pt>
                <c:pt idx="84">
                  <c:v>68.267242819138673</c:v>
                </c:pt>
                <c:pt idx="85">
                  <c:v>68.472002007601489</c:v>
                </c:pt>
                <c:pt idx="86">
                  <c:v>68.673003360524916</c:v>
                </c:pt>
                <c:pt idx="87">
                  <c:v>68.870330031151866</c:v>
                </c:pt>
                <c:pt idx="88">
                  <c:v>69.064062515517605</c:v>
                </c:pt>
                <c:pt idx="89">
                  <c:v>69.254278750722335</c:v>
                </c:pt>
                <c:pt idx="90">
                  <c:v>69.441054208693799</c:v>
                </c:pt>
                <c:pt idx="91">
                  <c:v>69.624461985666684</c:v>
                </c:pt>
                <c:pt idx="92">
                  <c:v>69.804572887598141</c:v>
                </c:pt>
                <c:pt idx="93">
                  <c:v>69.981455511720327</c:v>
                </c:pt>
                <c:pt idx="94">
                  <c:v>70.155176324423749</c:v>
                </c:pt>
                <c:pt idx="95">
                  <c:v>70.32579973565052</c:v>
                </c:pt>
                <c:pt idx="96">
                  <c:v>70.493388169968668</c:v>
                </c:pt>
                <c:pt idx="97">
                  <c:v>70.658002134487248</c:v>
                </c:pt>
                <c:pt idx="98">
                  <c:v>70.819700283764135</c:v>
                </c:pt>
                <c:pt idx="99">
                  <c:v>70.978539481847918</c:v>
                </c:pt>
                <c:pt idx="100">
                  <c:v>71.104158159857306</c:v>
                </c:pt>
              </c:numCache>
            </c:numRef>
          </c:val>
          <c:smooth val="0"/>
          <c:extLst>
            <c:ext xmlns:c16="http://schemas.microsoft.com/office/drawing/2014/chart" uri="{C3380CC4-5D6E-409C-BE32-E72D297353CC}">
              <c16:uniqueId val="{00000000-F0EA-4A0C-859E-C3182CAF915C}"/>
            </c:ext>
          </c:extLst>
        </c:ser>
        <c:dLbls>
          <c:showLegendKey val="0"/>
          <c:showVal val="0"/>
          <c:showCatName val="0"/>
          <c:showSerName val="0"/>
          <c:showPercent val="0"/>
          <c:showBubbleSize val="0"/>
        </c:dLbls>
        <c:marker val="1"/>
        <c:smooth val="0"/>
        <c:axId val="451868928"/>
        <c:axId val="451223936"/>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2.9287500000000001E-6</c:v>
                </c:pt>
                <c:pt idx="1">
                  <c:v>14.643749999999999</c:v>
                </c:pt>
                <c:pt idx="2">
                  <c:v>29.287499999999998</c:v>
                </c:pt>
                <c:pt idx="3">
                  <c:v>43.931249999999999</c:v>
                </c:pt>
                <c:pt idx="4">
                  <c:v>58.574999999999996</c:v>
                </c:pt>
                <c:pt idx="5">
                  <c:v>73.21875</c:v>
                </c:pt>
                <c:pt idx="6">
                  <c:v>87.862499999999997</c:v>
                </c:pt>
                <c:pt idx="7">
                  <c:v>102.50625000000002</c:v>
                </c:pt>
                <c:pt idx="8">
                  <c:v>117.14999999999999</c:v>
                </c:pt>
                <c:pt idx="9">
                  <c:v>131.79374999999999</c:v>
                </c:pt>
                <c:pt idx="10">
                  <c:v>146.4375</c:v>
                </c:pt>
                <c:pt idx="11">
                  <c:v>161.08125000000001</c:v>
                </c:pt>
                <c:pt idx="12">
                  <c:v>175.72499999999999</c:v>
                </c:pt>
                <c:pt idx="13">
                  <c:v>190.36875000000001</c:v>
                </c:pt>
                <c:pt idx="14">
                  <c:v>205.01250000000005</c:v>
                </c:pt>
                <c:pt idx="15">
                  <c:v>219.65624999999997</c:v>
                </c:pt>
                <c:pt idx="16">
                  <c:v>234.29999999999998</c:v>
                </c:pt>
                <c:pt idx="17">
                  <c:v>248.94375000000002</c:v>
                </c:pt>
                <c:pt idx="18">
                  <c:v>263.58749999999998</c:v>
                </c:pt>
                <c:pt idx="19">
                  <c:v>278.23124999999999</c:v>
                </c:pt>
                <c:pt idx="20">
                  <c:v>292.875</c:v>
                </c:pt>
                <c:pt idx="21">
                  <c:v>307.51875000000001</c:v>
                </c:pt>
                <c:pt idx="22">
                  <c:v>322.16250000000002</c:v>
                </c:pt>
                <c:pt idx="23">
                  <c:v>336.80625000000003</c:v>
                </c:pt>
                <c:pt idx="24">
                  <c:v>351.45</c:v>
                </c:pt>
                <c:pt idx="25">
                  <c:v>366.09375</c:v>
                </c:pt>
                <c:pt idx="26">
                  <c:v>380.73750000000001</c:v>
                </c:pt>
                <c:pt idx="27">
                  <c:v>395.38125000000002</c:v>
                </c:pt>
                <c:pt idx="28">
                  <c:v>410.02500000000009</c:v>
                </c:pt>
                <c:pt idx="29">
                  <c:v>424.66874999999999</c:v>
                </c:pt>
                <c:pt idx="30">
                  <c:v>439.31249999999994</c:v>
                </c:pt>
                <c:pt idx="31">
                  <c:v>453.95624999999995</c:v>
                </c:pt>
                <c:pt idx="32">
                  <c:v>468.59999999999997</c:v>
                </c:pt>
                <c:pt idx="33">
                  <c:v>483.24374999999998</c:v>
                </c:pt>
                <c:pt idx="34">
                  <c:v>497.88750000000005</c:v>
                </c:pt>
                <c:pt idx="35">
                  <c:v>512.53125</c:v>
                </c:pt>
                <c:pt idx="36">
                  <c:v>527.17499999999995</c:v>
                </c:pt>
                <c:pt idx="37">
                  <c:v>541.81875000000002</c:v>
                </c:pt>
                <c:pt idx="38">
                  <c:v>556.46249999999998</c:v>
                </c:pt>
                <c:pt idx="39">
                  <c:v>571.10625000000005</c:v>
                </c:pt>
                <c:pt idx="40">
                  <c:v>585.75</c:v>
                </c:pt>
                <c:pt idx="41">
                  <c:v>600.39374999999995</c:v>
                </c:pt>
                <c:pt idx="42">
                  <c:v>615.03750000000002</c:v>
                </c:pt>
                <c:pt idx="43">
                  <c:v>629.68124999999998</c:v>
                </c:pt>
                <c:pt idx="44">
                  <c:v>644.32500000000005</c:v>
                </c:pt>
                <c:pt idx="45">
                  <c:v>658.96875</c:v>
                </c:pt>
                <c:pt idx="46">
                  <c:v>673.61250000000007</c:v>
                </c:pt>
                <c:pt idx="47">
                  <c:v>688.2562499999998</c:v>
                </c:pt>
                <c:pt idx="48">
                  <c:v>702.9</c:v>
                </c:pt>
                <c:pt idx="49">
                  <c:v>717.54374999999993</c:v>
                </c:pt>
                <c:pt idx="50">
                  <c:v>732.1875</c:v>
                </c:pt>
                <c:pt idx="51">
                  <c:v>746.83124999999995</c:v>
                </c:pt>
                <c:pt idx="52">
                  <c:v>761.47500000000002</c:v>
                </c:pt>
                <c:pt idx="53">
                  <c:v>776.11875000000009</c:v>
                </c:pt>
                <c:pt idx="54">
                  <c:v>790.76250000000005</c:v>
                </c:pt>
                <c:pt idx="55">
                  <c:v>805.40625</c:v>
                </c:pt>
                <c:pt idx="56">
                  <c:v>820.05000000000018</c:v>
                </c:pt>
                <c:pt idx="57">
                  <c:v>834.6937499999998</c:v>
                </c:pt>
                <c:pt idx="58">
                  <c:v>849.33749999999998</c:v>
                </c:pt>
                <c:pt idx="59">
                  <c:v>863.98124999999993</c:v>
                </c:pt>
                <c:pt idx="60">
                  <c:v>878.62499999999989</c:v>
                </c:pt>
                <c:pt idx="61">
                  <c:v>893.26874999999995</c:v>
                </c:pt>
                <c:pt idx="62">
                  <c:v>907.91249999999991</c:v>
                </c:pt>
                <c:pt idx="63">
                  <c:v>922.55624999999998</c:v>
                </c:pt>
                <c:pt idx="64">
                  <c:v>937.19999999999993</c:v>
                </c:pt>
                <c:pt idx="65">
                  <c:v>951.84375</c:v>
                </c:pt>
                <c:pt idx="66">
                  <c:v>966.48749999999995</c:v>
                </c:pt>
                <c:pt idx="67">
                  <c:v>981.13125000000002</c:v>
                </c:pt>
                <c:pt idx="68">
                  <c:v>995.77500000000009</c:v>
                </c:pt>
                <c:pt idx="69">
                  <c:v>1010.4187499999999</c:v>
                </c:pt>
                <c:pt idx="70">
                  <c:v>1025.0625</c:v>
                </c:pt>
                <c:pt idx="71">
                  <c:v>1039.7062499999997</c:v>
                </c:pt>
                <c:pt idx="72">
                  <c:v>1054.3499999999999</c:v>
                </c:pt>
                <c:pt idx="73">
                  <c:v>1068.9937499999999</c:v>
                </c:pt>
                <c:pt idx="74">
                  <c:v>1083.6375</c:v>
                </c:pt>
                <c:pt idx="75">
                  <c:v>1098.28125</c:v>
                </c:pt>
                <c:pt idx="76">
                  <c:v>1112.925</c:v>
                </c:pt>
                <c:pt idx="77">
                  <c:v>1127.5687499999999</c:v>
                </c:pt>
                <c:pt idx="78">
                  <c:v>1142.2125000000001</c:v>
                </c:pt>
                <c:pt idx="79">
                  <c:v>1156.8562499999998</c:v>
                </c:pt>
                <c:pt idx="80">
                  <c:v>1171.5</c:v>
                </c:pt>
                <c:pt idx="81">
                  <c:v>1186.14375</c:v>
                </c:pt>
                <c:pt idx="82">
                  <c:v>1200.7874999999999</c:v>
                </c:pt>
                <c:pt idx="83">
                  <c:v>1215.4312499999999</c:v>
                </c:pt>
                <c:pt idx="84">
                  <c:v>1230.075</c:v>
                </c:pt>
                <c:pt idx="85">
                  <c:v>1244.7187499999998</c:v>
                </c:pt>
                <c:pt idx="86">
                  <c:v>1259.3625</c:v>
                </c:pt>
                <c:pt idx="87">
                  <c:v>1274.0062499999997</c:v>
                </c:pt>
                <c:pt idx="88">
                  <c:v>1288.6500000000001</c:v>
                </c:pt>
                <c:pt idx="89">
                  <c:v>1303.2937499999998</c:v>
                </c:pt>
                <c:pt idx="90">
                  <c:v>1317.9375</c:v>
                </c:pt>
                <c:pt idx="91">
                  <c:v>1332.58125</c:v>
                </c:pt>
                <c:pt idx="92">
                  <c:v>1347.2250000000001</c:v>
                </c:pt>
                <c:pt idx="93">
                  <c:v>1361.8687500000001</c:v>
                </c:pt>
                <c:pt idx="94">
                  <c:v>1376.5124999999996</c:v>
                </c:pt>
                <c:pt idx="95">
                  <c:v>1391.15625</c:v>
                </c:pt>
                <c:pt idx="96">
                  <c:v>1405.8</c:v>
                </c:pt>
                <c:pt idx="97">
                  <c:v>1420.4437499999997</c:v>
                </c:pt>
                <c:pt idx="98">
                  <c:v>1435.0874999999999</c:v>
                </c:pt>
                <c:pt idx="99">
                  <c:v>1449.7312499999998</c:v>
                </c:pt>
                <c:pt idx="100">
                  <c:v>1464.375</c:v>
                </c:pt>
              </c:numCache>
            </c:numRef>
          </c:val>
          <c:smooth val="0"/>
          <c:extLst>
            <c:ext xmlns:c16="http://schemas.microsoft.com/office/drawing/2014/chart" uri="{C3380CC4-5D6E-409C-BE32-E72D297353CC}">
              <c16:uniqueId val="{00000001-F0EA-4A0C-859E-C3182CAF915C}"/>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73.09942527174789</c:v>
                </c:pt>
                <c:pt idx="1">
                  <c:v>73.064872909380028</c:v>
                </c:pt>
                <c:pt idx="2">
                  <c:v>101.50268938547849</c:v>
                </c:pt>
                <c:pt idx="3">
                  <c:v>152.33881913514665</c:v>
                </c:pt>
                <c:pt idx="4">
                  <c:v>203.23159822996965</c:v>
                </c:pt>
                <c:pt idx="5">
                  <c:v>254.18112141370668</c:v>
                </c:pt>
                <c:pt idx="6">
                  <c:v>305.18748364150878</c:v>
                </c:pt>
                <c:pt idx="7">
                  <c:v>356.25078008050781</c:v>
                </c:pt>
                <c:pt idx="8">
                  <c:v>407.3711061104089</c:v>
                </c:pt>
                <c:pt idx="9">
                  <c:v>458.54855732408419</c:v>
                </c:pt>
                <c:pt idx="10">
                  <c:v>509.78322952816887</c:v>
                </c:pt>
                <c:pt idx="11">
                  <c:v>561.07521874365864</c:v>
                </c:pt>
                <c:pt idx="12">
                  <c:v>612.42462120650964</c:v>
                </c:pt>
                <c:pt idx="13">
                  <c:v>663.83153336824068</c:v>
                </c:pt>
                <c:pt idx="14">
                  <c:v>715.29605189653671</c:v>
                </c:pt>
                <c:pt idx="15">
                  <c:v>766.81827367585458</c:v>
                </c:pt>
                <c:pt idx="16">
                  <c:v>818.39829580803246</c:v>
                </c:pt>
                <c:pt idx="17">
                  <c:v>870.03621561289776</c:v>
                </c:pt>
                <c:pt idx="18">
                  <c:v>921.73213062887999</c:v>
                </c:pt>
                <c:pt idx="19">
                  <c:v>973.48613861362674</c:v>
                </c:pt>
                <c:pt idx="20">
                  <c:v>1025.2983375446156</c:v>
                </c:pt>
                <c:pt idx="21">
                  <c:v>1077.1688256197779</c:v>
                </c:pt>
                <c:pt idx="22">
                  <c:v>1129.0977012581141</c:v>
                </c:pt>
                <c:pt idx="23">
                  <c:v>1181.0850631003193</c:v>
                </c:pt>
                <c:pt idx="24">
                  <c:v>1233.1310100094074</c:v>
                </c:pt>
                <c:pt idx="25">
                  <c:v>1285.2356410713369</c:v>
                </c:pt>
                <c:pt idx="26">
                  <c:v>1337.3990555956384</c:v>
                </c:pt>
                <c:pt idx="27">
                  <c:v>1389.6213531160502</c:v>
                </c:pt>
                <c:pt idx="28">
                  <c:v>1441.902633391147</c:v>
                </c:pt>
                <c:pt idx="29">
                  <c:v>1494.2429964049757</c:v>
                </c:pt>
                <c:pt idx="30">
                  <c:v>1546.6425423676958</c:v>
                </c:pt>
                <c:pt idx="31">
                  <c:v>1599.1013717162152</c:v>
                </c:pt>
                <c:pt idx="32">
                  <c:v>1651.6195851148329</c:v>
                </c:pt>
                <c:pt idx="33">
                  <c:v>1704.1972834558853</c:v>
                </c:pt>
                <c:pt idx="34">
                  <c:v>1756.8345678603896</c:v>
                </c:pt>
                <c:pt idx="35">
                  <c:v>1809.5315396786909</c:v>
                </c:pt>
                <c:pt idx="36">
                  <c:v>1862.2883004911189</c:v>
                </c:pt>
                <c:pt idx="37">
                  <c:v>1780.2949458889993</c:v>
                </c:pt>
                <c:pt idx="38">
                  <c:v>1788.426536818024</c:v>
                </c:pt>
                <c:pt idx="39">
                  <c:v>1796.7828531489686</c:v>
                </c:pt>
                <c:pt idx="40">
                  <c:v>1805.3663297166308</c:v>
                </c:pt>
                <c:pt idx="41">
                  <c:v>1814.1793763685002</c:v>
                </c:pt>
                <c:pt idx="42">
                  <c:v>1823.2243875261167</c:v>
                </c:pt>
                <c:pt idx="43">
                  <c:v>1832.5037506092769</c:v>
                </c:pt>
                <c:pt idx="44">
                  <c:v>1842.019853502157</c:v>
                </c:pt>
                <c:pt idx="45">
                  <c:v>1851.7750912101021</c:v>
                </c:pt>
                <c:pt idx="46">
                  <c:v>1861.7718718310489</c:v>
                </c:pt>
                <c:pt idx="47">
                  <c:v>1872.0126219455226</c:v>
                </c:pt>
                <c:pt idx="48">
                  <c:v>1882.4997915125875</c:v>
                </c:pt>
                <c:pt idx="49">
                  <c:v>1893.2358583456128</c:v>
                </c:pt>
                <c:pt idx="50">
                  <c:v>1904.2233322305217</c:v>
                </c:pt>
                <c:pt idx="51">
                  <c:v>1915.464758739889</c:v>
                </c:pt>
                <c:pt idx="52">
                  <c:v>1926.9627227885585</c:v>
                </c:pt>
                <c:pt idx="53">
                  <c:v>1938.7198519699923</c:v>
                </c:pt>
                <c:pt idx="54">
                  <c:v>1950.738819707185</c:v>
                </c:pt>
                <c:pt idx="55">
                  <c:v>1963.0223482474266</c:v>
                </c:pt>
                <c:pt idx="56">
                  <c:v>1975.5732115264038</c:v>
                </c:pt>
                <c:pt idx="57">
                  <c:v>1988.3942379238954</c:v>
                </c:pt>
                <c:pt idx="58">
                  <c:v>2001.4883129305954</c:v>
                </c:pt>
                <c:pt idx="59">
                  <c:v>2014.8583817432932</c:v>
                </c:pt>
                <c:pt idx="60">
                  <c:v>2028.5074518036649</c:v>
                </c:pt>
                <c:pt idx="61">
                  <c:v>2042.4385952942853</c:v>
                </c:pt>
                <c:pt idx="62">
                  <c:v>2056.6549516040104</c:v>
                </c:pt>
                <c:pt idx="63">
                  <c:v>2071.1597297737208</c:v>
                </c:pt>
                <c:pt idx="64">
                  <c:v>2085.9562109323329</c:v>
                </c:pt>
                <c:pt idx="65">
                  <c:v>2101.0477507321411</c:v>
                </c:pt>
                <c:pt idx="66">
                  <c:v>2116.4377817917975</c:v>
                </c:pt>
                <c:pt idx="67">
                  <c:v>2132.1298161546074</c:v>
                </c:pt>
                <c:pt idx="68">
                  <c:v>2148.127447769245</c:v>
                </c:pt>
                <c:pt idx="69">
                  <c:v>2164.4343549996161</c:v>
                </c:pt>
                <c:pt idx="70">
                  <c:v>2181.0543031701327</c:v>
                </c:pt>
                <c:pt idx="71">
                  <c:v>2197.9911471524019</c:v>
                </c:pt>
                <c:pt idx="72">
                  <c:v>2215.2488339990696</c:v>
                </c:pt>
                <c:pt idx="73">
                  <c:v>2232.831405630322</c:v>
                </c:pt>
                <c:pt idx="74">
                  <c:v>2250.7430015784239</c:v>
                </c:pt>
                <c:pt idx="75">
                  <c:v>2268.9878617955114</c:v>
                </c:pt>
                <c:pt idx="76">
                  <c:v>2287.5703295298035</c:v>
                </c:pt>
                <c:pt idx="77">
                  <c:v>2306.4948542753168</c:v>
                </c:pt>
                <c:pt idx="78">
                  <c:v>2325.7659948001392</c:v>
                </c:pt>
                <c:pt idx="79">
                  <c:v>2345.3884222583561</c:v>
                </c:pt>
                <c:pt idx="80">
                  <c:v>2365.3669233906903</c:v>
                </c:pt>
                <c:pt idx="81">
                  <c:v>2385.7064038190301</c:v>
                </c:pt>
                <c:pt idx="82">
                  <c:v>2406.4118914400269</c:v>
                </c:pt>
                <c:pt idx="83">
                  <c:v>2427.4885399231107</c:v>
                </c:pt>
                <c:pt idx="84">
                  <c:v>2448.9416323182922</c:v>
                </c:pt>
                <c:pt idx="85">
                  <c:v>2470.7765847793694</c:v>
                </c:pt>
                <c:pt idx="86">
                  <c:v>2492.998950408185</c:v>
                </c:pt>
                <c:pt idx="87">
                  <c:v>2515.6144232258553</c:v>
                </c:pt>
                <c:pt idx="88">
                  <c:v>2538.6288422770117</c:v>
                </c:pt>
                <c:pt idx="89">
                  <c:v>2562.0481958733603</c:v>
                </c:pt>
                <c:pt idx="90">
                  <c:v>2585.8786259830267</c:v>
                </c:pt>
                <c:pt idx="91">
                  <c:v>2610.1264327724748</c:v>
                </c:pt>
                <c:pt idx="92">
                  <c:v>2634.7980793080123</c:v>
                </c:pt>
                <c:pt idx="93">
                  <c:v>2659.9001964241602</c:v>
                </c:pt>
                <c:pt idx="94">
                  <c:v>2685.4395877665484</c:v>
                </c:pt>
                <c:pt idx="95">
                  <c:v>2711.423235017262</c:v>
                </c:pt>
                <c:pt idx="96">
                  <c:v>2737.8583033109212</c:v>
                </c:pt>
                <c:pt idx="97">
                  <c:v>2764.7521468502059</c:v>
                </c:pt>
                <c:pt idx="98">
                  <c:v>2792.1123147298695</c:v>
                </c:pt>
                <c:pt idx="99">
                  <c:v>2819.9465569787694</c:v>
                </c:pt>
                <c:pt idx="100">
                  <c:v>2848.2628308298526</c:v>
                </c:pt>
              </c:numCache>
            </c:numRef>
          </c:val>
          <c:smooth val="0"/>
          <c:extLst>
            <c:ext xmlns:c16="http://schemas.microsoft.com/office/drawing/2014/chart" uri="{C3380CC4-5D6E-409C-BE32-E72D297353CC}">
              <c16:uniqueId val="{00000002-F0EA-4A0C-859E-C3182CAF915C}"/>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49.7954494244497</c:v>
                </c:pt>
                <c:pt idx="1">
                  <c:v>49.798889570565379</c:v>
                </c:pt>
                <c:pt idx="2">
                  <c:v>64.076753879549912</c:v>
                </c:pt>
                <c:pt idx="3">
                  <c:v>107.24578453997132</c:v>
                </c:pt>
                <c:pt idx="4">
                  <c:v>177.2184176320805</c:v>
                </c:pt>
                <c:pt idx="5">
                  <c:v>278.17727704172052</c:v>
                </c:pt>
                <c:pt idx="6">
                  <c:v>413.80071894557483</c:v>
                </c:pt>
                <c:pt idx="7">
                  <c:v>587.41196110392048</c:v>
                </c:pt>
                <c:pt idx="8">
                  <c:v>802.06635150416128</c:v>
                </c:pt>
                <c:pt idx="9">
                  <c:v>1060.6077712206968</c:v>
                </c:pt>
                <c:pt idx="10">
                  <c:v>1365.7076200432009</c:v>
                </c:pt>
                <c:pt idx="11">
                  <c:v>1719.8931097953614</c:v>
                </c:pt>
                <c:pt idx="12">
                  <c:v>2125.5685749932891</c:v>
                </c:pt>
                <c:pt idx="13">
                  <c:v>2585.0320014576114</c:v>
                </c:pt>
                <c:pt idx="14">
                  <c:v>3100.4881538861569</c:v>
                </c:pt>
                <c:pt idx="15">
                  <c:v>3674.0592089385113</c:v>
                </c:pt>
                <c:pt idx="16">
                  <c:v>4307.7935112881232</c:v>
                </c:pt>
                <c:pt idx="17">
                  <c:v>5003.6728863539711</c:v>
                </c:pt>
                <c:pt idx="18">
                  <c:v>5763.6188224328271</c:v>
                </c:pt>
                <c:pt idx="19">
                  <c:v>6589.4977528434429</c:v>
                </c:pt>
                <c:pt idx="20">
                  <c:v>7483.1256115026354</c:v>
                </c:pt>
                <c:pt idx="21">
                  <c:v>8446.2717946038538</c:v>
                </c:pt>
                <c:pt idx="22">
                  <c:v>9480.662631449175</c:v>
                </c:pt>
                <c:pt idx="23">
                  <c:v>10587.984445570415</c:v>
                </c:pt>
                <c:pt idx="24">
                  <c:v>11769.886270802093</c:v>
                </c:pt>
                <c:pt idx="25">
                  <c:v>13027.982274409487</c:v>
                </c:pt>
                <c:pt idx="26">
                  <c:v>14363.853929673955</c:v>
                </c:pt>
                <c:pt idx="27">
                  <c:v>15779.05197275882</c:v>
                </c:pt>
                <c:pt idx="28">
                  <c:v>17275.098172691196</c:v>
                </c:pt>
                <c:pt idx="29">
                  <c:v>18853.486938522332</c:v>
                </c:pt>
                <c:pt idx="30">
                  <c:v>20515.686783884972</c:v>
                </c:pt>
                <c:pt idx="31">
                  <c:v>22263.141666048923</c:v>
                </c:pt>
                <c:pt idx="32">
                  <c:v>24097.272214027147</c:v>
                </c:pt>
                <c:pt idx="33">
                  <c:v>26019.476858183669</c:v>
                </c:pt>
                <c:pt idx="34">
                  <c:v>28031.13287205388</c:v>
                </c:pt>
                <c:pt idx="35">
                  <c:v>30133.597335636008</c:v>
                </c:pt>
                <c:pt idx="36">
                  <c:v>32328.20802819436</c:v>
                </c:pt>
                <c:pt idx="37">
                  <c:v>28907.747896780533</c:v>
                </c:pt>
                <c:pt idx="38">
                  <c:v>29010.18645977668</c:v>
                </c:pt>
                <c:pt idx="39">
                  <c:v>29108.703181017238</c:v>
                </c:pt>
                <c:pt idx="40">
                  <c:v>29203.591528050205</c:v>
                </c:pt>
                <c:pt idx="41">
                  <c:v>29295.118610969388</c:v>
                </c:pt>
                <c:pt idx="42">
                  <c:v>29383.52808113991</c:v>
                </c:pt>
                <c:pt idx="43">
                  <c:v>29469.042656193989</c:v>
                </c:pt>
                <c:pt idx="44">
                  <c:v>29551.866326269312</c:v>
                </c:pt>
                <c:pt idx="45">
                  <c:v>29632.186287426135</c:v>
                </c:pt>
                <c:pt idx="46">
                  <c:v>29710.17464077023</c:v>
                </c:pt>
                <c:pt idx="47">
                  <c:v>29785.989889722317</c:v>
                </c:pt>
                <c:pt idx="48">
                  <c:v>29859.778262844626</c:v>
                </c:pt>
                <c:pt idx="49">
                  <c:v>29931.67488546552</c:v>
                </c:pt>
                <c:pt idx="50">
                  <c:v>30001.804819874509</c:v>
                </c:pt>
                <c:pt idx="51">
                  <c:v>30070.283990960681</c:v>
                </c:pt>
                <c:pt idx="52">
                  <c:v>30137.220011738689</c:v>
                </c:pt>
                <c:pt idx="53">
                  <c:v>30202.712921164159</c:v>
                </c:pt>
                <c:pt idx="54">
                  <c:v>30266.855844914557</c:v>
                </c:pt>
                <c:pt idx="55">
                  <c:v>30329.73558835543</c:v>
                </c:pt>
                <c:pt idx="56">
                  <c:v>30391.433169669948</c:v>
                </c:pt>
                <c:pt idx="57">
                  <c:v>30452.024300077312</c:v>
                </c:pt>
                <c:pt idx="58">
                  <c:v>30511.579817165806</c:v>
                </c:pt>
                <c:pt idx="59">
                  <c:v>30570.166076591489</c:v>
                </c:pt>
                <c:pt idx="60">
                  <c:v>30627.84530673657</c:v>
                </c:pt>
                <c:pt idx="61">
                  <c:v>30684.675930347861</c:v>
                </c:pt>
                <c:pt idx="62">
                  <c:v>30740.712856689021</c:v>
                </c:pt>
                <c:pt idx="63">
                  <c:v>30796.007747309573</c:v>
                </c:pt>
                <c:pt idx="64">
                  <c:v>30850.609258171</c:v>
                </c:pt>
                <c:pt idx="65">
                  <c:v>30904.563260546965</c:v>
                </c:pt>
                <c:pt idx="66">
                  <c:v>30957.913042838256</c:v>
                </c:pt>
                <c:pt idx="67">
                  <c:v>31010.699495198198</c:v>
                </c:pt>
                <c:pt idx="68">
                  <c:v>31062.961278654057</c:v>
                </c:pt>
                <c:pt idx="69">
                  <c:v>31114.734980222263</c:v>
                </c:pt>
                <c:pt idx="70">
                  <c:v>31166.055255353443</c:v>
                </c:pt>
                <c:pt idx="71">
                  <c:v>31216.954958898146</c:v>
                </c:pt>
                <c:pt idx="72">
                  <c:v>31267.465265660125</c:v>
                </c:pt>
                <c:pt idx="73">
                  <c:v>31317.615781490222</c:v>
                </c:pt>
                <c:pt idx="74">
                  <c:v>31367.434645776135</c:v>
                </c:pt>
                <c:pt idx="75">
                  <c:v>31416.948626098238</c:v>
                </c:pt>
                <c:pt idx="76">
                  <c:v>31466.183205738649</c:v>
                </c:pt>
                <c:pt idx="77">
                  <c:v>31515.162664669711</c:v>
                </c:pt>
                <c:pt idx="78">
                  <c:v>31563.910154580328</c:v>
                </c:pt>
                <c:pt idx="79">
                  <c:v>31612.447768447939</c:v>
                </c:pt>
                <c:pt idx="80">
                  <c:v>31660.796605112686</c:v>
                </c:pt>
                <c:pt idx="81">
                  <c:v>31708.976829271207</c:v>
                </c:pt>
                <c:pt idx="82">
                  <c:v>31757.007727262411</c:v>
                </c:pt>
                <c:pt idx="83">
                  <c:v>31804.907758988746</c:v>
                </c:pt>
                <c:pt idx="84">
                  <c:v>31852.694606281933</c:v>
                </c:pt>
                <c:pt idx="85">
                  <c:v>31900.385217994455</c:v>
                </c:pt>
                <c:pt idx="86">
                  <c:v>31947.995852074313</c:v>
                </c:pt>
                <c:pt idx="87">
                  <c:v>31995.542114856216</c:v>
                </c:pt>
                <c:pt idx="88">
                  <c:v>32043.038997782409</c:v>
                </c:pt>
                <c:pt idx="89">
                  <c:v>32090.500911749714</c:v>
                </c:pt>
                <c:pt idx="90">
                  <c:v>32137.941719257724</c:v>
                </c:pt>
                <c:pt idx="91">
                  <c:v>32185.374764525663</c:v>
                </c:pt>
                <c:pt idx="92">
                  <c:v>32232.812901722908</c:v>
                </c:pt>
                <c:pt idx="93">
                  <c:v>32280.26852145384</c:v>
                </c:pt>
                <c:pt idx="94">
                  <c:v>32327.753575620383</c:v>
                </c:pt>
                <c:pt idx="95">
                  <c:v>32375.279600779373</c:v>
                </c:pt>
                <c:pt idx="96">
                  <c:v>32422.857740099793</c:v>
                </c:pt>
                <c:pt idx="97">
                  <c:v>32470.498764019034</c:v>
                </c:pt>
                <c:pt idx="98">
                  <c:v>32518.213089686335</c:v>
                </c:pt>
                <c:pt idx="99">
                  <c:v>32566.010799278978</c:v>
                </c:pt>
                <c:pt idx="100">
                  <c:v>32613.901657265935</c:v>
                </c:pt>
              </c:numCache>
            </c:numRef>
          </c:val>
          <c:smooth val="0"/>
          <c:extLst>
            <c:ext xmlns:c16="http://schemas.microsoft.com/office/drawing/2014/chart" uri="{C3380CC4-5D6E-409C-BE32-E72D297353CC}">
              <c16:uniqueId val="{00000003-F0EA-4A0C-859E-C3182CAF915C}"/>
            </c:ext>
          </c:extLst>
        </c:ser>
        <c:dLbls>
          <c:showLegendKey val="0"/>
          <c:showVal val="0"/>
          <c:showCatName val="0"/>
          <c:showSerName val="0"/>
          <c:showPercent val="0"/>
          <c:showBubbleSize val="0"/>
        </c:dLbls>
        <c:marker val="1"/>
        <c:smooth val="0"/>
        <c:axId val="451236224"/>
        <c:axId val="451225856"/>
      </c:lineChart>
      <c:catAx>
        <c:axId val="45186892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223936"/>
        <c:crosses val="autoZero"/>
        <c:auto val="1"/>
        <c:lblAlgn val="ctr"/>
        <c:lblOffset val="100"/>
        <c:tickLblSkip val="20"/>
        <c:tickMarkSkip val="20"/>
        <c:noMultiLvlLbl val="0"/>
      </c:catAx>
      <c:valAx>
        <c:axId val="451223936"/>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68928"/>
        <c:crossesAt val="0"/>
        <c:crossBetween val="between"/>
        <c:majorUnit val="5"/>
        <c:minorUnit val="2.5"/>
      </c:valAx>
      <c:valAx>
        <c:axId val="45122585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236224"/>
        <c:crosses val="max"/>
        <c:crossBetween val="between"/>
      </c:valAx>
      <c:catAx>
        <c:axId val="451236224"/>
        <c:scaling>
          <c:orientation val="minMax"/>
        </c:scaling>
        <c:delete val="1"/>
        <c:axPos val="b"/>
        <c:numFmt formatCode="General" sourceLinked="1"/>
        <c:majorTickMark val="out"/>
        <c:minorTickMark val="none"/>
        <c:tickLblPos val="nextTo"/>
        <c:crossAx val="45122585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Single'!$AN$110:$AN$210</c:f>
              <c:numCache>
                <c:formatCode>0.0</c:formatCode>
                <c:ptCount val="101"/>
                <c:pt idx="0">
                  <c:v>12</c:v>
                </c:pt>
                <c:pt idx="1">
                  <c:v>12</c:v>
                </c:pt>
                <c:pt idx="2">
                  <c:v>12.807489737564312</c:v>
                </c:pt>
                <c:pt idx="3">
                  <c:v>19.211234606346469</c:v>
                </c:pt>
                <c:pt idx="4">
                  <c:v>25.614979475128624</c:v>
                </c:pt>
                <c:pt idx="5">
                  <c:v>32.018724343910783</c:v>
                </c:pt>
                <c:pt idx="6">
                  <c:v>38.422469212692938</c:v>
                </c:pt>
                <c:pt idx="7">
                  <c:v>44.826214081475094</c:v>
                </c:pt>
                <c:pt idx="8">
                  <c:v>51.229958950257249</c:v>
                </c:pt>
                <c:pt idx="9">
                  <c:v>57.633703819039404</c:v>
                </c:pt>
                <c:pt idx="10">
                  <c:v>64.037448687821566</c:v>
                </c:pt>
                <c:pt idx="11">
                  <c:v>70.441193556603707</c:v>
                </c:pt>
                <c:pt idx="12">
                  <c:v>76.844938425385877</c:v>
                </c:pt>
                <c:pt idx="13">
                  <c:v>83.248683294168032</c:v>
                </c:pt>
                <c:pt idx="14">
                  <c:v>89.652428162950187</c:v>
                </c:pt>
                <c:pt idx="15">
                  <c:v>96.056173031732342</c:v>
                </c:pt>
                <c:pt idx="16">
                  <c:v>102.4599179005145</c:v>
                </c:pt>
                <c:pt idx="17">
                  <c:v>108.86366276929665</c:v>
                </c:pt>
                <c:pt idx="18">
                  <c:v>115.26740763807881</c:v>
                </c:pt>
                <c:pt idx="19">
                  <c:v>121.67115250686096</c:v>
                </c:pt>
                <c:pt idx="20">
                  <c:v>128.07489737564313</c:v>
                </c:pt>
                <c:pt idx="21">
                  <c:v>134.47864224442529</c:v>
                </c:pt>
                <c:pt idx="22">
                  <c:v>140.88238711320741</c:v>
                </c:pt>
                <c:pt idx="23">
                  <c:v>147.2861319819896</c:v>
                </c:pt>
                <c:pt idx="24">
                  <c:v>153.68987685077175</c:v>
                </c:pt>
                <c:pt idx="25">
                  <c:v>160.09362171955388</c:v>
                </c:pt>
                <c:pt idx="26">
                  <c:v>166.49736658833606</c:v>
                </c:pt>
                <c:pt idx="27">
                  <c:v>172.90111145711822</c:v>
                </c:pt>
                <c:pt idx="28">
                  <c:v>179.30485632590037</c:v>
                </c:pt>
                <c:pt idx="29">
                  <c:v>185.7086011946825</c:v>
                </c:pt>
                <c:pt idx="30">
                  <c:v>192.11234606346468</c:v>
                </c:pt>
                <c:pt idx="31">
                  <c:v>198.51609093224681</c:v>
                </c:pt>
                <c:pt idx="32">
                  <c:v>204.919835801029</c:v>
                </c:pt>
                <c:pt idx="33">
                  <c:v>211.32358066981118</c:v>
                </c:pt>
                <c:pt idx="34">
                  <c:v>217.72826212682159</c:v>
                </c:pt>
                <c:pt idx="35">
                  <c:v>204.61592320528865</c:v>
                </c:pt>
                <c:pt idx="36">
                  <c:v>199.13873841867425</c:v>
                </c:pt>
                <c:pt idx="37">
                  <c:v>193.94608776470636</c:v>
                </c:pt>
                <c:pt idx="38">
                  <c:v>189.01636057824894</c:v>
                </c:pt>
                <c:pt idx="39">
                  <c:v>184.33008062681185</c:v>
                </c:pt>
                <c:pt idx="40">
                  <c:v>179.86964894459393</c:v>
                </c:pt>
                <c:pt idx="41">
                  <c:v>175.6191229730521</c:v>
                </c:pt>
                <c:pt idx="42">
                  <c:v>171.56402616544887</c:v>
                </c:pt>
                <c:pt idx="43">
                  <c:v>167.69118326319872</c:v>
                </c:pt>
                <c:pt idx="44">
                  <c:v>163.98857729443057</c:v>
                </c:pt>
                <c:pt idx="45">
                  <c:v>160.44522502469391</c:v>
                </c:pt>
                <c:pt idx="46">
                  <c:v>157.05106814049589</c:v>
                </c:pt>
                <c:pt idx="47">
                  <c:v>153.79687789491044</c:v>
                </c:pt>
                <c:pt idx="48">
                  <c:v>150.67417131149895</c:v>
                </c:pt>
                <c:pt idx="49">
                  <c:v>147.67513734437239</c:v>
                </c:pt>
                <c:pt idx="50">
                  <c:v>144.79257164111004</c:v>
                </c:pt>
                <c:pt idx="51">
                  <c:v>142.01981876146894</c:v>
                </c:pt>
                <c:pt idx="52">
                  <c:v>139.35072087634342</c:v>
                </c:pt>
                <c:pt idx="53">
                  <c:v>136.77957211463541</c:v>
                </c:pt>
                <c:pt idx="54">
                  <c:v>134.30107784567684</c:v>
                </c:pt>
                <c:pt idx="55">
                  <c:v>131.91031828570851</c:v>
                </c:pt>
                <c:pt idx="56">
                  <c:v>129.60271590200171</c:v>
                </c:pt>
                <c:pt idx="57">
                  <c:v>127.3740061601965</c:v>
                </c:pt>
                <c:pt idx="58">
                  <c:v>125.22021122153177</c:v>
                </c:pt>
                <c:pt idx="59">
                  <c:v>123.13761624865195</c:v>
                </c:pt>
                <c:pt idx="60">
                  <c:v>121.1227480230752</c:v>
                </c:pt>
                <c:pt idx="61">
                  <c:v>119.17235561541321</c:v>
                </c:pt>
                <c:pt idx="62">
                  <c:v>117.28339288205198</c:v>
                </c:pt>
                <c:pt idx="63">
                  <c:v>115.45300259007067</c:v>
                </c:pt>
                <c:pt idx="64">
                  <c:v>113.67850199638561</c:v>
                </c:pt>
                <c:pt idx="65">
                  <c:v>111.95736972804107</c:v>
                </c:pt>
                <c:pt idx="66">
                  <c:v>110.28723382871169</c:v>
                </c:pt>
                <c:pt idx="67">
                  <c:v>108.66586085223986</c:v>
                </c:pt>
                <c:pt idx="68">
                  <c:v>107.09114589775035</c:v>
                </c:pt>
                <c:pt idx="69">
                  <c:v>105.56110349285022</c:v>
                </c:pt>
                <c:pt idx="70">
                  <c:v>104.07385924188468</c:v>
                </c:pt>
                <c:pt idx="71">
                  <c:v>102.62764216538004</c:v>
                </c:pt>
                <c:pt idx="72">
                  <c:v>101.22077766484566</c:v>
                </c:pt>
                <c:pt idx="73">
                  <c:v>99.851681054175614</c:v>
                </c:pt>
                <c:pt idx="74">
                  <c:v>98.518851605117007</c:v>
                </c:pt>
                <c:pt idx="75">
                  <c:v>97.220867059766135</c:v>
                </c:pt>
                <c:pt idx="76">
                  <c:v>95.956378567907976</c:v>
                </c:pt>
                <c:pt idx="77">
                  <c:v>94.724106011315186</c:v>
                </c:pt>
                <c:pt idx="78">
                  <c:v>93.522833680933957</c:v>
                </c:pt>
                <c:pt idx="79">
                  <c:v>92.351406276270836</c:v>
                </c:pt>
                <c:pt idx="80">
                  <c:v>91.208725199306258</c:v>
                </c:pt>
                <c:pt idx="81">
                  <c:v>90.093745117944437</c:v>
                </c:pt>
                <c:pt idx="82">
                  <c:v>89.005470776403826</c:v>
                </c:pt>
                <c:pt idx="83">
                  <c:v>87.942954032090782</c:v>
                </c:pt>
                <c:pt idx="84">
                  <c:v>86.905291100414274</c:v>
                </c:pt>
                <c:pt idx="85">
                  <c:v>85.891619990713465</c:v>
                </c:pt>
                <c:pt idx="86">
                  <c:v>84.90111811800935</c:v>
                </c:pt>
                <c:pt idx="87">
                  <c:v>83.933000076672855</c:v>
                </c:pt>
                <c:pt idx="88">
                  <c:v>82.98651556334606</c:v>
                </c:pt>
                <c:pt idx="89">
                  <c:v>82.060947437571357</c:v>
                </c:pt>
                <c:pt idx="90">
                  <c:v>81.155609909593807</c:v>
                </c:pt>
                <c:pt idx="91">
                  <c:v>80.269846845712308</c:v>
                </c:pt>
                <c:pt idx="92">
                  <c:v>79.403030182379922</c:v>
                </c:pt>
                <c:pt idx="93">
                  <c:v>78.554558440996445</c:v>
                </c:pt>
                <c:pt idx="94">
                  <c:v>77.723855336013699</c:v>
                </c:pt>
                <c:pt idx="95">
                  <c:v>76.910368469584313</c:v>
                </c:pt>
                <c:pt idx="96">
                  <c:v>76.113568106540313</c:v>
                </c:pt>
                <c:pt idx="97">
                  <c:v>75.332946023993046</c:v>
                </c:pt>
                <c:pt idx="98">
                  <c:v>74.568014430304757</c:v>
                </c:pt>
                <c:pt idx="99">
                  <c:v>73.818304948599419</c:v>
                </c:pt>
                <c:pt idx="100">
                  <c:v>73.083367660362455</c:v>
                </c:pt>
              </c:numCache>
            </c:numRef>
          </c:val>
          <c:smooth val="0"/>
          <c:extLst>
            <c:ext xmlns:c16="http://schemas.microsoft.com/office/drawing/2014/chart" uri="{C3380CC4-5D6E-409C-BE32-E72D297353CC}">
              <c16:uniqueId val="{00000000-35C4-40D8-9B41-933331EBB298}"/>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Single'!$AN$5:$AN$105</c:f>
              <c:numCache>
                <c:formatCode>0.0</c:formatCode>
                <c:ptCount val="101"/>
                <c:pt idx="0">
                  <c:v>12</c:v>
                </c:pt>
                <c:pt idx="1">
                  <c:v>12</c:v>
                </c:pt>
                <c:pt idx="2">
                  <c:v>12.807489737564312</c:v>
                </c:pt>
                <c:pt idx="3">
                  <c:v>19.211234606346469</c:v>
                </c:pt>
                <c:pt idx="4">
                  <c:v>25.614979475128624</c:v>
                </c:pt>
                <c:pt idx="5">
                  <c:v>32.018724343910783</c:v>
                </c:pt>
                <c:pt idx="6">
                  <c:v>38.422469212692938</c:v>
                </c:pt>
                <c:pt idx="7">
                  <c:v>44.826214081475094</c:v>
                </c:pt>
                <c:pt idx="8">
                  <c:v>51.229958950257249</c:v>
                </c:pt>
                <c:pt idx="9">
                  <c:v>57.633703819039404</c:v>
                </c:pt>
                <c:pt idx="10">
                  <c:v>64.037448687821566</c:v>
                </c:pt>
                <c:pt idx="11">
                  <c:v>70.441193556603707</c:v>
                </c:pt>
                <c:pt idx="12">
                  <c:v>76.844938425385877</c:v>
                </c:pt>
                <c:pt idx="13">
                  <c:v>83.248683294168032</c:v>
                </c:pt>
                <c:pt idx="14">
                  <c:v>89.652428162950187</c:v>
                </c:pt>
                <c:pt idx="15">
                  <c:v>96.056173031732342</c:v>
                </c:pt>
                <c:pt idx="16">
                  <c:v>102.4599179005145</c:v>
                </c:pt>
                <c:pt idx="17">
                  <c:v>108.86366276929665</c:v>
                </c:pt>
                <c:pt idx="18">
                  <c:v>115.26740763807881</c:v>
                </c:pt>
                <c:pt idx="19">
                  <c:v>121.67115250686096</c:v>
                </c:pt>
                <c:pt idx="20">
                  <c:v>128.07489737564313</c:v>
                </c:pt>
                <c:pt idx="21">
                  <c:v>134.47864224442529</c:v>
                </c:pt>
                <c:pt idx="22">
                  <c:v>140.88238711320741</c:v>
                </c:pt>
                <c:pt idx="23">
                  <c:v>147.2861319819896</c:v>
                </c:pt>
                <c:pt idx="24">
                  <c:v>153.68987685077175</c:v>
                </c:pt>
                <c:pt idx="25">
                  <c:v>160.09362171955388</c:v>
                </c:pt>
                <c:pt idx="26">
                  <c:v>166.49736658833606</c:v>
                </c:pt>
                <c:pt idx="27">
                  <c:v>172.90111145711822</c:v>
                </c:pt>
                <c:pt idx="28">
                  <c:v>179.30485632590037</c:v>
                </c:pt>
                <c:pt idx="29">
                  <c:v>185.7086011946825</c:v>
                </c:pt>
                <c:pt idx="30">
                  <c:v>192.11234606346468</c:v>
                </c:pt>
                <c:pt idx="31">
                  <c:v>198.51609093224681</c:v>
                </c:pt>
                <c:pt idx="32">
                  <c:v>204.919835801029</c:v>
                </c:pt>
                <c:pt idx="33">
                  <c:v>211.32358066981118</c:v>
                </c:pt>
                <c:pt idx="34">
                  <c:v>217.72732553859331</c:v>
                </c:pt>
                <c:pt idx="35">
                  <c:v>224.13107040737546</c:v>
                </c:pt>
                <c:pt idx="36">
                  <c:v>230.53481527615762</c:v>
                </c:pt>
                <c:pt idx="37">
                  <c:v>236.93856014493977</c:v>
                </c:pt>
                <c:pt idx="38">
                  <c:v>243.34230501372193</c:v>
                </c:pt>
                <c:pt idx="39">
                  <c:v>236.77854898713903</c:v>
                </c:pt>
                <c:pt idx="40">
                  <c:v>231.1213280892209</c:v>
                </c:pt>
                <c:pt idx="41">
                  <c:v>225.72651076813347</c:v>
                </c:pt>
                <c:pt idx="42">
                  <c:v>220.5772283663745</c:v>
                </c:pt>
                <c:pt idx="43">
                  <c:v>215.65709121063864</c:v>
                </c:pt>
                <c:pt idx="44">
                  <c:v>210.95113657780311</c:v>
                </c:pt>
                <c:pt idx="45">
                  <c:v>206.44567670812236</c:v>
                </c:pt>
                <c:pt idx="46">
                  <c:v>202.1281658392715</c:v>
                </c:pt>
                <c:pt idx="47">
                  <c:v>197.98708354082169</c:v>
                </c:pt>
                <c:pt idx="48">
                  <c:v>194.01183206449235</c:v>
                </c:pt>
                <c:pt idx="49">
                  <c:v>190.19264578430389</c:v>
                </c:pt>
                <c:pt idx="50">
                  <c:v>186.52051109736325</c:v>
                </c:pt>
                <c:pt idx="51">
                  <c:v>182.98709540221012</c:v>
                </c:pt>
                <c:pt idx="52">
                  <c:v>179.58468397676282</c:v>
                </c:pt>
                <c:pt idx="53">
                  <c:v>176.30612374942203</c:v>
                </c:pt>
                <c:pt idx="54">
                  <c:v>173.14477310081318</c:v>
                </c:pt>
                <c:pt idx="55">
                  <c:v>170.09445695482461</c:v>
                </c:pt>
                <c:pt idx="56">
                  <c:v>167.14942651995182</c:v>
                </c:pt>
                <c:pt idx="57">
                  <c:v>164.30432312868629</c:v>
                </c:pt>
                <c:pt idx="58">
                  <c:v>161.55414569639021</c:v>
                </c:pt>
                <c:pt idx="59">
                  <c:v>158.89422138391947</c:v>
                </c:pt>
                <c:pt idx="60">
                  <c:v>156.32017910194975</c:v>
                </c:pt>
                <c:pt idx="61">
                  <c:v>153.82792554097622</c:v>
                </c:pt>
                <c:pt idx="62">
                  <c:v>151.4136234504964</c:v>
                </c:pt>
                <c:pt idx="63">
                  <c:v>149.07367192494388</c:v>
                </c:pt>
                <c:pt idx="64">
                  <c:v>146.8046884833532</c:v>
                </c:pt>
                <c:pt idx="65">
                  <c:v>144.60349275519192</c:v>
                </c:pt>
                <c:pt idx="66">
                  <c:v>142.46709160688062</c:v>
                </c:pt>
                <c:pt idx="67">
                  <c:v>140.3926655627246</c:v>
                </c:pt>
                <c:pt idx="68">
                  <c:v>138.37755639071005</c:v>
                </c:pt>
                <c:pt idx="69">
                  <c:v>136.41925573822795</c:v>
                </c:pt>
                <c:pt idx="70">
                  <c:v>134.51539471556751</c:v>
                </c:pt>
                <c:pt idx="71">
                  <c:v>132.66373433622832</c:v>
                </c:pt>
                <c:pt idx="72">
                  <c:v>130.86215673293654</c:v>
                </c:pt>
                <c:pt idx="73">
                  <c:v>129.10865707691275</c:v>
                </c:pt>
                <c:pt idx="74">
                  <c:v>127.40133613556893</c:v>
                </c:pt>
                <c:pt idx="75">
                  <c:v>125.73839341055316</c:v>
                </c:pt>
                <c:pt idx="76">
                  <c:v>124.11812080402173</c:v>
                </c:pt>
                <c:pt idx="77">
                  <c:v>122.53889676629966</c:v>
                </c:pt>
                <c:pt idx="78">
                  <c:v>120.99918088277832</c:v>
                </c:pt>
                <c:pt idx="79">
                  <c:v>119.49750886206506</c:v>
                </c:pt>
                <c:pt idx="80">
                  <c:v>118.03248789110764</c:v>
                </c:pt>
                <c:pt idx="81">
                  <c:v>116.60279232632232</c:v>
                </c:pt>
                <c:pt idx="82">
                  <c:v>115.20715969270748</c:v>
                </c:pt>
                <c:pt idx="83">
                  <c:v>113.84438696556029</c:v>
                </c:pt>
                <c:pt idx="84">
                  <c:v>112.51332711178138</c:v>
                </c:pt>
                <c:pt idx="85">
                  <c:v>111.21288586986445</c:v>
                </c:pt>
                <c:pt idx="86">
                  <c:v>109.9420187495751</c:v>
                </c:pt>
                <c:pt idx="87">
                  <c:v>108.69972823402655</c:v>
                </c:pt>
                <c:pt idx="88">
                  <c:v>107.48506116840237</c:v>
                </c:pt>
                <c:pt idx="89">
                  <c:v>106.29710632095795</c:v>
                </c:pt>
                <c:pt idx="90">
                  <c:v>105.13499210318581</c:v>
                </c:pt>
                <c:pt idx="91">
                  <c:v>103.99788443715688</c:v>
                </c:pt>
                <c:pt idx="92">
                  <c:v>102.88498475907105</c:v>
                </c:pt>
                <c:pt idx="93">
                  <c:v>101.79552814897455</c:v>
                </c:pt>
                <c:pt idx="94">
                  <c:v>100.72878157743951</c:v>
                </c:pt>
                <c:pt idx="95">
                  <c:v>99.684042260759611</c:v>
                </c:pt>
                <c:pt idx="96">
                  <c:v>98.660636116906417</c:v>
                </c:pt>
                <c:pt idx="97">
                  <c:v>97.657916315117944</c:v>
                </c:pt>
                <c:pt idx="98">
                  <c:v>96.675261912561183</c:v>
                </c:pt>
                <c:pt idx="99">
                  <c:v>95.712076572030625</c:v>
                </c:pt>
                <c:pt idx="100">
                  <c:v>94.767787355118429</c:v>
                </c:pt>
              </c:numCache>
            </c:numRef>
          </c:val>
          <c:smooth val="0"/>
          <c:extLst>
            <c:ext xmlns:c16="http://schemas.microsoft.com/office/drawing/2014/chart" uri="{C3380CC4-5D6E-409C-BE32-E72D297353CC}">
              <c16:uniqueId val="{00000001-35C4-40D8-9B41-933331EBB298}"/>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Single'!$AN$216:$AN$316</c:f>
              <c:numCache>
                <c:formatCode>0.0</c:formatCode>
                <c:ptCount val="101"/>
                <c:pt idx="0">
                  <c:v>12</c:v>
                </c:pt>
                <c:pt idx="1">
                  <c:v>12</c:v>
                </c:pt>
                <c:pt idx="2">
                  <c:v>12.807489737564312</c:v>
                </c:pt>
                <c:pt idx="3">
                  <c:v>19.211234606346469</c:v>
                </c:pt>
                <c:pt idx="4">
                  <c:v>25.614979475128624</c:v>
                </c:pt>
                <c:pt idx="5">
                  <c:v>32.018724343910783</c:v>
                </c:pt>
                <c:pt idx="6">
                  <c:v>38.422469212692938</c:v>
                </c:pt>
                <c:pt idx="7">
                  <c:v>44.826214081475094</c:v>
                </c:pt>
                <c:pt idx="8">
                  <c:v>51.229958950257249</c:v>
                </c:pt>
                <c:pt idx="9">
                  <c:v>57.633703819039404</c:v>
                </c:pt>
                <c:pt idx="10">
                  <c:v>64.037448687821566</c:v>
                </c:pt>
                <c:pt idx="11">
                  <c:v>70.441193556603707</c:v>
                </c:pt>
                <c:pt idx="12">
                  <c:v>76.844938425385877</c:v>
                </c:pt>
                <c:pt idx="13">
                  <c:v>83.248683294168032</c:v>
                </c:pt>
                <c:pt idx="14">
                  <c:v>89.652428162950187</c:v>
                </c:pt>
                <c:pt idx="15">
                  <c:v>96.056173031732342</c:v>
                </c:pt>
                <c:pt idx="16">
                  <c:v>102.4599179005145</c:v>
                </c:pt>
                <c:pt idx="17">
                  <c:v>108.86366276929665</c:v>
                </c:pt>
                <c:pt idx="18">
                  <c:v>115.26740763807881</c:v>
                </c:pt>
                <c:pt idx="19">
                  <c:v>121.67115250686096</c:v>
                </c:pt>
                <c:pt idx="20">
                  <c:v>128.07489737564313</c:v>
                </c:pt>
                <c:pt idx="21">
                  <c:v>134.47864224442529</c:v>
                </c:pt>
                <c:pt idx="22">
                  <c:v>140.88238711320741</c:v>
                </c:pt>
                <c:pt idx="23">
                  <c:v>147.2861319819896</c:v>
                </c:pt>
                <c:pt idx="24">
                  <c:v>153.68987685077175</c:v>
                </c:pt>
                <c:pt idx="25">
                  <c:v>160.09362171955388</c:v>
                </c:pt>
                <c:pt idx="26">
                  <c:v>166.49736658833606</c:v>
                </c:pt>
                <c:pt idx="27">
                  <c:v>172.90111145711822</c:v>
                </c:pt>
                <c:pt idx="28">
                  <c:v>179.30485632590037</c:v>
                </c:pt>
                <c:pt idx="29">
                  <c:v>185.7086011946825</c:v>
                </c:pt>
                <c:pt idx="30">
                  <c:v>192.11234606346468</c:v>
                </c:pt>
                <c:pt idx="31">
                  <c:v>198.51609093224681</c:v>
                </c:pt>
                <c:pt idx="32">
                  <c:v>204.919835801029</c:v>
                </c:pt>
                <c:pt idx="33">
                  <c:v>211.32358066981118</c:v>
                </c:pt>
                <c:pt idx="34">
                  <c:v>217.72732553859331</c:v>
                </c:pt>
                <c:pt idx="35">
                  <c:v>224.13107040737546</c:v>
                </c:pt>
                <c:pt idx="36">
                  <c:v>230.53481527615762</c:v>
                </c:pt>
                <c:pt idx="37">
                  <c:v>236.93856014493977</c:v>
                </c:pt>
                <c:pt idx="38">
                  <c:v>243.34230501372193</c:v>
                </c:pt>
                <c:pt idx="39">
                  <c:v>249.74604988250411</c:v>
                </c:pt>
                <c:pt idx="40">
                  <c:v>256.14979475128627</c:v>
                </c:pt>
                <c:pt idx="41">
                  <c:v>262.55353962006836</c:v>
                </c:pt>
                <c:pt idx="42">
                  <c:v>268.95728448885058</c:v>
                </c:pt>
                <c:pt idx="43">
                  <c:v>275.3617237242525</c:v>
                </c:pt>
                <c:pt idx="44">
                  <c:v>260.31114061431367</c:v>
                </c:pt>
                <c:pt idx="45">
                  <c:v>254.81399089392681</c:v>
                </c:pt>
                <c:pt idx="46">
                  <c:v>249.54390203833373</c:v>
                </c:pt>
                <c:pt idx="47">
                  <c:v>244.48709049089001</c:v>
                </c:pt>
                <c:pt idx="48">
                  <c:v>239.6308661952944</c:v>
                </c:pt>
                <c:pt idx="49">
                  <c:v>234.96352626522028</c:v>
                </c:pt>
                <c:pt idx="50">
                  <c:v>230.47426082454723</c:v>
                </c:pt>
                <c:pt idx="51">
                  <c:v>226.1530694233924</c:v>
                </c:pt>
                <c:pt idx="52">
                  <c:v>221.99068666958183</c:v>
                </c:pt>
                <c:pt idx="53">
                  <c:v>217.9785159115778</c:v>
                </c:pt>
                <c:pt idx="54">
                  <c:v>214.10856997391863</c:v>
                </c:pt>
                <c:pt idx="55">
                  <c:v>210.37341808540933</c:v>
                </c:pt>
                <c:pt idx="56">
                  <c:v>206.76613825803295</c:v>
                </c:pt>
                <c:pt idx="57">
                  <c:v>203.28027447445919</c:v>
                </c:pt>
                <c:pt idx="58">
                  <c:v>199.90979812704464</c:v>
                </c:pt>
                <c:pt idx="59">
                  <c:v>196.64907322378639</c:v>
                </c:pt>
                <c:pt idx="60">
                  <c:v>193.4928249387867</c:v>
                </c:pt>
                <c:pt idx="61">
                  <c:v>190.43611113807953</c:v>
                </c:pt>
                <c:pt idx="62">
                  <c:v>187.47429655750835</c:v>
                </c:pt>
                <c:pt idx="63">
                  <c:v>184.60302934888404</c:v>
                </c:pt>
                <c:pt idx="64">
                  <c:v>181.81821974482909</c:v>
                </c:pt>
                <c:pt idx="65">
                  <c:v>179.1160206223328</c:v>
                </c:pt>
                <c:pt idx="66">
                  <c:v>176.49280977075986</c:v>
                </c:pt>
                <c:pt idx="67">
                  <c:v>173.94517369244411</c:v>
                </c:pt>
                <c:pt idx="68">
                  <c:v>171.46989278352248</c:v>
                </c:pt>
                <c:pt idx="69">
                  <c:v>169.06392775972935</c:v>
                </c:pt>
                <c:pt idx="70">
                  <c:v>166.72440720681493</c:v>
                </c:pt>
                <c:pt idx="71">
                  <c:v>164.44861614836444</c:v>
                </c:pt>
                <c:pt idx="72">
                  <c:v>162.23398553532041</c:v>
                </c:pt>
                <c:pt idx="73">
                  <c:v>160.07808257166076</c:v>
                </c:pt>
                <c:pt idx="74">
                  <c:v>157.97860179964286</c:v>
                </c:pt>
                <c:pt idx="75">
                  <c:v>155.93335687593503</c:v>
                </c:pt>
                <c:pt idx="76">
                  <c:v>153.94027297696712</c:v>
                </c:pt>
                <c:pt idx="77">
                  <c:v>151.99737977803773</c:v>
                </c:pt>
                <c:pt idx="78">
                  <c:v>150.10280495624093</c:v>
                </c:pt>
                <c:pt idx="79">
                  <c:v>148.25476817217401</c:v>
                </c:pt>
                <c:pt idx="80">
                  <c:v>146.45157548976539</c:v>
                </c:pt>
                <c:pt idx="81">
                  <c:v>144.69161419745618</c:v>
                </c:pt>
                <c:pt idx="82">
                  <c:v>142.97334799745943</c:v>
                </c:pt>
                <c:pt idx="83">
                  <c:v>141.29531253292942</c:v>
                </c:pt>
                <c:pt idx="84">
                  <c:v>139.65611122567429</c:v>
                </c:pt>
                <c:pt idx="85">
                  <c:v>138.05441139954266</c:v>
                </c:pt>
                <c:pt idx="86">
                  <c:v>136.4889406668706</c:v>
                </c:pt>
                <c:pt idx="87">
                  <c:v>134.95848355739383</c:v>
                </c:pt>
                <c:pt idx="88">
                  <c:v>133.46187837085617</c:v>
                </c:pt>
                <c:pt idx="89">
                  <c:v>131.99801423618436</c:v>
                </c:pt>
                <c:pt idx="90">
                  <c:v>130.56582836158509</c:v>
                </c:pt>
                <c:pt idx="91">
                  <c:v>129.16430346125685</c:v>
                </c:pt>
                <c:pt idx="92">
                  <c:v>127.79246534562428</c:v>
                </c:pt>
                <c:pt idx="93">
                  <c:v>126.44938066309791</c:v>
                </c:pt>
                <c:pt idx="94">
                  <c:v>125.13415478235984</c:v>
                </c:pt>
                <c:pt idx="95">
                  <c:v>123.84592980507681</c:v>
                </c:pt>
                <c:pt idx="96">
                  <c:v>122.58388269976486</c:v>
                </c:pt>
                <c:pt idx="97">
                  <c:v>121.34722354827579</c:v>
                </c:pt>
                <c:pt idx="98">
                  <c:v>120.13519389705401</c:v>
                </c:pt>
                <c:pt idx="99">
                  <c:v>118.94706520593307</c:v>
                </c:pt>
                <c:pt idx="100">
                  <c:v>117.78213738780539</c:v>
                </c:pt>
              </c:numCache>
            </c:numRef>
          </c:val>
          <c:smooth val="0"/>
          <c:extLst>
            <c:ext xmlns:c16="http://schemas.microsoft.com/office/drawing/2014/chart" uri="{C3380CC4-5D6E-409C-BE32-E72D297353CC}">
              <c16:uniqueId val="{00000002-35C4-40D8-9B41-933331EBB29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5C4-40D8-9B41-933331EBB298}"/>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5C4-40D8-9B41-933331EBB298}"/>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5C4-40D8-9B41-933331EBB298}"/>
            </c:ext>
          </c:extLst>
        </c:ser>
        <c:dLbls>
          <c:showLegendKey val="0"/>
          <c:showVal val="0"/>
          <c:showCatName val="0"/>
          <c:showSerName val="0"/>
          <c:showPercent val="0"/>
          <c:showBubbleSize val="0"/>
        </c:dLbls>
        <c:smooth val="0"/>
        <c:axId val="451999616"/>
        <c:axId val="452288896"/>
      </c:lineChart>
      <c:catAx>
        <c:axId val="451999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288896"/>
        <c:crosses val="autoZero"/>
        <c:auto val="1"/>
        <c:lblAlgn val="ctr"/>
        <c:lblOffset val="100"/>
        <c:tickLblSkip val="20"/>
        <c:tickMarkSkip val="10"/>
        <c:noMultiLvlLbl val="0"/>
      </c:catAx>
      <c:valAx>
        <c:axId val="45228889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199961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c:v>
                </c:pt>
                <c:pt idx="2">
                  <c:v>20.833691001432225</c:v>
                </c:pt>
                <c:pt idx="3">
                  <c:v>20.833691001432225</c:v>
                </c:pt>
                <c:pt idx="4">
                  <c:v>27.778254668576302</c:v>
                </c:pt>
                <c:pt idx="5">
                  <c:v>34.722818335720376</c:v>
                </c:pt>
                <c:pt idx="6">
                  <c:v>41.66738200286445</c:v>
                </c:pt>
                <c:pt idx="7">
                  <c:v>48.611945670008538</c:v>
                </c:pt>
                <c:pt idx="8">
                  <c:v>55.556509337152605</c:v>
                </c:pt>
                <c:pt idx="9">
                  <c:v>62.501073004296671</c:v>
                </c:pt>
                <c:pt idx="10">
                  <c:v>69.445636671440752</c:v>
                </c:pt>
                <c:pt idx="11">
                  <c:v>76.390200338584819</c:v>
                </c:pt>
                <c:pt idx="12">
                  <c:v>83.3347640057289</c:v>
                </c:pt>
                <c:pt idx="13">
                  <c:v>90.279327672872981</c:v>
                </c:pt>
                <c:pt idx="14">
                  <c:v>97.223891340017076</c:v>
                </c:pt>
                <c:pt idx="15">
                  <c:v>104.16845500716113</c:v>
                </c:pt>
                <c:pt idx="16">
                  <c:v>111.11301867430521</c:v>
                </c:pt>
                <c:pt idx="17">
                  <c:v>118.0575823414493</c:v>
                </c:pt>
                <c:pt idx="18">
                  <c:v>125.00214600859334</c:v>
                </c:pt>
                <c:pt idx="19">
                  <c:v>131.94670967573745</c:v>
                </c:pt>
                <c:pt idx="20">
                  <c:v>138.8912733428815</c:v>
                </c:pt>
                <c:pt idx="21">
                  <c:v>145.83583701002559</c:v>
                </c:pt>
                <c:pt idx="22">
                  <c:v>152.78040067716964</c:v>
                </c:pt>
                <c:pt idx="23">
                  <c:v>159.72496434431372</c:v>
                </c:pt>
                <c:pt idx="24">
                  <c:v>166.6695280114578</c:v>
                </c:pt>
                <c:pt idx="25">
                  <c:v>173.61409167860191</c:v>
                </c:pt>
                <c:pt idx="26">
                  <c:v>180.55865534574596</c:v>
                </c:pt>
                <c:pt idx="27">
                  <c:v>187.50321901289004</c:v>
                </c:pt>
                <c:pt idx="28">
                  <c:v>194.44778268003415</c:v>
                </c:pt>
                <c:pt idx="29">
                  <c:v>201.39234634717818</c:v>
                </c:pt>
                <c:pt idx="30">
                  <c:v>208.33691001432226</c:v>
                </c:pt>
                <c:pt idx="31">
                  <c:v>215.28147368146637</c:v>
                </c:pt>
                <c:pt idx="32">
                  <c:v>212.28432427268808</c:v>
                </c:pt>
                <c:pt idx="33">
                  <c:v>206.10691267739978</c:v>
                </c:pt>
                <c:pt idx="34">
                  <c:v>200.27828892639309</c:v>
                </c:pt>
                <c:pt idx="35">
                  <c:v>194.76972346628364</c:v>
                </c:pt>
                <c:pt idx="36">
                  <c:v>189.55555768608298</c:v>
                </c:pt>
                <c:pt idx="37">
                  <c:v>184.61280427508262</c:v>
                </c:pt>
                <c:pt idx="38">
                  <c:v>179.92080840728147</c:v>
                </c:pt>
                <c:pt idx="39">
                  <c:v>175.46095921862383</c:v>
                </c:pt>
                <c:pt idx="40">
                  <c:v>171.21644307777169</c:v>
                </c:pt>
                <c:pt idx="41">
                  <c:v>167.17203175397916</c:v>
                </c:pt>
                <c:pt idx="42">
                  <c:v>163.31389985624571</c:v>
                </c:pt>
                <c:pt idx="43">
                  <c:v>159.62946693110447</c:v>
                </c:pt>
                <c:pt idx="44">
                  <c:v>156.10726041882467</c:v>
                </c:pt>
                <c:pt idx="45">
                  <c:v>152.73679632271865</c:v>
                </c:pt>
                <c:pt idx="46">
                  <c:v>149.50847497686107</c:v>
                </c:pt>
                <c:pt idx="47">
                  <c:v>146.41348972952002</c:v>
                </c:pt>
                <c:pt idx="48">
                  <c:v>143.4437467129209</c:v>
                </c:pt>
                <c:pt idx="49">
                  <c:v>140.59179416022235</c:v>
                </c:pt>
                <c:pt idx="50">
                  <c:v>137.85075997003366</c:v>
                </c:pt>
                <c:pt idx="51">
                  <c:v>135.21429641714798</c:v>
                </c:pt>
                <c:pt idx="52">
                  <c:v>132.67653107309295</c:v>
                </c:pt>
                <c:pt idx="53">
                  <c:v>130.23202313775113</c:v>
                </c:pt>
                <c:pt idx="54">
                  <c:v>127.87572449860293</c:v>
                </c:pt>
                <c:pt idx="55">
                  <c:v>125.60294493104954</c:v>
                </c:pt>
                <c:pt idx="56">
                  <c:v>123.40932093499265</c:v>
                </c:pt>
                <c:pt idx="57">
                  <c:v>121.2907877719764</c:v>
                </c:pt>
                <c:pt idx="58">
                  <c:v>119.24355432585403</c:v>
                </c:pt>
                <c:pt idx="59">
                  <c:v>117.26408045986594</c:v>
                </c:pt>
                <c:pt idx="60">
                  <c:v>115.34905658561809</c:v>
                </c:pt>
                <c:pt idx="61">
                  <c:v>113.49538519591633</c:v>
                </c:pt>
                <c:pt idx="62">
                  <c:v>111.7001641446991</c:v>
                </c:pt>
                <c:pt idx="63">
                  <c:v>109.96067148422864</c:v>
                </c:pt>
                <c:pt idx="64">
                  <c:v>108.27435169291559</c:v>
                </c:pt>
                <c:pt idx="65">
                  <c:v>106.63880314722137</c:v>
                </c:pt>
                <c:pt idx="66">
                  <c:v>105.05176670847116</c:v>
                </c:pt>
                <c:pt idx="67">
                  <c:v>103.51111531051389</c:v>
                </c:pt>
                <c:pt idx="68">
                  <c:v>102.01484444731101</c:v>
                </c:pt>
                <c:pt idx="69">
                  <c:v>100.5610634709973</c:v>
                </c:pt>
                <c:pt idx="70">
                  <c:v>99.147987620981993</c:v>
                </c:pt>
                <c:pt idx="71">
                  <c:v>97.773930713427262</c:v>
                </c:pt>
                <c:pt idx="72">
                  <c:v>96.437298428145724</c:v>
                </c:pt>
                <c:pt idx="73">
                  <c:v>95.136582136723064</c:v>
                </c:pt>
                <c:pt idx="74">
                  <c:v>93.870353221633238</c:v>
                </c:pt>
                <c:pt idx="75">
                  <c:v>92.637257841374051</c:v>
                </c:pt>
                <c:pt idx="76">
                  <c:v>91.436012101293926</c:v>
                </c:pt>
                <c:pt idx="77">
                  <c:v>90.265397593899635</c:v>
                </c:pt>
                <c:pt idx="78">
                  <c:v>89.124257276078282</c:v>
                </c:pt>
                <c:pt idx="79">
                  <c:v>88.011491653908266</c:v>
                </c:pt>
                <c:pt idx="80">
                  <c:v>86.926055248615256</c:v>
                </c:pt>
                <c:pt idx="81">
                  <c:v>85.866953319795243</c:v>
                </c:pt>
                <c:pt idx="82">
                  <c:v>84.833238824317348</c:v>
                </c:pt>
                <c:pt idx="83">
                  <c:v>83.824009591364032</c:v>
                </c:pt>
                <c:pt idx="84">
                  <c:v>82.838405695897137</c:v>
                </c:pt>
                <c:pt idx="85">
                  <c:v>81.875607014477353</c:v>
                </c:pt>
                <c:pt idx="86">
                  <c:v>80.934830948836179</c:v>
                </c:pt>
                <c:pt idx="87">
                  <c:v>80.015330303919043</c:v>
                </c:pt>
                <c:pt idx="88">
                  <c:v>79.116391308308366</c:v>
                </c:pt>
                <c:pt idx="89">
                  <c:v>78.237331766003564</c:v>
                </c:pt>
                <c:pt idx="90">
                  <c:v>77.377499329500409</c:v>
                </c:pt>
                <c:pt idx="91">
                  <c:v>76.536269884982403</c:v>
                </c:pt>
                <c:pt idx="92">
                  <c:v>75.713046041223478</c:v>
                </c:pt>
                <c:pt idx="93">
                  <c:v>74.907255714513909</c:v>
                </c:pt>
                <c:pt idx="94">
                  <c:v>74.118350802564521</c:v>
                </c:pt>
                <c:pt idx="95">
                  <c:v>73.345805940930006</c:v>
                </c:pt>
                <c:pt idx="96">
                  <c:v>72.589117336021971</c:v>
                </c:pt>
                <c:pt idx="97">
                  <c:v>71.847801669264413</c:v>
                </c:pt>
                <c:pt idx="98">
                  <c:v>71.121395067382608</c:v>
                </c:pt>
                <c:pt idx="99">
                  <c:v>70.409452134215726</c:v>
                </c:pt>
                <c:pt idx="100">
                  <c:v>69.711545039806637</c:v>
                </c:pt>
              </c:numCache>
            </c:numRef>
          </c:val>
          <c:smooth val="0"/>
          <c:extLst>
            <c:ext xmlns:c16="http://schemas.microsoft.com/office/drawing/2014/chart" uri="{C3380CC4-5D6E-409C-BE32-E72D297353CC}">
              <c16:uniqueId val="{00000000-44F7-4870-98EC-5ED7AF60689B}"/>
            </c:ext>
          </c:extLst>
        </c:ser>
        <c:ser>
          <c:idx val="0"/>
          <c:order val="1"/>
          <c:tx>
            <c:v>VIN-nom</c:v>
          </c:tx>
          <c:spPr>
            <a:ln w="28575">
              <a:solidFill>
                <a:srgbClr val="FF0000"/>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c:v>
                </c:pt>
                <c:pt idx="2">
                  <c:v>13.889127334288151</c:v>
                </c:pt>
                <c:pt idx="3">
                  <c:v>20.833691001432225</c:v>
                </c:pt>
                <c:pt idx="4">
                  <c:v>27.778254668576302</c:v>
                </c:pt>
                <c:pt idx="5">
                  <c:v>34.722818335720376</c:v>
                </c:pt>
                <c:pt idx="6">
                  <c:v>41.66738200286445</c:v>
                </c:pt>
                <c:pt idx="7">
                  <c:v>48.611945670008538</c:v>
                </c:pt>
                <c:pt idx="8">
                  <c:v>55.556509337152605</c:v>
                </c:pt>
                <c:pt idx="9">
                  <c:v>62.501073004296671</c:v>
                </c:pt>
                <c:pt idx="10">
                  <c:v>69.445636671440752</c:v>
                </c:pt>
                <c:pt idx="11">
                  <c:v>76.390200338584819</c:v>
                </c:pt>
                <c:pt idx="12">
                  <c:v>83.3347640057289</c:v>
                </c:pt>
                <c:pt idx="13">
                  <c:v>90.279327672872981</c:v>
                </c:pt>
                <c:pt idx="14">
                  <c:v>97.223891340017076</c:v>
                </c:pt>
                <c:pt idx="15">
                  <c:v>104.16845500716113</c:v>
                </c:pt>
                <c:pt idx="16">
                  <c:v>111.11301867430521</c:v>
                </c:pt>
                <c:pt idx="17">
                  <c:v>118.0575823414493</c:v>
                </c:pt>
                <c:pt idx="18">
                  <c:v>125.00214600859334</c:v>
                </c:pt>
                <c:pt idx="19">
                  <c:v>131.94670967573745</c:v>
                </c:pt>
                <c:pt idx="20">
                  <c:v>138.8912733428815</c:v>
                </c:pt>
                <c:pt idx="21">
                  <c:v>145.83583701002559</c:v>
                </c:pt>
                <c:pt idx="22">
                  <c:v>152.78040067716964</c:v>
                </c:pt>
                <c:pt idx="23">
                  <c:v>159.72496434431372</c:v>
                </c:pt>
                <c:pt idx="24">
                  <c:v>166.6695280114578</c:v>
                </c:pt>
                <c:pt idx="25">
                  <c:v>173.61409167860191</c:v>
                </c:pt>
                <c:pt idx="26">
                  <c:v>180.55865534574596</c:v>
                </c:pt>
                <c:pt idx="27">
                  <c:v>187.50321901289004</c:v>
                </c:pt>
                <c:pt idx="28">
                  <c:v>194.44778268003415</c:v>
                </c:pt>
                <c:pt idx="29">
                  <c:v>201.39234634717818</c:v>
                </c:pt>
                <c:pt idx="30">
                  <c:v>208.33691001432226</c:v>
                </c:pt>
                <c:pt idx="31">
                  <c:v>215.28147368146637</c:v>
                </c:pt>
                <c:pt idx="32">
                  <c:v>222.22603734861042</c:v>
                </c:pt>
                <c:pt idx="33">
                  <c:v>229.1706010157545</c:v>
                </c:pt>
                <c:pt idx="34">
                  <c:v>236.11516468289861</c:v>
                </c:pt>
                <c:pt idx="35">
                  <c:v>243.0597283500426</c:v>
                </c:pt>
                <c:pt idx="36">
                  <c:v>250.00429201718669</c:v>
                </c:pt>
                <c:pt idx="37">
                  <c:v>237.55972718735387</c:v>
                </c:pt>
                <c:pt idx="38">
                  <c:v>231.60015096318938</c:v>
                </c:pt>
                <c:pt idx="39">
                  <c:v>225.93238417529975</c:v>
                </c:pt>
                <c:pt idx="40">
                  <c:v>220.53550598709793</c:v>
                </c:pt>
                <c:pt idx="41">
                  <c:v>215.3905487356939</c:v>
                </c:pt>
                <c:pt idx="42">
                  <c:v>210.48027519470898</c:v>
                </c:pt>
                <c:pt idx="43">
                  <c:v>205.78898563815912</c:v>
                </c:pt>
                <c:pt idx="44">
                  <c:v>201.30235015510937</c:v>
                </c:pt>
                <c:pt idx="45">
                  <c:v>197.0072624418882</c:v>
                </c:pt>
                <c:pt idx="46">
                  <c:v>192.8917119295561</c:v>
                </c:pt>
                <c:pt idx="47">
                  <c:v>188.94467161898564</c:v>
                </c:pt>
                <c:pt idx="48">
                  <c:v>185.1559994176398</c:v>
                </c:pt>
                <c:pt idx="49">
                  <c:v>181.51635111921755</c:v>
                </c:pt>
                <c:pt idx="50">
                  <c:v>178.01710345416637</c:v>
                </c:pt>
                <c:pt idx="51">
                  <c:v>174.65028587704097</c:v>
                </c:pt>
                <c:pt idx="52">
                  <c:v>171.40851995488921</c:v>
                </c:pt>
                <c:pt idx="53">
                  <c:v>168.28496538652499</c:v>
                </c:pt>
                <c:pt idx="54">
                  <c:v>165.27327182152305</c:v>
                </c:pt>
                <c:pt idx="55">
                  <c:v>162.36753576474561</c:v>
                </c:pt>
                <c:pt idx="56">
                  <c:v>159.56226195098171</c:v>
                </c:pt>
                <c:pt idx="57">
                  <c:v>156.85232865794958</c:v>
                </c:pt>
                <c:pt idx="58">
                  <c:v>154.23295649699344</c:v>
                </c:pt>
                <c:pt idx="59">
                  <c:v>151.69968028137856</c:v>
                </c:pt>
                <c:pt idx="60">
                  <c:v>149.24832362384043</c:v>
                </c:pt>
                <c:pt idx="61">
                  <c:v>146.87497595938945</c:v>
                </c:pt>
                <c:pt idx="62">
                  <c:v>144.57597172746438</c:v>
                </c:pt>
                <c:pt idx="63">
                  <c:v>142.34787148033178</c:v>
                </c:pt>
                <c:pt idx="64">
                  <c:v>140.18744471295213</c:v>
                </c:pt>
                <c:pt idx="65">
                  <c:v>138.09165423403914</c:v>
                </c:pt>
                <c:pt idx="66">
                  <c:v>136.05764191929816</c:v>
                </c:pt>
                <c:pt idx="67">
                  <c:v>134.08271570630646</c:v>
                </c:pt>
                <c:pt idx="68">
                  <c:v>132.16433770659413</c:v>
                </c:pt>
                <c:pt idx="69">
                  <c:v>130.30011332453935</c:v>
                </c:pt>
                <c:pt idx="70">
                  <c:v>128.48778128498083</c:v>
                </c:pt>
                <c:pt idx="71">
                  <c:v>126.72520448222465</c:v>
                </c:pt>
                <c:pt idx="72">
                  <c:v>125.01036157258297</c:v>
                </c:pt>
                <c:pt idx="73">
                  <c:v>123.34133924090466</c:v>
                </c:pt>
                <c:pt idx="74">
                  <c:v>121.71632507889161</c:v>
                </c:pt>
                <c:pt idx="75">
                  <c:v>120.13360101947298</c:v>
                </c:pt>
                <c:pt idx="76">
                  <c:v>118.59153727723347</c:v>
                </c:pt>
                <c:pt idx="77">
                  <c:v>117.0885867499691</c:v>
                </c:pt>
                <c:pt idx="78">
                  <c:v>115.62327984094196</c:v>
                </c:pt>
                <c:pt idx="79">
                  <c:v>114.19421966540757</c:v>
                </c:pt>
                <c:pt idx="80">
                  <c:v>112.80007760855031</c:v>
                </c:pt>
                <c:pt idx="81">
                  <c:v>111.43958920513199</c:v>
                </c:pt>
                <c:pt idx="82">
                  <c:v>110.11155031399747</c:v>
                </c:pt>
                <c:pt idx="83">
                  <c:v>108.8148135631079</c:v>
                </c:pt>
                <c:pt idx="84">
                  <c:v>107.54828504304437</c:v>
                </c:pt>
                <c:pt idx="85">
                  <c:v>106.31092122895225</c:v>
                </c:pt>
                <c:pt idx="86">
                  <c:v>105.10172611272458</c:v>
                </c:pt>
                <c:pt idx="87">
                  <c:v>103.91974852885863</c:v>
                </c:pt>
                <c:pt idx="88">
                  <c:v>102.76407965889683</c:v>
                </c:pt>
                <c:pt idx="89">
                  <c:v>101.63385070069127</c:v>
                </c:pt>
                <c:pt idx="90">
                  <c:v>100.52823068992902</c:v>
                </c:pt>
                <c:pt idx="91">
                  <c:v>99.44642446243995</c:v>
                </c:pt>
                <c:pt idx="92">
                  <c:v>98.387670746784281</c:v>
                </c:pt>
                <c:pt idx="93">
                  <c:v>97.351240377506087</c:v>
                </c:pt>
                <c:pt idx="94">
                  <c:v>96.33643462023872</c:v>
                </c:pt>
                <c:pt idx="95">
                  <c:v>95.342583600578479</c:v>
                </c:pt>
                <c:pt idx="96">
                  <c:v>94.369044829301842</c:v>
                </c:pt>
                <c:pt idx="97">
                  <c:v>93.415201817104048</c:v>
                </c:pt>
                <c:pt idx="98">
                  <c:v>92.480462772582598</c:v>
                </c:pt>
                <c:pt idx="99">
                  <c:v>91.564259377686852</c:v>
                </c:pt>
                <c:pt idx="100">
                  <c:v>90.66604563531078</c:v>
                </c:pt>
              </c:numCache>
            </c:numRef>
          </c:val>
          <c:smooth val="0"/>
          <c:extLst>
            <c:ext xmlns:c16="http://schemas.microsoft.com/office/drawing/2014/chart" uri="{C3380CC4-5D6E-409C-BE32-E72D297353CC}">
              <c16:uniqueId val="{00000001-44F7-4870-98EC-5ED7AF60689B}"/>
            </c:ext>
          </c:extLst>
        </c:ser>
        <c:ser>
          <c:idx val="2"/>
          <c:order val="2"/>
          <c:tx>
            <c:v>VIN-max</c:v>
          </c:tx>
          <c:spPr>
            <a:ln>
              <a:solidFill>
                <a:srgbClr val="0000FF"/>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c:v>
                </c:pt>
                <c:pt idx="2">
                  <c:v>13.88790822716947</c:v>
                </c:pt>
                <c:pt idx="3">
                  <c:v>20.831862340754203</c:v>
                </c:pt>
                <c:pt idx="4">
                  <c:v>27.775816454338941</c:v>
                </c:pt>
                <c:pt idx="5">
                  <c:v>34.719770567923675</c:v>
                </c:pt>
                <c:pt idx="6">
                  <c:v>41.663724681508405</c:v>
                </c:pt>
                <c:pt idx="7">
                  <c:v>48.607678795093143</c:v>
                </c:pt>
                <c:pt idx="8">
                  <c:v>55.551632908677881</c:v>
                </c:pt>
                <c:pt idx="9">
                  <c:v>62.495587022262612</c:v>
                </c:pt>
                <c:pt idx="10">
                  <c:v>69.43954113584735</c:v>
                </c:pt>
                <c:pt idx="11">
                  <c:v>76.383495249432102</c:v>
                </c:pt>
                <c:pt idx="12">
                  <c:v>83.327449363016811</c:v>
                </c:pt>
                <c:pt idx="13">
                  <c:v>90.271403476601549</c:v>
                </c:pt>
                <c:pt idx="14">
                  <c:v>97.215357590186287</c:v>
                </c:pt>
                <c:pt idx="15">
                  <c:v>104.15931170377101</c:v>
                </c:pt>
                <c:pt idx="16">
                  <c:v>111.10326581735576</c:v>
                </c:pt>
                <c:pt idx="17">
                  <c:v>118.0472199309405</c:v>
                </c:pt>
                <c:pt idx="18">
                  <c:v>124.99117404452522</c:v>
                </c:pt>
                <c:pt idx="19">
                  <c:v>131.93512815810996</c:v>
                </c:pt>
                <c:pt idx="20">
                  <c:v>138.8790822716947</c:v>
                </c:pt>
                <c:pt idx="21">
                  <c:v>145.82303638527941</c:v>
                </c:pt>
                <c:pt idx="22">
                  <c:v>152.7669904988642</c:v>
                </c:pt>
                <c:pt idx="23">
                  <c:v>159.71094461244891</c:v>
                </c:pt>
                <c:pt idx="24">
                  <c:v>166.65489872603362</c:v>
                </c:pt>
                <c:pt idx="25">
                  <c:v>173.59885283961839</c:v>
                </c:pt>
                <c:pt idx="26">
                  <c:v>180.5428069532031</c:v>
                </c:pt>
                <c:pt idx="27">
                  <c:v>187.48676106678786</c:v>
                </c:pt>
                <c:pt idx="28">
                  <c:v>194.43071518037257</c:v>
                </c:pt>
                <c:pt idx="29">
                  <c:v>201.37466929395728</c:v>
                </c:pt>
                <c:pt idx="30">
                  <c:v>208.31862340754202</c:v>
                </c:pt>
                <c:pt idx="31">
                  <c:v>215.26257752112676</c:v>
                </c:pt>
                <c:pt idx="32">
                  <c:v>222.20653163471152</c:v>
                </c:pt>
                <c:pt idx="33">
                  <c:v>229.15048574829626</c:v>
                </c:pt>
                <c:pt idx="34">
                  <c:v>236.094439861881</c:v>
                </c:pt>
                <c:pt idx="35">
                  <c:v>243.03839397546571</c:v>
                </c:pt>
                <c:pt idx="36">
                  <c:v>249.98234808905045</c:v>
                </c:pt>
                <c:pt idx="37">
                  <c:v>256.92630220263516</c:v>
                </c:pt>
                <c:pt idx="38">
                  <c:v>263.87025631621992</c:v>
                </c:pt>
                <c:pt idx="39">
                  <c:v>270.81421042980469</c:v>
                </c:pt>
                <c:pt idx="40">
                  <c:v>277.7581645433894</c:v>
                </c:pt>
                <c:pt idx="41">
                  <c:v>266.11462956577873</c:v>
                </c:pt>
                <c:pt idx="42">
                  <c:v>260.11864826767874</c:v>
                </c:pt>
                <c:pt idx="43">
                  <c:v>254.38738352869817</c:v>
                </c:pt>
                <c:pt idx="44">
                  <c:v>248.90368328794969</c:v>
                </c:pt>
                <c:pt idx="45">
                  <c:v>243.6518459593662</c:v>
                </c:pt>
                <c:pt idx="46">
                  <c:v>238.61747028070943</c:v>
                </c:pt>
                <c:pt idx="47">
                  <c:v>233.78732343633209</c:v>
                </c:pt>
                <c:pt idx="48">
                  <c:v>229.14922491065488</c:v>
                </c:pt>
                <c:pt idx="49">
                  <c:v>224.6919439258881</c:v>
                </c:pt>
                <c:pt idx="50">
                  <c:v>220.40510864585855</c:v>
                </c:pt>
                <c:pt idx="51">
                  <c:v>216.27912560069146</c:v>
                </c:pt>
                <c:pt idx="52">
                  <c:v>212.30510801475214</c:v>
                </c:pt>
                <c:pt idx="53">
                  <c:v>208.47481191086604</c:v>
                </c:pt>
                <c:pt idx="54">
                  <c:v>204.78057902397083</c:v>
                </c:pt>
                <c:pt idx="55">
                  <c:v>201.21528569233857</c:v>
                </c:pt>
                <c:pt idx="56">
                  <c:v>197.77229700865919</c:v>
                </c:pt>
                <c:pt idx="57">
                  <c:v>194.44542561009413</c:v>
                </c:pt>
                <c:pt idx="58">
                  <c:v>191.2288945687859</c:v>
                </c:pt>
                <c:pt idx="59">
                  <c:v>188.11730391458551</c:v>
                </c:pt>
                <c:pt idx="60">
                  <c:v>185.10560038188763</c:v>
                </c:pt>
                <c:pt idx="61">
                  <c:v>182.18905002403966</c:v>
                </c:pt>
                <c:pt idx="62">
                  <c:v>179.36321338314991</c:v>
                </c:pt>
                <c:pt idx="63">
                  <c:v>176.62392294136447</c:v>
                </c:pt>
                <c:pt idx="64">
                  <c:v>173.96726261273628</c:v>
                </c:pt>
                <c:pt idx="65">
                  <c:v>171.38954906344165</c:v>
                </c:pt>
                <c:pt idx="66">
                  <c:v>168.88731467296014</c:v>
                </c:pt>
                <c:pt idx="67">
                  <c:v>166.45729197046566</c:v>
                </c:pt>
                <c:pt idx="68">
                  <c:v>164.0963993995384</c:v>
                </c:pt>
                <c:pt idx="69">
                  <c:v>161.80172828078753</c:v>
                </c:pt>
                <c:pt idx="70">
                  <c:v>159.57053085640604</c:v>
                </c:pt>
                <c:pt idx="71">
                  <c:v>157.40020931333643</c:v>
                </c:pt>
                <c:pt idx="72">
                  <c:v>155.28830569284946</c:v>
                </c:pt>
                <c:pt idx="73">
                  <c:v>153.23249260413471</c:v>
                </c:pt>
                <c:pt idx="74">
                  <c:v>151.23056466814134</c:v>
                </c:pt>
                <c:pt idx="75">
                  <c:v>149.28043062553994</c:v>
                </c:pt>
                <c:pt idx="76">
                  <c:v>147.38010604943457</c:v>
                </c:pt>
                <c:pt idx="77">
                  <c:v>145.52770660944194</c:v>
                </c:pt>
                <c:pt idx="78">
                  <c:v>143.72144183907358</c:v>
                </c:pt>
                <c:pt idx="79">
                  <c:v>141.95960936308711</c:v>
                </c:pt>
                <c:pt idx="80">
                  <c:v>140.24058954568406</c:v>
                </c:pt>
                <c:pt idx="81">
                  <c:v>138.56284052418843</c:v>
                </c:pt>
                <c:pt idx="82">
                  <c:v>136.92489359619904</c:v>
                </c:pt>
                <c:pt idx="83">
                  <c:v>135.32534893120607</c:v>
                </c:pt>
                <c:pt idx="84">
                  <c:v>133.76287158035603</c:v>
                </c:pt>
                <c:pt idx="85">
                  <c:v>132.23618776045811</c:v>
                </c:pt>
                <c:pt idx="86">
                  <c:v>130.74408139049078</c:v>
                </c:pt>
                <c:pt idx="87">
                  <c:v>129.2853908608169</c:v>
                </c:pt>
                <c:pt idx="88">
                  <c:v>127.85900601706743</c:v>
                </c:pt>
                <c:pt idx="89">
                  <c:v>126.46386534223566</c:v>
                </c:pt>
                <c:pt idx="90">
                  <c:v>125.0989533219492</c:v>
                </c:pt>
                <c:pt idx="91">
                  <c:v>123.76329797917685</c:v>
                </c:pt>
                <c:pt idx="92">
                  <c:v>122.45596856579348</c:v>
                </c:pt>
                <c:pt idx="93">
                  <c:v>121.17607339948034</c:v>
                </c:pt>
                <c:pt idx="94">
                  <c:v>119.92275783539822</c:v>
                </c:pt>
                <c:pt idx="95">
                  <c:v>118.69520236293519</c:v>
                </c:pt>
                <c:pt idx="96">
                  <c:v>117.49262081862517</c:v>
                </c:pt>
                <c:pt idx="97">
                  <c:v>116.31425870704581</c:v>
                </c:pt>
                <c:pt idx="98">
                  <c:v>115.15939162216061</c:v>
                </c:pt>
                <c:pt idx="99">
                  <c:v>114.02732376216494</c:v>
                </c:pt>
                <c:pt idx="100">
                  <c:v>112.91738653143696</c:v>
                </c:pt>
              </c:numCache>
            </c:numRef>
          </c:val>
          <c:smooth val="0"/>
          <c:extLst>
            <c:ext xmlns:c16="http://schemas.microsoft.com/office/drawing/2014/chart" uri="{C3380CC4-5D6E-409C-BE32-E72D297353CC}">
              <c16:uniqueId val="{00000002-44F7-4870-98EC-5ED7AF60689B}"/>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44F7-4870-98EC-5ED7AF60689B}"/>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44F7-4870-98EC-5ED7AF60689B}"/>
              </c:ext>
            </c:extLst>
          </c:dPt>
          <c:dPt>
            <c:idx val="92"/>
            <c:bubble3D val="0"/>
            <c:extLst>
              <c:ext xmlns:c16="http://schemas.microsoft.com/office/drawing/2014/chart" uri="{C3380CC4-5D6E-409C-BE32-E72D297353CC}">
                <c16:uniqueId val="{00000005-44F7-4870-98EC-5ED7AF60689B}"/>
              </c:ext>
            </c:extLst>
          </c:dPt>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44F7-4870-98EC-5ED7AF60689B}"/>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44F7-4870-98EC-5ED7AF60689B}"/>
            </c:ext>
          </c:extLst>
        </c:ser>
        <c:dLbls>
          <c:showLegendKey val="0"/>
          <c:showVal val="0"/>
          <c:showCatName val="0"/>
          <c:showSerName val="0"/>
          <c:showPercent val="0"/>
          <c:showBubbleSize val="0"/>
        </c:dLbls>
        <c:smooth val="0"/>
        <c:axId val="452326144"/>
        <c:axId val="452328448"/>
      </c:lineChart>
      <c:catAx>
        <c:axId val="452326144"/>
        <c:scaling>
          <c:orientation val="minMax"/>
        </c:scaling>
        <c:delete val="0"/>
        <c:axPos val="b"/>
        <c:majorGridlines>
          <c:spPr>
            <a:ln w="15875">
              <a:solidFill>
                <a:srgbClr val="969696"/>
              </a:solidFill>
              <a:prstDash val="sysDash"/>
            </a:ln>
          </c:spPr>
        </c:majorGridlines>
        <c:title>
          <c:tx>
            <c:rich>
              <a:bodyPr/>
              <a:lstStyle/>
              <a:p>
                <a:pPr>
                  <a:defRPr lang="ja-JP"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8448"/>
        <c:crosses val="autoZero"/>
        <c:auto val="1"/>
        <c:lblAlgn val="ctr"/>
        <c:lblOffset val="100"/>
        <c:tickLblSkip val="20"/>
        <c:tickMarkSkip val="10"/>
        <c:noMultiLvlLbl val="0"/>
      </c:catAx>
      <c:valAx>
        <c:axId val="452328448"/>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6144"/>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BE97-48FA-B330-74E933417AF3}"/>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BE97-48FA-B330-74E933417AF3}"/>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BE97-48FA-B330-74E933417AF3}"/>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BE97-48FA-B330-74E933417AF3}"/>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BE97-48FA-B330-74E933417AF3}"/>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BE97-48FA-B330-74E933417AF3}"/>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BE97-48FA-B330-74E933417AF3}"/>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BE97-48FA-B330-74E933417AF3}"/>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BE97-48FA-B330-74E933417AF3}"/>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BE97-48FA-B330-74E933417AF3}"/>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BE97-48FA-B330-74E933417AF3}"/>
            </c:ext>
          </c:extLst>
        </c:ser>
        <c:dLbls>
          <c:showLegendKey val="0"/>
          <c:showVal val="0"/>
          <c:showCatName val="0"/>
          <c:showSerName val="0"/>
          <c:showPercent val="0"/>
          <c:showBubbleSize val="0"/>
        </c:dLbls>
        <c:axId val="447280256"/>
        <c:axId val="447282176"/>
      </c:areaChart>
      <c:catAx>
        <c:axId val="44728025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282176"/>
        <c:crosses val="autoZero"/>
        <c:auto val="1"/>
        <c:lblAlgn val="ctr"/>
        <c:lblOffset val="100"/>
        <c:tickMarkSkip val="1"/>
        <c:noMultiLvlLbl val="0"/>
      </c:catAx>
      <c:valAx>
        <c:axId val="447282176"/>
        <c:scaling>
          <c:orientation val="minMax"/>
          <c:max val="0.2"/>
          <c:min val="0"/>
        </c:scaling>
        <c:delete val="0"/>
        <c:axPos val="l"/>
        <c:majorGridlines>
          <c:spPr>
            <a:ln w="3175">
              <a:solidFill>
                <a:srgbClr val="000000"/>
              </a:solidFill>
              <a:prstDash val="solid"/>
            </a:ln>
          </c:spPr>
        </c:majorGridlines>
        <c:min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280256"/>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6E96-4528-9036-34F1ACDA388E}"/>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E96-4528-9036-34F1ACDA388E}"/>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6E96-4528-9036-34F1ACDA388E}"/>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E96-4528-9036-34F1ACDA388E}"/>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6E96-4528-9036-34F1ACDA388E}"/>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6E96-4528-9036-34F1ACDA388E}"/>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E96-4528-9036-34F1ACDA388E}"/>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6E96-4528-9036-34F1ACDA388E}"/>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E96-4528-9036-34F1ACDA388E}"/>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6E96-4528-9036-34F1ACDA388E}"/>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6E96-4528-9036-34F1ACDA388E}"/>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6E96-4528-9036-34F1ACDA388E}"/>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6E96-4528-9036-34F1ACDA388E}"/>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6E96-4528-9036-34F1ACDA388E}"/>
            </c:ext>
          </c:extLst>
        </c:ser>
        <c:dLbls>
          <c:showLegendKey val="0"/>
          <c:showVal val="0"/>
          <c:showCatName val="0"/>
          <c:showSerName val="0"/>
          <c:showPercent val="0"/>
          <c:showBubbleSize val="0"/>
        </c:dLbls>
        <c:gapWidth val="101"/>
        <c:overlap val="-70"/>
        <c:axId val="447021056"/>
        <c:axId val="447022592"/>
      </c:barChart>
      <c:catAx>
        <c:axId val="447021056"/>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022592"/>
        <c:crossesAt val="0"/>
        <c:auto val="1"/>
        <c:lblAlgn val="ctr"/>
        <c:lblOffset val="100"/>
        <c:noMultiLvlLbl val="0"/>
      </c:catAx>
      <c:valAx>
        <c:axId val="447022592"/>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021056"/>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7A9A-4B30-813C-2F4CDFF889B0}"/>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7A9A-4B30-813C-2F4CDFF889B0}"/>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7A9A-4B30-813C-2F4CDFF889B0}"/>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7A9A-4B30-813C-2F4CDFF889B0}"/>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7A9A-4B30-813C-2F4CDFF889B0}"/>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7A9A-4B30-813C-2F4CDFF889B0}"/>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7A9A-4B30-813C-2F4CDFF889B0}"/>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7A9A-4B30-813C-2F4CDFF889B0}"/>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7A9A-4B30-813C-2F4CDFF889B0}"/>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7A9A-4B30-813C-2F4CDFF889B0}"/>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7A9A-4B30-813C-2F4CDFF889B0}"/>
            </c:ext>
          </c:extLst>
        </c:ser>
        <c:dLbls>
          <c:showLegendKey val="0"/>
          <c:showVal val="0"/>
          <c:showCatName val="0"/>
          <c:showSerName val="0"/>
          <c:showPercent val="0"/>
          <c:showBubbleSize val="0"/>
        </c:dLbls>
        <c:axId val="447100416"/>
        <c:axId val="447102336"/>
      </c:areaChart>
      <c:catAx>
        <c:axId val="44710041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102336"/>
        <c:crosses val="autoZero"/>
        <c:auto val="1"/>
        <c:lblAlgn val="ctr"/>
        <c:lblOffset val="100"/>
        <c:tickMarkSkip val="1"/>
        <c:noMultiLvlLbl val="0"/>
      </c:catAx>
      <c:valAx>
        <c:axId val="447102336"/>
        <c:scaling>
          <c:orientation val="minMax"/>
          <c:max val="0.2"/>
          <c:min val="0"/>
        </c:scaling>
        <c:delete val="0"/>
        <c:axPos val="l"/>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100416"/>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0</c:v>
                </c:pt>
                <c:pt idx="1">
                  <c:v>0</c:v>
                </c:pt>
                <c:pt idx="2">
                  <c:v>0</c:v>
                </c:pt>
                <c:pt idx="3">
                  <c:v>0</c:v>
                </c:pt>
                <c:pt idx="100">
                  <c:v>0</c:v>
                </c:pt>
              </c:numCache>
            </c:numRef>
          </c:cat>
          <c:val>
            <c:numRef>
              <c:f>Parameters!$BZ$6:$BZ$106</c:f>
              <c:numCache>
                <c:formatCode>0.00</c:formatCode>
                <c:ptCount val="101"/>
                <c:pt idx="0">
                  <c:v>0</c:v>
                </c:pt>
                <c:pt idx="1">
                  <c:v>0</c:v>
                </c:pt>
                <c:pt idx="2">
                  <c:v>0</c:v>
                </c:pt>
                <c:pt idx="3">
                  <c:v>0</c:v>
                </c:pt>
                <c:pt idx="100">
                  <c:v>0</c:v>
                </c:pt>
              </c:numCache>
            </c:numRef>
          </c:val>
          <c:smooth val="1"/>
          <c:extLst>
            <c:ext xmlns:c16="http://schemas.microsoft.com/office/drawing/2014/chart" uri="{C3380CC4-5D6E-409C-BE32-E72D297353CC}">
              <c16:uniqueId val="{00000000-D674-43A0-9F82-F4A92FBE8268}"/>
            </c:ext>
          </c:extLst>
        </c:ser>
        <c:dLbls>
          <c:showLegendKey val="0"/>
          <c:showVal val="0"/>
          <c:showCatName val="0"/>
          <c:showSerName val="0"/>
          <c:showPercent val="0"/>
          <c:showBubbleSize val="0"/>
        </c:dLbls>
        <c:marker val="1"/>
        <c:smooth val="0"/>
        <c:axId val="447149952"/>
        <c:axId val="447291392"/>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0</c:v>
                </c:pt>
                <c:pt idx="1">
                  <c:v>0</c:v>
                </c:pt>
                <c:pt idx="2">
                  <c:v>0</c:v>
                </c:pt>
                <c:pt idx="3">
                  <c:v>0</c:v>
                </c:pt>
                <c:pt idx="100">
                  <c:v>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D674-43A0-9F82-F4A92FBE8268}"/>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0</c:v>
                </c:pt>
                <c:pt idx="1">
                  <c:v>0</c:v>
                </c:pt>
                <c:pt idx="2">
                  <c:v>0</c:v>
                </c:pt>
                <c:pt idx="3">
                  <c:v>0</c:v>
                </c:pt>
                <c:pt idx="100">
                  <c:v>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D674-43A0-9F82-F4A92FBE8268}"/>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0</c:v>
                </c:pt>
                <c:pt idx="1">
                  <c:v>0</c:v>
                </c:pt>
                <c:pt idx="2">
                  <c:v>0</c:v>
                </c:pt>
                <c:pt idx="3">
                  <c:v>0</c:v>
                </c:pt>
                <c:pt idx="100">
                  <c:v>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D674-43A0-9F82-F4A92FBE8268}"/>
            </c:ext>
          </c:extLst>
        </c:ser>
        <c:dLbls>
          <c:showLegendKey val="0"/>
          <c:showVal val="0"/>
          <c:showCatName val="0"/>
          <c:showSerName val="0"/>
          <c:showPercent val="0"/>
          <c:showBubbleSize val="0"/>
        </c:dLbls>
        <c:marker val="1"/>
        <c:smooth val="0"/>
        <c:axId val="447303680"/>
        <c:axId val="447293312"/>
      </c:lineChart>
      <c:catAx>
        <c:axId val="447149952"/>
        <c:scaling>
          <c:orientation val="minMax"/>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291392"/>
        <c:crosses val="autoZero"/>
        <c:auto val="1"/>
        <c:lblAlgn val="ctr"/>
        <c:lblOffset val="100"/>
        <c:tickLblSkip val="20"/>
        <c:tickMarkSkip val="20"/>
        <c:noMultiLvlLbl val="0"/>
      </c:catAx>
      <c:valAx>
        <c:axId val="447291392"/>
        <c:scaling>
          <c:orientation val="minMax"/>
          <c:max val="95"/>
          <c:min val="65"/>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149952"/>
        <c:crossesAt val="0"/>
        <c:crossBetween val="between"/>
        <c:majorUnit val="5"/>
        <c:minorUnit val="2.5"/>
      </c:valAx>
      <c:valAx>
        <c:axId val="447293312"/>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303680"/>
        <c:crosses val="max"/>
        <c:crossBetween val="between"/>
      </c:valAx>
      <c:catAx>
        <c:axId val="447303680"/>
        <c:scaling>
          <c:orientation val="minMax"/>
        </c:scaling>
        <c:delete val="1"/>
        <c:axPos val="b"/>
        <c:numFmt formatCode="0.000" sourceLinked="1"/>
        <c:majorTickMark val="out"/>
        <c:minorTickMark val="none"/>
        <c:tickLblPos val="nextTo"/>
        <c:crossAx val="4472933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Parameters!$BZ$6:$BZ$106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0-5AFA-4F10-B325-54957BB039CB}"/>
            </c:ext>
          </c:extLst>
        </c:ser>
        <c:dLbls>
          <c:showLegendKey val="0"/>
          <c:showVal val="0"/>
          <c:showCatName val="0"/>
          <c:showSerName val="0"/>
          <c:showPercent val="0"/>
          <c:showBubbleSize val="0"/>
        </c:dLbls>
        <c:axId val="447422464"/>
        <c:axId val="44742438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5AFA-4F10-B325-54957BB039CB}"/>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5AFA-4F10-B325-54957BB039CB}"/>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5AFA-4F10-B325-54957BB039CB}"/>
            </c:ext>
          </c:extLst>
        </c:ser>
        <c:dLbls>
          <c:showLegendKey val="0"/>
          <c:showVal val="0"/>
          <c:showCatName val="0"/>
          <c:showSerName val="0"/>
          <c:showPercent val="0"/>
          <c:showBubbleSize val="0"/>
        </c:dLbls>
        <c:axId val="447432576"/>
        <c:axId val="447430656"/>
      </c:scatterChart>
      <c:valAx>
        <c:axId val="447422464"/>
        <c:scaling>
          <c:logBase val="10"/>
          <c:orientation val="minMax"/>
          <c:min val="0.1"/>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424384"/>
        <c:crosses val="autoZero"/>
        <c:crossBetween val="midCat"/>
      </c:valAx>
      <c:valAx>
        <c:axId val="447424384"/>
        <c:scaling>
          <c:orientation val="minMax"/>
          <c:max val="95"/>
          <c:min val="60"/>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422464"/>
        <c:crossesAt val="0"/>
        <c:crossBetween val="midCat"/>
        <c:majorUnit val="5"/>
        <c:minorUnit val="2.5"/>
      </c:valAx>
      <c:valAx>
        <c:axId val="447430656"/>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432576"/>
        <c:crosses val="max"/>
        <c:crossBetween val="midCat"/>
      </c:valAx>
      <c:valAx>
        <c:axId val="447432576"/>
        <c:scaling>
          <c:logBase val="10"/>
          <c:orientation val="minMax"/>
        </c:scaling>
        <c:delete val="1"/>
        <c:axPos val="b"/>
        <c:numFmt formatCode="0.000" sourceLinked="1"/>
        <c:majorTickMark val="out"/>
        <c:minorTickMark val="none"/>
        <c:tickLblPos val="nextTo"/>
        <c:crossAx val="447430656"/>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EB60-43FD-9662-DE13960A76D7}"/>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B60-43FD-9662-DE13960A76D7}"/>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EB60-43FD-9662-DE13960A76D7}"/>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B60-43FD-9662-DE13960A76D7}"/>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EB60-43FD-9662-DE13960A76D7}"/>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EB60-43FD-9662-DE13960A76D7}"/>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B60-43FD-9662-DE13960A76D7}"/>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EB60-43FD-9662-DE13960A76D7}"/>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B60-43FD-9662-DE13960A76D7}"/>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EB60-43FD-9662-DE13960A76D7}"/>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EB60-43FD-9662-DE13960A76D7}"/>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EB60-43FD-9662-DE13960A76D7}"/>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B60-43FD-9662-DE13960A76D7}"/>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EB60-43FD-9662-DE13960A76D7}"/>
            </c:ext>
          </c:extLst>
        </c:ser>
        <c:dLbls>
          <c:showLegendKey val="0"/>
          <c:showVal val="0"/>
          <c:showCatName val="0"/>
          <c:showSerName val="0"/>
          <c:showPercent val="0"/>
          <c:showBubbleSize val="0"/>
        </c:dLbls>
        <c:gapWidth val="101"/>
        <c:overlap val="-70"/>
        <c:axId val="447632128"/>
        <c:axId val="447633664"/>
      </c:barChart>
      <c:catAx>
        <c:axId val="44763212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633664"/>
        <c:crossesAt val="0"/>
        <c:auto val="1"/>
        <c:lblAlgn val="ctr"/>
        <c:lblOffset val="100"/>
        <c:noMultiLvlLbl val="0"/>
      </c:catAx>
      <c:valAx>
        <c:axId val="447633664"/>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63212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16" fmlaLink="'BOM &amp; Schematic'!$Q$31" fmlaRange="'Variable Mgmt'!$R$79:$R$83" noThreeD="1" sel="1" val="0"/>
</file>

<file path=xl/ctrlProps/ctrlProp11.xml><?xml version="1.0" encoding="utf-8"?>
<formControlPr xmlns="http://schemas.microsoft.com/office/spreadsheetml/2009/9/main" objectType="Drop" dropStyle="combo" dx="16" fmlaLink="$Q$32" fmlaRange="'Variable Mgmt'!$R$79:$R$83" noThreeD="1" sel="5" val="0"/>
</file>

<file path=xl/ctrlProps/ctrlProp12.xml><?xml version="1.0" encoding="utf-8"?>
<formControlPr xmlns="http://schemas.microsoft.com/office/spreadsheetml/2009/9/main" objectType="Drop" dropStyle="combo" dx="16" fmlaLink="$Q$40" fmlaRange="'Variable Mgmt'!$W$88:$W$91" noThreeD="1" sel="3" val="0"/>
</file>

<file path=xl/ctrlProps/ctrlProp13.xml><?xml version="1.0" encoding="utf-8"?>
<formControlPr xmlns="http://schemas.microsoft.com/office/spreadsheetml/2009/9/main" objectType="Drop" dropStyle="combo" dx="16" fmlaLink="$Q$47" fmlaRange="'Variable Mgmt'!$R$79:$R$81" noThreeD="1" sel="3" val="0"/>
</file>

<file path=xl/ctrlProps/ctrlProp14.xml><?xml version="1.0" encoding="utf-8"?>
<formControlPr xmlns="http://schemas.microsoft.com/office/spreadsheetml/2009/9/main" objectType="Drop" dropStyle="combo" dx="16" fmlaLink="$Q$42" fmlaRange="'Variable Mgmt'!$W$88:$W$91" noThreeD="1" sel="4" val="0"/>
</file>

<file path=xl/ctrlProps/ctrlProp15.xml><?xml version="1.0" encoding="utf-8"?>
<formControlPr xmlns="http://schemas.microsoft.com/office/spreadsheetml/2009/9/main" objectType="Drop" dropStyle="combo" dx="16" fmlaLink="$Q$41" fmlaRange="'Variable Mgmt'!$W$88:$W$91" noThreeD="1" sel="1" val="0"/>
</file>

<file path=xl/ctrlProps/ctrlProp16.xml><?xml version="1.0" encoding="utf-8"?>
<formControlPr xmlns="http://schemas.microsoft.com/office/spreadsheetml/2009/9/main" objectType="Drop" dropStyle="combo" dx="16" fmlaLink="$Q$46" fmlaRange="'Variable Mgmt'!$R$79:$R$81" noThreeD="1" sel="2" val="0"/>
</file>

<file path=xl/ctrlProps/ctrlProp17.xml><?xml version="1.0" encoding="utf-8"?>
<formControlPr xmlns="http://schemas.microsoft.com/office/spreadsheetml/2009/9/main" objectType="Drop" dropStyle="combo" dx="16" fmlaLink="$Q$48" fmlaRange="'Variable Mgmt'!$R$79:$R$81" noThreeD="1" sel="1" val="0"/>
</file>

<file path=xl/ctrlProps/ctrlProp18.xml><?xml version="1.0" encoding="utf-8"?>
<formControlPr xmlns="http://schemas.microsoft.com/office/spreadsheetml/2009/9/main" objectType="Drop" dropStyle="combo" dx="16" fmlaLink="$Q$49" fmlaRange="'Variable Mgmt'!$R$79:$R$81" noThreeD="1" sel="1" val="0"/>
</file>

<file path=xl/ctrlProps/ctrlProp19.xml><?xml version="1.0" encoding="utf-8"?>
<formControlPr xmlns="http://schemas.microsoft.com/office/spreadsheetml/2009/9/main" objectType="Drop" dropStyle="combo" dx="16" fmlaLink="$Q$50" fmlaRange="'Variable Mgmt'!$R$79:$R$81" noThreeD="1" sel="1" val="0"/>
</file>

<file path=xl/ctrlProps/ctrlProp2.xml><?xml version="1.0" encoding="utf-8"?>
<formControlPr xmlns="http://schemas.microsoft.com/office/spreadsheetml/2009/9/main" objectType="Drop" dropStyle="combo" dx="16" fmlaLink="'Variable Mgmt'!$J$78" fmlaRange="'Variable Mgmt'!$I$76:$I$77" noThreeD="1" sel="1" val="0"/>
</file>

<file path=xl/ctrlProps/ctrlProp20.xml><?xml version="1.0" encoding="utf-8"?>
<formControlPr xmlns="http://schemas.microsoft.com/office/spreadsheetml/2009/9/main" objectType="Drop" dropStyle="combo" dx="16" fmlaLink="$Q$39" fmlaRange="'Variable Mgmt'!$W$88:$W$91" noThreeD="1" sel="3" val="0"/>
</file>

<file path=xl/ctrlProps/ctrlProp21.xml><?xml version="1.0" encoding="utf-8"?>
<formControlPr xmlns="http://schemas.microsoft.com/office/spreadsheetml/2009/9/main" objectType="Drop" dropStyle="combo" dx="16" fmlaLink="$Q$54" fmlaRange="'Variable Mgmt'!$R$89:$R$96" noThreeD="1" sel="8" val="0"/>
</file>

<file path=xl/ctrlProps/ctrlProp22.xml><?xml version="1.0" encoding="utf-8"?>
<formControlPr xmlns="http://schemas.microsoft.com/office/spreadsheetml/2009/9/main" objectType="Drop" dropStyle="combo" dx="16" fmlaLink="$Q$33" fmlaRange="'Variable Mgmt'!$R$79:$R$83" noThreeD="1" sel="5" val="0"/>
</file>

<file path=xl/ctrlProps/ctrlProp23.xml><?xml version="1.0" encoding="utf-8"?>
<formControlPr xmlns="http://schemas.microsoft.com/office/spreadsheetml/2009/9/main" objectType="Drop" dropStyle="combo" dx="16" fmlaLink="$Q$43" fmlaRange="'Variable Mgmt'!$W$88:$W$91" noThreeD="1" sel="3" val="0"/>
</file>

<file path=xl/ctrlProps/ctrlProp24.xml><?xml version="1.0" encoding="utf-8"?>
<formControlPr xmlns="http://schemas.microsoft.com/office/spreadsheetml/2009/9/main" objectType="Drop" dropStyle="combo" dx="16" fmlaLink="$Q$52" fmlaRange="'Variable Mgmt'!$R$79:$R$81" noThreeD="1" sel="2" val="0"/>
</file>

<file path=xl/ctrlProps/ctrlProp25.xml><?xml version="1.0" encoding="utf-8"?>
<formControlPr xmlns="http://schemas.microsoft.com/office/spreadsheetml/2009/9/main" objectType="Drop" dropStyle="combo" dx="16" fmlaLink="$Q$53" fmlaRange="'Variable Mgmt'!$R$79:$R$81" noThreeD="1" sel="1" val="0"/>
</file>

<file path=xl/ctrlProps/ctrlProp26.xml><?xml version="1.0" encoding="utf-8"?>
<formControlPr xmlns="http://schemas.microsoft.com/office/spreadsheetml/2009/9/main" objectType="Drop" dropStyle="combo" dx="16" fmlaLink="'BOM &amp; Schematic'!$Q$35" fmlaRange="'Variable Mgmt'!$R$79:$R$83" noThreeD="1" sel="3" val="0"/>
</file>

<file path=xl/ctrlProps/ctrlProp27.xml><?xml version="1.0" encoding="utf-8"?>
<formControlPr xmlns="http://schemas.microsoft.com/office/spreadsheetml/2009/9/main" objectType="Drop" dropStyle="combo" dx="16" fmlaLink="$Q$44" fmlaRange="'Variable Mgmt'!$W$88:$W$91" noThreeD="1" sel="3" val="0"/>
</file>

<file path=xl/ctrlProps/ctrlProp28.xml><?xml version="1.0" encoding="utf-8"?>
<formControlPr xmlns="http://schemas.microsoft.com/office/spreadsheetml/2009/9/main" objectType="Drop" dropStyle="combo" dx="16" fmlaLink="'BOM &amp; Schematic'!$Q$36" fmlaRange="'Variable Mgmt'!$R$79:$R$83" noThreeD="1" sel="4" val="0"/>
</file>

<file path=xl/ctrlProps/ctrlProp29.xml><?xml version="1.0" encoding="utf-8"?>
<formControlPr xmlns="http://schemas.microsoft.com/office/spreadsheetml/2009/9/main" objectType="Drop" dropStyle="combo" dx="16" fmlaLink="'BOM &amp; Schematic'!$Q$37" fmlaRange="'Variable Mgmt'!$R$79:$R$83" noThreeD="1" sel="2" val="0"/>
</file>

<file path=xl/ctrlProps/ctrlProp3.xml><?xml version="1.0" encoding="utf-8"?>
<formControlPr xmlns="http://schemas.microsoft.com/office/spreadsheetml/2009/9/main" objectType="Drop" dropLines="2" dropStyle="combo" dx="16" fmlaLink="'Variable Mgmt'!$G$78" fmlaRange="'Variable Mgmt'!$F$76:$F$77" noThreeD="1" sel="1" val="0"/>
</file>

<file path=xl/ctrlProps/ctrlProp30.xml><?xml version="1.0" encoding="utf-8"?>
<formControlPr xmlns="http://schemas.microsoft.com/office/spreadsheetml/2009/9/main" objectType="Drop" dropStyle="combo" dx="16" fmlaLink="'BOM &amp; Schematic'!$Q$38" fmlaRange="'Variable Mgmt'!$R$79:$R$83" noThreeD="1" sel="1" val="0"/>
</file>

<file path=xl/ctrlProps/ctrlProp31.xml><?xml version="1.0" encoding="utf-8"?>
<formControlPr xmlns="http://schemas.microsoft.com/office/spreadsheetml/2009/9/main" objectType="Drop" dropStyle="combo" dx="16" fmlaLink="$Q$51" fmlaRange="'Variable Mgmt'!$R$79:$R$84" noThreeD="1" sel="6" val="0"/>
</file>

<file path=xl/ctrlProps/ctrlProp4.xml><?xml version="1.0" encoding="utf-8"?>
<formControlPr xmlns="http://schemas.microsoft.com/office/spreadsheetml/2009/9/main" objectType="Drop" dropLines="10" dropStyle="combo" dx="16" fmlaLink="'Variable Mgmt'!$S$61" fmlaRange="'Variable Mgmt'!$R$28:$R$60" noThreeD="1" sel="27" val="23"/>
</file>

<file path=xl/ctrlProps/ctrlProp5.xml><?xml version="1.0" encoding="utf-8"?>
<formControlPr xmlns="http://schemas.microsoft.com/office/spreadsheetml/2009/9/main" objectType="Drop" dropStyle="combo" dx="16" fmlaLink="'Variable Mgmt'!$G$72" fmlaRange="'Variable Mgmt'!$F$70:$F$71" noThreeD="1" sel="2" val="0"/>
</file>

<file path=xl/ctrlProps/ctrlProp6.xml><?xml version="1.0" encoding="utf-8"?>
<formControlPr xmlns="http://schemas.microsoft.com/office/spreadsheetml/2009/9/main" objectType="Drop" dropLines="10" dropStyle="combo" dx="16" fmlaLink="'Variable Mgmt'!$C$73" fmlaRange="'Variable Mgmt'!$B$70:$B$71" noThreeD="1" sel="2" val="0"/>
</file>

<file path=xl/ctrlProps/ctrlProp7.xml><?xml version="1.0" encoding="utf-8"?>
<formControlPr xmlns="http://schemas.microsoft.com/office/spreadsheetml/2009/9/main" objectType="Spin" dx="16" fmlaLink="$E$7" max="95" min="3" page="10" val="12"/>
</file>

<file path=xl/ctrlProps/ctrlProp8.xml><?xml version="1.0" encoding="utf-8"?>
<formControlPr xmlns="http://schemas.microsoft.com/office/spreadsheetml/2009/9/main" objectType="Spin" dx="16" fmlaLink="$E$7" max="65" min="3" page="10" val="12"/>
</file>

<file path=xl/ctrlProps/ctrlProp9.xml><?xml version="1.0" encoding="utf-8"?>
<formControlPr xmlns="http://schemas.microsoft.com/office/spreadsheetml/2009/9/main" objectType="Drop" dropLines="2" dropStyle="combo" dx="16" fmlaLink="'Variable Mgmt'!$Q$20" fmlaRange="'Variable Mgmt'!$P$18:$P$19" noThreeD="1" sel="2" val="0"/>
</file>

<file path=xl/drawings/_rels/drawing1.xml.rels><?xml version="1.0" encoding="UTF-8" standalone="yes"?>
<Relationships xmlns="http://schemas.openxmlformats.org/package/2006/relationships"><Relationship Id="rId8" Type="http://schemas.openxmlformats.org/officeDocument/2006/relationships/hyperlink" Target="http://www.ti.com/automotive" TargetMode="External"/><Relationship Id="rId3" Type="http://schemas.openxmlformats.org/officeDocument/2006/relationships/image" Target="../media/image2.emf"/><Relationship Id="rId7" Type="http://schemas.openxmlformats.org/officeDocument/2006/relationships/image" Target="../media/image4.jpg"/><Relationship Id="rId2" Type="http://schemas.openxmlformats.org/officeDocument/2006/relationships/image" Target="../media/image1.emf"/><Relationship Id="rId1" Type="http://schemas.openxmlformats.org/officeDocument/2006/relationships/chart" Target="../charts/chart1.xml"/><Relationship Id="rId6" Type="http://schemas.openxmlformats.org/officeDocument/2006/relationships/hyperlink" Target="http://www.ti.com/industrial" TargetMode="External"/><Relationship Id="rId5" Type="http://schemas.openxmlformats.org/officeDocument/2006/relationships/image" Target="../media/image3.jpg"/><Relationship Id="rId10" Type="http://schemas.openxmlformats.org/officeDocument/2006/relationships/image" Target="../media/image6.emf"/><Relationship Id="rId4" Type="http://schemas.openxmlformats.org/officeDocument/2006/relationships/hyperlink" Target="http://www.ti.com/widevin" TargetMode="External"/><Relationship Id="rId9" Type="http://schemas.openxmlformats.org/officeDocument/2006/relationships/image" Target="../media/image5.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chart" Target="../charts/chart34.xml"/><Relationship Id="rId1"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image" Target="../media/image6.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18" Type="http://schemas.openxmlformats.org/officeDocument/2006/relationships/image" Target="../media/image34.png"/><Relationship Id="rId3" Type="http://schemas.openxmlformats.org/officeDocument/2006/relationships/image" Target="../media/image19.png"/><Relationship Id="rId21" Type="http://schemas.openxmlformats.org/officeDocument/2006/relationships/image" Target="../media/image37.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 Type="http://schemas.openxmlformats.org/officeDocument/2006/relationships/image" Target="../media/image18.png"/><Relationship Id="rId16" Type="http://schemas.openxmlformats.org/officeDocument/2006/relationships/image" Target="../media/image32.png"/><Relationship Id="rId20" Type="http://schemas.openxmlformats.org/officeDocument/2006/relationships/image" Target="../media/image36.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24" Type="http://schemas.openxmlformats.org/officeDocument/2006/relationships/image" Target="../media/image40.png"/><Relationship Id="rId5" Type="http://schemas.openxmlformats.org/officeDocument/2006/relationships/image" Target="../media/image21.png"/><Relationship Id="rId15" Type="http://schemas.openxmlformats.org/officeDocument/2006/relationships/image" Target="../media/image31.png"/><Relationship Id="rId23" Type="http://schemas.openxmlformats.org/officeDocument/2006/relationships/image" Target="../media/image39.png"/><Relationship Id="rId10" Type="http://schemas.openxmlformats.org/officeDocument/2006/relationships/image" Target="../media/image26.png"/><Relationship Id="rId19" Type="http://schemas.openxmlformats.org/officeDocument/2006/relationships/image" Target="../media/image35.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 Id="rId22" Type="http://schemas.openxmlformats.org/officeDocument/2006/relationships/image" Target="../media/image38.pn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image" Target="../media/image12.png"/><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304800</xdr:colOff>
          <xdr:row>0</xdr:row>
          <xdr:rowOff>411480</xdr:rowOff>
        </xdr:from>
        <xdr:to>
          <xdr:col>25</xdr:col>
          <xdr:colOff>220980</xdr:colOff>
          <xdr:row>1</xdr:row>
          <xdr:rowOff>60960</xdr:rowOff>
        </xdr:to>
        <xdr:sp macro="" textlink="">
          <xdr:nvSpPr>
            <xdr:cNvPr id="751583" name="Drop Down 6111" hidden="1">
              <a:extLst>
                <a:ext uri="{63B3BB69-23CF-44E3-9099-C40C66FF867C}">
                  <a14:compatExt spid="_x0000_s751583"/>
                </a:ext>
                <a:ext uri="{FF2B5EF4-FFF2-40B4-BE49-F238E27FC236}">
                  <a16:creationId xmlns:a16="http://schemas.microsoft.com/office/drawing/2014/main" id="{00000000-0008-0000-0000-0000DF77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160440</xdr:colOff>
      <xdr:row>61</xdr:row>
      <xdr:rowOff>65734</xdr:rowOff>
    </xdr:from>
    <xdr:to>
      <xdr:col>25</xdr:col>
      <xdr:colOff>1592036</xdr:colOff>
      <xdr:row>84</xdr:row>
      <xdr:rowOff>153307</xdr:rowOff>
    </xdr:to>
    <xdr:graphicFrame macro="">
      <xdr:nvGraphicFramePr>
        <xdr:cNvPr id="66" name="Chart 1029">
          <a:extLst>
            <a:ext uri="{FF2B5EF4-FFF2-40B4-BE49-F238E27FC236}">
              <a16:creationId xmlns:a16="http://schemas.microsoft.com/office/drawing/2014/main" id="{00000000-0008-0000-0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490417</xdr:colOff>
          <xdr:row>37</xdr:row>
          <xdr:rowOff>67110</xdr:rowOff>
        </xdr:from>
        <xdr:to>
          <xdr:col>25</xdr:col>
          <xdr:colOff>1815353</xdr:colOff>
          <xdr:row>60</xdr:row>
          <xdr:rowOff>161441</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90142"/>
                </a:ext>
              </a:extLst>
            </xdr:cNvPicPr>
          </xdr:nvPicPr>
          <xdr:blipFill rotWithShape="1">
            <a:blip xmlns:r="http://schemas.openxmlformats.org/officeDocument/2006/relationships" r:embed="rId2"/>
            <a:srcRect r="5287"/>
            <a:stretch>
              <a:fillRect/>
            </a:stretch>
          </xdr:blipFill>
          <xdr:spPr bwMode="auto">
            <a:xfrm>
              <a:off x="11061299" y="8187639"/>
              <a:ext cx="6591701" cy="4061214"/>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97117</xdr:colOff>
          <xdr:row>4</xdr:row>
          <xdr:rowOff>94701</xdr:rowOff>
        </xdr:from>
        <xdr:to>
          <xdr:col>25</xdr:col>
          <xdr:colOff>1785470</xdr:colOff>
          <xdr:row>27</xdr:row>
          <xdr:rowOff>239060</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90143"/>
                </a:ext>
              </a:extLst>
            </xdr:cNvPicPr>
          </xdr:nvPicPr>
          <xdr:blipFill rotWithShape="1">
            <a:blip xmlns:r="http://schemas.openxmlformats.org/officeDocument/2006/relationships" r:embed="rId3"/>
            <a:srcRect l="1933" r="3398" b="1428"/>
            <a:stretch>
              <a:fillRect/>
            </a:stretch>
          </xdr:blipFill>
          <xdr:spPr bwMode="auto">
            <a:xfrm>
              <a:off x="8411882" y="1252642"/>
              <a:ext cx="9211235" cy="5119771"/>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23</xdr:col>
      <xdr:colOff>200592</xdr:colOff>
      <xdr:row>11</xdr:row>
      <xdr:rowOff>161472</xdr:rowOff>
    </xdr:from>
    <xdr:to>
      <xdr:col>24</xdr:col>
      <xdr:colOff>79535</xdr:colOff>
      <xdr:row>12</xdr:row>
      <xdr:rowOff>161833</xdr:rowOff>
    </xdr:to>
    <xdr:sp macro="" textlink="'Variable Mgmt'!B245">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5213806" y="2746829"/>
          <a:ext cx="523015" cy="199933"/>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900" b="0" i="0" u="none" strike="noStrike" baseline="0">
              <a:solidFill>
                <a:srgbClr val="000000"/>
              </a:solidFill>
              <a:latin typeface="Arial" pitchFamily="34" charset="0"/>
              <a:cs typeface="Arial" pitchFamily="34" charset="0"/>
            </a:rPr>
            <a:pPr algn="l" rtl="0">
              <a:defRPr sz="1000"/>
            </a:pPr>
            <a:t>6µF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20</xdr:col>
      <xdr:colOff>38775</xdr:colOff>
      <xdr:row>9</xdr:row>
      <xdr:rowOff>126072</xdr:rowOff>
    </xdr:from>
    <xdr:to>
      <xdr:col>20</xdr:col>
      <xdr:colOff>522128</xdr:colOff>
      <xdr:row>10</xdr:row>
      <xdr:rowOff>174517</xdr:rowOff>
    </xdr:to>
    <xdr:sp macro="" textlink="'Variable Mgmt'!B231">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3119775" y="2312286"/>
          <a:ext cx="483353" cy="248017"/>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900" b="0" i="0" u="none" strike="noStrike" baseline="0">
              <a:solidFill>
                <a:srgbClr val="000000"/>
              </a:solidFill>
              <a:latin typeface="Arial" pitchFamily="34" charset="0"/>
              <a:cs typeface="Arial" pitchFamily="34" charset="0"/>
            </a:rPr>
            <a:pPr algn="ctr" rtl="0">
              <a:defRPr sz="1000"/>
            </a:pPr>
            <a:t>1.5µH</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14</xdr:col>
      <xdr:colOff>58386</xdr:colOff>
      <xdr:row>11</xdr:row>
      <xdr:rowOff>73571</xdr:rowOff>
    </xdr:from>
    <xdr:to>
      <xdr:col>14</xdr:col>
      <xdr:colOff>563514</xdr:colOff>
      <xdr:row>12</xdr:row>
      <xdr:rowOff>64813</xdr:rowOff>
    </xdr:to>
    <xdr:sp macro="" textlink="'Variable Mgmt'!B250">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9030029" y="2658928"/>
          <a:ext cx="505128" cy="190814"/>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900" b="0" i="0" u="none" strike="noStrike" baseline="0">
              <a:solidFill>
                <a:srgbClr val="000000"/>
              </a:solidFill>
              <a:latin typeface="Arial" pitchFamily="34" charset="0"/>
              <a:cs typeface="Arial" pitchFamily="34" charset="0"/>
            </a:rPr>
            <a:pPr algn="ctr" rtl="0">
              <a:defRPr sz="1000"/>
            </a:pPr>
            <a:t>120µF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16</xdr:col>
      <xdr:colOff>4505</xdr:colOff>
      <xdr:row>15</xdr:row>
      <xdr:rowOff>73956</xdr:rowOff>
    </xdr:from>
    <xdr:to>
      <xdr:col>16</xdr:col>
      <xdr:colOff>479770</xdr:colOff>
      <xdr:row>16</xdr:row>
      <xdr:rowOff>161173</xdr:rowOff>
    </xdr:to>
    <xdr:sp macro="" textlink="'Variable Mgmt'!D277">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10327791" y="3457599"/>
          <a:ext cx="475265" cy="286788"/>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1100" b="0" i="0" u="none" strike="noStrike">
              <a:solidFill>
                <a:srgbClr val="000000"/>
              </a:solidFill>
              <a:latin typeface="Arial"/>
              <a:cs typeface="Arial"/>
            </a:rPr>
            <a:pPr algn="ctr" rtl="0">
              <a:defRPr sz="1000"/>
            </a:pPr>
            <a:t>100nF</a:t>
          </a:fld>
          <a:endParaRPr lang="en-US" sz="1100" b="0" i="0" strike="noStrike">
            <a:solidFill>
              <a:srgbClr val="000000"/>
            </a:solidFill>
            <a:latin typeface="Arial" pitchFamily="34" charset="0"/>
            <a:cs typeface="Arial" pitchFamily="34" charset="0"/>
          </a:endParaRPr>
        </a:p>
      </xdr:txBody>
    </xdr:sp>
    <xdr:clientData/>
  </xdr:twoCellAnchor>
  <xdr:twoCellAnchor>
    <xdr:from>
      <xdr:col>14</xdr:col>
      <xdr:colOff>118515</xdr:colOff>
      <xdr:row>5</xdr:row>
      <xdr:rowOff>122966</xdr:rowOff>
    </xdr:from>
    <xdr:to>
      <xdr:col>14</xdr:col>
      <xdr:colOff>612589</xdr:colOff>
      <xdr:row>8</xdr:row>
      <xdr:rowOff>13369</xdr:rowOff>
    </xdr:to>
    <xdr:sp macro="" textlink="'Variable Mgmt'!B237">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627515" y="1527437"/>
          <a:ext cx="494074" cy="45816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12V</a:t>
          </a:fld>
          <a:endParaRPr lang="en-US" sz="1400" b="1" i="0" strike="noStrike">
            <a:solidFill>
              <a:srgbClr val="FF0000"/>
            </a:solidFill>
            <a:latin typeface="Arial" pitchFamily="34" charset="0"/>
            <a:cs typeface="Arial" pitchFamily="34" charset="0"/>
          </a:endParaRPr>
        </a:p>
      </xdr:txBody>
    </xdr:sp>
    <xdr:clientData/>
  </xdr:twoCellAnchor>
  <xdr:twoCellAnchor>
    <xdr:from>
      <xdr:col>25</xdr:col>
      <xdr:colOff>1019168</xdr:colOff>
      <xdr:row>5</xdr:row>
      <xdr:rowOff>164211</xdr:rowOff>
    </xdr:from>
    <xdr:to>
      <xdr:col>25</xdr:col>
      <xdr:colOff>1685561</xdr:colOff>
      <xdr:row>7</xdr:row>
      <xdr:rowOff>133014</xdr:rowOff>
    </xdr:to>
    <xdr:sp macro="" textlink="'Variable Mgmt'!B240">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6535255" y="1561211"/>
          <a:ext cx="666393" cy="355325"/>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170V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25</xdr:col>
      <xdr:colOff>927554</xdr:colOff>
      <xdr:row>6</xdr:row>
      <xdr:rowOff>179163</xdr:rowOff>
    </xdr:from>
    <xdr:to>
      <xdr:col>25</xdr:col>
      <xdr:colOff>1476828</xdr:colOff>
      <xdr:row>8</xdr:row>
      <xdr:rowOff>112096</xdr:rowOff>
    </xdr:to>
    <xdr:sp macro="" textlink="'Variable Mgmt'!B295">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6443641" y="1780467"/>
          <a:ext cx="549274" cy="31945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350" b="1" i="0" u="none" strike="noStrike">
              <a:solidFill>
                <a:srgbClr val="FF0000"/>
              </a:solidFill>
              <a:latin typeface="Arial" pitchFamily="34" charset="0"/>
              <a:cs typeface="Arial" pitchFamily="34" charset="0"/>
            </a:rPr>
            <a:pPr algn="ctr" rtl="0">
              <a:defRPr sz="1000"/>
            </a:pPr>
            <a:t>0.5A</a:t>
          </a:fld>
          <a:endParaRPr lang="en-US" sz="135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129540</xdr:colOff>
          <xdr:row>6</xdr:row>
          <xdr:rowOff>15240</xdr:rowOff>
        </xdr:from>
        <xdr:to>
          <xdr:col>5</xdr:col>
          <xdr:colOff>304800</xdr:colOff>
          <xdr:row>7</xdr:row>
          <xdr:rowOff>30480</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214803</xdr:colOff>
      <xdr:row>11</xdr:row>
      <xdr:rowOff>121721</xdr:rowOff>
    </xdr:from>
    <xdr:to>
      <xdr:col>17</xdr:col>
      <xdr:colOff>63226</xdr:colOff>
      <xdr:row>12</xdr:row>
      <xdr:rowOff>163885</xdr:rowOff>
    </xdr:to>
    <xdr:sp macro="" textlink="'Variable Mgmt'!C269">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10538089" y="2707078"/>
          <a:ext cx="555994" cy="241736"/>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900" b="0" i="0" u="none" strike="noStrike">
              <a:solidFill>
                <a:srgbClr val="000000"/>
              </a:solidFill>
              <a:latin typeface="Arial"/>
              <a:cs typeface="Arial"/>
            </a:rPr>
            <a:pPr algn="l" rtl="0">
              <a:defRPr sz="1000"/>
            </a:pPr>
            <a:t>43.2kΩ</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228490</xdr:colOff>
      <xdr:row>15</xdr:row>
      <xdr:rowOff>49885</xdr:rowOff>
    </xdr:from>
    <xdr:to>
      <xdr:col>16</xdr:col>
      <xdr:colOff>76913</xdr:colOff>
      <xdr:row>16</xdr:row>
      <xdr:rowOff>157389</xdr:rowOff>
    </xdr:to>
    <xdr:sp macro="" textlink="'Variable Mgmt'!C270">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844204" y="3433528"/>
          <a:ext cx="555995" cy="307075"/>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900" b="0" i="0" u="none" strike="noStrike">
              <a:solidFill>
                <a:srgbClr val="000000"/>
              </a:solidFill>
              <a:latin typeface="Arial"/>
              <a:cs typeface="Arial"/>
            </a:rPr>
            <a:pPr algn="l" rtl="0">
              <a:defRPr sz="1000"/>
            </a:pPr>
            <a:t>9.31kΩ</a:t>
          </a:fld>
          <a:endParaRPr lang="el-GR" sz="900" b="0" i="0" strike="noStrike">
            <a:solidFill>
              <a:srgbClr val="000000"/>
            </a:solidFill>
            <a:latin typeface="Arial" pitchFamily="34" charset="0"/>
            <a:cs typeface="Arial" pitchFamily="34" charset="0"/>
          </a:endParaRPr>
        </a:p>
      </xdr:txBody>
    </xdr:sp>
    <xdr:clientData/>
  </xdr:twoCellAnchor>
  <xdr:twoCellAnchor>
    <xdr:from>
      <xdr:col>18</xdr:col>
      <xdr:colOff>676778</xdr:colOff>
      <xdr:row>16</xdr:row>
      <xdr:rowOff>6934</xdr:rowOff>
    </xdr:from>
    <xdr:to>
      <xdr:col>19</xdr:col>
      <xdr:colOff>538343</xdr:colOff>
      <xdr:row>17</xdr:row>
      <xdr:rowOff>35167</xdr:rowOff>
    </xdr:to>
    <xdr:sp macro="" textlink="'Variable Mgmt'!C259">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2415207" y="3590148"/>
          <a:ext cx="560065" cy="22780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900" b="0" i="0" u="none" strike="noStrike">
              <a:solidFill>
                <a:srgbClr val="000000"/>
              </a:solidFill>
              <a:latin typeface="Arial"/>
              <a:cs typeface="Arial"/>
            </a:rPr>
            <a:pPr algn="l" rtl="0">
              <a:defRPr sz="1000"/>
            </a:pPr>
            <a:t>84.5kΩ</a:t>
          </a:fld>
          <a:endParaRPr lang="el-GR" sz="1200" b="0" i="0" strike="noStrike">
            <a:solidFill>
              <a:srgbClr val="000000"/>
            </a:solidFill>
            <a:latin typeface="Arial" pitchFamily="34" charset="0"/>
            <a:cs typeface="Arial" pitchFamily="34" charset="0"/>
          </a:endParaRPr>
        </a:p>
      </xdr:txBody>
    </xdr:sp>
    <xdr:clientData/>
  </xdr:twoCellAnchor>
  <xdr:twoCellAnchor>
    <xdr:from>
      <xdr:col>15</xdr:col>
      <xdr:colOff>515590</xdr:colOff>
      <xdr:row>17</xdr:row>
      <xdr:rowOff>132012</xdr:rowOff>
    </xdr:from>
    <xdr:to>
      <xdr:col>16</xdr:col>
      <xdr:colOff>343366</xdr:colOff>
      <xdr:row>18</xdr:row>
      <xdr:rowOff>143932</xdr:rowOff>
    </xdr:to>
    <xdr:sp macro="" textlink="'Variable Mgmt'!C273">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0131304" y="3914798"/>
          <a:ext cx="535348" cy="211491"/>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900" b="0" i="0" u="none" strike="noStrike" baseline="0">
              <a:solidFill>
                <a:srgbClr val="000000"/>
              </a:solidFill>
              <a:latin typeface="Arial"/>
              <a:cs typeface="Arial"/>
            </a:rPr>
            <a:pPr algn="l" rtl="0">
              <a:defRPr sz="1000"/>
            </a:pPr>
            <a:t>10kΩ</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14</xdr:col>
      <xdr:colOff>105150</xdr:colOff>
      <xdr:row>7</xdr:row>
      <xdr:rowOff>58997</xdr:rowOff>
    </xdr:from>
    <xdr:to>
      <xdr:col>15</xdr:col>
      <xdr:colOff>312085</xdr:colOff>
      <xdr:row>8</xdr:row>
      <xdr:rowOff>144859</xdr:rowOff>
    </xdr:to>
    <xdr:sp macro="" textlink="'Variable Mgmt'!B238">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614150" y="1836997"/>
          <a:ext cx="849406" cy="280097"/>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200" b="1" i="0" u="none" strike="noStrike">
              <a:solidFill>
                <a:srgbClr val="000000"/>
              </a:solidFill>
              <a:latin typeface="Arial"/>
              <a:cs typeface="Arial"/>
            </a:rPr>
            <a:pPr algn="l" rtl="0">
              <a:defRPr sz="1000"/>
            </a:pPr>
            <a:t>9V...16V</a:t>
          </a:fld>
          <a:endParaRPr lang="en-US" sz="120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15240</xdr:colOff>
          <xdr:row>40</xdr:row>
          <xdr:rowOff>0</xdr:rowOff>
        </xdr:from>
        <xdr:to>
          <xdr:col>5</xdr:col>
          <xdr:colOff>281940</xdr:colOff>
          <xdr:row>41</xdr:row>
          <xdr:rowOff>30480</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132617</xdr:colOff>
      <xdr:row>19</xdr:row>
      <xdr:rowOff>226786</xdr:rowOff>
    </xdr:from>
    <xdr:to>
      <xdr:col>16</xdr:col>
      <xdr:colOff>679506</xdr:colOff>
      <xdr:row>20</xdr:row>
      <xdr:rowOff>138885</xdr:rowOff>
    </xdr:to>
    <xdr:sp macro="" textlink="'Variable Mgmt'!B265">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0455903" y="4454072"/>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900" b="0" i="0" u="none" strike="noStrike">
              <a:solidFill>
                <a:srgbClr val="000000"/>
              </a:solidFill>
              <a:latin typeface="Arial"/>
              <a:cs typeface="Arial"/>
            </a:rPr>
            <a:pPr algn="l" rtl="0">
              <a:defRPr sz="1000"/>
            </a:pPr>
            <a:t> </a:t>
          </a:fld>
          <a:endParaRPr lang="el-GR" sz="9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15240</xdr:colOff>
          <xdr:row>46</xdr:row>
          <xdr:rowOff>0</xdr:rowOff>
        </xdr:from>
        <xdr:to>
          <xdr:col>5</xdr:col>
          <xdr:colOff>259080</xdr:colOff>
          <xdr:row>46</xdr:row>
          <xdr:rowOff>205740</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78143</xdr:colOff>
      <xdr:row>0</xdr:row>
      <xdr:rowOff>32845</xdr:rowOff>
    </xdr:from>
    <xdr:to>
      <xdr:col>3</xdr:col>
      <xdr:colOff>357789</xdr:colOff>
      <xdr:row>0</xdr:row>
      <xdr:rowOff>571501</xdr:rowOff>
    </xdr:to>
    <xdr:pic macro="[0]!OpenLM27403ProductFolder">
      <xdr:nvPicPr>
        <xdr:cNvPr id="4" name="Picture 3">
          <a:hlinkClick xmlns:r="http://schemas.openxmlformats.org/officeDocument/2006/relationships" r:id="rId4"/>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6"/>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548543</xdr:colOff>
      <xdr:row>3</xdr:row>
      <xdr:rowOff>130483</xdr:rowOff>
    </xdr:to>
    <xdr:pic macro="[0]!OpenLM27403ProductFolder">
      <xdr:nvPicPr>
        <xdr:cNvPr id="54" name="Picture 53">
          <a:hlinkClick xmlns:r="http://schemas.openxmlformats.org/officeDocument/2006/relationships" r:id="rId8"/>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15240</xdr:colOff>
          <xdr:row>12</xdr:row>
          <xdr:rowOff>0</xdr:rowOff>
        </xdr:from>
        <xdr:to>
          <xdr:col>12</xdr:col>
          <xdr:colOff>68580</xdr:colOff>
          <xdr:row>13</xdr:row>
          <xdr:rowOff>7620</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15240</xdr:rowOff>
        </xdr:from>
        <xdr:to>
          <xdr:col>5</xdr:col>
          <xdr:colOff>266700</xdr:colOff>
          <xdr:row>44</xdr:row>
          <xdr:rowOff>15240</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20</xdr:col>
      <xdr:colOff>109162</xdr:colOff>
      <xdr:row>6</xdr:row>
      <xdr:rowOff>19381</xdr:rowOff>
    </xdr:from>
    <xdr:to>
      <xdr:col>21</xdr:col>
      <xdr:colOff>494998</xdr:colOff>
      <xdr:row>7</xdr:row>
      <xdr:rowOff>91622</xdr:rowOff>
    </xdr:to>
    <xdr:sp macro="" textlink="'Variable Mgmt'!B233">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3190162" y="1625024"/>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1000" b="0" i="0" u="none" strike="noStrike" baseline="0">
              <a:solidFill>
                <a:srgbClr val="000000"/>
              </a:solidFill>
              <a:latin typeface="Arial"/>
              <a:cs typeface="Arial"/>
            </a:rPr>
            <a:pPr algn="ctr" rtl="0">
              <a:defRPr sz="1000"/>
            </a:pPr>
            <a:t>1 : 20 : 1.48</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25</xdr:col>
      <xdr:colOff>750794</xdr:colOff>
      <xdr:row>41</xdr:row>
      <xdr:rowOff>69135</xdr:rowOff>
    </xdr:from>
    <xdr:to>
      <xdr:col>25</xdr:col>
      <xdr:colOff>1228557</xdr:colOff>
      <xdr:row>42</xdr:row>
      <xdr:rowOff>146830</xdr:rowOff>
    </xdr:to>
    <xdr:sp macro="" textlink="'Variable Mgmt'!$B$286">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588441" y="9003959"/>
          <a:ext cx="477763" cy="286871"/>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71.1%</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25</xdr:col>
      <xdr:colOff>1096216</xdr:colOff>
      <xdr:row>18</xdr:row>
      <xdr:rowOff>128280</xdr:rowOff>
    </xdr:from>
    <xdr:to>
      <xdr:col>25</xdr:col>
      <xdr:colOff>1759040</xdr:colOff>
      <xdr:row>19</xdr:row>
      <xdr:rowOff>0</xdr:rowOff>
    </xdr:to>
    <xdr:sp macro="" textlink="'Variable Mgmt'!B241">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6612303" y="3341932"/>
          <a:ext cx="662824" cy="349094"/>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12V</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869431</xdr:colOff>
      <xdr:row>18</xdr:row>
      <xdr:rowOff>185393</xdr:rowOff>
    </xdr:from>
    <xdr:to>
      <xdr:col>25</xdr:col>
      <xdr:colOff>1616761</xdr:colOff>
      <xdr:row>20</xdr:row>
      <xdr:rowOff>58673</xdr:rowOff>
    </xdr:to>
    <xdr:sp macro="" textlink="'Variable Mgmt'!B296">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6385518" y="3399045"/>
          <a:ext cx="747330" cy="61871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350" b="1" i="0" u="none" strike="noStrike">
              <a:solidFill>
                <a:srgbClr val="FF0000"/>
              </a:solidFill>
              <a:latin typeface="Arial"/>
              <a:cs typeface="Arial"/>
            </a:rPr>
            <a:pPr algn="ctr" rtl="0">
              <a:defRPr sz="1000"/>
            </a:pPr>
            <a:t>0.5A</a:t>
          </a:fld>
          <a:endParaRPr lang="en-US" sz="1350" b="1" i="0" strike="noStrike">
            <a:solidFill>
              <a:srgbClr val="FF0000"/>
            </a:solidFill>
            <a:latin typeface="Arial" pitchFamily="34" charset="0"/>
            <a:cs typeface="Arial" pitchFamily="34" charset="0"/>
          </a:endParaRPr>
        </a:p>
      </xdr:txBody>
    </xdr:sp>
    <xdr:clientData/>
  </xdr:twoCellAnchor>
  <xdr:twoCellAnchor>
    <xdr:from>
      <xdr:col>25</xdr:col>
      <xdr:colOff>1022875</xdr:colOff>
      <xdr:row>16</xdr:row>
      <xdr:rowOff>158113</xdr:rowOff>
    </xdr:from>
    <xdr:to>
      <xdr:col>25</xdr:col>
      <xdr:colOff>1685699</xdr:colOff>
      <xdr:row>19</xdr:row>
      <xdr:rowOff>102504</xdr:rowOff>
    </xdr:to>
    <xdr:sp macro="" textlink="'Variable Mgmt'!B242">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7324232" y="3741327"/>
          <a:ext cx="662824" cy="83339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772742</xdr:colOff>
      <xdr:row>19</xdr:row>
      <xdr:rowOff>0</xdr:rowOff>
    </xdr:from>
    <xdr:to>
      <xdr:col>25</xdr:col>
      <xdr:colOff>1516897</xdr:colOff>
      <xdr:row>19</xdr:row>
      <xdr:rowOff>208643</xdr:rowOff>
    </xdr:to>
    <xdr:sp macro="" textlink="'Variable Mgmt'!B297">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7074099" y="4227286"/>
          <a:ext cx="744155" cy="20864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23</xdr:col>
      <xdr:colOff>150700</xdr:colOff>
      <xdr:row>15</xdr:row>
      <xdr:rowOff>151932</xdr:rowOff>
    </xdr:from>
    <xdr:to>
      <xdr:col>24</xdr:col>
      <xdr:colOff>34178</xdr:colOff>
      <xdr:row>17</xdr:row>
      <xdr:rowOff>126999</xdr:rowOff>
    </xdr:to>
    <xdr:sp macro="" textlink="'Variable Mgmt'!D245">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5163914" y="3535575"/>
          <a:ext cx="527550" cy="374210"/>
        </a:xfrm>
        <a:prstGeom prst="rect">
          <a:avLst/>
        </a:prstGeom>
        <a:noFill/>
        <a:ln w="9525">
          <a:noFill/>
          <a:miter lim="800000"/>
          <a:headEnd/>
          <a:tailEnd/>
        </a:ln>
      </xdr:spPr>
      <xdr:txBody>
        <a:bodyPr vertOverflow="clip" wrap="square" lIns="27432" tIns="22860" rIns="0" bIns="0" anchor="ctr" upright="1"/>
        <a:lstStyle/>
        <a:p>
          <a:pPr algn="l" rtl="0">
            <a:defRPr sz="1000"/>
          </a:pPr>
          <a:fld id="{A5CD353A-83F6-408F-8104-9228EF111F31}" type="TxLink">
            <a:rPr lang="en-US" sz="1000" b="0" i="0" u="none" strike="noStrike" baseline="0">
              <a:solidFill>
                <a:srgbClr val="000000"/>
              </a:solidFill>
              <a:latin typeface="Arial"/>
              <a:cs typeface="Arial"/>
            </a:rPr>
            <a:pPr algn="l" rtl="0">
              <a:defRPr sz="1000"/>
            </a:pPr>
            <a:t> </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23</xdr:col>
      <xdr:colOff>159771</xdr:colOff>
      <xdr:row>19</xdr:row>
      <xdr:rowOff>90714</xdr:rowOff>
    </xdr:from>
    <xdr:to>
      <xdr:col>24</xdr:col>
      <xdr:colOff>43249</xdr:colOff>
      <xdr:row>20</xdr:row>
      <xdr:rowOff>0</xdr:rowOff>
    </xdr:to>
    <xdr:sp macro="" textlink="'Variable Mgmt'!C245">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5172985" y="4318000"/>
          <a:ext cx="527550" cy="154214"/>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900" b="0" i="0" u="none" strike="noStrike" baseline="0">
              <a:solidFill>
                <a:srgbClr val="000000"/>
              </a:solidFill>
              <a:latin typeface="Arial"/>
              <a:cs typeface="Arial"/>
            </a:rPr>
            <a:pPr algn="l" rtl="0">
              <a:defRPr sz="1000"/>
            </a:pPr>
            <a:t>30µF</a:t>
          </a:fld>
          <a:endParaRPr lang="en-US" sz="9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14079</xdr:colOff>
          <xdr:row>37</xdr:row>
          <xdr:rowOff>17405</xdr:rowOff>
        </xdr:from>
        <xdr:to>
          <xdr:col>17</xdr:col>
          <xdr:colOff>298824</xdr:colOff>
          <xdr:row>60</xdr:row>
          <xdr:rowOff>124425</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90144"/>
                </a:ext>
              </a:extLst>
            </xdr:cNvPicPr>
          </xdr:nvPicPr>
          <xdr:blipFill rotWithShape="1">
            <a:blip xmlns:r="http://schemas.openxmlformats.org/officeDocument/2006/relationships" r:embed="rId10"/>
            <a:srcRect r="5700"/>
            <a:stretch>
              <a:fillRect/>
            </a:stretch>
          </xdr:blipFill>
          <xdr:spPr bwMode="auto">
            <a:xfrm>
              <a:off x="4249903" y="8137934"/>
              <a:ext cx="6619803" cy="4073903"/>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23</xdr:col>
          <xdr:colOff>129540</xdr:colOff>
          <xdr:row>62</xdr:row>
          <xdr:rowOff>15240</xdr:rowOff>
        </xdr:from>
        <xdr:to>
          <xdr:col>23</xdr:col>
          <xdr:colOff>304800</xdr:colOff>
          <xdr:row>63</xdr:row>
          <xdr:rowOff>30480</xdr:rowOff>
        </xdr:to>
        <xdr:sp macro="" textlink="">
          <xdr:nvSpPr>
            <xdr:cNvPr id="751280" name="Spinner 5808" hidden="1">
              <a:extLst>
                <a:ext uri="{63B3BB69-23CF-44E3-9099-C40C66FF867C}">
                  <a14:compatExt spid="_x0000_s751280"/>
                </a:ext>
                <a:ext uri="{FF2B5EF4-FFF2-40B4-BE49-F238E27FC236}">
                  <a16:creationId xmlns:a16="http://schemas.microsoft.com/office/drawing/2014/main" id="{00000000-0008-0000-0000-0000B0760B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60092</xdr:colOff>
      <xdr:row>21</xdr:row>
      <xdr:rowOff>200356</xdr:rowOff>
    </xdr:from>
    <xdr:to>
      <xdr:col>16</xdr:col>
      <xdr:colOff>606981</xdr:colOff>
      <xdr:row>22</xdr:row>
      <xdr:rowOff>185304</xdr:rowOff>
    </xdr:to>
    <xdr:sp macro="" textlink="'Variable Mgmt'!D309">
      <xdr:nvSpPr>
        <xdr:cNvPr id="40" name="Text Box 268">
          <a:extLst>
            <a:ext uri="{FF2B5EF4-FFF2-40B4-BE49-F238E27FC236}">
              <a16:creationId xmlns:a16="http://schemas.microsoft.com/office/drawing/2014/main" id="{00000000-0008-0000-0000-000028000000}"/>
            </a:ext>
          </a:extLst>
        </xdr:cNvPr>
        <xdr:cNvSpPr txBox="1">
          <a:spLocks noChangeArrowheads="1" noTextEdit="1"/>
        </xdr:cNvSpPr>
      </xdr:nvSpPr>
      <xdr:spPr bwMode="auto">
        <a:xfrm>
          <a:off x="10383378" y="4917499"/>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1000" b="0" i="0" u="none" strike="noStrike">
              <a:solidFill>
                <a:srgbClr val="000000"/>
              </a:solidFill>
              <a:latin typeface="Arial"/>
              <a:cs typeface="Arial"/>
            </a:rPr>
            <a:pPr algn="l" rtl="0">
              <a:defRPr sz="1000"/>
            </a:pPr>
            <a:t>56kΩ</a:t>
          </a:fld>
          <a:endParaRPr lang="el-GR" sz="900" b="0" i="0" strike="noStrike">
            <a:solidFill>
              <a:srgbClr val="000000"/>
            </a:solidFill>
            <a:latin typeface="Arial" pitchFamily="34" charset="0"/>
            <a:cs typeface="Arial" pitchFamily="34" charset="0"/>
          </a:endParaRPr>
        </a:p>
      </xdr:txBody>
    </xdr:sp>
    <xdr:clientData/>
  </xdr:twoCellAnchor>
  <xdr:twoCellAnchor>
    <xdr:from>
      <xdr:col>14</xdr:col>
      <xdr:colOff>622519</xdr:colOff>
      <xdr:row>24</xdr:row>
      <xdr:rowOff>55212</xdr:rowOff>
    </xdr:from>
    <xdr:to>
      <xdr:col>15</xdr:col>
      <xdr:colOff>525337</xdr:colOff>
      <xdr:row>25</xdr:row>
      <xdr:rowOff>40160</xdr:rowOff>
    </xdr:to>
    <xdr:sp macro="" textlink="'Variable Mgmt'!D310">
      <xdr:nvSpPr>
        <xdr:cNvPr id="41" name="Text Box 268">
          <a:extLst>
            <a:ext uri="{FF2B5EF4-FFF2-40B4-BE49-F238E27FC236}">
              <a16:creationId xmlns:a16="http://schemas.microsoft.com/office/drawing/2014/main" id="{00000000-0008-0000-0000-000029000000}"/>
            </a:ext>
          </a:extLst>
        </xdr:cNvPr>
        <xdr:cNvSpPr txBox="1">
          <a:spLocks noChangeArrowheads="1" noTextEdit="1"/>
        </xdr:cNvSpPr>
      </xdr:nvSpPr>
      <xdr:spPr bwMode="auto">
        <a:xfrm>
          <a:off x="9594162" y="5507141"/>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1000" b="0" i="0" u="none" strike="noStrike">
              <a:solidFill>
                <a:srgbClr val="000000"/>
              </a:solidFill>
              <a:latin typeface="Arial"/>
              <a:cs typeface="Arial"/>
            </a:rPr>
            <a:pPr algn="l" rtl="0">
              <a:defRPr sz="1000"/>
            </a:pPr>
            <a:t>10nF</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568093</xdr:colOff>
      <xdr:row>24</xdr:row>
      <xdr:rowOff>136854</xdr:rowOff>
    </xdr:from>
    <xdr:to>
      <xdr:col>16</xdr:col>
      <xdr:colOff>407410</xdr:colOff>
      <xdr:row>25</xdr:row>
      <xdr:rowOff>121802</xdr:rowOff>
    </xdr:to>
    <xdr:sp macro="" textlink="'Variable Mgmt'!D311">
      <xdr:nvSpPr>
        <xdr:cNvPr id="43" name="Text Box 268">
          <a:extLst>
            <a:ext uri="{FF2B5EF4-FFF2-40B4-BE49-F238E27FC236}">
              <a16:creationId xmlns:a16="http://schemas.microsoft.com/office/drawing/2014/main" id="{00000000-0008-0000-0000-00002B000000}"/>
            </a:ext>
          </a:extLst>
        </xdr:cNvPr>
        <xdr:cNvSpPr txBox="1">
          <a:spLocks noChangeArrowheads="1" noTextEdit="1"/>
        </xdr:cNvSpPr>
      </xdr:nvSpPr>
      <xdr:spPr bwMode="auto">
        <a:xfrm>
          <a:off x="10183807" y="5588783"/>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1000" b="0" i="0" u="none" strike="noStrike">
              <a:solidFill>
                <a:srgbClr val="000000"/>
              </a:solidFill>
              <a:latin typeface="Arial"/>
              <a:cs typeface="Arial"/>
            </a:rPr>
            <a:pPr algn="l" rtl="0">
              <a:defRPr sz="1000"/>
            </a:pPr>
            <a:t>56pF</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226786</xdr:colOff>
      <xdr:row>24</xdr:row>
      <xdr:rowOff>181428</xdr:rowOff>
    </xdr:from>
    <xdr:to>
      <xdr:col>20</xdr:col>
      <xdr:colOff>129604</xdr:colOff>
      <xdr:row>25</xdr:row>
      <xdr:rowOff>93527</xdr:rowOff>
    </xdr:to>
    <xdr:sp macro="" textlink="'Variable Mgmt'!D314">
      <xdr:nvSpPr>
        <xdr:cNvPr id="48" name="Text Box 268">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12663715"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1000" b="0" i="0" u="none" strike="noStrike">
              <a:solidFill>
                <a:srgbClr val="000000"/>
              </a:solidFill>
              <a:latin typeface="Arial"/>
              <a:cs typeface="Arial"/>
            </a:rPr>
            <a:pPr algn="l" rtl="0">
              <a:defRPr sz="1000"/>
            </a:pPr>
            <a:t>100pF</a:t>
          </a:fld>
          <a:endParaRPr lang="el-GR" sz="900" b="0" i="0" strike="noStrike">
            <a:solidFill>
              <a:srgbClr val="000000"/>
            </a:solidFill>
            <a:latin typeface="Arial" pitchFamily="34" charset="0"/>
            <a:cs typeface="Arial" pitchFamily="34" charset="0"/>
          </a:endParaRPr>
        </a:p>
      </xdr:txBody>
    </xdr:sp>
    <xdr:clientData/>
  </xdr:twoCellAnchor>
  <xdr:twoCellAnchor>
    <xdr:from>
      <xdr:col>20</xdr:col>
      <xdr:colOff>517071</xdr:colOff>
      <xdr:row>24</xdr:row>
      <xdr:rowOff>181428</xdr:rowOff>
    </xdr:from>
    <xdr:to>
      <xdr:col>21</xdr:col>
      <xdr:colOff>419889</xdr:colOff>
      <xdr:row>25</xdr:row>
      <xdr:rowOff>93527</xdr:rowOff>
    </xdr:to>
    <xdr:sp macro="" textlink="'Variable Mgmt'!D313">
      <xdr:nvSpPr>
        <xdr:cNvPr id="50" name="Text Box 268">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13598071"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1000" b="0" i="0" u="none" strike="noStrike">
              <a:solidFill>
                <a:srgbClr val="000000"/>
              </a:solidFill>
              <a:latin typeface="Arial"/>
              <a:cs typeface="Arial"/>
            </a:rPr>
            <a:pPr algn="l" rtl="0">
              <a:defRPr sz="1000"/>
            </a:pPr>
            <a:t>1.5mΩ</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553356</xdr:colOff>
      <xdr:row>21</xdr:row>
      <xdr:rowOff>154214</xdr:rowOff>
    </xdr:from>
    <xdr:to>
      <xdr:col>20</xdr:col>
      <xdr:colOff>456174</xdr:colOff>
      <xdr:row>22</xdr:row>
      <xdr:rowOff>66313</xdr:rowOff>
    </xdr:to>
    <xdr:sp macro="" textlink="'Variable Mgmt'!D315">
      <xdr:nvSpPr>
        <xdr:cNvPr id="52" name="Text Box 268">
          <a:extLst>
            <a:ext uri="{FF2B5EF4-FFF2-40B4-BE49-F238E27FC236}">
              <a16:creationId xmlns:a16="http://schemas.microsoft.com/office/drawing/2014/main" id="{00000000-0008-0000-0000-000034000000}"/>
            </a:ext>
          </a:extLst>
        </xdr:cNvPr>
        <xdr:cNvSpPr txBox="1">
          <a:spLocks noChangeArrowheads="1" noTextEdit="1"/>
        </xdr:cNvSpPr>
      </xdr:nvSpPr>
      <xdr:spPr bwMode="auto">
        <a:xfrm>
          <a:off x="12990285" y="4871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1000" b="0" i="0" u="none" strike="noStrike">
              <a:solidFill>
                <a:srgbClr val="000000"/>
              </a:solidFill>
              <a:latin typeface="Arial"/>
              <a:cs typeface="Arial"/>
            </a:rPr>
            <a:pPr algn="l" rtl="0">
              <a:defRPr sz="1000"/>
            </a:pPr>
            <a:t>100Ω</a:t>
          </a:fld>
          <a:endParaRPr lang="el-GR" sz="9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581025</xdr:colOff>
      <xdr:row>7</xdr:row>
      <xdr:rowOff>47625</xdr:rowOff>
    </xdr:from>
    <xdr:to>
      <xdr:col>10</xdr:col>
      <xdr:colOff>539612</xdr:colOff>
      <xdr:row>62</xdr:row>
      <xdr:rowOff>153585</xdr:rowOff>
    </xdr:to>
    <xdr:grpSp>
      <xdr:nvGrpSpPr>
        <xdr:cNvPr id="4" name="Group 3">
          <a:extLst>
            <a:ext uri="{FF2B5EF4-FFF2-40B4-BE49-F238E27FC236}">
              <a16:creationId xmlns:a16="http://schemas.microsoft.com/office/drawing/2014/main" id="{00000000-0008-0000-0800-000004000000}"/>
            </a:ext>
          </a:extLst>
        </xdr:cNvPr>
        <xdr:cNvGrpSpPr/>
      </xdr:nvGrpSpPr>
      <xdr:grpSpPr>
        <a:xfrm>
          <a:off x="581025" y="1739265"/>
          <a:ext cx="6283187" cy="9326160"/>
          <a:chOff x="563217" y="1684406"/>
          <a:chExt cx="6372087" cy="8837210"/>
        </a:xfrm>
      </xdr:grpSpPr>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87784" y="1684406"/>
            <a:ext cx="6343059" cy="4223855"/>
          </a:xfrm>
          <a:prstGeom prst="rect">
            <a:avLst/>
          </a:prstGeom>
        </xdr:spPr>
      </xdr:pic>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flipH="1">
            <a:off x="563217" y="6333434"/>
            <a:ext cx="6372087" cy="4188182"/>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86">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71.1%</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86">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71.1%</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84763"/>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85786"/>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3909000" y="65171955"/>
          <a:ext cx="0" cy="433768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-1</xdr:colOff>
      <xdr:row>6</xdr:row>
      <xdr:rowOff>20481</xdr:rowOff>
    </xdr:from>
    <xdr:to>
      <xdr:col>4</xdr:col>
      <xdr:colOff>8229599</xdr:colOff>
      <xdr:row>6</xdr:row>
      <xdr:rowOff>4460244</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0363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6</xdr:row>
      <xdr:rowOff>20481</xdr:rowOff>
    </xdr:from>
    <xdr:to>
      <xdr:col>7</xdr:col>
      <xdr:colOff>8229599</xdr:colOff>
      <xdr:row>6</xdr:row>
      <xdr:rowOff>4460244</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19888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8</xdr:row>
      <xdr:rowOff>23050</xdr:rowOff>
    </xdr:from>
    <xdr:to>
      <xdr:col>1</xdr:col>
      <xdr:colOff>8229599</xdr:colOff>
      <xdr:row>8</xdr:row>
      <xdr:rowOff>4457675</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847724" y="58142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10</xdr:row>
      <xdr:rowOff>23050</xdr:rowOff>
    </xdr:from>
    <xdr:to>
      <xdr:col>1</xdr:col>
      <xdr:colOff>8229599</xdr:colOff>
      <xdr:row>10</xdr:row>
      <xdr:rowOff>4457675</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847724" y="105005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12</xdr:row>
      <xdr:rowOff>21949</xdr:rowOff>
    </xdr:from>
    <xdr:to>
      <xdr:col>1</xdr:col>
      <xdr:colOff>8229599</xdr:colOff>
      <xdr:row>12</xdr:row>
      <xdr:rowOff>4458776</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843642" y="151857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14</xdr:row>
      <xdr:rowOff>21948</xdr:rowOff>
    </xdr:from>
    <xdr:to>
      <xdr:col>1</xdr:col>
      <xdr:colOff>8229599</xdr:colOff>
      <xdr:row>14</xdr:row>
      <xdr:rowOff>4458775</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843642" y="19872048"/>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6</xdr:row>
      <xdr:rowOff>21949</xdr:rowOff>
    </xdr:from>
    <xdr:to>
      <xdr:col>1</xdr:col>
      <xdr:colOff>8229599</xdr:colOff>
      <xdr:row>6</xdr:row>
      <xdr:rowOff>4458776</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843642" y="1050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16</xdr:row>
      <xdr:rowOff>21949</xdr:rowOff>
    </xdr:from>
    <xdr:to>
      <xdr:col>1</xdr:col>
      <xdr:colOff>8229599</xdr:colOff>
      <xdr:row>16</xdr:row>
      <xdr:rowOff>4458776</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843642" y="245583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18</xdr:row>
      <xdr:rowOff>21949</xdr:rowOff>
    </xdr:from>
    <xdr:to>
      <xdr:col>1</xdr:col>
      <xdr:colOff>8229599</xdr:colOff>
      <xdr:row>18</xdr:row>
      <xdr:rowOff>4458776</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843642" y="29244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20</xdr:row>
      <xdr:rowOff>21949</xdr:rowOff>
    </xdr:from>
    <xdr:to>
      <xdr:col>1</xdr:col>
      <xdr:colOff>8229599</xdr:colOff>
      <xdr:row>20</xdr:row>
      <xdr:rowOff>4458776</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843642" y="339690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8</xdr:row>
      <xdr:rowOff>21215</xdr:rowOff>
    </xdr:from>
    <xdr:to>
      <xdr:col>4</xdr:col>
      <xdr:colOff>8229598</xdr:colOff>
      <xdr:row>8</xdr:row>
      <xdr:rowOff>4459511</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0888434" y="5808786"/>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10</xdr:row>
      <xdr:rowOff>21215</xdr:rowOff>
    </xdr:from>
    <xdr:to>
      <xdr:col>4</xdr:col>
      <xdr:colOff>8229598</xdr:colOff>
      <xdr:row>10</xdr:row>
      <xdr:rowOff>4459511</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0877095" y="10498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12</xdr:row>
      <xdr:rowOff>21215</xdr:rowOff>
    </xdr:from>
    <xdr:to>
      <xdr:col>4</xdr:col>
      <xdr:colOff>8229598</xdr:colOff>
      <xdr:row>12</xdr:row>
      <xdr:rowOff>4459511</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0877095" y="15197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14</xdr:row>
      <xdr:rowOff>21215</xdr:rowOff>
    </xdr:from>
    <xdr:to>
      <xdr:col>4</xdr:col>
      <xdr:colOff>8229598</xdr:colOff>
      <xdr:row>14</xdr:row>
      <xdr:rowOff>4459511</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0877095" y="19896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16</xdr:row>
      <xdr:rowOff>21215</xdr:rowOff>
    </xdr:from>
    <xdr:to>
      <xdr:col>4</xdr:col>
      <xdr:colOff>8229599</xdr:colOff>
      <xdr:row>16</xdr:row>
      <xdr:rowOff>4459511</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0365920" y="245576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18</xdr:row>
      <xdr:rowOff>21215</xdr:rowOff>
    </xdr:from>
    <xdr:to>
      <xdr:col>4</xdr:col>
      <xdr:colOff>8229599</xdr:colOff>
      <xdr:row>18</xdr:row>
      <xdr:rowOff>4459511</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0365920" y="292439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20</xdr:row>
      <xdr:rowOff>21215</xdr:rowOff>
    </xdr:from>
    <xdr:to>
      <xdr:col>4</xdr:col>
      <xdr:colOff>8229599</xdr:colOff>
      <xdr:row>20</xdr:row>
      <xdr:rowOff>4459511</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0365920" y="339683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8</xdr:row>
      <xdr:rowOff>20481</xdr:rowOff>
    </xdr:from>
    <xdr:to>
      <xdr:col>7</xdr:col>
      <xdr:colOff>8229599</xdr:colOff>
      <xdr:row>8</xdr:row>
      <xdr:rowOff>4460244</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19888199" y="58116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10</xdr:row>
      <xdr:rowOff>20481</xdr:rowOff>
    </xdr:from>
    <xdr:to>
      <xdr:col>7</xdr:col>
      <xdr:colOff>8229599</xdr:colOff>
      <xdr:row>10</xdr:row>
      <xdr:rowOff>4460244</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19888199" y="104979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12</xdr:row>
      <xdr:rowOff>20481</xdr:rowOff>
    </xdr:from>
    <xdr:to>
      <xdr:col>7</xdr:col>
      <xdr:colOff>8229599</xdr:colOff>
      <xdr:row>12</xdr:row>
      <xdr:rowOff>4460244</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19888199" y="151842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14</xdr:row>
      <xdr:rowOff>20481</xdr:rowOff>
    </xdr:from>
    <xdr:to>
      <xdr:col>7</xdr:col>
      <xdr:colOff>8229599</xdr:colOff>
      <xdr:row>14</xdr:row>
      <xdr:rowOff>4460244</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19888199" y="19870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16</xdr:row>
      <xdr:rowOff>20481</xdr:rowOff>
    </xdr:from>
    <xdr:to>
      <xdr:col>7</xdr:col>
      <xdr:colOff>8229599</xdr:colOff>
      <xdr:row>16</xdr:row>
      <xdr:rowOff>4460244</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19888199" y="245568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18</xdr:row>
      <xdr:rowOff>20481</xdr:rowOff>
    </xdr:from>
    <xdr:to>
      <xdr:col>7</xdr:col>
      <xdr:colOff>8229599</xdr:colOff>
      <xdr:row>18</xdr:row>
      <xdr:rowOff>4460244</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19888199" y="29243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20</xdr:row>
      <xdr:rowOff>20481</xdr:rowOff>
    </xdr:from>
    <xdr:to>
      <xdr:col>7</xdr:col>
      <xdr:colOff>8229599</xdr:colOff>
      <xdr:row>20</xdr:row>
      <xdr:rowOff>4460244</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19888199" y="33967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229322</xdr:colOff>
      <xdr:row>33</xdr:row>
      <xdr:rowOff>37753</xdr:rowOff>
    </xdr:from>
    <xdr:to>
      <xdr:col>16</xdr:col>
      <xdr:colOff>381667</xdr:colOff>
      <xdr:row>61</xdr:row>
      <xdr:rowOff>144929</xdr:rowOff>
    </xdr:to>
    <xdr:graphicFrame macro="">
      <xdr:nvGraphicFramePr>
        <xdr:cNvPr id="2" name="Chart 1029">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129540</xdr:rowOff>
        </xdr:from>
        <xdr:to>
          <xdr:col>1</xdr:col>
          <xdr:colOff>106680</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1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18</xdr:col>
      <xdr:colOff>18143</xdr:colOff>
      <xdr:row>33</xdr:row>
      <xdr:rowOff>18142</xdr:rowOff>
    </xdr:from>
    <xdr:to>
      <xdr:col>26</xdr:col>
      <xdr:colOff>808663</xdr:colOff>
      <xdr:row>61</xdr:row>
      <xdr:rowOff>128493</xdr:rowOff>
    </xdr:to>
    <xdr:graphicFrame macro="">
      <xdr:nvGraphicFramePr>
        <xdr:cNvPr id="4" name="Chart 1029">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182880</xdr:colOff>
          <xdr:row>111</xdr:row>
          <xdr:rowOff>144780</xdr:rowOff>
        </xdr:from>
        <xdr:to>
          <xdr:col>36</xdr:col>
          <xdr:colOff>15240</xdr:colOff>
          <xdr:row>125</xdr:row>
          <xdr:rowOff>144780</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3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88">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91.4%</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88">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91.4%</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171450</xdr:colOff>
      <xdr:row>41</xdr:row>
      <xdr:rowOff>28575</xdr:rowOff>
    </xdr:from>
    <xdr:to>
      <xdr:col>46</xdr:col>
      <xdr:colOff>304800</xdr:colOff>
      <xdr:row>72</xdr:row>
      <xdr:rowOff>30307</xdr:rowOff>
    </xdr:to>
    <xdr:graphicFrame macro="">
      <xdr:nvGraphicFramePr>
        <xdr:cNvPr id="6" name="Chart 253">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90</xdr:col>
      <xdr:colOff>152400</xdr:colOff>
      <xdr:row>9</xdr:row>
      <xdr:rowOff>0</xdr:rowOff>
    </xdr:from>
    <xdr:to>
      <xdr:col>105</xdr:col>
      <xdr:colOff>38100</xdr:colOff>
      <xdr:row>40</xdr:row>
      <xdr:rowOff>1732</xdr:rowOff>
    </xdr:to>
    <xdr:graphicFrame macro="">
      <xdr:nvGraphicFramePr>
        <xdr:cNvPr id="10" name="Chart 253">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90</xdr:col>
      <xdr:colOff>142875</xdr:colOff>
      <xdr:row>40</xdr:row>
      <xdr:rowOff>123825</xdr:rowOff>
    </xdr:from>
    <xdr:to>
      <xdr:col>105</xdr:col>
      <xdr:colOff>19050</xdr:colOff>
      <xdr:row>71</xdr:row>
      <xdr:rowOff>125557</xdr:rowOff>
    </xdr:to>
    <xdr:graphicFrame macro="">
      <xdr:nvGraphicFramePr>
        <xdr:cNvPr id="11" name="Chart 253">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110</xdr:col>
      <xdr:colOff>171450</xdr:colOff>
      <xdr:row>41</xdr:row>
      <xdr:rowOff>28575</xdr:rowOff>
    </xdr:from>
    <xdr:to>
      <xdr:col>128</xdr:col>
      <xdr:colOff>304800</xdr:colOff>
      <xdr:row>72</xdr:row>
      <xdr:rowOff>30307</xdr:rowOff>
    </xdr:to>
    <xdr:graphicFrame macro="">
      <xdr:nvGraphicFramePr>
        <xdr:cNvPr id="12" name="Chart 253">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110</xdr:col>
      <xdr:colOff>228600</xdr:colOff>
      <xdr:row>9</xdr:row>
      <xdr:rowOff>28575</xdr:rowOff>
    </xdr:from>
    <xdr:to>
      <xdr:col>128</xdr:col>
      <xdr:colOff>361950</xdr:colOff>
      <xdr:row>40</xdr:row>
      <xdr:rowOff>30307</xdr:rowOff>
    </xdr:to>
    <xdr:graphicFrame macro="">
      <xdr:nvGraphicFramePr>
        <xdr:cNvPr id="13" name="Chart 253">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90</xdr:col>
      <xdr:colOff>159205</xdr:colOff>
      <xdr:row>72</xdr:row>
      <xdr:rowOff>141513</xdr:rowOff>
    </xdr:from>
    <xdr:to>
      <xdr:col>101</xdr:col>
      <xdr:colOff>371475</xdr:colOff>
      <xdr:row>101</xdr:row>
      <xdr:rowOff>123825</xdr:rowOff>
    </xdr:to>
    <xdr:graphicFrame macro="">
      <xdr:nvGraphicFramePr>
        <xdr:cNvPr id="14" name="Chart 25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104</xdr:col>
      <xdr:colOff>33619</xdr:colOff>
      <xdr:row>72</xdr:row>
      <xdr:rowOff>52297</xdr:rowOff>
    </xdr:from>
    <xdr:to>
      <xdr:col>116</xdr:col>
      <xdr:colOff>328705</xdr:colOff>
      <xdr:row>101</xdr:row>
      <xdr:rowOff>26147</xdr:rowOff>
    </xdr:to>
    <xdr:graphicFrame macro="">
      <xdr:nvGraphicFramePr>
        <xdr:cNvPr id="15" name="Chart 253">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72</xdr:col>
      <xdr:colOff>136071</xdr:colOff>
      <xdr:row>0</xdr:row>
      <xdr:rowOff>18143</xdr:rowOff>
    </xdr:from>
    <xdr:ext cx="2204357" cy="589643"/>
    <xdr:sp macro="" textlink="">
      <xdr:nvSpPr>
        <xdr:cNvPr id="2" name="TextBox 1">
          <a:extLst>
            <a:ext uri="{FF2B5EF4-FFF2-40B4-BE49-F238E27FC236}">
              <a16:creationId xmlns:a16="http://schemas.microsoft.com/office/drawing/2014/main" id="{00000000-0008-0000-0400-000002000000}"/>
            </a:ext>
          </a:extLst>
        </xdr:cNvPr>
        <xdr:cNvSpPr txBox="1"/>
      </xdr:nvSpPr>
      <xdr:spPr bwMode="auto">
        <a:xfrm>
          <a:off x="38898285" y="18143"/>
          <a:ext cx="2204357" cy="589643"/>
        </a:xfrm>
        <a:prstGeom prst="rect">
          <a:avLst/>
        </a:prstGeom>
        <a:solidFill>
          <a:srgbClr val="FFFF00"/>
        </a:solidFill>
        <a:ln w="9525">
          <a:noFill/>
          <a:miter lim="800000"/>
          <a:headEnd/>
          <a:tailEnd/>
        </a:ln>
      </xdr:spPr>
      <xdr:txBody>
        <a:bodyPr vertOverflow="clip" horzOverflow="clip" wrap="square" lIns="27432" tIns="27432" rIns="0" bIns="0" rtlCol="0" anchor="t" upright="1">
          <a:noAutofit/>
        </a:bodyPr>
        <a:lstStyle/>
        <a:p>
          <a:pPr algn="l" rtl="0"/>
          <a:r>
            <a:rPr lang="en-US" sz="1100" b="0" i="0" strike="noStrike" baseline="0">
              <a:solidFill>
                <a:srgbClr val="FF0000"/>
              </a:solidFill>
              <a:latin typeface="Calibri"/>
            </a:rPr>
            <a:t>30JUL2024 </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0">
              <a:solidFill>
                <a:srgbClr val="FF0000"/>
              </a:solidFill>
              <a:effectLst/>
              <a:latin typeface="+mn-lt"/>
              <a:ea typeface="+mn-ea"/>
              <a:cs typeface="+mn-cs"/>
            </a:rPr>
            <a:t>For this version, Core losses is</a:t>
          </a:r>
          <a:r>
            <a:rPr lang="en-US" sz="1100" b="0" i="0" baseline="0">
              <a:solidFill>
                <a:srgbClr val="FF0000"/>
              </a:solidFill>
              <a:effectLst/>
              <a:latin typeface="+mn-lt"/>
              <a:ea typeface="+mn-ea"/>
              <a:cs typeface="+mn-cs"/>
            </a:rPr>
            <a:t> assumd 1.5% of the total power.</a:t>
          </a:r>
          <a:endParaRPr lang="en-US">
            <a:solidFill>
              <a:srgbClr val="FF0000"/>
            </a:solidFill>
            <a:effectLst/>
          </a:endParaRPr>
        </a:p>
        <a:p>
          <a:pPr algn="l" rtl="0"/>
          <a:endParaRPr lang="en-US" sz="1100" b="0" i="0" strike="noStrike">
            <a:solidFill>
              <a:srgbClr val="FF0000"/>
            </a:solidFill>
            <a:latin typeface="Calibri"/>
          </a:endParaRPr>
        </a:p>
      </xdr:txBody>
    </xdr:sp>
    <xdr:clientData/>
  </xdr:oneCellAnchor>
  <xdr:oneCellAnchor>
    <xdr:from>
      <xdr:col>59</xdr:col>
      <xdr:colOff>235858</xdr:colOff>
      <xdr:row>0</xdr:row>
      <xdr:rowOff>36285</xdr:rowOff>
    </xdr:from>
    <xdr:ext cx="1741715" cy="553357"/>
    <xdr:sp macro="" textlink="">
      <xdr:nvSpPr>
        <xdr:cNvPr id="17" name="TextBox 16">
          <a:extLst>
            <a:ext uri="{FF2B5EF4-FFF2-40B4-BE49-F238E27FC236}">
              <a16:creationId xmlns:a16="http://schemas.microsoft.com/office/drawing/2014/main" id="{00000000-0008-0000-0400-000011000000}"/>
            </a:ext>
          </a:extLst>
        </xdr:cNvPr>
        <xdr:cNvSpPr txBox="1"/>
      </xdr:nvSpPr>
      <xdr:spPr bwMode="auto">
        <a:xfrm>
          <a:off x="30734001" y="36285"/>
          <a:ext cx="1741715" cy="553357"/>
        </a:xfrm>
        <a:prstGeom prst="rect">
          <a:avLst/>
        </a:prstGeom>
        <a:solidFill>
          <a:srgbClr val="FFFF66"/>
        </a:solidFill>
        <a:ln w="9525">
          <a:noFill/>
          <a:miter lim="800000"/>
          <a:headEnd/>
          <a:tailEnd/>
        </a:ln>
      </xdr:spPr>
      <xdr:txBody>
        <a:bodyPr vertOverflow="clip" horzOverflow="clip" wrap="square" lIns="27432" tIns="27432" rIns="0" bIns="0" rtlCol="0" anchor="t" upright="1">
          <a:spAutoFit/>
        </a:bodyPr>
        <a:lstStyle/>
        <a:p>
          <a:pPr algn="l" rtl="0"/>
          <a:r>
            <a:rPr lang="en-US" sz="1100" b="1" i="0" strike="noStrike">
              <a:solidFill>
                <a:srgbClr val="FF0000"/>
              </a:solidFill>
              <a:latin typeface="+mn-lt"/>
            </a:rPr>
            <a:t>31JUL2024</a:t>
          </a:r>
        </a:p>
        <a:p>
          <a:pPr algn="l" rtl="0"/>
          <a:r>
            <a:rPr lang="en-US" sz="1100" b="0" i="0" strike="noStrike">
              <a:solidFill>
                <a:srgbClr val="FF0000"/>
              </a:solidFill>
              <a:latin typeface="+mn-lt"/>
            </a:rPr>
            <a:t>FET Qg loss is using VIN instead of 5V VDD. </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329046</xdr:colOff>
      <xdr:row>72</xdr:row>
      <xdr:rowOff>84117</xdr:rowOff>
    </xdr:from>
    <xdr:to>
      <xdr:col>27</xdr:col>
      <xdr:colOff>673307</xdr:colOff>
      <xdr:row>103</xdr:row>
      <xdr:rowOff>85849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92</xdr:col>
      <xdr:colOff>342900</xdr:colOff>
      <xdr:row>9</xdr:row>
      <xdr:rowOff>19050</xdr:rowOff>
    </xdr:from>
    <xdr:to>
      <xdr:col>109</xdr:col>
      <xdr:colOff>47625</xdr:colOff>
      <xdr:row>40</xdr:row>
      <xdr:rowOff>20782</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92</xdr:col>
      <xdr:colOff>352425</xdr:colOff>
      <xdr:row>41</xdr:row>
      <xdr:rowOff>0</xdr:rowOff>
    </xdr:from>
    <xdr:to>
      <xdr:col>109</xdr:col>
      <xdr:colOff>57150</xdr:colOff>
      <xdr:row>72</xdr:row>
      <xdr:rowOff>1732</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109</xdr:col>
      <xdr:colOff>194582</xdr:colOff>
      <xdr:row>41</xdr:row>
      <xdr:rowOff>21771</xdr:rowOff>
    </xdr:from>
    <xdr:to>
      <xdr:col>129</xdr:col>
      <xdr:colOff>123825</xdr:colOff>
      <xdr:row>72</xdr:row>
      <xdr:rowOff>23503</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109</xdr:col>
      <xdr:colOff>228600</xdr:colOff>
      <xdr:row>9</xdr:row>
      <xdr:rowOff>28575</xdr:rowOff>
    </xdr:from>
    <xdr:to>
      <xdr:col>129</xdr:col>
      <xdr:colOff>19050</xdr:colOff>
      <xdr:row>40</xdr:row>
      <xdr:rowOff>30307</xdr:rowOff>
    </xdr:to>
    <xdr:graphicFrame macro="">
      <xdr:nvGraphicFramePr>
        <xdr:cNvPr id="10" name="Chart 253">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92</xdr:col>
      <xdr:colOff>329046</xdr:colOff>
      <xdr:row>72</xdr:row>
      <xdr:rowOff>138546</xdr:rowOff>
    </xdr:from>
    <xdr:to>
      <xdr:col>109</xdr:col>
      <xdr:colOff>33771</xdr:colOff>
      <xdr:row>103</xdr:row>
      <xdr:rowOff>140278</xdr:rowOff>
    </xdr:to>
    <xdr:graphicFrame macro="">
      <xdr:nvGraphicFramePr>
        <xdr:cNvPr id="11" name="Chart 253">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66</xdr:col>
      <xdr:colOff>544285</xdr:colOff>
      <xdr:row>7</xdr:row>
      <xdr:rowOff>90714</xdr:rowOff>
    </xdr:from>
    <xdr:ext cx="27765" cy="199927"/>
    <xdr:sp macro="" textlink="">
      <xdr:nvSpPr>
        <xdr:cNvPr id="12" name="TextBox 11">
          <a:extLst>
            <a:ext uri="{FF2B5EF4-FFF2-40B4-BE49-F238E27FC236}">
              <a16:creationId xmlns:a16="http://schemas.microsoft.com/office/drawing/2014/main" id="{00000000-0008-0000-0500-00000C000000}"/>
            </a:ext>
          </a:extLst>
        </xdr:cNvPr>
        <xdr:cNvSpPr txBox="1"/>
      </xdr:nvSpPr>
      <xdr:spPr bwMode="auto">
        <a:xfrm>
          <a:off x="34299071" y="1796143"/>
          <a:ext cx="27765" cy="199927"/>
        </a:xfrm>
        <a:prstGeom prst="rect">
          <a:avLst/>
        </a:prstGeom>
        <a:noFill/>
        <a:ln w="9525">
          <a:noFill/>
          <a:miter lim="800000"/>
          <a:headEnd/>
          <a:tailEnd/>
        </a:ln>
      </xdr:spPr>
      <xdr:txBody>
        <a:bodyPr vertOverflow="clip" horzOverflow="clip" wrap="none" lIns="27432" tIns="27432" rIns="0" bIns="0" rtlCol="0" anchor="t" upright="1">
          <a:spAutoFit/>
        </a:bodyPr>
        <a:lstStyle/>
        <a:p>
          <a:pPr algn="l" rtl="0"/>
          <a:endParaRPr lang="en-US" sz="1100" b="0" i="0" strike="noStrike">
            <a:solidFill>
              <a:srgbClr val="000000"/>
            </a:solidFill>
            <a:latin typeface="Calibri"/>
          </a:endParaRPr>
        </a:p>
      </xdr:txBody>
    </xdr:sp>
    <xdr:clientData/>
  </xdr:oneCellAnchor>
  <xdr:oneCellAnchor>
    <xdr:from>
      <xdr:col>58</xdr:col>
      <xdr:colOff>244929</xdr:colOff>
      <xdr:row>0</xdr:row>
      <xdr:rowOff>36286</xdr:rowOff>
    </xdr:from>
    <xdr:ext cx="2502480" cy="544380"/>
    <xdr:sp macro="" textlink="">
      <xdr:nvSpPr>
        <xdr:cNvPr id="13" name="TextBox 12">
          <a:extLst>
            <a:ext uri="{FF2B5EF4-FFF2-40B4-BE49-F238E27FC236}">
              <a16:creationId xmlns:a16="http://schemas.microsoft.com/office/drawing/2014/main" id="{00000000-0008-0000-0500-00000D000000}"/>
            </a:ext>
          </a:extLst>
        </xdr:cNvPr>
        <xdr:cNvSpPr txBox="1"/>
      </xdr:nvSpPr>
      <xdr:spPr bwMode="auto">
        <a:xfrm>
          <a:off x="29282572" y="36286"/>
          <a:ext cx="2502480" cy="544380"/>
        </a:xfrm>
        <a:prstGeom prst="rect">
          <a:avLst/>
        </a:prstGeom>
        <a:solidFill>
          <a:srgbClr val="FFFF66"/>
        </a:solidFill>
        <a:ln w="9525">
          <a:noFill/>
          <a:miter lim="800000"/>
          <a:headEnd/>
          <a:tailEnd/>
        </a:ln>
      </xdr:spPr>
      <xdr:txBody>
        <a:bodyPr vertOverflow="clip" horzOverflow="clip" wrap="none" lIns="27432" tIns="27432" rIns="0" bIns="0" rtlCol="0" anchor="t" upright="1">
          <a:spAutoFit/>
        </a:bodyPr>
        <a:lstStyle/>
        <a:p>
          <a:pPr rtl="0"/>
          <a:r>
            <a:rPr lang="en-US" sz="1100" b="1" i="0">
              <a:solidFill>
                <a:srgbClr val="FF0000"/>
              </a:solidFill>
              <a:effectLst/>
              <a:latin typeface="+mn-lt"/>
              <a:ea typeface="+mn-ea"/>
              <a:cs typeface="+mn-cs"/>
            </a:rPr>
            <a:t>31JUL2024</a:t>
          </a:r>
          <a:endParaRPr lang="en-US">
            <a:solidFill>
              <a:srgbClr val="FF0000"/>
            </a:solidFill>
            <a:effectLst/>
          </a:endParaRPr>
        </a:p>
        <a:p>
          <a:pPr rtl="0"/>
          <a:r>
            <a:rPr lang="en-US" sz="1100" b="0" i="0">
              <a:solidFill>
                <a:srgbClr val="FF0000"/>
              </a:solidFill>
              <a:effectLst/>
              <a:latin typeface="+mn-lt"/>
              <a:ea typeface="+mn-ea"/>
              <a:cs typeface="+mn-cs"/>
            </a:rPr>
            <a:t>FET Qg loss is using VIN instead of 5V VDD</a:t>
          </a:r>
          <a:r>
            <a:rPr lang="en-US" sz="1100" b="0" i="0">
              <a:effectLst/>
              <a:latin typeface="+mn-lt"/>
              <a:ea typeface="+mn-ea"/>
              <a:cs typeface="+mn-cs"/>
            </a:rPr>
            <a:t>. </a:t>
          </a:r>
          <a:endParaRPr lang="en-US">
            <a:effectLst/>
          </a:endParaRPr>
        </a:p>
        <a:p>
          <a:pPr algn="l" rtl="0"/>
          <a:endParaRPr lang="en-US" sz="1100" b="0" i="0" strike="noStrike">
            <a:solidFill>
              <a:srgbClr val="000000"/>
            </a:solidFill>
            <a:latin typeface="Calibri"/>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15240</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7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15240</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7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15240</xdr:rowOff>
        </xdr:from>
        <xdr:to>
          <xdr:col>6</xdr:col>
          <xdr:colOff>876300</xdr:colOff>
          <xdr:row>40</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7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46</xdr:row>
          <xdr:rowOff>15240</xdr:rowOff>
        </xdr:from>
        <xdr:to>
          <xdr:col>6</xdr:col>
          <xdr:colOff>876300</xdr:colOff>
          <xdr:row>47</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7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15240</xdr:rowOff>
        </xdr:from>
        <xdr:to>
          <xdr:col>6</xdr:col>
          <xdr:colOff>876300</xdr:colOff>
          <xdr:row>42</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7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15240</xdr:rowOff>
        </xdr:from>
        <xdr:to>
          <xdr:col>6</xdr:col>
          <xdr:colOff>876300</xdr:colOff>
          <xdr:row>41</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7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15240</xdr:rowOff>
        </xdr:from>
        <xdr:to>
          <xdr:col>6</xdr:col>
          <xdr:colOff>876300</xdr:colOff>
          <xdr:row>46</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7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15240</xdr:rowOff>
        </xdr:from>
        <xdr:to>
          <xdr:col>6</xdr:col>
          <xdr:colOff>876300</xdr:colOff>
          <xdr:row>48</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7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48</xdr:row>
          <xdr:rowOff>15240</xdr:rowOff>
        </xdr:from>
        <xdr:to>
          <xdr:col>6</xdr:col>
          <xdr:colOff>876300</xdr:colOff>
          <xdr:row>49</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7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49</xdr:row>
          <xdr:rowOff>15240</xdr:rowOff>
        </xdr:from>
        <xdr:to>
          <xdr:col>6</xdr:col>
          <xdr:colOff>876300</xdr:colOff>
          <xdr:row>50</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7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15240</xdr:rowOff>
        </xdr:from>
        <xdr:to>
          <xdr:col>6</xdr:col>
          <xdr:colOff>876300</xdr:colOff>
          <xdr:row>39</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7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15240</xdr:rowOff>
        </xdr:from>
        <xdr:to>
          <xdr:col>6</xdr:col>
          <xdr:colOff>876300</xdr:colOff>
          <xdr:row>54</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7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700-00004D000000}"/>
                </a:ext>
              </a:extLst>
            </xdr:cNvPr>
            <xdr:cNvPicPr>
              <a:picLocks noChangeAspect="1" noChangeArrowheads="1"/>
              <a:extLst>
                <a:ext uri="{84589F7E-364E-4C9E-8A38-B11213B215E9}">
                  <a14:cameraTool cellRange="PICTURE1" spid="_x0000_s764776"/>
                </a:ext>
              </a:extLst>
            </xdr:cNvPicPr>
          </xdr:nvPicPr>
          <xdr:blipFill>
            <a:blip xmlns:r="http://schemas.openxmlformats.org/officeDocument/2006/relationships" r:embed="rId1"/>
            <a:srcRect/>
            <a:stretch>
              <a:fillRect/>
            </a:stretch>
          </xdr:blipFill>
          <xdr:spPr bwMode="auto">
            <a:xfrm>
              <a:off x="370999" y="95250"/>
              <a:ext cx="7638131" cy="4153008"/>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5</xdr:col>
      <xdr:colOff>368904</xdr:colOff>
      <xdr:row>7</xdr:row>
      <xdr:rowOff>122225</xdr:rowOff>
    </xdr:from>
    <xdr:to>
      <xdr:col>5</xdr:col>
      <xdr:colOff>915363</xdr:colOff>
      <xdr:row>8</xdr:row>
      <xdr:rowOff>143465</xdr:rowOff>
    </xdr:to>
    <xdr:sp macro="" textlink="'Variable Mgmt'!B245">
      <xdr:nvSpPr>
        <xdr:cNvPr id="79" name="Text Box 267">
          <a:extLst>
            <a:ext uri="{FF2B5EF4-FFF2-40B4-BE49-F238E27FC236}">
              <a16:creationId xmlns:a16="http://schemas.microsoft.com/office/drawing/2014/main" id="{00000000-0008-0000-0700-00004F000000}"/>
            </a:ext>
          </a:extLst>
        </xdr:cNvPr>
        <xdr:cNvSpPr txBox="1">
          <a:spLocks noChangeArrowheads="1" noTextEdit="1"/>
        </xdr:cNvSpPr>
      </xdr:nvSpPr>
      <xdr:spPr bwMode="auto">
        <a:xfrm>
          <a:off x="5395173" y="1250571"/>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700" b="0" i="0" u="none" strike="noStrike" baseline="0">
              <a:solidFill>
                <a:srgbClr val="000000"/>
              </a:solidFill>
              <a:latin typeface="Arial" pitchFamily="34" charset="0"/>
              <a:cs typeface="Arial" pitchFamily="34" charset="0"/>
            </a:rPr>
            <a:pPr algn="l" rtl="0">
              <a:defRPr sz="1000"/>
            </a:pPr>
            <a:t>6µF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593597</xdr:colOff>
      <xdr:row>7</xdr:row>
      <xdr:rowOff>47526</xdr:rowOff>
    </xdr:from>
    <xdr:to>
      <xdr:col>1</xdr:col>
      <xdr:colOff>433231</xdr:colOff>
      <xdr:row>8</xdr:row>
      <xdr:rowOff>83672</xdr:rowOff>
    </xdr:to>
    <xdr:sp macro="" textlink="'Variable Mgmt'!B250">
      <xdr:nvSpPr>
        <xdr:cNvPr id="81" name="Text Box 276">
          <a:extLst>
            <a:ext uri="{FF2B5EF4-FFF2-40B4-BE49-F238E27FC236}">
              <a16:creationId xmlns:a16="http://schemas.microsoft.com/office/drawing/2014/main" id="{00000000-0008-0000-0700-000051000000}"/>
            </a:ext>
          </a:extLst>
        </xdr:cNvPr>
        <xdr:cNvSpPr txBox="1">
          <a:spLocks noChangeArrowheads="1" noTextEdit="1"/>
        </xdr:cNvSpPr>
      </xdr:nvSpPr>
      <xdr:spPr bwMode="auto">
        <a:xfrm>
          <a:off x="593597" y="1175872"/>
          <a:ext cx="508826" cy="197338"/>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700" b="0" i="0" u="none" strike="noStrike" baseline="0">
              <a:solidFill>
                <a:srgbClr val="000000"/>
              </a:solidFill>
              <a:latin typeface="Arial" pitchFamily="34" charset="0"/>
              <a:cs typeface="Arial" pitchFamily="34" charset="0"/>
            </a:rPr>
            <a:pPr algn="ctr" rtl="0">
              <a:defRPr sz="1000"/>
            </a:pPr>
            <a:t>120µF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198843</xdr:colOff>
      <xdr:row>21</xdr:row>
      <xdr:rowOff>104015</xdr:rowOff>
    </xdr:from>
    <xdr:to>
      <xdr:col>2</xdr:col>
      <xdr:colOff>642811</xdr:colOff>
      <xdr:row>23</xdr:row>
      <xdr:rowOff>62417</xdr:rowOff>
    </xdr:to>
    <xdr:sp macro="" textlink="'Variable Mgmt'!D277">
      <xdr:nvSpPr>
        <xdr:cNvPr id="82" name="Text Box 281">
          <a:extLst>
            <a:ext uri="{FF2B5EF4-FFF2-40B4-BE49-F238E27FC236}">
              <a16:creationId xmlns:a16="http://schemas.microsoft.com/office/drawing/2014/main" id="{00000000-0008-0000-0700-000052000000}"/>
            </a:ext>
          </a:extLst>
        </xdr:cNvPr>
        <xdr:cNvSpPr txBox="1">
          <a:spLocks noChangeArrowheads="1" noTextEdit="1"/>
        </xdr:cNvSpPr>
      </xdr:nvSpPr>
      <xdr:spPr bwMode="auto">
        <a:xfrm>
          <a:off x="1599018" y="3504440"/>
          <a:ext cx="443968" cy="282252"/>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1100" b="0" i="0" u="none" strike="noStrike">
              <a:solidFill>
                <a:srgbClr val="000000"/>
              </a:solidFill>
              <a:latin typeface="Arial"/>
              <a:cs typeface="Arial"/>
            </a:rPr>
            <a:pPr algn="l" rtl="0">
              <a:defRPr sz="1000"/>
            </a:pPr>
            <a:t>100nF</a:t>
          </a:fld>
          <a:endParaRPr lang="en-US" sz="1100" b="0" i="0" strike="noStrike">
            <a:solidFill>
              <a:srgbClr val="000000"/>
            </a:solidFill>
            <a:latin typeface="Arial" pitchFamily="34" charset="0"/>
            <a:cs typeface="Arial" pitchFamily="34" charset="0"/>
          </a:endParaRPr>
        </a:p>
      </xdr:txBody>
    </xdr:sp>
    <xdr:clientData/>
  </xdr:twoCellAnchor>
  <xdr:twoCellAnchor>
    <xdr:from>
      <xdr:col>0</xdr:col>
      <xdr:colOff>457270</xdr:colOff>
      <xdr:row>2</xdr:row>
      <xdr:rowOff>59911</xdr:rowOff>
    </xdr:from>
    <xdr:to>
      <xdr:col>1</xdr:col>
      <xdr:colOff>331622</xdr:colOff>
      <xdr:row>5</xdr:row>
      <xdr:rowOff>32971</xdr:rowOff>
    </xdr:to>
    <xdr:sp macro="" textlink="'Variable Mgmt'!B237">
      <xdr:nvSpPr>
        <xdr:cNvPr id="85" name="Text Box 283">
          <a:extLst>
            <a:ext uri="{FF2B5EF4-FFF2-40B4-BE49-F238E27FC236}">
              <a16:creationId xmlns:a16="http://schemas.microsoft.com/office/drawing/2014/main" id="{00000000-0008-0000-0700-000055000000}"/>
            </a:ext>
          </a:extLst>
        </xdr:cNvPr>
        <xdr:cNvSpPr txBox="1">
          <a:spLocks noChangeArrowheads="1" noTextEdit="1"/>
        </xdr:cNvSpPr>
      </xdr:nvSpPr>
      <xdr:spPr bwMode="auto">
        <a:xfrm>
          <a:off x="457270" y="382296"/>
          <a:ext cx="543544" cy="45663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000" b="1" i="0" u="none" strike="noStrike">
              <a:solidFill>
                <a:srgbClr val="FF0000"/>
              </a:solidFill>
              <a:latin typeface="Arial" pitchFamily="34" charset="0"/>
              <a:cs typeface="Arial" pitchFamily="34" charset="0"/>
            </a:rPr>
            <a:pPr algn="r" rtl="0">
              <a:defRPr sz="1000"/>
            </a:pPr>
            <a:t>12V</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132244</xdr:colOff>
      <xdr:row>3</xdr:row>
      <xdr:rowOff>3197</xdr:rowOff>
    </xdr:from>
    <xdr:to>
      <xdr:col>7</xdr:col>
      <xdr:colOff>798638</xdr:colOff>
      <xdr:row>5</xdr:row>
      <xdr:rowOff>25976</xdr:rowOff>
    </xdr:to>
    <xdr:sp macro="" textlink="'Variable Mgmt'!B240">
      <xdr:nvSpPr>
        <xdr:cNvPr id="87" name="Text Box 285">
          <a:extLst>
            <a:ext uri="{FF2B5EF4-FFF2-40B4-BE49-F238E27FC236}">
              <a16:creationId xmlns:a16="http://schemas.microsoft.com/office/drawing/2014/main" id="{00000000-0008-0000-0700-000057000000}"/>
            </a:ext>
          </a:extLst>
        </xdr:cNvPr>
        <xdr:cNvSpPr txBox="1">
          <a:spLocks noChangeArrowheads="1" noTextEdit="1"/>
        </xdr:cNvSpPr>
      </xdr:nvSpPr>
      <xdr:spPr bwMode="auto">
        <a:xfrm>
          <a:off x="7234475" y="486774"/>
          <a:ext cx="666394" cy="345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000" b="1" i="0" u="none" strike="noStrike" baseline="0">
              <a:solidFill>
                <a:srgbClr val="FF0000"/>
              </a:solidFill>
              <a:latin typeface="Arial" pitchFamily="34" charset="0"/>
              <a:cs typeface="Arial" pitchFamily="34" charset="0"/>
            </a:rPr>
            <a:pPr algn="l" rtl="0">
              <a:defRPr sz="1000"/>
            </a:pPr>
            <a:t>170V</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1117426</xdr:colOff>
      <xdr:row>4</xdr:row>
      <xdr:rowOff>112611</xdr:rowOff>
    </xdr:from>
    <xdr:to>
      <xdr:col>7</xdr:col>
      <xdr:colOff>541529</xdr:colOff>
      <xdr:row>6</xdr:row>
      <xdr:rowOff>93051</xdr:rowOff>
    </xdr:to>
    <xdr:sp macro="" textlink="'Variable Mgmt'!B295">
      <xdr:nvSpPr>
        <xdr:cNvPr id="88" name="Text Box 286">
          <a:extLst>
            <a:ext uri="{FF2B5EF4-FFF2-40B4-BE49-F238E27FC236}">
              <a16:creationId xmlns:a16="http://schemas.microsoft.com/office/drawing/2014/main" id="{00000000-0008-0000-0700-000058000000}"/>
            </a:ext>
          </a:extLst>
        </xdr:cNvPr>
        <xdr:cNvSpPr txBox="1">
          <a:spLocks noChangeArrowheads="1" noTextEdit="1"/>
        </xdr:cNvSpPr>
      </xdr:nvSpPr>
      <xdr:spPr bwMode="auto">
        <a:xfrm>
          <a:off x="7091311" y="757380"/>
          <a:ext cx="552449"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0.5A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217360</xdr:colOff>
      <xdr:row>7</xdr:row>
      <xdr:rowOff>99362</xdr:rowOff>
    </xdr:from>
    <xdr:to>
      <xdr:col>2</xdr:col>
      <xdr:colOff>742058</xdr:colOff>
      <xdr:row>9</xdr:row>
      <xdr:rowOff>29041</xdr:rowOff>
    </xdr:to>
    <xdr:sp macro="" textlink="'Variable Mgmt'!C269">
      <xdr:nvSpPr>
        <xdr:cNvPr id="92" name="Text Box 268">
          <a:extLst>
            <a:ext uri="{FF2B5EF4-FFF2-40B4-BE49-F238E27FC236}">
              <a16:creationId xmlns:a16="http://schemas.microsoft.com/office/drawing/2014/main" id="{00000000-0008-0000-0700-00005C000000}"/>
            </a:ext>
          </a:extLst>
        </xdr:cNvPr>
        <xdr:cNvSpPr txBox="1">
          <a:spLocks noChangeArrowheads="1" noTextEdit="1"/>
        </xdr:cNvSpPr>
      </xdr:nvSpPr>
      <xdr:spPr bwMode="auto">
        <a:xfrm>
          <a:off x="1617535" y="1232837"/>
          <a:ext cx="524698" cy="253529"/>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1000" b="0" i="0" u="none" strike="noStrike">
              <a:solidFill>
                <a:srgbClr val="000000"/>
              </a:solidFill>
              <a:latin typeface="Arial"/>
              <a:cs typeface="Arial"/>
            </a:rPr>
            <a:pPr algn="l" rtl="0">
              <a:defRPr sz="1000"/>
            </a:pPr>
            <a:t>43.2kΩ</a:t>
          </a:fld>
          <a:endParaRPr lang="el-GR" sz="1000" b="0" i="0" strike="noStrike">
            <a:solidFill>
              <a:srgbClr val="000000"/>
            </a:solidFill>
            <a:latin typeface="Arial" pitchFamily="34" charset="0"/>
            <a:cs typeface="Arial" pitchFamily="34" charset="0"/>
          </a:endParaRPr>
        </a:p>
      </xdr:txBody>
    </xdr:sp>
    <xdr:clientData/>
  </xdr:twoCellAnchor>
  <xdr:twoCellAnchor>
    <xdr:from>
      <xdr:col>2</xdr:col>
      <xdr:colOff>198310</xdr:colOff>
      <xdr:row>13</xdr:row>
      <xdr:rowOff>137646</xdr:rowOff>
    </xdr:from>
    <xdr:to>
      <xdr:col>2</xdr:col>
      <xdr:colOff>723008</xdr:colOff>
      <xdr:row>15</xdr:row>
      <xdr:rowOff>31908</xdr:rowOff>
    </xdr:to>
    <xdr:sp macro="" textlink="'Variable Mgmt'!C270">
      <xdr:nvSpPr>
        <xdr:cNvPr id="93" name="Text Box 268">
          <a:extLst>
            <a:ext uri="{FF2B5EF4-FFF2-40B4-BE49-F238E27FC236}">
              <a16:creationId xmlns:a16="http://schemas.microsoft.com/office/drawing/2014/main" id="{00000000-0008-0000-0700-00005D000000}"/>
            </a:ext>
          </a:extLst>
        </xdr:cNvPr>
        <xdr:cNvSpPr txBox="1">
          <a:spLocks noChangeArrowheads="1" noTextEdit="1"/>
        </xdr:cNvSpPr>
      </xdr:nvSpPr>
      <xdr:spPr bwMode="auto">
        <a:xfrm>
          <a:off x="1598485" y="2242671"/>
          <a:ext cx="524698" cy="218112"/>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1000" b="0" i="0" u="none" strike="noStrike">
              <a:solidFill>
                <a:srgbClr val="000000"/>
              </a:solidFill>
              <a:latin typeface="Arial"/>
              <a:cs typeface="Arial"/>
            </a:rPr>
            <a:pPr algn="l" rtl="0">
              <a:defRPr sz="1000"/>
            </a:pPr>
            <a:t>9.31kΩ</a:t>
          </a:fld>
          <a:endParaRPr lang="el-GR" sz="1000" b="0" i="0" strike="noStrike">
            <a:solidFill>
              <a:srgbClr val="000000"/>
            </a:solidFill>
            <a:latin typeface="Arial" pitchFamily="34" charset="0"/>
            <a:cs typeface="Arial" pitchFamily="34" charset="0"/>
          </a:endParaRPr>
        </a:p>
      </xdr:txBody>
    </xdr:sp>
    <xdr:clientData/>
  </xdr:twoCellAnchor>
  <xdr:twoCellAnchor>
    <xdr:from>
      <xdr:col>3</xdr:col>
      <xdr:colOff>874674</xdr:colOff>
      <xdr:row>11</xdr:row>
      <xdr:rowOff>122026</xdr:rowOff>
    </xdr:from>
    <xdr:to>
      <xdr:col>4</xdr:col>
      <xdr:colOff>38961</xdr:colOff>
      <xdr:row>13</xdr:row>
      <xdr:rowOff>43406</xdr:rowOff>
    </xdr:to>
    <xdr:sp macro="" textlink="'Variable Mgmt'!C259">
      <xdr:nvSpPr>
        <xdr:cNvPr id="94" name="Text Box 268">
          <a:extLst>
            <a:ext uri="{FF2B5EF4-FFF2-40B4-BE49-F238E27FC236}">
              <a16:creationId xmlns:a16="http://schemas.microsoft.com/office/drawing/2014/main" id="{00000000-0008-0000-0700-00005E000000}"/>
            </a:ext>
          </a:extLst>
        </xdr:cNvPr>
        <xdr:cNvSpPr txBox="1">
          <a:spLocks noChangeArrowheads="1" noTextEdit="1"/>
        </xdr:cNvSpPr>
      </xdr:nvSpPr>
      <xdr:spPr bwMode="auto">
        <a:xfrm>
          <a:off x="3282789" y="1895141"/>
          <a:ext cx="575941" cy="24376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700" b="0" i="0" u="none" strike="noStrike">
              <a:solidFill>
                <a:srgbClr val="000000"/>
              </a:solidFill>
              <a:latin typeface="Arial"/>
              <a:cs typeface="Arial"/>
            </a:rPr>
            <a:pPr algn="l" rtl="0">
              <a:defRPr sz="1000"/>
            </a:pPr>
            <a:t>84.5kΩ</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35816</xdr:colOff>
      <xdr:row>13</xdr:row>
      <xdr:rowOff>84072</xdr:rowOff>
    </xdr:from>
    <xdr:to>
      <xdr:col>2</xdr:col>
      <xdr:colOff>550300</xdr:colOff>
      <xdr:row>14</xdr:row>
      <xdr:rowOff>123568</xdr:rowOff>
    </xdr:to>
    <xdr:sp macro="" textlink="'Variable Mgmt'!C273">
      <xdr:nvSpPr>
        <xdr:cNvPr id="95" name="Text Box 265">
          <a:extLst>
            <a:ext uri="{FF2B5EF4-FFF2-40B4-BE49-F238E27FC236}">
              <a16:creationId xmlns:a16="http://schemas.microsoft.com/office/drawing/2014/main" id="{00000000-0008-0000-0700-00005F000000}"/>
            </a:ext>
          </a:extLst>
        </xdr:cNvPr>
        <xdr:cNvSpPr txBox="1">
          <a:spLocks noChangeArrowheads="1" noTextEdit="1"/>
        </xdr:cNvSpPr>
      </xdr:nvSpPr>
      <xdr:spPr bwMode="auto">
        <a:xfrm>
          <a:off x="1506085" y="2179572"/>
          <a:ext cx="514484" cy="200688"/>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700" b="0" i="0" u="none" strike="noStrike" baseline="0">
              <a:solidFill>
                <a:srgbClr val="000000"/>
              </a:solidFill>
              <a:latin typeface="Arial"/>
              <a:cs typeface="Arial"/>
            </a:rPr>
            <a:pPr algn="l" rtl="0">
              <a:defRPr sz="1000"/>
            </a:pPr>
            <a:t>10kΩ</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376115</xdr:colOff>
      <xdr:row>5</xdr:row>
      <xdr:rowOff>94589</xdr:rowOff>
    </xdr:from>
    <xdr:to>
      <xdr:col>1</xdr:col>
      <xdr:colOff>490993</xdr:colOff>
      <xdr:row>7</xdr:row>
      <xdr:rowOff>60080</xdr:rowOff>
    </xdr:to>
    <xdr:sp macro="" textlink="'Variable Mgmt'!B238">
      <xdr:nvSpPr>
        <xdr:cNvPr id="96" name="Text Box 283">
          <a:extLst>
            <a:ext uri="{FF2B5EF4-FFF2-40B4-BE49-F238E27FC236}">
              <a16:creationId xmlns:a16="http://schemas.microsoft.com/office/drawing/2014/main" id="{00000000-0008-0000-0700-000060000000}"/>
            </a:ext>
          </a:extLst>
        </xdr:cNvPr>
        <xdr:cNvSpPr txBox="1">
          <a:spLocks noChangeArrowheads="1" noTextEdit="1"/>
        </xdr:cNvSpPr>
      </xdr:nvSpPr>
      <xdr:spPr bwMode="auto">
        <a:xfrm>
          <a:off x="376115" y="900551"/>
          <a:ext cx="784070" cy="287875"/>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800" b="1" i="0" u="none" strike="noStrike">
              <a:solidFill>
                <a:srgbClr val="000000"/>
              </a:solidFill>
              <a:latin typeface="Arial"/>
              <a:cs typeface="Arial"/>
            </a:rPr>
            <a:pPr algn="ctr" rtl="0">
              <a:defRPr sz="1000"/>
            </a:pPr>
            <a:t>9V...16V</a:t>
          </a:fld>
          <a:endParaRPr lang="en-US" sz="800" b="1" i="0" strike="noStrike">
            <a:solidFill>
              <a:srgbClr val="000000"/>
            </a:solidFill>
            <a:latin typeface="Arial" pitchFamily="34" charset="0"/>
            <a:cs typeface="Arial" pitchFamily="34" charset="0"/>
          </a:endParaRPr>
        </a:p>
      </xdr:txBody>
    </xdr:sp>
    <xdr:clientData/>
  </xdr:twoCellAnchor>
  <xdr:twoCellAnchor>
    <xdr:from>
      <xdr:col>4</xdr:col>
      <xdr:colOff>679229</xdr:colOff>
      <xdr:row>18</xdr:row>
      <xdr:rowOff>149860</xdr:rowOff>
    </xdr:from>
    <xdr:to>
      <xdr:col>4</xdr:col>
      <xdr:colOff>1010101</xdr:colOff>
      <xdr:row>20</xdr:row>
      <xdr:rowOff>77900</xdr:rowOff>
    </xdr:to>
    <xdr:sp macro="" textlink="'Variable Mgmt'!C265">
      <xdr:nvSpPr>
        <xdr:cNvPr id="97" name="Text Box 225">
          <a:extLst>
            <a:ext uri="{FF2B5EF4-FFF2-40B4-BE49-F238E27FC236}">
              <a16:creationId xmlns:a16="http://schemas.microsoft.com/office/drawing/2014/main" id="{00000000-0008-0000-0700-000061000000}"/>
            </a:ext>
          </a:extLst>
        </xdr:cNvPr>
        <xdr:cNvSpPr txBox="1">
          <a:spLocks noChangeArrowheads="1"/>
        </xdr:cNvSpPr>
      </xdr:nvSpPr>
      <xdr:spPr bwMode="auto">
        <a:xfrm>
          <a:off x="4317779" y="3064510"/>
          <a:ext cx="330872" cy="251890"/>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 </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4</xdr:col>
      <xdr:colOff>631623</xdr:colOff>
      <xdr:row>20</xdr:row>
      <xdr:rowOff>71205</xdr:rowOff>
    </xdr:from>
    <xdr:to>
      <xdr:col>4</xdr:col>
      <xdr:colOff>1147003</xdr:colOff>
      <xdr:row>21</xdr:row>
      <xdr:rowOff>142012</xdr:rowOff>
    </xdr:to>
    <xdr:sp macro="" textlink="'Variable Mgmt'!B265">
      <xdr:nvSpPr>
        <xdr:cNvPr id="98" name="Text Box 268">
          <a:extLst>
            <a:ext uri="{FF2B5EF4-FFF2-40B4-BE49-F238E27FC236}">
              <a16:creationId xmlns:a16="http://schemas.microsoft.com/office/drawing/2014/main" id="{00000000-0008-0000-0700-000062000000}"/>
            </a:ext>
          </a:extLst>
        </xdr:cNvPr>
        <xdr:cNvSpPr txBox="1">
          <a:spLocks noChangeArrowheads="1" noTextEdit="1"/>
        </xdr:cNvSpPr>
      </xdr:nvSpPr>
      <xdr:spPr bwMode="auto">
        <a:xfrm>
          <a:off x="4270173" y="3309705"/>
          <a:ext cx="515380" cy="23273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1100" b="0" i="0" u="none" strike="noStrike">
              <a:solidFill>
                <a:srgbClr val="000000"/>
              </a:solidFill>
              <a:latin typeface="Arial"/>
              <a:cs typeface="Arial"/>
            </a:rPr>
            <a:pPr algn="l" rtl="0">
              <a:defRPr sz="1000"/>
            </a:pPr>
            <a:t> </a:t>
          </a:fld>
          <a:endParaRPr lang="el-GR" sz="1100" b="0" i="0" strike="noStrike">
            <a:solidFill>
              <a:srgbClr val="000000"/>
            </a:solidFill>
            <a:latin typeface="Arial" pitchFamily="34" charset="0"/>
            <a:cs typeface="Arial" pitchFamily="34" charset="0"/>
          </a:endParaRPr>
        </a:p>
      </xdr:txBody>
    </xdr:sp>
    <xdr:clientData/>
  </xdr:twoCellAnchor>
  <xdr:twoCellAnchor>
    <xdr:from>
      <xdr:col>2</xdr:col>
      <xdr:colOff>237557</xdr:colOff>
      <xdr:row>6</xdr:row>
      <xdr:rowOff>57806</xdr:rowOff>
    </xdr:from>
    <xdr:to>
      <xdr:col>2</xdr:col>
      <xdr:colOff>639607</xdr:colOff>
      <xdr:row>7</xdr:row>
      <xdr:rowOff>125922</xdr:rowOff>
    </xdr:to>
    <xdr:sp macro="" textlink="'Variable Mgmt'!C268">
      <xdr:nvSpPr>
        <xdr:cNvPr id="99" name="Text Box 264">
          <a:extLst>
            <a:ext uri="{FF2B5EF4-FFF2-40B4-BE49-F238E27FC236}">
              <a16:creationId xmlns:a16="http://schemas.microsoft.com/office/drawing/2014/main" id="{00000000-0008-0000-0700-000063000000}"/>
            </a:ext>
          </a:extLst>
        </xdr:cNvPr>
        <xdr:cNvSpPr txBox="1">
          <a:spLocks noChangeArrowheads="1" noTextEdit="1"/>
        </xdr:cNvSpPr>
      </xdr:nvSpPr>
      <xdr:spPr bwMode="auto">
        <a:xfrm>
          <a:off x="1637732" y="1029356"/>
          <a:ext cx="402050" cy="230041"/>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237557</xdr:colOff>
      <xdr:row>12</xdr:row>
      <xdr:rowOff>115234</xdr:rowOff>
    </xdr:from>
    <xdr:to>
      <xdr:col>2</xdr:col>
      <xdr:colOff>661587</xdr:colOff>
      <xdr:row>13</xdr:row>
      <xdr:rowOff>135750</xdr:rowOff>
    </xdr:to>
    <xdr:sp macro="" textlink="'Variable Mgmt'!D268">
      <xdr:nvSpPr>
        <xdr:cNvPr id="100" name="Text Box 264">
          <a:extLst>
            <a:ext uri="{FF2B5EF4-FFF2-40B4-BE49-F238E27FC236}">
              <a16:creationId xmlns:a16="http://schemas.microsoft.com/office/drawing/2014/main" id="{00000000-0008-0000-0700-000064000000}"/>
            </a:ext>
          </a:extLst>
        </xdr:cNvPr>
        <xdr:cNvSpPr txBox="1">
          <a:spLocks noChangeArrowheads="1" noTextEdit="1"/>
        </xdr:cNvSpPr>
      </xdr:nvSpPr>
      <xdr:spPr bwMode="auto">
        <a:xfrm>
          <a:off x="1637732" y="2058334"/>
          <a:ext cx="424030" cy="182441"/>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216427</xdr:colOff>
      <xdr:row>20</xdr:row>
      <xdr:rowOff>331</xdr:rowOff>
    </xdr:from>
    <xdr:to>
      <xdr:col>2</xdr:col>
      <xdr:colOff>660395</xdr:colOff>
      <xdr:row>22</xdr:row>
      <xdr:rowOff>12593</xdr:rowOff>
    </xdr:to>
    <xdr:sp macro="" textlink="'Variable Mgmt'!C278">
      <xdr:nvSpPr>
        <xdr:cNvPr id="101" name="Text Box 281">
          <a:extLst>
            <a:ext uri="{FF2B5EF4-FFF2-40B4-BE49-F238E27FC236}">
              <a16:creationId xmlns:a16="http://schemas.microsoft.com/office/drawing/2014/main" id="{00000000-0008-0000-0700-000065000000}"/>
            </a:ext>
          </a:extLst>
        </xdr:cNvPr>
        <xdr:cNvSpPr txBox="1">
          <a:spLocks noChangeArrowheads="1" noTextEdit="1"/>
        </xdr:cNvSpPr>
      </xdr:nvSpPr>
      <xdr:spPr bwMode="auto">
        <a:xfrm>
          <a:off x="1616602" y="3238831"/>
          <a:ext cx="443968" cy="336112"/>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xdr:from>
      <xdr:col>7</xdr:col>
      <xdr:colOff>288063</xdr:colOff>
      <xdr:row>11</xdr:row>
      <xdr:rowOff>136547</xdr:rowOff>
    </xdr:from>
    <xdr:to>
      <xdr:col>7</xdr:col>
      <xdr:colOff>954457</xdr:colOff>
      <xdr:row>13</xdr:row>
      <xdr:rowOff>159326</xdr:rowOff>
    </xdr:to>
    <xdr:sp macro="" textlink="'Variable Mgmt'!B241">
      <xdr:nvSpPr>
        <xdr:cNvPr id="128" name="Text Box 285">
          <a:extLst>
            <a:ext uri="{FF2B5EF4-FFF2-40B4-BE49-F238E27FC236}">
              <a16:creationId xmlns:a16="http://schemas.microsoft.com/office/drawing/2014/main" id="{00000000-0008-0000-0700-000080000000}"/>
            </a:ext>
          </a:extLst>
        </xdr:cNvPr>
        <xdr:cNvSpPr txBox="1">
          <a:spLocks noChangeArrowheads="1" noTextEdit="1"/>
        </xdr:cNvSpPr>
      </xdr:nvSpPr>
      <xdr:spPr bwMode="auto">
        <a:xfrm>
          <a:off x="7060338" y="191772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000" b="1" i="0" u="none" strike="noStrike" baseline="0">
              <a:solidFill>
                <a:srgbClr val="FF0000"/>
              </a:solidFill>
              <a:latin typeface="Arial"/>
              <a:cs typeface="Arial"/>
            </a:rPr>
            <a:pPr algn="l" rtl="0">
              <a:defRPr sz="1000"/>
            </a:pPr>
            <a:t>12V</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7</xdr:col>
      <xdr:colOff>133350</xdr:colOff>
      <xdr:row>13</xdr:row>
      <xdr:rowOff>74511</xdr:rowOff>
    </xdr:from>
    <xdr:to>
      <xdr:col>7</xdr:col>
      <xdr:colOff>733425</xdr:colOff>
      <xdr:row>15</xdr:row>
      <xdr:rowOff>54951</xdr:rowOff>
    </xdr:to>
    <xdr:sp macro="" textlink="'Variable Mgmt'!B296">
      <xdr:nvSpPr>
        <xdr:cNvPr id="129" name="Text Box 286">
          <a:extLst>
            <a:ext uri="{FF2B5EF4-FFF2-40B4-BE49-F238E27FC236}">
              <a16:creationId xmlns:a16="http://schemas.microsoft.com/office/drawing/2014/main" id="{00000000-0008-0000-0700-000081000000}"/>
            </a:ext>
          </a:extLst>
        </xdr:cNvPr>
        <xdr:cNvSpPr txBox="1">
          <a:spLocks noChangeArrowheads="1" noTextEdit="1"/>
        </xdr:cNvSpPr>
      </xdr:nvSpPr>
      <xdr:spPr bwMode="auto">
        <a:xfrm>
          <a:off x="6905625" y="2179536"/>
          <a:ext cx="600075"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0.5A</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141769</xdr:colOff>
      <xdr:row>13</xdr:row>
      <xdr:rowOff>19072</xdr:rowOff>
    </xdr:from>
    <xdr:to>
      <xdr:col>7</xdr:col>
      <xdr:colOff>808163</xdr:colOff>
      <xdr:row>15</xdr:row>
      <xdr:rowOff>41118</xdr:rowOff>
    </xdr:to>
    <xdr:sp macro="" textlink="'Variable Mgmt'!B242">
      <xdr:nvSpPr>
        <xdr:cNvPr id="130" name="Text Box 285">
          <a:extLst>
            <a:ext uri="{FF2B5EF4-FFF2-40B4-BE49-F238E27FC236}">
              <a16:creationId xmlns:a16="http://schemas.microsoft.com/office/drawing/2014/main" id="{00000000-0008-0000-0700-000082000000}"/>
            </a:ext>
          </a:extLst>
        </xdr:cNvPr>
        <xdr:cNvSpPr txBox="1">
          <a:spLocks noChangeArrowheads="1" noTextEdit="1"/>
        </xdr:cNvSpPr>
      </xdr:nvSpPr>
      <xdr:spPr bwMode="auto">
        <a:xfrm>
          <a:off x="7244000" y="2114572"/>
          <a:ext cx="666394" cy="34443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1097443</xdr:colOff>
      <xdr:row>14</xdr:row>
      <xdr:rowOff>118229</xdr:rowOff>
    </xdr:from>
    <xdr:to>
      <xdr:col>7</xdr:col>
      <xdr:colOff>723171</xdr:colOff>
      <xdr:row>16</xdr:row>
      <xdr:rowOff>98669</xdr:rowOff>
    </xdr:to>
    <xdr:sp macro="" textlink="'Variable Mgmt'!B297">
      <xdr:nvSpPr>
        <xdr:cNvPr id="131" name="Text Box 286">
          <a:extLst>
            <a:ext uri="{FF2B5EF4-FFF2-40B4-BE49-F238E27FC236}">
              <a16:creationId xmlns:a16="http://schemas.microsoft.com/office/drawing/2014/main" id="{00000000-0008-0000-0700-000083000000}"/>
            </a:ext>
          </a:extLst>
        </xdr:cNvPr>
        <xdr:cNvSpPr txBox="1">
          <a:spLocks noChangeArrowheads="1" noTextEdit="1"/>
        </xdr:cNvSpPr>
      </xdr:nvSpPr>
      <xdr:spPr bwMode="auto">
        <a:xfrm>
          <a:off x="7071328" y="2374921"/>
          <a:ext cx="754074"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5</xdr:col>
      <xdr:colOff>417750</xdr:colOff>
      <xdr:row>12</xdr:row>
      <xdr:rowOff>106350</xdr:rowOff>
    </xdr:from>
    <xdr:to>
      <xdr:col>6</xdr:col>
      <xdr:colOff>16593</xdr:colOff>
      <xdr:row>13</xdr:row>
      <xdr:rowOff>127590</xdr:rowOff>
    </xdr:to>
    <xdr:sp macro="" textlink="'Variable Mgmt'!D245">
      <xdr:nvSpPr>
        <xdr:cNvPr id="132" name="Text Box 267">
          <a:extLst>
            <a:ext uri="{FF2B5EF4-FFF2-40B4-BE49-F238E27FC236}">
              <a16:creationId xmlns:a16="http://schemas.microsoft.com/office/drawing/2014/main" id="{00000000-0008-0000-0700-000084000000}"/>
            </a:ext>
          </a:extLst>
        </xdr:cNvPr>
        <xdr:cNvSpPr txBox="1">
          <a:spLocks noChangeArrowheads="1" noTextEdit="1"/>
        </xdr:cNvSpPr>
      </xdr:nvSpPr>
      <xdr:spPr bwMode="auto">
        <a:xfrm>
          <a:off x="5444019" y="2040658"/>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5</xdr:col>
      <xdr:colOff>398212</xdr:colOff>
      <xdr:row>15</xdr:row>
      <xdr:rowOff>113188</xdr:rowOff>
    </xdr:from>
    <xdr:to>
      <xdr:col>5</xdr:col>
      <xdr:colOff>944671</xdr:colOff>
      <xdr:row>16</xdr:row>
      <xdr:rowOff>134428</xdr:rowOff>
    </xdr:to>
    <xdr:sp macro="" textlink="'Variable Mgmt'!C245">
      <xdr:nvSpPr>
        <xdr:cNvPr id="133" name="Text Box 267">
          <a:extLst>
            <a:ext uri="{FF2B5EF4-FFF2-40B4-BE49-F238E27FC236}">
              <a16:creationId xmlns:a16="http://schemas.microsoft.com/office/drawing/2014/main" id="{00000000-0008-0000-0700-000085000000}"/>
            </a:ext>
          </a:extLst>
        </xdr:cNvPr>
        <xdr:cNvSpPr txBox="1">
          <a:spLocks noChangeArrowheads="1" noTextEdit="1"/>
        </xdr:cNvSpPr>
      </xdr:nvSpPr>
      <xdr:spPr bwMode="auto">
        <a:xfrm>
          <a:off x="5424481" y="2531073"/>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700" b="0" i="0" u="none" strike="noStrike" baseline="0">
              <a:solidFill>
                <a:srgbClr val="000000"/>
              </a:solidFill>
              <a:latin typeface="Arial"/>
              <a:cs typeface="Arial"/>
            </a:rPr>
            <a:pPr algn="l" rtl="0">
              <a:defRPr sz="1000"/>
            </a:pPr>
            <a:t>30µF</a:t>
          </a:fld>
          <a:endParaRPr lang="en-US" sz="7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899160</xdr:colOff>
          <xdr:row>32</xdr:row>
          <xdr:rowOff>15240</xdr:rowOff>
        </xdr:from>
        <xdr:to>
          <xdr:col>6</xdr:col>
          <xdr:colOff>868680</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7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895527</xdr:colOff>
      <xdr:row>24</xdr:row>
      <xdr:rowOff>49871</xdr:rowOff>
    </xdr:from>
    <xdr:to>
      <xdr:col>3</xdr:col>
      <xdr:colOff>280521</xdr:colOff>
      <xdr:row>25</xdr:row>
      <xdr:rowOff>121252</xdr:rowOff>
    </xdr:to>
    <xdr:sp macro="" textlink="">
      <xdr:nvSpPr>
        <xdr:cNvPr id="47" name="Text Box 244">
          <a:extLst>
            <a:ext uri="{FF2B5EF4-FFF2-40B4-BE49-F238E27FC236}">
              <a16:creationId xmlns:a16="http://schemas.microsoft.com/office/drawing/2014/main" id="{00000000-0008-0000-0700-00002F000000}"/>
            </a:ext>
          </a:extLst>
        </xdr:cNvPr>
        <xdr:cNvSpPr txBox="1">
          <a:spLocks noChangeArrowheads="1"/>
        </xdr:cNvSpPr>
      </xdr:nvSpPr>
      <xdr:spPr bwMode="auto">
        <a:xfrm>
          <a:off x="2365796" y="3918486"/>
          <a:ext cx="322840" cy="23257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42</xdr:row>
          <xdr:rowOff>15240</xdr:rowOff>
        </xdr:from>
        <xdr:to>
          <xdr:col>6</xdr:col>
          <xdr:colOff>883920</xdr:colOff>
          <xdr:row>43</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7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1328384</xdr:colOff>
      <xdr:row>2</xdr:row>
      <xdr:rowOff>124558</xdr:rowOff>
    </xdr:from>
    <xdr:to>
      <xdr:col>4</xdr:col>
      <xdr:colOff>946637</xdr:colOff>
      <xdr:row>4</xdr:row>
      <xdr:rowOff>55843</xdr:rowOff>
    </xdr:to>
    <xdr:sp macro="" textlink="'Variable Mgmt'!B233">
      <xdr:nvSpPr>
        <xdr:cNvPr id="49" name="Text Box 265">
          <a:extLst>
            <a:ext uri="{FF2B5EF4-FFF2-40B4-BE49-F238E27FC236}">
              <a16:creationId xmlns:a16="http://schemas.microsoft.com/office/drawing/2014/main" id="{00000000-0008-0000-0700-000031000000}"/>
            </a:ext>
          </a:extLst>
        </xdr:cNvPr>
        <xdr:cNvSpPr txBox="1">
          <a:spLocks noChangeArrowheads="1" noTextEdit="1"/>
        </xdr:cNvSpPr>
      </xdr:nvSpPr>
      <xdr:spPr bwMode="auto">
        <a:xfrm>
          <a:off x="3736499" y="446943"/>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700" b="0" i="0" u="none" strike="noStrike" baseline="0">
              <a:solidFill>
                <a:srgbClr val="000000"/>
              </a:solidFill>
              <a:latin typeface="Arial"/>
              <a:cs typeface="Arial"/>
            </a:rPr>
            <a:pPr algn="ctr" rtl="0">
              <a:defRPr sz="1000"/>
            </a:pPr>
            <a:t>1 : 20 : 1.48</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212599</xdr:colOff>
      <xdr:row>18</xdr:row>
      <xdr:rowOff>21980</xdr:rowOff>
    </xdr:from>
    <xdr:to>
      <xdr:col>2</xdr:col>
      <xdr:colOff>759488</xdr:colOff>
      <xdr:row>19</xdr:row>
      <xdr:rowOff>90664</xdr:rowOff>
    </xdr:to>
    <xdr:sp macro="" textlink="'Variable Mgmt'!D309">
      <xdr:nvSpPr>
        <xdr:cNvPr id="50" name="Text Box 268">
          <a:extLst>
            <a:ext uri="{FF2B5EF4-FFF2-40B4-BE49-F238E27FC236}">
              <a16:creationId xmlns:a16="http://schemas.microsoft.com/office/drawing/2014/main" id="{00000000-0008-0000-0700-000032000000}"/>
            </a:ext>
          </a:extLst>
        </xdr:cNvPr>
        <xdr:cNvSpPr txBox="1">
          <a:spLocks noChangeArrowheads="1" noTextEdit="1"/>
        </xdr:cNvSpPr>
      </xdr:nvSpPr>
      <xdr:spPr bwMode="auto">
        <a:xfrm>
          <a:off x="1682868" y="2923442"/>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700" b="0" i="0" u="none" strike="noStrike">
              <a:solidFill>
                <a:srgbClr val="000000"/>
              </a:solidFill>
              <a:latin typeface="Arial"/>
              <a:cs typeface="Arial"/>
            </a:rPr>
            <a:pPr algn="l" rtl="0">
              <a:defRPr sz="1000"/>
            </a:pPr>
            <a:t>56kΩ</a:t>
          </a:fld>
          <a:endParaRPr lang="el-GR" sz="700" b="0" i="0" strike="noStrike">
            <a:solidFill>
              <a:srgbClr val="000000"/>
            </a:solidFill>
            <a:latin typeface="Arial" pitchFamily="34" charset="0"/>
            <a:cs typeface="Arial" pitchFamily="34" charset="0"/>
          </a:endParaRPr>
        </a:p>
      </xdr:txBody>
    </xdr:sp>
    <xdr:clientData/>
  </xdr:twoCellAnchor>
  <xdr:twoCellAnchor>
    <xdr:from>
      <xdr:col>1</xdr:col>
      <xdr:colOff>449152</xdr:colOff>
      <xdr:row>21</xdr:row>
      <xdr:rowOff>35238</xdr:rowOff>
    </xdr:from>
    <xdr:to>
      <xdr:col>2</xdr:col>
      <xdr:colOff>194965</xdr:colOff>
      <xdr:row>22</xdr:row>
      <xdr:rowOff>103921</xdr:rowOff>
    </xdr:to>
    <xdr:sp macro="" textlink="'Variable Mgmt'!D310">
      <xdr:nvSpPr>
        <xdr:cNvPr id="51" name="Text Box 268">
          <a:extLst>
            <a:ext uri="{FF2B5EF4-FFF2-40B4-BE49-F238E27FC236}">
              <a16:creationId xmlns:a16="http://schemas.microsoft.com/office/drawing/2014/main" id="{00000000-0008-0000-0700-000033000000}"/>
            </a:ext>
          </a:extLst>
        </xdr:cNvPr>
        <xdr:cNvSpPr txBox="1">
          <a:spLocks noChangeArrowheads="1" noTextEdit="1"/>
        </xdr:cNvSpPr>
      </xdr:nvSpPr>
      <xdr:spPr bwMode="auto">
        <a:xfrm>
          <a:off x="1118344" y="3420276"/>
          <a:ext cx="546890"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700" b="0" i="0" u="none" strike="noStrike">
              <a:solidFill>
                <a:srgbClr val="000000"/>
              </a:solidFill>
              <a:latin typeface="Arial"/>
              <a:cs typeface="Arial"/>
            </a:rPr>
            <a:pPr algn="l" rtl="0">
              <a:defRPr sz="1000"/>
            </a:pPr>
            <a:t>10nF</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164452</xdr:colOff>
      <xdr:row>21</xdr:row>
      <xdr:rowOff>126649</xdr:rowOff>
    </xdr:from>
    <xdr:to>
      <xdr:col>2</xdr:col>
      <xdr:colOff>711340</xdr:colOff>
      <xdr:row>23</xdr:row>
      <xdr:rowOff>34140</xdr:rowOff>
    </xdr:to>
    <xdr:sp macro="" textlink="'Variable Mgmt'!D311">
      <xdr:nvSpPr>
        <xdr:cNvPr id="52" name="Text Box 268">
          <a:extLst>
            <a:ext uri="{FF2B5EF4-FFF2-40B4-BE49-F238E27FC236}">
              <a16:creationId xmlns:a16="http://schemas.microsoft.com/office/drawing/2014/main" id="{00000000-0008-0000-0700-000034000000}"/>
            </a:ext>
          </a:extLst>
        </xdr:cNvPr>
        <xdr:cNvSpPr txBox="1">
          <a:spLocks noChangeArrowheads="1" noTextEdit="1"/>
        </xdr:cNvSpPr>
      </xdr:nvSpPr>
      <xdr:spPr bwMode="auto">
        <a:xfrm>
          <a:off x="1634721" y="3511687"/>
          <a:ext cx="546888"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700" b="0" i="0" u="none" strike="noStrike">
              <a:solidFill>
                <a:srgbClr val="000000"/>
              </a:solidFill>
              <a:latin typeface="Arial"/>
              <a:cs typeface="Arial"/>
            </a:rPr>
            <a:pPr algn="l" rtl="0">
              <a:defRPr sz="1000"/>
            </a:pPr>
            <a:t>56pF</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1093922</xdr:colOff>
      <xdr:row>21</xdr:row>
      <xdr:rowOff>148980</xdr:rowOff>
    </xdr:from>
    <xdr:to>
      <xdr:col>4</xdr:col>
      <xdr:colOff>229158</xdr:colOff>
      <xdr:row>22</xdr:row>
      <xdr:rowOff>144814</xdr:rowOff>
    </xdr:to>
    <xdr:sp macro="" textlink="'Variable Mgmt'!D314">
      <xdr:nvSpPr>
        <xdr:cNvPr id="53" name="Text Box 268">
          <a:extLst>
            <a:ext uri="{FF2B5EF4-FFF2-40B4-BE49-F238E27FC236}">
              <a16:creationId xmlns:a16="http://schemas.microsoft.com/office/drawing/2014/main" id="{00000000-0008-0000-0700-000035000000}"/>
            </a:ext>
          </a:extLst>
        </xdr:cNvPr>
        <xdr:cNvSpPr txBox="1">
          <a:spLocks noChangeArrowheads="1" noTextEdit="1"/>
        </xdr:cNvSpPr>
      </xdr:nvSpPr>
      <xdr:spPr bwMode="auto">
        <a:xfrm>
          <a:off x="3502037" y="3534018"/>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700" b="0" i="0" u="none" strike="noStrike">
              <a:solidFill>
                <a:srgbClr val="000000"/>
              </a:solidFill>
              <a:latin typeface="Arial"/>
              <a:cs typeface="Arial"/>
            </a:rPr>
            <a:pPr algn="l" rtl="0">
              <a:defRPr sz="1000"/>
            </a:pPr>
            <a:t>100pF</a:t>
          </a:fld>
          <a:endParaRPr lang="el-GR" sz="700" b="0" i="0" strike="noStrike">
            <a:solidFill>
              <a:srgbClr val="000000"/>
            </a:solidFill>
            <a:latin typeface="Arial" pitchFamily="34" charset="0"/>
            <a:cs typeface="Arial" pitchFamily="34" charset="0"/>
          </a:endParaRPr>
        </a:p>
      </xdr:txBody>
    </xdr:sp>
    <xdr:clientData/>
  </xdr:twoCellAnchor>
  <xdr:twoCellAnchor>
    <xdr:from>
      <xdr:col>4</xdr:col>
      <xdr:colOff>426125</xdr:colOff>
      <xdr:row>21</xdr:row>
      <xdr:rowOff>129442</xdr:rowOff>
    </xdr:from>
    <xdr:to>
      <xdr:col>4</xdr:col>
      <xdr:colOff>973014</xdr:colOff>
      <xdr:row>22</xdr:row>
      <xdr:rowOff>125276</xdr:rowOff>
    </xdr:to>
    <xdr:sp macro="" textlink="'Variable Mgmt'!D313">
      <xdr:nvSpPr>
        <xdr:cNvPr id="54" name="Text Box 268">
          <a:extLst>
            <a:ext uri="{FF2B5EF4-FFF2-40B4-BE49-F238E27FC236}">
              <a16:creationId xmlns:a16="http://schemas.microsoft.com/office/drawing/2014/main" id="{00000000-0008-0000-0700-000036000000}"/>
            </a:ext>
          </a:extLst>
        </xdr:cNvPr>
        <xdr:cNvSpPr txBox="1">
          <a:spLocks noChangeArrowheads="1" noTextEdit="1"/>
        </xdr:cNvSpPr>
      </xdr:nvSpPr>
      <xdr:spPr bwMode="auto">
        <a:xfrm>
          <a:off x="4245894" y="3514480"/>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700" b="0" i="0" u="none" strike="noStrike">
              <a:solidFill>
                <a:srgbClr val="000000"/>
              </a:solidFill>
              <a:latin typeface="Arial"/>
              <a:cs typeface="Arial"/>
            </a:rPr>
            <a:pPr algn="l" rtl="0">
              <a:defRPr sz="1000"/>
            </a:pPr>
            <a:t>1.5mΩ</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1332569</xdr:colOff>
      <xdr:row>18</xdr:row>
      <xdr:rowOff>12210</xdr:rowOff>
    </xdr:from>
    <xdr:to>
      <xdr:col>4</xdr:col>
      <xdr:colOff>467805</xdr:colOff>
      <xdr:row>19</xdr:row>
      <xdr:rowOff>8045</xdr:rowOff>
    </xdr:to>
    <xdr:sp macro="" textlink="'Variable Mgmt'!D315">
      <xdr:nvSpPr>
        <xdr:cNvPr id="55" name="Text Box 268">
          <a:extLst>
            <a:ext uri="{FF2B5EF4-FFF2-40B4-BE49-F238E27FC236}">
              <a16:creationId xmlns:a16="http://schemas.microsoft.com/office/drawing/2014/main" id="{00000000-0008-0000-0700-000037000000}"/>
            </a:ext>
          </a:extLst>
        </xdr:cNvPr>
        <xdr:cNvSpPr txBox="1">
          <a:spLocks noChangeArrowheads="1" noTextEdit="1"/>
        </xdr:cNvSpPr>
      </xdr:nvSpPr>
      <xdr:spPr bwMode="auto">
        <a:xfrm>
          <a:off x="3740684" y="2913672"/>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700" b="0" i="0" u="none" strike="noStrike">
              <a:solidFill>
                <a:srgbClr val="000000"/>
              </a:solidFill>
              <a:latin typeface="Arial"/>
              <a:cs typeface="Arial"/>
            </a:rPr>
            <a:pPr algn="l" rtl="0">
              <a:defRPr sz="1000"/>
            </a:pPr>
            <a:t>100Ω</a:t>
          </a:fld>
          <a:endParaRPr lang="el-GR" sz="7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51</xdr:row>
          <xdr:rowOff>15240</xdr:rowOff>
        </xdr:from>
        <xdr:to>
          <xdr:col>6</xdr:col>
          <xdr:colOff>876300</xdr:colOff>
          <xdr:row>51</xdr:row>
          <xdr:rowOff>213360</xdr:rowOff>
        </xdr:to>
        <xdr:sp macro="" textlink="">
          <xdr:nvSpPr>
            <xdr:cNvPr id="764426" name="Drop Down 2570" hidden="1">
              <a:extLst>
                <a:ext uri="{63B3BB69-23CF-44E3-9099-C40C66FF867C}">
                  <a14:compatExt spid="_x0000_s764426"/>
                </a:ext>
                <a:ext uri="{FF2B5EF4-FFF2-40B4-BE49-F238E27FC236}">
                  <a16:creationId xmlns:a16="http://schemas.microsoft.com/office/drawing/2014/main" id="{00000000-0008-0000-0700-00000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52</xdr:row>
          <xdr:rowOff>15240</xdr:rowOff>
        </xdr:from>
        <xdr:to>
          <xdr:col>6</xdr:col>
          <xdr:colOff>876300</xdr:colOff>
          <xdr:row>52</xdr:row>
          <xdr:rowOff>213360</xdr:rowOff>
        </xdr:to>
        <xdr:sp macro="" textlink="">
          <xdr:nvSpPr>
            <xdr:cNvPr id="764430" name="Drop Down 2574" hidden="1">
              <a:extLst>
                <a:ext uri="{63B3BB69-23CF-44E3-9099-C40C66FF867C}">
                  <a14:compatExt spid="_x0000_s764430"/>
                </a:ext>
                <a:ext uri="{FF2B5EF4-FFF2-40B4-BE49-F238E27FC236}">
                  <a16:creationId xmlns:a16="http://schemas.microsoft.com/office/drawing/2014/main" id="{00000000-0008-0000-0700-00000E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15240</xdr:rowOff>
        </xdr:from>
        <xdr:to>
          <xdr:col>6</xdr:col>
          <xdr:colOff>883920</xdr:colOff>
          <xdr:row>35</xdr:row>
          <xdr:rowOff>0</xdr:rowOff>
        </xdr:to>
        <xdr:sp macro="" textlink="">
          <xdr:nvSpPr>
            <xdr:cNvPr id="764447" name="Drop Down 2591" hidden="1">
              <a:extLst>
                <a:ext uri="{63B3BB69-23CF-44E3-9099-C40C66FF867C}">
                  <a14:compatExt spid="_x0000_s764447"/>
                </a:ext>
                <a:ext uri="{FF2B5EF4-FFF2-40B4-BE49-F238E27FC236}">
                  <a16:creationId xmlns:a16="http://schemas.microsoft.com/office/drawing/2014/main" id="{00000000-0008-0000-0700-00001F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15240</xdr:rowOff>
        </xdr:from>
        <xdr:to>
          <xdr:col>6</xdr:col>
          <xdr:colOff>876300</xdr:colOff>
          <xdr:row>44</xdr:row>
          <xdr:rowOff>0</xdr:rowOff>
        </xdr:to>
        <xdr:sp macro="" textlink="">
          <xdr:nvSpPr>
            <xdr:cNvPr id="764451" name="Drop Down 2595" hidden="1">
              <a:extLst>
                <a:ext uri="{63B3BB69-23CF-44E3-9099-C40C66FF867C}">
                  <a14:compatExt spid="_x0000_s764451"/>
                </a:ext>
                <a:ext uri="{FF2B5EF4-FFF2-40B4-BE49-F238E27FC236}">
                  <a16:creationId xmlns:a16="http://schemas.microsoft.com/office/drawing/2014/main" id="{00000000-0008-0000-0700-000023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15240</xdr:rowOff>
        </xdr:from>
        <xdr:to>
          <xdr:col>6</xdr:col>
          <xdr:colOff>876300</xdr:colOff>
          <xdr:row>36</xdr:row>
          <xdr:rowOff>0</xdr:rowOff>
        </xdr:to>
        <xdr:sp macro="" textlink="">
          <xdr:nvSpPr>
            <xdr:cNvPr id="764454" name="Drop Down 2598" hidden="1">
              <a:extLst>
                <a:ext uri="{63B3BB69-23CF-44E3-9099-C40C66FF867C}">
                  <a14:compatExt spid="_x0000_s764454"/>
                </a:ext>
                <a:ext uri="{FF2B5EF4-FFF2-40B4-BE49-F238E27FC236}">
                  <a16:creationId xmlns:a16="http://schemas.microsoft.com/office/drawing/2014/main" id="{00000000-0008-0000-0700-000026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15240</xdr:rowOff>
        </xdr:from>
        <xdr:to>
          <xdr:col>6</xdr:col>
          <xdr:colOff>876300</xdr:colOff>
          <xdr:row>37</xdr:row>
          <xdr:rowOff>0</xdr:rowOff>
        </xdr:to>
        <xdr:sp macro="" textlink="">
          <xdr:nvSpPr>
            <xdr:cNvPr id="764455" name="Drop Down 2599" hidden="1">
              <a:extLst>
                <a:ext uri="{63B3BB69-23CF-44E3-9099-C40C66FF867C}">
                  <a14:compatExt spid="_x0000_s764455"/>
                </a:ext>
                <a:ext uri="{FF2B5EF4-FFF2-40B4-BE49-F238E27FC236}">
                  <a16:creationId xmlns:a16="http://schemas.microsoft.com/office/drawing/2014/main" id="{00000000-0008-0000-0700-000027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15240</xdr:rowOff>
        </xdr:from>
        <xdr:to>
          <xdr:col>6</xdr:col>
          <xdr:colOff>876300</xdr:colOff>
          <xdr:row>38</xdr:row>
          <xdr:rowOff>0</xdr:rowOff>
        </xdr:to>
        <xdr:sp macro="" textlink="">
          <xdr:nvSpPr>
            <xdr:cNvPr id="764456" name="Drop Down 2600" hidden="1">
              <a:extLst>
                <a:ext uri="{63B3BB69-23CF-44E3-9099-C40C66FF867C}">
                  <a14:compatExt spid="_x0000_s764456"/>
                </a:ext>
                <a:ext uri="{FF2B5EF4-FFF2-40B4-BE49-F238E27FC236}">
                  <a16:creationId xmlns:a16="http://schemas.microsoft.com/office/drawing/2014/main" id="{00000000-0008-0000-0700-000028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50</xdr:row>
          <xdr:rowOff>15240</xdr:rowOff>
        </xdr:from>
        <xdr:to>
          <xdr:col>6</xdr:col>
          <xdr:colOff>876300</xdr:colOff>
          <xdr:row>51</xdr:row>
          <xdr:rowOff>0</xdr:rowOff>
        </xdr:to>
        <xdr:sp macro="" textlink="">
          <xdr:nvSpPr>
            <xdr:cNvPr id="764458" name="Drop Down 2602" hidden="1">
              <a:extLst>
                <a:ext uri="{63B3BB69-23CF-44E3-9099-C40C66FF867C}">
                  <a14:compatExt spid="_x0000_s764458"/>
                </a:ext>
                <a:ext uri="{FF2B5EF4-FFF2-40B4-BE49-F238E27FC236}">
                  <a16:creationId xmlns:a16="http://schemas.microsoft.com/office/drawing/2014/main" id="{00000000-0008-0000-0700-00002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Gpwr_@Fco" TargetMode="External"/><Relationship Id="rId5" Type="http://schemas.openxmlformats.org/officeDocument/2006/relationships/ctrlProp" Target="../ctrlProps/ctrlProp9.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18" Type="http://schemas.openxmlformats.org/officeDocument/2006/relationships/ctrlProp" Target="../ctrlProps/ctrlProp24.xml"/><Relationship Id="rId3" Type="http://schemas.openxmlformats.org/officeDocument/2006/relationships/vmlDrawing" Target="../drawings/vmlDrawing5.vml"/><Relationship Id="rId21" Type="http://schemas.openxmlformats.org/officeDocument/2006/relationships/ctrlProp" Target="../ctrlProps/ctrlProp27.x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2" Type="http://schemas.openxmlformats.org/officeDocument/2006/relationships/drawing" Target="../drawings/drawing9.xml"/><Relationship Id="rId16" Type="http://schemas.openxmlformats.org/officeDocument/2006/relationships/ctrlProp" Target="../ctrlProps/ctrlProp22.xml"/><Relationship Id="rId20" Type="http://schemas.openxmlformats.org/officeDocument/2006/relationships/ctrlProp" Target="../ctrlProps/ctrlProp26.xml"/><Relationship Id="rId1" Type="http://schemas.openxmlformats.org/officeDocument/2006/relationships/printerSettings" Target="../printerSettings/printerSettings7.bin"/><Relationship Id="rId6" Type="http://schemas.openxmlformats.org/officeDocument/2006/relationships/ctrlProp" Target="../ctrlProps/ctrlProp12.xml"/><Relationship Id="rId11" Type="http://schemas.openxmlformats.org/officeDocument/2006/relationships/ctrlProp" Target="../ctrlProps/ctrlProp17.xml"/><Relationship Id="rId24" Type="http://schemas.openxmlformats.org/officeDocument/2006/relationships/ctrlProp" Target="../ctrlProps/ctrlProp30.xml"/><Relationship Id="rId5" Type="http://schemas.openxmlformats.org/officeDocument/2006/relationships/ctrlProp" Target="../ctrlProps/ctrlProp11.xml"/><Relationship Id="rId15" Type="http://schemas.openxmlformats.org/officeDocument/2006/relationships/ctrlProp" Target="../ctrlProps/ctrlProp21.xml"/><Relationship Id="rId23" Type="http://schemas.openxmlformats.org/officeDocument/2006/relationships/ctrlProp" Target="../ctrlProps/ctrlProp29.xml"/><Relationship Id="rId10" Type="http://schemas.openxmlformats.org/officeDocument/2006/relationships/ctrlProp" Target="../ctrlProps/ctrlProp16.xml"/><Relationship Id="rId19" Type="http://schemas.openxmlformats.org/officeDocument/2006/relationships/ctrlProp" Target="../ctrlProps/ctrlProp25.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92"/>
  <sheetViews>
    <sheetView tabSelected="1" topLeftCell="B1" zoomScale="70" zoomScaleNormal="70" zoomScaleSheetLayoutView="70" zoomScalePageLayoutView="10" workbookViewId="0">
      <selection activeCell="E40" sqref="E40"/>
    </sheetView>
  </sheetViews>
  <sheetFormatPr defaultColWidth="9.21875" defaultRowHeight="13.8"/>
  <cols>
    <col min="1" max="1" width="8.21875" style="86" customWidth="1"/>
    <col min="2" max="2" width="8.21875" style="35" customWidth="1"/>
    <col min="3" max="3" width="13.5546875" style="35" customWidth="1"/>
    <col min="4" max="4" width="9.77734375" style="35" customWidth="1"/>
    <col min="5" max="5" width="9.21875" style="35" customWidth="1"/>
    <col min="6" max="6" width="8.77734375" style="35" customWidth="1"/>
    <col min="7" max="7" width="2.77734375" style="35" customWidth="1"/>
    <col min="8" max="9" width="8.21875" style="35" customWidth="1"/>
    <col min="10" max="10" width="13.77734375" style="35" customWidth="1"/>
    <col min="11" max="11" width="10" style="35" customWidth="1"/>
    <col min="12" max="12" width="9.44140625" style="35" customWidth="1"/>
    <col min="13" max="13" width="8.77734375" style="35" customWidth="1"/>
    <col min="14" max="14" width="2.77734375" style="35" customWidth="1"/>
    <col min="15" max="15" width="9.21875" style="35"/>
    <col min="16" max="18" width="10.21875" style="35" customWidth="1"/>
    <col min="19" max="19" width="10" style="35" bestFit="1" customWidth="1"/>
    <col min="20" max="25" width="9.21875" style="35"/>
    <col min="26" max="26" width="29.6640625" style="35" customWidth="1"/>
    <col min="27" max="27" width="3.21875" style="35" customWidth="1"/>
    <col min="28" max="16384" width="9.21875" style="35"/>
  </cols>
  <sheetData>
    <row r="1" spans="1:27" ht="47.25" customHeight="1">
      <c r="A1" s="445" t="s">
        <v>831</v>
      </c>
      <c r="B1" s="443"/>
      <c r="C1" s="443"/>
      <c r="D1" s="443"/>
      <c r="E1" s="443"/>
      <c r="F1" s="443"/>
      <c r="G1" s="443"/>
      <c r="H1" s="443"/>
      <c r="I1" s="443"/>
      <c r="J1" s="443"/>
      <c r="K1" s="443"/>
      <c r="L1" s="443"/>
      <c r="M1" s="443"/>
      <c r="N1" s="443"/>
      <c r="O1" s="443"/>
      <c r="P1" s="443"/>
      <c r="Q1" s="443"/>
      <c r="R1" s="444"/>
      <c r="S1" s="444"/>
      <c r="T1" s="444"/>
      <c r="U1" s="444"/>
      <c r="V1" s="356"/>
      <c r="W1" s="356"/>
      <c r="X1" s="356"/>
      <c r="Y1" s="356"/>
      <c r="Z1" s="356"/>
      <c r="AA1" s="356"/>
    </row>
    <row r="2" spans="1:27" ht="14.1" customHeight="1">
      <c r="A2" s="337"/>
      <c r="B2" s="338"/>
      <c r="C2" s="338"/>
      <c r="D2" s="338"/>
      <c r="E2" s="338"/>
      <c r="F2" s="338"/>
      <c r="G2" s="338"/>
      <c r="H2" s="338"/>
      <c r="I2" s="338"/>
      <c r="J2" s="338"/>
      <c r="K2" s="338"/>
      <c r="L2" s="338"/>
      <c r="M2" s="338"/>
      <c r="N2" s="338"/>
      <c r="O2" s="351"/>
      <c r="P2" s="338"/>
      <c r="Q2" s="338"/>
      <c r="R2" s="346"/>
      <c r="S2" s="346"/>
      <c r="T2" s="346"/>
      <c r="U2" s="346"/>
      <c r="V2" s="346"/>
      <c r="W2" s="346"/>
      <c r="X2" s="346"/>
      <c r="Y2" s="346"/>
      <c r="Z2" s="346"/>
      <c r="AA2" s="346"/>
    </row>
    <row r="3" spans="1:27" ht="16.05" customHeight="1">
      <c r="A3" s="339" t="s">
        <v>105</v>
      </c>
      <c r="B3" s="340"/>
      <c r="C3" s="352" t="s">
        <v>106</v>
      </c>
      <c r="D3" s="341"/>
      <c r="E3" s="64"/>
      <c r="F3" s="343" t="s">
        <v>59</v>
      </c>
      <c r="G3" s="342"/>
      <c r="H3" s="338"/>
      <c r="I3" s="338"/>
      <c r="J3" s="342"/>
      <c r="K3" s="344"/>
      <c r="L3" s="345"/>
      <c r="M3" s="346"/>
      <c r="N3" s="346"/>
      <c r="O3" s="346"/>
      <c r="P3" s="1"/>
      <c r="Q3" s="346" t="s">
        <v>77</v>
      </c>
      <c r="R3" s="346"/>
      <c r="S3" s="346"/>
      <c r="T3" s="346"/>
      <c r="U3" s="446" t="s">
        <v>315</v>
      </c>
      <c r="V3" s="346"/>
      <c r="W3" s="346"/>
      <c r="X3" s="346"/>
      <c r="Y3" s="346"/>
      <c r="Z3" s="346"/>
      <c r="AA3" s="346"/>
    </row>
    <row r="4" spans="1:27" ht="14.1" customHeight="1" thickBot="1">
      <c r="A4" s="347"/>
      <c r="B4" s="348"/>
      <c r="C4" s="349"/>
      <c r="D4" s="349"/>
      <c r="E4" s="349"/>
      <c r="F4" s="349"/>
      <c r="G4" s="349"/>
      <c r="H4" s="349"/>
      <c r="I4" s="349"/>
      <c r="J4" s="349"/>
      <c r="K4" s="349"/>
      <c r="L4" s="349"/>
      <c r="M4" s="350"/>
      <c r="N4" s="350"/>
      <c r="O4" s="350"/>
      <c r="P4" s="350"/>
      <c r="Q4" s="350"/>
      <c r="R4" s="346"/>
      <c r="S4" s="346"/>
      <c r="T4" s="346"/>
      <c r="U4" s="346"/>
      <c r="V4" s="346"/>
      <c r="W4" s="346"/>
      <c r="X4" s="346"/>
      <c r="Y4" s="346"/>
      <c r="Z4" s="346"/>
      <c r="AA4" s="346"/>
    </row>
    <row r="5" spans="1:27" ht="19.5" customHeight="1" thickBot="1">
      <c r="A5" s="85" t="s">
        <v>101</v>
      </c>
      <c r="B5" s="63"/>
      <c r="C5" s="36"/>
      <c r="D5" s="36"/>
      <c r="E5" s="37"/>
      <c r="F5" s="36"/>
      <c r="G5" s="55"/>
      <c r="H5" s="501" t="s">
        <v>360</v>
      </c>
      <c r="I5" s="73"/>
      <c r="J5" s="74"/>
      <c r="K5" s="74"/>
      <c r="L5" s="75"/>
      <c r="M5" s="306"/>
      <c r="N5" s="38"/>
      <c r="O5" s="38"/>
      <c r="P5" s="38"/>
      <c r="Q5" s="38"/>
      <c r="R5" s="430"/>
      <c r="S5" s="430"/>
      <c r="T5" s="430"/>
      <c r="U5" s="430"/>
      <c r="V5" s="430"/>
      <c r="W5" s="430"/>
      <c r="X5" s="430"/>
      <c r="Y5" s="430"/>
      <c r="Z5" s="434"/>
      <c r="AA5" s="346"/>
    </row>
    <row r="6" spans="1:27" ht="15.75" customHeight="1">
      <c r="A6" s="387"/>
      <c r="B6" s="437"/>
      <c r="C6" s="178"/>
      <c r="D6" s="674" t="s">
        <v>367</v>
      </c>
      <c r="E6" s="617">
        <v>9</v>
      </c>
      <c r="F6" s="675" t="s">
        <v>0</v>
      </c>
      <c r="G6" s="71"/>
      <c r="H6" s="387"/>
      <c r="I6" s="437"/>
      <c r="J6" s="178"/>
      <c r="K6" s="438" t="s">
        <v>835</v>
      </c>
      <c r="L6" s="671">
        <f>Lmin</f>
        <v>0.5156036915731641</v>
      </c>
      <c r="M6" s="537" t="s">
        <v>96</v>
      </c>
      <c r="N6" s="38"/>
      <c r="O6" s="38"/>
      <c r="P6" s="38"/>
      <c r="Q6" s="38"/>
      <c r="R6" s="58"/>
      <c r="S6" s="58"/>
      <c r="T6" s="58"/>
      <c r="U6" s="58"/>
      <c r="V6" s="58"/>
      <c r="W6" s="58"/>
      <c r="X6" s="58"/>
      <c r="Y6" s="58"/>
      <c r="Z6" s="435"/>
      <c r="AA6" s="346"/>
    </row>
    <row r="7" spans="1:27" ht="14.25" customHeight="1">
      <c r="A7" s="112"/>
      <c r="B7" s="111"/>
      <c r="C7" s="719"/>
      <c r="D7" s="720" t="s">
        <v>882</v>
      </c>
      <c r="E7" s="121">
        <v>12</v>
      </c>
      <c r="F7" s="366" t="s">
        <v>0</v>
      </c>
      <c r="G7" s="71"/>
      <c r="H7" s="69"/>
      <c r="I7" s="70"/>
      <c r="J7" s="68"/>
      <c r="K7" s="79" t="s">
        <v>836</v>
      </c>
      <c r="L7" s="121">
        <v>1.5</v>
      </c>
      <c r="M7" s="366" t="s">
        <v>96</v>
      </c>
      <c r="N7" s="38"/>
      <c r="O7" s="38"/>
      <c r="P7" s="38"/>
      <c r="Q7" s="38"/>
      <c r="R7" s="58"/>
      <c r="S7" s="58"/>
      <c r="T7" s="58"/>
      <c r="U7" s="58"/>
      <c r="V7" s="58"/>
      <c r="W7" s="58"/>
      <c r="X7" s="58"/>
      <c r="Y7" s="58"/>
      <c r="Z7" s="435"/>
      <c r="AA7" s="346"/>
    </row>
    <row r="8" spans="1:27" ht="15.75" customHeight="1">
      <c r="A8" s="112"/>
      <c r="B8" s="111"/>
      <c r="C8" s="113"/>
      <c r="D8" s="120" t="s">
        <v>368</v>
      </c>
      <c r="E8" s="121">
        <v>16</v>
      </c>
      <c r="F8" s="366" t="s">
        <v>0</v>
      </c>
      <c r="G8" s="71"/>
      <c r="H8" s="69"/>
      <c r="I8" s="70"/>
      <c r="J8" s="68"/>
      <c r="K8" s="79" t="s">
        <v>525</v>
      </c>
      <c r="L8" s="121">
        <v>1.5</v>
      </c>
      <c r="M8" s="366" t="s">
        <v>20</v>
      </c>
      <c r="N8" s="38"/>
      <c r="O8" s="38"/>
      <c r="P8" s="38"/>
      <c r="Q8" s="38"/>
      <c r="R8" s="58"/>
      <c r="S8" s="58"/>
      <c r="T8" s="58"/>
      <c r="U8" s="58"/>
      <c r="V8" s="58"/>
      <c r="W8" s="58"/>
      <c r="X8" s="58"/>
      <c r="Y8" s="58"/>
      <c r="Z8" s="435"/>
      <c r="AA8" s="346"/>
    </row>
    <row r="9" spans="1:27" ht="15.75" customHeight="1">
      <c r="A9" s="112"/>
      <c r="B9" s="111"/>
      <c r="C9" s="113"/>
      <c r="D9" s="120" t="s">
        <v>366</v>
      </c>
      <c r="E9" s="499">
        <v>32</v>
      </c>
      <c r="F9" s="122"/>
      <c r="G9" s="71"/>
      <c r="H9" s="69"/>
      <c r="I9" s="70"/>
      <c r="J9" s="68"/>
      <c r="K9" s="79" t="str">
        <f>CHOOSE(MODE, "Secondary Winding DCR", "Secondary Winding #1 DCR")</f>
        <v>Secondary Winding #1 DCR</v>
      </c>
      <c r="L9" s="121">
        <v>200</v>
      </c>
      <c r="M9" s="366" t="s">
        <v>20</v>
      </c>
      <c r="N9" s="38"/>
      <c r="O9" s="38"/>
      <c r="P9" s="38"/>
      <c r="Q9" s="38"/>
      <c r="R9" s="58"/>
      <c r="S9" s="58"/>
      <c r="T9" s="58"/>
      <c r="U9" s="58"/>
      <c r="V9" s="58"/>
      <c r="W9" s="58"/>
      <c r="X9" s="58"/>
      <c r="Y9" s="58"/>
      <c r="Z9" s="435"/>
      <c r="AA9" s="346"/>
    </row>
    <row r="10" spans="1:27" ht="15.75" customHeight="1">
      <c r="A10" s="112"/>
      <c r="B10" s="111"/>
      <c r="C10" s="113"/>
      <c r="D10" s="120" t="str">
        <f>CHOOSE(MODE, "Output Voltage, VOUT ", "Output Voltage, VOUT1")</f>
        <v>Output Voltage, VOUT1</v>
      </c>
      <c r="E10" s="121">
        <v>170</v>
      </c>
      <c r="F10" s="366" t="s">
        <v>0</v>
      </c>
      <c r="G10" s="71"/>
      <c r="H10" s="69"/>
      <c r="I10" s="70"/>
      <c r="J10" s="68"/>
      <c r="K10" s="79" t="str">
        <f>CHOOSE(MODE, "", "Secondary Winding #2 DCR")</f>
        <v>Secondary Winding #2 DCR</v>
      </c>
      <c r="L10" s="121">
        <v>30</v>
      </c>
      <c r="M10" s="366" t="str">
        <f>CHOOSE(MODE, "", "mΩ")</f>
        <v>mΩ</v>
      </c>
      <c r="N10" s="38"/>
      <c r="O10" s="38"/>
      <c r="P10" s="38"/>
      <c r="Q10" s="38"/>
      <c r="R10" s="58"/>
      <c r="S10" s="58"/>
      <c r="T10" s="58"/>
      <c r="U10" s="58"/>
      <c r="V10" s="58"/>
      <c r="W10" s="58"/>
      <c r="X10" s="58"/>
      <c r="Y10" s="58"/>
      <c r="Z10" s="435"/>
      <c r="AA10" s="346"/>
    </row>
    <row r="11" spans="1:27" ht="15.75" customHeight="1" thickBot="1">
      <c r="A11" s="673"/>
      <c r="B11" s="128"/>
      <c r="C11" s="436"/>
      <c r="D11" s="439" t="str">
        <f>CHOOSE(MODE, "Rated Output Current, IOUT ", "Rated Output Current, IOUT1")</f>
        <v>Rated Output Current, IOUT1</v>
      </c>
      <c r="E11" s="440">
        <v>0.5</v>
      </c>
      <c r="F11" s="619" t="s">
        <v>1</v>
      </c>
      <c r="G11" s="71"/>
      <c r="H11" s="69"/>
      <c r="I11" s="58"/>
      <c r="J11" s="58"/>
      <c r="K11" s="79" t="s">
        <v>663</v>
      </c>
      <c r="L11" s="121">
        <v>2</v>
      </c>
      <c r="M11" s="366" t="s">
        <v>662</v>
      </c>
      <c r="N11" s="38"/>
      <c r="O11" s="38"/>
      <c r="P11" s="38"/>
      <c r="Q11" s="38"/>
      <c r="R11" s="58"/>
      <c r="S11" s="58"/>
      <c r="T11" s="58"/>
      <c r="U11" s="58"/>
      <c r="V11" s="58"/>
      <c r="W11" s="58"/>
      <c r="X11" s="58"/>
      <c r="Y11" s="58"/>
      <c r="Z11" s="435"/>
      <c r="AA11" s="346"/>
    </row>
    <row r="12" spans="1:27" ht="15.75" customHeight="1">
      <c r="A12" s="364"/>
      <c r="B12" s="58"/>
      <c r="C12" s="58"/>
      <c r="D12" s="120" t="str">
        <f>CHOOSE(MODE, "", "Output Voltage, VOUT2")</f>
        <v>Output Voltage, VOUT2</v>
      </c>
      <c r="E12" s="121">
        <v>12</v>
      </c>
      <c r="F12" s="366" t="str">
        <f>CHOOSE(MODE, "", "V", "V")</f>
        <v>V</v>
      </c>
      <c r="G12" s="71"/>
      <c r="H12" s="112"/>
      <c r="I12" s="111"/>
      <c r="J12" s="514"/>
      <c r="K12" s="113" t="s">
        <v>843</v>
      </c>
      <c r="L12" s="666" t="str">
        <f>"1 : "&amp;(ROUND(1/ktr_rcmd*100,0)/100)</f>
        <v>1 : 21.24</v>
      </c>
      <c r="M12" s="539"/>
      <c r="N12" s="38"/>
      <c r="O12" s="38"/>
      <c r="P12" s="38"/>
      <c r="Q12" s="38"/>
      <c r="R12" s="58"/>
      <c r="S12" s="58"/>
      <c r="T12" s="58"/>
      <c r="U12" s="58"/>
      <c r="V12" s="58"/>
      <c r="W12" s="58"/>
      <c r="X12" s="58"/>
      <c r="Y12" s="58"/>
      <c r="Z12" s="435"/>
      <c r="AA12" s="346"/>
    </row>
    <row r="13" spans="1:27" ht="15.75" customHeight="1" thickBot="1">
      <c r="A13" s="673"/>
      <c r="B13" s="128"/>
      <c r="C13" s="436"/>
      <c r="D13" s="439" t="str">
        <f>CHOOSE(MODE, "", "Rated Output Current, IOUT2")</f>
        <v>Rated Output Current, IOUT2</v>
      </c>
      <c r="E13" s="440">
        <v>0.5</v>
      </c>
      <c r="F13" s="619" t="str">
        <f>CHOOSE(MODE, "", "A", "A")</f>
        <v>A</v>
      </c>
      <c r="G13" s="71"/>
      <c r="H13" s="69"/>
      <c r="I13" s="70"/>
      <c r="J13" s="68"/>
      <c r="K13" s="67" t="str">
        <f>IF(MODE=1, "Transformer Turns Ratio, Pri : Sec", "Turns Ratio, PRI : SEC1")</f>
        <v>Turns Ratio, PRI : SEC1</v>
      </c>
      <c r="L13" s="370"/>
      <c r="M13" s="82"/>
      <c r="N13" s="38"/>
      <c r="O13" s="38"/>
      <c r="P13" s="38"/>
      <c r="Q13" s="38"/>
      <c r="R13" s="58"/>
      <c r="S13" s="58"/>
      <c r="T13" s="58"/>
      <c r="U13" s="58"/>
      <c r="V13" s="58"/>
      <c r="W13" s="58"/>
      <c r="X13" s="58"/>
      <c r="Y13" s="58"/>
      <c r="Z13" s="435"/>
      <c r="AA13" s="346"/>
    </row>
    <row r="14" spans="1:27" ht="15.75" customHeight="1">
      <c r="A14" s="111"/>
      <c r="B14" s="111"/>
      <c r="C14" s="113"/>
      <c r="D14" s="120"/>
      <c r="E14" s="75"/>
      <c r="F14" s="185"/>
      <c r="G14" s="71"/>
      <c r="H14" s="112"/>
      <c r="I14" s="111"/>
      <c r="J14" s="113"/>
      <c r="K14" s="68" t="str">
        <f>CHOOSE(MODE, "Diode Max Rev Voltage (Spike Not Included)", "Turns Ratio, SEC2 : SEC1")</f>
        <v>Turns Ratio, SEC2 : SEC1</v>
      </c>
      <c r="L14" s="70">
        <f>CHOOSE(MODE, ROUND(VRRM_DIODE,0), ROUND(Nsec1sec2,2))</f>
        <v>7.0000000000000007E-2</v>
      </c>
      <c r="M14" s="82" t="str">
        <f>CHOOSE(MODE, "V", "")</f>
        <v/>
      </c>
      <c r="N14" s="38"/>
      <c r="O14" s="38"/>
      <c r="P14" s="38"/>
      <c r="Q14" s="38"/>
      <c r="R14" s="58"/>
      <c r="S14" s="58"/>
      <c r="T14" s="58"/>
      <c r="U14" s="58"/>
      <c r="V14" s="58"/>
      <c r="W14" s="58"/>
      <c r="X14" s="58"/>
      <c r="Y14" s="58"/>
      <c r="Z14" s="435"/>
      <c r="AA14" s="346"/>
    </row>
    <row r="15" spans="1:27" ht="15.75" customHeight="1" thickBot="1">
      <c r="A15" s="645" t="s">
        <v>873</v>
      </c>
      <c r="B15" s="38"/>
      <c r="C15" s="38"/>
      <c r="D15" s="68"/>
      <c r="E15" s="38"/>
      <c r="F15" s="70"/>
      <c r="G15" s="71"/>
      <c r="H15" s="112"/>
      <c r="I15" s="111"/>
      <c r="J15" s="514"/>
      <c r="K15" s="113" t="s">
        <v>658</v>
      </c>
      <c r="L15" s="666">
        <f>CHOOSE(MODE, 'Calculations - Single'!M212, 'Calculations - Dual'!N212)*100</f>
        <v>49.799132941426151</v>
      </c>
      <c r="M15" s="539" t="s">
        <v>659</v>
      </c>
      <c r="N15" s="38"/>
      <c r="O15" s="38"/>
      <c r="P15" s="38"/>
      <c r="Q15" s="38"/>
      <c r="R15" s="58"/>
      <c r="S15" s="58"/>
      <c r="T15" s="58"/>
      <c r="U15" s="58"/>
      <c r="V15" s="58"/>
      <c r="W15" s="58"/>
      <c r="X15" s="58"/>
      <c r="Y15" s="58"/>
      <c r="Z15" s="435"/>
      <c r="AA15" s="346"/>
    </row>
    <row r="16" spans="1:27" ht="15.75" customHeight="1" thickBot="1">
      <c r="A16" s="361"/>
      <c r="B16" s="502"/>
      <c r="C16" s="502"/>
      <c r="D16" s="438" t="s">
        <v>847</v>
      </c>
      <c r="E16" s="672">
        <f>RCSmin*1000</f>
        <v>2.0058000169206327</v>
      </c>
      <c r="F16" s="618" t="s">
        <v>20</v>
      </c>
      <c r="G16" s="71"/>
      <c r="H16" s="515"/>
      <c r="I16" s="433"/>
      <c r="J16" s="83"/>
      <c r="K16" s="436" t="s">
        <v>605</v>
      </c>
      <c r="L16" s="541">
        <f>CHOOSE(MODE, 'Calculations - Single'!N212,'Calculations - Dual'!O212+'Calculations - Dual'!P212)</f>
        <v>146.12313808054438</v>
      </c>
      <c r="M16" s="540" t="s">
        <v>45</v>
      </c>
      <c r="N16" s="38"/>
      <c r="O16" s="38"/>
      <c r="P16" s="38"/>
      <c r="Q16" s="38"/>
      <c r="R16" s="58"/>
      <c r="S16" s="58"/>
      <c r="T16" s="58"/>
      <c r="U16" s="58"/>
      <c r="V16" s="58"/>
      <c r="W16" s="58"/>
      <c r="X16" s="58"/>
      <c r="Y16" s="58"/>
      <c r="Z16" s="435"/>
      <c r="AA16" s="346"/>
    </row>
    <row r="17" spans="1:27" ht="15.75" customHeight="1" thickBot="1">
      <c r="A17" s="69"/>
      <c r="B17" s="38"/>
      <c r="C17" s="38"/>
      <c r="D17" s="79" t="s">
        <v>772</v>
      </c>
      <c r="E17" s="127">
        <v>1.5</v>
      </c>
      <c r="F17" s="366" t="s">
        <v>20</v>
      </c>
      <c r="G17" s="72"/>
      <c r="H17" s="58"/>
      <c r="I17" s="58"/>
      <c r="J17" s="58"/>
      <c r="K17" s="58"/>
      <c r="L17" s="58"/>
      <c r="M17" s="58"/>
      <c r="N17" s="38"/>
      <c r="O17" s="38"/>
      <c r="P17" s="38"/>
      <c r="Q17" s="38"/>
      <c r="R17" s="58"/>
      <c r="S17" s="58"/>
      <c r="T17" s="58"/>
      <c r="U17" s="58"/>
      <c r="V17" s="58"/>
      <c r="W17" s="58"/>
      <c r="X17" s="58"/>
      <c r="Y17" s="58"/>
      <c r="Z17" s="435"/>
      <c r="AA17" s="346"/>
    </row>
    <row r="18" spans="1:27" ht="15.75" customHeight="1">
      <c r="A18" s="85"/>
      <c r="B18" s="73"/>
      <c r="C18" s="70"/>
      <c r="D18" s="68" t="s">
        <v>795</v>
      </c>
      <c r="E18" s="676">
        <f>Isw_max</f>
        <v>66.666666666666671</v>
      </c>
      <c r="F18" s="82" t="s">
        <v>1</v>
      </c>
      <c r="G18" s="504"/>
      <c r="H18" s="681"/>
      <c r="I18" s="502"/>
      <c r="J18" s="494"/>
      <c r="K18" s="438" t="s">
        <v>871</v>
      </c>
      <c r="L18" s="494">
        <v>100</v>
      </c>
      <c r="M18" s="685" t="s">
        <v>136</v>
      </c>
      <c r="N18" s="38"/>
      <c r="O18" s="38"/>
      <c r="P18" s="38"/>
      <c r="Q18" s="38"/>
      <c r="R18" s="58"/>
      <c r="S18" s="58"/>
      <c r="T18" s="58"/>
      <c r="U18" s="58"/>
      <c r="V18" s="58"/>
      <c r="W18" s="58"/>
      <c r="X18" s="58"/>
      <c r="Y18" s="58"/>
      <c r="Z18" s="435"/>
      <c r="AA18" s="346"/>
    </row>
    <row r="19" spans="1:27" ht="19.5" customHeight="1" thickBot="1">
      <c r="A19" s="642"/>
      <c r="B19" s="677"/>
      <c r="C19" s="83"/>
      <c r="D19" s="678" t="s">
        <v>844</v>
      </c>
      <c r="E19" s="180">
        <f>IF(MODE, RCS*'Calculations - Single'!BD210^2, RCS*'Calculations - Dual'!BA210^2)*1.21</f>
        <v>448.46420839860406</v>
      </c>
      <c r="F19" s="84" t="s">
        <v>293</v>
      </c>
      <c r="G19" s="505"/>
      <c r="H19" s="687"/>
      <c r="I19" s="432"/>
      <c r="J19" s="482"/>
      <c r="K19" s="179" t="s">
        <v>872</v>
      </c>
      <c r="L19" s="482">
        <v>100</v>
      </c>
      <c r="M19" s="540" t="s">
        <v>15</v>
      </c>
      <c r="N19" s="38"/>
      <c r="O19" s="38"/>
      <c r="P19" s="38"/>
      <c r="Q19" s="38"/>
      <c r="R19" s="58"/>
      <c r="S19" s="58"/>
      <c r="T19" s="58"/>
      <c r="U19" s="58"/>
      <c r="V19" s="58"/>
      <c r="W19" s="58"/>
      <c r="X19" s="58"/>
      <c r="Y19" s="58"/>
      <c r="Z19" s="435"/>
      <c r="AA19" s="346"/>
    </row>
    <row r="20" spans="1:27" ht="19.5" customHeight="1">
      <c r="A20" s="58"/>
      <c r="B20" s="73"/>
      <c r="C20" s="74"/>
      <c r="D20" s="74"/>
      <c r="E20" s="75"/>
      <c r="F20" s="74"/>
      <c r="G20" s="71"/>
      <c r="H20" s="58"/>
      <c r="I20" s="58"/>
      <c r="J20" s="58"/>
      <c r="K20" s="58"/>
      <c r="L20" s="58"/>
      <c r="M20" s="58"/>
      <c r="N20" s="38"/>
      <c r="O20" s="38"/>
      <c r="P20" s="38"/>
      <c r="Q20" s="38"/>
      <c r="R20" s="58"/>
      <c r="S20" s="58"/>
      <c r="T20" s="58"/>
      <c r="U20" s="58"/>
      <c r="V20" s="58"/>
      <c r="W20" s="58"/>
      <c r="X20" s="58"/>
      <c r="Y20" s="58"/>
      <c r="Z20" s="435"/>
      <c r="AA20" s="346"/>
    </row>
    <row r="21" spans="1:27" ht="19.5" customHeight="1" thickBot="1">
      <c r="A21" s="645" t="s">
        <v>860</v>
      </c>
      <c r="B21" s="73"/>
      <c r="C21" s="74"/>
      <c r="D21" s="74"/>
      <c r="E21" s="75"/>
      <c r="F21" s="74"/>
      <c r="G21" s="71"/>
      <c r="H21" s="58"/>
      <c r="I21" s="58"/>
      <c r="J21" s="58"/>
      <c r="K21" s="58"/>
      <c r="L21" s="58"/>
      <c r="M21" s="58"/>
      <c r="N21" s="38"/>
      <c r="O21" s="38"/>
      <c r="P21" s="38"/>
      <c r="Q21" s="38"/>
      <c r="R21" s="58"/>
      <c r="S21" s="58"/>
      <c r="T21" s="58"/>
      <c r="U21" s="58"/>
      <c r="V21" s="58"/>
      <c r="W21" s="58"/>
      <c r="X21" s="58"/>
      <c r="Y21" s="58"/>
      <c r="Z21" s="435"/>
      <c r="AA21" s="346"/>
    </row>
    <row r="22" spans="1:27" ht="19.5" customHeight="1">
      <c r="A22" s="681"/>
      <c r="B22" s="682"/>
      <c r="C22" s="494"/>
      <c r="D22" s="683" t="s">
        <v>855</v>
      </c>
      <c r="E22" s="684">
        <f>MAX(Vout_eff*Nps,Vout2_actual*Nps/Nsec1sec2)*1.2</f>
        <v>10.241999999999999</v>
      </c>
      <c r="F22" s="685" t="s">
        <v>0</v>
      </c>
      <c r="G22" s="71"/>
      <c r="H22" s="711"/>
      <c r="I22" s="502"/>
      <c r="J22" s="502"/>
      <c r="K22" s="724" t="s">
        <v>848</v>
      </c>
      <c r="L22" s="617">
        <v>3.4</v>
      </c>
      <c r="M22" s="618" t="s">
        <v>20</v>
      </c>
      <c r="N22" s="38"/>
      <c r="O22" s="38"/>
      <c r="P22" s="38"/>
      <c r="Q22" s="38"/>
      <c r="R22" s="58"/>
      <c r="S22" s="58"/>
      <c r="T22" s="58"/>
      <c r="U22" s="58"/>
      <c r="V22" s="58"/>
      <c r="W22" s="58"/>
      <c r="X22" s="58"/>
      <c r="Y22" s="58"/>
      <c r="Z22" s="435"/>
      <c r="AA22" s="346"/>
    </row>
    <row r="23" spans="1:27" ht="19.5" customHeight="1" thickBot="1">
      <c r="A23" s="686"/>
      <c r="B23" s="73"/>
      <c r="C23" s="74"/>
      <c r="D23" s="67" t="s">
        <v>856</v>
      </c>
      <c r="E23" s="695">
        <v>16</v>
      </c>
      <c r="F23" s="641" t="s">
        <v>0</v>
      </c>
      <c r="G23" s="71"/>
      <c r="H23" s="69"/>
      <c r="I23" s="38"/>
      <c r="J23" s="3"/>
      <c r="K23" s="131" t="s">
        <v>857</v>
      </c>
      <c r="L23" s="716">
        <f>0.00000005*1*1000000000</f>
        <v>50</v>
      </c>
      <c r="M23" s="725" t="s">
        <v>31</v>
      </c>
      <c r="N23" s="38"/>
      <c r="O23" s="38"/>
      <c r="P23" s="38"/>
      <c r="Q23" s="38"/>
      <c r="R23" s="58"/>
      <c r="S23" s="58"/>
      <c r="T23" s="58"/>
      <c r="U23" s="58"/>
      <c r="V23" s="58"/>
      <c r="W23" s="58"/>
      <c r="X23" s="58"/>
      <c r="Y23" s="58"/>
      <c r="Z23" s="435"/>
      <c r="AA23" s="346"/>
    </row>
    <row r="24" spans="1:27" ht="19.5" customHeight="1">
      <c r="A24" s="364"/>
      <c r="B24" s="73"/>
      <c r="C24" s="70"/>
      <c r="D24" s="68" t="s">
        <v>851</v>
      </c>
      <c r="E24" s="676">
        <f>E8+E23*1.25</f>
        <v>36</v>
      </c>
      <c r="F24" s="82" t="s">
        <v>0</v>
      </c>
      <c r="G24" s="709"/>
      <c r="H24" s="680"/>
      <c r="I24" s="38"/>
      <c r="J24" s="38"/>
      <c r="K24" s="79" t="s">
        <v>858</v>
      </c>
      <c r="L24" s="121">
        <v>45.8</v>
      </c>
      <c r="M24" s="726" t="s">
        <v>31</v>
      </c>
      <c r="N24" s="38"/>
      <c r="O24" s="38"/>
      <c r="P24" s="38"/>
      <c r="Q24" s="38"/>
      <c r="R24" s="58"/>
      <c r="S24" s="58"/>
      <c r="T24" s="58"/>
      <c r="U24" s="58"/>
      <c r="V24" s="58"/>
      <c r="W24" s="58"/>
      <c r="X24" s="58"/>
      <c r="Y24" s="58"/>
      <c r="Z24" s="435"/>
      <c r="AA24" s="346"/>
    </row>
    <row r="25" spans="1:27" ht="19.5" customHeight="1" thickBot="1">
      <c r="A25" s="364"/>
      <c r="B25" s="73"/>
      <c r="C25" s="74"/>
      <c r="D25" s="68" t="s">
        <v>852</v>
      </c>
      <c r="E25" s="688" t="s">
        <v>854</v>
      </c>
      <c r="F25" s="641"/>
      <c r="G25" s="710"/>
      <c r="H25" s="69"/>
      <c r="I25" s="38"/>
      <c r="J25" s="38"/>
      <c r="K25" s="126" t="s">
        <v>859</v>
      </c>
      <c r="L25" s="121">
        <v>1270</v>
      </c>
      <c r="M25" s="726" t="s">
        <v>15</v>
      </c>
      <c r="N25" s="38"/>
      <c r="O25" s="38"/>
      <c r="P25" s="38"/>
      <c r="Q25" s="38"/>
      <c r="R25" s="58"/>
      <c r="S25" s="58"/>
      <c r="T25" s="58"/>
      <c r="U25" s="58"/>
      <c r="V25" s="58"/>
      <c r="W25" s="58"/>
      <c r="X25" s="58"/>
      <c r="Y25" s="58"/>
      <c r="Z25" s="435"/>
      <c r="AA25" s="346"/>
    </row>
    <row r="26" spans="1:27" ht="19.5" customHeight="1" thickBot="1">
      <c r="A26" s="687"/>
      <c r="B26" s="643"/>
      <c r="C26" s="87"/>
      <c r="D26" s="179" t="s">
        <v>853</v>
      </c>
      <c r="E26" s="689" t="str">
        <f>IF(VIN_min&lt;7, "No", "Yes")</f>
        <v>Yes</v>
      </c>
      <c r="F26" s="644"/>
      <c r="G26" s="71"/>
      <c r="H26" s="727"/>
      <c r="I26" s="433"/>
      <c r="J26" s="728"/>
      <c r="K26" s="729" t="s">
        <v>887</v>
      </c>
      <c r="L26" s="731">
        <f>'Variable Mgmt'!L112</f>
        <v>3.1457407192459947</v>
      </c>
      <c r="M26" s="730" t="s">
        <v>45</v>
      </c>
      <c r="N26" s="38"/>
      <c r="O26" s="38"/>
      <c r="P26" s="38"/>
      <c r="Q26" s="38"/>
      <c r="R26" s="58"/>
      <c r="S26" s="58"/>
      <c r="T26" s="58"/>
      <c r="U26" s="58"/>
      <c r="V26" s="58"/>
      <c r="W26" s="58"/>
      <c r="X26" s="58"/>
      <c r="Y26" s="58"/>
      <c r="Z26" s="435"/>
      <c r="AA26" s="346"/>
    </row>
    <row r="27" spans="1:27" ht="19.5" customHeight="1">
      <c r="A27" s="58"/>
      <c r="B27" s="73"/>
      <c r="C27" s="74"/>
      <c r="D27" s="68"/>
      <c r="E27" s="679"/>
      <c r="F27" s="74"/>
      <c r="G27" s="71"/>
      <c r="H27" s="58"/>
      <c r="I27" s="58"/>
      <c r="J27" s="58"/>
      <c r="K27" s="58"/>
      <c r="L27" s="58"/>
      <c r="M27" s="58"/>
      <c r="N27" s="38"/>
      <c r="O27" s="38"/>
      <c r="P27" s="38"/>
      <c r="Q27" s="38"/>
      <c r="R27" s="58"/>
      <c r="S27" s="58"/>
      <c r="T27" s="58"/>
      <c r="U27" s="58"/>
      <c r="V27" s="58"/>
      <c r="W27" s="58"/>
      <c r="X27" s="58"/>
      <c r="Y27" s="58"/>
      <c r="Z27" s="435"/>
      <c r="AA27" s="346"/>
    </row>
    <row r="28" spans="1:27" ht="19.5" customHeight="1" thickBot="1">
      <c r="A28" s="85" t="s">
        <v>861</v>
      </c>
      <c r="B28" s="73"/>
      <c r="C28" s="74"/>
      <c r="D28" s="74"/>
      <c r="E28" s="75"/>
      <c r="F28" s="74"/>
      <c r="G28" s="71"/>
      <c r="H28" s="708" t="s">
        <v>874</v>
      </c>
      <c r="I28" s="58"/>
      <c r="J28" s="58"/>
      <c r="K28" s="58"/>
      <c r="L28" s="58"/>
      <c r="M28" s="58"/>
      <c r="N28" s="38"/>
      <c r="O28" s="38"/>
      <c r="P28" s="38"/>
      <c r="Q28" s="38"/>
      <c r="R28" s="58"/>
      <c r="S28" s="58"/>
      <c r="T28" s="58"/>
      <c r="U28" s="58"/>
      <c r="V28" s="58"/>
      <c r="W28" s="58"/>
      <c r="X28" s="58"/>
      <c r="Y28" s="58"/>
      <c r="Z28" s="435"/>
      <c r="AA28" s="346"/>
    </row>
    <row r="29" spans="1:27" ht="15.75" customHeight="1" thickBot="1">
      <c r="A29" s="326"/>
      <c r="B29" s="493"/>
      <c r="C29" s="494"/>
      <c r="D29" s="178" t="s">
        <v>314</v>
      </c>
      <c r="E29" s="523">
        <f>'Variable Mgmt'!B151</f>
        <v>74.059944674376993</v>
      </c>
      <c r="F29" s="367" t="s">
        <v>97</v>
      </c>
      <c r="G29" s="71"/>
      <c r="H29" s="487"/>
      <c r="I29" s="430"/>
      <c r="J29" s="430"/>
      <c r="K29" s="713" t="str">
        <f>CHOOSE(MODE, "Min Diode Voltage Rating","Min Diode Voltage Rating, Output #1")</f>
        <v>Min Diode Voltage Rating, Output #1</v>
      </c>
      <c r="L29" s="732">
        <f>(VIN_max/Nps+Vout)*1.3</f>
        <v>637</v>
      </c>
      <c r="M29" s="733" t="s">
        <v>0</v>
      </c>
      <c r="N29" s="38"/>
      <c r="O29" s="487"/>
      <c r="P29" s="430"/>
      <c r="Q29" s="430"/>
      <c r="R29" s="713" t="s">
        <v>877</v>
      </c>
      <c r="S29" s="732">
        <f>(VIN_max/Npri_sec2+Vout2)*1.3</f>
        <v>46.468405797101454</v>
      </c>
      <c r="T29" s="733" t="s">
        <v>0</v>
      </c>
      <c r="U29" s="58"/>
      <c r="V29" s="58"/>
      <c r="W29" s="58"/>
      <c r="X29" s="58"/>
      <c r="Y29" s="58"/>
      <c r="Z29" s="435"/>
      <c r="AA29" s="346"/>
    </row>
    <row r="30" spans="1:27" ht="15.75" customHeight="1" thickBot="1">
      <c r="A30" s="76"/>
      <c r="B30" s="70"/>
      <c r="C30" s="74"/>
      <c r="D30" s="79" t="s">
        <v>141</v>
      </c>
      <c r="E30" s="77">
        <v>120</v>
      </c>
      <c r="F30" s="368" t="s">
        <v>97</v>
      </c>
      <c r="G30" s="71"/>
      <c r="H30" s="364"/>
      <c r="I30" s="58"/>
      <c r="J30" s="58"/>
      <c r="K30" s="712" t="str">
        <f>CHOOSE(MODE, "Min Diode DC Current Rating","Min Diode DC Current Rating, Output #1")</f>
        <v>Min Diode DC Current Rating, Output #1</v>
      </c>
      <c r="L30" s="328">
        <f>MAX(E11*3,0.5)</f>
        <v>1.5</v>
      </c>
      <c r="M30" s="734" t="s">
        <v>1</v>
      </c>
      <c r="N30" s="717"/>
      <c r="O30" s="364"/>
      <c r="P30" s="58"/>
      <c r="Q30" s="58"/>
      <c r="R30" s="712" t="s">
        <v>878</v>
      </c>
      <c r="S30" s="328">
        <f>MAX(E13*3,0.5)</f>
        <v>1.5</v>
      </c>
      <c r="T30" s="734" t="s">
        <v>1</v>
      </c>
      <c r="U30" s="58"/>
      <c r="V30" s="58"/>
      <c r="W30" s="58"/>
      <c r="X30" s="58"/>
      <c r="Y30" s="58"/>
      <c r="Z30" s="435"/>
      <c r="AA30" s="346"/>
    </row>
    <row r="31" spans="1:27" ht="15.75" customHeight="1" thickBot="1">
      <c r="A31" s="76"/>
      <c r="B31" s="70"/>
      <c r="C31" s="125"/>
      <c r="D31" s="120" t="s">
        <v>104</v>
      </c>
      <c r="E31" s="121">
        <v>15</v>
      </c>
      <c r="F31" s="366" t="s">
        <v>20</v>
      </c>
      <c r="G31" s="71"/>
      <c r="H31" s="687"/>
      <c r="I31" s="432"/>
      <c r="J31" s="432"/>
      <c r="K31" s="715" t="str">
        <f>CHOOSE(MODE, "Select  Diode Forward Drop VF","Select  Diode Forward Drop VF, Output #1")</f>
        <v>Select  Diode Forward Drop VF, Output #1</v>
      </c>
      <c r="L31" s="735">
        <v>2.5</v>
      </c>
      <c r="M31" s="736" t="s">
        <v>0</v>
      </c>
      <c r="N31" s="38"/>
      <c r="O31" s="687"/>
      <c r="P31" s="432"/>
      <c r="Q31" s="432"/>
      <c r="R31" s="715" t="s">
        <v>923</v>
      </c>
      <c r="S31" s="735">
        <v>0.8</v>
      </c>
      <c r="T31" s="736" t="s">
        <v>0</v>
      </c>
      <c r="U31" s="58"/>
      <c r="V31" s="58"/>
      <c r="W31" s="58"/>
      <c r="X31" s="58"/>
      <c r="Y31" s="58"/>
      <c r="Z31" s="435"/>
      <c r="AA31" s="346"/>
    </row>
    <row r="32" spans="1:27" ht="15.75" customHeight="1" thickBot="1">
      <c r="A32" s="80"/>
      <c r="B32" s="81"/>
      <c r="C32" s="87"/>
      <c r="D32" s="179" t="s">
        <v>496</v>
      </c>
      <c r="E32" s="180">
        <f>Vinripple2*1000</f>
        <v>924.84422642858317</v>
      </c>
      <c r="F32" s="84" t="s">
        <v>103</v>
      </c>
      <c r="G32" s="71"/>
      <c r="H32" s="771" t="s">
        <v>926</v>
      </c>
      <c r="I32" s="38"/>
      <c r="J32" s="38"/>
      <c r="K32" s="38"/>
      <c r="L32" s="38"/>
      <c r="M32" s="38"/>
      <c r="N32" s="38"/>
      <c r="O32" s="38"/>
      <c r="P32" s="38"/>
      <c r="Q32" s="38"/>
      <c r="R32" s="58"/>
      <c r="S32" s="58"/>
      <c r="T32" s="58"/>
      <c r="U32" s="58"/>
      <c r="V32" s="58"/>
      <c r="W32" s="58"/>
      <c r="X32" s="58"/>
      <c r="Y32" s="58"/>
      <c r="Z32" s="435"/>
      <c r="AA32" s="346"/>
    </row>
    <row r="33" spans="1:27" ht="15.75" customHeight="1" thickBot="1">
      <c r="A33" s="361"/>
      <c r="B33" s="362"/>
      <c r="C33" s="363"/>
      <c r="D33" s="363" t="str">
        <f>CHOOSE(MODE, "Minimum Output Capacitance", "Minimum Output Capacitance, Output #1")</f>
        <v>Minimum Output Capacitance, Output #1</v>
      </c>
      <c r="E33" s="535">
        <f>'Variable Mgmt'!B126</f>
        <v>4.7</v>
      </c>
      <c r="F33" s="367" t="s">
        <v>97</v>
      </c>
      <c r="G33" s="503"/>
      <c r="H33" s="494"/>
      <c r="I33" s="502"/>
      <c r="J33" s="430"/>
      <c r="K33" s="363" t="str">
        <f>CHOOSE(MODE, "", "Minimum Output Capacitance, Output #2")</f>
        <v>Minimum Output Capacitance, Output #2</v>
      </c>
      <c r="L33" s="535">
        <f>'Variable Mgmt'!B136</f>
        <v>19.054191103690975</v>
      </c>
      <c r="M33" s="367" t="s">
        <v>97</v>
      </c>
      <c r="N33" s="38"/>
      <c r="O33" s="38"/>
      <c r="P33" s="38"/>
      <c r="Q33" s="38"/>
      <c r="R33" s="58"/>
      <c r="S33" s="58"/>
      <c r="T33" s="58"/>
      <c r="U33" s="58"/>
      <c r="V33" s="58"/>
      <c r="W33" s="58"/>
      <c r="X33" s="58"/>
      <c r="Y33" s="58"/>
      <c r="Z33" s="435"/>
      <c r="AA33" s="346"/>
    </row>
    <row r="34" spans="1:27" ht="15.75" customHeight="1">
      <c r="A34" s="69"/>
      <c r="B34" s="70"/>
      <c r="C34" s="113"/>
      <c r="D34" s="126" t="s">
        <v>140</v>
      </c>
      <c r="E34" s="121">
        <v>6</v>
      </c>
      <c r="F34" s="366" t="s">
        <v>97</v>
      </c>
      <c r="G34" s="504"/>
      <c r="H34" s="70"/>
      <c r="I34" s="38"/>
      <c r="J34" s="58"/>
      <c r="K34" s="126" t="s">
        <v>532</v>
      </c>
      <c r="L34" s="121">
        <v>30</v>
      </c>
      <c r="M34" s="366" t="s">
        <v>97</v>
      </c>
      <c r="N34" s="38"/>
      <c r="O34" s="771" t="s">
        <v>922</v>
      </c>
      <c r="P34" s="38"/>
      <c r="Q34" s="38"/>
      <c r="R34" s="58"/>
      <c r="S34" s="58"/>
      <c r="T34" s="58"/>
      <c r="U34" s="58"/>
      <c r="V34" s="58"/>
      <c r="W34" s="58"/>
      <c r="X34" s="58"/>
      <c r="Y34" s="58"/>
      <c r="Z34" s="435"/>
      <c r="AA34" s="346"/>
    </row>
    <row r="35" spans="1:27" ht="16.5" customHeight="1" thickBot="1">
      <c r="A35" s="69"/>
      <c r="B35" s="70"/>
      <c r="C35" s="125"/>
      <c r="D35" s="120" t="s">
        <v>533</v>
      </c>
      <c r="E35" s="121">
        <v>15</v>
      </c>
      <c r="F35" s="366" t="s">
        <v>20</v>
      </c>
      <c r="G35" s="505"/>
      <c r="H35" s="70"/>
      <c r="I35" s="38"/>
      <c r="J35" s="58"/>
      <c r="K35" s="120" t="s">
        <v>533</v>
      </c>
      <c r="L35" s="121">
        <v>8</v>
      </c>
      <c r="M35" s="366" t="s">
        <v>20</v>
      </c>
      <c r="N35" s="38"/>
      <c r="O35" s="38"/>
      <c r="P35" s="38"/>
      <c r="Q35" s="38"/>
      <c r="R35" s="58"/>
      <c r="S35" s="58"/>
      <c r="T35" s="58"/>
      <c r="U35" s="58"/>
      <c r="V35" s="58"/>
      <c r="W35" s="58"/>
      <c r="X35" s="58"/>
      <c r="Y35" s="58"/>
      <c r="Z35" s="435"/>
      <c r="AA35" s="346"/>
    </row>
    <row r="36" spans="1:27" ht="15.75" customHeight="1" thickBot="1">
      <c r="A36" s="80"/>
      <c r="B36" s="83"/>
      <c r="C36" s="83"/>
      <c r="D36" s="179" t="str">
        <f>CHOOSE(MODE, "Resulting Output Voltage Ripple", "Resulting Output Voltage Ripple, Output #1")</f>
        <v>Resulting Output Voltage Ripple, Output #1</v>
      </c>
      <c r="E36" s="180">
        <f>Vripple1_actual</f>
        <v>926.62394269987169</v>
      </c>
      <c r="F36" s="84" t="s">
        <v>103</v>
      </c>
      <c r="G36" s="503"/>
      <c r="H36" s="83"/>
      <c r="I36" s="433"/>
      <c r="J36" s="432"/>
      <c r="K36" s="179" t="str">
        <f>CHOOSE(MODE, "", "Resulting Output Voltage Ripple, Output #2")</f>
        <v>Resulting Output Voltage Ripple, Output #2</v>
      </c>
      <c r="L36" s="180">
        <f>Vripple2_actual</f>
        <v>187.82478853997432</v>
      </c>
      <c r="M36" s="84" t="s">
        <v>103</v>
      </c>
      <c r="N36" s="38"/>
      <c r="O36" s="38"/>
      <c r="P36" s="38"/>
      <c r="Q36" s="38"/>
      <c r="R36" s="58"/>
      <c r="S36" s="58"/>
      <c r="T36" s="58"/>
      <c r="U36" s="58"/>
      <c r="V36" s="58"/>
      <c r="W36" s="58"/>
      <c r="X36" s="58"/>
      <c r="Y36" s="58"/>
      <c r="Z36" s="435"/>
      <c r="AA36" s="346"/>
    </row>
    <row r="37" spans="1:27" ht="13.5" customHeight="1">
      <c r="A37" s="364"/>
      <c r="B37" s="58"/>
      <c r="C37" s="58"/>
      <c r="D37" s="58"/>
      <c r="E37" s="58"/>
      <c r="F37" s="58"/>
      <c r="G37" s="58"/>
      <c r="H37" s="58"/>
      <c r="I37" s="58"/>
      <c r="J37" s="58"/>
      <c r="K37" s="58"/>
      <c r="L37" s="58"/>
      <c r="M37" s="58"/>
      <c r="N37" s="38"/>
      <c r="O37" s="38"/>
      <c r="P37" s="38"/>
      <c r="Q37" s="38"/>
      <c r="R37" s="58"/>
      <c r="S37" s="58"/>
      <c r="T37" s="58"/>
      <c r="U37" s="58"/>
      <c r="V37" s="58"/>
      <c r="W37" s="58"/>
      <c r="X37" s="58"/>
      <c r="Y37" s="58"/>
      <c r="Z37" s="435"/>
      <c r="AA37" s="346"/>
    </row>
    <row r="38" spans="1:27" ht="19.5" customHeight="1" thickBot="1">
      <c r="A38" s="85" t="s">
        <v>879</v>
      </c>
      <c r="B38" s="73"/>
      <c r="C38" s="70"/>
      <c r="D38" s="68"/>
      <c r="E38" s="70"/>
      <c r="F38" s="70"/>
      <c r="G38" s="70"/>
      <c r="H38" s="70"/>
      <c r="I38" s="38"/>
      <c r="J38" s="38"/>
      <c r="K38" s="38"/>
      <c r="L38" s="38"/>
      <c r="M38" s="38"/>
      <c r="N38" s="38"/>
      <c r="O38" s="38"/>
      <c r="P38" s="38"/>
      <c r="Q38" s="38"/>
      <c r="R38" s="58"/>
      <c r="S38" s="58"/>
      <c r="T38" s="58"/>
      <c r="U38" s="58"/>
      <c r="V38" s="58"/>
      <c r="W38" s="58"/>
      <c r="X38" s="58"/>
      <c r="Y38" s="58"/>
      <c r="Z38" s="435"/>
      <c r="AA38" s="346"/>
    </row>
    <row r="39" spans="1:27" ht="15.75" customHeight="1">
      <c r="A39" s="118"/>
      <c r="B39" s="119"/>
      <c r="C39" s="178"/>
      <c r="D39" s="178" t="s">
        <v>370</v>
      </c>
      <c r="E39" s="496">
        <f>Rfb_recommend</f>
        <v>85.35</v>
      </c>
      <c r="F39" s="442" t="s">
        <v>21</v>
      </c>
      <c r="G39" s="70"/>
      <c r="H39" s="70"/>
      <c r="I39" s="38"/>
      <c r="J39" s="38"/>
      <c r="K39" s="38"/>
      <c r="L39" s="38"/>
      <c r="M39" s="38"/>
      <c r="N39" s="38"/>
      <c r="O39" s="38"/>
      <c r="P39" s="38"/>
      <c r="Q39" s="38"/>
      <c r="R39" s="58"/>
      <c r="S39" s="58"/>
      <c r="T39" s="58"/>
      <c r="U39" s="58"/>
      <c r="V39" s="58"/>
      <c r="W39" s="58"/>
      <c r="X39" s="58"/>
      <c r="Y39" s="58"/>
      <c r="Z39" s="435"/>
      <c r="AA39" s="346"/>
    </row>
    <row r="40" spans="1:27" ht="15.75" customHeight="1" thickBot="1">
      <c r="A40" s="112"/>
      <c r="B40" s="111"/>
      <c r="C40" s="113"/>
      <c r="D40" s="126" t="s">
        <v>369</v>
      </c>
      <c r="E40" s="127">
        <v>84.5</v>
      </c>
      <c r="F40" s="122" t="str">
        <f>IF(Vout=Vref,"","kΩ")</f>
        <v>kΩ</v>
      </c>
      <c r="G40" s="70"/>
      <c r="H40" s="70"/>
      <c r="I40" s="38"/>
      <c r="J40" s="38"/>
      <c r="K40" s="38"/>
      <c r="L40" s="38"/>
      <c r="M40" s="38"/>
      <c r="N40" s="38"/>
      <c r="O40" s="38"/>
      <c r="P40" s="38"/>
      <c r="Q40" s="38"/>
      <c r="R40" s="58"/>
      <c r="S40" s="58"/>
      <c r="T40" s="58"/>
      <c r="U40" s="58"/>
      <c r="V40" s="58"/>
      <c r="W40" s="58"/>
      <c r="X40" s="58"/>
      <c r="Y40" s="58"/>
      <c r="Z40" s="435"/>
      <c r="AA40" s="346"/>
    </row>
    <row r="41" spans="1:27" ht="14.1" customHeight="1">
      <c r="A41" s="330"/>
      <c r="B41" s="331"/>
      <c r="C41" s="332"/>
      <c r="D41" s="333" t="s">
        <v>292</v>
      </c>
      <c r="E41" s="332" t="s">
        <v>682</v>
      </c>
      <c r="F41" s="334"/>
      <c r="G41" s="71"/>
      <c r="H41" s="70"/>
      <c r="I41" s="38"/>
      <c r="J41" s="38"/>
      <c r="K41" s="38"/>
      <c r="L41" s="38"/>
      <c r="M41" s="38"/>
      <c r="N41" s="38"/>
      <c r="O41" s="38"/>
      <c r="P41" s="38"/>
      <c r="Q41" s="38"/>
      <c r="R41" s="58"/>
      <c r="S41" s="58"/>
      <c r="T41" s="58"/>
      <c r="U41" s="58"/>
      <c r="V41" s="58"/>
      <c r="W41" s="58"/>
      <c r="X41" s="58"/>
      <c r="Y41" s="58"/>
      <c r="Z41" s="435"/>
      <c r="AA41" s="346"/>
    </row>
    <row r="42" spans="1:27" ht="16.5" customHeight="1">
      <c r="A42" s="112"/>
      <c r="B42" s="111"/>
      <c r="C42" s="111"/>
      <c r="D42" s="124" t="str">
        <f>CHOOSE(MODE_SS,"Soft-Start Time","*Leave SS Pin Open or Supply by Ext. Bias")</f>
        <v>Soft-Start Time</v>
      </c>
      <c r="E42" s="121">
        <v>20</v>
      </c>
      <c r="F42" s="122" t="s">
        <v>63</v>
      </c>
      <c r="G42" s="71"/>
      <c r="H42" s="70"/>
      <c r="I42" s="38"/>
      <c r="J42" s="38"/>
      <c r="K42" s="38"/>
      <c r="L42" s="38"/>
      <c r="M42" s="38"/>
      <c r="N42" s="38"/>
      <c r="O42" s="38"/>
      <c r="P42" s="38"/>
      <c r="Q42" s="38"/>
      <c r="R42" s="58"/>
      <c r="S42" s="58"/>
      <c r="T42" s="58"/>
      <c r="U42" s="58"/>
      <c r="V42" s="58"/>
      <c r="W42" s="58"/>
      <c r="X42" s="58"/>
      <c r="Y42" s="58"/>
      <c r="Z42" s="435"/>
      <c r="AA42" s="346"/>
    </row>
    <row r="43" spans="1:27" ht="16.5" customHeight="1" thickBot="1">
      <c r="A43" s="115"/>
      <c r="B43" s="116"/>
      <c r="C43" s="116"/>
      <c r="D43" s="315" t="s">
        <v>142</v>
      </c>
      <c r="E43" s="329">
        <f>IF(Tss&gt;0.0001,Css_u*1000000000,"N/A")</f>
        <v>100</v>
      </c>
      <c r="F43" s="117" t="s">
        <v>56</v>
      </c>
      <c r="G43" s="71"/>
      <c r="H43" s="70"/>
      <c r="I43" s="38"/>
      <c r="J43" s="38"/>
      <c r="K43" s="38"/>
      <c r="L43" s="38"/>
      <c r="M43" s="38"/>
      <c r="N43" s="38"/>
      <c r="O43" s="38"/>
      <c r="P43" s="38"/>
      <c r="Q43" s="38"/>
      <c r="R43" s="58"/>
      <c r="S43" s="58"/>
      <c r="T43" s="58"/>
      <c r="U43" s="58"/>
      <c r="V43" s="58"/>
      <c r="W43" s="58"/>
      <c r="X43" s="58"/>
      <c r="Y43" s="58"/>
      <c r="Z43" s="435"/>
      <c r="AA43" s="346"/>
    </row>
    <row r="44" spans="1:27" ht="15.75" customHeight="1">
      <c r="A44" s="112"/>
      <c r="B44" s="111"/>
      <c r="C44" s="111"/>
      <c r="D44" s="67" t="s">
        <v>381</v>
      </c>
      <c r="E44" s="123"/>
      <c r="F44" s="114"/>
      <c r="G44" s="70"/>
      <c r="H44" s="70"/>
      <c r="I44" s="38"/>
      <c r="J44" s="38"/>
      <c r="K44" s="38"/>
      <c r="L44" s="38"/>
      <c r="M44" s="38"/>
      <c r="N44" s="38"/>
      <c r="O44" s="38"/>
      <c r="P44" s="38"/>
      <c r="Q44" s="38"/>
      <c r="R44" s="58"/>
      <c r="S44" s="58"/>
      <c r="T44" s="58"/>
      <c r="U44" s="58"/>
      <c r="V44" s="58"/>
      <c r="W44" s="58"/>
      <c r="X44" s="58"/>
      <c r="Y44" s="58"/>
      <c r="Z44" s="435"/>
      <c r="AA44" s="346"/>
    </row>
    <row r="45" spans="1:27" ht="15.75" customHeight="1">
      <c r="A45" s="112"/>
      <c r="B45" s="111"/>
      <c r="C45" s="111"/>
      <c r="D45" s="67" t="str">
        <f>CHOOSE(TC,"Diode Voltage Drop Thermal Coefficient","*Leave TC Pin Open")</f>
        <v>*Leave TC Pin Open</v>
      </c>
      <c r="E45" s="500">
        <f>(450-300)/(-55-25)</f>
        <v>-1.875</v>
      </c>
      <c r="F45" s="114" t="s">
        <v>380</v>
      </c>
      <c r="G45" s="70"/>
      <c r="H45" s="70"/>
      <c r="I45" s="38"/>
      <c r="J45" s="38"/>
      <c r="K45" s="38"/>
      <c r="L45" s="38"/>
      <c r="M45" s="38"/>
      <c r="N45" s="38"/>
      <c r="O45" s="38"/>
      <c r="P45" s="38"/>
      <c r="Q45" s="38"/>
      <c r="R45" s="58"/>
      <c r="S45" s="58"/>
      <c r="T45" s="58"/>
      <c r="U45" s="58"/>
      <c r="V45" s="58"/>
      <c r="W45" s="58"/>
      <c r="X45" s="58"/>
      <c r="Y45" s="58"/>
      <c r="Z45" s="435"/>
      <c r="AA45" s="346"/>
    </row>
    <row r="46" spans="1:27" ht="15.75" customHeight="1" thickBot="1">
      <c r="A46" s="115"/>
      <c r="B46" s="128"/>
      <c r="C46" s="128"/>
      <c r="D46" s="436" t="s">
        <v>382</v>
      </c>
      <c r="E46" s="450">
        <f>RTC</f>
        <v>3570</v>
      </c>
      <c r="F46" s="451" t="s">
        <v>21</v>
      </c>
      <c r="G46" s="70"/>
      <c r="H46" s="70"/>
      <c r="I46" s="38"/>
      <c r="J46" s="38"/>
      <c r="K46" s="56"/>
      <c r="L46" s="38"/>
      <c r="M46" s="38"/>
      <c r="N46" s="38"/>
      <c r="O46" s="38"/>
      <c r="P46" s="38"/>
      <c r="Q46" s="38"/>
      <c r="R46" s="58"/>
      <c r="S46" s="58"/>
      <c r="T46" s="58"/>
      <c r="U46" s="58"/>
      <c r="V46" s="58"/>
      <c r="W46" s="58"/>
      <c r="X46" s="58"/>
      <c r="Y46" s="58"/>
      <c r="Z46" s="435"/>
      <c r="AA46" s="346"/>
    </row>
    <row r="47" spans="1:27" ht="16.5" customHeight="1">
      <c r="A47" s="387"/>
      <c r="B47" s="437"/>
      <c r="C47" s="437"/>
      <c r="D47" s="696" t="s">
        <v>303</v>
      </c>
      <c r="E47" s="697"/>
      <c r="F47" s="690"/>
      <c r="G47" s="70"/>
      <c r="H47" s="70"/>
      <c r="I47" s="38"/>
      <c r="J47" s="38"/>
      <c r="K47" s="38"/>
      <c r="L47" s="38"/>
      <c r="M47" s="38"/>
      <c r="N47" s="38"/>
      <c r="O47" s="38"/>
      <c r="P47" s="38"/>
      <c r="Q47" s="38"/>
      <c r="R47" s="58"/>
      <c r="S47" s="58"/>
      <c r="T47" s="58"/>
      <c r="U47" s="58"/>
      <c r="V47" s="58"/>
      <c r="W47" s="58"/>
      <c r="X47" s="58"/>
      <c r="Y47" s="58"/>
      <c r="Z47" s="435"/>
      <c r="AA47" s="346"/>
    </row>
    <row r="48" spans="1:27" ht="15.75" customHeight="1">
      <c r="A48" s="112"/>
      <c r="B48" s="111"/>
      <c r="C48" s="125"/>
      <c r="D48" s="126" t="str">
        <f>CHOOSE(MODE_UVLO, "Input UVLO Turn-On Threshold", "*Connect EN pin to VIN or Logic HIGH")</f>
        <v>Input UVLO Turn-On Threshold</v>
      </c>
      <c r="E48" s="127">
        <v>8.5</v>
      </c>
      <c r="F48" s="122" t="s">
        <v>0</v>
      </c>
      <c r="G48" s="70"/>
      <c r="H48" s="70"/>
      <c r="I48" s="58"/>
      <c r="J48" s="58"/>
      <c r="K48" s="58"/>
      <c r="L48" s="181"/>
      <c r="M48" s="38"/>
      <c r="N48" s="38"/>
      <c r="O48" s="38"/>
      <c r="P48" s="38"/>
      <c r="Q48" s="38"/>
      <c r="R48" s="58"/>
      <c r="S48" s="58"/>
      <c r="T48" s="58"/>
      <c r="U48" s="58"/>
      <c r="V48" s="58"/>
      <c r="W48" s="58"/>
      <c r="X48" s="58"/>
      <c r="Y48" s="58"/>
      <c r="Z48" s="435"/>
      <c r="AA48" s="346"/>
    </row>
    <row r="49" spans="1:27" ht="15.75" customHeight="1">
      <c r="A49" s="112"/>
      <c r="B49" s="111"/>
      <c r="C49" s="111"/>
      <c r="D49" s="126" t="str">
        <f>CHOOSE(MODE_UVLO, "Input UVLO Turn-Off Threshold", "")</f>
        <v>Input UVLO Turn-Off Threshold</v>
      </c>
      <c r="E49" s="127">
        <v>8</v>
      </c>
      <c r="F49" s="122" t="s">
        <v>0</v>
      </c>
      <c r="G49" s="70"/>
      <c r="H49" s="113"/>
      <c r="I49" s="182"/>
      <c r="J49" s="184"/>
      <c r="K49" s="58"/>
      <c r="L49" s="58"/>
      <c r="M49" s="38"/>
      <c r="N49" s="38"/>
      <c r="O49" s="38"/>
      <c r="P49" s="38"/>
      <c r="Q49" s="38"/>
      <c r="R49" s="58"/>
      <c r="S49" s="58"/>
      <c r="T49" s="58"/>
      <c r="U49" s="58"/>
      <c r="V49" s="58"/>
      <c r="W49" s="58"/>
      <c r="X49" s="58"/>
      <c r="Y49" s="58"/>
      <c r="Z49" s="435"/>
      <c r="AA49" s="346"/>
    </row>
    <row r="50" spans="1:27" ht="15.75" customHeight="1">
      <c r="A50" s="698"/>
      <c r="B50" s="699"/>
      <c r="C50" s="700"/>
      <c r="D50" s="701" t="s">
        <v>821</v>
      </c>
      <c r="E50" s="702">
        <f>'Variable Mgmt'!F181</f>
        <v>43.2</v>
      </c>
      <c r="F50" s="703" t="s">
        <v>21</v>
      </c>
      <c r="G50" s="70"/>
      <c r="H50" s="113"/>
      <c r="I50" s="182"/>
      <c r="J50" s="184"/>
      <c r="K50" s="58"/>
      <c r="L50" s="58"/>
      <c r="M50" s="38"/>
      <c r="N50" s="38"/>
      <c r="O50" s="38"/>
      <c r="P50" s="38"/>
      <c r="Q50" s="38"/>
      <c r="R50" s="58"/>
      <c r="S50" s="58"/>
      <c r="T50" s="58"/>
      <c r="U50" s="58"/>
      <c r="V50" s="58"/>
      <c r="W50" s="58"/>
      <c r="X50" s="58"/>
      <c r="Y50" s="58"/>
      <c r="Z50" s="435"/>
      <c r="AA50" s="346"/>
    </row>
    <row r="51" spans="1:27" ht="15.75" customHeight="1">
      <c r="A51" s="704"/>
      <c r="B51" s="705"/>
      <c r="C51" s="705"/>
      <c r="D51" s="706" t="s">
        <v>822</v>
      </c>
      <c r="E51" s="706">
        <f>'Variable Mgmt'!F182</f>
        <v>9.31</v>
      </c>
      <c r="F51" s="707" t="s">
        <v>21</v>
      </c>
      <c r="G51" s="70"/>
      <c r="H51" s="186"/>
      <c r="I51" s="124"/>
      <c r="J51" s="498"/>
      <c r="K51" s="185"/>
      <c r="L51" s="58"/>
      <c r="M51" s="38"/>
      <c r="N51" s="38"/>
      <c r="O51" s="38"/>
      <c r="P51" s="38"/>
      <c r="Q51" s="38"/>
      <c r="R51" s="58"/>
      <c r="S51" s="58"/>
      <c r="T51" s="58"/>
      <c r="U51" s="58"/>
      <c r="V51" s="58"/>
      <c r="W51" s="58"/>
      <c r="X51" s="58"/>
      <c r="Y51" s="58"/>
      <c r="Z51" s="435"/>
      <c r="AA51" s="346"/>
    </row>
    <row r="52" spans="1:27" ht="15.75" customHeight="1">
      <c r="A52" s="112"/>
      <c r="B52" s="111"/>
      <c r="C52" s="111"/>
      <c r="D52" s="113"/>
      <c r="E52" s="113"/>
      <c r="F52" s="58"/>
      <c r="G52" s="70"/>
      <c r="H52" s="186"/>
      <c r="I52" s="124"/>
      <c r="J52" s="498"/>
      <c r="K52" s="185"/>
      <c r="L52" s="58"/>
      <c r="M52" s="38"/>
      <c r="N52" s="38"/>
      <c r="O52" s="38"/>
      <c r="P52" s="38"/>
      <c r="Q52" s="38"/>
      <c r="R52" s="58"/>
      <c r="S52" s="58"/>
      <c r="T52" s="58"/>
      <c r="U52" s="58"/>
      <c r="V52" s="58"/>
      <c r="W52" s="58"/>
      <c r="X52" s="58"/>
      <c r="Y52" s="58"/>
      <c r="Z52" s="435"/>
      <c r="AA52" s="346"/>
    </row>
    <row r="53" spans="1:27" ht="15.75" customHeight="1" thickBot="1">
      <c r="A53" s="85" t="s">
        <v>889</v>
      </c>
      <c r="B53" s="111"/>
      <c r="C53" s="111"/>
      <c r="D53" s="126" t="s">
        <v>862</v>
      </c>
      <c r="E53" s="113"/>
      <c r="F53" s="70"/>
      <c r="G53" s="70"/>
      <c r="H53" s="70"/>
      <c r="I53" s="58"/>
      <c r="J53" s="183"/>
      <c r="K53" s="58"/>
      <c r="L53" s="58"/>
      <c r="M53" s="38"/>
      <c r="N53" s="38"/>
      <c r="O53" s="38"/>
      <c r="P53" s="38"/>
      <c r="Q53" s="38" t="s">
        <v>78</v>
      </c>
      <c r="R53" s="58"/>
      <c r="S53" s="58"/>
      <c r="T53" s="58"/>
      <c r="U53" s="58"/>
      <c r="V53" s="58"/>
      <c r="W53" s="58"/>
      <c r="X53" s="58"/>
      <c r="Y53" s="58"/>
      <c r="Z53" s="435"/>
      <c r="AA53" s="346"/>
    </row>
    <row r="54" spans="1:27" ht="15.75" hidden="1" customHeight="1">
      <c r="A54" s="387"/>
      <c r="B54" s="437"/>
      <c r="C54" s="178"/>
      <c r="D54" s="178" t="s">
        <v>800</v>
      </c>
      <c r="E54" s="496">
        <f>pole1/1000</f>
        <v>0.11487552375912249</v>
      </c>
      <c r="F54" s="690" t="s">
        <v>2</v>
      </c>
      <c r="G54" s="70"/>
      <c r="H54" s="70"/>
      <c r="I54" s="58"/>
      <c r="J54" s="183"/>
      <c r="K54" s="58"/>
      <c r="L54" s="58"/>
      <c r="M54" s="38"/>
      <c r="N54" s="38"/>
      <c r="O54" s="38"/>
      <c r="P54" s="38"/>
      <c r="Q54" s="38"/>
      <c r="R54" s="58"/>
      <c r="S54" s="58"/>
      <c r="T54" s="58"/>
      <c r="U54" s="58"/>
      <c r="V54" s="58"/>
      <c r="W54" s="58"/>
      <c r="X54" s="58"/>
      <c r="Y54" s="58"/>
      <c r="Z54" s="435"/>
      <c r="AA54" s="346"/>
    </row>
    <row r="55" spans="1:27" ht="15.75" hidden="1" customHeight="1">
      <c r="A55" s="112"/>
      <c r="B55" s="111"/>
      <c r="C55" s="113"/>
      <c r="D55" s="113" t="s">
        <v>797</v>
      </c>
      <c r="E55" s="646">
        <f>Zero1/1000</f>
        <v>482.28770689017091</v>
      </c>
      <c r="F55" s="114" t="s">
        <v>2</v>
      </c>
      <c r="G55" s="70"/>
      <c r="H55" s="113"/>
      <c r="I55" s="182"/>
      <c r="J55" s="184"/>
      <c r="K55" s="58"/>
      <c r="L55" s="58"/>
      <c r="M55" s="38"/>
      <c r="N55" s="38"/>
      <c r="O55" s="38"/>
      <c r="P55" s="38"/>
      <c r="Q55" s="38"/>
      <c r="R55" s="58"/>
      <c r="S55" s="58"/>
      <c r="T55" s="58"/>
      <c r="U55" s="58"/>
      <c r="V55" s="58"/>
      <c r="W55" s="58"/>
      <c r="X55" s="58"/>
      <c r="Y55" s="58"/>
      <c r="Z55" s="435"/>
      <c r="AA55" s="346"/>
    </row>
    <row r="56" spans="1:27" ht="15.75" hidden="1" customHeight="1">
      <c r="A56" s="112"/>
      <c r="B56" s="111"/>
      <c r="C56" s="113"/>
      <c r="D56" s="113" t="s">
        <v>798</v>
      </c>
      <c r="E56" s="646">
        <f>z_RHP/1000</f>
        <v>69.536508465285436</v>
      </c>
      <c r="F56" s="114" t="s">
        <v>2</v>
      </c>
      <c r="G56" s="70"/>
      <c r="H56" s="113"/>
      <c r="I56" s="182"/>
      <c r="J56" s="184"/>
      <c r="K56" s="58"/>
      <c r="L56" s="58"/>
      <c r="M56" s="38"/>
      <c r="N56" s="38"/>
      <c r="O56" s="38"/>
      <c r="P56" s="38"/>
      <c r="Q56" s="38"/>
      <c r="R56" s="58"/>
      <c r="S56" s="58"/>
      <c r="T56" s="58"/>
      <c r="U56" s="58"/>
      <c r="V56" s="58"/>
      <c r="W56" s="58"/>
      <c r="X56" s="58"/>
      <c r="Y56" s="58"/>
      <c r="Z56" s="435"/>
      <c r="AA56" s="346"/>
    </row>
    <row r="57" spans="1:27" ht="15.75" customHeight="1">
      <c r="A57" s="387"/>
      <c r="B57" s="437"/>
      <c r="C57" s="178"/>
      <c r="D57" s="178" t="s">
        <v>799</v>
      </c>
      <c r="E57" s="496">
        <f>MIN(E56/10,'Calculations - Single'!DC212/10)*0+MIN(E56/10,CHOOSE(MODE,'Calculations - Single'!DC212/10,'Calculations - Dual'!DQ212/10))</f>
        <v>6.9536508465285438</v>
      </c>
      <c r="F57" s="690" t="s">
        <v>2</v>
      </c>
      <c r="G57" s="70"/>
      <c r="H57" s="70"/>
      <c r="I57" s="38"/>
      <c r="J57" s="38"/>
      <c r="K57" s="38"/>
      <c r="L57" s="38"/>
      <c r="M57" s="38"/>
      <c r="N57" s="38"/>
      <c r="O57" s="38"/>
      <c r="P57" s="38"/>
      <c r="Q57" s="38"/>
      <c r="R57" s="58"/>
      <c r="S57" s="58"/>
      <c r="T57" s="58"/>
      <c r="U57" s="58"/>
      <c r="V57" s="58"/>
      <c r="W57" s="58"/>
      <c r="X57" s="58"/>
      <c r="Y57" s="58"/>
      <c r="Z57" s="435"/>
      <c r="AA57" s="346"/>
    </row>
    <row r="58" spans="1:27" ht="15.75" customHeight="1">
      <c r="A58" s="112"/>
      <c r="B58" s="111"/>
      <c r="C58" s="111"/>
      <c r="D58" s="126" t="s">
        <v>864</v>
      </c>
      <c r="E58" s="500">
        <v>5</v>
      </c>
      <c r="F58" s="738" t="s">
        <v>2</v>
      </c>
      <c r="G58" s="70"/>
      <c r="H58" s="70"/>
      <c r="I58" s="38"/>
      <c r="J58" s="38"/>
      <c r="K58" s="38"/>
      <c r="L58" s="38"/>
      <c r="M58" s="38"/>
      <c r="N58" s="38"/>
      <c r="O58" s="38"/>
      <c r="P58" s="38"/>
      <c r="Q58" s="38"/>
      <c r="R58" s="58"/>
      <c r="S58" s="58"/>
      <c r="T58" s="58"/>
      <c r="U58" s="58"/>
      <c r="V58" s="58"/>
      <c r="W58" s="58"/>
      <c r="X58" s="58"/>
      <c r="Y58" s="58"/>
      <c r="Z58" s="435"/>
      <c r="AA58" s="346"/>
    </row>
    <row r="59" spans="1:27" ht="15.75" customHeight="1">
      <c r="A59" s="112"/>
      <c r="B59" s="111"/>
      <c r="C59" s="113"/>
      <c r="D59" s="113" t="s">
        <v>815</v>
      </c>
      <c r="E59" s="646">
        <f>'Stability Calculations'!D64</f>
        <v>54.642186201481579</v>
      </c>
      <c r="F59" s="739" t="s">
        <v>813</v>
      </c>
      <c r="G59" s="70"/>
      <c r="H59" s="70"/>
      <c r="I59" s="38"/>
      <c r="J59" s="38"/>
      <c r="K59" s="38"/>
      <c r="L59" s="38"/>
      <c r="M59" s="38"/>
      <c r="N59" s="38"/>
      <c r="O59" s="38"/>
      <c r="P59" s="38"/>
      <c r="Q59" s="38"/>
      <c r="R59" s="58"/>
      <c r="S59" s="58"/>
      <c r="T59" s="58"/>
      <c r="U59" s="58"/>
      <c r="V59" s="58"/>
      <c r="W59" s="58"/>
      <c r="X59" s="58"/>
      <c r="Y59" s="58"/>
      <c r="Z59" s="435"/>
      <c r="AA59" s="346"/>
    </row>
    <row r="60" spans="1:27" ht="15.75" customHeight="1">
      <c r="A60" s="112"/>
      <c r="B60" s="111"/>
      <c r="C60" s="113"/>
      <c r="D60" s="126" t="s">
        <v>816</v>
      </c>
      <c r="E60" s="664">
        <v>56</v>
      </c>
      <c r="F60" s="738" t="s">
        <v>814</v>
      </c>
      <c r="G60" s="70"/>
      <c r="H60" s="70"/>
      <c r="I60" s="38"/>
      <c r="J60" s="38"/>
      <c r="K60" s="38"/>
      <c r="L60" s="38"/>
      <c r="M60" s="38"/>
      <c r="N60" s="38"/>
      <c r="O60" s="38"/>
      <c r="P60" s="38"/>
      <c r="Q60" s="38"/>
      <c r="R60" s="58"/>
      <c r="S60" s="58"/>
      <c r="T60" s="58"/>
      <c r="U60" s="58"/>
      <c r="V60" s="58"/>
      <c r="W60" s="58"/>
      <c r="X60" s="58"/>
      <c r="Y60" s="58"/>
      <c r="Z60" s="435"/>
      <c r="AA60" s="346"/>
    </row>
    <row r="61" spans="1:27" ht="16.5" customHeight="1">
      <c r="A61" s="112"/>
      <c r="B61" s="111"/>
      <c r="C61" s="113"/>
      <c r="D61" s="113" t="s">
        <v>817</v>
      </c>
      <c r="E61" s="646">
        <f>'Stability Calculations'!D65</f>
        <v>12.683957822338634</v>
      </c>
      <c r="F61" s="740" t="s">
        <v>56</v>
      </c>
      <c r="G61" s="70"/>
      <c r="H61" s="70"/>
      <c r="I61" s="38"/>
      <c r="J61" s="38"/>
      <c r="K61" s="38"/>
      <c r="L61" s="38"/>
      <c r="M61" s="38"/>
      <c r="N61" s="38"/>
      <c r="O61" s="38"/>
      <c r="P61" s="38"/>
      <c r="Q61" s="38"/>
      <c r="R61" s="58"/>
      <c r="S61" s="58"/>
      <c r="T61" s="58"/>
      <c r="U61" s="58"/>
      <c r="V61" s="58"/>
      <c r="W61" s="58"/>
      <c r="X61" s="58"/>
      <c r="Y61" s="58"/>
      <c r="Z61" s="435"/>
      <c r="AA61" s="346"/>
    </row>
    <row r="62" spans="1:27" ht="15.75" customHeight="1">
      <c r="A62" s="112"/>
      <c r="B62" s="111"/>
      <c r="C62" s="113"/>
      <c r="D62" s="126" t="s">
        <v>818</v>
      </c>
      <c r="E62" s="664">
        <v>10</v>
      </c>
      <c r="F62" s="738" t="s">
        <v>56</v>
      </c>
      <c r="G62" s="70"/>
      <c r="H62" s="70"/>
      <c r="I62" s="38"/>
      <c r="J62" s="38"/>
      <c r="K62" s="38"/>
      <c r="L62" s="38"/>
      <c r="M62" s="38"/>
      <c r="N62" s="38"/>
      <c r="O62" s="38"/>
      <c r="P62" s="38"/>
      <c r="Q62" s="38"/>
      <c r="R62" s="58"/>
      <c r="S62" s="58"/>
      <c r="T62" s="58"/>
      <c r="U62" s="58"/>
      <c r="V62" s="58"/>
      <c r="W62" s="58"/>
      <c r="X62" s="58"/>
      <c r="Y62" s="58"/>
      <c r="Z62" s="435"/>
      <c r="AA62" s="346"/>
    </row>
    <row r="63" spans="1:27" ht="15.75" customHeight="1">
      <c r="A63" s="112"/>
      <c r="B63" s="111"/>
      <c r="C63" s="113"/>
      <c r="D63" s="113" t="s">
        <v>819</v>
      </c>
      <c r="E63" s="663">
        <f>'Stability Calculations'!D66</f>
        <v>84.559718815590884</v>
      </c>
      <c r="F63" s="740" t="s">
        <v>15</v>
      </c>
      <c r="G63" s="70"/>
      <c r="H63" s="70"/>
      <c r="I63" s="38"/>
      <c r="J63" s="38"/>
      <c r="K63" s="38"/>
      <c r="L63" s="38"/>
      <c r="M63" s="38"/>
      <c r="N63" s="38"/>
      <c r="O63" s="38"/>
      <c r="P63" s="38"/>
      <c r="Q63" s="38"/>
      <c r="R63" s="58"/>
      <c r="S63" s="58"/>
      <c r="T63" s="58"/>
      <c r="U63" s="58"/>
      <c r="V63" s="693" t="s">
        <v>863</v>
      </c>
      <c r="W63" s="694">
        <f>Vin</f>
        <v>12</v>
      </c>
      <c r="X63" s="623" t="s">
        <v>0</v>
      </c>
      <c r="Y63" s="58"/>
      <c r="Z63" s="435"/>
      <c r="AA63" s="346"/>
    </row>
    <row r="64" spans="1:27" ht="15.75" customHeight="1" thickBot="1">
      <c r="A64" s="673"/>
      <c r="B64" s="128"/>
      <c r="C64" s="128"/>
      <c r="D64" s="439" t="s">
        <v>820</v>
      </c>
      <c r="E64" s="691">
        <v>56</v>
      </c>
      <c r="F64" s="692" t="s">
        <v>15</v>
      </c>
      <c r="G64" s="70"/>
      <c r="H64" s="70"/>
      <c r="I64" s="38"/>
      <c r="J64" s="38"/>
      <c r="K64" s="38"/>
      <c r="L64" s="38"/>
      <c r="M64" s="38"/>
      <c r="N64" s="38"/>
      <c r="O64" s="38"/>
      <c r="P64" s="38"/>
      <c r="Q64" s="38"/>
      <c r="R64" s="58"/>
      <c r="S64" s="58"/>
      <c r="T64" s="58"/>
      <c r="U64" s="58"/>
      <c r="V64" s="58"/>
      <c r="W64" s="58"/>
      <c r="X64" s="58"/>
      <c r="Y64" s="58"/>
      <c r="Z64" s="435"/>
      <c r="AA64" s="346"/>
    </row>
    <row r="65" spans="1:27" ht="15.75" customHeight="1">
      <c r="A65" s="112"/>
      <c r="B65" s="111"/>
      <c r="C65" s="111"/>
      <c r="D65" s="113"/>
      <c r="E65" s="113"/>
      <c r="F65" s="58"/>
      <c r="G65" s="70"/>
      <c r="H65" s="70"/>
      <c r="I65" s="38"/>
      <c r="J65" s="38"/>
      <c r="K65" s="38"/>
      <c r="L65" s="38"/>
      <c r="M65" s="38"/>
      <c r="N65" s="38"/>
      <c r="O65" s="38"/>
      <c r="P65" s="38"/>
      <c r="Q65" s="38"/>
      <c r="R65" s="58"/>
      <c r="S65" s="58"/>
      <c r="T65" s="58"/>
      <c r="U65" s="58"/>
      <c r="V65" s="58"/>
      <c r="W65" s="58"/>
      <c r="X65" s="58"/>
      <c r="Y65" s="58"/>
      <c r="Z65" s="435"/>
      <c r="AA65" s="346"/>
    </row>
    <row r="66" spans="1:27" ht="15.75" customHeight="1" thickBot="1">
      <c r="A66" s="85" t="s">
        <v>894</v>
      </c>
      <c r="B66" s="111"/>
      <c r="C66" s="111"/>
      <c r="D66" s="113"/>
      <c r="E66" s="113"/>
      <c r="F66" s="58"/>
      <c r="G66" s="772" t="s">
        <v>945</v>
      </c>
      <c r="H66" s="70"/>
      <c r="I66" s="38"/>
      <c r="J66" s="38"/>
      <c r="K66" s="38"/>
      <c r="L66" s="38"/>
      <c r="M66" s="38"/>
      <c r="N66" s="38"/>
      <c r="O66" s="38"/>
      <c r="P66" s="38"/>
      <c r="Q66" s="38"/>
      <c r="R66" s="58"/>
      <c r="S66" s="58"/>
      <c r="T66" s="58"/>
      <c r="U66" s="58"/>
      <c r="V66" s="58"/>
      <c r="W66" s="58"/>
      <c r="X66" s="58"/>
      <c r="Y66" s="58"/>
      <c r="Z66" s="435"/>
      <c r="AA66" s="346"/>
    </row>
    <row r="67" spans="1:27" ht="15.75" customHeight="1" thickBot="1">
      <c r="A67" s="387"/>
      <c r="B67" s="437"/>
      <c r="C67" s="437"/>
      <c r="D67" s="178" t="str">
        <f>CHOOSE(MODE, "Initial Csnb", "Inisitial Csnb1")</f>
        <v>Inisitial Csnb1</v>
      </c>
      <c r="E67" s="178">
        <v>22</v>
      </c>
      <c r="F67" s="733" t="s">
        <v>15</v>
      </c>
      <c r="G67" s="70"/>
      <c r="H67" s="742"/>
      <c r="I67" s="743"/>
      <c r="J67" s="744"/>
      <c r="K67" s="745" t="s">
        <v>892</v>
      </c>
      <c r="L67" s="745">
        <v>22</v>
      </c>
      <c r="M67" s="685" t="s">
        <v>15</v>
      </c>
      <c r="N67" s="622"/>
      <c r="O67" s="38"/>
      <c r="P67" s="623"/>
      <c r="Q67" s="38"/>
      <c r="R67" s="58"/>
      <c r="S67" s="58"/>
      <c r="T67" s="58"/>
      <c r="U67" s="58"/>
      <c r="V67" s="58"/>
      <c r="W67" s="58"/>
      <c r="X67" s="58"/>
      <c r="Y67" s="58"/>
      <c r="Z67" s="435"/>
      <c r="AA67" s="346"/>
    </row>
    <row r="68" spans="1:27" ht="15.75" customHeight="1">
      <c r="A68" s="112"/>
      <c r="B68" s="111"/>
      <c r="C68" s="111"/>
      <c r="D68" s="113" t="s">
        <v>890</v>
      </c>
      <c r="E68" s="113">
        <f>(VIN_max/Npri_sec1+E10)*1.3</f>
        <v>637</v>
      </c>
      <c r="F68" s="739" t="s">
        <v>0</v>
      </c>
      <c r="G68" s="751"/>
      <c r="H68" s="746"/>
      <c r="I68" s="182"/>
      <c r="J68" s="184"/>
      <c r="K68" s="113" t="s">
        <v>890</v>
      </c>
      <c r="L68" s="737">
        <f>E8/Nps*Nsec1sec2+Vout</f>
        <v>193.7449275362319</v>
      </c>
      <c r="M68" s="747" t="s">
        <v>0</v>
      </c>
      <c r="N68" s="38"/>
      <c r="O68" s="38"/>
      <c r="P68" s="38"/>
      <c r="Q68" s="38"/>
      <c r="R68" s="58"/>
      <c r="S68" s="58"/>
      <c r="T68" s="58"/>
      <c r="U68" s="58"/>
      <c r="V68" s="58"/>
      <c r="W68" s="58"/>
      <c r="X68" s="58"/>
      <c r="Y68" s="58"/>
      <c r="Z68" s="435"/>
      <c r="AA68" s="346"/>
    </row>
    <row r="69" spans="1:27" ht="16.5" customHeight="1" thickBot="1">
      <c r="A69" s="112"/>
      <c r="B69" s="111"/>
      <c r="C69" s="111"/>
      <c r="D69" s="113" t="str">
        <f>CHOOSE(MODE, "Initial Rsnb", "Inisitial Rsnb1")</f>
        <v>Inisitial Rsnb1</v>
      </c>
      <c r="E69" s="113">
        <v>100</v>
      </c>
      <c r="F69" s="739" t="s">
        <v>136</v>
      </c>
      <c r="G69" s="752"/>
      <c r="H69" s="69"/>
      <c r="I69" s="38"/>
      <c r="J69" s="57"/>
      <c r="K69" s="70" t="s">
        <v>893</v>
      </c>
      <c r="L69" s="70">
        <v>100</v>
      </c>
      <c r="M69" s="739" t="s">
        <v>136</v>
      </c>
      <c r="N69" s="38"/>
      <c r="O69" s="38"/>
      <c r="P69" s="38"/>
      <c r="Q69" s="38"/>
      <c r="R69" s="58"/>
      <c r="S69" s="58"/>
      <c r="T69" s="58"/>
      <c r="U69" s="58"/>
      <c r="V69" s="58"/>
      <c r="W69" s="58"/>
      <c r="X69" s="58"/>
      <c r="Y69" s="58"/>
      <c r="Z69" s="435"/>
      <c r="AA69" s="346"/>
    </row>
    <row r="70" spans="1:27" ht="15.75" customHeight="1" thickBot="1">
      <c r="A70" s="673"/>
      <c r="B70" s="128"/>
      <c r="C70" s="128"/>
      <c r="D70" s="436" t="s">
        <v>891</v>
      </c>
      <c r="E70" s="750">
        <f>E68*E68*E67*0.000000000001*350000*3</f>
        <v>9.3732638999999995</v>
      </c>
      <c r="F70" s="741" t="s">
        <v>45</v>
      </c>
      <c r="G70" s="70"/>
      <c r="H70" s="727"/>
      <c r="I70" s="433"/>
      <c r="J70" s="748"/>
      <c r="K70" s="436" t="s">
        <v>891</v>
      </c>
      <c r="L70" s="749">
        <f>L68*L68*L67*0.000000000001*350000*3</f>
        <v>0.86710693945305628</v>
      </c>
      <c r="M70" s="84" t="s">
        <v>45</v>
      </c>
      <c r="N70" s="38"/>
      <c r="O70" s="38"/>
      <c r="P70" s="38"/>
      <c r="Q70" s="38"/>
      <c r="R70" s="58"/>
      <c r="S70" s="58"/>
      <c r="T70" s="58"/>
      <c r="U70" s="58"/>
      <c r="V70" s="58"/>
      <c r="W70" s="58"/>
      <c r="X70" s="58"/>
      <c r="Y70" s="58"/>
      <c r="Z70" s="435"/>
      <c r="AA70" s="346"/>
    </row>
    <row r="71" spans="1:27" ht="15.75" customHeight="1">
      <c r="A71" s="112"/>
      <c r="B71" s="111"/>
      <c r="C71" s="111"/>
      <c r="D71" s="113"/>
      <c r="E71" s="113"/>
      <c r="F71" s="58"/>
      <c r="G71" s="70"/>
      <c r="H71" s="70"/>
      <c r="I71" s="38"/>
      <c r="J71" s="57"/>
      <c r="K71" s="38"/>
      <c r="L71" s="38"/>
      <c r="M71" s="38"/>
      <c r="N71" s="38"/>
      <c r="O71" s="38"/>
      <c r="P71" s="38"/>
      <c r="Q71" s="38"/>
      <c r="R71" s="58"/>
      <c r="S71" s="58"/>
      <c r="T71" s="58"/>
      <c r="U71" s="58"/>
      <c r="V71" s="58"/>
      <c r="W71" s="58"/>
      <c r="X71" s="58"/>
      <c r="Y71" s="58"/>
      <c r="Z71" s="435"/>
      <c r="AA71" s="346"/>
    </row>
    <row r="72" spans="1:27" ht="15.75" customHeight="1" thickBot="1">
      <c r="A72" s="85" t="s">
        <v>895</v>
      </c>
      <c r="B72" s="111"/>
      <c r="C72" s="111"/>
      <c r="D72" s="113"/>
      <c r="E72" s="113"/>
      <c r="F72" s="58"/>
      <c r="G72" s="70"/>
      <c r="H72" s="70"/>
      <c r="I72" s="38"/>
      <c r="J72" s="57"/>
      <c r="K72" s="38"/>
      <c r="L72" s="38"/>
      <c r="M72" s="38"/>
      <c r="N72" s="38"/>
      <c r="O72" s="38"/>
      <c r="P72" s="38"/>
      <c r="Q72" s="38"/>
      <c r="R72" s="58"/>
      <c r="S72" s="58"/>
      <c r="T72" s="58"/>
      <c r="U72" s="58"/>
      <c r="V72" s="58"/>
      <c r="W72" s="58"/>
      <c r="X72" s="58"/>
      <c r="Y72" s="58"/>
      <c r="Z72" s="435"/>
      <c r="AA72" s="346"/>
    </row>
    <row r="73" spans="1:27" ht="15.75" customHeight="1" thickBot="1">
      <c r="A73" s="387"/>
      <c r="B73" s="437"/>
      <c r="C73" s="437"/>
      <c r="D73" s="696" t="str">
        <f>CHOOSE(MODE, "Min Load Current, IOUT_min ", "Min Load Current, IOUT1_min")</f>
        <v>Min Load Current, IOUT1_min</v>
      </c>
      <c r="E73" s="756">
        <v>0</v>
      </c>
      <c r="F73" s="757" t="s">
        <v>1</v>
      </c>
      <c r="G73" s="70"/>
      <c r="H73" s="361"/>
      <c r="I73" s="502"/>
      <c r="J73" s="502"/>
      <c r="K73" s="674" t="str">
        <f>CHOOSE(MODE, " ", "Min Load Current, IOUT2min")</f>
        <v>Min Load Current, IOUT2min</v>
      </c>
      <c r="L73" s="766">
        <v>0</v>
      </c>
      <c r="M73" s="759" t="str">
        <f>CHOOSE(MODE, "", "A")</f>
        <v>A</v>
      </c>
      <c r="N73" s="38"/>
      <c r="O73" s="38"/>
      <c r="P73" s="38"/>
      <c r="Q73" s="38"/>
      <c r="R73" s="58"/>
      <c r="S73" s="58"/>
      <c r="T73" s="58"/>
      <c r="U73" s="58"/>
      <c r="V73" s="58"/>
      <c r="W73" s="58"/>
      <c r="X73" s="58"/>
      <c r="Y73" s="58"/>
      <c r="Z73" s="435"/>
      <c r="AA73" s="346"/>
    </row>
    <row r="74" spans="1:27" ht="15.75" customHeight="1">
      <c r="A74" s="112"/>
      <c r="B74" s="111"/>
      <c r="C74" s="111"/>
      <c r="D74" s="126" t="str">
        <f>CHOOSE(MODE, "Max VOUT Limit","Max VOUT1 Limit")</f>
        <v>Max VOUT1 Limit</v>
      </c>
      <c r="E74" s="753">
        <v>180</v>
      </c>
      <c r="F74" s="758" t="s">
        <v>0</v>
      </c>
      <c r="G74" s="751"/>
      <c r="H74" s="69"/>
      <c r="I74" s="38"/>
      <c r="J74" s="38"/>
      <c r="K74" s="67" t="str">
        <f>CHOOSE(MODE,"","Max Output Voltage Limit, VOUT2max")</f>
        <v>Max Output Voltage Limit, VOUT2max</v>
      </c>
      <c r="L74" s="767">
        <v>14</v>
      </c>
      <c r="M74" s="760" t="str">
        <f>CHOOSE(MODE,"","V")</f>
        <v>V</v>
      </c>
      <c r="N74" s="38"/>
      <c r="O74" s="38"/>
      <c r="P74" s="38"/>
      <c r="Q74" s="38"/>
      <c r="R74" s="58"/>
      <c r="S74" s="58"/>
      <c r="T74" s="58"/>
      <c r="U74" s="58"/>
      <c r="V74" s="58"/>
      <c r="W74" s="58"/>
      <c r="X74" s="58"/>
      <c r="Y74" s="58"/>
      <c r="Z74" s="435"/>
      <c r="AA74" s="346"/>
    </row>
    <row r="75" spans="1:27" ht="15.75" customHeight="1">
      <c r="A75" s="112"/>
      <c r="B75" s="111"/>
      <c r="C75" s="111"/>
      <c r="D75" s="113" t="str">
        <f>CHOOSE(MODE," Zener Clamp Dz or Dymmy Load Rdmy","Zener Clamp Dz1 or Dummy Load Rdmy1")</f>
        <v>Zener Clamp Dz1 or Dummy Load Rdmy1</v>
      </c>
      <c r="E75" s="720" t="str">
        <f>CHOOSE(MODE, IF('Calculations - Single'!G329="Yes",IF(E74&gt;ROUND(Vout*11.25,0)/10, IF(E74/E10&gt;1.4,"None", "Dz"), "Rdmy"), "None"), IF('Calculations - Dual'!G329="Yes",IF(E74&gt;ROUND(Vout*11.25,0)/10, IF(E74/E10&gt;1.4,"None","Dz1"), "Rdmy1"), "None"))</f>
        <v>Rdmy1</v>
      </c>
      <c r="F75" s="739"/>
      <c r="G75" s="765"/>
      <c r="H75" s="69"/>
      <c r="I75" s="38"/>
      <c r="J75" s="38"/>
      <c r="K75" s="68" t="str">
        <f>CHOOSE(MODE,"","Zener Clamp Dz2 or Dummy Load Rdmy2")</f>
        <v>Zener Clamp Dz2 or Dummy Load Rdmy2</v>
      </c>
      <c r="L75" s="768" t="str">
        <f>CHOOSE(MODE, "", IF('Calculations - Dual'!N329="Yes",IF(ABS(L74)&gt;ROUND(Vout2*11.25,0)/10, IF(L74/Vout2&gt;1.4,"None","Dz2"), "Rdmy2"), "None"))</f>
        <v>Dz2</v>
      </c>
      <c r="M75" s="761"/>
      <c r="N75" s="38"/>
      <c r="O75" s="38"/>
      <c r="P75" s="38"/>
      <c r="Q75" s="38"/>
      <c r="R75" s="58"/>
      <c r="S75" s="58"/>
      <c r="T75" s="58"/>
      <c r="U75" s="58"/>
      <c r="V75" s="58"/>
      <c r="W75" s="58"/>
      <c r="X75" s="58"/>
      <c r="Y75" s="58"/>
      <c r="Z75" s="435"/>
      <c r="AA75" s="346"/>
    </row>
    <row r="76" spans="1:27" ht="15.75" customHeight="1" thickBot="1">
      <c r="A76" s="112"/>
      <c r="B76" s="111"/>
      <c r="C76" s="111"/>
      <c r="D76" s="113" t="s">
        <v>959</v>
      </c>
      <c r="E76" s="783">
        <f>CHOOSE(MODE,IF(OR(E75="Rdmy",E75="Rdmy1"),'Standard Value Calculator'!J23,IF(E75="None","None",ROUND(E74/0.0105,0)/100)),IF(OR(E75="Rdmy",E75="Rdmy1"),'Standard Value Calculator'!J24,IF(E75="None","None",ROUND(E74/0.0105,0)/100)))</f>
        <v>562000</v>
      </c>
      <c r="F76" s="739" t="str">
        <f>IF(OR(E75="DZ", E75="DZ1"), "V", IF(OR(E75="Rdmy", E75="Rdmy1"),"Ohm", ""))</f>
        <v>Ohm</v>
      </c>
      <c r="G76" s="752"/>
      <c r="H76" s="746"/>
      <c r="I76" s="182"/>
      <c r="J76" s="184"/>
      <c r="K76" s="68" t="str">
        <f>CHOOSE(MODE, "", "Selection "&amp;IF(L75="Dz", "Zener Clamp (5%)", IF(L75="Rdym", "Dummy Load (1%)", "")))</f>
        <v xml:space="preserve">Selection </v>
      </c>
      <c r="L76" s="328">
        <f>CHOOSE(MODE,"",IF(L75="Rdmy2",'Standard Value Calculator'!J25,IF(L75="None","None",ROUND(ABS(L74)/0.0105,0)/100)))</f>
        <v>13.33</v>
      </c>
      <c r="M76" s="714" t="str">
        <f>IF(L75="DZ2", "V", IF(L75="Rdmy2","Ohm", ""))</f>
        <v>V</v>
      </c>
      <c r="N76" s="38"/>
      <c r="O76" s="38"/>
      <c r="P76" s="38"/>
      <c r="Q76" s="38"/>
      <c r="R76" s="58"/>
      <c r="S76" s="58"/>
      <c r="T76" s="58"/>
      <c r="U76" s="58"/>
      <c r="V76" s="58"/>
      <c r="W76" s="58"/>
      <c r="X76" s="58"/>
      <c r="Y76" s="58"/>
      <c r="Z76" s="435"/>
      <c r="AA76" s="346"/>
    </row>
    <row r="77" spans="1:27" ht="15.75" customHeight="1" thickBot="1">
      <c r="A77" s="673"/>
      <c r="B77" s="128"/>
      <c r="C77" s="128"/>
      <c r="D77" s="436" t="s">
        <v>897</v>
      </c>
      <c r="E77" s="436">
        <f>IF(OR(E75="Rdmy",E75="Rdmy1"),(Vout*1.08)^2/E76*4, IF(OR(E75="Dz",E75="Dz1"), E76*1.065*E73*4*1*0+'Standard Value Calculator'!I27*5, "N/A"))</f>
        <v>0.23992142348754453</v>
      </c>
      <c r="F77" s="741" t="s">
        <v>45</v>
      </c>
      <c r="G77" s="70"/>
      <c r="H77" s="762"/>
      <c r="I77" s="763"/>
      <c r="J77" s="764"/>
      <c r="K77" s="179" t="str">
        <f>CHOOSE(MODE, "", "Selected Device Min Power Rating&gt;")</f>
        <v>Selected Device Min Power Rating&gt;</v>
      </c>
      <c r="L77" s="482">
        <f>CHOOSE(MODE, "", IF(L75="Rdmy2",(Vout2*1.08)^2/L76*4, IF(L75="Dz2", ABS(L60*1.065*L73*4*0+'Standard Value Calculator'!I29*5), "")))</f>
        <v>0.28444444444444444</v>
      </c>
      <c r="M77" s="540" t="str">
        <f>CHOOSE(MODE, "", "W")</f>
        <v>W</v>
      </c>
      <c r="N77" s="38"/>
      <c r="O77" s="38"/>
      <c r="P77" s="38"/>
      <c r="Q77" s="38"/>
      <c r="R77" s="58"/>
      <c r="S77" s="58"/>
      <c r="T77" s="58"/>
      <c r="U77" s="58"/>
      <c r="V77" s="58"/>
      <c r="W77" s="58"/>
      <c r="X77" s="58"/>
      <c r="Y77" s="58"/>
      <c r="Z77" s="435"/>
      <c r="AA77" s="346"/>
    </row>
    <row r="78" spans="1:27" ht="15.75" customHeight="1">
      <c r="A78" s="112"/>
      <c r="B78" s="111"/>
      <c r="C78" s="111"/>
      <c r="D78" s="113"/>
      <c r="E78" s="113"/>
      <c r="F78" s="58"/>
      <c r="G78" s="70"/>
      <c r="H78" s="113"/>
      <c r="I78" s="182"/>
      <c r="J78" s="184"/>
      <c r="K78" s="58"/>
      <c r="L78" s="58"/>
      <c r="M78" s="38"/>
      <c r="N78" s="38"/>
      <c r="O78" s="38"/>
      <c r="P78" s="38"/>
      <c r="Q78" s="38"/>
      <c r="R78" s="58"/>
      <c r="S78" s="58"/>
      <c r="T78" s="58"/>
      <c r="U78" s="58"/>
      <c r="V78" s="58"/>
      <c r="W78" s="58"/>
      <c r="X78" s="58"/>
      <c r="Y78" s="58"/>
      <c r="Z78" s="435"/>
      <c r="AA78" s="346"/>
    </row>
    <row r="79" spans="1:27" ht="15.75" customHeight="1" thickBot="1">
      <c r="A79" s="388" t="s">
        <v>896</v>
      </c>
      <c r="B79" s="70"/>
      <c r="C79" s="70"/>
      <c r="D79" s="68"/>
      <c r="E79" s="78"/>
      <c r="F79" s="70"/>
      <c r="G79" s="70"/>
      <c r="H79" s="113"/>
      <c r="I79" s="182"/>
      <c r="J79" s="184"/>
      <c r="K79" s="58"/>
      <c r="L79" s="58"/>
      <c r="M79" s="38"/>
      <c r="N79" s="38"/>
      <c r="O79" s="38"/>
      <c r="P79" s="38"/>
      <c r="Q79" s="38"/>
      <c r="R79" s="58"/>
      <c r="S79" s="58"/>
      <c r="T79" s="58"/>
      <c r="U79" s="58"/>
      <c r="V79" s="58"/>
      <c r="W79" s="58"/>
      <c r="X79" s="58"/>
      <c r="Y79" s="58"/>
      <c r="Z79" s="435"/>
      <c r="AA79" s="346"/>
    </row>
    <row r="80" spans="1:27" ht="15.75" customHeight="1">
      <c r="A80" s="487"/>
      <c r="B80" s="430"/>
      <c r="C80" s="430"/>
      <c r="D80" s="488" t="s">
        <v>924</v>
      </c>
      <c r="E80" s="491">
        <v>0.7</v>
      </c>
      <c r="F80" s="489" t="s">
        <v>0</v>
      </c>
      <c r="G80" s="70"/>
      <c r="H80" s="113"/>
      <c r="I80" s="182"/>
      <c r="J80" s="184"/>
      <c r="K80" s="58"/>
      <c r="L80" s="58"/>
      <c r="M80" s="38"/>
      <c r="N80" s="38"/>
      <c r="O80" s="38"/>
      <c r="P80" s="38"/>
      <c r="Q80" s="38"/>
      <c r="R80" s="58"/>
      <c r="S80" s="58"/>
      <c r="T80" s="58"/>
      <c r="U80" s="58"/>
      <c r="V80" s="58"/>
      <c r="W80" s="58"/>
      <c r="X80" s="58"/>
      <c r="Y80" s="58"/>
      <c r="Z80" s="435"/>
      <c r="AA80" s="346"/>
    </row>
    <row r="81" spans="1:35" ht="15.75" customHeight="1">
      <c r="A81" s="364"/>
      <c r="B81" s="58"/>
      <c r="C81" s="58"/>
      <c r="D81" s="718" t="s">
        <v>925</v>
      </c>
      <c r="E81" s="59">
        <f>L31</f>
        <v>2.5</v>
      </c>
      <c r="F81" s="539" t="s">
        <v>0</v>
      </c>
      <c r="G81" s="70"/>
      <c r="H81" s="113"/>
      <c r="I81" s="182"/>
      <c r="J81" s="184"/>
      <c r="K81" s="58"/>
      <c r="L81" s="58"/>
      <c r="M81" s="38"/>
      <c r="N81" s="38"/>
      <c r="O81" s="38"/>
      <c r="P81" s="38"/>
      <c r="Q81" s="38"/>
      <c r="R81" s="58"/>
      <c r="S81" s="58"/>
      <c r="T81" s="58"/>
      <c r="U81" s="58"/>
      <c r="V81" s="58"/>
      <c r="W81" s="58"/>
      <c r="X81" s="58"/>
      <c r="Y81" s="58"/>
      <c r="Z81" s="435"/>
      <c r="AA81" s="346"/>
    </row>
    <row r="82" spans="1:35" ht="15.75" customHeight="1">
      <c r="A82" s="69"/>
      <c r="B82" s="111"/>
      <c r="C82" s="111"/>
      <c r="D82" s="113" t="s">
        <v>958</v>
      </c>
      <c r="E82" s="782">
        <v>52.8</v>
      </c>
      <c r="F82" s="781" t="s">
        <v>84</v>
      </c>
      <c r="G82" s="70"/>
      <c r="H82" s="113"/>
      <c r="I82" s="182"/>
      <c r="J82" s="184"/>
      <c r="K82" s="58"/>
      <c r="L82" s="58"/>
      <c r="M82" s="38"/>
      <c r="N82" s="38"/>
      <c r="O82" s="38"/>
      <c r="P82" s="38"/>
      <c r="Q82" s="38"/>
      <c r="R82" s="58"/>
      <c r="S82" s="58"/>
      <c r="T82" s="58"/>
      <c r="U82" s="58"/>
      <c r="V82" s="58"/>
      <c r="W82" s="58"/>
      <c r="X82" s="58"/>
      <c r="Y82" s="58"/>
      <c r="Z82" s="435"/>
      <c r="AA82" s="346"/>
    </row>
    <row r="83" spans="1:35" ht="15.75" customHeight="1">
      <c r="A83" s="69"/>
      <c r="B83" s="70"/>
      <c r="C83" s="70"/>
      <c r="D83" s="67" t="s">
        <v>505</v>
      </c>
      <c r="E83" s="486">
        <v>85</v>
      </c>
      <c r="F83" s="366" t="s">
        <v>102</v>
      </c>
      <c r="G83" s="70"/>
      <c r="H83" s="113"/>
      <c r="I83" s="182"/>
      <c r="J83" s="184"/>
      <c r="K83" s="58"/>
      <c r="L83" s="58"/>
      <c r="M83" s="38"/>
      <c r="N83" s="38"/>
      <c r="O83" s="38"/>
      <c r="P83" s="38"/>
      <c r="Q83" s="38"/>
      <c r="R83" s="58"/>
      <c r="S83" s="58"/>
      <c r="T83" s="58"/>
      <c r="U83" s="58"/>
      <c r="V83" s="58"/>
      <c r="W83" s="58"/>
      <c r="X83" s="58"/>
      <c r="Y83" s="58"/>
      <c r="Z83" s="435"/>
      <c r="AA83" s="346"/>
    </row>
    <row r="84" spans="1:35" ht="15.75" customHeight="1">
      <c r="A84" s="69"/>
      <c r="B84" s="70"/>
      <c r="C84" s="70"/>
      <c r="D84" s="68" t="s">
        <v>779</v>
      </c>
      <c r="E84" s="313">
        <f>CHOOSE(MODE, 'Calculations - Single'!BL105, 'Calculations - Dual'!BJ105)</f>
        <v>54.723992181406722</v>
      </c>
      <c r="F84" s="82" t="s">
        <v>293</v>
      </c>
      <c r="G84" s="70"/>
      <c r="H84" s="113"/>
      <c r="I84" s="182"/>
      <c r="J84" s="184"/>
      <c r="K84" s="58"/>
      <c r="L84" s="58"/>
      <c r="M84" s="38"/>
      <c r="N84" s="38"/>
      <c r="O84" s="38"/>
      <c r="P84" s="38"/>
      <c r="Q84" s="38"/>
      <c r="R84" s="58"/>
      <c r="S84" s="58"/>
      <c r="T84" s="58"/>
      <c r="U84" s="58"/>
      <c r="V84" s="58"/>
      <c r="W84" s="58"/>
      <c r="X84" s="58"/>
      <c r="Y84" s="58"/>
      <c r="Z84" s="435"/>
      <c r="AA84" s="346"/>
    </row>
    <row r="85" spans="1:35" ht="15.75" customHeight="1" thickBot="1">
      <c r="A85" s="80"/>
      <c r="B85" s="81"/>
      <c r="C85" s="81"/>
      <c r="D85" s="315" t="s">
        <v>780</v>
      </c>
      <c r="E85" s="441">
        <f>E83+E84/1000*ThetaJA</f>
        <v>87.88942678717828</v>
      </c>
      <c r="F85" s="369" t="s">
        <v>102</v>
      </c>
      <c r="G85" s="70"/>
      <c r="H85" s="113"/>
      <c r="I85" s="182"/>
      <c r="J85" s="184"/>
      <c r="K85" s="58"/>
      <c r="L85" s="58"/>
      <c r="M85" s="38"/>
      <c r="N85" s="38"/>
      <c r="O85" s="38"/>
      <c r="P85" s="38"/>
      <c r="Q85" s="38"/>
      <c r="R85" s="58"/>
      <c r="S85" s="58"/>
      <c r="T85" s="58"/>
      <c r="U85" s="58"/>
      <c r="V85" s="58"/>
      <c r="W85" s="58"/>
      <c r="X85" s="58"/>
      <c r="Y85" s="58"/>
      <c r="Z85" s="435"/>
      <c r="AA85" s="346"/>
    </row>
    <row r="86" spans="1:35" ht="15.75" customHeight="1" thickBot="1">
      <c r="A86" s="80"/>
      <c r="B86" s="83"/>
      <c r="C86" s="83"/>
      <c r="D86" s="83"/>
      <c r="E86" s="482"/>
      <c r="F86" s="83"/>
      <c r="G86" s="83"/>
      <c r="H86" s="83"/>
      <c r="I86" s="433"/>
      <c r="J86" s="433"/>
      <c r="K86" s="433"/>
      <c r="L86" s="433"/>
      <c r="M86" s="433"/>
      <c r="N86" s="433"/>
      <c r="O86" s="433"/>
      <c r="P86" s="433"/>
      <c r="Q86" s="433"/>
      <c r="R86" s="431"/>
      <c r="S86" s="431"/>
      <c r="T86" s="431"/>
      <c r="U86" s="432"/>
      <c r="V86" s="432"/>
      <c r="W86" s="431"/>
      <c r="X86" s="431"/>
      <c r="Y86" s="431"/>
      <c r="Z86" s="483"/>
      <c r="AA86" s="346"/>
      <c r="AB86" s="18"/>
      <c r="AC86" s="18"/>
      <c r="AD86" s="18"/>
      <c r="AG86" s="18"/>
      <c r="AH86" s="18"/>
      <c r="AI86" s="18"/>
    </row>
    <row r="87" spans="1:35">
      <c r="A87" s="354"/>
      <c r="B87" s="355"/>
      <c r="C87" s="356"/>
      <c r="D87" s="356"/>
      <c r="E87" s="356"/>
      <c r="F87" s="356"/>
      <c r="G87" s="356"/>
      <c r="H87" s="356"/>
      <c r="I87" s="356"/>
      <c r="J87" s="356"/>
      <c r="K87" s="356"/>
      <c r="L87" s="356"/>
      <c r="M87" s="356"/>
      <c r="N87" s="356"/>
      <c r="O87" s="356"/>
      <c r="P87" s="356"/>
      <c r="Q87" s="356"/>
      <c r="R87" s="353"/>
      <c r="S87" s="353"/>
      <c r="T87" s="353"/>
      <c r="U87" s="346"/>
      <c r="V87" s="346"/>
      <c r="W87" s="353"/>
      <c r="X87" s="353"/>
      <c r="Y87" s="353"/>
      <c r="Z87" s="346"/>
      <c r="AA87" s="346"/>
      <c r="AB87" s="18"/>
      <c r="AC87" s="18"/>
      <c r="AD87" s="18"/>
      <c r="AG87" s="18"/>
      <c r="AH87" s="18"/>
      <c r="AI87" s="18"/>
    </row>
    <row r="88" spans="1:35">
      <c r="A88" s="35"/>
      <c r="K88" s="35" t="s">
        <v>849</v>
      </c>
      <c r="R88" s="18"/>
      <c r="S88" s="18"/>
      <c r="T88" s="18"/>
      <c r="W88" s="18"/>
      <c r="X88" s="18"/>
      <c r="Y88" s="18"/>
      <c r="AB88" s="18"/>
      <c r="AC88" s="18"/>
      <c r="AD88" s="18"/>
      <c r="AG88" s="18"/>
      <c r="AH88" s="18"/>
      <c r="AI88" s="18"/>
    </row>
    <row r="89" spans="1:35">
      <c r="R89" s="18"/>
      <c r="S89" s="18"/>
      <c r="T89" s="18"/>
      <c r="W89" s="18"/>
      <c r="X89" s="18"/>
      <c r="Y89" s="18"/>
      <c r="AB89" s="18"/>
      <c r="AC89" s="18"/>
      <c r="AD89" s="18"/>
      <c r="AG89" s="18"/>
      <c r="AH89" s="18"/>
      <c r="AI89" s="18"/>
    </row>
    <row r="90" spans="1:35">
      <c r="R90" s="18"/>
      <c r="S90" s="18"/>
      <c r="T90" s="18"/>
      <c r="W90" s="18"/>
      <c r="X90" s="18"/>
      <c r="Y90" s="18"/>
      <c r="AB90" s="18"/>
      <c r="AC90" s="18"/>
      <c r="AD90" s="18"/>
      <c r="AG90" s="18"/>
      <c r="AH90" s="18"/>
      <c r="AI90" s="18"/>
    </row>
    <row r="91" spans="1:35">
      <c r="R91" s="18"/>
      <c r="S91" s="18"/>
      <c r="T91" s="18"/>
      <c r="W91" s="18"/>
      <c r="X91" s="18"/>
      <c r="Y91" s="18"/>
      <c r="AB91" s="18"/>
      <c r="AC91" s="18"/>
      <c r="AD91" s="18"/>
      <c r="AG91" s="18"/>
      <c r="AH91" s="18"/>
      <c r="AI91" s="18"/>
    </row>
    <row r="92" spans="1:35">
      <c r="R92" s="18"/>
      <c r="S92" s="18"/>
      <c r="T92" s="18"/>
      <c r="W92" s="18"/>
      <c r="X92" s="18"/>
      <c r="Y92" s="18"/>
      <c r="AB92" s="18"/>
      <c r="AC92" s="18"/>
      <c r="AD92" s="18"/>
      <c r="AG92" s="18"/>
      <c r="AH92" s="18"/>
      <c r="AI92" s="18"/>
    </row>
  </sheetData>
  <sheetProtection algorithmName="SHA-512" hashValue="Sk+SkT6Lk/8Q0+YFQX3UcaCptwzFF7tlQ+F707yXLSKW4rcu2tVjAJdyknIe/5s49J+/wLoSSRxN4R5P9KvPOA==" saltValue="ggJkC+AbmD1efsCHBmxP4Q==" spinCount="100000" sheet="1" selectLockedCells="1"/>
  <phoneticPr fontId="6" type="noConversion"/>
  <conditionalFormatting sqref="C50:E50">
    <cfRule type="expression" dxfId="70" priority="20">
      <formula>OR(MODE_UVLO=2)</formula>
    </cfRule>
  </conditionalFormatting>
  <conditionalFormatting sqref="C51:E51">
    <cfRule type="expression" dxfId="69" priority="19">
      <formula>OR(MODE_UVLO=2)</formula>
    </cfRule>
  </conditionalFormatting>
  <conditionalFormatting sqref="D42">
    <cfRule type="expression" dxfId="68" priority="118">
      <formula>OR(MODE_SS=2,MODE_SS=3)</formula>
    </cfRule>
  </conditionalFormatting>
  <conditionalFormatting sqref="D45">
    <cfRule type="expression" dxfId="67" priority="64">
      <formula>OR(TC=2)</formula>
    </cfRule>
  </conditionalFormatting>
  <conditionalFormatting sqref="D48">
    <cfRule type="expression" dxfId="66" priority="115">
      <formula>MODE_UVLO=2</formula>
    </cfRule>
  </conditionalFormatting>
  <conditionalFormatting sqref="D43:F43">
    <cfRule type="expression" dxfId="65" priority="117">
      <formula>OR(MODE_SS=2,MODE_SS=3)</formula>
    </cfRule>
  </conditionalFormatting>
  <conditionalFormatting sqref="E6">
    <cfRule type="cellIs" dxfId="64" priority="8" operator="notBetween">
      <formula>4.5</formula>
      <formula>100</formula>
    </cfRule>
  </conditionalFormatting>
  <conditionalFormatting sqref="E7">
    <cfRule type="cellIs" dxfId="63" priority="7" operator="notBetween">
      <formula>$E$6</formula>
      <formula>100</formula>
    </cfRule>
  </conditionalFormatting>
  <conditionalFormatting sqref="E8">
    <cfRule type="cellIs" dxfId="62" priority="41" operator="notBetween">
      <formula>$E$7</formula>
      <formula>100</formula>
    </cfRule>
  </conditionalFormatting>
  <conditionalFormatting sqref="E10">
    <cfRule type="cellIs" dxfId="61" priority="148" stopIfTrue="1" operator="notBetween">
      <formula>-200</formula>
      <formula>200</formula>
    </cfRule>
  </conditionalFormatting>
  <conditionalFormatting sqref="E12">
    <cfRule type="cellIs" dxfId="60" priority="75" operator="notBetween">
      <formula>-200</formula>
      <formula>200</formula>
    </cfRule>
  </conditionalFormatting>
  <conditionalFormatting sqref="E13">
    <cfRule type="expression" dxfId="58" priority="74">
      <formula>($E$12*$E$13)&lt;0</formula>
    </cfRule>
  </conditionalFormatting>
  <conditionalFormatting sqref="E17">
    <cfRule type="cellIs" dxfId="57" priority="38" stopIfTrue="1" operator="greaterThan">
      <formula>$E$16</formula>
    </cfRule>
  </conditionalFormatting>
  <conditionalFormatting sqref="E23">
    <cfRule type="cellIs" dxfId="56" priority="198" stopIfTrue="1" operator="lessThan">
      <formula>$E$22</formula>
    </cfRule>
  </conditionalFormatting>
  <conditionalFormatting sqref="E30">
    <cfRule type="cellIs" dxfId="55" priority="141" stopIfTrue="1" operator="lessThan">
      <formula>$E$29</formula>
    </cfRule>
  </conditionalFormatting>
  <conditionalFormatting sqref="E31">
    <cfRule type="cellIs" dxfId="54" priority="140" stopIfTrue="1" operator="equal">
      <formula>0</formula>
    </cfRule>
  </conditionalFormatting>
  <conditionalFormatting sqref="E34">
    <cfRule type="cellIs" dxfId="53" priority="145" stopIfTrue="1" operator="lessThan">
      <formula>$E$33</formula>
    </cfRule>
  </conditionalFormatting>
  <conditionalFormatting sqref="E35">
    <cfRule type="cellIs" dxfId="52" priority="69" stopIfTrue="1" operator="equal">
      <formula>0</formula>
    </cfRule>
  </conditionalFormatting>
  <conditionalFormatting sqref="E40">
    <cfRule type="cellIs" dxfId="51" priority="4" operator="notBetween">
      <formula>$E$39*0.969</formula>
      <formula>$E$39*1.031</formula>
    </cfRule>
  </conditionalFormatting>
  <conditionalFormatting sqref="E42">
    <cfRule type="cellIs" dxfId="50" priority="135" operator="lessThan">
      <formula>6</formula>
    </cfRule>
  </conditionalFormatting>
  <conditionalFormatting sqref="E48">
    <cfRule type="cellIs" dxfId="49" priority="3" operator="greaterThanOrEqual">
      <formula>$E$6</formula>
    </cfRule>
    <cfRule type="cellIs" dxfId="48" priority="137" operator="notBetween">
      <formula>100</formula>
      <formula>4.5</formula>
    </cfRule>
  </conditionalFormatting>
  <conditionalFormatting sqref="E49">
    <cfRule type="cellIs" dxfId="47" priority="2" operator="greaterThanOrEqual">
      <formula>$E$48</formula>
    </cfRule>
    <cfRule type="cellIs" dxfId="46" priority="1" operator="notBetween">
      <formula>4.5</formula>
      <formula>100</formula>
    </cfRule>
  </conditionalFormatting>
  <conditionalFormatting sqref="E58">
    <cfRule type="cellIs" dxfId="45" priority="25" operator="greaterThan">
      <formula>$E$57</formula>
    </cfRule>
  </conditionalFormatting>
  <conditionalFormatting sqref="E74">
    <cfRule type="cellIs" dxfId="44" priority="6" operator="lessThan">
      <formula>$E$10*1.03</formula>
    </cfRule>
  </conditionalFormatting>
  <conditionalFormatting sqref="E80">
    <cfRule type="cellIs" dxfId="43" priority="12" operator="greaterThan">
      <formula>$E$81</formula>
    </cfRule>
  </conditionalFormatting>
  <conditionalFormatting sqref="E83">
    <cfRule type="cellIs" dxfId="42" priority="96" operator="notBetween">
      <formula>-40</formula>
      <formula>150</formula>
    </cfRule>
  </conditionalFormatting>
  <conditionalFormatting sqref="E85">
    <cfRule type="cellIs" dxfId="41" priority="97" operator="notBetween">
      <formula>-40</formula>
      <formula>150</formula>
    </cfRule>
  </conditionalFormatting>
  <conditionalFormatting sqref="E42:F42">
    <cfRule type="expression" dxfId="40" priority="119">
      <formula>OR(MODE_SS=2,MODE_SS=3)</formula>
    </cfRule>
  </conditionalFormatting>
  <conditionalFormatting sqref="E45:F45 D46:F46">
    <cfRule type="expression" dxfId="39" priority="63">
      <formula>OR(TC=2)</formula>
    </cfRule>
  </conditionalFormatting>
  <conditionalFormatting sqref="E48:F49">
    <cfRule type="expression" dxfId="38" priority="21">
      <formula>OR(MODE_UVLO=2)</formula>
    </cfRule>
  </conditionalFormatting>
  <conditionalFormatting sqref="F29">
    <cfRule type="cellIs" dxfId="36" priority="77" stopIfTrue="1" operator="lessThanOrEqual">
      <formula>0</formula>
    </cfRule>
  </conditionalFormatting>
  <conditionalFormatting sqref="F33">
    <cfRule type="cellIs" dxfId="35" priority="95" stopIfTrue="1" operator="lessThanOrEqual">
      <formula>0</formula>
    </cfRule>
  </conditionalFormatting>
  <conditionalFormatting sqref="F50:F51">
    <cfRule type="expression" dxfId="34" priority="87">
      <formula>MODE_UVLO=2</formula>
    </cfRule>
  </conditionalFormatting>
  <conditionalFormatting sqref="J51:J52">
    <cfRule type="cellIs" dxfId="29" priority="159" stopIfTrue="1" operator="notBetween">
      <formula>600</formula>
      <formula>50</formula>
    </cfRule>
    <cfRule type="cellIs" dxfId="28" priority="160" stopIfTrue="1" operator="greaterThan">
      <formula>$E$9</formula>
    </cfRule>
  </conditionalFormatting>
  <conditionalFormatting sqref="L34">
    <cfRule type="cellIs" dxfId="21" priority="59" stopIfTrue="1" operator="lessThan">
      <formula>$L$33</formula>
    </cfRule>
  </conditionalFormatting>
  <conditionalFormatting sqref="L35">
    <cfRule type="cellIs" dxfId="20" priority="57" stopIfTrue="1" operator="equal">
      <formula>0</formula>
    </cfRule>
  </conditionalFormatting>
  <conditionalFormatting sqref="L74">
    <cfRule type="cellIs" dxfId="19" priority="5" operator="lessThan">
      <formula>$E$12*1.03</formula>
    </cfRule>
  </conditionalFormatting>
  <conditionalFormatting sqref="M33">
    <cfRule type="cellIs" dxfId="15" priority="58" stopIfTrue="1" operator="lessThanOrEqual">
      <formula>0</formula>
    </cfRule>
  </conditionalFormatting>
  <conditionalFormatting sqref="S31">
    <cfRule type="cellIs" dxfId="13" priority="13" operator="notBetween">
      <formula>0.3</formula>
      <formula>1.5</formula>
    </cfRule>
  </conditionalFormatting>
  <conditionalFormatting sqref="W63">
    <cfRule type="cellIs" dxfId="12" priority="44" stopIfTrue="1" operator="notBetween">
      <formula>100</formula>
      <formula>4.5</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87"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1583" r:id="rId6" name="Drop Down 6111">
              <controlPr defaultSize="0" autoLine="0" autoPict="0">
                <anchor moveWithCells="1">
                  <from>
                    <xdr:col>24</xdr:col>
                    <xdr:colOff>304800</xdr:colOff>
                    <xdr:row>0</xdr:row>
                    <xdr:rowOff>411480</xdr:rowOff>
                  </from>
                  <to>
                    <xdr:col>25</xdr:col>
                    <xdr:colOff>220980</xdr:colOff>
                    <xdr:row>1</xdr:row>
                    <xdr:rowOff>60960</xdr:rowOff>
                  </to>
                </anchor>
              </controlPr>
            </control>
          </mc:Choice>
        </mc:AlternateContent>
        <mc:AlternateContent xmlns:mc="http://schemas.openxmlformats.org/markup-compatibility/2006">
          <mc:Choice Requires="x14">
            <control shapeId="672935" r:id="rId7" name="Drop Down 167">
              <controlPr defaultSize="0" autoLine="0" autoPict="0">
                <anchor moveWithCells="1">
                  <from>
                    <xdr:col>4</xdr:col>
                    <xdr:colOff>15240</xdr:colOff>
                    <xdr:row>40</xdr:row>
                    <xdr:rowOff>0</xdr:rowOff>
                  </from>
                  <to>
                    <xdr:col>5</xdr:col>
                    <xdr:colOff>281940</xdr:colOff>
                    <xdr:row>41</xdr:row>
                    <xdr:rowOff>30480</xdr:rowOff>
                  </to>
                </anchor>
              </controlPr>
            </control>
          </mc:Choice>
        </mc:AlternateContent>
        <mc:AlternateContent xmlns:mc="http://schemas.openxmlformats.org/markup-compatibility/2006">
          <mc:Choice Requires="x14">
            <control shapeId="673043" r:id="rId8" name="Drop Down 275">
              <controlPr defaultSize="0" autoLine="0" autoPict="0">
                <anchor moveWithCells="1">
                  <from>
                    <xdr:col>4</xdr:col>
                    <xdr:colOff>15240</xdr:colOff>
                    <xdr:row>46</xdr:row>
                    <xdr:rowOff>0</xdr:rowOff>
                  </from>
                  <to>
                    <xdr:col>5</xdr:col>
                    <xdr:colOff>259080</xdr:colOff>
                    <xdr:row>46</xdr:row>
                    <xdr:rowOff>205740</xdr:rowOff>
                  </to>
                </anchor>
              </controlPr>
            </control>
          </mc:Choice>
        </mc:AlternateContent>
        <mc:AlternateContent xmlns:mc="http://schemas.openxmlformats.org/markup-compatibility/2006">
          <mc:Choice Requires="x14">
            <control shapeId="697343" r:id="rId9" name="Drop Down 3071">
              <controlPr defaultSize="0" autoLine="0" autoPict="0">
                <anchor moveWithCells="1">
                  <from>
                    <xdr:col>11</xdr:col>
                    <xdr:colOff>15240</xdr:colOff>
                    <xdr:row>12</xdr:row>
                    <xdr:rowOff>0</xdr:rowOff>
                  </from>
                  <to>
                    <xdr:col>12</xdr:col>
                    <xdr:colOff>68580</xdr:colOff>
                    <xdr:row>13</xdr:row>
                    <xdr:rowOff>7620</xdr:rowOff>
                  </to>
                </anchor>
              </controlPr>
            </control>
          </mc:Choice>
        </mc:AlternateContent>
        <mc:AlternateContent xmlns:mc="http://schemas.openxmlformats.org/markup-compatibility/2006">
          <mc:Choice Requires="x14">
            <control shapeId="714798" r:id="rId10" name="Drop Down 3118">
              <controlPr defaultSize="0" autoLine="0" autoPict="0">
                <anchor moveWithCells="1">
                  <from>
                    <xdr:col>4</xdr:col>
                    <xdr:colOff>0</xdr:colOff>
                    <xdr:row>43</xdr:row>
                    <xdr:rowOff>15240</xdr:rowOff>
                  </from>
                  <to>
                    <xdr:col>5</xdr:col>
                    <xdr:colOff>266700</xdr:colOff>
                    <xdr:row>44</xdr:row>
                    <xdr:rowOff>15240</xdr:rowOff>
                  </to>
                </anchor>
              </controlPr>
            </control>
          </mc:Choice>
        </mc:AlternateContent>
        <mc:AlternateContent xmlns:mc="http://schemas.openxmlformats.org/markup-compatibility/2006">
          <mc:Choice Requires="x14">
            <control shapeId="715085" r:id="rId11"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672895" r:id="rId12" name="Spinner 127">
              <controlPr defaultSize="0" autoPict="0">
                <anchor moveWithCells="1" sizeWithCells="1">
                  <from>
                    <xdr:col>5</xdr:col>
                    <xdr:colOff>129540</xdr:colOff>
                    <xdr:row>6</xdr:row>
                    <xdr:rowOff>15240</xdr:rowOff>
                  </from>
                  <to>
                    <xdr:col>5</xdr:col>
                    <xdr:colOff>304800</xdr:colOff>
                    <xdr:row>7</xdr:row>
                    <xdr:rowOff>30480</xdr:rowOff>
                  </to>
                </anchor>
              </controlPr>
            </control>
          </mc:Choice>
        </mc:AlternateContent>
        <mc:AlternateContent xmlns:mc="http://schemas.openxmlformats.org/markup-compatibility/2006">
          <mc:Choice Requires="x14">
            <control shapeId="751280" r:id="rId13" name="Spinner 5808">
              <controlPr defaultSize="0" autoPict="0">
                <anchor moveWithCells="1" sizeWithCells="1">
                  <from>
                    <xdr:col>23</xdr:col>
                    <xdr:colOff>129540</xdr:colOff>
                    <xdr:row>62</xdr:row>
                    <xdr:rowOff>15240</xdr:rowOff>
                  </from>
                  <to>
                    <xdr:col>23</xdr:col>
                    <xdr:colOff>304800</xdr:colOff>
                    <xdr:row>63</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1" id="{7DE853EF-1754-4C48-A140-FF26B3EC5CF8}">
            <xm:f>'Variable Mgmt'!$B$74=FALSE</xm:f>
            <x14:dxf>
              <border>
                <bottom/>
                <vertical/>
                <horizontal/>
              </border>
            </x14:dxf>
          </x14:cfRule>
          <xm:sqref>A11:F12</xm:sqref>
        </x14:conditionalFormatting>
        <x14:conditionalFormatting xmlns:xm="http://schemas.microsoft.com/office/excel/2006/main">
          <x14:cfRule type="expression" priority="191" id="{9B976DD7-FFA8-454F-A63D-186A721FDF9C}">
            <xm:f>'Variable Mgmt'!$B$74</xm:f>
            <x14:dxf>
              <border>
                <bottom/>
                <vertical/>
                <horizontal/>
              </border>
            </x14:dxf>
          </x14:cfRule>
          <xm:sqref>A12:F13 A14:D14 F14</xm:sqref>
        </x14:conditionalFormatting>
        <x14:conditionalFormatting xmlns:xm="http://schemas.microsoft.com/office/excel/2006/main">
          <x14:cfRule type="expression" priority="189" id="{2F97F2FF-95A0-40C5-B045-6ADA68EA7C2F}">
            <xm:f>'Variable Mgmt'!$B$74</xm:f>
            <x14:dxf>
              <font>
                <strike val="0"/>
                <color theme="0"/>
              </font>
              <fill>
                <patternFill>
                  <bgColor theme="0"/>
                </patternFill>
              </fill>
            </x14:dxf>
          </x14:cfRule>
          <xm:sqref>E12:E13</xm:sqref>
        </x14:conditionalFormatting>
        <x14:conditionalFormatting xmlns:xm="http://schemas.microsoft.com/office/excel/2006/main">
          <x14:cfRule type="expression" priority="192" id="{25C53C6F-CE07-4419-8FCF-F6B8FCD8434A}">
            <xm:f>'Variable Mgmt'!$B$74</xm:f>
            <x14:dxf>
              <border>
                <right/>
                <vertical/>
                <horizontal/>
              </border>
            </x14:dxf>
          </x14:cfRule>
          <xm:sqref>F12:F14</xm:sqref>
        </x14:conditionalFormatting>
        <x14:conditionalFormatting xmlns:xm="http://schemas.microsoft.com/office/excel/2006/main">
          <x14:cfRule type="expression" priority="54" id="{8076779E-531E-4945-9FF1-9C72CDB0D6DC}">
            <xm:f>'Variable Mgmt'!$B$74=TRUE</xm:f>
            <x14:dxf>
              <border>
                <top/>
                <bottom/>
                <vertical/>
                <horizontal/>
              </border>
            </x14:dxf>
          </x14:cfRule>
          <xm:sqref>G34:G35</xm:sqref>
        </x14:conditionalFormatting>
        <x14:conditionalFormatting xmlns:xm="http://schemas.microsoft.com/office/excel/2006/main">
          <x14:cfRule type="expression" priority="10" id="{0343908F-1CE4-4778-868E-05BB939E0494}">
            <xm:f>'Variable Mgmt'!$B$74=TRUE</xm:f>
            <x14:dxf>
              <font>
                <color theme="0"/>
              </font>
              <fill>
                <patternFill>
                  <bgColor theme="0"/>
                </patternFill>
              </fill>
              <border>
                <right/>
                <top/>
                <bottom/>
                <vertical/>
                <horizontal/>
              </border>
            </x14:dxf>
          </x14:cfRule>
          <xm:sqref>G67:M70</xm:sqref>
        </x14:conditionalFormatting>
        <x14:conditionalFormatting xmlns:xm="http://schemas.microsoft.com/office/excel/2006/main">
          <x14:cfRule type="expression" priority="9" id="{1E57FB43-6A30-4541-BAF2-E52CAF5FFFA7}">
            <xm:f>'Variable Mgmt'!$B$74=TRUE</xm:f>
            <x14:dxf>
              <font>
                <color theme="0"/>
              </font>
              <fill>
                <patternFill>
                  <bgColor theme="0"/>
                </patternFill>
              </fill>
              <border>
                <right/>
                <top/>
                <bottom/>
                <vertical/>
                <horizontal/>
              </border>
            </x14:dxf>
          </x14:cfRule>
          <xm:sqref>G73:M77</xm:sqref>
        </x14:conditionalFormatting>
        <x14:conditionalFormatting xmlns:xm="http://schemas.microsoft.com/office/excel/2006/main">
          <x14:cfRule type="expression" priority="55" id="{B42E45EE-F49B-4512-9DB9-8B85B95C6919}">
            <xm:f>'Variable Mgmt'!$B$74=TRUE</xm:f>
            <x14:dxf>
              <border>
                <left/>
                <right/>
                <top/>
                <bottom/>
                <vertical/>
                <horizontal/>
              </border>
            </x14:dxf>
          </x14:cfRule>
          <xm:sqref>H33:J36</xm:sqref>
        </x14:conditionalFormatting>
        <x14:conditionalFormatting xmlns:xm="http://schemas.microsoft.com/office/excel/2006/main">
          <x14:cfRule type="expression" priority="56" id="{18CE8F81-B526-43C7-B5F1-BAA9C73809CD}">
            <xm:f>'Variable Mgmt'!$B$74=TRUE</xm:f>
            <x14:dxf>
              <font>
                <color theme="0"/>
              </font>
              <fill>
                <patternFill>
                  <bgColor theme="0"/>
                </patternFill>
              </fill>
              <border>
                <right/>
                <top/>
                <bottom/>
              </border>
            </x14:dxf>
          </x14:cfRule>
          <xm:sqref>K33:M36</xm:sqref>
        </x14:conditionalFormatting>
        <x14:conditionalFormatting xmlns:xm="http://schemas.microsoft.com/office/excel/2006/main">
          <x14:cfRule type="expression" priority="195" id="{2E385B5D-C8C9-48C7-B4AE-E1A8F27EB6E6}">
            <xm:f>Lmin_abs*0.000001&gt;'Variable Mgmt'!$B$96</xm:f>
            <x14:dxf>
              <font>
                <strike/>
                <color rgb="FFFF0000"/>
              </font>
            </x14:dxf>
          </x14:cfRule>
          <xm:sqref>L7</xm:sqref>
        </x14:conditionalFormatting>
        <x14:conditionalFormatting xmlns:xm="http://schemas.microsoft.com/office/excel/2006/main">
          <x14:cfRule type="expression" priority="53" id="{DA50B535-B6B5-4DFB-9CBC-C505A48C7EB5}">
            <xm:f>'Variable Mgmt'!$B$74=TRUE</xm:f>
            <x14:dxf>
              <font>
                <color theme="0"/>
              </font>
              <fill>
                <patternFill>
                  <bgColor theme="0"/>
                </patternFill>
              </fill>
            </x14:dxf>
          </x14:cfRule>
          <xm:sqref>L10</xm:sqref>
        </x14:conditionalFormatting>
        <x14:conditionalFormatting xmlns:xm="http://schemas.microsoft.com/office/excel/2006/main">
          <x14:cfRule type="expression" priority="36" id="{FDC5A767-D495-475A-B6AD-F3FAFB5256A1}">
            <xm:f>AND('Variable Mgmt'!#REF!&gt;'Variable Mgmt'!$B$78*1/1000, MODE=1)</xm:f>
            <x14:dxf>
              <font>
                <color rgb="FFFF0000"/>
              </font>
            </x14:dxf>
          </x14:cfRule>
          <xm:sqref>L11</xm:sqref>
        </x14:conditionalFormatting>
        <x14:conditionalFormatting xmlns:xm="http://schemas.microsoft.com/office/excel/2006/main">
          <x14:cfRule type="expression" priority="196" id="{EE277573-B7FD-4D2F-97C3-CC46EAD89E7B}">
            <xm:f>AND('Variable Mgmt'!#REF!&gt;'Variable Mgmt'!$B$78*1/1000, MODE=1)</xm:f>
            <x14:dxf>
              <font>
                <b/>
                <i val="0"/>
                <color rgb="FFFF0000"/>
              </font>
            </x14:dxf>
          </x14:cfRule>
          <xm:sqref>L13</xm:sqref>
        </x14:conditionalFormatting>
        <x14:conditionalFormatting xmlns:xm="http://schemas.microsoft.com/office/excel/2006/main">
          <x14:cfRule type="expression" priority="11" id="{39327DC7-FED1-4A11-B0EB-9DA33BE59322}">
            <xm:f>AND('Variable Mgmt'!#REF!&gt;'Variable Mgmt'!$B$78*1/1000, MODE=1)</xm:f>
            <x14:dxf>
              <font>
                <color rgb="FFFF0000"/>
              </font>
            </x14:dxf>
          </x14:cfRule>
          <xm:sqref>L22:L26</xm:sqref>
        </x14:conditionalFormatting>
        <x14:conditionalFormatting xmlns:xm="http://schemas.microsoft.com/office/excel/2006/main">
          <x14:cfRule type="expression" priority="35" id="{004998DE-C112-4A16-9357-8F0E103D9C84}">
            <xm:f>'Variable Mgmt'!$D$83=TRUE</xm:f>
            <x14:dxf>
              <font>
                <strike val="0"/>
                <color theme="0"/>
              </font>
              <fill>
                <patternFill>
                  <bgColor rgb="FFFF0000"/>
                </patternFill>
              </fill>
            </x14:dxf>
          </x14:cfRule>
          <xm:sqref>L12:M12</xm:sqref>
        </x14:conditionalFormatting>
        <x14:conditionalFormatting xmlns:xm="http://schemas.microsoft.com/office/excel/2006/main">
          <x14:cfRule type="expression" priority="51" id="{2E35C64D-1122-4B17-B495-E52D781938E1}">
            <xm:f>'Variable Mgmt'!$D$83=TRUE</xm:f>
            <x14:dxf>
              <font>
                <strike val="0"/>
                <color theme="0"/>
              </font>
              <fill>
                <patternFill>
                  <bgColor rgb="FFFF0000"/>
                </patternFill>
              </fill>
            </x14:dxf>
          </x14:cfRule>
          <xm:sqref>L15:M16</xm:sqref>
        </x14:conditionalFormatting>
        <x14:conditionalFormatting xmlns:xm="http://schemas.microsoft.com/office/excel/2006/main">
          <x14:cfRule type="expression" priority="197" id="{FB76FAF3-E114-4E5D-9585-0FED8547CF75}">
            <xm:f>'Variable Mgmt'!$D$48=TRUE</xm:f>
            <x14:dxf>
              <font>
                <b/>
                <i val="0"/>
                <color theme="0"/>
              </font>
              <fill>
                <patternFill patternType="solid">
                  <fgColor auto="1"/>
                  <bgColor rgb="FFFF0000"/>
                </patternFill>
              </fill>
            </x14:dxf>
          </x14:cfRule>
          <xm:sqref>L16:M16</xm:sqref>
        </x14:conditionalFormatting>
        <x14:conditionalFormatting xmlns:xm="http://schemas.microsoft.com/office/excel/2006/main">
          <x14:cfRule type="expression" priority="14" id="{3BB56539-2E3C-47E6-AE6B-0D4CFCA3E58F}">
            <xm:f>'Variable Mgmt'!$B$74=TRUE</xm:f>
            <x14:dxf>
              <font>
                <color theme="0"/>
              </font>
              <fill>
                <patternFill>
                  <bgColor theme="0"/>
                </patternFill>
              </fill>
              <border>
                <right/>
                <top/>
                <bottom/>
                <vertical/>
                <horizontal/>
              </border>
            </x14:dxf>
          </x14:cfRule>
          <xm:sqref>N29:T31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Selection is out of reasonable range!" xr:uid="{DB9BF754-8A1C-46C6-8BD1-90DBE37CFCCE}">
          <x14:formula1>
            <xm:f>'Stability Calculations'!$A$49:$A$96</xm:f>
          </x14:formula1>
          <xm:sqref>E58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B7"/>
  <sheetViews>
    <sheetView zoomScaleNormal="100" workbookViewId="0">
      <selection activeCell="D5" sqref="D5"/>
    </sheetView>
  </sheetViews>
  <sheetFormatPr defaultRowHeight="13.2"/>
  <cols>
    <col min="2" max="2" width="126.44140625" customWidth="1"/>
  </cols>
  <sheetData>
    <row r="2" spans="1:2" ht="17.25" customHeight="1">
      <c r="A2" s="59" t="str">
        <f>CHOOSE(MODE, "EFF_SINGLE", "EFF_DUAL")</f>
        <v>EFF_DUAL</v>
      </c>
    </row>
    <row r="5" spans="1:2" ht="409.5" customHeight="1">
      <c r="B5" s="309"/>
    </row>
    <row r="6" spans="1:2" ht="17.100000000000001" customHeight="1"/>
    <row r="7" spans="1:2" ht="409.5" customHeight="1">
      <c r="B7" s="309"/>
    </row>
  </sheetData>
  <phoneticPr fontId="83"/>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B7"/>
  <sheetViews>
    <sheetView zoomScaleNormal="100" workbookViewId="0">
      <selection activeCell="B12" sqref="B12"/>
    </sheetView>
  </sheetViews>
  <sheetFormatPr defaultRowHeight="13.2"/>
  <cols>
    <col min="2" max="2" width="126.44140625" customWidth="1"/>
  </cols>
  <sheetData>
    <row r="2" spans="1:2" ht="17.25" customHeight="1">
      <c r="A2" s="59" t="str">
        <f>CHOOSE(MODE, "Fsw_SINGLE", "Fsw_DUAL")</f>
        <v>Fsw_DUAL</v>
      </c>
    </row>
    <row r="5" spans="1:2" ht="409.5" customHeight="1">
      <c r="B5" s="309"/>
    </row>
    <row r="6" spans="1:2" ht="17.100000000000001" customHeight="1"/>
    <row r="7" spans="1:2" ht="409.5" customHeight="1">
      <c r="B7" s="309"/>
    </row>
  </sheetData>
  <phoneticPr fontId="83"/>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sheetPr>
  <dimension ref="A2:T66"/>
  <sheetViews>
    <sheetView topLeftCell="A8" zoomScale="40" zoomScaleNormal="40" zoomScaleSheetLayoutView="145" workbookViewId="0">
      <selection activeCell="N13" sqref="N13"/>
    </sheetView>
  </sheetViews>
  <sheetFormatPr defaultRowHeight="13.2"/>
  <cols>
    <col min="1" max="1" width="12.77734375" style="309" customWidth="1"/>
    <col min="2" max="2" width="124.77734375" customWidth="1"/>
    <col min="3" max="4" width="9.21875" style="309"/>
    <col min="5" max="5" width="124.77734375" customWidth="1"/>
    <col min="8" max="8" width="124.77734375" style="309" customWidth="1"/>
  </cols>
  <sheetData>
    <row r="2" spans="1:6">
      <c r="A2" s="309" t="str">
        <f>'Variable Mgmt'!K66</f>
        <v>SCH_DUAL_UVLOadj_SSadj_TCno</v>
      </c>
    </row>
    <row r="5" spans="1:6" s="309" customFormat="1" ht="13.5" customHeight="1"/>
    <row r="6" spans="1:6" s="309" customFormat="1" ht="16.5" customHeight="1"/>
    <row r="7" spans="1:6" ht="357" customHeight="1">
      <c r="E7" s="328"/>
    </row>
    <row r="8" spans="1:6" s="309" customFormat="1" ht="17.25" customHeight="1"/>
    <row r="9" spans="1:6" ht="357" customHeight="1">
      <c r="B9" s="59"/>
      <c r="E9" s="328"/>
      <c r="F9" s="309"/>
    </row>
    <row r="10" spans="1:6" s="309" customFormat="1"/>
    <row r="11" spans="1:6" ht="357" customHeight="1">
      <c r="B11" s="328"/>
      <c r="E11" s="309"/>
      <c r="F11" s="309"/>
    </row>
    <row r="12" spans="1:6">
      <c r="B12" s="309"/>
      <c r="E12" s="309"/>
      <c r="F12" s="309"/>
    </row>
    <row r="13" spans="1:6" ht="357" customHeight="1">
      <c r="B13" s="328"/>
      <c r="E13" s="309"/>
      <c r="F13" s="309"/>
    </row>
    <row r="14" spans="1:6">
      <c r="B14" s="309"/>
      <c r="E14" s="309"/>
      <c r="F14" s="309"/>
    </row>
    <row r="15" spans="1:6" ht="357" customHeight="1">
      <c r="E15" s="309"/>
      <c r="F15" s="309"/>
    </row>
    <row r="16" spans="1:6">
      <c r="B16" s="309"/>
      <c r="E16" s="309"/>
    </row>
    <row r="17" spans="2:6" ht="357" customHeight="1">
      <c r="B17" s="328"/>
      <c r="E17" s="309"/>
      <c r="F17" s="309"/>
    </row>
    <row r="18" spans="2:6" ht="12" customHeight="1">
      <c r="B18" s="309"/>
      <c r="E18" s="309"/>
    </row>
    <row r="19" spans="2:6" ht="357" customHeight="1">
      <c r="B19" s="309"/>
      <c r="E19" s="309"/>
    </row>
    <row r="20" spans="2:6" ht="13.5" customHeight="1">
      <c r="B20" s="309"/>
      <c r="E20" s="309"/>
    </row>
    <row r="21" spans="2:6" ht="357" customHeight="1">
      <c r="B21" s="309"/>
      <c r="E21" s="309"/>
    </row>
    <row r="22" spans="2:6">
      <c r="B22" s="309"/>
      <c r="E22" s="309"/>
    </row>
    <row r="23" spans="2:6" ht="357" customHeight="1">
      <c r="B23" s="309"/>
      <c r="E23" s="309"/>
    </row>
    <row r="24" spans="2:6">
      <c r="B24" s="309"/>
      <c r="E24" s="309"/>
    </row>
    <row r="25" spans="2:6" ht="327.75" customHeight="1">
      <c r="B25" s="309"/>
      <c r="E25" s="309"/>
    </row>
    <row r="26" spans="2:6">
      <c r="E26" s="309"/>
    </row>
    <row r="27" spans="2:6" ht="327.60000000000002" customHeight="1">
      <c r="B27" s="309"/>
      <c r="E27" s="309"/>
    </row>
    <row r="28" spans="2:6">
      <c r="B28" s="309"/>
      <c r="E28" s="309"/>
    </row>
    <row r="29" spans="2:6" ht="327.75" customHeight="1">
      <c r="B29" s="309"/>
      <c r="E29" s="309"/>
    </row>
    <row r="30" spans="2:6" ht="13.5" customHeight="1">
      <c r="B30" s="309"/>
      <c r="E30" s="309"/>
    </row>
    <row r="31" spans="2:6" ht="327.75" customHeight="1">
      <c r="B31" s="309"/>
      <c r="E31" s="309"/>
    </row>
    <row r="32" spans="2:6" ht="13.5" customHeight="1">
      <c r="B32" s="309"/>
      <c r="E32" s="309"/>
    </row>
    <row r="33" spans="2:20" ht="327.75" customHeight="1">
      <c r="B33" s="309"/>
      <c r="E33" s="309"/>
    </row>
    <row r="34" spans="2:20" ht="13.5" customHeight="1">
      <c r="B34" s="309"/>
      <c r="E34" s="309"/>
    </row>
    <row r="35" spans="2:20" ht="327.60000000000002" customHeight="1">
      <c r="B35" s="309"/>
      <c r="E35" s="309"/>
    </row>
    <row r="36" spans="2:20" ht="13.5" customHeight="1">
      <c r="B36" s="309"/>
      <c r="E36" s="309"/>
    </row>
    <row r="37" spans="2:20" ht="327.75" customHeight="1">
      <c r="B37" s="309"/>
      <c r="E37" s="309"/>
    </row>
    <row r="38" spans="2:20" ht="13.5" customHeight="1">
      <c r="B38" s="309"/>
      <c r="E38" s="309"/>
      <c r="G38" s="310"/>
    </row>
    <row r="39" spans="2:20" ht="327.75" customHeight="1">
      <c r="B39" s="309"/>
      <c r="E39" s="309"/>
    </row>
    <row r="40" spans="2:20">
      <c r="B40" s="309"/>
      <c r="E40" s="309"/>
      <c r="Q40" s="9"/>
      <c r="S40" s="9"/>
      <c r="T40" s="9"/>
    </row>
    <row r="41" spans="2:20" ht="327.75" customHeight="1">
      <c r="B41" s="309"/>
      <c r="E41" s="309"/>
      <c r="Q41" s="9"/>
      <c r="S41" s="9"/>
    </row>
    <row r="42" spans="2:20">
      <c r="B42" s="309"/>
      <c r="E42" s="309"/>
      <c r="Q42" s="9"/>
      <c r="S42" s="9"/>
    </row>
    <row r="43" spans="2:20" ht="327.75" customHeight="1">
      <c r="B43" s="309"/>
      <c r="E43" s="309"/>
      <c r="Q43" s="9"/>
      <c r="S43" s="9"/>
    </row>
    <row r="44" spans="2:20">
      <c r="B44" s="309"/>
      <c r="E44" s="309"/>
      <c r="Q44" s="9"/>
      <c r="S44" s="9"/>
    </row>
    <row r="45" spans="2:20" ht="327.75" customHeight="1">
      <c r="B45" s="309"/>
      <c r="E45" s="309"/>
      <c r="Q45" s="9"/>
      <c r="S45" s="9"/>
    </row>
    <row r="46" spans="2:20">
      <c r="B46" s="309"/>
      <c r="E46" s="309"/>
      <c r="Q46" s="9"/>
      <c r="S46" s="9"/>
    </row>
    <row r="47" spans="2:20" ht="327.75" customHeight="1">
      <c r="B47" s="309"/>
      <c r="E47" s="309"/>
      <c r="Q47" s="9"/>
      <c r="S47" s="311"/>
    </row>
    <row r="48" spans="2:20">
      <c r="B48" s="309"/>
      <c r="E48" s="309"/>
      <c r="Q48" s="9"/>
      <c r="S48" s="9"/>
    </row>
    <row r="49" spans="2:19" ht="327.75" customHeight="1">
      <c r="B49" s="309"/>
      <c r="E49" s="309"/>
      <c r="Q49" s="9"/>
      <c r="S49" s="9"/>
    </row>
    <row r="50" spans="2:19">
      <c r="B50" s="309"/>
      <c r="E50" s="309"/>
      <c r="Q50" s="9"/>
      <c r="S50" s="9"/>
    </row>
    <row r="51" spans="2:19">
      <c r="B51" s="309"/>
      <c r="E51" s="309"/>
      <c r="Q51" s="9"/>
      <c r="S51" s="9"/>
    </row>
    <row r="52" spans="2:19">
      <c r="B52" s="309"/>
      <c r="E52" s="309"/>
      <c r="Q52" s="9"/>
      <c r="S52" s="9"/>
    </row>
    <row r="53" spans="2:19">
      <c r="B53" s="309"/>
      <c r="E53" s="309"/>
    </row>
    <row r="54" spans="2:19">
      <c r="B54" s="309"/>
      <c r="E54" s="309"/>
    </row>
    <row r="55" spans="2:19">
      <c r="B55" s="309"/>
      <c r="E55" s="309"/>
      <c r="R55" s="3"/>
    </row>
    <row r="56" spans="2:19">
      <c r="B56" s="309"/>
      <c r="E56" s="309"/>
    </row>
    <row r="57" spans="2:19">
      <c r="B57" s="309"/>
      <c r="E57" s="309"/>
    </row>
    <row r="66" spans="18:18">
      <c r="R66" s="3"/>
    </row>
  </sheetData>
  <sheetProtection sheet="1" objects="1" scenarios="1"/>
  <phoneticPr fontId="83"/>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K159"/>
  <sheetViews>
    <sheetView workbookViewId="0">
      <selection activeCell="O25" sqref="O25"/>
    </sheetView>
  </sheetViews>
  <sheetFormatPr defaultRowHeight="13.2"/>
  <cols>
    <col min="1" max="1" width="17.21875" customWidth="1"/>
    <col min="2" max="2" width="12" bestFit="1" customWidth="1"/>
    <col min="8" max="8" width="12.21875" customWidth="1"/>
    <col min="9" max="9" width="12.44140625" bestFit="1" customWidth="1"/>
    <col min="10" max="10" width="15.44140625" customWidth="1"/>
  </cols>
  <sheetData>
    <row r="2" spans="1:11">
      <c r="A2" t="s">
        <v>68</v>
      </c>
      <c r="B2" t="s">
        <v>66</v>
      </c>
      <c r="C2" t="s">
        <v>14</v>
      </c>
      <c r="D2" t="s">
        <v>28</v>
      </c>
      <c r="E2" t="s">
        <v>75</v>
      </c>
    </row>
    <row r="3" spans="1:11">
      <c r="A3" t="s">
        <v>71</v>
      </c>
      <c r="B3">
        <f>Css</f>
        <v>1.0000000000000001E-7</v>
      </c>
      <c r="C3">
        <f>Cout</f>
        <v>6</v>
      </c>
      <c r="D3">
        <f>Cin</f>
        <v>120</v>
      </c>
      <c r="E3">
        <f>Cb</f>
        <v>0</v>
      </c>
      <c r="H3" t="s">
        <v>73</v>
      </c>
      <c r="I3" t="s">
        <v>74</v>
      </c>
      <c r="J3" s="3" t="s">
        <v>70</v>
      </c>
    </row>
    <row r="4" spans="1:11" ht="13.8">
      <c r="A4" s="6" t="s">
        <v>70</v>
      </c>
      <c r="B4" s="6">
        <f>SUM(B6:B158)/1000000000000</f>
        <v>9.9999999999999995E-8</v>
      </c>
      <c r="C4" s="6">
        <f>SUM(C6:C158)/1000000000000</f>
        <v>0</v>
      </c>
      <c r="D4" s="6">
        <f>SUM(D6:D158)/1000000000000</f>
        <v>0</v>
      </c>
      <c r="E4" s="6">
        <f>IF(E3="OPEN","OPEN",SUM(E6:E158)/1000000000000)</f>
        <v>0</v>
      </c>
      <c r="H4" s="59" t="s">
        <v>139</v>
      </c>
      <c r="I4" t="e">
        <f>Rt</f>
        <v>#NAME?</v>
      </c>
      <c r="J4" s="3" t="e">
        <f t="shared" ref="J4:J9" si="0">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2" t="s">
        <v>136</v>
      </c>
    </row>
    <row r="5" spans="1:11" ht="13.8">
      <c r="A5" t="s">
        <v>69</v>
      </c>
      <c r="J5" s="3"/>
      <c r="K5" s="12"/>
    </row>
    <row r="6" spans="1:11" ht="13.8">
      <c r="A6">
        <v>0.47</v>
      </c>
      <c r="B6">
        <f>IF(IF((B$3*10^12-$A7)*(B$3*10^12-$A6)*-1&lt;0,0,1)*IF(ABS(B$3*10^12-$A7)&gt;(B$3*10^12-$A6),$A6,$A7)=B7,0,IF((B$3*10^12-$A7)*(B$3*10^12-$A6)*-1&lt;0,0,1)*IF(ABS(B$3*10^12-$A7)&gt;(B$3*10^12-$A6),$A6,$A7))</f>
        <v>0</v>
      </c>
      <c r="C6">
        <f>IF(IF((C$3*10^12-$A7)*(C$3*10^12-$A6)*-1&lt;0,0,1)*IF(ABS(C$3*10^12-$A7)&gt;(C$3*10^12-$A6),$A6,$A7)=C7,0,IF((C$3*10^12-$A7)*(C$3*10^12-$A6)*-1&lt;0,0,1)*IF(ABS(C$3*10^12-$A7)&gt;(C$3*10^12-$A6),$A6,$A7))</f>
        <v>0</v>
      </c>
      <c r="D6">
        <f>IF(IF((D$3*10^12-$A7)*(D$3*10^12-$A6)*-1&lt;0,0,1)*IF(ABS(D$3*10^12-$A7)&gt;(D$3*10^12-$A6),$A6,$A7)=D7,0,IF((D$3*10^12-$A7)*(D$3*10^12-$A6)*-1&lt;0,0,1)*IF(ABS(D$3*10^12-$A7)&gt;(D$3*10^12-$A6),$A6,$A7))</f>
        <v>0</v>
      </c>
      <c r="E6">
        <f>IF(IF((E$3*10^12-$A7)*(E$3*10^12-$A6)*-1&lt;0,0,1)*IF(ABS(E$3*10^12-$A7)&gt;(E$3*10^12-$A6),$A6,$A7)=E7,0,IF((E$3*10^12-$A7)*(E$3*10^12-$A6)*-1&lt;0,0,1)*IF(ABS(E$3*10^12-$A7)&gt;(E$3*10^12-$A6),$A6,$A7))</f>
        <v>0</v>
      </c>
      <c r="H6" s="59" t="s">
        <v>162</v>
      </c>
      <c r="I6" t="e">
        <f>Rshunt</f>
        <v>#NAME?</v>
      </c>
      <c r="J6" s="3" t="e">
        <f t="shared" si="0"/>
        <v>#NAME?</v>
      </c>
      <c r="K6" s="12" t="s">
        <v>136</v>
      </c>
    </row>
    <row r="7" spans="1:11" ht="13.8">
      <c r="A7">
        <v>0.56000000000000005</v>
      </c>
      <c r="B7">
        <f t="shared" ref="B7:B70" si="1">IF(IF((B$3*10^12-$A8)*(B$3*10^12-$A7)*-1&lt;0,0,1)*IF(ABS(B$3*10^12-$A8)&gt;(B$3*10^12-$A7),$A7,$A8)=B8,0,IF((B$3*10^12-$A8)*(B$3*10^12-$A7)*-1&lt;0,0,1)*IF(ABS(B$3*10^12-$A8)&gt;(B$3*10^12-$A7),$A7,$A8))</f>
        <v>0</v>
      </c>
      <c r="C7">
        <f t="shared" ref="C7:C69" si="2">IF(IF((C$3*10^12-$A8)*(C$3*10^12-$A7)*-1&lt;0,0,1)*IF(ABS(C$3*10^12-$A8)&gt;(C$3*10^12-$A7),$A7,$A8)=C8,0,IF((C$3*10^12-$A8)*(C$3*10^12-$A7)*-1&lt;0,0,1)*IF(ABS(C$3*10^12-$A8)&gt;(C$3*10^12-$A7),$A7,$A8))</f>
        <v>0</v>
      </c>
      <c r="D7">
        <f t="shared" ref="D7:D69" si="3">IF(IF((D$3*10^12-$A8)*(D$3*10^12-$A7)*-1&lt;0,0,1)*IF(ABS(D$3*10^12-$A8)&gt;(D$3*10^12-$A7),$A7,$A8)=D8,0,IF((D$3*10^12-$A8)*(D$3*10^12-$A7)*-1&lt;0,0,1)*IF(ABS(D$3*10^12-$A8)&gt;(D$3*10^12-$A7),$A7,$A8))</f>
        <v>0</v>
      </c>
      <c r="E7">
        <f t="shared" ref="E7:E37" si="4">IF(IF((E$3*10^12-$A8)*(E$3*10^12-$A7)*-1&lt;0,0,1)*IF(ABS(E$3*10^12-$A8)&gt;(E$3*10^12-$A7),$A7,$A8)=E8,0,IF((E$3*10^12-$A8)*(E$3*10^12-$A7)*-1&lt;0,0,1)*IF(ABS(E$3*10^12-$A8)&gt;(E$3*10^12-$A7),$A7,$A8))</f>
        <v>0</v>
      </c>
      <c r="H7" t="s">
        <v>79</v>
      </c>
      <c r="I7">
        <v>6220.3534470000013</v>
      </c>
      <c r="J7" s="3">
        <f t="shared" si="0"/>
        <v>6190</v>
      </c>
      <c r="K7" s="12" t="s">
        <v>136</v>
      </c>
    </row>
    <row r="8" spans="1:11" ht="13.8">
      <c r="A8">
        <v>0.68</v>
      </c>
      <c r="B8">
        <f t="shared" si="1"/>
        <v>0</v>
      </c>
      <c r="C8">
        <f t="shared" si="2"/>
        <v>0</v>
      </c>
      <c r="D8">
        <f t="shared" si="3"/>
        <v>0</v>
      </c>
      <c r="E8">
        <f t="shared" si="4"/>
        <v>0</v>
      </c>
      <c r="J8" s="3"/>
      <c r="K8" s="12"/>
    </row>
    <row r="9" spans="1:11" ht="13.8">
      <c r="A9">
        <v>0.82</v>
      </c>
      <c r="B9">
        <f t="shared" si="1"/>
        <v>0</v>
      </c>
      <c r="C9">
        <f t="shared" si="2"/>
        <v>0</v>
      </c>
      <c r="D9">
        <f t="shared" si="3"/>
        <v>0</v>
      </c>
      <c r="E9">
        <f t="shared" si="4"/>
        <v>0</v>
      </c>
      <c r="H9" t="s">
        <v>377</v>
      </c>
      <c r="I9">
        <f>RTC_1</f>
        <v>3605333.3333333335</v>
      </c>
      <c r="J9" s="3">
        <f t="shared" si="0"/>
        <v>3570000</v>
      </c>
      <c r="K9" s="12" t="s">
        <v>136</v>
      </c>
    </row>
    <row r="10" spans="1:11" ht="13.8">
      <c r="A10">
        <v>1</v>
      </c>
      <c r="B10">
        <f t="shared" si="1"/>
        <v>0</v>
      </c>
      <c r="C10">
        <f t="shared" si="2"/>
        <v>0</v>
      </c>
      <c r="D10">
        <f t="shared" si="3"/>
        <v>0</v>
      </c>
      <c r="E10">
        <f t="shared" si="4"/>
        <v>0</v>
      </c>
      <c r="H10" t="s">
        <v>17</v>
      </c>
      <c r="I10">
        <f>Rfb</f>
        <v>84500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84500</v>
      </c>
      <c r="K10" s="12" t="s">
        <v>136</v>
      </c>
    </row>
    <row r="11" spans="1:11">
      <c r="A11">
        <v>1.2</v>
      </c>
      <c r="B11">
        <f t="shared" si="1"/>
        <v>0</v>
      </c>
      <c r="C11">
        <f t="shared" si="2"/>
        <v>0</v>
      </c>
      <c r="D11">
        <f t="shared" si="3"/>
        <v>0</v>
      </c>
      <c r="E11">
        <f t="shared" si="4"/>
        <v>0</v>
      </c>
      <c r="J11" s="3"/>
    </row>
    <row r="12" spans="1:11">
      <c r="A12">
        <v>1.5</v>
      </c>
      <c r="B12">
        <f t="shared" si="1"/>
        <v>0</v>
      </c>
      <c r="C12">
        <f t="shared" si="2"/>
        <v>0</v>
      </c>
      <c r="D12">
        <f t="shared" si="3"/>
        <v>0</v>
      </c>
      <c r="E12">
        <f t="shared" si="4"/>
        <v>0</v>
      </c>
      <c r="J12" s="3"/>
    </row>
    <row r="13" spans="1:11" ht="13.8">
      <c r="A13">
        <v>1.8</v>
      </c>
      <c r="B13">
        <f t="shared" si="1"/>
        <v>0</v>
      </c>
      <c r="C13">
        <f t="shared" si="2"/>
        <v>0</v>
      </c>
      <c r="D13">
        <f t="shared" si="3"/>
        <v>0</v>
      </c>
      <c r="E13">
        <f t="shared" si="4"/>
        <v>0</v>
      </c>
      <c r="H13" s="59"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2" t="s">
        <v>161</v>
      </c>
    </row>
    <row r="14" spans="1:11">
      <c r="A14">
        <v>2.2000000000000002</v>
      </c>
      <c r="B14">
        <f>IF(IF((B$3*10^12-$A15)*(B$3*10^12-$A14)*-1&lt;0,0,1)*IF(ABS(B$3*10^12-$A15)&gt;(B$3*10^12-$A14),$A14,$A15)=B15,0,IF((B$3*10^12-$A15)*(B$3*10^12-$A14)*-1&lt;0,0,1)*IF(ABS(B$3*10^12-$A15)&gt;(B$3*10^12-$A14),$A14,$A15))</f>
        <v>0</v>
      </c>
      <c r="C14">
        <f>IF(IF((C$3*10^12-$A15)*(C$3*10^12-$A14)*-1&lt;0,0,1)*IF(ABS(C$3*10^12-$A15)&gt;(C$3*10^12-$A14),$A14,$A15)=C15,0,IF((C$3*10^12-$A15)*(C$3*10^12-$A14)*-1&lt;0,0,1)*IF(ABS(C$3*10^12-$A15)&gt;(C$3*10^12-$A14),$A14,$A15))</f>
        <v>0</v>
      </c>
      <c r="D14">
        <f>IF(IF((D$3*10^12-$A15)*(D$3*10^12-$A14)*-1&lt;0,0,1)*IF(ABS(D$3*10^12-$A15)&gt;(D$3*10^12-$A14),$A14,$A15)=D15,0,IF((D$3*10^12-$A15)*(D$3*10^12-$A14)*-1&lt;0,0,1)*IF(ABS(D$3*10^12-$A15)&gt;(D$3*10^12-$A14),$A14,$A15))</f>
        <v>0</v>
      </c>
      <c r="E14">
        <f>IF(IF((E$3*10^12-$A15)*(E$3*10^12-$A14)*-1&lt;0,0,1)*IF(ABS(E$3*10^12-$A15)&gt;(E$3*10^12-$A14),$A14,$A15)=E15,0,IF((E$3*10^12-$A15)*(E$3*10^12-$A14)*-1&lt;0,0,1)*IF(ABS(E$3*10^12-$A15)&gt;(E$3*10^12-$A14),$A14,$A15))</f>
        <v>0</v>
      </c>
      <c r="H14" s="59" t="s">
        <v>160</v>
      </c>
      <c r="I14" t="e">
        <f>Cslope_ideal</f>
        <v>#NAME?</v>
      </c>
      <c r="J14" t="e">
        <f>#REF!*1000000000000</f>
        <v>#REF!</v>
      </c>
      <c r="K14" s="59" t="s">
        <v>15</v>
      </c>
    </row>
    <row r="15" spans="1:11">
      <c r="A15">
        <v>2.7</v>
      </c>
      <c r="B15">
        <f t="shared" si="1"/>
        <v>0</v>
      </c>
      <c r="C15">
        <f t="shared" si="2"/>
        <v>0</v>
      </c>
      <c r="D15">
        <f t="shared" si="3"/>
        <v>0</v>
      </c>
      <c r="E15">
        <f t="shared" si="4"/>
        <v>0</v>
      </c>
    </row>
    <row r="16" spans="1:11" ht="13.8">
      <c r="A16">
        <v>3.3</v>
      </c>
      <c r="B16">
        <f t="shared" si="1"/>
        <v>0</v>
      </c>
      <c r="C16">
        <f t="shared" si="2"/>
        <v>0</v>
      </c>
      <c r="D16">
        <f t="shared" si="3"/>
        <v>0</v>
      </c>
      <c r="E16">
        <f t="shared" si="4"/>
        <v>0</v>
      </c>
      <c r="H16" s="59" t="s">
        <v>130</v>
      </c>
      <c r="I16">
        <f>Ruvlo1</f>
        <v>43.333333333333357</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43.2</v>
      </c>
      <c r="K16" s="12" t="s">
        <v>113</v>
      </c>
    </row>
    <row r="17" spans="1:11" ht="13.8">
      <c r="A17">
        <v>3.9</v>
      </c>
      <c r="B17">
        <f t="shared" si="1"/>
        <v>0</v>
      </c>
      <c r="C17">
        <f t="shared" si="2"/>
        <v>0</v>
      </c>
      <c r="D17">
        <f t="shared" si="3"/>
        <v>0</v>
      </c>
      <c r="E17">
        <f t="shared" si="4"/>
        <v>0</v>
      </c>
      <c r="H17" s="59" t="s">
        <v>131</v>
      </c>
      <c r="I17" s="150">
        <f>Ruvlo2</f>
        <v>9.257142857142858</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9.31</v>
      </c>
      <c r="K17" s="12" t="s">
        <v>113</v>
      </c>
    </row>
    <row r="18" spans="1:11" ht="13.8">
      <c r="A18">
        <v>4.7</v>
      </c>
      <c r="B18">
        <f t="shared" si="1"/>
        <v>0</v>
      </c>
      <c r="C18">
        <f t="shared" si="2"/>
        <v>0</v>
      </c>
      <c r="D18">
        <f t="shared" si="3"/>
        <v>0</v>
      </c>
      <c r="E18">
        <f t="shared" si="4"/>
        <v>0</v>
      </c>
      <c r="H18" s="59" t="s">
        <v>295</v>
      </c>
      <c r="I18" s="150"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2" t="s">
        <v>113</v>
      </c>
    </row>
    <row r="19" spans="1:11">
      <c r="A19">
        <v>5.6</v>
      </c>
      <c r="B19">
        <f t="shared" si="1"/>
        <v>0</v>
      </c>
      <c r="C19">
        <f t="shared" si="2"/>
        <v>0</v>
      </c>
      <c r="D19">
        <f t="shared" si="3"/>
        <v>0</v>
      </c>
      <c r="E19">
        <f t="shared" si="4"/>
        <v>0</v>
      </c>
    </row>
    <row r="20" spans="1:11">
      <c r="A20">
        <v>6.8</v>
      </c>
      <c r="B20">
        <f t="shared" si="1"/>
        <v>0</v>
      </c>
      <c r="C20">
        <f t="shared" si="2"/>
        <v>0</v>
      </c>
      <c r="D20">
        <f t="shared" si="3"/>
        <v>0</v>
      </c>
      <c r="E20">
        <f t="shared" si="4"/>
        <v>0</v>
      </c>
      <c r="H20" s="59"/>
      <c r="J20" s="3"/>
    </row>
    <row r="21" spans="1:11">
      <c r="A21">
        <v>8.1999999999999993</v>
      </c>
      <c r="B21">
        <f t="shared" si="1"/>
        <v>0</v>
      </c>
      <c r="C21">
        <f t="shared" si="2"/>
        <v>0</v>
      </c>
      <c r="D21">
        <f t="shared" si="3"/>
        <v>0</v>
      </c>
      <c r="E21">
        <f t="shared" si="4"/>
        <v>0</v>
      </c>
      <c r="J21" s="3"/>
    </row>
    <row r="22" spans="1:11" ht="13.8">
      <c r="A22">
        <v>10</v>
      </c>
      <c r="B22">
        <f t="shared" si="1"/>
        <v>0</v>
      </c>
      <c r="C22">
        <f t="shared" si="2"/>
        <v>0</v>
      </c>
      <c r="D22">
        <f t="shared" si="3"/>
        <v>0</v>
      </c>
      <c r="E22">
        <f t="shared" si="4"/>
        <v>0</v>
      </c>
      <c r="H22" s="59"/>
      <c r="J22" s="3"/>
      <c r="K22" s="12"/>
    </row>
    <row r="23" spans="1:11" ht="13.8">
      <c r="A23">
        <v>12</v>
      </c>
      <c r="B23">
        <f t="shared" si="1"/>
        <v>0</v>
      </c>
      <c r="C23">
        <f t="shared" si="2"/>
        <v>0</v>
      </c>
      <c r="D23">
        <f t="shared" si="3"/>
        <v>0</v>
      </c>
      <c r="E23">
        <f t="shared" si="4"/>
        <v>0</v>
      </c>
      <c r="H23" t="s">
        <v>898</v>
      </c>
      <c r="I23">
        <f>'Calculations - Single'!H329</f>
        <v>560078.61328125</v>
      </c>
      <c r="J23" s="3">
        <f>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562000</v>
      </c>
      <c r="K23" s="12" t="s">
        <v>136</v>
      </c>
    </row>
    <row r="24" spans="1:11">
      <c r="A24">
        <v>15</v>
      </c>
      <c r="B24">
        <f t="shared" si="1"/>
        <v>0</v>
      </c>
      <c r="C24">
        <f t="shared" si="2"/>
        <v>0</v>
      </c>
      <c r="D24">
        <f t="shared" si="3"/>
        <v>0</v>
      </c>
      <c r="E24">
        <f t="shared" si="4"/>
        <v>0</v>
      </c>
      <c r="H24" t="s">
        <v>899</v>
      </c>
      <c r="I24">
        <f>'Calculations - Dual'!H329</f>
        <v>560078.61328125</v>
      </c>
      <c r="J24" s="3">
        <f>IF(I24&gt;(INT(0.5+100*POWER(10,IF(96*(LOG(I24)-INT(LOG(I24)))-ROUND(96*(LOG(I24)-INT(LOG(I24))),0)&lt;0,ROUND(96*(LOG(I24)-INT(LOG(I24))),0)-1,ROUND(96*(LOG(I24)-INT(LOG(I24))),0))/96))*POWER(10,INT(LOG(I24))-2)+INT(0.5+100*POWER(10,(IF(96*(LOG(I24)-INT(LOG(I24)))-ROUND(96*(LOG(I24)-INT(LOG(I24))),0)&lt;0,ROUND(96*(LOG(I24)-INT(LOG(I24))),0)-1,ROUND(96*(LOG(I24)-INT(LOG(I24))),0))+1)/96))*POWER(10,INT(LOG(I24))-2))/2,INT(0.5+100*POWER(10,(IF(96*(LOG(I24)-INT(LOG(I24)))-ROUND(96*(LOG(I24)-INT(LOG(I24))),0)&lt;0,ROUND(96*(LOG(I24)-INT(LOG(I24))),0)-1,ROUND(96*(LOG(I24)-INT(LOG(I24))),0))+1)/96))*POWER(10,INT(LOG(I24))-2),INT(0.5+100*POWER(10,IF(96*(LOG(I24)-INT(LOG(I24)))-ROUND(96*(LOG(I24)-INT(LOG(I24))),0)&lt;0,ROUND(96*(LOG(I24)-INT(LOG(I24))),0)-1,ROUND(96*(LOG(I24)-INT(LOG(I24))),0))/96))*POWER(10,INT(LOG(I24))-2))</f>
        <v>562000</v>
      </c>
    </row>
    <row r="25" spans="1:11" ht="13.8">
      <c r="A25">
        <v>18</v>
      </c>
      <c r="B25">
        <f t="shared" si="1"/>
        <v>0</v>
      </c>
      <c r="C25">
        <f t="shared" si="2"/>
        <v>0</v>
      </c>
      <c r="D25">
        <f t="shared" si="3"/>
        <v>0</v>
      </c>
      <c r="E25">
        <f t="shared" si="4"/>
        <v>0</v>
      </c>
      <c r="H25" s="59" t="s">
        <v>900</v>
      </c>
      <c r="I25">
        <f>'Calculations - Dual'!O329</f>
        <v>2790.7031250000009</v>
      </c>
      <c r="J25" s="3">
        <f>IF(I25&gt;(INT(0.5+100*POWER(10,IF(96*(LOG(I25)-INT(LOG(I25)))-ROUND(96*(LOG(I25)-INT(LOG(I25))),0)&lt;0,ROUND(96*(LOG(I25)-INT(LOG(I25))),0)-1,ROUND(96*(LOG(I25)-INT(LOG(I25))),0))/96))*POWER(10,INT(LOG(I25))-2)+INT(0.5+100*POWER(10,(IF(96*(LOG(I25)-INT(LOG(I25)))-ROUND(96*(LOG(I25)-INT(LOG(I25))),0)&lt;0,ROUND(96*(LOG(I25)-INT(LOG(I25))),0)-1,ROUND(96*(LOG(I25)-INT(LOG(I25))),0))+1)/96))*POWER(10,INT(LOG(I25))-2))/2,INT(0.5+100*POWER(10,(IF(96*(LOG(I25)-INT(LOG(I25)))-ROUND(96*(LOG(I25)-INT(LOG(I25))),0)&lt;0,ROUND(96*(LOG(I25)-INT(LOG(I25))),0)-1,ROUND(96*(LOG(I25)-INT(LOG(I25))),0))+1)/96))*POWER(10,INT(LOG(I25))-2),INT(0.5+100*POWER(10,IF(96*(LOG(I25)-INT(LOG(I25)))-ROUND(96*(LOG(I25)-INT(LOG(I25))),0)&lt;0,ROUND(96*(LOG(I25)-INT(LOG(I25))),0)-1,ROUND(96*(LOG(I25)-INT(LOG(I25))),0))/96))*POWER(10,INT(LOG(I25))-2))</f>
        <v>2800</v>
      </c>
      <c r="K25" s="12"/>
    </row>
    <row r="26" spans="1:11">
      <c r="A26">
        <v>22</v>
      </c>
      <c r="B26">
        <f t="shared" si="1"/>
        <v>0</v>
      </c>
      <c r="C26">
        <f t="shared" si="2"/>
        <v>0</v>
      </c>
      <c r="D26">
        <f t="shared" si="3"/>
        <v>0</v>
      </c>
      <c r="E26">
        <f t="shared" si="4"/>
        <v>0</v>
      </c>
    </row>
    <row r="27" spans="1:11">
      <c r="A27">
        <v>27</v>
      </c>
      <c r="B27">
        <f t="shared" si="1"/>
        <v>0</v>
      </c>
      <c r="C27">
        <f t="shared" si="2"/>
        <v>0</v>
      </c>
      <c r="D27">
        <f t="shared" si="3"/>
        <v>0</v>
      </c>
      <c r="E27">
        <f t="shared" si="4"/>
        <v>0</v>
      </c>
      <c r="H27" t="s">
        <v>901</v>
      </c>
      <c r="I27">
        <f>'Calculations - Single'!G327</f>
        <v>5.6888888888888885E-2</v>
      </c>
    </row>
    <row r="28" spans="1:11" ht="13.8">
      <c r="A28">
        <v>33</v>
      </c>
      <c r="B28">
        <f t="shared" si="1"/>
        <v>0</v>
      </c>
      <c r="C28">
        <f t="shared" si="2"/>
        <v>0</v>
      </c>
      <c r="D28">
        <f t="shared" si="3"/>
        <v>0</v>
      </c>
      <c r="E28">
        <f t="shared" si="4"/>
        <v>0</v>
      </c>
      <c r="H28" s="59" t="s">
        <v>902</v>
      </c>
      <c r="I28">
        <f>'Calculations - Dual'!G327</f>
        <v>5.6888888888888885E-2</v>
      </c>
      <c r="K28" s="12"/>
    </row>
    <row r="29" spans="1:11">
      <c r="A29">
        <v>39</v>
      </c>
      <c r="B29">
        <f t="shared" si="1"/>
        <v>0</v>
      </c>
      <c r="C29">
        <f t="shared" si="2"/>
        <v>0</v>
      </c>
      <c r="D29">
        <f t="shared" si="3"/>
        <v>0</v>
      </c>
      <c r="E29">
        <f t="shared" si="4"/>
        <v>0</v>
      </c>
      <c r="H29" s="59" t="s">
        <v>903</v>
      </c>
      <c r="I29">
        <f>'Calculations - Dual'!N327</f>
        <v>5.6888888888888885E-2</v>
      </c>
      <c r="K29" s="59"/>
    </row>
    <row r="30" spans="1:11">
      <c r="A30">
        <v>47</v>
      </c>
      <c r="B30">
        <f t="shared" si="1"/>
        <v>0</v>
      </c>
      <c r="C30">
        <f t="shared" si="2"/>
        <v>0</v>
      </c>
      <c r="D30">
        <f t="shared" si="3"/>
        <v>0</v>
      </c>
      <c r="E30">
        <f t="shared" si="4"/>
        <v>0</v>
      </c>
      <c r="H30" s="4"/>
      <c r="K30" s="59"/>
    </row>
    <row r="31" spans="1:11" ht="13.8">
      <c r="A31">
        <v>56</v>
      </c>
      <c r="B31">
        <f t="shared" si="1"/>
        <v>0</v>
      </c>
      <c r="C31">
        <f t="shared" si="2"/>
        <v>0</v>
      </c>
      <c r="D31">
        <f t="shared" si="3"/>
        <v>0</v>
      </c>
      <c r="E31">
        <f t="shared" si="4"/>
        <v>0</v>
      </c>
      <c r="H31" s="4"/>
      <c r="K31" s="12"/>
    </row>
    <row r="32" spans="1:11">
      <c r="A32">
        <v>68</v>
      </c>
      <c r="B32">
        <f t="shared" si="1"/>
        <v>0</v>
      </c>
      <c r="C32">
        <f t="shared" si="2"/>
        <v>0</v>
      </c>
      <c r="D32">
        <f t="shared" si="3"/>
        <v>0</v>
      </c>
      <c r="E32">
        <f t="shared" si="4"/>
        <v>0</v>
      </c>
      <c r="H32" s="4"/>
      <c r="K32" s="59"/>
    </row>
    <row r="33" spans="1:8">
      <c r="A33">
        <v>82</v>
      </c>
      <c r="B33">
        <f t="shared" si="1"/>
        <v>0</v>
      </c>
      <c r="C33">
        <f t="shared" si="2"/>
        <v>0</v>
      </c>
      <c r="D33">
        <f t="shared" si="3"/>
        <v>0</v>
      </c>
      <c r="E33">
        <f t="shared" si="4"/>
        <v>0</v>
      </c>
    </row>
    <row r="34" spans="1:8">
      <c r="A34">
        <f>A22*10</f>
        <v>100</v>
      </c>
      <c r="B34">
        <f t="shared" si="1"/>
        <v>0</v>
      </c>
      <c r="C34">
        <f t="shared" si="2"/>
        <v>0</v>
      </c>
      <c r="D34">
        <f t="shared" si="3"/>
        <v>0</v>
      </c>
      <c r="E34">
        <f t="shared" si="4"/>
        <v>0</v>
      </c>
      <c r="H34" s="59"/>
    </row>
    <row r="35" spans="1:8">
      <c r="A35">
        <f t="shared" ref="A35:A98" si="5">A23*10</f>
        <v>120</v>
      </c>
      <c r="B35">
        <f t="shared" si="1"/>
        <v>0</v>
      </c>
      <c r="C35">
        <f t="shared" si="2"/>
        <v>0</v>
      </c>
      <c r="D35">
        <f t="shared" si="3"/>
        <v>0</v>
      </c>
      <c r="E35">
        <f t="shared" si="4"/>
        <v>0</v>
      </c>
      <c r="H35" s="59"/>
    </row>
    <row r="36" spans="1:8">
      <c r="A36">
        <f t="shared" si="5"/>
        <v>150</v>
      </c>
      <c r="B36">
        <f t="shared" si="1"/>
        <v>0</v>
      </c>
      <c r="C36">
        <f t="shared" si="2"/>
        <v>0</v>
      </c>
      <c r="D36">
        <f t="shared" si="3"/>
        <v>0</v>
      </c>
      <c r="E36">
        <f t="shared" si="4"/>
        <v>0</v>
      </c>
    </row>
    <row r="37" spans="1:8">
      <c r="A37">
        <f t="shared" si="5"/>
        <v>180</v>
      </c>
      <c r="B37">
        <f t="shared" si="1"/>
        <v>0</v>
      </c>
      <c r="C37">
        <f t="shared" si="2"/>
        <v>0</v>
      </c>
      <c r="D37">
        <f t="shared" si="3"/>
        <v>0</v>
      </c>
      <c r="E37">
        <f t="shared" si="4"/>
        <v>0</v>
      </c>
    </row>
    <row r="38" spans="1:8">
      <c r="A38">
        <f t="shared" si="5"/>
        <v>220</v>
      </c>
      <c r="B38">
        <f t="shared" si="1"/>
        <v>0</v>
      </c>
      <c r="C38">
        <f t="shared" si="2"/>
        <v>0</v>
      </c>
      <c r="D38">
        <f t="shared" si="3"/>
        <v>0</v>
      </c>
      <c r="E38">
        <f t="shared" ref="E38:E69" si="6">IF(IF((E$3*10^12-$A39)*(E$3*10^12-$A38)*-1&lt;0,0,1)*IF(ABS(E$3*10^12-$A39)&gt;(E$3*10^12-$A38),$A38,$A39)=E39,0,IF((E$3*10^12-$A39)*(E$3*10^12-$A38)*-1&lt;0,0,1)*IF(ABS(E$3*10^12-$A39)&gt;(E$3*10^12-$A38),$A38,$A39))</f>
        <v>0</v>
      </c>
    </row>
    <row r="39" spans="1:8">
      <c r="A39">
        <f t="shared" si="5"/>
        <v>270</v>
      </c>
      <c r="B39">
        <f t="shared" si="1"/>
        <v>0</v>
      </c>
      <c r="C39">
        <f t="shared" si="2"/>
        <v>0</v>
      </c>
      <c r="D39">
        <f t="shared" si="3"/>
        <v>0</v>
      </c>
      <c r="E39">
        <f t="shared" si="6"/>
        <v>0</v>
      </c>
    </row>
    <row r="40" spans="1:8">
      <c r="A40">
        <f t="shared" si="5"/>
        <v>330</v>
      </c>
      <c r="B40">
        <f t="shared" si="1"/>
        <v>0</v>
      </c>
      <c r="C40">
        <f t="shared" si="2"/>
        <v>0</v>
      </c>
      <c r="D40">
        <f t="shared" si="3"/>
        <v>0</v>
      </c>
      <c r="E40">
        <f t="shared" si="6"/>
        <v>0</v>
      </c>
    </row>
    <row r="41" spans="1:8">
      <c r="A41">
        <f t="shared" si="5"/>
        <v>390</v>
      </c>
      <c r="B41">
        <f t="shared" si="1"/>
        <v>0</v>
      </c>
      <c r="C41">
        <f t="shared" si="2"/>
        <v>0</v>
      </c>
      <c r="D41">
        <f t="shared" si="3"/>
        <v>0</v>
      </c>
      <c r="E41">
        <f t="shared" si="6"/>
        <v>0</v>
      </c>
    </row>
    <row r="42" spans="1:8">
      <c r="A42">
        <f t="shared" si="5"/>
        <v>470</v>
      </c>
      <c r="B42">
        <f t="shared" si="1"/>
        <v>0</v>
      </c>
      <c r="C42">
        <f t="shared" si="2"/>
        <v>0</v>
      </c>
      <c r="D42">
        <f t="shared" si="3"/>
        <v>0</v>
      </c>
      <c r="E42">
        <f t="shared" si="6"/>
        <v>0</v>
      </c>
    </row>
    <row r="43" spans="1:8">
      <c r="A43">
        <f t="shared" si="5"/>
        <v>560</v>
      </c>
      <c r="B43">
        <f t="shared" si="1"/>
        <v>0</v>
      </c>
      <c r="C43">
        <f t="shared" si="2"/>
        <v>0</v>
      </c>
      <c r="D43">
        <f t="shared" si="3"/>
        <v>0</v>
      </c>
      <c r="E43">
        <f t="shared" si="6"/>
        <v>0</v>
      </c>
    </row>
    <row r="44" spans="1:8">
      <c r="A44">
        <f t="shared" si="5"/>
        <v>680</v>
      </c>
      <c r="B44">
        <f t="shared" si="1"/>
        <v>0</v>
      </c>
      <c r="C44">
        <f t="shared" si="2"/>
        <v>0</v>
      </c>
      <c r="D44">
        <f t="shared" si="3"/>
        <v>0</v>
      </c>
      <c r="E44">
        <f t="shared" si="6"/>
        <v>0</v>
      </c>
    </row>
    <row r="45" spans="1:8">
      <c r="A45">
        <f>A33*10</f>
        <v>820</v>
      </c>
      <c r="B45">
        <f t="shared" si="1"/>
        <v>0</v>
      </c>
      <c r="C45">
        <f t="shared" si="2"/>
        <v>0</v>
      </c>
      <c r="D45">
        <f t="shared" si="3"/>
        <v>0</v>
      </c>
      <c r="E45">
        <f t="shared" si="6"/>
        <v>0</v>
      </c>
    </row>
    <row r="46" spans="1:8">
      <c r="A46">
        <f t="shared" si="5"/>
        <v>1000</v>
      </c>
      <c r="B46">
        <f t="shared" si="1"/>
        <v>0</v>
      </c>
      <c r="C46">
        <f t="shared" si="2"/>
        <v>0</v>
      </c>
      <c r="D46">
        <f t="shared" si="3"/>
        <v>0</v>
      </c>
      <c r="E46">
        <f t="shared" si="6"/>
        <v>0</v>
      </c>
    </row>
    <row r="47" spans="1:8">
      <c r="A47">
        <f t="shared" si="5"/>
        <v>1200</v>
      </c>
      <c r="B47">
        <f t="shared" si="1"/>
        <v>0</v>
      </c>
      <c r="C47">
        <f t="shared" si="2"/>
        <v>0</v>
      </c>
      <c r="D47">
        <f t="shared" si="3"/>
        <v>0</v>
      </c>
      <c r="E47">
        <f t="shared" si="6"/>
        <v>0</v>
      </c>
    </row>
    <row r="48" spans="1:8">
      <c r="A48">
        <f t="shared" si="5"/>
        <v>1500</v>
      </c>
      <c r="B48">
        <f t="shared" si="1"/>
        <v>0</v>
      </c>
      <c r="C48">
        <f t="shared" si="2"/>
        <v>0</v>
      </c>
      <c r="D48">
        <f t="shared" si="3"/>
        <v>0</v>
      </c>
      <c r="E48">
        <f t="shared" si="6"/>
        <v>0</v>
      </c>
    </row>
    <row r="49" spans="1:5">
      <c r="A49">
        <f t="shared" si="5"/>
        <v>1800</v>
      </c>
      <c r="B49">
        <f t="shared" si="1"/>
        <v>0</v>
      </c>
      <c r="C49">
        <f t="shared" si="2"/>
        <v>0</v>
      </c>
      <c r="D49">
        <f t="shared" si="3"/>
        <v>0</v>
      </c>
      <c r="E49">
        <f t="shared" si="6"/>
        <v>0</v>
      </c>
    </row>
    <row r="50" spans="1:5">
      <c r="A50">
        <f t="shared" si="5"/>
        <v>2200</v>
      </c>
      <c r="B50">
        <f t="shared" si="1"/>
        <v>0</v>
      </c>
      <c r="C50">
        <f t="shared" si="2"/>
        <v>0</v>
      </c>
      <c r="D50">
        <f t="shared" si="3"/>
        <v>0</v>
      </c>
      <c r="E50">
        <f t="shared" si="6"/>
        <v>0</v>
      </c>
    </row>
    <row r="51" spans="1:5">
      <c r="A51">
        <f t="shared" si="5"/>
        <v>2700</v>
      </c>
      <c r="B51">
        <f t="shared" si="1"/>
        <v>0</v>
      </c>
      <c r="C51">
        <f t="shared" si="2"/>
        <v>0</v>
      </c>
      <c r="D51">
        <f t="shared" si="3"/>
        <v>0</v>
      </c>
      <c r="E51">
        <f t="shared" si="6"/>
        <v>0</v>
      </c>
    </row>
    <row r="52" spans="1:5">
      <c r="A52">
        <f t="shared" si="5"/>
        <v>3300</v>
      </c>
      <c r="B52">
        <f t="shared" si="1"/>
        <v>0</v>
      </c>
      <c r="C52">
        <f t="shared" si="2"/>
        <v>0</v>
      </c>
      <c r="D52">
        <f t="shared" si="3"/>
        <v>0</v>
      </c>
      <c r="E52">
        <f t="shared" si="6"/>
        <v>0</v>
      </c>
    </row>
    <row r="53" spans="1:5">
      <c r="A53">
        <f t="shared" si="5"/>
        <v>3900</v>
      </c>
      <c r="B53">
        <f t="shared" si="1"/>
        <v>0</v>
      </c>
      <c r="C53">
        <f t="shared" si="2"/>
        <v>0</v>
      </c>
      <c r="D53">
        <f t="shared" si="3"/>
        <v>0</v>
      </c>
      <c r="E53">
        <f t="shared" si="6"/>
        <v>0</v>
      </c>
    </row>
    <row r="54" spans="1:5">
      <c r="A54">
        <f t="shared" si="5"/>
        <v>4700</v>
      </c>
      <c r="B54">
        <f t="shared" si="1"/>
        <v>0</v>
      </c>
      <c r="C54">
        <f t="shared" si="2"/>
        <v>0</v>
      </c>
      <c r="D54">
        <f t="shared" si="3"/>
        <v>0</v>
      </c>
      <c r="E54">
        <f t="shared" si="6"/>
        <v>0</v>
      </c>
    </row>
    <row r="55" spans="1:5">
      <c r="A55">
        <f t="shared" si="5"/>
        <v>5600</v>
      </c>
      <c r="B55">
        <f t="shared" si="1"/>
        <v>0</v>
      </c>
      <c r="C55">
        <f t="shared" si="2"/>
        <v>0</v>
      </c>
      <c r="D55">
        <f t="shared" si="3"/>
        <v>0</v>
      </c>
      <c r="E55">
        <f t="shared" si="6"/>
        <v>0</v>
      </c>
    </row>
    <row r="56" spans="1:5">
      <c r="A56">
        <f t="shared" si="5"/>
        <v>6800</v>
      </c>
      <c r="B56">
        <f t="shared" si="1"/>
        <v>0</v>
      </c>
      <c r="C56">
        <f t="shared" si="2"/>
        <v>0</v>
      </c>
      <c r="D56">
        <f t="shared" si="3"/>
        <v>0</v>
      </c>
      <c r="E56">
        <f t="shared" si="6"/>
        <v>0</v>
      </c>
    </row>
    <row r="57" spans="1:5">
      <c r="A57">
        <f t="shared" si="5"/>
        <v>8200</v>
      </c>
      <c r="B57">
        <f t="shared" si="1"/>
        <v>0</v>
      </c>
      <c r="C57">
        <f t="shared" si="2"/>
        <v>0</v>
      </c>
      <c r="D57">
        <f t="shared" si="3"/>
        <v>0</v>
      </c>
      <c r="E57">
        <f t="shared" si="6"/>
        <v>0</v>
      </c>
    </row>
    <row r="58" spans="1:5">
      <c r="A58">
        <f t="shared" si="5"/>
        <v>10000</v>
      </c>
      <c r="B58">
        <f t="shared" si="1"/>
        <v>0</v>
      </c>
      <c r="C58">
        <f t="shared" si="2"/>
        <v>0</v>
      </c>
      <c r="D58">
        <f t="shared" si="3"/>
        <v>0</v>
      </c>
      <c r="E58">
        <f t="shared" si="6"/>
        <v>0</v>
      </c>
    </row>
    <row r="59" spans="1:5">
      <c r="A59">
        <f t="shared" si="5"/>
        <v>12000</v>
      </c>
      <c r="B59">
        <f t="shared" si="1"/>
        <v>0</v>
      </c>
      <c r="C59">
        <f t="shared" si="2"/>
        <v>0</v>
      </c>
      <c r="D59">
        <f t="shared" si="3"/>
        <v>0</v>
      </c>
      <c r="E59">
        <f t="shared" si="6"/>
        <v>0</v>
      </c>
    </row>
    <row r="60" spans="1:5">
      <c r="A60">
        <f t="shared" si="5"/>
        <v>15000</v>
      </c>
      <c r="B60">
        <f t="shared" si="1"/>
        <v>0</v>
      </c>
      <c r="C60">
        <f t="shared" si="2"/>
        <v>0</v>
      </c>
      <c r="D60">
        <f t="shared" si="3"/>
        <v>0</v>
      </c>
      <c r="E60">
        <f t="shared" si="6"/>
        <v>0</v>
      </c>
    </row>
    <row r="61" spans="1:5">
      <c r="A61">
        <f t="shared" si="5"/>
        <v>18000</v>
      </c>
      <c r="B61">
        <f t="shared" si="1"/>
        <v>0</v>
      </c>
      <c r="C61">
        <f t="shared" si="2"/>
        <v>0</v>
      </c>
      <c r="D61">
        <f t="shared" si="3"/>
        <v>0</v>
      </c>
      <c r="E61">
        <f t="shared" si="6"/>
        <v>0</v>
      </c>
    </row>
    <row r="62" spans="1:5">
      <c r="A62">
        <f t="shared" si="5"/>
        <v>22000</v>
      </c>
      <c r="B62">
        <f t="shared" si="1"/>
        <v>0</v>
      </c>
      <c r="C62">
        <f t="shared" si="2"/>
        <v>0</v>
      </c>
      <c r="D62">
        <f t="shared" si="3"/>
        <v>0</v>
      </c>
      <c r="E62">
        <f t="shared" si="6"/>
        <v>0</v>
      </c>
    </row>
    <row r="63" spans="1:5">
      <c r="A63">
        <f t="shared" si="5"/>
        <v>27000</v>
      </c>
      <c r="B63">
        <f t="shared" si="1"/>
        <v>0</v>
      </c>
      <c r="C63">
        <f t="shared" si="2"/>
        <v>0</v>
      </c>
      <c r="D63">
        <f t="shared" si="3"/>
        <v>0</v>
      </c>
      <c r="E63">
        <f t="shared" si="6"/>
        <v>0</v>
      </c>
    </row>
    <row r="64" spans="1:5">
      <c r="A64">
        <f t="shared" si="5"/>
        <v>33000</v>
      </c>
      <c r="B64">
        <f t="shared" si="1"/>
        <v>0</v>
      </c>
      <c r="C64">
        <f t="shared" si="2"/>
        <v>0</v>
      </c>
      <c r="D64">
        <f t="shared" si="3"/>
        <v>0</v>
      </c>
      <c r="E64">
        <f t="shared" si="6"/>
        <v>0</v>
      </c>
    </row>
    <row r="65" spans="1:5">
      <c r="A65">
        <f t="shared" si="5"/>
        <v>39000</v>
      </c>
      <c r="B65">
        <f t="shared" si="1"/>
        <v>0</v>
      </c>
      <c r="C65">
        <f t="shared" si="2"/>
        <v>0</v>
      </c>
      <c r="D65">
        <f t="shared" si="3"/>
        <v>0</v>
      </c>
      <c r="E65">
        <f t="shared" si="6"/>
        <v>0</v>
      </c>
    </row>
    <row r="66" spans="1:5">
      <c r="A66">
        <f t="shared" si="5"/>
        <v>47000</v>
      </c>
      <c r="B66">
        <f t="shared" si="1"/>
        <v>0</v>
      </c>
      <c r="C66">
        <f t="shared" si="2"/>
        <v>0</v>
      </c>
      <c r="D66">
        <f t="shared" si="3"/>
        <v>0</v>
      </c>
      <c r="E66">
        <f t="shared" si="6"/>
        <v>0</v>
      </c>
    </row>
    <row r="67" spans="1:5">
      <c r="A67">
        <f t="shared" si="5"/>
        <v>56000</v>
      </c>
      <c r="B67">
        <f t="shared" si="1"/>
        <v>0</v>
      </c>
      <c r="C67">
        <f t="shared" si="2"/>
        <v>0</v>
      </c>
      <c r="D67">
        <f t="shared" si="3"/>
        <v>0</v>
      </c>
      <c r="E67">
        <f t="shared" si="6"/>
        <v>0</v>
      </c>
    </row>
    <row r="68" spans="1:5">
      <c r="A68">
        <f t="shared" si="5"/>
        <v>68000</v>
      </c>
      <c r="B68">
        <f t="shared" si="1"/>
        <v>0</v>
      </c>
      <c r="C68">
        <f t="shared" si="2"/>
        <v>0</v>
      </c>
      <c r="D68">
        <f t="shared" si="3"/>
        <v>0</v>
      </c>
      <c r="E68">
        <f t="shared" si="6"/>
        <v>0</v>
      </c>
    </row>
    <row r="69" spans="1:5">
      <c r="A69">
        <f t="shared" si="5"/>
        <v>82000</v>
      </c>
      <c r="B69">
        <f t="shared" si="1"/>
        <v>0</v>
      </c>
      <c r="C69">
        <f t="shared" si="2"/>
        <v>0</v>
      </c>
      <c r="D69">
        <f t="shared" si="3"/>
        <v>0</v>
      </c>
      <c r="E69">
        <f t="shared" si="6"/>
        <v>0</v>
      </c>
    </row>
    <row r="70" spans="1:5">
      <c r="A70">
        <f t="shared" si="5"/>
        <v>100000</v>
      </c>
      <c r="B70">
        <f t="shared" si="1"/>
        <v>100000</v>
      </c>
      <c r="C70">
        <f>IF(IF((C$3*10^12-$A71)*(C$3*10^12-$A70)*-1&lt;0,0,1)*IF(ABS(C$3*10^12-$A71)&gt;(C$3*10^12-$A70),$A70,$A71)=C71,0,IF((C$3*10^12-$A71)*(C$3*10^12-$A70)*-1&lt;0,0,1)*IF(ABS(C$3*10^12-$A71)&gt;(C$3*10^12-$A70),$A70,$A71))</f>
        <v>0</v>
      </c>
      <c r="D70">
        <f>IF(IF((D$3*10^12-$A71)*(D$3*10^12-$A70)*-1&lt;0,0,1)*IF(ABS(D$3*10^12-$A71)&gt;(D$3*10^12-$A70),$A70,$A71)=D71,0,IF((D$3*10^12-$A71)*(D$3*10^12-$A70)*-1&lt;0,0,1)*IF(ABS(D$3*10^12-$A71)&gt;(D$3*10^12-$A70),$A70,$A71))</f>
        <v>0</v>
      </c>
      <c r="E70">
        <f t="shared" ref="E70:E101" si="7">IF(IF((E$3*10^12-$A71)*(E$3*10^12-$A70)*-1&lt;0,0,1)*IF(ABS(E$3*10^12-$A71)&gt;(E$3*10^12-$A70),$A70,$A71)=E71,0,IF((E$3*10^12-$A71)*(E$3*10^12-$A70)*-1&lt;0,0,1)*IF(ABS(E$3*10^12-$A71)&gt;(E$3*10^12-$A70),$A70,$A71))</f>
        <v>0</v>
      </c>
    </row>
    <row r="71" spans="1:5">
      <c r="A71">
        <f t="shared" si="5"/>
        <v>120000</v>
      </c>
      <c r="B71">
        <f t="shared" ref="B71:B134" si="8">IF(IF((B$3*10^12-$A72)*(B$3*10^12-$A71)*-1&lt;0,0,1)*IF(ABS(B$3*10^12-$A72)&gt;(B$3*10^12-$A71),$A71,$A72)=B72,0,IF((B$3*10^12-$A72)*(B$3*10^12-$A71)*-1&lt;0,0,1)*IF(ABS(B$3*10^12-$A72)&gt;(B$3*10^12-$A71),$A71,$A72))</f>
        <v>0</v>
      </c>
      <c r="C71">
        <f t="shared" ref="C71:C133" si="9">IF(IF((C$3*10^12-$A72)*(C$3*10^12-$A71)*-1&lt;0,0,1)*IF(ABS(C$3*10^12-$A72)&gt;(C$3*10^12-$A71),$A71,$A72)=C72,0,IF((C$3*10^12-$A72)*(C$3*10^12-$A71)*-1&lt;0,0,1)*IF(ABS(C$3*10^12-$A72)&gt;(C$3*10^12-$A71),$A71,$A72))</f>
        <v>0</v>
      </c>
      <c r="D71">
        <f t="shared" ref="D71:D102" si="10">IF(IF((D$3*10^12-$A72)*(D$3*10^12-$A71)*-1&lt;0,0,1)*IF(ABS(D$3*10^12-$A72)&gt;(D$3*10^12-$A71),$A71,$A72)=D72,0,IF((D$3*10^12-$A72)*(D$3*10^12-$A71)*-1&lt;0,0,1)*IF(ABS(D$3*10^12-$A72)&gt;(D$3*10^12-$A71),$A71,$A72))</f>
        <v>0</v>
      </c>
      <c r="E71">
        <f t="shared" si="7"/>
        <v>0</v>
      </c>
    </row>
    <row r="72" spans="1:5">
      <c r="A72">
        <f t="shared" si="5"/>
        <v>150000</v>
      </c>
      <c r="B72">
        <f t="shared" si="8"/>
        <v>0</v>
      </c>
      <c r="C72">
        <f t="shared" si="9"/>
        <v>0</v>
      </c>
      <c r="D72">
        <f t="shared" si="10"/>
        <v>0</v>
      </c>
      <c r="E72">
        <f t="shared" si="7"/>
        <v>0</v>
      </c>
    </row>
    <row r="73" spans="1:5">
      <c r="A73">
        <f t="shared" si="5"/>
        <v>180000</v>
      </c>
      <c r="B73">
        <f t="shared" si="8"/>
        <v>0</v>
      </c>
      <c r="C73">
        <f t="shared" si="9"/>
        <v>0</v>
      </c>
      <c r="D73">
        <f t="shared" si="10"/>
        <v>0</v>
      </c>
      <c r="E73">
        <f t="shared" si="7"/>
        <v>0</v>
      </c>
    </row>
    <row r="74" spans="1:5">
      <c r="A74">
        <f t="shared" si="5"/>
        <v>220000</v>
      </c>
      <c r="B74">
        <f t="shared" si="8"/>
        <v>0</v>
      </c>
      <c r="C74">
        <f t="shared" si="9"/>
        <v>0</v>
      </c>
      <c r="D74">
        <f t="shared" si="10"/>
        <v>0</v>
      </c>
      <c r="E74">
        <f t="shared" si="7"/>
        <v>0</v>
      </c>
    </row>
    <row r="75" spans="1:5">
      <c r="A75">
        <f t="shared" si="5"/>
        <v>270000</v>
      </c>
      <c r="B75">
        <f t="shared" si="8"/>
        <v>0</v>
      </c>
      <c r="C75">
        <f t="shared" si="9"/>
        <v>0</v>
      </c>
      <c r="D75">
        <f t="shared" si="10"/>
        <v>0</v>
      </c>
      <c r="E75">
        <f t="shared" si="7"/>
        <v>0</v>
      </c>
    </row>
    <row r="76" spans="1:5">
      <c r="A76">
        <f t="shared" si="5"/>
        <v>330000</v>
      </c>
      <c r="B76">
        <f t="shared" si="8"/>
        <v>0</v>
      </c>
      <c r="C76">
        <f t="shared" si="9"/>
        <v>0</v>
      </c>
      <c r="D76">
        <f t="shared" si="10"/>
        <v>0</v>
      </c>
      <c r="E76">
        <f t="shared" si="7"/>
        <v>0</v>
      </c>
    </row>
    <row r="77" spans="1:5">
      <c r="A77">
        <f t="shared" si="5"/>
        <v>390000</v>
      </c>
      <c r="B77">
        <f t="shared" si="8"/>
        <v>0</v>
      </c>
      <c r="C77">
        <f t="shared" si="9"/>
        <v>0</v>
      </c>
      <c r="D77">
        <f t="shared" si="10"/>
        <v>0</v>
      </c>
      <c r="E77">
        <f t="shared" si="7"/>
        <v>0</v>
      </c>
    </row>
    <row r="78" spans="1:5">
      <c r="A78">
        <f t="shared" si="5"/>
        <v>470000</v>
      </c>
      <c r="B78">
        <f t="shared" si="8"/>
        <v>0</v>
      </c>
      <c r="C78">
        <f t="shared" si="9"/>
        <v>0</v>
      </c>
      <c r="D78">
        <f t="shared" si="10"/>
        <v>0</v>
      </c>
      <c r="E78">
        <f t="shared" si="7"/>
        <v>0</v>
      </c>
    </row>
    <row r="79" spans="1:5">
      <c r="A79">
        <f t="shared" si="5"/>
        <v>560000</v>
      </c>
      <c r="B79">
        <f t="shared" si="8"/>
        <v>0</v>
      </c>
      <c r="C79">
        <f t="shared" si="9"/>
        <v>0</v>
      </c>
      <c r="D79">
        <f t="shared" si="10"/>
        <v>0</v>
      </c>
      <c r="E79">
        <f t="shared" si="7"/>
        <v>0</v>
      </c>
    </row>
    <row r="80" spans="1:5">
      <c r="A80">
        <f t="shared" si="5"/>
        <v>680000</v>
      </c>
      <c r="B80">
        <f t="shared" si="8"/>
        <v>0</v>
      </c>
      <c r="C80">
        <f t="shared" si="9"/>
        <v>0</v>
      </c>
      <c r="D80">
        <f t="shared" si="10"/>
        <v>0</v>
      </c>
      <c r="E80">
        <f t="shared" si="7"/>
        <v>0</v>
      </c>
    </row>
    <row r="81" spans="1:5">
      <c r="A81">
        <f t="shared" si="5"/>
        <v>820000</v>
      </c>
      <c r="B81">
        <f t="shared" si="8"/>
        <v>0</v>
      </c>
      <c r="C81">
        <f t="shared" si="9"/>
        <v>0</v>
      </c>
      <c r="D81">
        <f t="shared" si="10"/>
        <v>0</v>
      </c>
      <c r="E81">
        <f t="shared" si="7"/>
        <v>0</v>
      </c>
    </row>
    <row r="82" spans="1:5">
      <c r="A82">
        <f t="shared" si="5"/>
        <v>1000000</v>
      </c>
      <c r="B82">
        <f t="shared" si="8"/>
        <v>0</v>
      </c>
      <c r="C82">
        <f t="shared" si="9"/>
        <v>0</v>
      </c>
      <c r="D82">
        <f t="shared" si="10"/>
        <v>0</v>
      </c>
      <c r="E82">
        <f t="shared" si="7"/>
        <v>0</v>
      </c>
    </row>
    <row r="83" spans="1:5">
      <c r="A83">
        <f t="shared" si="5"/>
        <v>1200000</v>
      </c>
      <c r="B83">
        <f t="shared" si="8"/>
        <v>0</v>
      </c>
      <c r="C83">
        <f t="shared" si="9"/>
        <v>0</v>
      </c>
      <c r="D83">
        <f t="shared" si="10"/>
        <v>0</v>
      </c>
      <c r="E83">
        <f t="shared" si="7"/>
        <v>0</v>
      </c>
    </row>
    <row r="84" spans="1:5">
      <c r="A84">
        <f t="shared" si="5"/>
        <v>1500000</v>
      </c>
      <c r="B84">
        <f t="shared" si="8"/>
        <v>0</v>
      </c>
      <c r="C84">
        <f t="shared" si="9"/>
        <v>0</v>
      </c>
      <c r="D84">
        <f t="shared" si="10"/>
        <v>0</v>
      </c>
      <c r="E84">
        <f t="shared" si="7"/>
        <v>0</v>
      </c>
    </row>
    <row r="85" spans="1:5">
      <c r="A85">
        <f t="shared" si="5"/>
        <v>1800000</v>
      </c>
      <c r="B85">
        <f t="shared" si="8"/>
        <v>0</v>
      </c>
      <c r="C85">
        <f t="shared" si="9"/>
        <v>0</v>
      </c>
      <c r="D85">
        <f t="shared" si="10"/>
        <v>0</v>
      </c>
      <c r="E85">
        <f t="shared" si="7"/>
        <v>0</v>
      </c>
    </row>
    <row r="86" spans="1:5">
      <c r="A86">
        <f t="shared" si="5"/>
        <v>2200000</v>
      </c>
      <c r="B86">
        <f t="shared" si="8"/>
        <v>0</v>
      </c>
      <c r="C86">
        <f t="shared" si="9"/>
        <v>0</v>
      </c>
      <c r="D86">
        <f t="shared" si="10"/>
        <v>0</v>
      </c>
      <c r="E86">
        <f t="shared" si="7"/>
        <v>0</v>
      </c>
    </row>
    <row r="87" spans="1:5">
      <c r="A87">
        <f t="shared" si="5"/>
        <v>2700000</v>
      </c>
      <c r="B87">
        <f t="shared" si="8"/>
        <v>0</v>
      </c>
      <c r="C87">
        <f t="shared" si="9"/>
        <v>0</v>
      </c>
      <c r="D87">
        <f t="shared" si="10"/>
        <v>0</v>
      </c>
      <c r="E87">
        <f t="shared" si="7"/>
        <v>0</v>
      </c>
    </row>
    <row r="88" spans="1:5">
      <c r="A88">
        <f t="shared" si="5"/>
        <v>3300000</v>
      </c>
      <c r="B88">
        <f t="shared" si="8"/>
        <v>0</v>
      </c>
      <c r="C88">
        <f t="shared" si="9"/>
        <v>0</v>
      </c>
      <c r="D88">
        <f t="shared" si="10"/>
        <v>0</v>
      </c>
      <c r="E88">
        <f t="shared" si="7"/>
        <v>0</v>
      </c>
    </row>
    <row r="89" spans="1:5">
      <c r="A89">
        <f t="shared" si="5"/>
        <v>3900000</v>
      </c>
      <c r="B89">
        <f t="shared" si="8"/>
        <v>0</v>
      </c>
      <c r="C89">
        <f t="shared" si="9"/>
        <v>0</v>
      </c>
      <c r="D89">
        <f t="shared" si="10"/>
        <v>0</v>
      </c>
      <c r="E89">
        <f t="shared" si="7"/>
        <v>0</v>
      </c>
    </row>
    <row r="90" spans="1:5">
      <c r="A90">
        <f t="shared" si="5"/>
        <v>4700000</v>
      </c>
      <c r="B90">
        <f t="shared" si="8"/>
        <v>0</v>
      </c>
      <c r="C90">
        <f t="shared" si="9"/>
        <v>0</v>
      </c>
      <c r="D90">
        <f t="shared" si="10"/>
        <v>0</v>
      </c>
      <c r="E90">
        <f t="shared" si="7"/>
        <v>0</v>
      </c>
    </row>
    <row r="91" spans="1:5">
      <c r="A91">
        <f t="shared" si="5"/>
        <v>5600000</v>
      </c>
      <c r="B91">
        <f t="shared" si="8"/>
        <v>0</v>
      </c>
      <c r="C91">
        <f t="shared" si="9"/>
        <v>0</v>
      </c>
      <c r="D91">
        <f t="shared" si="10"/>
        <v>0</v>
      </c>
      <c r="E91">
        <f t="shared" si="7"/>
        <v>0</v>
      </c>
    </row>
    <row r="92" spans="1:5">
      <c r="A92">
        <f t="shared" si="5"/>
        <v>6800000</v>
      </c>
      <c r="B92">
        <f t="shared" si="8"/>
        <v>0</v>
      </c>
      <c r="C92">
        <f t="shared" si="9"/>
        <v>0</v>
      </c>
      <c r="D92">
        <f t="shared" si="10"/>
        <v>0</v>
      </c>
      <c r="E92">
        <f t="shared" si="7"/>
        <v>0</v>
      </c>
    </row>
    <row r="93" spans="1:5">
      <c r="A93">
        <f t="shared" si="5"/>
        <v>8200000</v>
      </c>
      <c r="B93">
        <f t="shared" si="8"/>
        <v>0</v>
      </c>
      <c r="C93">
        <f t="shared" si="9"/>
        <v>0</v>
      </c>
      <c r="D93">
        <f t="shared" si="10"/>
        <v>0</v>
      </c>
      <c r="E93">
        <f t="shared" si="7"/>
        <v>0</v>
      </c>
    </row>
    <row r="94" spans="1:5">
      <c r="A94">
        <f t="shared" si="5"/>
        <v>10000000</v>
      </c>
      <c r="B94">
        <f t="shared" si="8"/>
        <v>0</v>
      </c>
      <c r="C94">
        <f t="shared" si="9"/>
        <v>0</v>
      </c>
      <c r="D94">
        <f t="shared" si="10"/>
        <v>0</v>
      </c>
      <c r="E94">
        <f t="shared" si="7"/>
        <v>0</v>
      </c>
    </row>
    <row r="95" spans="1:5">
      <c r="A95">
        <f t="shared" si="5"/>
        <v>12000000</v>
      </c>
      <c r="B95">
        <f t="shared" si="8"/>
        <v>0</v>
      </c>
      <c r="C95">
        <f t="shared" si="9"/>
        <v>0</v>
      </c>
      <c r="D95">
        <f t="shared" si="10"/>
        <v>0</v>
      </c>
      <c r="E95">
        <f t="shared" si="7"/>
        <v>0</v>
      </c>
    </row>
    <row r="96" spans="1:5">
      <c r="A96">
        <f t="shared" si="5"/>
        <v>15000000</v>
      </c>
      <c r="B96">
        <f t="shared" si="8"/>
        <v>0</v>
      </c>
      <c r="C96">
        <f t="shared" si="9"/>
        <v>0</v>
      </c>
      <c r="D96">
        <f t="shared" si="10"/>
        <v>0</v>
      </c>
      <c r="E96">
        <f t="shared" si="7"/>
        <v>0</v>
      </c>
    </row>
    <row r="97" spans="1:5">
      <c r="A97">
        <f t="shared" si="5"/>
        <v>18000000</v>
      </c>
      <c r="B97">
        <f t="shared" si="8"/>
        <v>0</v>
      </c>
      <c r="C97">
        <f t="shared" si="9"/>
        <v>0</v>
      </c>
      <c r="D97">
        <f t="shared" si="10"/>
        <v>0</v>
      </c>
      <c r="E97">
        <f t="shared" si="7"/>
        <v>0</v>
      </c>
    </row>
    <row r="98" spans="1:5">
      <c r="A98">
        <f t="shared" si="5"/>
        <v>22000000</v>
      </c>
      <c r="B98">
        <f t="shared" si="8"/>
        <v>0</v>
      </c>
      <c r="C98">
        <f t="shared" si="9"/>
        <v>0</v>
      </c>
      <c r="D98">
        <f t="shared" si="10"/>
        <v>0</v>
      </c>
      <c r="E98">
        <f t="shared" si="7"/>
        <v>0</v>
      </c>
    </row>
    <row r="99" spans="1:5">
      <c r="A99">
        <f t="shared" ref="A99:A159" si="11">A87*10</f>
        <v>27000000</v>
      </c>
      <c r="B99">
        <f t="shared" si="8"/>
        <v>0</v>
      </c>
      <c r="C99">
        <f t="shared" si="9"/>
        <v>0</v>
      </c>
      <c r="D99">
        <f t="shared" si="10"/>
        <v>0</v>
      </c>
      <c r="E99">
        <f t="shared" si="7"/>
        <v>0</v>
      </c>
    </row>
    <row r="100" spans="1:5">
      <c r="A100">
        <f t="shared" si="11"/>
        <v>33000000</v>
      </c>
      <c r="B100">
        <f t="shared" si="8"/>
        <v>0</v>
      </c>
      <c r="C100">
        <f t="shared" si="9"/>
        <v>0</v>
      </c>
      <c r="D100">
        <f t="shared" si="10"/>
        <v>0</v>
      </c>
      <c r="E100">
        <f t="shared" si="7"/>
        <v>0</v>
      </c>
    </row>
    <row r="101" spans="1:5">
      <c r="A101">
        <f t="shared" si="11"/>
        <v>39000000</v>
      </c>
      <c r="B101">
        <f t="shared" si="8"/>
        <v>0</v>
      </c>
      <c r="C101">
        <f t="shared" si="9"/>
        <v>0</v>
      </c>
      <c r="D101">
        <f t="shared" si="10"/>
        <v>0</v>
      </c>
      <c r="E101">
        <f t="shared" si="7"/>
        <v>0</v>
      </c>
    </row>
    <row r="102" spans="1:5">
      <c r="A102">
        <f t="shared" si="11"/>
        <v>47000000</v>
      </c>
      <c r="B102">
        <f t="shared" si="8"/>
        <v>0</v>
      </c>
      <c r="C102">
        <f t="shared" si="9"/>
        <v>0</v>
      </c>
      <c r="D102">
        <f t="shared" si="10"/>
        <v>0</v>
      </c>
      <c r="E102">
        <f t="shared" ref="E102:E133" si="12">IF(IF((E$3*10^12-$A103)*(E$3*10^12-$A102)*-1&lt;0,0,1)*IF(ABS(E$3*10^12-$A103)&gt;(E$3*10^12-$A102),$A102,$A103)=E103,0,IF((E$3*10^12-$A103)*(E$3*10^12-$A102)*-1&lt;0,0,1)*IF(ABS(E$3*10^12-$A103)&gt;(E$3*10^12-$A102),$A102,$A103))</f>
        <v>0</v>
      </c>
    </row>
    <row r="103" spans="1:5">
      <c r="A103">
        <f t="shared" si="11"/>
        <v>56000000</v>
      </c>
      <c r="B103">
        <f t="shared" si="8"/>
        <v>0</v>
      </c>
      <c r="C103">
        <f t="shared" si="9"/>
        <v>0</v>
      </c>
      <c r="D103">
        <f t="shared" ref="D103:D134" si="13">IF(IF((D$3*10^12-$A104)*(D$3*10^12-$A103)*-1&lt;0,0,1)*IF(ABS(D$3*10^12-$A104)&gt;(D$3*10^12-$A103),$A103,$A104)=D104,0,IF((D$3*10^12-$A104)*(D$3*10^12-$A103)*-1&lt;0,0,1)*IF(ABS(D$3*10^12-$A104)&gt;(D$3*10^12-$A103),$A103,$A104))</f>
        <v>0</v>
      </c>
      <c r="E103">
        <f t="shared" si="12"/>
        <v>0</v>
      </c>
    </row>
    <row r="104" spans="1:5">
      <c r="A104">
        <f t="shared" si="11"/>
        <v>68000000</v>
      </c>
      <c r="B104">
        <f t="shared" si="8"/>
        <v>0</v>
      </c>
      <c r="C104">
        <f t="shared" si="9"/>
        <v>0</v>
      </c>
      <c r="D104">
        <f t="shared" si="13"/>
        <v>0</v>
      </c>
      <c r="E104">
        <f t="shared" si="12"/>
        <v>0</v>
      </c>
    </row>
    <row r="105" spans="1:5">
      <c r="A105">
        <f t="shared" si="11"/>
        <v>82000000</v>
      </c>
      <c r="B105">
        <f t="shared" si="8"/>
        <v>0</v>
      </c>
      <c r="C105">
        <f t="shared" si="9"/>
        <v>0</v>
      </c>
      <c r="D105">
        <f t="shared" si="13"/>
        <v>0</v>
      </c>
      <c r="E105">
        <f t="shared" si="12"/>
        <v>0</v>
      </c>
    </row>
    <row r="106" spans="1:5">
      <c r="A106">
        <f t="shared" si="11"/>
        <v>100000000</v>
      </c>
      <c r="B106">
        <f t="shared" si="8"/>
        <v>0</v>
      </c>
      <c r="C106">
        <f t="shared" si="9"/>
        <v>0</v>
      </c>
      <c r="D106">
        <f t="shared" si="13"/>
        <v>0</v>
      </c>
      <c r="E106">
        <f t="shared" si="12"/>
        <v>0</v>
      </c>
    </row>
    <row r="107" spans="1:5">
      <c r="A107">
        <f t="shared" si="11"/>
        <v>120000000</v>
      </c>
      <c r="B107">
        <f t="shared" si="8"/>
        <v>0</v>
      </c>
      <c r="C107">
        <f t="shared" si="9"/>
        <v>0</v>
      </c>
      <c r="D107">
        <f t="shared" si="13"/>
        <v>0</v>
      </c>
      <c r="E107">
        <f t="shared" si="12"/>
        <v>0</v>
      </c>
    </row>
    <row r="108" spans="1:5">
      <c r="A108">
        <f t="shared" si="11"/>
        <v>150000000</v>
      </c>
      <c r="B108">
        <f t="shared" si="8"/>
        <v>0</v>
      </c>
      <c r="C108">
        <f t="shared" si="9"/>
        <v>0</v>
      </c>
      <c r="D108">
        <f t="shared" si="13"/>
        <v>0</v>
      </c>
      <c r="E108">
        <f t="shared" si="12"/>
        <v>0</v>
      </c>
    </row>
    <row r="109" spans="1:5">
      <c r="A109">
        <f t="shared" si="11"/>
        <v>180000000</v>
      </c>
      <c r="B109">
        <f t="shared" si="8"/>
        <v>0</v>
      </c>
      <c r="C109">
        <f t="shared" si="9"/>
        <v>0</v>
      </c>
      <c r="D109">
        <f t="shared" si="13"/>
        <v>0</v>
      </c>
      <c r="E109">
        <f t="shared" si="12"/>
        <v>0</v>
      </c>
    </row>
    <row r="110" spans="1:5">
      <c r="A110">
        <f t="shared" si="11"/>
        <v>220000000</v>
      </c>
      <c r="B110">
        <f t="shared" si="8"/>
        <v>0</v>
      </c>
      <c r="C110">
        <f t="shared" si="9"/>
        <v>0</v>
      </c>
      <c r="D110">
        <f t="shared" si="13"/>
        <v>0</v>
      </c>
      <c r="E110">
        <f t="shared" si="12"/>
        <v>0</v>
      </c>
    </row>
    <row r="111" spans="1:5">
      <c r="A111">
        <f t="shared" si="11"/>
        <v>270000000</v>
      </c>
      <c r="B111">
        <f t="shared" si="8"/>
        <v>0</v>
      </c>
      <c r="C111">
        <f t="shared" si="9"/>
        <v>0</v>
      </c>
      <c r="D111">
        <f t="shared" si="13"/>
        <v>0</v>
      </c>
      <c r="E111">
        <f t="shared" si="12"/>
        <v>0</v>
      </c>
    </row>
    <row r="112" spans="1:5">
      <c r="A112">
        <f t="shared" si="11"/>
        <v>330000000</v>
      </c>
      <c r="B112">
        <f t="shared" si="8"/>
        <v>0</v>
      </c>
      <c r="C112">
        <f t="shared" si="9"/>
        <v>0</v>
      </c>
      <c r="D112">
        <f t="shared" si="13"/>
        <v>0</v>
      </c>
      <c r="E112">
        <f t="shared" si="12"/>
        <v>0</v>
      </c>
    </row>
    <row r="113" spans="1:5">
      <c r="A113">
        <f t="shared" si="11"/>
        <v>390000000</v>
      </c>
      <c r="B113">
        <f t="shared" si="8"/>
        <v>0</v>
      </c>
      <c r="C113">
        <f t="shared" si="9"/>
        <v>0</v>
      </c>
      <c r="D113">
        <f t="shared" si="13"/>
        <v>0</v>
      </c>
      <c r="E113">
        <f t="shared" si="12"/>
        <v>0</v>
      </c>
    </row>
    <row r="114" spans="1:5">
      <c r="A114">
        <f t="shared" si="11"/>
        <v>470000000</v>
      </c>
      <c r="B114">
        <f t="shared" si="8"/>
        <v>0</v>
      </c>
      <c r="C114">
        <f t="shared" si="9"/>
        <v>0</v>
      </c>
      <c r="D114">
        <f t="shared" si="13"/>
        <v>0</v>
      </c>
      <c r="E114">
        <f t="shared" si="12"/>
        <v>0</v>
      </c>
    </row>
    <row r="115" spans="1:5">
      <c r="A115">
        <f t="shared" si="11"/>
        <v>560000000</v>
      </c>
      <c r="B115">
        <f t="shared" si="8"/>
        <v>0</v>
      </c>
      <c r="C115">
        <f t="shared" si="9"/>
        <v>0</v>
      </c>
      <c r="D115">
        <f t="shared" si="13"/>
        <v>0</v>
      </c>
      <c r="E115">
        <f t="shared" si="12"/>
        <v>0</v>
      </c>
    </row>
    <row r="116" spans="1:5">
      <c r="A116">
        <f t="shared" si="11"/>
        <v>680000000</v>
      </c>
      <c r="B116">
        <f t="shared" si="8"/>
        <v>0</v>
      </c>
      <c r="C116">
        <f t="shared" si="9"/>
        <v>0</v>
      </c>
      <c r="D116">
        <f t="shared" si="13"/>
        <v>0</v>
      </c>
      <c r="E116">
        <f t="shared" si="12"/>
        <v>0</v>
      </c>
    </row>
    <row r="117" spans="1:5">
      <c r="A117">
        <f t="shared" si="11"/>
        <v>820000000</v>
      </c>
      <c r="B117">
        <f t="shared" si="8"/>
        <v>0</v>
      </c>
      <c r="C117">
        <f t="shared" si="9"/>
        <v>0</v>
      </c>
      <c r="D117">
        <f t="shared" si="13"/>
        <v>0</v>
      </c>
      <c r="E117">
        <f t="shared" si="12"/>
        <v>0</v>
      </c>
    </row>
    <row r="118" spans="1:5">
      <c r="A118">
        <f t="shared" si="11"/>
        <v>1000000000</v>
      </c>
      <c r="B118">
        <f t="shared" si="8"/>
        <v>0</v>
      </c>
      <c r="C118">
        <f t="shared" si="9"/>
        <v>0</v>
      </c>
      <c r="D118">
        <f t="shared" si="13"/>
        <v>0</v>
      </c>
      <c r="E118">
        <f t="shared" si="12"/>
        <v>0</v>
      </c>
    </row>
    <row r="119" spans="1:5">
      <c r="A119">
        <f t="shared" si="11"/>
        <v>1200000000</v>
      </c>
      <c r="B119">
        <f t="shared" si="8"/>
        <v>0</v>
      </c>
      <c r="C119">
        <f t="shared" si="9"/>
        <v>0</v>
      </c>
      <c r="D119">
        <f t="shared" si="13"/>
        <v>0</v>
      </c>
      <c r="E119">
        <f t="shared" si="12"/>
        <v>0</v>
      </c>
    </row>
    <row r="120" spans="1:5">
      <c r="A120">
        <f t="shared" si="11"/>
        <v>1500000000</v>
      </c>
      <c r="B120">
        <f t="shared" si="8"/>
        <v>0</v>
      </c>
      <c r="C120">
        <f t="shared" si="9"/>
        <v>0</v>
      </c>
      <c r="D120">
        <f t="shared" si="13"/>
        <v>0</v>
      </c>
      <c r="E120">
        <f t="shared" si="12"/>
        <v>0</v>
      </c>
    </row>
    <row r="121" spans="1:5">
      <c r="A121">
        <f t="shared" si="11"/>
        <v>1800000000</v>
      </c>
      <c r="B121">
        <f t="shared" si="8"/>
        <v>0</v>
      </c>
      <c r="C121">
        <f t="shared" si="9"/>
        <v>0</v>
      </c>
      <c r="D121">
        <f t="shared" si="13"/>
        <v>0</v>
      </c>
      <c r="E121">
        <f t="shared" si="12"/>
        <v>0</v>
      </c>
    </row>
    <row r="122" spans="1:5">
      <c r="A122">
        <f t="shared" si="11"/>
        <v>2200000000</v>
      </c>
      <c r="B122">
        <f t="shared" si="8"/>
        <v>0</v>
      </c>
      <c r="C122">
        <f t="shared" si="9"/>
        <v>0</v>
      </c>
      <c r="D122">
        <f t="shared" si="13"/>
        <v>0</v>
      </c>
      <c r="E122">
        <f t="shared" si="12"/>
        <v>0</v>
      </c>
    </row>
    <row r="123" spans="1:5">
      <c r="A123">
        <f t="shared" si="11"/>
        <v>2700000000</v>
      </c>
      <c r="B123">
        <f t="shared" si="8"/>
        <v>0</v>
      </c>
      <c r="C123">
        <f t="shared" si="9"/>
        <v>0</v>
      </c>
      <c r="D123">
        <f t="shared" si="13"/>
        <v>0</v>
      </c>
      <c r="E123">
        <f t="shared" si="12"/>
        <v>0</v>
      </c>
    </row>
    <row r="124" spans="1:5">
      <c r="A124">
        <f t="shared" si="11"/>
        <v>3300000000</v>
      </c>
      <c r="B124">
        <f t="shared" si="8"/>
        <v>0</v>
      </c>
      <c r="C124">
        <f t="shared" si="9"/>
        <v>0</v>
      </c>
      <c r="D124">
        <f t="shared" si="13"/>
        <v>0</v>
      </c>
      <c r="E124">
        <f t="shared" si="12"/>
        <v>0</v>
      </c>
    </row>
    <row r="125" spans="1:5">
      <c r="A125">
        <f t="shared" si="11"/>
        <v>3900000000</v>
      </c>
      <c r="B125">
        <f t="shared" si="8"/>
        <v>0</v>
      </c>
      <c r="C125">
        <f t="shared" si="9"/>
        <v>0</v>
      </c>
      <c r="D125">
        <f t="shared" si="13"/>
        <v>0</v>
      </c>
      <c r="E125">
        <f t="shared" si="12"/>
        <v>0</v>
      </c>
    </row>
    <row r="126" spans="1:5">
      <c r="A126">
        <f t="shared" si="11"/>
        <v>4700000000</v>
      </c>
      <c r="B126">
        <f t="shared" si="8"/>
        <v>0</v>
      </c>
      <c r="C126">
        <f t="shared" si="9"/>
        <v>0</v>
      </c>
      <c r="D126">
        <f t="shared" si="13"/>
        <v>0</v>
      </c>
      <c r="E126">
        <f t="shared" si="12"/>
        <v>0</v>
      </c>
    </row>
    <row r="127" spans="1:5">
      <c r="A127">
        <f t="shared" si="11"/>
        <v>5600000000</v>
      </c>
      <c r="B127">
        <f t="shared" si="8"/>
        <v>0</v>
      </c>
      <c r="C127">
        <f t="shared" si="9"/>
        <v>0</v>
      </c>
      <c r="D127">
        <f t="shared" si="13"/>
        <v>0</v>
      </c>
      <c r="E127">
        <f t="shared" si="12"/>
        <v>0</v>
      </c>
    </row>
    <row r="128" spans="1:5">
      <c r="A128">
        <f t="shared" si="11"/>
        <v>6800000000</v>
      </c>
      <c r="B128">
        <f t="shared" si="8"/>
        <v>0</v>
      </c>
      <c r="C128">
        <f t="shared" si="9"/>
        <v>0</v>
      </c>
      <c r="D128">
        <f t="shared" si="13"/>
        <v>0</v>
      </c>
      <c r="E128">
        <f t="shared" si="12"/>
        <v>0</v>
      </c>
    </row>
    <row r="129" spans="1:5">
      <c r="A129">
        <f t="shared" si="11"/>
        <v>8200000000</v>
      </c>
      <c r="B129">
        <f t="shared" si="8"/>
        <v>0</v>
      </c>
      <c r="C129">
        <f t="shared" si="9"/>
        <v>0</v>
      </c>
      <c r="D129">
        <f t="shared" si="13"/>
        <v>0</v>
      </c>
      <c r="E129">
        <f t="shared" si="12"/>
        <v>0</v>
      </c>
    </row>
    <row r="130" spans="1:5">
      <c r="A130">
        <f t="shared" si="11"/>
        <v>10000000000</v>
      </c>
      <c r="B130">
        <f t="shared" si="8"/>
        <v>0</v>
      </c>
      <c r="C130">
        <f t="shared" si="9"/>
        <v>0</v>
      </c>
      <c r="D130">
        <f t="shared" si="13"/>
        <v>0</v>
      </c>
      <c r="E130">
        <f t="shared" si="12"/>
        <v>0</v>
      </c>
    </row>
    <row r="131" spans="1:5">
      <c r="A131">
        <f t="shared" si="11"/>
        <v>12000000000</v>
      </c>
      <c r="B131">
        <f t="shared" si="8"/>
        <v>0</v>
      </c>
      <c r="C131">
        <f t="shared" si="9"/>
        <v>0</v>
      </c>
      <c r="D131">
        <f t="shared" si="13"/>
        <v>0</v>
      </c>
      <c r="E131">
        <f t="shared" si="12"/>
        <v>0</v>
      </c>
    </row>
    <row r="132" spans="1:5">
      <c r="A132">
        <f t="shared" si="11"/>
        <v>15000000000</v>
      </c>
      <c r="B132">
        <f t="shared" si="8"/>
        <v>0</v>
      </c>
      <c r="C132">
        <f t="shared" si="9"/>
        <v>0</v>
      </c>
      <c r="D132">
        <f t="shared" si="13"/>
        <v>0</v>
      </c>
      <c r="E132">
        <f t="shared" si="12"/>
        <v>0</v>
      </c>
    </row>
    <row r="133" spans="1:5">
      <c r="A133">
        <f t="shared" si="11"/>
        <v>18000000000</v>
      </c>
      <c r="B133">
        <f t="shared" si="8"/>
        <v>0</v>
      </c>
      <c r="C133">
        <f t="shared" si="9"/>
        <v>0</v>
      </c>
      <c r="D133">
        <f t="shared" si="13"/>
        <v>0</v>
      </c>
      <c r="E133">
        <f t="shared" si="12"/>
        <v>0</v>
      </c>
    </row>
    <row r="134" spans="1:5">
      <c r="A134">
        <f t="shared" si="11"/>
        <v>22000000000</v>
      </c>
      <c r="B134">
        <f t="shared" si="8"/>
        <v>0</v>
      </c>
      <c r="C134">
        <f t="shared" ref="C134:D159" si="14">IF(IF((C$3*10^12-$A135)*(C$3*10^12-$A134)*-1&lt;0,0,1)*IF(ABS(C$3*10^12-$A135)&gt;(C$3*10^12-$A134),$A134,$A135)=C135,0,IF((C$3*10^12-$A135)*(C$3*10^12-$A134)*-1&lt;0,0,1)*IF(ABS(C$3*10^12-$A135)&gt;(C$3*10^12-$A134),$A134,$A135))</f>
        <v>0</v>
      </c>
      <c r="D134">
        <f t="shared" si="13"/>
        <v>0</v>
      </c>
      <c r="E134">
        <f t="shared" ref="E134:E159" si="15">IF(IF((E$3*10^12-$A135)*(E$3*10^12-$A134)*-1&lt;0,0,1)*IF(ABS(E$3*10^12-$A135)&gt;(E$3*10^12-$A134),$A134,$A135)=E135,0,IF((E$3*10^12-$A135)*(E$3*10^12-$A134)*-1&lt;0,0,1)*IF(ABS(E$3*10^12-$A135)&gt;(E$3*10^12-$A134),$A134,$A135))</f>
        <v>0</v>
      </c>
    </row>
    <row r="135" spans="1:5">
      <c r="A135">
        <f t="shared" si="11"/>
        <v>27000000000</v>
      </c>
      <c r="B135">
        <f t="shared" ref="B135:B159" si="16">IF(IF((B$3*10^12-$A136)*(B$3*10^12-$A135)*-1&lt;0,0,1)*IF(ABS(B$3*10^12-$A136)&gt;(B$3*10^12-$A135),$A135,$A136)=B136,0,IF((B$3*10^12-$A136)*(B$3*10^12-$A135)*-1&lt;0,0,1)*IF(ABS(B$3*10^12-$A136)&gt;(B$3*10^12-$A135),$A135,$A136))</f>
        <v>0</v>
      </c>
      <c r="C135">
        <f t="shared" si="14"/>
        <v>0</v>
      </c>
      <c r="D135">
        <f t="shared" si="14"/>
        <v>0</v>
      </c>
      <c r="E135">
        <f t="shared" si="15"/>
        <v>0</v>
      </c>
    </row>
    <row r="136" spans="1:5">
      <c r="A136">
        <f t="shared" si="11"/>
        <v>33000000000</v>
      </c>
      <c r="B136">
        <f t="shared" si="16"/>
        <v>0</v>
      </c>
      <c r="C136">
        <f t="shared" si="14"/>
        <v>0</v>
      </c>
      <c r="D136">
        <f t="shared" si="14"/>
        <v>0</v>
      </c>
      <c r="E136">
        <f t="shared" si="15"/>
        <v>0</v>
      </c>
    </row>
    <row r="137" spans="1:5">
      <c r="A137">
        <f t="shared" si="11"/>
        <v>39000000000</v>
      </c>
      <c r="B137">
        <f t="shared" si="16"/>
        <v>0</v>
      </c>
      <c r="C137">
        <f t="shared" si="14"/>
        <v>0</v>
      </c>
      <c r="D137">
        <f t="shared" si="14"/>
        <v>0</v>
      </c>
      <c r="E137">
        <f t="shared" si="15"/>
        <v>0</v>
      </c>
    </row>
    <row r="138" spans="1:5">
      <c r="A138">
        <f t="shared" si="11"/>
        <v>47000000000</v>
      </c>
      <c r="B138">
        <f t="shared" si="16"/>
        <v>0</v>
      </c>
      <c r="C138">
        <f t="shared" si="14"/>
        <v>0</v>
      </c>
      <c r="D138">
        <f t="shared" si="14"/>
        <v>0</v>
      </c>
      <c r="E138">
        <f t="shared" si="15"/>
        <v>0</v>
      </c>
    </row>
    <row r="139" spans="1:5">
      <c r="A139">
        <f t="shared" si="11"/>
        <v>56000000000</v>
      </c>
      <c r="B139">
        <f t="shared" si="16"/>
        <v>0</v>
      </c>
      <c r="C139">
        <f t="shared" si="14"/>
        <v>0</v>
      </c>
      <c r="D139">
        <f t="shared" si="14"/>
        <v>0</v>
      </c>
      <c r="E139">
        <f t="shared" si="15"/>
        <v>0</v>
      </c>
    </row>
    <row r="140" spans="1:5">
      <c r="A140">
        <f t="shared" si="11"/>
        <v>68000000000</v>
      </c>
      <c r="B140">
        <f t="shared" si="16"/>
        <v>0</v>
      </c>
      <c r="C140">
        <f t="shared" si="14"/>
        <v>0</v>
      </c>
      <c r="D140">
        <f t="shared" si="14"/>
        <v>0</v>
      </c>
      <c r="E140">
        <f t="shared" si="15"/>
        <v>0</v>
      </c>
    </row>
    <row r="141" spans="1:5">
      <c r="A141">
        <f t="shared" si="11"/>
        <v>82000000000</v>
      </c>
      <c r="B141">
        <f t="shared" si="16"/>
        <v>0</v>
      </c>
      <c r="C141">
        <f t="shared" si="14"/>
        <v>0</v>
      </c>
      <c r="D141">
        <f t="shared" si="14"/>
        <v>0</v>
      </c>
      <c r="E141">
        <f t="shared" si="15"/>
        <v>0</v>
      </c>
    </row>
    <row r="142" spans="1:5">
      <c r="A142">
        <f t="shared" si="11"/>
        <v>100000000000</v>
      </c>
      <c r="B142">
        <f t="shared" si="16"/>
        <v>0</v>
      </c>
      <c r="C142">
        <f t="shared" si="14"/>
        <v>0</v>
      </c>
      <c r="D142">
        <f t="shared" si="14"/>
        <v>0</v>
      </c>
      <c r="E142">
        <f t="shared" si="15"/>
        <v>0</v>
      </c>
    </row>
    <row r="143" spans="1:5">
      <c r="A143">
        <f t="shared" si="11"/>
        <v>120000000000</v>
      </c>
      <c r="B143">
        <f t="shared" si="16"/>
        <v>0</v>
      </c>
      <c r="C143">
        <f t="shared" si="14"/>
        <v>0</v>
      </c>
      <c r="D143">
        <f t="shared" si="14"/>
        <v>0</v>
      </c>
      <c r="E143">
        <f t="shared" si="15"/>
        <v>0</v>
      </c>
    </row>
    <row r="144" spans="1:5">
      <c r="A144">
        <f t="shared" si="11"/>
        <v>150000000000</v>
      </c>
      <c r="B144">
        <f t="shared" si="16"/>
        <v>0</v>
      </c>
      <c r="C144">
        <f t="shared" si="14"/>
        <v>0</v>
      </c>
      <c r="D144">
        <f t="shared" si="14"/>
        <v>0</v>
      </c>
      <c r="E144">
        <f t="shared" si="15"/>
        <v>0</v>
      </c>
    </row>
    <row r="145" spans="1:5">
      <c r="A145">
        <f t="shared" si="11"/>
        <v>180000000000</v>
      </c>
      <c r="B145">
        <f t="shared" si="16"/>
        <v>0</v>
      </c>
      <c r="C145">
        <f t="shared" si="14"/>
        <v>0</v>
      </c>
      <c r="D145">
        <f t="shared" si="14"/>
        <v>0</v>
      </c>
      <c r="E145">
        <f t="shared" si="15"/>
        <v>0</v>
      </c>
    </row>
    <row r="146" spans="1:5">
      <c r="A146">
        <f t="shared" si="11"/>
        <v>220000000000</v>
      </c>
      <c r="B146">
        <f t="shared" si="16"/>
        <v>0</v>
      </c>
      <c r="C146">
        <f t="shared" si="14"/>
        <v>0</v>
      </c>
      <c r="D146">
        <f t="shared" si="14"/>
        <v>0</v>
      </c>
      <c r="E146">
        <f t="shared" si="15"/>
        <v>0</v>
      </c>
    </row>
    <row r="147" spans="1:5">
      <c r="A147">
        <f t="shared" si="11"/>
        <v>270000000000</v>
      </c>
      <c r="B147">
        <f t="shared" si="16"/>
        <v>0</v>
      </c>
      <c r="C147">
        <f t="shared" si="14"/>
        <v>0</v>
      </c>
      <c r="D147">
        <f t="shared" si="14"/>
        <v>0</v>
      </c>
      <c r="E147">
        <f t="shared" si="15"/>
        <v>0</v>
      </c>
    </row>
    <row r="148" spans="1:5">
      <c r="A148">
        <f t="shared" si="11"/>
        <v>330000000000</v>
      </c>
      <c r="B148">
        <f t="shared" si="16"/>
        <v>0</v>
      </c>
      <c r="C148">
        <f t="shared" si="14"/>
        <v>0</v>
      </c>
      <c r="D148">
        <f t="shared" si="14"/>
        <v>0</v>
      </c>
      <c r="E148">
        <f t="shared" si="15"/>
        <v>0</v>
      </c>
    </row>
    <row r="149" spans="1:5">
      <c r="A149">
        <f t="shared" si="11"/>
        <v>390000000000</v>
      </c>
      <c r="B149">
        <f t="shared" si="16"/>
        <v>0</v>
      </c>
      <c r="C149">
        <f t="shared" si="14"/>
        <v>0</v>
      </c>
      <c r="D149">
        <f t="shared" si="14"/>
        <v>0</v>
      </c>
      <c r="E149">
        <f t="shared" si="15"/>
        <v>0</v>
      </c>
    </row>
    <row r="150" spans="1:5">
      <c r="A150">
        <f t="shared" si="11"/>
        <v>470000000000</v>
      </c>
      <c r="B150">
        <f t="shared" si="16"/>
        <v>0</v>
      </c>
      <c r="C150">
        <f t="shared" si="14"/>
        <v>0</v>
      </c>
      <c r="D150">
        <f t="shared" si="14"/>
        <v>0</v>
      </c>
      <c r="E150">
        <f t="shared" si="15"/>
        <v>0</v>
      </c>
    </row>
    <row r="151" spans="1:5">
      <c r="A151">
        <f t="shared" si="11"/>
        <v>560000000000</v>
      </c>
      <c r="B151">
        <f t="shared" si="16"/>
        <v>0</v>
      </c>
      <c r="C151">
        <f t="shared" si="14"/>
        <v>0</v>
      </c>
      <c r="D151">
        <f t="shared" si="14"/>
        <v>0</v>
      </c>
      <c r="E151">
        <f t="shared" si="15"/>
        <v>0</v>
      </c>
    </row>
    <row r="152" spans="1:5">
      <c r="A152">
        <f t="shared" si="11"/>
        <v>680000000000</v>
      </c>
      <c r="B152">
        <f t="shared" si="16"/>
        <v>0</v>
      </c>
      <c r="C152">
        <f t="shared" si="14"/>
        <v>0</v>
      </c>
      <c r="D152">
        <f t="shared" si="14"/>
        <v>0</v>
      </c>
      <c r="E152">
        <f t="shared" si="15"/>
        <v>0</v>
      </c>
    </row>
    <row r="153" spans="1:5">
      <c r="A153">
        <f t="shared" si="11"/>
        <v>820000000000</v>
      </c>
      <c r="B153">
        <f t="shared" si="16"/>
        <v>0</v>
      </c>
      <c r="C153">
        <f t="shared" si="14"/>
        <v>0</v>
      </c>
      <c r="D153">
        <f t="shared" si="14"/>
        <v>0</v>
      </c>
      <c r="E153">
        <f t="shared" si="15"/>
        <v>0</v>
      </c>
    </row>
    <row r="154" spans="1:5">
      <c r="A154">
        <f t="shared" si="11"/>
        <v>1000000000000</v>
      </c>
      <c r="B154">
        <f t="shared" si="16"/>
        <v>0</v>
      </c>
      <c r="C154">
        <f t="shared" si="14"/>
        <v>0</v>
      </c>
      <c r="D154">
        <f t="shared" si="14"/>
        <v>0</v>
      </c>
      <c r="E154">
        <f t="shared" si="15"/>
        <v>0</v>
      </c>
    </row>
    <row r="155" spans="1:5">
      <c r="A155">
        <f t="shared" si="11"/>
        <v>1200000000000</v>
      </c>
      <c r="B155">
        <f t="shared" si="16"/>
        <v>0</v>
      </c>
      <c r="C155">
        <f t="shared" si="14"/>
        <v>0</v>
      </c>
      <c r="D155">
        <f t="shared" si="14"/>
        <v>0</v>
      </c>
      <c r="E155">
        <f t="shared" si="15"/>
        <v>0</v>
      </c>
    </row>
    <row r="156" spans="1:5">
      <c r="A156">
        <f t="shared" si="11"/>
        <v>1500000000000</v>
      </c>
      <c r="B156">
        <f t="shared" si="16"/>
        <v>0</v>
      </c>
      <c r="C156">
        <f t="shared" si="14"/>
        <v>0</v>
      </c>
      <c r="D156">
        <f t="shared" si="14"/>
        <v>0</v>
      </c>
      <c r="E156">
        <f t="shared" si="15"/>
        <v>0</v>
      </c>
    </row>
    <row r="157" spans="1:5">
      <c r="A157">
        <f t="shared" si="11"/>
        <v>1800000000000</v>
      </c>
      <c r="B157">
        <f t="shared" si="16"/>
        <v>0</v>
      </c>
      <c r="C157">
        <f t="shared" si="14"/>
        <v>0</v>
      </c>
      <c r="D157">
        <f t="shared" si="14"/>
        <v>0</v>
      </c>
      <c r="E157">
        <f t="shared" si="15"/>
        <v>0</v>
      </c>
    </row>
    <row r="158" spans="1:5">
      <c r="A158">
        <f t="shared" si="11"/>
        <v>2200000000000</v>
      </c>
      <c r="B158">
        <f t="shared" si="16"/>
        <v>0</v>
      </c>
      <c r="C158">
        <f t="shared" si="14"/>
        <v>0</v>
      </c>
      <c r="D158">
        <f t="shared" si="14"/>
        <v>0</v>
      </c>
      <c r="E158">
        <f t="shared" si="15"/>
        <v>0</v>
      </c>
    </row>
    <row r="159" spans="1:5">
      <c r="A159" s="10">
        <f t="shared" si="11"/>
        <v>2700000000000</v>
      </c>
      <c r="B159">
        <f t="shared" si="16"/>
        <v>2700000000000</v>
      </c>
      <c r="C159">
        <f t="shared" si="14"/>
        <v>0</v>
      </c>
      <c r="D159">
        <f t="shared" si="14"/>
        <v>0</v>
      </c>
      <c r="E159">
        <f t="shared" si="15"/>
        <v>2700000000000</v>
      </c>
    </row>
  </sheetData>
  <sheetProtection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R687"/>
  <sheetViews>
    <sheetView zoomScaleNormal="100" workbookViewId="0">
      <pane ySplit="11" topLeftCell="A19" activePane="bottomLeft" state="frozen"/>
      <selection activeCell="A93" sqref="A93"/>
      <selection pane="bottomLeft" activeCell="B19" sqref="B19"/>
    </sheetView>
  </sheetViews>
  <sheetFormatPr defaultColWidth="9.21875" defaultRowHeight="13.2"/>
  <cols>
    <col min="1" max="1" width="14.77734375" style="147" bestFit="1" customWidth="1"/>
    <col min="2" max="2" width="10.77734375" style="147" customWidth="1"/>
    <col min="3" max="3" width="10" style="147" customWidth="1"/>
    <col min="4" max="4" width="13.77734375" style="147" customWidth="1"/>
    <col min="5" max="5" width="10.21875" style="147" customWidth="1"/>
    <col min="6" max="6" width="3.21875" style="147" customWidth="1"/>
    <col min="7" max="7" width="16.21875" style="147" customWidth="1"/>
    <col min="8" max="8" width="15.77734375" style="147" customWidth="1"/>
    <col min="9" max="9" width="10" style="147" customWidth="1"/>
    <col min="10" max="10" width="10.77734375" style="147" customWidth="1"/>
    <col min="11" max="11" width="10.21875" style="147" customWidth="1"/>
    <col min="12" max="14" width="11.77734375" style="147" customWidth="1"/>
    <col min="15" max="15" width="14.21875" style="147" customWidth="1"/>
    <col min="16" max="16" width="11" style="147" customWidth="1"/>
    <col min="17" max="17" width="12" style="147" customWidth="1"/>
    <col min="18" max="18" width="11.44140625" style="147" customWidth="1"/>
    <col min="19" max="19" width="10.77734375" style="147" customWidth="1"/>
    <col min="20" max="20" width="11.44140625" style="147" customWidth="1"/>
    <col min="21" max="21" width="11.77734375" style="147" customWidth="1"/>
    <col min="22" max="22" width="13.5546875" style="147" customWidth="1"/>
    <col min="23" max="23" width="9.44140625" style="147" customWidth="1"/>
    <col min="24" max="24" width="16.21875" style="147" bestFit="1" customWidth="1"/>
    <col min="25" max="25" width="16.21875" style="149" customWidth="1"/>
    <col min="26" max="26" width="8.77734375" style="147" bestFit="1" customWidth="1"/>
    <col min="27" max="27" width="13.5546875" style="147" bestFit="1" customWidth="1"/>
    <col min="28" max="28" width="10.77734375" style="147" bestFit="1" customWidth="1"/>
    <col min="29" max="29" width="9.21875" style="147"/>
    <col min="30" max="30" width="13.5546875" style="147" customWidth="1"/>
    <col min="31" max="31" width="10.5546875" style="147" customWidth="1"/>
    <col min="32" max="32" width="9.21875" style="147"/>
    <col min="33" max="33" width="9.44140625" style="147" bestFit="1" customWidth="1"/>
    <col min="34" max="34" width="11.44140625" style="147" bestFit="1" customWidth="1"/>
    <col min="35" max="35" width="5.77734375" style="147" customWidth="1"/>
    <col min="36" max="36" width="12.21875" style="147" customWidth="1"/>
    <col min="37" max="37" width="8.77734375" style="147" customWidth="1"/>
    <col min="38" max="38" width="18.21875" style="147" customWidth="1"/>
    <col min="39" max="39" width="45.21875" style="147" customWidth="1"/>
    <col min="40" max="40" width="19.21875" style="147" bestFit="1" customWidth="1"/>
    <col min="41" max="41" width="40.77734375" style="147" bestFit="1" customWidth="1"/>
    <col min="42" max="42" width="40.21875" style="147" bestFit="1" customWidth="1"/>
    <col min="43" max="43" width="40.77734375" style="147" bestFit="1" customWidth="1"/>
    <col min="44" max="44" width="40.21875" style="147" bestFit="1" customWidth="1"/>
    <col min="45" max="45" width="28.44140625" style="147" customWidth="1"/>
    <col min="46" max="16384" width="9.21875" style="147"/>
  </cols>
  <sheetData>
    <row r="1" spans="1:44" ht="13.8" thickBot="1"/>
    <row r="2" spans="1:44">
      <c r="A2" s="285" t="s">
        <v>770</v>
      </c>
      <c r="G2" s="794" t="s">
        <v>764</v>
      </c>
      <c r="H2" s="795"/>
      <c r="I2" s="796"/>
      <c r="J2" s="797"/>
      <c r="K2" s="794" t="s">
        <v>683</v>
      </c>
      <c r="L2" s="795"/>
      <c r="M2" s="795"/>
      <c r="N2" s="547"/>
      <c r="O2" s="548"/>
      <c r="P2" s="794" t="s">
        <v>684</v>
      </c>
      <c r="Q2" s="796"/>
      <c r="R2" s="797"/>
      <c r="S2" s="794" t="s">
        <v>765</v>
      </c>
      <c r="T2" s="796"/>
      <c r="U2" s="797"/>
      <c r="V2" s="794" t="s">
        <v>685</v>
      </c>
      <c r="W2" s="795"/>
      <c r="X2" s="798"/>
      <c r="AA2" s="285" t="s">
        <v>796</v>
      </c>
    </row>
    <row r="3" spans="1:44">
      <c r="H3" s="549" t="s">
        <v>757</v>
      </c>
      <c r="I3" s="624">
        <f>Vref/(Vout_eff*Npri_sec)</f>
        <v>0.11716461628588166</v>
      </c>
      <c r="J3" s="550" t="s">
        <v>686</v>
      </c>
      <c r="K3" s="551" t="s">
        <v>687</v>
      </c>
      <c r="L3" s="238">
        <f>1/Rcs_gain</f>
        <v>66.666666666666671</v>
      </c>
      <c r="M3" s="550" t="s">
        <v>688</v>
      </c>
      <c r="N3" s="169" t="s">
        <v>689</v>
      </c>
      <c r="O3" s="552">
        <f>gmEA</f>
        <v>5.9999999999999995E-4</v>
      </c>
      <c r="P3" s="551" t="s">
        <v>690</v>
      </c>
      <c r="Q3" s="553">
        <f>1/(2*Pi*D25*D26)</f>
        <v>482287.70689017093</v>
      </c>
      <c r="R3" s="550" t="s">
        <v>8</v>
      </c>
      <c r="S3" s="551"/>
      <c r="T3" s="553"/>
      <c r="U3" s="550"/>
      <c r="V3" s="250" t="s">
        <v>692</v>
      </c>
      <c r="W3" s="553">
        <f>Am*Afb*Aea</f>
        <v>231474.7837157489</v>
      </c>
      <c r="X3" s="550" t="s">
        <v>686</v>
      </c>
      <c r="AA3" s="147">
        <f>MIN(z_RHP/10,'Calculations - Single'!Y212/10)</f>
        <v>4.2561760050380553</v>
      </c>
      <c r="AB3" s="147" t="s">
        <v>2</v>
      </c>
    </row>
    <row r="4" spans="1:44">
      <c r="B4" s="147">
        <f>BODE_TYPE*0+IF('Variable Mgmt'!Y17="BCM",2, 1)</f>
        <v>2</v>
      </c>
      <c r="H4" s="549" t="s">
        <v>693</v>
      </c>
      <c r="I4" s="553">
        <f>1/(2*Pi*Rcomp*Ccomp)</f>
        <v>284.20525584599352</v>
      </c>
      <c r="J4" s="550" t="s">
        <v>8</v>
      </c>
      <c r="K4" s="551" t="s">
        <v>694</v>
      </c>
      <c r="L4" s="238">
        <f>CHOOSE(BODE_TYPE, Rload_pri/Rcs_gain*(Lmag/(2*Vout_eff*Npri_sec)*Fsw_DCM)*SQRT(Iout_eff/(Lmag/(2*Vout_eff*Npri_sec)*Fsw_DCM*Npri_sec)), Rload_pri/(Rcs_gain*2*(2*M+1)))</f>
        <v>10.97576266118843</v>
      </c>
      <c r="M4" s="550" t="s">
        <v>686</v>
      </c>
      <c r="N4" s="554" t="s">
        <v>755</v>
      </c>
      <c r="O4" s="605">
        <f>REAout</f>
        <v>300000000</v>
      </c>
      <c r="P4" s="551" t="s">
        <v>695</v>
      </c>
      <c r="Q4" s="553">
        <f>CHOOSE(BODE_TYPE, 2/(2*Pi*D25*Rload_sec), 1/(2*Pi*D25*[0]!Rload_sec)*(2*M+1)/(M+1))</f>
        <v>114.8755237591225</v>
      </c>
      <c r="R4" s="550" t="s">
        <v>8</v>
      </c>
      <c r="S4" s="551"/>
      <c r="T4" s="252"/>
      <c r="U4" s="550"/>
      <c r="V4" s="610" t="s">
        <v>696</v>
      </c>
      <c r="W4" s="611">
        <f>AK7</f>
        <v>4.7862999999999998</v>
      </c>
      <c r="X4" s="612" t="s">
        <v>2</v>
      </c>
    </row>
    <row r="5" spans="1:44">
      <c r="H5" s="549" t="s">
        <v>697</v>
      </c>
      <c r="I5" s="165">
        <f>1/(2*Pi*REAout*Ccomp)</f>
        <v>5.3051647757918791E-2</v>
      </c>
      <c r="J5" s="550" t="s">
        <v>8</v>
      </c>
      <c r="K5" s="551"/>
      <c r="L5" s="165"/>
      <c r="M5" s="550"/>
      <c r="N5" s="554"/>
      <c r="O5" s="554"/>
      <c r="P5" s="551" t="s">
        <v>712</v>
      </c>
      <c r="Q5" s="553">
        <f>Rload_pri/(2*Pi*Lmag*M*(M+1))</f>
        <v>69536.508465285442</v>
      </c>
      <c r="R5" s="550" t="s">
        <v>8</v>
      </c>
      <c r="S5" s="551"/>
      <c r="T5" s="148"/>
      <c r="U5" s="550"/>
      <c r="V5" s="610" t="s">
        <v>698</v>
      </c>
      <c r="W5" s="613">
        <f>AK9</f>
        <v>66.032256153349948</v>
      </c>
      <c r="X5" s="614" t="s">
        <v>699</v>
      </c>
    </row>
    <row r="6" spans="1:44">
      <c r="H6" s="549" t="s">
        <v>700</v>
      </c>
      <c r="I6" s="148">
        <f>gmEA*REAout</f>
        <v>179999.99999999997</v>
      </c>
      <c r="J6" s="550" t="s">
        <v>686</v>
      </c>
      <c r="K6" s="551"/>
      <c r="L6" s="165"/>
      <c r="M6" s="169"/>
      <c r="N6" s="615"/>
      <c r="O6" s="550"/>
      <c r="P6" s="551"/>
      <c r="Q6" s="148"/>
      <c r="R6" s="550"/>
      <c r="S6" s="551"/>
      <c r="T6" s="165"/>
      <c r="U6" s="550"/>
      <c r="V6" s="250" t="s">
        <v>701</v>
      </c>
      <c r="W6" s="148">
        <v>57.295779578552292</v>
      </c>
      <c r="X6" s="550"/>
      <c r="AJ6" s="555" t="s">
        <v>702</v>
      </c>
      <c r="AK6" s="555"/>
    </row>
    <row r="7" spans="1:44" ht="13.8" thickBot="1">
      <c r="H7" s="556" t="s">
        <v>703</v>
      </c>
      <c r="I7" s="557">
        <f>1/(2*Pi*Rcomp*Chf)</f>
        <v>50750.938543927412</v>
      </c>
      <c r="J7" s="558" t="s">
        <v>8</v>
      </c>
      <c r="K7" s="559"/>
      <c r="L7" s="560"/>
      <c r="M7" s="560"/>
      <c r="N7" s="561"/>
      <c r="O7" s="558"/>
      <c r="P7" s="559"/>
      <c r="Q7" s="559"/>
      <c r="R7" s="558"/>
      <c r="S7" s="559"/>
      <c r="T7" s="559"/>
      <c r="U7" s="558"/>
      <c r="V7" s="559"/>
      <c r="W7" s="559"/>
      <c r="X7" s="558"/>
      <c r="AJ7" s="147" t="s">
        <v>704</v>
      </c>
      <c r="AK7" s="147">
        <f>SUM(AJ12:AJ613)/1000</f>
        <v>4.7862999999999998</v>
      </c>
      <c r="AL7" s="172">
        <f>AK7*1000</f>
        <v>4786.3</v>
      </c>
    </row>
    <row r="8" spans="1:44">
      <c r="H8" s="562"/>
      <c r="I8" s="172"/>
      <c r="L8" s="188"/>
      <c r="M8" s="188"/>
      <c r="N8" s="188"/>
      <c r="AL8" s="147">
        <v>0</v>
      </c>
    </row>
    <row r="9" spans="1:44" ht="13.8" thickBot="1">
      <c r="A9" s="603"/>
      <c r="B9" s="229" t="s">
        <v>758</v>
      </c>
      <c r="AJ9" s="147" t="s">
        <v>705</v>
      </c>
      <c r="AK9" s="149">
        <f>SUM(AK13:AK613)</f>
        <v>66.032256153349948</v>
      </c>
      <c r="AL9" s="379">
        <f>AK9</f>
        <v>66.032256153349948</v>
      </c>
    </row>
    <row r="10" spans="1:44" ht="13.8">
      <c r="A10" s="606"/>
      <c r="B10" s="229" t="s">
        <v>762</v>
      </c>
      <c r="G10" s="799" t="s">
        <v>706</v>
      </c>
      <c r="H10" s="802" t="s">
        <v>756</v>
      </c>
      <c r="I10" s="804" t="s">
        <v>707</v>
      </c>
      <c r="J10" s="805"/>
      <c r="K10" s="805"/>
      <c r="L10" s="805"/>
      <c r="M10" s="805"/>
      <c r="N10" s="806"/>
      <c r="O10" s="804" t="s">
        <v>708</v>
      </c>
      <c r="P10" s="805"/>
      <c r="Q10" s="805"/>
      <c r="R10" s="805"/>
      <c r="S10" s="805"/>
      <c r="T10" s="806"/>
      <c r="U10" s="784" t="s">
        <v>760</v>
      </c>
      <c r="V10" s="807"/>
      <c r="W10" s="784" t="s">
        <v>709</v>
      </c>
      <c r="X10" s="785"/>
      <c r="Y10" s="786"/>
      <c r="AD10" s="787" t="s">
        <v>710</v>
      </c>
      <c r="AE10" s="788"/>
      <c r="AG10" s="787" t="s">
        <v>711</v>
      </c>
      <c r="AH10" s="788"/>
      <c r="AM10" s="235" t="s">
        <v>761</v>
      </c>
    </row>
    <row r="11" spans="1:44">
      <c r="G11" s="800"/>
      <c r="H11" s="803"/>
      <c r="I11" s="789" t="s">
        <v>695</v>
      </c>
      <c r="J11" s="790"/>
      <c r="K11" s="790" t="s">
        <v>690</v>
      </c>
      <c r="L11" s="791"/>
      <c r="M11" s="792" t="s">
        <v>712</v>
      </c>
      <c r="N11" s="793"/>
      <c r="O11" s="789" t="s">
        <v>713</v>
      </c>
      <c r="P11" s="790"/>
      <c r="Q11" s="790" t="s">
        <v>714</v>
      </c>
      <c r="R11" s="791"/>
      <c r="S11" s="792" t="s">
        <v>715</v>
      </c>
      <c r="T11" s="793"/>
      <c r="U11" s="789" t="s">
        <v>691</v>
      </c>
      <c r="V11" s="791"/>
      <c r="W11" s="551"/>
      <c r="X11" s="148"/>
      <c r="Y11" s="563"/>
      <c r="AD11" s="551"/>
      <c r="AE11" s="550"/>
      <c r="AG11" s="551"/>
      <c r="AH11" s="550"/>
    </row>
    <row r="12" spans="1:44" ht="13.8" thickBot="1">
      <c r="F12" s="601"/>
      <c r="G12" s="801"/>
      <c r="H12" s="564"/>
      <c r="I12" s="565" t="s">
        <v>716</v>
      </c>
      <c r="J12" s="566" t="s">
        <v>717</v>
      </c>
      <c r="K12" s="566" t="s">
        <v>716</v>
      </c>
      <c r="L12" s="567" t="s">
        <v>717</v>
      </c>
      <c r="M12" s="566" t="s">
        <v>716</v>
      </c>
      <c r="N12" s="567" t="s">
        <v>717</v>
      </c>
      <c r="O12" s="565" t="s">
        <v>716</v>
      </c>
      <c r="P12" s="566" t="s">
        <v>717</v>
      </c>
      <c r="Q12" s="566" t="s">
        <v>716</v>
      </c>
      <c r="R12" s="567" t="s">
        <v>717</v>
      </c>
      <c r="S12" s="565" t="s">
        <v>716</v>
      </c>
      <c r="T12" s="566" t="s">
        <v>717</v>
      </c>
      <c r="U12" s="565" t="s">
        <v>716</v>
      </c>
      <c r="V12" s="567" t="s">
        <v>717</v>
      </c>
      <c r="W12" s="565" t="s">
        <v>718</v>
      </c>
      <c r="X12" s="566" t="s">
        <v>719</v>
      </c>
      <c r="Y12" s="568" t="s">
        <v>720</v>
      </c>
      <c r="AB12" s="569" t="s">
        <v>721</v>
      </c>
      <c r="AD12" s="570" t="s">
        <v>722</v>
      </c>
      <c r="AE12" s="571" t="s">
        <v>723</v>
      </c>
      <c r="AG12" s="570" t="s">
        <v>722</v>
      </c>
      <c r="AH12" s="571" t="s">
        <v>723</v>
      </c>
    </row>
    <row r="13" spans="1:44">
      <c r="A13" s="235" t="s">
        <v>739</v>
      </c>
      <c r="B13" s="602" t="str">
        <f>Nps</f>
        <v>0.05</v>
      </c>
      <c r="D13" s="147" t="s">
        <v>766</v>
      </c>
      <c r="G13" s="572">
        <v>1</v>
      </c>
      <c r="H13" s="573">
        <f>G13/1000</f>
        <v>1E-3</v>
      </c>
      <c r="I13" s="574">
        <f t="shared" ref="I13:I76" si="0">SQRT(1+(G13/pole1)^2)</f>
        <v>1.0000378884438228</v>
      </c>
      <c r="J13" s="575">
        <f t="shared" ref="J13:J76" si="1">ATAN(G13/pole1)</f>
        <v>8.7048546895346687E-3</v>
      </c>
      <c r="K13" s="575">
        <f t="shared" ref="K13:K76" si="2">SQRT(1+(G13/Zero1)^2)</f>
        <v>1.0000000000021496</v>
      </c>
      <c r="L13" s="576">
        <f t="shared" ref="L13:L76" si="3">ATAN(G13/Zero1)</f>
        <v>2.0734511489970285E-6</v>
      </c>
      <c r="M13" s="575">
        <f t="shared" ref="M13:M76" si="4">SQRT(1+(G13/z_RHP)^2)</f>
        <v>1.0000000001034057</v>
      </c>
      <c r="N13" s="576">
        <f t="shared" ref="N13:N76" si="5">-ATAN(G13/z_RHP)</f>
        <v>-1.4380934878694561E-5</v>
      </c>
      <c r="O13" s="574">
        <f t="shared" ref="O13:O76" si="6">SQRT(1+(G13/Pole2)^2)</f>
        <v>18.876063086015179</v>
      </c>
      <c r="P13" s="577">
        <f t="shared" ref="P13:P76" si="7">ATAN(G13/Pole2)</f>
        <v>1.517794366044795</v>
      </c>
      <c r="Q13" s="575">
        <f t="shared" ref="Q13:Q76" si="8">SQRT(1+(G13/Zero2)^2)</f>
        <v>1.000006190196707</v>
      </c>
      <c r="R13" s="576">
        <f t="shared" ref="R13:R76" si="9">ATAN(G13/Zero2)</f>
        <v>3.5185692475791504E-3</v>
      </c>
      <c r="S13" s="574">
        <f t="shared" ref="S13:S76" si="10">SQRT(1+(G13/pole4)^2)</f>
        <v>1.0000000001941252</v>
      </c>
      <c r="T13" s="577">
        <f t="shared" ref="T13:T76" si="11">ATAN(G13/pole4)</f>
        <v>1.9704069098249966E-5</v>
      </c>
      <c r="U13" s="578">
        <f>IMABS(IMPRODUCT(AO13, AR13))</f>
        <v>0.99959999922390219</v>
      </c>
      <c r="V13" s="579">
        <f>IMARGUMENT(IMPRODUCT(AO13, AR13))</f>
        <v>-4.8510223157264919E-5</v>
      </c>
      <c r="W13" s="580">
        <f t="shared" ref="W13:W76" si="12">20*LOG10(((K13*Q13*M13*U13)/(I13*O13*S13))*Adc)</f>
        <v>81.768094956951529</v>
      </c>
      <c r="X13" s="581">
        <f t="shared" ref="X13:X76" si="13">((L13+R13+N13+V13)-(J13+P13+T13))*radconv</f>
        <v>-87.264977267912954</v>
      </c>
      <c r="Y13" s="582">
        <f t="shared" ref="Y13:Y76" si="14">IF(X13&gt;0,X13,X13+180)</f>
        <v>92.735022732087046</v>
      </c>
      <c r="AA13" s="147">
        <f t="shared" ref="AA13:AA76" si="15">IF(W13&lt;0,G13,1000000000)</f>
        <v>1000000000</v>
      </c>
      <c r="AB13" s="147">
        <f t="shared" ref="AB13:AB76" si="16">G13^2</f>
        <v>1</v>
      </c>
      <c r="AD13" s="583">
        <f t="shared" ref="AD13:AD76" si="17">20*LOG10((Q13/(O13*S13))*Aea)</f>
        <v>79.587275464851061</v>
      </c>
      <c r="AE13" s="584">
        <f t="shared" ref="AE13:AE76" si="18">(R13-(P13+T13))*radconv</f>
        <v>-86.762741234429782</v>
      </c>
      <c r="AG13" s="583">
        <f t="shared" ref="AG13:AG76" si="19">20*LOG10((K13*M13/(I13*U13))*Acs*Am)</f>
        <v>57.290014935313003</v>
      </c>
      <c r="AH13" s="584">
        <f t="shared" ref="AH13:AH76" si="20">(L13+N13-(J13+V13))*radconv</f>
        <v>-0.49667717137652401</v>
      </c>
      <c r="AJ13" s="147">
        <f t="shared" ref="AJ13:AJ76" si="21">SUM((W14&lt;0)*(W13&gt;0))*G13</f>
        <v>0</v>
      </c>
      <c r="AK13" s="147">
        <f t="shared" ref="AK13:AK44" si="22">IF(AJ13&gt;0,Y11,0)</f>
        <v>0</v>
      </c>
      <c r="AM13" s="147" t="str">
        <f>IMSUB(1,IMEXP(COMPLEX(0,-2*Pi*G13*Tsw)))</f>
        <v>2.40126696304799E-09+0.000069300312492329i</v>
      </c>
      <c r="AN13" s="147" t="str">
        <f>COMPLEX(0, 2*Pi*G13*Tsw)</f>
        <v>0.0000693003125477985i</v>
      </c>
      <c r="AO13" s="147" t="str">
        <f>IMDIV(AM13, AN13)</f>
        <v>0.999999999199578-0.0000346501606524756i</v>
      </c>
      <c r="AP13" s="147" t="str">
        <f>IMDIV(IMEXP(COMPLEX(0,-2*Pi*G13*Tsw)),6)</f>
        <v>0.166666666266456-0.0000115500520820548i</v>
      </c>
      <c r="AQ13" s="147" t="str">
        <f>IMSUB(1, AP13)</f>
        <v>0.833333333733544+0.0000115500520820548i</v>
      </c>
      <c r="AR13" s="147" t="str">
        <f>IMDIV(0.833, AQ13)</f>
        <v>0.999599999327915-0.0000138545184574976i</v>
      </c>
    </row>
    <row r="14" spans="1:44">
      <c r="A14" s="235" t="s">
        <v>736</v>
      </c>
      <c r="B14" s="603">
        <f>Vout+Vfwd1</f>
        <v>170.7</v>
      </c>
      <c r="C14" s="147" t="s">
        <v>0</v>
      </c>
      <c r="D14" s="147" t="s">
        <v>763</v>
      </c>
      <c r="G14" s="585">
        <v>1.0965</v>
      </c>
      <c r="H14" s="573">
        <f t="shared" ref="H14:H77" si="23">G14/1000</f>
        <v>1.0965E-3</v>
      </c>
      <c r="I14" s="574">
        <f t="shared" si="0"/>
        <v>1.0000455535655581</v>
      </c>
      <c r="J14" s="575">
        <f t="shared" si="1"/>
        <v>9.5448243936151062E-3</v>
      </c>
      <c r="K14" s="575">
        <f t="shared" si="2"/>
        <v>1.0000000000025846</v>
      </c>
      <c r="L14" s="576">
        <f t="shared" si="3"/>
        <v>2.2735391848745829E-6</v>
      </c>
      <c r="M14" s="575">
        <f t="shared" si="4"/>
        <v>1.0000000001243259</v>
      </c>
      <c r="N14" s="576">
        <f t="shared" si="5"/>
        <v>-1.5768695094268662E-5</v>
      </c>
      <c r="O14" s="574">
        <f t="shared" si="6"/>
        <v>20.69271526143303</v>
      </c>
      <c r="P14" s="577">
        <f t="shared" si="7"/>
        <v>1.5224513109911022</v>
      </c>
      <c r="Q14" s="586">
        <f t="shared" si="8"/>
        <v>1.0000074425446703</v>
      </c>
      <c r="R14" s="587">
        <f t="shared" si="9"/>
        <v>3.8581079588561979E-3</v>
      </c>
      <c r="S14" s="574">
        <f t="shared" si="10"/>
        <v>1.0000000002333991</v>
      </c>
      <c r="T14" s="577">
        <f t="shared" si="11"/>
        <v>2.1605511765665402E-5</v>
      </c>
      <c r="U14" s="578">
        <f t="shared" ref="U14:U77" si="24">IMABS(IMPRODUCT(AO14, AR14))</f>
        <v>0.99959999906688735</v>
      </c>
      <c r="V14" s="579">
        <f t="shared" ref="V14:V77" si="25">IMARGUMENT(IMPRODUCT(AO14, AR14))</f>
        <v>-5.319145101448017E-5</v>
      </c>
      <c r="W14" s="580">
        <f t="shared" si="12"/>
        <v>80.969918025070072</v>
      </c>
      <c r="X14" s="581">
        <f t="shared" si="13"/>
        <v>-87.560918350766798</v>
      </c>
      <c r="Y14" s="584">
        <f t="shared" si="14"/>
        <v>92.439081649233202</v>
      </c>
      <c r="AA14" s="147">
        <f t="shared" si="15"/>
        <v>1000000000</v>
      </c>
      <c r="AB14" s="147">
        <f t="shared" si="16"/>
        <v>1.2023122500000001</v>
      </c>
      <c r="AD14" s="583">
        <f t="shared" si="17"/>
        <v>78.789165109772327</v>
      </c>
      <c r="AE14" s="584">
        <f t="shared" si="18"/>
        <v>-87.010219335063084</v>
      </c>
      <c r="AG14" s="583">
        <f t="shared" si="19"/>
        <v>57.289948361238991</v>
      </c>
      <c r="AH14" s="584">
        <f t="shared" si="20"/>
        <v>-0.54460372439813398</v>
      </c>
      <c r="AJ14" s="147">
        <f t="shared" si="21"/>
        <v>0</v>
      </c>
      <c r="AK14" s="147">
        <f t="shared" si="22"/>
        <v>0</v>
      </c>
      <c r="AM14" s="147" t="str">
        <f t="shared" ref="AM14:AM77" si="26">IMSUB(1,IMEXP(COMPLEX(0,-2*Pi*G14*Tsw)))</f>
        <v>2.88707202589222E-09+0.0000759877926355337i</v>
      </c>
      <c r="AN14" s="147" t="str">
        <f t="shared" ref="AN14:AN77" si="27">COMPLEX(0, 2*Pi*G14*Tsw)</f>
        <v>0.0000759877927086611i</v>
      </c>
      <c r="AO14" s="147" t="str">
        <f t="shared" ref="AO14:AO77" si="28">IMDIV(AM14, AN14)</f>
        <v>0.999999999037643-0.000037993892479037i</v>
      </c>
      <c r="AP14" s="147" t="str">
        <f t="shared" ref="AP14:AP77" si="29">IMDIV(IMEXP(COMPLEX(0,-2*Pi*G14*Tsw)),6)</f>
        <v>0.166666666185488-0.0000126646321059223i</v>
      </c>
      <c r="AQ14" s="147" t="str">
        <f t="shared" ref="AQ14:AQ77" si="30">IMSUB(1, AP14)</f>
        <v>0.833333333814512+0.0000126646321059223i</v>
      </c>
      <c r="AR14" s="147" t="str">
        <f t="shared" ref="AR14:AR77" si="31">IMDIV(0.833, AQ14)</f>
        <v>0.999599999191943-0.0000151914794826436i</v>
      </c>
    </row>
    <row r="15" spans="1:44">
      <c r="A15" s="235" t="s">
        <v>735</v>
      </c>
      <c r="B15" s="603">
        <f>'Design Converter'!E11+IF(MODE=2,ABS('Design Converter'!E13*'Design Converter'!L14),0)</f>
        <v>0.53500000000000003</v>
      </c>
      <c r="C15" s="147" t="s">
        <v>1</v>
      </c>
      <c r="G15" s="585">
        <v>1.2022999999999999</v>
      </c>
      <c r="H15" s="573">
        <f t="shared" si="23"/>
        <v>1.2022999999999999E-3</v>
      </c>
      <c r="I15" s="574">
        <f>SQRT(1+(G15/pole1)^2)</f>
        <v>1.0000547682415148</v>
      </c>
      <c r="J15" s="575">
        <f t="shared" si="1"/>
        <v>1.0465729023640248E-2</v>
      </c>
      <c r="K15" s="575">
        <f t="shared" si="2"/>
        <v>1.0000000000031073</v>
      </c>
      <c r="L15" s="576">
        <f t="shared" si="3"/>
        <v>2.4929103164375353E-6</v>
      </c>
      <c r="M15" s="575">
        <f t="shared" si="4"/>
        <v>1.0000000001494755</v>
      </c>
      <c r="N15" s="576">
        <f t="shared" si="5"/>
        <v>-1.7290198004123431E-5</v>
      </c>
      <c r="O15" s="574">
        <f t="shared" si="6"/>
        <v>22.684872896552974</v>
      </c>
      <c r="P15" s="577">
        <f t="shared" si="7"/>
        <v>1.5266997977079753</v>
      </c>
      <c r="Q15" s="586">
        <f t="shared" si="8"/>
        <v>1.0000089480735512</v>
      </c>
      <c r="R15" s="587">
        <f t="shared" si="9"/>
        <v>4.2303680285110824E-3</v>
      </c>
      <c r="S15" s="574">
        <f t="shared" si="10"/>
        <v>1.0000000002806129</v>
      </c>
      <c r="T15" s="577">
        <f t="shared" si="11"/>
        <v>2.3690202275459991E-5</v>
      </c>
      <c r="U15" s="578">
        <f t="shared" si="24"/>
        <v>0.99959999887812967</v>
      </c>
      <c r="V15" s="579">
        <f t="shared" si="25"/>
        <v>-5.8323839454505966E-5</v>
      </c>
      <c r="W15" s="580">
        <f t="shared" si="12"/>
        <v>80.171473696399545</v>
      </c>
      <c r="X15" s="581">
        <f t="shared" si="13"/>
        <v>-87.836261841857166</v>
      </c>
      <c r="Y15" s="584">
        <f t="shared" si="14"/>
        <v>92.163738158142834</v>
      </c>
      <c r="AA15" s="147">
        <f t="shared" si="15"/>
        <v>1000000000</v>
      </c>
      <c r="AB15" s="147">
        <f t="shared" si="16"/>
        <v>1.4455252899999997</v>
      </c>
      <c r="AD15" s="583">
        <f t="shared" si="17"/>
        <v>77.990800816162846</v>
      </c>
      <c r="AE15" s="584">
        <f t="shared" si="18"/>
        <v>-87.232430206606537</v>
      </c>
      <c r="AG15" s="583">
        <f t="shared" si="19"/>
        <v>57.289868329458315</v>
      </c>
      <c r="AH15" s="584">
        <f t="shared" si="20"/>
        <v>-0.59714821555150277</v>
      </c>
      <c r="AJ15" s="147">
        <f t="shared" si="21"/>
        <v>0</v>
      </c>
      <c r="AK15" s="147">
        <f t="shared" si="22"/>
        <v>0</v>
      </c>
      <c r="AM15" s="147" t="str">
        <f t="shared" si="26"/>
        <v>3.4710919694092E-09+0.0000833197656798147i</v>
      </c>
      <c r="AN15" s="147" t="str">
        <f t="shared" si="27"/>
        <v>0.0000833197657762182i</v>
      </c>
      <c r="AO15" s="147" t="str">
        <f t="shared" si="28"/>
        <v>0.99999999884297-0.0000416598863075531i</v>
      </c>
      <c r="AP15" s="147" t="str">
        <f t="shared" si="29"/>
        <v>0.166666666088151-0.0000138866276133024i</v>
      </c>
      <c r="AQ15" s="147" t="str">
        <f t="shared" si="30"/>
        <v>0.833333333911849+0.0000138866276133024i</v>
      </c>
      <c r="AR15" s="147" t="str">
        <f t="shared" si="31"/>
        <v>0.999599999028483-0.0000166572875269554i</v>
      </c>
    </row>
    <row r="16" spans="1:44">
      <c r="A16" s="235" t="s">
        <v>3</v>
      </c>
      <c r="B16" s="603">
        <f>VIN_nom</f>
        <v>12</v>
      </c>
      <c r="C16" s="147" t="s">
        <v>0</v>
      </c>
      <c r="G16" s="585">
        <v>1.3183</v>
      </c>
      <c r="H16" s="573">
        <f t="shared" si="23"/>
        <v>1.3183000000000001E-3</v>
      </c>
      <c r="I16" s="574">
        <f t="shared" si="0"/>
        <v>1.0000658459702507</v>
      </c>
      <c r="J16" s="575">
        <f t="shared" si="1"/>
        <v>1.1475396060896266E-2</v>
      </c>
      <c r="K16" s="575">
        <f t="shared" si="2"/>
        <v>1.0000000000037357</v>
      </c>
      <c r="L16" s="576">
        <f t="shared" si="3"/>
        <v>2.7334306497198921E-6</v>
      </c>
      <c r="M16" s="575">
        <f t="shared" si="4"/>
        <v>1.0000000001797102</v>
      </c>
      <c r="N16" s="576">
        <f t="shared" si="5"/>
        <v>-1.895838644961863E-5</v>
      </c>
      <c r="O16" s="574">
        <f t="shared" si="6"/>
        <v>24.869482638026174</v>
      </c>
      <c r="P16" s="577">
        <f t="shared" si="7"/>
        <v>1.5305755596882988</v>
      </c>
      <c r="Q16" s="586">
        <f t="shared" si="8"/>
        <v>1.0000107580104587</v>
      </c>
      <c r="R16" s="587">
        <f t="shared" si="9"/>
        <v>4.6385157138992879E-3</v>
      </c>
      <c r="S16" s="574">
        <f t="shared" si="10"/>
        <v>1.000000000337373</v>
      </c>
      <c r="T16" s="577">
        <f t="shared" si="11"/>
        <v>2.5975874289742272E-5</v>
      </c>
      <c r="U16" s="578">
        <f t="shared" si="24"/>
        <v>0.99959999865120663</v>
      </c>
      <c r="V16" s="579">
        <f t="shared" si="25"/>
        <v>-6.3951020618638563E-5</v>
      </c>
      <c r="W16" s="580">
        <f t="shared" si="12"/>
        <v>79.372785191957448</v>
      </c>
      <c r="X16" s="581">
        <f t="shared" si="13"/>
        <v>-88.093326338626596</v>
      </c>
      <c r="Y16" s="584">
        <f t="shared" si="14"/>
        <v>91.906673661373404</v>
      </c>
      <c r="AA16" s="147">
        <f t="shared" si="15"/>
        <v>1000000000</v>
      </c>
      <c r="AB16" s="147">
        <f t="shared" si="16"/>
        <v>1.7379148900000001</v>
      </c>
      <c r="AD16" s="583">
        <f t="shared" si="17"/>
        <v>77.192208527551344</v>
      </c>
      <c r="AE16" s="584">
        <f t="shared" si="18"/>
        <v>-87.431240830272515</v>
      </c>
      <c r="AG16" s="583">
        <f t="shared" si="19"/>
        <v>57.28977211757136</v>
      </c>
      <c r="AH16" s="584">
        <f t="shared" si="20"/>
        <v>-0.65475726119169342</v>
      </c>
      <c r="AJ16" s="147">
        <f t="shared" si="21"/>
        <v>0</v>
      </c>
      <c r="AK16" s="147">
        <f t="shared" si="22"/>
        <v>0</v>
      </c>
      <c r="AM16" s="147" t="str">
        <f t="shared" si="26"/>
        <v>4.17319701018215E-09+0.000091358601904677i</v>
      </c>
      <c r="AN16" s="147" t="str">
        <f t="shared" si="27"/>
        <v>0.0000913586020317628i</v>
      </c>
      <c r="AO16" s="147" t="str">
        <f t="shared" si="28"/>
        <v>0.999999998608935-0.0000456793002232154i</v>
      </c>
      <c r="AP16" s="147" t="str">
        <f t="shared" si="29"/>
        <v>0.166666665971134-0.0000152264336507795i</v>
      </c>
      <c r="AQ16" s="147" t="str">
        <f t="shared" si="30"/>
        <v>0.833333334028866+0.0000152264336507795i</v>
      </c>
      <c r="AR16" s="147" t="str">
        <f t="shared" si="31"/>
        <v>0.999599998831972-0.000018264411656197i</v>
      </c>
    </row>
    <row r="17" spans="1:44">
      <c r="G17" s="585">
        <v>1.4454</v>
      </c>
      <c r="H17" s="573">
        <f t="shared" si="23"/>
        <v>1.4454000000000001E-3</v>
      </c>
      <c r="I17" s="574">
        <f t="shared" si="0"/>
        <v>1.0000791541898688</v>
      </c>
      <c r="J17" s="575">
        <f t="shared" si="1"/>
        <v>1.2581650850873692E-2</v>
      </c>
      <c r="K17" s="575">
        <f t="shared" si="2"/>
        <v>1.0000000000044909</v>
      </c>
      <c r="L17" s="576">
        <f t="shared" si="3"/>
        <v>2.9969662907556268E-6</v>
      </c>
      <c r="M17" s="575">
        <f t="shared" si="4"/>
        <v>1.000000000216033</v>
      </c>
      <c r="N17" s="576">
        <f t="shared" si="5"/>
        <v>-2.0786203272104383E-5</v>
      </c>
      <c r="O17" s="574">
        <f t="shared" si="6"/>
        <v>27.263493812685205</v>
      </c>
      <c r="P17" s="577">
        <f t="shared" si="7"/>
        <v>1.5341090126668642</v>
      </c>
      <c r="Q17" s="586">
        <f t="shared" si="8"/>
        <v>1.0000129323987406</v>
      </c>
      <c r="R17" s="587">
        <f t="shared" si="9"/>
        <v>5.0857171312715535E-3</v>
      </c>
      <c r="S17" s="574">
        <f t="shared" si="10"/>
        <v>1.0000000004055627</v>
      </c>
      <c r="T17" s="577">
        <f t="shared" si="11"/>
        <v>2.848026147059597E-5</v>
      </c>
      <c r="U17" s="578">
        <f t="shared" si="24"/>
        <v>0.99959999837859237</v>
      </c>
      <c r="V17" s="579">
        <f t="shared" si="25"/>
        <v>-7.0116669158360847E-5</v>
      </c>
      <c r="W17" s="580">
        <f t="shared" si="12"/>
        <v>78.574393307449199</v>
      </c>
      <c r="X17" s="581">
        <f t="shared" si="13"/>
        <v>-88.334125641570282</v>
      </c>
      <c r="Y17" s="584">
        <f t="shared" si="14"/>
        <v>91.665874358429718</v>
      </c>
      <c r="AA17" s="147">
        <f t="shared" si="15"/>
        <v>1000000000</v>
      </c>
      <c r="AB17" s="147">
        <f t="shared" si="16"/>
        <v>2.0891811599999999</v>
      </c>
      <c r="AD17" s="583">
        <f t="shared" si="17"/>
        <v>76.393932230436818</v>
      </c>
      <c r="AE17" s="584">
        <f t="shared" si="18"/>
        <v>-87.608213510262487</v>
      </c>
      <c r="AG17" s="583">
        <f t="shared" si="19"/>
        <v>57.289656534915324</v>
      </c>
      <c r="AH17" s="584">
        <f t="shared" si="20"/>
        <v>-0.71787735286603827</v>
      </c>
      <c r="AJ17" s="147">
        <f t="shared" si="21"/>
        <v>0</v>
      </c>
      <c r="AK17" s="147">
        <f t="shared" si="22"/>
        <v>0</v>
      </c>
      <c r="AM17" s="147" t="str">
        <f t="shared" si="26"/>
        <v>5.01668095953534E-09+0.000100166671589087i</v>
      </c>
      <c r="AN17" s="147" t="str">
        <f t="shared" si="27"/>
        <v>0.000100166671756588i</v>
      </c>
      <c r="AO17" s="147" t="str">
        <f t="shared" si="28"/>
        <v>0.999999998327777-0.0000500833348214486i</v>
      </c>
      <c r="AP17" s="147" t="str">
        <f t="shared" si="29"/>
        <v>0.166666665830553-0.0000166944452648478i</v>
      </c>
      <c r="AQ17" s="147" t="str">
        <f t="shared" si="30"/>
        <v>0.833333334169447+0.0000166944452648478i</v>
      </c>
      <c r="AR17" s="147" t="str">
        <f t="shared" si="31"/>
        <v>0.999599998595891-0.0000200253209358691i</v>
      </c>
    </row>
    <row r="18" spans="1:44">
      <c r="A18" s="147" t="s">
        <v>742</v>
      </c>
      <c r="B18" s="607">
        <f>Vout_eff*Npri_sec/Vin_eff</f>
        <v>0.71125000000000005</v>
      </c>
      <c r="C18" s="147" t="s">
        <v>686</v>
      </c>
      <c r="G18" s="585">
        <v>1.5849</v>
      </c>
      <c r="H18" s="573">
        <f t="shared" si="23"/>
        <v>1.5849E-3</v>
      </c>
      <c r="I18" s="574">
        <f t="shared" si="0"/>
        <v>1.0000951695598672</v>
      </c>
      <c r="J18" s="575">
        <f t="shared" si="1"/>
        <v>1.379579738730587E-2</v>
      </c>
      <c r="K18" s="575">
        <f t="shared" si="2"/>
        <v>1.0000000000053997</v>
      </c>
      <c r="L18" s="576">
        <f t="shared" si="3"/>
        <v>3.28621272603827E-6</v>
      </c>
      <c r="M18" s="575">
        <f t="shared" si="4"/>
        <v>1.0000000002597456</v>
      </c>
      <c r="N18" s="576">
        <f t="shared" si="5"/>
        <v>-2.2792343686867439E-5</v>
      </c>
      <c r="O18" s="574">
        <f t="shared" si="6"/>
        <v>29.891393051896138</v>
      </c>
      <c r="P18" s="577">
        <f t="shared" si="7"/>
        <v>1.5373356371040561</v>
      </c>
      <c r="Q18" s="586">
        <f t="shared" si="8"/>
        <v>1.0000155491319302</v>
      </c>
      <c r="R18" s="587">
        <f t="shared" si="9"/>
        <v>5.5765456069709228E-3</v>
      </c>
      <c r="S18" s="574">
        <f t="shared" si="10"/>
        <v>1.0000000004876246</v>
      </c>
      <c r="T18" s="577">
        <f t="shared" si="11"/>
        <v>3.1228979107705916E-5</v>
      </c>
      <c r="U18" s="578">
        <f t="shared" si="24"/>
        <v>0.99959999805050959</v>
      </c>
      <c r="V18" s="579">
        <f t="shared" si="25"/>
        <v>-7.6883845941694816E-5</v>
      </c>
      <c r="W18" s="580">
        <f t="shared" si="12"/>
        <v>77.774984028255801</v>
      </c>
      <c r="X18" s="581">
        <f t="shared" si="13"/>
        <v>-88.561084267647573</v>
      </c>
      <c r="Y18" s="584">
        <f t="shared" si="14"/>
        <v>91.438915732352427</v>
      </c>
      <c r="AA18" s="147">
        <f t="shared" si="15"/>
        <v>1000000000</v>
      </c>
      <c r="AB18" s="147">
        <f t="shared" si="16"/>
        <v>2.51190801</v>
      </c>
      <c r="AD18" s="583">
        <f t="shared" si="17"/>
        <v>75.59466204931914</v>
      </c>
      <c r="AE18" s="584">
        <f t="shared" si="18"/>
        <v>-87.765120562563922</v>
      </c>
      <c r="AG18" s="583">
        <f t="shared" si="19"/>
        <v>57.289517442541246</v>
      </c>
      <c r="AH18" s="584">
        <f t="shared" si="20"/>
        <v>-0.78715346530318009</v>
      </c>
      <c r="AJ18" s="147">
        <f t="shared" si="21"/>
        <v>0</v>
      </c>
      <c r="AK18" s="147">
        <f t="shared" si="22"/>
        <v>0</v>
      </c>
      <c r="AM18" s="147" t="str">
        <f t="shared" si="26"/>
        <v>6.03176097957459E-09+0.000109834065136175i</v>
      </c>
      <c r="AN18" s="147" t="str">
        <f t="shared" si="27"/>
        <v>0.000109834065357006i</v>
      </c>
      <c r="AO18" s="147" t="str">
        <f t="shared" si="28"/>
        <v>0.999999997989412-0.0000549170328892851i</v>
      </c>
      <c r="AP18" s="147" t="str">
        <f t="shared" si="29"/>
        <v>0.166666665661373-0.0000183056775226958i</v>
      </c>
      <c r="AQ18" s="147" t="str">
        <f t="shared" si="30"/>
        <v>0.833333334338627+0.0000183056775226958i</v>
      </c>
      <c r="AR18" s="147" t="str">
        <f t="shared" si="31"/>
        <v>0.999599998311782-0.0000219580262384502i</v>
      </c>
    </row>
    <row r="19" spans="1:44">
      <c r="A19" s="147" t="s">
        <v>759</v>
      </c>
      <c r="B19" s="147">
        <f>1/'Calculations - Single'!AQ105/1000*0+1/CHOOSE(MODE, 'Calculations - Single'!AQ105,'Calculations - Dual'!AP105)/1000</f>
        <v>1.1029487312398461E-5</v>
      </c>
      <c r="C19" s="147" t="s">
        <v>51</v>
      </c>
      <c r="G19" s="585">
        <v>1.7378</v>
      </c>
      <c r="H19" s="573">
        <f t="shared" si="23"/>
        <v>1.7378000000000001E-3</v>
      </c>
      <c r="I19" s="574">
        <f t="shared" si="0"/>
        <v>1.0001144167839917</v>
      </c>
      <c r="J19" s="575">
        <f t="shared" si="1"/>
        <v>1.5126524764328513E-2</v>
      </c>
      <c r="K19" s="575">
        <f t="shared" si="2"/>
        <v>1.0000000000064917</v>
      </c>
      <c r="L19" s="576">
        <f t="shared" si="3"/>
        <v>3.6032434067166057E-6</v>
      </c>
      <c r="M19" s="575">
        <f t="shared" si="4"/>
        <v>1.0000000003122798</v>
      </c>
      <c r="N19" s="576">
        <f t="shared" si="5"/>
        <v>-2.4991188628715398E-5</v>
      </c>
      <c r="O19" s="574">
        <f t="shared" si="6"/>
        <v>32.772018714013619</v>
      </c>
      <c r="P19" s="577">
        <f t="shared" si="7"/>
        <v>1.5402777537357457</v>
      </c>
      <c r="Q19" s="586">
        <f t="shared" si="8"/>
        <v>1.0000186939604925</v>
      </c>
      <c r="R19" s="587">
        <f t="shared" si="9"/>
        <v>6.1145186690309316E-3</v>
      </c>
      <c r="S19" s="574">
        <f t="shared" si="10"/>
        <v>1.0000000005862479</v>
      </c>
      <c r="T19" s="577">
        <f t="shared" si="11"/>
        <v>3.4241731269987475E-5</v>
      </c>
      <c r="U19" s="578">
        <f t="shared" si="24"/>
        <v>0.99959999765621854</v>
      </c>
      <c r="V19" s="579">
        <f t="shared" si="25"/>
        <v>-8.4301054468726328E-5</v>
      </c>
      <c r="W19" s="580">
        <f t="shared" si="12"/>
        <v>76.975703399655998</v>
      </c>
      <c r="X19" s="581">
        <f t="shared" si="13"/>
        <v>-88.775782022905062</v>
      </c>
      <c r="Y19" s="584">
        <f t="shared" si="14"/>
        <v>91.224217977094938</v>
      </c>
      <c r="AA19" s="147">
        <f t="shared" si="15"/>
        <v>1000000000</v>
      </c>
      <c r="AB19" s="147">
        <f t="shared" si="16"/>
        <v>3.0199488400000001</v>
      </c>
      <c r="AD19" s="583">
        <f t="shared" si="17"/>
        <v>74.795548585426872</v>
      </c>
      <c r="AE19" s="584">
        <f t="shared" si="18"/>
        <v>-87.903040460588429</v>
      </c>
      <c r="AG19" s="583">
        <f t="shared" si="19"/>
        <v>57.289350284685987</v>
      </c>
      <c r="AH19" s="584">
        <f t="shared" si="20"/>
        <v>-0.86308137304647725</v>
      </c>
      <c r="AJ19" s="147">
        <f t="shared" si="21"/>
        <v>0</v>
      </c>
      <c r="AK19" s="147">
        <f t="shared" si="22"/>
        <v>0</v>
      </c>
      <c r="AM19" s="147" t="str">
        <f t="shared" si="26"/>
        <v>7.25170201665293E-09+0.000120430082854456i</v>
      </c>
      <c r="AN19" s="147" t="str">
        <f t="shared" si="27"/>
        <v>0.000120430083145564i</v>
      </c>
      <c r="AO19" s="147" t="str">
        <f t="shared" si="28"/>
        <v>0.999999997582763-0.0000602150378646487i</v>
      </c>
      <c r="AP19" s="147" t="str">
        <f t="shared" si="29"/>
        <v>0.16666666545805-0.0000200716804757427i</v>
      </c>
      <c r="AQ19" s="147" t="str">
        <f t="shared" si="30"/>
        <v>0.83333333454195+0.0000200716804757427i</v>
      </c>
      <c r="AR19" s="147" t="str">
        <f t="shared" si="31"/>
        <v>0.999599997970336-0.0000240763820804574i</v>
      </c>
    </row>
    <row r="20" spans="1:44">
      <c r="G20" s="585">
        <v>1.9055</v>
      </c>
      <c r="H20" s="573">
        <f t="shared" si="23"/>
        <v>1.9055000000000001E-3</v>
      </c>
      <c r="I20" s="574">
        <f t="shared" si="0"/>
        <v>1.0001375634411136</v>
      </c>
      <c r="J20" s="575">
        <f t="shared" si="1"/>
        <v>1.6585998505620602E-2</v>
      </c>
      <c r="K20" s="575">
        <f t="shared" si="2"/>
        <v>1.0000000000078051</v>
      </c>
      <c r="L20" s="576">
        <f t="shared" si="3"/>
        <v>3.9509611643989408E-6</v>
      </c>
      <c r="M20" s="575">
        <f t="shared" si="4"/>
        <v>1.0000000003754586</v>
      </c>
      <c r="N20" s="576">
        <f t="shared" si="5"/>
        <v>-2.740287140638246E-5</v>
      </c>
      <c r="O20" s="574">
        <f t="shared" si="6"/>
        <v>35.931746734160576</v>
      </c>
      <c r="P20" s="577">
        <f t="shared" si="7"/>
        <v>1.5429621905292261</v>
      </c>
      <c r="Q20" s="586">
        <f t="shared" si="8"/>
        <v>1.0000224759894576</v>
      </c>
      <c r="R20" s="587">
        <f t="shared" si="9"/>
        <v>6.7045609089057276E-3</v>
      </c>
      <c r="S20" s="574">
        <f t="shared" si="10"/>
        <v>1.0000000007048548</v>
      </c>
      <c r="T20" s="577">
        <f t="shared" si="11"/>
        <v>3.7546103653931368E-5</v>
      </c>
      <c r="U20" s="578">
        <f t="shared" si="24"/>
        <v>0.99959999718203973</v>
      </c>
      <c r="V20" s="579">
        <f t="shared" si="25"/>
        <v>-9.243622365377056E-5</v>
      </c>
      <c r="W20" s="580">
        <f t="shared" si="12"/>
        <v>76.176032506721029</v>
      </c>
      <c r="X20" s="581">
        <f t="shared" si="13"/>
        <v>-88.980177371317794</v>
      </c>
      <c r="Y20" s="584">
        <f t="shared" si="14"/>
        <v>91.019822628682206</v>
      </c>
      <c r="AA20" s="147">
        <f t="shared" si="15"/>
        <v>1000000000</v>
      </c>
      <c r="AB20" s="147">
        <f t="shared" si="16"/>
        <v>3.63093025</v>
      </c>
      <c r="AD20" s="583">
        <f t="shared" si="17"/>
        <v>73.996078720034276</v>
      </c>
      <c r="AE20" s="584">
        <f t="shared" si="18"/>
        <v>-88.023229755874084</v>
      </c>
      <c r="AG20" s="583">
        <f t="shared" si="19"/>
        <v>57.289149265384253</v>
      </c>
      <c r="AH20" s="584">
        <f t="shared" si="20"/>
        <v>-0.94635520445261623</v>
      </c>
      <c r="AJ20" s="147">
        <f t="shared" si="21"/>
        <v>0</v>
      </c>
      <c r="AK20" s="147">
        <f t="shared" si="22"/>
        <v>0</v>
      </c>
      <c r="AM20" s="147" t="str">
        <f t="shared" si="26"/>
        <v>8.71883198971801E-09+0.000132051745176051i</v>
      </c>
      <c r="AN20" s="147" t="str">
        <f t="shared" si="27"/>
        <v>0.00013205174555983i</v>
      </c>
      <c r="AO20" s="147" t="str">
        <f t="shared" si="28"/>
        <v>0.999999997093723-0.0000660258745748096i</v>
      </c>
      <c r="AP20" s="147" t="str">
        <f t="shared" si="29"/>
        <v>0.166666665213528-0.0000220086241960085i</v>
      </c>
      <c r="AQ20" s="147" t="str">
        <f t="shared" si="30"/>
        <v>0.833333334786472+0.0000220086241960085i</v>
      </c>
      <c r="AR20" s="147" t="str">
        <f t="shared" si="31"/>
        <v>0.999599997559704-0.000026399784785112i</v>
      </c>
    </row>
    <row r="21" spans="1:44">
      <c r="A21" s="235" t="s">
        <v>738</v>
      </c>
      <c r="B21" s="609">
        <f>Vout_eff/Iout_eff</f>
        <v>319.06542056074761</v>
      </c>
      <c r="C21" s="600" t="s">
        <v>45</v>
      </c>
      <c r="D21" s="600"/>
      <c r="E21" s="600"/>
      <c r="G21" s="585">
        <v>2.0893000000000002</v>
      </c>
      <c r="H21" s="573">
        <f t="shared" si="23"/>
        <v>2.0893000000000001E-3</v>
      </c>
      <c r="I21" s="574">
        <f t="shared" si="0"/>
        <v>1.0001653791264917</v>
      </c>
      <c r="J21" s="575">
        <f t="shared" si="1"/>
        <v>1.8185507297196472E-2</v>
      </c>
      <c r="K21" s="575">
        <f t="shared" si="2"/>
        <v>1.0000000000093834</v>
      </c>
      <c r="L21" s="576">
        <f t="shared" si="3"/>
        <v>4.3320614855786001E-6</v>
      </c>
      <c r="M21" s="575">
        <f t="shared" si="4"/>
        <v>1.0000000004513836</v>
      </c>
      <c r="N21" s="576">
        <f t="shared" si="5"/>
        <v>-3.0046087235086295E-5</v>
      </c>
      <c r="O21" s="574">
        <f t="shared" si="6"/>
        <v>39.395071130085363</v>
      </c>
      <c r="P21" s="577">
        <f t="shared" si="7"/>
        <v>1.5454097138826624</v>
      </c>
      <c r="Q21" s="586">
        <f t="shared" si="8"/>
        <v>1.0000270210073194</v>
      </c>
      <c r="R21" s="587">
        <f t="shared" si="9"/>
        <v>7.3512446412448357E-3</v>
      </c>
      <c r="S21" s="574">
        <f t="shared" si="10"/>
        <v>1.0000000008473902</v>
      </c>
      <c r="T21" s="577">
        <f t="shared" si="11"/>
        <v>4.1167711549044702E-5</v>
      </c>
      <c r="U21" s="578">
        <f t="shared" si="24"/>
        <v>0.9995999966121909</v>
      </c>
      <c r="V21" s="579">
        <f t="shared" si="25"/>
        <v>-1.0135240013009574E-4</v>
      </c>
      <c r="W21" s="580">
        <f t="shared" si="12"/>
        <v>75.376559228850311</v>
      </c>
      <c r="X21" s="581">
        <f t="shared" si="13"/>
        <v>-89.175850956261826</v>
      </c>
      <c r="Y21" s="584">
        <f t="shared" si="14"/>
        <v>90.824149043738174</v>
      </c>
      <c r="AA21" s="147">
        <f t="shared" si="15"/>
        <v>1000000000</v>
      </c>
      <c r="AB21" s="147">
        <f t="shared" si="16"/>
        <v>4.3651744900000002</v>
      </c>
      <c r="AD21" s="583">
        <f t="shared" si="17"/>
        <v>73.196847013824893</v>
      </c>
      <c r="AE21" s="584">
        <f t="shared" si="18"/>
        <v>-88.126617768708471</v>
      </c>
      <c r="AG21" s="583">
        <f t="shared" si="19"/>
        <v>57.288907703626165</v>
      </c>
      <c r="AH21" s="584">
        <f t="shared" si="20"/>
        <v>-1.037619057998133</v>
      </c>
      <c r="AJ21" s="147">
        <f t="shared" si="21"/>
        <v>0</v>
      </c>
      <c r="AK21" s="147">
        <f t="shared" si="22"/>
        <v>0</v>
      </c>
      <c r="AM21" s="147" t="str">
        <f t="shared" si="26"/>
        <v>1.04819479762597E-08+0.000144789142500224i</v>
      </c>
      <c r="AN21" s="147" t="str">
        <f t="shared" si="27"/>
        <v>0.000144789143006115i</v>
      </c>
      <c r="AO21" s="147" t="str">
        <f t="shared" si="28"/>
        <v>0.999999996506016-0.0000723945715723796i</v>
      </c>
      <c r="AP21" s="147" t="str">
        <f t="shared" si="29"/>
        <v>0.166666664919675-0.0000241315237500373i</v>
      </c>
      <c r="AQ21" s="147" t="str">
        <f t="shared" si="30"/>
        <v>0.833333335080325+0.0000241315237500373i</v>
      </c>
      <c r="AR21" s="147" t="str">
        <f t="shared" si="31"/>
        <v>0.999599997066228-0.0000289462452230065i</v>
      </c>
    </row>
    <row r="22" spans="1:44">
      <c r="A22" s="147" t="s">
        <v>737</v>
      </c>
      <c r="B22" s="609">
        <f>Rload_sec*(Npri_sec^2)</f>
        <v>0.79766355140186918</v>
      </c>
      <c r="C22" s="600" t="s">
        <v>45</v>
      </c>
      <c r="D22" s="600"/>
      <c r="E22" s="600"/>
      <c r="G22" s="585">
        <v>2.2909000000000002</v>
      </c>
      <c r="H22" s="573">
        <f t="shared" si="23"/>
        <v>2.2909000000000002E-3</v>
      </c>
      <c r="I22" s="574">
        <f t="shared" si="0"/>
        <v>1.0001988309952252</v>
      </c>
      <c r="J22" s="575">
        <f t="shared" si="1"/>
        <v>1.9939812236334977E-2</v>
      </c>
      <c r="K22" s="575">
        <f t="shared" si="2"/>
        <v>1.0000000000112816</v>
      </c>
      <c r="L22" s="576">
        <f t="shared" si="3"/>
        <v>4.7500692372083741E-6</v>
      </c>
      <c r="M22" s="575">
        <f t="shared" si="4"/>
        <v>1.0000000005426959</v>
      </c>
      <c r="N22" s="576">
        <f t="shared" si="5"/>
        <v>-3.2945283703953007E-5</v>
      </c>
      <c r="O22" s="574">
        <f t="shared" si="6"/>
        <v>43.194024837974212</v>
      </c>
      <c r="P22" s="577">
        <f>ATAN(G22/Pole2)</f>
        <v>1.5476429078638956</v>
      </c>
      <c r="Q22" s="586">
        <f t="shared" si="8"/>
        <v>1.000032487104402</v>
      </c>
      <c r="R22" s="587">
        <f t="shared" si="9"/>
        <v>8.0605489783694487E-3</v>
      </c>
      <c r="S22" s="574">
        <f t="shared" si="10"/>
        <v>1.0000000010188121</v>
      </c>
      <c r="T22" s="577">
        <f t="shared" si="11"/>
        <v>4.5140051872363242E-5</v>
      </c>
      <c r="U22" s="578">
        <f t="shared" si="24"/>
        <v>0.99959999592686288</v>
      </c>
      <c r="V22" s="579">
        <f t="shared" si="25"/>
        <v>-1.1113205745124609E-4</v>
      </c>
      <c r="W22" s="580">
        <f t="shared" si="12"/>
        <v>74.576680497954243</v>
      </c>
      <c r="X22" s="581">
        <f t="shared" si="13"/>
        <v>-89.364607763586804</v>
      </c>
      <c r="Y22" s="584">
        <f t="shared" si="14"/>
        <v>90.635392236413196</v>
      </c>
      <c r="AA22" s="147">
        <f t="shared" si="15"/>
        <v>1000000000</v>
      </c>
      <c r="AB22" s="147">
        <f t="shared" si="16"/>
        <v>5.2482228100000006</v>
      </c>
      <c r="AD22" s="583">
        <f t="shared" si="17"/>
        <v>72.397258794411627</v>
      </c>
      <c r="AE22" s="584">
        <f t="shared" si="18"/>
        <v>-88.214157812194941</v>
      </c>
      <c r="AG22" s="583">
        <f t="shared" si="19"/>
        <v>57.288617204053487</v>
      </c>
      <c r="AH22" s="584">
        <f t="shared" si="20"/>
        <v>-1.1377151556561877</v>
      </c>
      <c r="AJ22" s="147">
        <f t="shared" si="21"/>
        <v>0</v>
      </c>
      <c r="AK22" s="147">
        <f t="shared" si="22"/>
        <v>0</v>
      </c>
      <c r="AM22" s="147" t="str">
        <f t="shared" si="26"/>
        <v>1.26023820268273E-08+0.000158760085348834i</v>
      </c>
      <c r="AN22" s="147" t="str">
        <f t="shared" si="27"/>
        <v>0.000158760086015752i</v>
      </c>
      <c r="AO22" s="147" t="str">
        <f t="shared" si="28"/>
        <v>0.999999995799209-0.0000793800403054512i</v>
      </c>
      <c r="AP22" s="147" t="str">
        <f t="shared" si="29"/>
        <v>0.16666666456627-0.0000264600142248057i</v>
      </c>
      <c r="AQ22" s="147" t="str">
        <f t="shared" si="30"/>
        <v>0.83333333543373+0.0000264600142248057i</v>
      </c>
      <c r="AR22" s="147" t="str">
        <f t="shared" si="31"/>
        <v>0.999599996472745-0.0000317393160709433i</v>
      </c>
    </row>
    <row r="23" spans="1:44">
      <c r="G23" s="585">
        <v>2.5118999999999998</v>
      </c>
      <c r="H23" s="573">
        <f t="shared" si="23"/>
        <v>2.5118999999999996E-3</v>
      </c>
      <c r="I23" s="574">
        <f t="shared" si="0"/>
        <v>1.0002390384608424</v>
      </c>
      <c r="J23" s="575">
        <f t="shared" si="1"/>
        <v>2.1862792794989976E-2</v>
      </c>
      <c r="K23" s="575">
        <f t="shared" si="2"/>
        <v>1.0000000000135632</v>
      </c>
      <c r="L23" s="576">
        <f t="shared" si="3"/>
        <v>5.2083019411260045E-6</v>
      </c>
      <c r="M23" s="575">
        <f t="shared" si="4"/>
        <v>1.0000000006524525</v>
      </c>
      <c r="N23" s="576">
        <f t="shared" si="5"/>
        <v>-3.6123470308570537E-5</v>
      </c>
      <c r="O23" s="574">
        <f t="shared" si="6"/>
        <v>47.358758351516279</v>
      </c>
      <c r="P23" s="577">
        <f t="shared" si="7"/>
        <v>1.5496793389372379</v>
      </c>
      <c r="Q23" s="586">
        <f t="shared" si="8"/>
        <v>1.0000390572808688</v>
      </c>
      <c r="R23" s="587">
        <f t="shared" si="9"/>
        <v>8.8381004390246688E-3</v>
      </c>
      <c r="S23" s="574">
        <f t="shared" si="10"/>
        <v>1.0000000012248602</v>
      </c>
      <c r="T23" s="577">
        <f t="shared" si="11"/>
        <v>4.9494651133883503E-5</v>
      </c>
      <c r="U23" s="578">
        <f t="shared" si="24"/>
        <v>0.99959999510309194</v>
      </c>
      <c r="V23" s="579">
        <f t="shared" si="25"/>
        <v>-1.2185281839165242E-4</v>
      </c>
      <c r="W23" s="580">
        <f t="shared" si="12"/>
        <v>73.776855716966281</v>
      </c>
      <c r="X23" s="581">
        <f t="shared" si="13"/>
        <v>-89.547934519008137</v>
      </c>
      <c r="Y23" s="584">
        <f t="shared" si="14"/>
        <v>90.452065480991863</v>
      </c>
      <c r="AA23" s="147">
        <f t="shared" si="15"/>
        <v>1000000000</v>
      </c>
      <c r="AB23" s="147">
        <f t="shared" si="16"/>
        <v>6.309641609999999</v>
      </c>
      <c r="AD23" s="583">
        <f t="shared" si="17"/>
        <v>71.597783180774087</v>
      </c>
      <c r="AE23" s="584">
        <f t="shared" si="18"/>
        <v>-88.28653580115882</v>
      </c>
      <c r="AG23" s="583">
        <f t="shared" si="19"/>
        <v>57.288268051019173</v>
      </c>
      <c r="AH23" s="584">
        <f t="shared" si="20"/>
        <v>-1.2474354134021284</v>
      </c>
      <c r="AJ23" s="147">
        <f t="shared" si="21"/>
        <v>0</v>
      </c>
      <c r="AK23" s="147">
        <f t="shared" si="22"/>
        <v>0</v>
      </c>
      <c r="AM23" s="147" t="str">
        <f t="shared" si="26"/>
        <v>1.51511320156672E-08+0.000174075454209668i</v>
      </c>
      <c r="AN23" s="147" t="str">
        <f t="shared" si="27"/>
        <v>0.000174075455088815i</v>
      </c>
      <c r="AO23" s="147" t="str">
        <f t="shared" si="28"/>
        <v>0.999999994949621-0.0000870377274494956i</v>
      </c>
      <c r="AP23" s="147" t="str">
        <f t="shared" si="29"/>
        <v>0.166666664141478-0.0000290125757016113i</v>
      </c>
      <c r="AQ23" s="147" t="str">
        <f t="shared" si="30"/>
        <v>0.833333335858522+0.0000290125757016113i</v>
      </c>
      <c r="AR23" s="147" t="str">
        <f t="shared" si="31"/>
        <v>0.99959999575938-0.0000348011645525038i</v>
      </c>
    </row>
    <row r="24" spans="1:44">
      <c r="D24" s="604"/>
      <c r="G24" s="585">
        <v>2.7542</v>
      </c>
      <c r="H24" s="573">
        <f t="shared" si="23"/>
        <v>2.7542000000000001E-3</v>
      </c>
      <c r="I24" s="574">
        <f t="shared" si="0"/>
        <v>1.0002873714013596</v>
      </c>
      <c r="J24" s="575">
        <f t="shared" si="1"/>
        <v>2.3970924038484269E-2</v>
      </c>
      <c r="K24" s="575">
        <f t="shared" si="2"/>
        <v>1.0000000000163061</v>
      </c>
      <c r="L24" s="576">
        <f t="shared" si="3"/>
        <v>5.7106991545137199E-6</v>
      </c>
      <c r="M24" s="575">
        <f t="shared" si="4"/>
        <v>1.0000000007843957</v>
      </c>
      <c r="N24" s="576">
        <f t="shared" si="5"/>
        <v>-3.9607970824918803E-5</v>
      </c>
      <c r="O24" s="574">
        <f t="shared" si="6"/>
        <v>51.925077011504193</v>
      </c>
      <c r="P24" s="577">
        <f t="shared" si="7"/>
        <v>1.5515366187124247</v>
      </c>
      <c r="Q24" s="586">
        <f t="shared" si="8"/>
        <v>1.0000469555082603</v>
      </c>
      <c r="R24" s="587">
        <f t="shared" si="9"/>
        <v>9.6905800635589037E-3</v>
      </c>
      <c r="S24" s="574">
        <f t="shared" si="10"/>
        <v>1.0000000014725592</v>
      </c>
      <c r="T24" s="577">
        <f t="shared" si="11"/>
        <v>5.4268947064147201E-5</v>
      </c>
      <c r="U24" s="578">
        <f t="shared" si="24"/>
        <v>0.99959999411281042</v>
      </c>
      <c r="V24" s="579">
        <f t="shared" si="25"/>
        <v>-1.3360684583385032E-4</v>
      </c>
      <c r="W24" s="580">
        <f t="shared" si="12"/>
        <v>72.976967768268054</v>
      </c>
      <c r="X24" s="581">
        <f t="shared" si="13"/>
        <v>-89.727410215116606</v>
      </c>
      <c r="Y24" s="584">
        <f t="shared" si="14"/>
        <v>90.272589784883394</v>
      </c>
      <c r="AA24" s="147">
        <f t="shared" si="15"/>
        <v>1000000000</v>
      </c>
      <c r="AB24" s="147">
        <f t="shared" si="16"/>
        <v>7.5856176399999997</v>
      </c>
      <c r="AD24" s="583">
        <f t="shared" si="17"/>
        <v>70.798314943630018</v>
      </c>
      <c r="AE24" s="584">
        <f t="shared" si="18"/>
        <v>-88.344380156118376</v>
      </c>
      <c r="AG24" s="583">
        <f t="shared" si="19"/>
        <v>57.287848356674843</v>
      </c>
      <c r="AH24" s="584">
        <f t="shared" si="20"/>
        <v>-1.3677198422200754</v>
      </c>
      <c r="AJ24" s="147">
        <f t="shared" si="21"/>
        <v>0</v>
      </c>
      <c r="AK24" s="147">
        <f t="shared" si="22"/>
        <v>0</v>
      </c>
      <c r="AM24" s="147" t="str">
        <f t="shared" si="26"/>
        <v>1.82150909910916E-08+0.000190866919660261i</v>
      </c>
      <c r="AN24" s="147" t="str">
        <f t="shared" si="27"/>
        <v>0.000190866920819147i</v>
      </c>
      <c r="AO24" s="147" t="str">
        <f t="shared" si="28"/>
        <v>0.999999993928304-0.0000954334617696852i</v>
      </c>
      <c r="AP24" s="147" t="str">
        <f t="shared" si="29"/>
        <v>0.166666663630818-0.0000318111532767102i</v>
      </c>
      <c r="AQ24" s="147" t="str">
        <f t="shared" si="30"/>
        <v>0.833333336369182+0.0000318111532767102i</v>
      </c>
      <c r="AR24" s="147" t="str">
        <f t="shared" si="31"/>
        <v>0.999599994901814-0.0000381581142448537i</v>
      </c>
    </row>
    <row r="25" spans="1:44">
      <c r="A25" s="235" t="s">
        <v>751</v>
      </c>
      <c r="B25" s="603">
        <f>'Design Converter'!E34+'Design Converter'!E34*0+IF(MODE=2,ABS('Design Converter'!L34*('Design Converter'!L14)^2),0)</f>
        <v>6.1470000000000002</v>
      </c>
      <c r="C25" s="147" t="s">
        <v>749</v>
      </c>
      <c r="D25" s="236">
        <f>Cout_sec*0.000001</f>
        <v>6.1469999999999998E-6</v>
      </c>
      <c r="E25" s="147" t="s">
        <v>13</v>
      </c>
      <c r="G25" s="585">
        <v>3.02</v>
      </c>
      <c r="H25" s="573">
        <f t="shared" si="23"/>
        <v>3.0200000000000001E-3</v>
      </c>
      <c r="I25" s="574">
        <f t="shared" si="0"/>
        <v>1.0003455046226419</v>
      </c>
      <c r="J25" s="575">
        <f t="shared" si="1"/>
        <v>2.6283271261089029E-2</v>
      </c>
      <c r="K25" s="575">
        <f t="shared" si="2"/>
        <v>1.0000000000196052</v>
      </c>
      <c r="L25" s="576">
        <f t="shared" si="3"/>
        <v>6.2618224698981565E-6</v>
      </c>
      <c r="M25" s="575">
        <f t="shared" si="4"/>
        <v>1.0000000009431007</v>
      </c>
      <c r="N25" s="576">
        <f t="shared" si="5"/>
        <v>-4.3430423309345356E-5</v>
      </c>
      <c r="O25" s="574">
        <f t="shared" si="6"/>
        <v>56.934441525875542</v>
      </c>
      <c r="P25" s="577">
        <f t="shared" si="7"/>
        <v>1.5532313626646355</v>
      </c>
      <c r="Q25" s="586">
        <f t="shared" si="8"/>
        <v>1.000056455651166</v>
      </c>
      <c r="R25" s="587">
        <f t="shared" si="9"/>
        <v>1.0625723058702971E-2</v>
      </c>
      <c r="S25" s="574">
        <f t="shared" si="10"/>
        <v>1.0000000017704991</v>
      </c>
      <c r="T25" s="577">
        <f t="shared" si="11"/>
        <v>5.9506288614178783E-5</v>
      </c>
      <c r="U25" s="578">
        <f t="shared" si="24"/>
        <v>0.99959999292166812</v>
      </c>
      <c r="V25" s="579">
        <f t="shared" si="25"/>
        <v>-1.4650085828765296E-4</v>
      </c>
      <c r="W25" s="580">
        <f t="shared" si="12"/>
        <v>72.176587177477131</v>
      </c>
      <c r="X25" s="581">
        <f t="shared" si="13"/>
        <v>-89.904646164313263</v>
      </c>
      <c r="Y25" s="584">
        <f t="shared" si="14"/>
        <v>90.095353835686737</v>
      </c>
      <c r="AA25" s="147">
        <f t="shared" si="15"/>
        <v>1000000000</v>
      </c>
      <c r="AB25" s="147">
        <f t="shared" si="16"/>
        <v>9.1204000000000001</v>
      </c>
      <c r="AD25" s="583">
        <f t="shared" si="17"/>
        <v>69.998439140795455</v>
      </c>
      <c r="AE25" s="584">
        <f t="shared" si="18"/>
        <v>-88.388202162689154</v>
      </c>
      <c r="AG25" s="583">
        <f t="shared" si="19"/>
        <v>57.287343589419031</v>
      </c>
      <c r="AH25" s="584">
        <f t="shared" si="20"/>
        <v>-1.4996562398550772</v>
      </c>
      <c r="AJ25" s="147">
        <f t="shared" si="21"/>
        <v>0</v>
      </c>
      <c r="AK25" s="147">
        <f t="shared" si="22"/>
        <v>0</v>
      </c>
      <c r="AM25" s="147" t="str">
        <f t="shared" si="26"/>
        <v>2.19005119594939E-08+0.000209286942366522i</v>
      </c>
      <c r="AN25" s="147" t="str">
        <f t="shared" si="27"/>
        <v>0.000209286943894352i</v>
      </c>
      <c r="AO25" s="147" t="str">
        <f t="shared" si="28"/>
        <v>0.999999992699831-0.000104643469640176i</v>
      </c>
      <c r="AP25" s="147" t="str">
        <f t="shared" si="29"/>
        <v>0.166666663016581-0.000034881157061087i</v>
      </c>
      <c r="AQ25" s="147" t="str">
        <f t="shared" si="30"/>
        <v>0.833333336983419+0.000034881157061087i</v>
      </c>
      <c r="AR25" s="147" t="str">
        <f t="shared" si="31"/>
        <v>0.999599993870309-0.0000418406450780759i</v>
      </c>
    </row>
    <row r="26" spans="1:44">
      <c r="A26" s="235" t="s">
        <v>746</v>
      </c>
      <c r="B26" s="603">
        <f>IF(MODE=2,('Design Converter'!E35*'Design Converter'!E34+'Design Converter'!L34*'Design Converter'!L35)/Cout_sec,'Design Converter'!E35)</f>
        <v>53.684724255734501</v>
      </c>
      <c r="C26" s="147" t="s">
        <v>748</v>
      </c>
      <c r="D26" s="147">
        <f>B26*0.001</f>
        <v>5.3684724255734499E-2</v>
      </c>
      <c r="E26" s="600" t="s">
        <v>45</v>
      </c>
      <c r="G26" s="585">
        <v>3.3113000000000001</v>
      </c>
      <c r="H26" s="573">
        <f t="shared" si="23"/>
        <v>3.3113000000000001E-3</v>
      </c>
      <c r="I26" s="574">
        <f t="shared" si="0"/>
        <v>1.0004153573206001</v>
      </c>
      <c r="J26" s="575">
        <f t="shared" si="1"/>
        <v>2.8817133912031525E-2</v>
      </c>
      <c r="K26" s="575">
        <f t="shared" si="2"/>
        <v>1.0000000000235696</v>
      </c>
      <c r="L26" s="576">
        <f t="shared" si="3"/>
        <v>6.8658187895758154E-6</v>
      </c>
      <c r="M26" s="575">
        <f t="shared" si="4"/>
        <v>1.0000000011338126</v>
      </c>
      <c r="N26" s="576">
        <f t="shared" si="5"/>
        <v>-4.7619589631109589E-5</v>
      </c>
      <c r="O26" s="574">
        <f t="shared" si="6"/>
        <v>62.42454463555589</v>
      </c>
      <c r="P26" s="577">
        <f t="shared" si="7"/>
        <v>1.554776301648483</v>
      </c>
      <c r="Q26" s="586">
        <f t="shared" si="8"/>
        <v>1.0000678716042337</v>
      </c>
      <c r="R26" s="587">
        <f t="shared" si="9"/>
        <v>1.1650559270739033E-2</v>
      </c>
      <c r="S26" s="574">
        <f t="shared" si="10"/>
        <v>1.0000000021285256</v>
      </c>
      <c r="T26" s="577">
        <f t="shared" si="11"/>
        <v>6.5246083920893745E-5</v>
      </c>
      <c r="U26" s="578">
        <f t="shared" si="24"/>
        <v>0.9995999914903011</v>
      </c>
      <c r="V26" s="579">
        <f t="shared" si="25"/>
        <v>-1.6063188747807871E-4</v>
      </c>
      <c r="W26" s="580">
        <f t="shared" si="12"/>
        <v>71.376473452398542</v>
      </c>
      <c r="X26" s="581">
        <f t="shared" si="13"/>
        <v>-90.080969423506545</v>
      </c>
      <c r="Y26" s="584">
        <f t="shared" si="14"/>
        <v>89.919030576493455</v>
      </c>
      <c r="AA26" s="147">
        <f t="shared" si="15"/>
        <v>1000000000</v>
      </c>
      <c r="AB26" s="147">
        <f t="shared" si="16"/>
        <v>10.964707690000001</v>
      </c>
      <c r="AD26" s="583">
        <f t="shared" si="17"/>
        <v>69.198931928557045</v>
      </c>
      <c r="AE26" s="584">
        <f t="shared" si="18"/>
        <v>-88.41833072250779</v>
      </c>
      <c r="AG26" s="583">
        <f t="shared" si="19"/>
        <v>57.286737101454186</v>
      </c>
      <c r="AH26" s="584">
        <f t="shared" si="20"/>
        <v>-1.6442316425622832</v>
      </c>
      <c r="AJ26" s="147">
        <f t="shared" si="21"/>
        <v>0</v>
      </c>
      <c r="AK26" s="147">
        <f t="shared" si="22"/>
        <v>0</v>
      </c>
      <c r="AM26" s="147" t="str">
        <f t="shared" si="26"/>
        <v>2.63291870528093E-08+0.000229474122925569i</v>
      </c>
      <c r="AN26" s="147" t="str">
        <f t="shared" si="27"/>
        <v>0.000229474124939525i</v>
      </c>
      <c r="AO26" s="147" t="str">
        <f t="shared" si="28"/>
        <v>0.999999991223603-0.000114737062663374i</v>
      </c>
      <c r="AP26" s="147" t="str">
        <f t="shared" si="29"/>
        <v>0.166666662278469-0.0000382456871542615i</v>
      </c>
      <c r="AQ26" s="147" t="str">
        <f t="shared" si="30"/>
        <v>0.833333337721531+0.0000382456871542615i</v>
      </c>
      <c r="AR26" s="147" t="str">
        <f t="shared" si="31"/>
        <v>0.999599992630777-0.0000458764660754925i</v>
      </c>
    </row>
    <row r="27" spans="1:44">
      <c r="A27" s="147" t="s">
        <v>740</v>
      </c>
      <c r="B27" s="608">
        <f>Cout_sec/Npri_sec^2</f>
        <v>2458.7999999999997</v>
      </c>
      <c r="C27" s="147" t="s">
        <v>749</v>
      </c>
      <c r="D27" s="236">
        <f>Cout_pri*0.000001</f>
        <v>2.4587999999999997E-3</v>
      </c>
      <c r="E27" s="147" t="s">
        <v>13</v>
      </c>
      <c r="G27" s="585">
        <v>3.6307999999999998</v>
      </c>
      <c r="H27" s="573">
        <f t="shared" si="23"/>
        <v>3.6308E-3</v>
      </c>
      <c r="I27" s="574">
        <f t="shared" si="0"/>
        <v>1.0004993570990965</v>
      </c>
      <c r="J27" s="575">
        <f t="shared" si="1"/>
        <v>3.1595866491602731E-2</v>
      </c>
      <c r="K27" s="575">
        <f t="shared" si="2"/>
        <v>1.0000000000283376</v>
      </c>
      <c r="L27" s="576">
        <f t="shared" si="3"/>
        <v>7.5282864316469765E-6</v>
      </c>
      <c r="M27" s="575">
        <f t="shared" si="4"/>
        <v>1.0000000013631665</v>
      </c>
      <c r="N27" s="576">
        <f t="shared" si="5"/>
        <v>-5.2214298313712523E-5</v>
      </c>
      <c r="O27" s="574">
        <f t="shared" si="6"/>
        <v>68.446272951229147</v>
      </c>
      <c r="P27" s="577">
        <f t="shared" si="7"/>
        <v>1.5561858076877901</v>
      </c>
      <c r="Q27" s="586">
        <f t="shared" si="8"/>
        <v>1.0000816004828637</v>
      </c>
      <c r="R27" s="587">
        <f t="shared" si="9"/>
        <v>1.277457900553438E-2</v>
      </c>
      <c r="S27" s="574">
        <f t="shared" si="10"/>
        <v>1.0000000025590956</v>
      </c>
      <c r="T27" s="577">
        <f t="shared" si="11"/>
        <v>7.1541533969130236E-5</v>
      </c>
      <c r="U27" s="578">
        <f t="shared" si="24"/>
        <v>0.99959998976891495</v>
      </c>
      <c r="V27" s="579">
        <f t="shared" si="25"/>
        <v>-1.7613090323153187E-4</v>
      </c>
      <c r="W27" s="580">
        <f t="shared" si="12"/>
        <v>70.575974958711271</v>
      </c>
      <c r="X27" s="581">
        <f t="shared" si="13"/>
        <v>-90.258010264993899</v>
      </c>
      <c r="Y27" s="584">
        <f t="shared" si="14"/>
        <v>89.741989735006101</v>
      </c>
      <c r="AA27" s="147">
        <f t="shared" si="15"/>
        <v>1000000000</v>
      </c>
      <c r="AB27" s="147">
        <f t="shared" si="16"/>
        <v>13.182708639999998</v>
      </c>
      <c r="AD27" s="583">
        <f t="shared" si="17"/>
        <v>68.399162727058922</v>
      </c>
      <c r="AE27" s="584">
        <f t="shared" si="18"/>
        <v>-88.43504858560209</v>
      </c>
      <c r="AG27" s="583">
        <f t="shared" si="19"/>
        <v>57.286007839180556</v>
      </c>
      <c r="AH27" s="584">
        <f t="shared" si="20"/>
        <v>-1.8027785645747505</v>
      </c>
      <c r="AJ27" s="147">
        <f t="shared" si="21"/>
        <v>0</v>
      </c>
      <c r="AK27" s="147">
        <f t="shared" si="22"/>
        <v>0</v>
      </c>
      <c r="AM27" s="147" t="str">
        <f t="shared" si="26"/>
        <v>3.16551990175995E-08+0.000251615572143567i</v>
      </c>
      <c r="AN27" s="147" t="str">
        <f t="shared" si="27"/>
        <v>0.000251615574798547i</v>
      </c>
      <c r="AO27" s="147" t="str">
        <f t="shared" si="28"/>
        <v>0.999999989448269-0.000125807788500151i</v>
      </c>
      <c r="AP27" s="147" t="str">
        <f t="shared" si="29"/>
        <v>0.1666666613908-0.0000419359286905945i</v>
      </c>
      <c r="AQ27" s="147" t="str">
        <f t="shared" si="30"/>
        <v>0.8333333386092+0.0000419359286905945i</v>
      </c>
      <c r="AR27" s="147" t="str">
        <f t="shared" si="31"/>
        <v>0.99959999114009-0.0000503029844186134i</v>
      </c>
    </row>
    <row r="28" spans="1:44">
      <c r="G28" s="585">
        <v>3.9811000000000001</v>
      </c>
      <c r="H28" s="573">
        <f t="shared" si="23"/>
        <v>3.9811000000000004E-3</v>
      </c>
      <c r="I28" s="574">
        <f t="shared" si="0"/>
        <v>1.0006003310798899</v>
      </c>
      <c r="J28" s="575">
        <f t="shared" si="1"/>
        <v>3.4641908218014258E-2</v>
      </c>
      <c r="K28" s="575">
        <f t="shared" si="2"/>
        <v>1.0000000000340692</v>
      </c>
      <c r="L28" s="576">
        <f t="shared" si="3"/>
        <v>8.2546163690964136E-6</v>
      </c>
      <c r="M28" s="575">
        <f t="shared" si="4"/>
        <v>1.0000000016388924</v>
      </c>
      <c r="N28" s="576">
        <f t="shared" si="5"/>
        <v>-5.7251939786964521E-5</v>
      </c>
      <c r="O28" s="574">
        <f t="shared" si="6"/>
        <v>75.04862963607026</v>
      </c>
      <c r="P28" s="577">
        <f t="shared" si="7"/>
        <v>1.5574712388025185</v>
      </c>
      <c r="Q28" s="586">
        <f t="shared" si="8"/>
        <v>1.0000981048921425</v>
      </c>
      <c r="R28" s="587">
        <f t="shared" si="9"/>
        <v>1.4006917743677372E-2</v>
      </c>
      <c r="S28" s="574">
        <f t="shared" si="10"/>
        <v>1.0000000030767202</v>
      </c>
      <c r="T28" s="577">
        <f t="shared" si="11"/>
        <v>7.8443869336294989E-5</v>
      </c>
      <c r="U28" s="578">
        <f t="shared" si="24"/>
        <v>0.99959998769948644</v>
      </c>
      <c r="V28" s="579">
        <f t="shared" si="25"/>
        <v>-1.9312403260777336E-4</v>
      </c>
      <c r="W28" s="580">
        <f t="shared" si="12"/>
        <v>69.775382479575711</v>
      </c>
      <c r="X28" s="581">
        <f t="shared" si="13"/>
        <v>-90.437193698679891</v>
      </c>
      <c r="Y28" s="584">
        <f t="shared" si="14"/>
        <v>89.562806301320109</v>
      </c>
      <c r="AA28" s="147">
        <f t="shared" si="15"/>
        <v>1000000000</v>
      </c>
      <c r="AB28" s="147">
        <f t="shared" si="16"/>
        <v>15.849157210000001</v>
      </c>
      <c r="AD28" s="583">
        <f t="shared" si="17"/>
        <v>67.599446830339772</v>
      </c>
      <c r="AE28" s="584">
        <f t="shared" si="18"/>
        <v>-88.438486029393999</v>
      </c>
      <c r="AG28" s="583">
        <f t="shared" si="19"/>
        <v>57.285131292728181</v>
      </c>
      <c r="AH28" s="584">
        <f t="shared" si="20"/>
        <v>-1.9765772852786574</v>
      </c>
      <c r="AJ28" s="147">
        <f t="shared" si="21"/>
        <v>0</v>
      </c>
      <c r="AK28" s="147">
        <f t="shared" si="22"/>
        <v>0</v>
      </c>
      <c r="AM28" s="147" t="str">
        <f t="shared" si="26"/>
        <v>3.80580530423558E-08+0.000275891470784077i</v>
      </c>
      <c r="AN28" s="147" t="str">
        <f t="shared" si="27"/>
        <v>0.000275891474284041i</v>
      </c>
      <c r="AO28" s="147" t="str">
        <f t="shared" si="28"/>
        <v>0.999999987313983-0.000137945738051962i</v>
      </c>
      <c r="AP28" s="147" t="str">
        <f t="shared" si="29"/>
        <v>0.166666660323658-0.0000459819117973462i</v>
      </c>
      <c r="AQ28" s="147" t="str">
        <f t="shared" si="30"/>
        <v>0.833333339676342+0.0000459819117973462i</v>
      </c>
      <c r="AR28" s="147" t="str">
        <f t="shared" si="31"/>
        <v>0.999599989348008-0.0000551562218315663i</v>
      </c>
    </row>
    <row r="29" spans="1:44">
      <c r="G29" s="585">
        <v>4.3651999999999997</v>
      </c>
      <c r="H29" s="573">
        <f t="shared" si="23"/>
        <v>4.3651999999999996E-3</v>
      </c>
      <c r="I29" s="574">
        <f t="shared" si="0"/>
        <v>1.0007217164395148</v>
      </c>
      <c r="J29" s="575">
        <f t="shared" si="1"/>
        <v>3.7981117531954441E-2</v>
      </c>
      <c r="K29" s="575">
        <f t="shared" si="2"/>
        <v>1.0000000000409606</v>
      </c>
      <c r="L29" s="576">
        <f t="shared" si="3"/>
        <v>9.0510289553676415E-6</v>
      </c>
      <c r="M29" s="575">
        <f t="shared" si="4"/>
        <v>1.0000000019703914</v>
      </c>
      <c r="N29" s="576">
        <f t="shared" si="5"/>
        <v>-6.2775656854343305E-5</v>
      </c>
      <c r="O29" s="574">
        <f t="shared" si="6"/>
        <v>82.288157847481486</v>
      </c>
      <c r="P29" s="577">
        <f t="shared" si="7"/>
        <v>1.5586436107621862</v>
      </c>
      <c r="Q29" s="586">
        <f t="shared" si="8"/>
        <v>1.0001179474282642</v>
      </c>
      <c r="R29" s="587">
        <f t="shared" si="9"/>
        <v>1.5358114235436378E-2</v>
      </c>
      <c r="S29" s="574">
        <f t="shared" si="10"/>
        <v>1.0000000036990495</v>
      </c>
      <c r="T29" s="577">
        <f t="shared" si="11"/>
        <v>8.601220222670324E-5</v>
      </c>
      <c r="U29" s="578">
        <f t="shared" si="24"/>
        <v>0.99959998521145754</v>
      </c>
      <c r="V29" s="579">
        <f t="shared" si="25"/>
        <v>-2.1175680461687569E-4</v>
      </c>
      <c r="W29" s="580">
        <f t="shared" si="12"/>
        <v>68.974609673992944</v>
      </c>
      <c r="X29" s="581">
        <f t="shared" si="13"/>
        <v>-90.620042475850695</v>
      </c>
      <c r="Y29" s="584">
        <f t="shared" si="14"/>
        <v>89.379957524149305</v>
      </c>
      <c r="AA29" s="147">
        <f t="shared" si="15"/>
        <v>1000000000</v>
      </c>
      <c r="AB29" s="147">
        <f t="shared" si="16"/>
        <v>19.054971039999998</v>
      </c>
      <c r="AD29" s="583">
        <f t="shared" si="17"/>
        <v>66.799727686792565</v>
      </c>
      <c r="AE29" s="584">
        <f t="shared" si="18"/>
        <v>-88.428673771953129</v>
      </c>
      <c r="AG29" s="583">
        <f t="shared" si="19"/>
        <v>57.284077673931407</v>
      </c>
      <c r="AH29" s="584">
        <f t="shared" si="20"/>
        <v>-2.1671031614944019</v>
      </c>
      <c r="AJ29" s="147">
        <f t="shared" si="21"/>
        <v>0</v>
      </c>
      <c r="AK29" s="147">
        <f t="shared" si="22"/>
        <v>0</v>
      </c>
      <c r="AM29" s="147" t="str">
        <f t="shared" si="26"/>
        <v>4.57560660471756E-08+0.000302509719719765i</v>
      </c>
      <c r="AN29" s="147" t="str">
        <f t="shared" si="27"/>
        <v>0.00030250972433365i</v>
      </c>
      <c r="AO29" s="147" t="str">
        <f t="shared" si="28"/>
        <v>0.999999984747978-0.00015125486014694i</v>
      </c>
      <c r="AP29" s="147" t="str">
        <f t="shared" si="29"/>
        <v>0.166666659040656-0.0000504182866199608i</v>
      </c>
      <c r="AQ29" s="147" t="str">
        <f t="shared" si="30"/>
        <v>0.833333340959344+0.0000504182866199608i</v>
      </c>
      <c r="AR29" s="147" t="str">
        <f t="shared" si="31"/>
        <v>0.999599987193427-0.0000604777418381081i</v>
      </c>
    </row>
    <row r="30" spans="1:44">
      <c r="A30" s="147" t="s">
        <v>18</v>
      </c>
      <c r="B30" s="606">
        <f>Vref</f>
        <v>1</v>
      </c>
      <c r="C30" s="147" t="s">
        <v>0</v>
      </c>
      <c r="G30" s="585">
        <v>4.7862999999999998</v>
      </c>
      <c r="H30" s="573">
        <f t="shared" si="23"/>
        <v>4.7862999999999994E-3</v>
      </c>
      <c r="I30" s="574">
        <f t="shared" si="0"/>
        <v>1.0008676138350312</v>
      </c>
      <c r="J30" s="575">
        <f t="shared" si="1"/>
        <v>4.1641013539572121E-2</v>
      </c>
      <c r="K30" s="575">
        <f t="shared" si="2"/>
        <v>1.0000000000492446</v>
      </c>
      <c r="L30" s="576">
        <f t="shared" si="3"/>
        <v>9.9241592341328918E-6</v>
      </c>
      <c r="M30" s="575">
        <f t="shared" si="4"/>
        <v>1.0000000023688855</v>
      </c>
      <c r="N30" s="576">
        <f t="shared" si="5"/>
        <v>-6.883146850593822E-5</v>
      </c>
      <c r="O30" s="574">
        <f t="shared" si="6"/>
        <v>90.225171265150706</v>
      </c>
      <c r="P30" s="577">
        <f t="shared" si="7"/>
        <v>1.5597127182999808</v>
      </c>
      <c r="Q30" s="586">
        <f t="shared" si="8"/>
        <v>1.0001417995446531</v>
      </c>
      <c r="R30" s="587">
        <f t="shared" si="9"/>
        <v>1.683940561626944E-2</v>
      </c>
      <c r="S30" s="574">
        <f t="shared" si="10"/>
        <v>1.0000000044471489</v>
      </c>
      <c r="T30" s="577">
        <f t="shared" si="11"/>
        <v>9.4309585657553196E-5</v>
      </c>
      <c r="U30" s="578">
        <f t="shared" si="24"/>
        <v>0.99959998222060531</v>
      </c>
      <c r="V30" s="579">
        <f t="shared" si="25"/>
        <v>-2.3218445690625477E-4</v>
      </c>
      <c r="W30" s="580">
        <f t="shared" si="12"/>
        <v>68.173743051447659</v>
      </c>
      <c r="X30" s="581">
        <f t="shared" si="13"/>
        <v>-90.8080654452516</v>
      </c>
      <c r="Y30" s="584">
        <f t="shared" si="14"/>
        <v>89.1919345547484</v>
      </c>
      <c r="AA30" s="147">
        <f t="shared" si="15"/>
        <v>1000000000</v>
      </c>
      <c r="AB30" s="147">
        <f t="shared" si="16"/>
        <v>22.908667689999998</v>
      </c>
      <c r="AD30" s="583">
        <f t="shared" si="17"/>
        <v>66.000127329142117</v>
      </c>
      <c r="AE30" s="584">
        <f t="shared" si="18"/>
        <v>-88.40553278238869</v>
      </c>
      <c r="AG30" s="583">
        <f t="shared" si="19"/>
        <v>57.282811461013793</v>
      </c>
      <c r="AH30" s="584">
        <f t="shared" si="20"/>
        <v>-2.3759262839339725</v>
      </c>
      <c r="AJ30" s="147">
        <f t="shared" si="21"/>
        <v>0</v>
      </c>
      <c r="AK30" s="147">
        <f t="shared" si="22"/>
        <v>0</v>
      </c>
      <c r="AM30" s="147" t="str">
        <f t="shared" si="26"/>
        <v>5.50098190332804E-08+0.000331692079865421i</v>
      </c>
      <c r="AN30" s="147" t="str">
        <f t="shared" si="27"/>
        <v>0.000331692085947528i</v>
      </c>
      <c r="AO30" s="147" t="str">
        <f t="shared" si="28"/>
        <v>0.999999981663394-0.00016584604023981i</v>
      </c>
      <c r="AP30" s="147" t="str">
        <f t="shared" si="29"/>
        <v>0.166666657498363-0.0000552820133109035i</v>
      </c>
      <c r="AQ30" s="147" t="str">
        <f t="shared" si="30"/>
        <v>0.833333342501637+0.0000552820133109035i</v>
      </c>
      <c r="AR30" s="147" t="str">
        <f t="shared" si="31"/>
        <v>0.999599984603411-0.0000663118788557487i</v>
      </c>
    </row>
    <row r="31" spans="1:44">
      <c r="A31" s="147" t="s">
        <v>745</v>
      </c>
      <c r="B31" s="606">
        <v>600</v>
      </c>
      <c r="C31" s="147" t="s">
        <v>753</v>
      </c>
      <c r="D31" s="237">
        <f>B31*0.000001</f>
        <v>5.9999999999999995E-4</v>
      </c>
      <c r="E31" s="147" t="s">
        <v>754</v>
      </c>
      <c r="G31" s="585">
        <v>5.2481</v>
      </c>
      <c r="H31" s="573">
        <f t="shared" si="23"/>
        <v>5.2481000000000003E-3</v>
      </c>
      <c r="I31" s="574">
        <f t="shared" si="0"/>
        <v>1.0010430203186338</v>
      </c>
      <c r="J31" s="575">
        <f t="shared" si="1"/>
        <v>4.5653358006618905E-2</v>
      </c>
      <c r="K31" s="575">
        <f t="shared" si="2"/>
        <v>1.0000000000592055</v>
      </c>
      <c r="L31" s="576">
        <f t="shared" si="3"/>
        <v>1.0881678974637395E-5</v>
      </c>
      <c r="M31" s="575">
        <f t="shared" si="4"/>
        <v>1.0000000028480553</v>
      </c>
      <c r="N31" s="576">
        <f t="shared" si="5"/>
        <v>-7.5472584198779709E-5</v>
      </c>
      <c r="O31" s="574">
        <f t="shared" si="6"/>
        <v>98.929408556755803</v>
      </c>
      <c r="P31" s="577">
        <f t="shared" si="7"/>
        <v>1.5606879369367528</v>
      </c>
      <c r="Q31" s="586">
        <f t="shared" si="8"/>
        <v>1.0001704798206681</v>
      </c>
      <c r="R31" s="587">
        <f t="shared" si="9"/>
        <v>1.8463781016713077E-2</v>
      </c>
      <c r="S31" s="574">
        <f t="shared" si="10"/>
        <v>1.0000000053467029</v>
      </c>
      <c r="T31" s="577">
        <f t="shared" si="11"/>
        <v>1.0340892467931063E-4</v>
      </c>
      <c r="U31" s="578">
        <f t="shared" si="24"/>
        <v>0.9995999786242532</v>
      </c>
      <c r="V31" s="579">
        <f t="shared" si="25"/>
        <v>-2.5458647650476843E-4</v>
      </c>
      <c r="W31" s="580">
        <f t="shared" si="12"/>
        <v>67.372516032704922</v>
      </c>
      <c r="X31" s="581">
        <f t="shared" si="13"/>
        <v>-91.002892447546316</v>
      </c>
      <c r="Y31" s="584">
        <f t="shared" si="14"/>
        <v>88.997107552453684</v>
      </c>
      <c r="AA31" s="147">
        <f t="shared" si="15"/>
        <v>1000000000</v>
      </c>
      <c r="AB31" s="147">
        <f t="shared" si="16"/>
        <v>27.542553609999999</v>
      </c>
      <c r="AD31" s="583">
        <f t="shared" si="17"/>
        <v>65.200422444668064</v>
      </c>
      <c r="AE31" s="584">
        <f t="shared" si="18"/>
        <v>-88.368860193268347</v>
      </c>
      <c r="AG31" s="583">
        <f t="shared" si="19"/>
        <v>57.281289389245131</v>
      </c>
      <c r="AH31" s="584">
        <f t="shared" si="20"/>
        <v>-2.6048587929949765</v>
      </c>
      <c r="AJ31" s="147">
        <f t="shared" si="21"/>
        <v>0</v>
      </c>
      <c r="AK31" s="147">
        <f t="shared" si="22"/>
        <v>0</v>
      </c>
      <c r="AM31" s="147" t="str">
        <f t="shared" si="26"/>
        <v>6.6137014975709E-08+0.000363694962264201i</v>
      </c>
      <c r="AN31" s="147" t="str">
        <f t="shared" si="27"/>
        <v>0.000363694970282101i</v>
      </c>
      <c r="AO31" s="147" t="str">
        <f t="shared" si="28"/>
        <v>0.999999977954328-0.000181847483137888i</v>
      </c>
      <c r="AP31" s="147" t="str">
        <f t="shared" si="29"/>
        <v>0.166666655643831-0.0000606158270440335i</v>
      </c>
      <c r="AQ31" s="147" t="str">
        <f t="shared" si="30"/>
        <v>0.833333344356169+0.0000606158270440335i</v>
      </c>
      <c r="AR31" s="147" t="str">
        <f t="shared" si="31"/>
        <v>0.999599981489044-0.0000727098945476277i</v>
      </c>
    </row>
    <row r="32" spans="1:44">
      <c r="A32" s="147" t="s">
        <v>741</v>
      </c>
      <c r="B32" s="606">
        <v>300</v>
      </c>
      <c r="C32" s="600" t="s">
        <v>747</v>
      </c>
      <c r="D32" s="237">
        <f>B32*1000000</f>
        <v>300000000</v>
      </c>
      <c r="E32" s="600" t="s">
        <v>45</v>
      </c>
      <c r="G32" s="585">
        <v>5.7544000000000004</v>
      </c>
      <c r="H32" s="573">
        <f t="shared" si="23"/>
        <v>5.7544000000000007E-3</v>
      </c>
      <c r="I32" s="574">
        <f t="shared" si="0"/>
        <v>1.001253842269956</v>
      </c>
      <c r="J32" s="575">
        <f t="shared" si="1"/>
        <v>5.0050645746056013E-2</v>
      </c>
      <c r="K32" s="575">
        <f t="shared" si="2"/>
        <v>1.00000000007118</v>
      </c>
      <c r="L32" s="576">
        <f t="shared" si="3"/>
        <v>1.1931467291239411E-5</v>
      </c>
      <c r="M32" s="575">
        <f t="shared" si="4"/>
        <v>1.0000000034240835</v>
      </c>
      <c r="N32" s="576">
        <f t="shared" si="5"/>
        <v>-8.2753651482761169E-5</v>
      </c>
      <c r="O32" s="574">
        <f t="shared" si="6"/>
        <v>108.47249403238375</v>
      </c>
      <c r="P32" s="577">
        <f t="shared" si="7"/>
        <v>1.5615772692427372</v>
      </c>
      <c r="Q32" s="586">
        <f t="shared" si="8"/>
        <v>1.0002049563532889</v>
      </c>
      <c r="R32" s="587">
        <f t="shared" si="9"/>
        <v>2.0244572284334857E-2</v>
      </c>
      <c r="S32" s="574">
        <f t="shared" si="10"/>
        <v>1.0000000064280898</v>
      </c>
      <c r="T32" s="577">
        <f t="shared" si="11"/>
        <v>1.1338509474774383E-4</v>
      </c>
      <c r="U32" s="578">
        <f t="shared" si="24"/>
        <v>0.99959997430094283</v>
      </c>
      <c r="V32" s="579">
        <f t="shared" si="25"/>
        <v>-2.7914720064747524E-4</v>
      </c>
      <c r="W32" s="580">
        <f t="shared" si="12"/>
        <v>66.571102057990913</v>
      </c>
      <c r="X32" s="581">
        <f t="shared" si="13"/>
        <v>-91.20609748470352</v>
      </c>
      <c r="Y32" s="584">
        <f t="shared" si="14"/>
        <v>88.79390251529648</v>
      </c>
      <c r="AA32" s="147">
        <f t="shared" si="15"/>
        <v>1000000000</v>
      </c>
      <c r="AB32" s="147">
        <f t="shared" si="16"/>
        <v>33.113119360000006</v>
      </c>
      <c r="AD32" s="583">
        <f t="shared" si="17"/>
        <v>64.400837578055075</v>
      </c>
      <c r="AE32" s="584">
        <f t="shared" si="18"/>
        <v>-88.318354949540307</v>
      </c>
      <c r="AG32" s="583">
        <f t="shared" si="19"/>
        <v>57.279460356277752</v>
      </c>
      <c r="AH32" s="584">
        <f t="shared" si="20"/>
        <v>-2.8557546222066725</v>
      </c>
      <c r="AJ32" s="147">
        <f t="shared" si="21"/>
        <v>0</v>
      </c>
      <c r="AK32" s="147">
        <f t="shared" si="22"/>
        <v>0</v>
      </c>
      <c r="AM32" s="147" t="str">
        <f t="shared" si="26"/>
        <v>7.95134289521826E-08+0.000398781707955551i</v>
      </c>
      <c r="AN32" s="147" t="str">
        <f t="shared" si="27"/>
        <v>0.000398781718525052i</v>
      </c>
      <c r="AO32" s="147" t="str">
        <f t="shared" si="28"/>
        <v>0.999999973495523-0.000199390857851442i</v>
      </c>
      <c r="AP32" s="147" t="str">
        <f t="shared" si="29"/>
        <v>0.166666653414429-0.0000664636179925918i</v>
      </c>
      <c r="AQ32" s="147" t="str">
        <f t="shared" si="30"/>
        <v>0.833333346585571+0.0000664636179925918i</v>
      </c>
      <c r="AR32" s="147" t="str">
        <f t="shared" si="31"/>
        <v>0.999599977745147-0.0000797244360116754i</v>
      </c>
    </row>
    <row r="33" spans="1:44">
      <c r="A33" s="147" t="s">
        <v>771</v>
      </c>
      <c r="B33" s="147">
        <f>RCS/1000</f>
        <v>1.5E-3</v>
      </c>
      <c r="C33" s="600" t="s">
        <v>45</v>
      </c>
      <c r="G33" s="585">
        <v>6.3095999999999997</v>
      </c>
      <c r="H33" s="573">
        <f t="shared" si="23"/>
        <v>6.3095999999999994E-3</v>
      </c>
      <c r="I33" s="574">
        <f t="shared" si="0"/>
        <v>1.0015072714547331</v>
      </c>
      <c r="J33" s="575">
        <f t="shared" si="1"/>
        <v>5.4870404844797653E-2</v>
      </c>
      <c r="K33" s="575">
        <f t="shared" si="2"/>
        <v>1.0000000000855778</v>
      </c>
      <c r="L33" s="576">
        <f t="shared" si="3"/>
        <v>1.3082647368984007E-5</v>
      </c>
      <c r="M33" s="575">
        <f t="shared" si="4"/>
        <v>1.0000000041166874</v>
      </c>
      <c r="N33" s="576">
        <f t="shared" si="5"/>
        <v>-9.0737946467839888E-5</v>
      </c>
      <c r="O33" s="574">
        <f t="shared" si="6"/>
        <v>118.93736187441593</v>
      </c>
      <c r="P33" s="577">
        <f t="shared" si="7"/>
        <v>1.5623884407746544</v>
      </c>
      <c r="Q33" s="586">
        <f t="shared" si="8"/>
        <v>1.0002464086481206</v>
      </c>
      <c r="R33" s="587">
        <f t="shared" si="9"/>
        <v>2.2197209782880811E-2</v>
      </c>
      <c r="S33" s="574">
        <f t="shared" si="10"/>
        <v>1.0000000077283271</v>
      </c>
      <c r="T33" s="577">
        <f t="shared" si="11"/>
        <v>1.2432479375785923E-4</v>
      </c>
      <c r="U33" s="578">
        <f t="shared" si="24"/>
        <v>0.99959996910268256</v>
      </c>
      <c r="V33" s="579">
        <f t="shared" si="25"/>
        <v>-3.060800724615497E-4</v>
      </c>
      <c r="W33" s="580">
        <f t="shared" si="12"/>
        <v>65.769290241912046</v>
      </c>
      <c r="X33" s="581">
        <f t="shared" si="13"/>
        <v>-91.419409604341965</v>
      </c>
      <c r="Y33" s="584">
        <f t="shared" si="14"/>
        <v>88.580590395658035</v>
      </c>
      <c r="AA33" s="147">
        <f t="shared" si="15"/>
        <v>1000000000</v>
      </c>
      <c r="AB33" s="147">
        <f t="shared" si="16"/>
        <v>39.811052159999996</v>
      </c>
      <c r="AD33" s="583">
        <f t="shared" si="17"/>
        <v>63.601224024174584</v>
      </c>
      <c r="AE33" s="584">
        <f t="shared" si="18"/>
        <v>-88.253580565703075</v>
      </c>
      <c r="AG33" s="583">
        <f t="shared" si="19"/>
        <v>57.277262184418582</v>
      </c>
      <c r="AH33" s="584">
        <f t="shared" si="20"/>
        <v>-3.1307548459085841</v>
      </c>
      <c r="AJ33" s="147">
        <f t="shared" si="21"/>
        <v>0</v>
      </c>
      <c r="AK33" s="147">
        <f t="shared" si="22"/>
        <v>0</v>
      </c>
      <c r="AM33" s="147" t="str">
        <f t="shared" si="26"/>
        <v>9.55969510219035E-08+0.000437257238118103i</v>
      </c>
      <c r="AN33" s="147" t="str">
        <f t="shared" si="27"/>
        <v>0.00043725725205159i</v>
      </c>
      <c r="AO33" s="147" t="str">
        <f t="shared" si="28"/>
        <v>0.999999968134349-0.000218628623249511i</v>
      </c>
      <c r="AP33" s="147" t="str">
        <f t="shared" si="29"/>
        <v>0.166666650733841-0.0000728762063530172i</v>
      </c>
      <c r="AQ33" s="147" t="str">
        <f t="shared" si="30"/>
        <v>0.833333349266159+0.0000728762063530172i</v>
      </c>
      <c r="AR33" s="147" t="str">
        <f t="shared" si="31"/>
        <v>0.999599973243561-0.0000874164630333324i</v>
      </c>
    </row>
    <row r="34" spans="1:44">
      <c r="A34" s="147" t="s">
        <v>752</v>
      </c>
      <c r="B34" s="607">
        <f>10*B33</f>
        <v>1.4999999999999999E-2</v>
      </c>
      <c r="C34" s="600" t="s">
        <v>45</v>
      </c>
      <c r="E34" s="600"/>
      <c r="G34" s="585">
        <v>6.9183000000000003</v>
      </c>
      <c r="H34" s="573">
        <f t="shared" si="23"/>
        <v>6.9183000000000005E-3</v>
      </c>
      <c r="I34" s="574">
        <f t="shared" si="0"/>
        <v>1.0018118428136711</v>
      </c>
      <c r="J34" s="575">
        <f t="shared" si="1"/>
        <v>6.0151664836311909E-2</v>
      </c>
      <c r="K34" s="575">
        <f t="shared" si="2"/>
        <v>1.0000000001028861</v>
      </c>
      <c r="L34" s="576">
        <f t="shared" si="3"/>
        <v>1.4344757083142782E-5</v>
      </c>
      <c r="M34" s="575">
        <f t="shared" si="4"/>
        <v>1.0000000049492914</v>
      </c>
      <c r="N34" s="576">
        <f t="shared" si="5"/>
        <v>-9.949162144985589E-5</v>
      </c>
      <c r="O34" s="574">
        <f t="shared" si="6"/>
        <v>130.41071668006632</v>
      </c>
      <c r="P34" s="577">
        <f t="shared" si="7"/>
        <v>1.5631281701768722</v>
      </c>
      <c r="Q34" s="586">
        <f t="shared" si="8"/>
        <v>1.0002962376491744</v>
      </c>
      <c r="R34" s="587">
        <f t="shared" si="9"/>
        <v>2.4337811612207376E-2</v>
      </c>
      <c r="S34" s="574">
        <f t="shared" si="10"/>
        <v>1.0000000092913885</v>
      </c>
      <c r="T34" s="577">
        <f t="shared" si="11"/>
        <v>1.3631866041567155E-4</v>
      </c>
      <c r="U34" s="578">
        <f t="shared" si="24"/>
        <v>0.99959996285367247</v>
      </c>
      <c r="V34" s="579">
        <f t="shared" si="25"/>
        <v>-3.3560824139674682E-4</v>
      </c>
      <c r="W34" s="580">
        <f t="shared" si="12"/>
        <v>64.967182176292212</v>
      </c>
      <c r="X34" s="581">
        <f t="shared" si="13"/>
        <v>-91.644547707382756</v>
      </c>
      <c r="Y34" s="584">
        <f t="shared" si="14"/>
        <v>88.355452292617244</v>
      </c>
      <c r="AA34" s="147">
        <f t="shared" si="15"/>
        <v>1000000000</v>
      </c>
      <c r="AB34" s="147">
        <f t="shared" si="16"/>
        <v>47.862874890000008</v>
      </c>
      <c r="AD34" s="583">
        <f t="shared" si="17"/>
        <v>62.80175709566339</v>
      </c>
      <c r="AE34" s="584">
        <f t="shared" si="18"/>
        <v>-88.174003685842109</v>
      </c>
      <c r="AG34" s="583">
        <f t="shared" si="19"/>
        <v>57.274621155909784</v>
      </c>
      <c r="AH34" s="584">
        <f t="shared" si="20"/>
        <v>-3.4320861498930286</v>
      </c>
      <c r="AJ34" s="147">
        <f t="shared" si="21"/>
        <v>0</v>
      </c>
      <c r="AK34" s="147">
        <f t="shared" si="22"/>
        <v>0</v>
      </c>
      <c r="AM34" s="147" t="str">
        <f t="shared" si="26"/>
        <v>1.14931523964579E-07+0.000479440333931831i</v>
      </c>
      <c r="AN34" s="147" t="str">
        <f t="shared" si="27"/>
        <v>0.000479440352299435i</v>
      </c>
      <c r="AO34" s="147" t="str">
        <f t="shared" si="28"/>
        <v>0.999999961689491-0.000239720172516473i</v>
      </c>
      <c r="AP34" s="147" t="str">
        <f t="shared" si="29"/>
        <v>0.166666647511413-0.0000799067223219718i</v>
      </c>
      <c r="AQ34" s="147" t="str">
        <f t="shared" si="30"/>
        <v>0.833333352488587+0.0000799067223219718i</v>
      </c>
      <c r="AR34" s="147" t="str">
        <f t="shared" si="31"/>
        <v>0.999599967832048-0.0000958497062718983i</v>
      </c>
    </row>
    <row r="35" spans="1:44">
      <c r="G35" s="585">
        <v>7.5857999999999999</v>
      </c>
      <c r="H35" s="573">
        <f t="shared" si="23"/>
        <v>7.5858000000000002E-3</v>
      </c>
      <c r="I35" s="574">
        <f t="shared" si="0"/>
        <v>1.002177935914339</v>
      </c>
      <c r="J35" s="575">
        <f t="shared" si="1"/>
        <v>6.5939220641954746E-2</v>
      </c>
      <c r="K35" s="575">
        <f t="shared" si="2"/>
        <v>1.0000000001236975</v>
      </c>
      <c r="L35" s="576">
        <f t="shared" si="3"/>
        <v>1.5728785724787126E-5</v>
      </c>
      <c r="M35" s="575">
        <f t="shared" si="4"/>
        <v>1.0000000059504117</v>
      </c>
      <c r="N35" s="576">
        <f t="shared" si="5"/>
        <v>-1.0909089537756442E-4</v>
      </c>
      <c r="O35" s="574">
        <f t="shared" si="6"/>
        <v>142.9924578768937</v>
      </c>
      <c r="P35" s="577">
        <f t="shared" si="7"/>
        <v>1.5638028939506416</v>
      </c>
      <c r="Q35" s="586">
        <f t="shared" si="8"/>
        <v>1.0003561485995227</v>
      </c>
      <c r="R35" s="587">
        <f t="shared" si="9"/>
        <v>2.6684936953874704E-2</v>
      </c>
      <c r="S35" s="574">
        <f t="shared" si="10"/>
        <v>1.0000000111708089</v>
      </c>
      <c r="T35" s="577">
        <f t="shared" si="11"/>
        <v>1.4947112627170639E-4</v>
      </c>
      <c r="U35" s="578">
        <f t="shared" si="24"/>
        <v>0.99959995533988122</v>
      </c>
      <c r="V35" s="579">
        <f t="shared" si="25"/>
        <v>-3.679888096763496E-4</v>
      </c>
      <c r="W35" s="580">
        <f t="shared" si="12"/>
        <v>64.164531807460477</v>
      </c>
      <c r="X35" s="581">
        <f t="shared" si="13"/>
        <v>-91.883408227090797</v>
      </c>
      <c r="Y35" s="584">
        <f t="shared" si="14"/>
        <v>88.116591772909203</v>
      </c>
      <c r="AA35" s="147">
        <f t="shared" si="15"/>
        <v>1000000000</v>
      </c>
      <c r="AB35" s="147">
        <f t="shared" si="16"/>
        <v>57.544361639999998</v>
      </c>
      <c r="AD35" s="583">
        <f t="shared" si="17"/>
        <v>62.002280296742057</v>
      </c>
      <c r="AE35" s="584">
        <f t="shared" si="18"/>
        <v>-88.078935715025608</v>
      </c>
      <c r="AG35" s="583">
        <f t="shared" si="19"/>
        <v>57.271447716579544</v>
      </c>
      <c r="AH35" s="584">
        <f t="shared" si="20"/>
        <v>-3.7623041006120284</v>
      </c>
      <c r="AJ35" s="147">
        <f t="shared" si="21"/>
        <v>0</v>
      </c>
      <c r="AK35" s="147">
        <f t="shared" si="22"/>
        <v>0</v>
      </c>
      <c r="AM35" s="147" t="str">
        <f t="shared" si="26"/>
        <v>1.38179353958989E-07+0.000525698286711539i</v>
      </c>
      <c r="AN35" s="147" t="str">
        <f t="shared" si="27"/>
        <v>0.00052569831092509i</v>
      </c>
      <c r="AO35" s="147" t="str">
        <f t="shared" si="28"/>
        <v>0.999999953940215-0.000262849149573697i</v>
      </c>
      <c r="AP35" s="147" t="str">
        <f t="shared" si="29"/>
        <v>0.166666643636774-0.0000876163811185898i</v>
      </c>
      <c r="AQ35" s="147" t="str">
        <f t="shared" si="30"/>
        <v>0.833333356363226+0.0000876163811185898i</v>
      </c>
      <c r="AR35" s="147" t="str">
        <f t="shared" si="31"/>
        <v>0.999599961325259-0.000105097594508658i</v>
      </c>
    </row>
    <row r="36" spans="1:44">
      <c r="G36" s="585">
        <v>8.3176000000000005</v>
      </c>
      <c r="H36" s="573">
        <f t="shared" si="23"/>
        <v>8.3176000000000014E-3</v>
      </c>
      <c r="I36" s="574">
        <f t="shared" si="0"/>
        <v>1.0026178392347918</v>
      </c>
      <c r="J36" s="575">
        <f t="shared" si="1"/>
        <v>7.2279195643373761E-2</v>
      </c>
      <c r="K36" s="575">
        <f t="shared" si="2"/>
        <v>1.0000000001487146</v>
      </c>
      <c r="L36" s="576">
        <f t="shared" si="3"/>
        <v>1.7246137275212563E-5</v>
      </c>
      <c r="M36" s="575">
        <f t="shared" si="4"/>
        <v>1.0000000071538577</v>
      </c>
      <c r="N36" s="576">
        <f t="shared" si="5"/>
        <v>-1.1961486338480397E-4</v>
      </c>
      <c r="O36" s="574">
        <f t="shared" si="6"/>
        <v>156.78625524132968</v>
      </c>
      <c r="P36" s="577">
        <f t="shared" si="7"/>
        <v>1.5644181734380671</v>
      </c>
      <c r="Q36" s="586">
        <f t="shared" si="8"/>
        <v>1.0004281627602978</v>
      </c>
      <c r="R36" s="587">
        <f t="shared" si="9"/>
        <v>2.9257821061585958E-2</v>
      </c>
      <c r="S36" s="574">
        <f t="shared" si="10"/>
        <v>1.0000000134300586</v>
      </c>
      <c r="T36" s="577">
        <f t="shared" si="11"/>
        <v>1.6389056368544089E-4</v>
      </c>
      <c r="U36" s="578">
        <f t="shared" si="24"/>
        <v>0.99959994630755777</v>
      </c>
      <c r="V36" s="579">
        <f t="shared" si="25"/>
        <v>-4.0348858418873864E-4</v>
      </c>
      <c r="W36" s="580">
        <f t="shared" si="12"/>
        <v>63.361448048652775</v>
      </c>
      <c r="X36" s="581">
        <f t="shared" si="13"/>
        <v>-92.137875755754294</v>
      </c>
      <c r="Y36" s="584">
        <f t="shared" si="14"/>
        <v>87.862124244245706</v>
      </c>
      <c r="AA36" s="147">
        <f t="shared" si="15"/>
        <v>1000000000</v>
      </c>
      <c r="AB36" s="147">
        <f t="shared" si="16"/>
        <v>69.182469760000004</v>
      </c>
      <c r="AD36" s="583">
        <f t="shared" si="17"/>
        <v>61.203008417208082</v>
      </c>
      <c r="AE36" s="584">
        <f t="shared" si="18"/>
        <v>-87.96759940510745</v>
      </c>
      <c r="AG36" s="583">
        <f t="shared" si="19"/>
        <v>57.267635994276141</v>
      </c>
      <c r="AH36" s="584">
        <f t="shared" si="20"/>
        <v>-4.1240399646825727</v>
      </c>
      <c r="AJ36" s="147">
        <f t="shared" si="21"/>
        <v>0</v>
      </c>
      <c r="AK36" s="147">
        <f t="shared" si="22"/>
        <v>0</v>
      </c>
      <c r="AM36" s="147" t="str">
        <f t="shared" si="26"/>
        <v>1.66125552980567E-07+0.000576412247728632i</v>
      </c>
      <c r="AN36" s="147" t="str">
        <f t="shared" si="27"/>
        <v>0.000576412279647569i</v>
      </c>
      <c r="AO36" s="147" t="str">
        <f t="shared" si="28"/>
        <v>0.999999944624814-0.000288206131004252i</v>
      </c>
      <c r="AP36" s="147" t="str">
        <f t="shared" si="29"/>
        <v>0.166666638979074-0.000096068707954772i</v>
      </c>
      <c r="AQ36" s="147" t="str">
        <f t="shared" si="30"/>
        <v>0.833333361020926+0.000096068707954772i</v>
      </c>
      <c r="AR36" s="147" t="str">
        <f t="shared" si="31"/>
        <v>0.999599953503454-0.000115236327376933i</v>
      </c>
    </row>
    <row r="37" spans="1:44">
      <c r="A37" s="147" t="s">
        <v>743</v>
      </c>
      <c r="B37" s="606">
        <f>'Design Converter'!E60*0.001</f>
        <v>5.6000000000000001E-2</v>
      </c>
      <c r="C37" s="600" t="s">
        <v>747</v>
      </c>
      <c r="D37" s="147">
        <f>B37*1000000</f>
        <v>56000</v>
      </c>
      <c r="E37" s="600" t="s">
        <v>45</v>
      </c>
      <c r="G37" s="585">
        <v>9.1201000000000008</v>
      </c>
      <c r="H37" s="573">
        <f t="shared" si="23"/>
        <v>9.1201000000000008E-3</v>
      </c>
      <c r="I37" s="574">
        <f t="shared" si="0"/>
        <v>1.0031465270756295</v>
      </c>
      <c r="J37" s="575">
        <f t="shared" si="1"/>
        <v>7.9224978900413037E-2</v>
      </c>
      <c r="K37" s="575">
        <f t="shared" si="2"/>
        <v>1.0000000001787956</v>
      </c>
      <c r="L37" s="576">
        <f t="shared" si="3"/>
        <v>1.8910081821740874E-5</v>
      </c>
      <c r="M37" s="575">
        <f t="shared" si="4"/>
        <v>1.0000000086008909</v>
      </c>
      <c r="N37" s="576">
        <f t="shared" si="5"/>
        <v>-1.3115556344418726E-4</v>
      </c>
      <c r="O37" s="574">
        <f t="shared" si="6"/>
        <v>171.91274324041493</v>
      </c>
      <c r="P37" s="577">
        <f t="shared" si="7"/>
        <v>1.5649793895473558</v>
      </c>
      <c r="Q37" s="586">
        <f t="shared" si="8"/>
        <v>1.0005147462996822</v>
      </c>
      <c r="R37" s="587">
        <f t="shared" si="9"/>
        <v>3.2078827706105664E-2</v>
      </c>
      <c r="S37" s="574">
        <f t="shared" si="10"/>
        <v>1.0000000161465985</v>
      </c>
      <c r="T37" s="577">
        <f t="shared" si="11"/>
        <v>1.7970307867181049E-4</v>
      </c>
      <c r="U37" s="578">
        <f t="shared" si="24"/>
        <v>0.99959993544702286</v>
      </c>
      <c r="V37" s="579">
        <f t="shared" si="25"/>
        <v>-4.4241803231751442E-4</v>
      </c>
      <c r="W37" s="580">
        <f t="shared" si="12"/>
        <v>62.557619054205787</v>
      </c>
      <c r="X37" s="581">
        <f t="shared" si="13"/>
        <v>-92.410065741708905</v>
      </c>
      <c r="Y37" s="584">
        <f t="shared" si="14"/>
        <v>87.589934258291095</v>
      </c>
      <c r="AA37" s="147">
        <f t="shared" si="15"/>
        <v>1000000000</v>
      </c>
      <c r="AB37" s="147">
        <f t="shared" si="16"/>
        <v>83.176224010000013</v>
      </c>
      <c r="AD37" s="583">
        <f t="shared" si="17"/>
        <v>60.403758431340684</v>
      </c>
      <c r="AE37" s="584">
        <f t="shared" si="18"/>
        <v>-87.839028935080407</v>
      </c>
      <c r="AG37" s="583">
        <f t="shared" si="19"/>
        <v>57.263057174438885</v>
      </c>
      <c r="AH37" s="584">
        <f t="shared" si="20"/>
        <v>-4.5203394345060088</v>
      </c>
      <c r="AJ37" s="147">
        <f t="shared" si="21"/>
        <v>0</v>
      </c>
      <c r="AK37" s="147">
        <f t="shared" si="22"/>
        <v>0</v>
      </c>
      <c r="AM37" s="147" t="str">
        <f t="shared" si="26"/>
        <v>1.99728287020307E-07+0.000632025738389368i</v>
      </c>
      <c r="AN37" s="147" t="str">
        <f t="shared" si="27"/>
        <v>0.000632025780467177i</v>
      </c>
      <c r="AO37" s="147" t="str">
        <f t="shared" si="28"/>
        <v>0.999999933423904-0.00031601287984277i</v>
      </c>
      <c r="AP37" s="147" t="str">
        <f t="shared" si="29"/>
        <v>0.166666633378619-0.000105337623064895i</v>
      </c>
      <c r="AQ37" s="147" t="str">
        <f t="shared" si="30"/>
        <v>0.833333366621381+0.000105337623064895i</v>
      </c>
      <c r="AR37" s="147" t="str">
        <f t="shared" si="31"/>
        <v>0.999599944098455-0.000126354573505243i</v>
      </c>
    </row>
    <row r="38" spans="1:44">
      <c r="A38" s="147" t="s">
        <v>744</v>
      </c>
      <c r="B38" s="606">
        <f>'Design Converter'!E62*1000</f>
        <v>10000</v>
      </c>
      <c r="C38" s="147" t="s">
        <v>15</v>
      </c>
      <c r="D38" s="147">
        <f>B38*0.000000000001</f>
        <v>1E-8</v>
      </c>
      <c r="E38" s="147" t="s">
        <v>13</v>
      </c>
      <c r="G38" s="585">
        <v>10</v>
      </c>
      <c r="H38" s="573">
        <f t="shared" si="23"/>
        <v>0.01</v>
      </c>
      <c r="I38" s="574">
        <f t="shared" si="0"/>
        <v>1.0037817652846508</v>
      </c>
      <c r="J38" s="575">
        <f t="shared" si="1"/>
        <v>8.6831854703403891E-2</v>
      </c>
      <c r="K38" s="575">
        <f t="shared" si="2"/>
        <v>1.00000000021496</v>
      </c>
      <c r="L38" s="576">
        <f t="shared" si="3"/>
        <v>2.0734511487028603E-5</v>
      </c>
      <c r="M38" s="575">
        <f t="shared" si="4"/>
        <v>1.0000000103405644</v>
      </c>
      <c r="N38" s="576">
        <f t="shared" si="5"/>
        <v>-1.4380934780547952E-4</v>
      </c>
      <c r="O38" s="574">
        <f t="shared" si="6"/>
        <v>188.49821156372408</v>
      </c>
      <c r="P38" s="577">
        <f t="shared" si="7"/>
        <v>1.5654912117891508</v>
      </c>
      <c r="Q38" s="586">
        <f t="shared" si="8"/>
        <v>1.0006188301112684</v>
      </c>
      <c r="R38" s="587">
        <f t="shared" si="9"/>
        <v>3.5171327927984088E-2</v>
      </c>
      <c r="S38" s="574">
        <f t="shared" si="10"/>
        <v>1.0000000194125167</v>
      </c>
      <c r="T38" s="577">
        <f t="shared" si="11"/>
        <v>1.9704068845796292E-4</v>
      </c>
      <c r="U38" s="578">
        <f t="shared" si="24"/>
        <v>0.99959992239010875</v>
      </c>
      <c r="V38" s="579">
        <f t="shared" si="25"/>
        <v>-4.8510216869569934E-4</v>
      </c>
      <c r="W38" s="580">
        <f t="shared" si="12"/>
        <v>61.753040643438659</v>
      </c>
      <c r="X38" s="581">
        <f t="shared" si="13"/>
        <v>-92.70210513334618</v>
      </c>
      <c r="Y38" s="584">
        <f t="shared" si="14"/>
        <v>87.29789486665382</v>
      </c>
      <c r="AA38" s="147">
        <f t="shared" si="15"/>
        <v>1000000000</v>
      </c>
      <c r="AB38" s="147">
        <f t="shared" si="16"/>
        <v>100</v>
      </c>
      <c r="AD38" s="583">
        <f t="shared" si="17"/>
        <v>59.604678679946559</v>
      </c>
      <c r="AE38" s="584">
        <f t="shared" si="18"/>
        <v>-87.692160350239035</v>
      </c>
      <c r="AG38" s="583">
        <f t="shared" si="19"/>
        <v>57.257558741978478</v>
      </c>
      <c r="AH38" s="584">
        <f t="shared" si="20"/>
        <v>-4.95435616924581</v>
      </c>
      <c r="AJ38" s="147">
        <f t="shared" si="21"/>
        <v>0</v>
      </c>
      <c r="AK38" s="147">
        <f t="shared" si="22"/>
        <v>0</v>
      </c>
      <c r="AM38" s="147" t="str">
        <f t="shared" si="26"/>
        <v>2.40126656003703E-07+0.000693003070008476i</v>
      </c>
      <c r="AN38" s="147" t="str">
        <f t="shared" si="27"/>
        <v>0.000693003125477985i</v>
      </c>
      <c r="AO38" s="147" t="str">
        <f t="shared" si="28"/>
        <v>0.999999919957779-0.000346501548370479i</v>
      </c>
      <c r="AP38" s="147" t="str">
        <f t="shared" si="29"/>
        <v>0.166666626645557-0.000115500511668079i</v>
      </c>
      <c r="AQ38" s="147" t="str">
        <f t="shared" si="30"/>
        <v>0.833333373354443+0.000115500511668079i</v>
      </c>
      <c r="AR38" s="147" t="str">
        <f t="shared" si="31"/>
        <v>0.999599932791438-0.000138545157787269i</v>
      </c>
    </row>
    <row r="39" spans="1:44">
      <c r="A39" s="147" t="s">
        <v>750</v>
      </c>
      <c r="B39" s="606">
        <f>'Design Converter'!E64</f>
        <v>56</v>
      </c>
      <c r="C39" s="147" t="s">
        <v>15</v>
      </c>
      <c r="D39" s="147">
        <f>B39*0.000000000001</f>
        <v>5.6E-11</v>
      </c>
      <c r="E39" s="147" t="s">
        <v>13</v>
      </c>
      <c r="G39" s="585">
        <v>10.965</v>
      </c>
      <c r="H39" s="573">
        <f t="shared" si="23"/>
        <v>1.0964999999999999E-2</v>
      </c>
      <c r="I39" s="574">
        <f t="shared" si="0"/>
        <v>1.0045451312033427</v>
      </c>
      <c r="J39" s="575">
        <f t="shared" si="1"/>
        <v>9.5162834427336127E-2</v>
      </c>
      <c r="K39" s="575">
        <f t="shared" si="2"/>
        <v>1.000000000258449</v>
      </c>
      <c r="L39" s="576">
        <f t="shared" si="3"/>
        <v>2.2735391844867702E-5</v>
      </c>
      <c r="M39" s="575">
        <f t="shared" si="4"/>
        <v>1.0000000124325872</v>
      </c>
      <c r="N39" s="576">
        <f t="shared" si="5"/>
        <v>-1.5768694964878515E-4</v>
      </c>
      <c r="O39" s="574">
        <f t="shared" si="6"/>
        <v>206.68779956512753</v>
      </c>
      <c r="P39" s="577">
        <f t="shared" si="7"/>
        <v>1.5659580929778429</v>
      </c>
      <c r="Q39" s="586">
        <f t="shared" si="8"/>
        <v>1.00074398048313</v>
      </c>
      <c r="R39" s="587">
        <f t="shared" si="9"/>
        <v>3.8562145167909942E-2</v>
      </c>
      <c r="S39" s="574">
        <f t="shared" si="10"/>
        <v>1.0000000233399067</v>
      </c>
      <c r="T39" s="577">
        <f t="shared" si="11"/>
        <v>2.1605511432846788E-4</v>
      </c>
      <c r="U39" s="578">
        <f t="shared" si="24"/>
        <v>0.99959990668867937</v>
      </c>
      <c r="V39" s="579">
        <f t="shared" si="25"/>
        <v>-5.3191452422739357E-4</v>
      </c>
      <c r="W39" s="580">
        <f t="shared" si="12"/>
        <v>60.947371619398758</v>
      </c>
      <c r="X39" s="581">
        <f t="shared" si="13"/>
        <v>-93.016357998562654</v>
      </c>
      <c r="Y39" s="584">
        <f t="shared" si="14"/>
        <v>86.983642001437346</v>
      </c>
      <c r="AA39" s="147">
        <f t="shared" si="15"/>
        <v>1000000000</v>
      </c>
      <c r="AB39" s="147">
        <f t="shared" si="16"/>
        <v>120.23122499999999</v>
      </c>
      <c r="AD39" s="583">
        <f t="shared" si="17"/>
        <v>58.805612794899218</v>
      </c>
      <c r="AE39" s="584">
        <f t="shared" si="18"/>
        <v>-87.525720601099266</v>
      </c>
      <c r="AG39" s="583">
        <f t="shared" si="19"/>
        <v>57.25095587585686</v>
      </c>
      <c r="AH39" s="584">
        <f t="shared" si="20"/>
        <v>-5.4296844827938706</v>
      </c>
      <c r="AJ39" s="147">
        <f t="shared" si="21"/>
        <v>0</v>
      </c>
      <c r="AK39" s="147">
        <f t="shared" si="22"/>
        <v>0</v>
      </c>
      <c r="AM39" s="147" t="str">
        <f t="shared" si="26"/>
        <v>2.88707218021322E-07+0.000759877853959195i</v>
      </c>
      <c r="AN39" s="147" t="str">
        <f t="shared" si="27"/>
        <v>0.000759877927086611i</v>
      </c>
      <c r="AO39" s="147" t="str">
        <f t="shared" si="28"/>
        <v>0.999999903764258-0.000379938945099027i</v>
      </c>
      <c r="AP39" s="147" t="str">
        <f t="shared" si="29"/>
        <v>0.166666618548797-0.000126646308993199i</v>
      </c>
      <c r="AQ39" s="147" t="str">
        <f t="shared" si="30"/>
        <v>0.833333381451203+0.000126646308993199i</v>
      </c>
      <c r="AR39" s="147" t="str">
        <f t="shared" si="31"/>
        <v>0.999599919194325-0.000151914759511256i</v>
      </c>
    </row>
    <row r="40" spans="1:44">
      <c r="G40" s="585">
        <v>12.023</v>
      </c>
      <c r="H40" s="573">
        <f t="shared" si="23"/>
        <v>1.2022999999999999E-2</v>
      </c>
      <c r="I40" s="574">
        <f t="shared" si="0"/>
        <v>1.0054620570956441</v>
      </c>
      <c r="J40" s="575">
        <f t="shared" si="1"/>
        <v>0.10428145284357887</v>
      </c>
      <c r="K40" s="575">
        <f t="shared" si="2"/>
        <v>1.0000000003107301</v>
      </c>
      <c r="L40" s="576">
        <f t="shared" si="3"/>
        <v>2.4929103159262848E-5</v>
      </c>
      <c r="M40" s="575">
        <f t="shared" si="4"/>
        <v>1.0000000149475472</v>
      </c>
      <c r="N40" s="576">
        <f t="shared" si="5"/>
        <v>-1.7290197833549038E-4</v>
      </c>
      <c r="O40" s="574">
        <f t="shared" si="6"/>
        <v>226.63041683162564</v>
      </c>
      <c r="P40" s="577">
        <f t="shared" si="7"/>
        <v>1.5663838421028977</v>
      </c>
      <c r="Q40" s="586">
        <f t="shared" si="8"/>
        <v>1.0008944113726657</v>
      </c>
      <c r="R40" s="587">
        <f t="shared" si="9"/>
        <v>4.2278723679560155E-2</v>
      </c>
      <c r="S40" s="574">
        <f t="shared" si="10"/>
        <v>1.0000000280612837</v>
      </c>
      <c r="T40" s="577">
        <f t="shared" si="11"/>
        <v>2.3690201836706857E-4</v>
      </c>
      <c r="U40" s="578">
        <f t="shared" si="24"/>
        <v>0.99959988781294606</v>
      </c>
      <c r="V40" s="579">
        <f t="shared" si="25"/>
        <v>-5.8323832757469895E-4</v>
      </c>
      <c r="W40" s="580">
        <f t="shared" si="12"/>
        <v>60.140685210281781</v>
      </c>
      <c r="X40" s="581">
        <f t="shared" si="13"/>
        <v>-93.355146857708036</v>
      </c>
      <c r="Y40" s="584">
        <f t="shared" si="14"/>
        <v>86.644853142291964</v>
      </c>
      <c r="AA40" s="147">
        <f t="shared" si="15"/>
        <v>1000000000</v>
      </c>
      <c r="AB40" s="147">
        <f t="shared" si="16"/>
        <v>144.55252899999999</v>
      </c>
      <c r="AD40" s="583">
        <f t="shared" si="17"/>
        <v>58.006851193349227</v>
      </c>
      <c r="AE40" s="584">
        <f t="shared" si="18"/>
        <v>-87.338364405552966</v>
      </c>
      <c r="AG40" s="583">
        <f t="shared" si="19"/>
        <v>57.243031396326188</v>
      </c>
      <c r="AH40" s="584">
        <f t="shared" si="20"/>
        <v>-5.9499482628381086</v>
      </c>
      <c r="AJ40" s="147">
        <f t="shared" si="21"/>
        <v>0</v>
      </c>
      <c r="AK40" s="147">
        <f t="shared" si="22"/>
        <v>0</v>
      </c>
      <c r="AM40" s="147" t="str">
        <f t="shared" si="26"/>
        <v>3.47109147980085E-07+0.00083319756135867i</v>
      </c>
      <c r="AN40" s="147" t="str">
        <f t="shared" si="27"/>
        <v>0.000833197657762182i</v>
      </c>
      <c r="AO40" s="147" t="str">
        <f t="shared" si="28"/>
        <v>0.999999884296948-0.000416598804312961i</v>
      </c>
      <c r="AP40" s="147" t="str">
        <f t="shared" si="29"/>
        <v>0.166666608815142-0.000138866260226445i</v>
      </c>
      <c r="AQ40" s="147" t="str">
        <f t="shared" si="30"/>
        <v>0.833333391184858+0.000138866260226445i</v>
      </c>
      <c r="AR40" s="147" t="str">
        <f t="shared" si="31"/>
        <v>0.999599902848331-0.000166572828713728i</v>
      </c>
    </row>
    <row r="41" spans="1:44">
      <c r="A41" s="235" t="str">
        <f>V3</f>
        <v>Adc</v>
      </c>
      <c r="B41" s="147">
        <f>Adc</f>
        <v>231474.7837157489</v>
      </c>
      <c r="C41" s="147" t="str">
        <f>X3</f>
        <v>V/V</v>
      </c>
      <c r="D41" s="149">
        <f>10*LOG10(B41)</f>
        <v>53.645036869756311</v>
      </c>
      <c r="E41" s="147" t="s">
        <v>781</v>
      </c>
      <c r="G41" s="585">
        <v>13.183</v>
      </c>
      <c r="H41" s="573">
        <f t="shared" si="23"/>
        <v>1.3183E-2</v>
      </c>
      <c r="I41" s="574">
        <f t="shared" si="0"/>
        <v>1.0065632755169058</v>
      </c>
      <c r="J41" s="575">
        <f t="shared" si="1"/>
        <v>0.11425916390442567</v>
      </c>
      <c r="K41" s="575">
        <f t="shared" si="2"/>
        <v>1.0000000003735821</v>
      </c>
      <c r="L41" s="576">
        <f t="shared" si="3"/>
        <v>2.7334306490459256E-5</v>
      </c>
      <c r="M41" s="575">
        <f t="shared" si="4"/>
        <v>1.0000000179710207</v>
      </c>
      <c r="N41" s="576">
        <f t="shared" si="5"/>
        <v>-1.8958386224755605E-4</v>
      </c>
      <c r="O41" s="574">
        <f t="shared" si="6"/>
        <v>248.49570754503691</v>
      </c>
      <c r="P41" s="577">
        <f t="shared" si="7"/>
        <v>1.5667721015519367</v>
      </c>
      <c r="Q41" s="586">
        <f t="shared" si="8"/>
        <v>1.0010752287741629</v>
      </c>
      <c r="R41" s="587">
        <f t="shared" si="9"/>
        <v>4.6352264810846366E-2</v>
      </c>
      <c r="S41" s="574">
        <f t="shared" si="10"/>
        <v>1.0000000337373016</v>
      </c>
      <c r="T41" s="577">
        <f t="shared" si="11"/>
        <v>2.5975873711347384E-4</v>
      </c>
      <c r="U41" s="578">
        <f t="shared" si="24"/>
        <v>0.99959986512062637</v>
      </c>
      <c r="V41" s="579">
        <f t="shared" si="25"/>
        <v>-6.3951017130462384E-4</v>
      </c>
      <c r="W41" s="580">
        <f t="shared" si="12"/>
        <v>59.33273223714879</v>
      </c>
      <c r="X41" s="581">
        <f t="shared" si="13"/>
        <v>-93.721028230615573</v>
      </c>
      <c r="Y41" s="584">
        <f t="shared" si="14"/>
        <v>86.278971769384427</v>
      </c>
      <c r="AA41" s="147">
        <f t="shared" si="15"/>
        <v>1000000000</v>
      </c>
      <c r="AB41" s="147">
        <f t="shared" si="16"/>
        <v>173.79148899999998</v>
      </c>
      <c r="AD41" s="583">
        <f t="shared" si="17"/>
        <v>57.208406285421333</v>
      </c>
      <c r="AE41" s="584">
        <f t="shared" si="18"/>
        <v>-87.128522912121227</v>
      </c>
      <c r="AG41" s="583">
        <f t="shared" si="19"/>
        <v>57.233523725484865</v>
      </c>
      <c r="AH41" s="584">
        <f t="shared" si="20"/>
        <v>-6.5192228508677168</v>
      </c>
      <c r="AJ41" s="147">
        <f t="shared" si="21"/>
        <v>0</v>
      </c>
      <c r="AK41" s="147">
        <f t="shared" si="22"/>
        <v>0</v>
      </c>
      <c r="AM41" s="147" t="str">
        <f t="shared" si="26"/>
        <v>4.17319679035799E-07+0.000913585893231816i</v>
      </c>
      <c r="AN41" s="147" t="str">
        <f t="shared" si="27"/>
        <v>0.000913586020317628i</v>
      </c>
      <c r="AO41" s="147" t="str">
        <f t="shared" si="28"/>
        <v>0.999999860893436-0.000456792978170472i</v>
      </c>
      <c r="AP41" s="147" t="str">
        <f t="shared" si="29"/>
        <v>0.166666597113387-0.000152264315538636i</v>
      </c>
      <c r="AQ41" s="147" t="str">
        <f t="shared" si="30"/>
        <v>0.833333402886613+0.000152264315538636i</v>
      </c>
      <c r="AR41" s="147" t="str">
        <f t="shared" si="31"/>
        <v>0.999599883197253-0.000182644055188845i</v>
      </c>
    </row>
    <row r="42" spans="1:44">
      <c r="A42" s="235" t="str">
        <f>V4</f>
        <v>Crossover</v>
      </c>
      <c r="B42" s="286">
        <f>W4</f>
        <v>4.7862999999999998</v>
      </c>
      <c r="C42" s="147" t="str">
        <f>X4</f>
        <v>kHz</v>
      </c>
      <c r="G42" s="585">
        <v>14.454000000000001</v>
      </c>
      <c r="H42" s="573">
        <f t="shared" si="23"/>
        <v>1.4454E-2</v>
      </c>
      <c r="I42" s="574">
        <f t="shared" si="0"/>
        <v>1.0078846484158499</v>
      </c>
      <c r="J42" s="575">
        <f t="shared" si="1"/>
        <v>0.12516539621586337</v>
      </c>
      <c r="K42" s="575">
        <f t="shared" si="2"/>
        <v>1.0000000004490903</v>
      </c>
      <c r="L42" s="576">
        <f t="shared" si="3"/>
        <v>2.9969662898673271E-5</v>
      </c>
      <c r="M42" s="575">
        <f t="shared" si="4"/>
        <v>1.000000021603312</v>
      </c>
      <c r="N42" s="576">
        <f t="shared" si="5"/>
        <v>-2.0786202975730836E-4</v>
      </c>
      <c r="O42" s="574">
        <f t="shared" si="6"/>
        <v>272.45331616156273</v>
      </c>
      <c r="P42" s="577">
        <f t="shared" si="7"/>
        <v>1.567125964989978</v>
      </c>
      <c r="Q42" s="586">
        <f t="shared" si="8"/>
        <v>1.0012924130706307</v>
      </c>
      <c r="R42" s="587">
        <f t="shared" si="9"/>
        <v>5.0813830028217176E-2</v>
      </c>
      <c r="S42" s="574">
        <f t="shared" si="10"/>
        <v>1.0000000405562639</v>
      </c>
      <c r="T42" s="577">
        <f t="shared" si="11"/>
        <v>2.8480260708261016E-4</v>
      </c>
      <c r="U42" s="578">
        <f t="shared" si="24"/>
        <v>0.99959983785889606</v>
      </c>
      <c r="V42" s="579">
        <f t="shared" si="25"/>
        <v>-7.0116664639886827E-4</v>
      </c>
      <c r="W42" s="580">
        <f t="shared" si="12"/>
        <v>58.523757056717677</v>
      </c>
      <c r="X42" s="581">
        <f t="shared" si="13"/>
        <v>-94.116419168358306</v>
      </c>
      <c r="Y42" s="584">
        <f t="shared" si="14"/>
        <v>85.883580831641694</v>
      </c>
      <c r="AA42" s="147">
        <f t="shared" si="15"/>
        <v>1000000000</v>
      </c>
      <c r="AB42" s="147">
        <f t="shared" si="16"/>
        <v>208.91811600000003</v>
      </c>
      <c r="AD42" s="583">
        <f t="shared" si="17"/>
        <v>56.410826293558699</v>
      </c>
      <c r="AE42" s="584">
        <f t="shared" si="18"/>
        <v>-86.894603844451879</v>
      </c>
      <c r="AG42" s="583">
        <f t="shared" si="19"/>
        <v>57.222129010690722</v>
      </c>
      <c r="AH42" s="584">
        <f t="shared" si="20"/>
        <v>-7.1414675446666083</v>
      </c>
      <c r="AJ42" s="147">
        <f t="shared" si="21"/>
        <v>0</v>
      </c>
      <c r="AK42" s="147">
        <f t="shared" si="22"/>
        <v>0</v>
      </c>
      <c r="AM42" s="147" t="str">
        <f t="shared" si="26"/>
        <v>5.01668064978311E-07+0.00100166655006447i</v>
      </c>
      <c r="AN42" s="147" t="str">
        <f t="shared" si="27"/>
        <v>0.00100166671756588i</v>
      </c>
      <c r="AO42" s="147" t="str">
        <f t="shared" si="28"/>
        <v>0.999999832777303-0.000500833317290804i</v>
      </c>
      <c r="AP42" s="147" t="str">
        <f t="shared" si="29"/>
        <v>0.166666583055323-0.000166944425010745i</v>
      </c>
      <c r="AQ42" s="147" t="str">
        <f t="shared" si="30"/>
        <v>0.833333416944677+0.000166944425010745i</v>
      </c>
      <c r="AR42" s="147" t="str">
        <f t="shared" si="31"/>
        <v>0.999599859589163-0.000200253128467801i</v>
      </c>
    </row>
    <row r="43" spans="1:44">
      <c r="A43" s="235" t="str">
        <f>V5</f>
        <v>Phase Margin</v>
      </c>
      <c r="B43" s="459">
        <f>W5</f>
        <v>66.032256153349948</v>
      </c>
      <c r="C43" s="147" t="str">
        <f>X5</f>
        <v>°</v>
      </c>
      <c r="G43" s="585">
        <v>15.849</v>
      </c>
      <c r="H43" s="573">
        <f t="shared" si="23"/>
        <v>1.5848999999999999E-2</v>
      </c>
      <c r="I43" s="574">
        <f t="shared" si="0"/>
        <v>1.0094725443012031</v>
      </c>
      <c r="J43" s="575">
        <f t="shared" si="1"/>
        <v>0.1371012000693492</v>
      </c>
      <c r="K43" s="575">
        <f t="shared" si="2"/>
        <v>1.0000000005399596</v>
      </c>
      <c r="L43" s="576">
        <f t="shared" si="3"/>
        <v>3.2862127248671511E-5</v>
      </c>
      <c r="M43" s="575">
        <f t="shared" si="4"/>
        <v>1.0000000259745461</v>
      </c>
      <c r="N43" s="576">
        <f t="shared" si="5"/>
        <v>-2.2792343296133729E-4</v>
      </c>
      <c r="O43" s="574">
        <f t="shared" si="6"/>
        <v>298.74828511356259</v>
      </c>
      <c r="P43" s="577">
        <f t="shared" si="7"/>
        <v>1.5674490209951941</v>
      </c>
      <c r="Q43" s="586">
        <f t="shared" si="8"/>
        <v>1.0015537182615797</v>
      </c>
      <c r="R43" s="587">
        <f t="shared" si="9"/>
        <v>5.5708333753674406E-2</v>
      </c>
      <c r="S43" s="574">
        <f t="shared" si="10"/>
        <v>1.0000000487624556</v>
      </c>
      <c r="T43" s="577">
        <f t="shared" si="11"/>
        <v>3.1228978102656817E-4</v>
      </c>
      <c r="U43" s="578">
        <f t="shared" si="24"/>
        <v>0.99959980505112611</v>
      </c>
      <c r="V43" s="579">
        <f t="shared" si="25"/>
        <v>-7.6883838330200807E-4</v>
      </c>
      <c r="W43" s="580">
        <f>20*LOG10(((K43*Q43*M43*U43)/(I43*O43*S43))*Adc)</f>
        <v>57.71208310391458</v>
      </c>
      <c r="X43" s="581">
        <f t="shared" si="13"/>
        <v>-94.544801605823665</v>
      </c>
      <c r="Y43" s="584">
        <f t="shared" si="14"/>
        <v>85.455198394176335</v>
      </c>
      <c r="AA43" s="147">
        <f t="shared" si="15"/>
        <v>1000000000</v>
      </c>
      <c r="AB43" s="147">
        <f t="shared" si="16"/>
        <v>251.19080099999999</v>
      </c>
      <c r="AD43" s="583">
        <f t="shared" si="17"/>
        <v>55.612826210483981</v>
      </c>
      <c r="AE43" s="584">
        <f t="shared" si="18"/>
        <v>-86.634254082577613</v>
      </c>
      <c r="AG43" s="583">
        <f t="shared" si="19"/>
        <v>57.208455711119854</v>
      </c>
      <c r="AH43" s="584">
        <f t="shared" si="20"/>
        <v>-7.8224451341636465</v>
      </c>
      <c r="AJ43" s="147">
        <f t="shared" si="21"/>
        <v>0</v>
      </c>
      <c r="AK43" s="147">
        <f t="shared" si="22"/>
        <v>0</v>
      </c>
      <c r="AM43" s="147" t="str">
        <f t="shared" si="26"/>
        <v>6.03176035007813E-07+0.00109834043273913i</v>
      </c>
      <c r="AN43" s="147" t="str">
        <f t="shared" si="27"/>
        <v>0.00109834065357006i</v>
      </c>
      <c r="AO43" s="147" t="str">
        <f t="shared" si="28"/>
        <v>0.999999798941313-0.000549170271579443i</v>
      </c>
      <c r="AP43" s="147" t="str">
        <f t="shared" si="29"/>
        <v>0.166666566137327-0.000183056738789855i</v>
      </c>
      <c r="AQ43" s="147" t="str">
        <f t="shared" si="30"/>
        <v>0.833333433862673+0.000183056738789855i</v>
      </c>
      <c r="AR43" s="147" t="str">
        <f t="shared" si="31"/>
        <v>0.999599831178314-0.000219580155739372i</v>
      </c>
    </row>
    <row r="44" spans="1:44">
      <c r="G44" s="585">
        <v>17.378</v>
      </c>
      <c r="H44" s="573">
        <f t="shared" si="23"/>
        <v>1.7378000000000001E-2</v>
      </c>
      <c r="I44" s="574">
        <f t="shared" si="0"/>
        <v>1.0113776079775381</v>
      </c>
      <c r="J44" s="575">
        <f t="shared" si="1"/>
        <v>0.15013840337783202</v>
      </c>
      <c r="K44" s="575">
        <f t="shared" si="2"/>
        <v>1.0000000006491681</v>
      </c>
      <c r="L44" s="576">
        <f t="shared" si="3"/>
        <v>3.603243405172792E-5</v>
      </c>
      <c r="M44" s="575">
        <f t="shared" si="4"/>
        <v>1.0000000312279749</v>
      </c>
      <c r="N44" s="576">
        <f t="shared" si="5"/>
        <v>-2.4991188113635427E-4</v>
      </c>
      <c r="O44" s="574">
        <f t="shared" si="6"/>
        <v>327.56910882921471</v>
      </c>
      <c r="P44" s="577">
        <f t="shared" si="7"/>
        <v>1.5677435311364902</v>
      </c>
      <c r="Q44" s="586">
        <f t="shared" si="8"/>
        <v>1.0018676694279072</v>
      </c>
      <c r="R44" s="587">
        <f t="shared" si="9"/>
        <v>6.1069914505906139E-2</v>
      </c>
      <c r="S44" s="574">
        <f t="shared" si="10"/>
        <v>1.0000000586248063</v>
      </c>
      <c r="T44" s="577">
        <f t="shared" si="11"/>
        <v>3.4241729945093722E-4</v>
      </c>
      <c r="U44" s="578">
        <f t="shared" si="24"/>
        <v>0.99959976562215391</v>
      </c>
      <c r="V44" s="579">
        <f t="shared" si="25"/>
        <v>-8.4301048450211545E-4</v>
      </c>
      <c r="W44" s="580">
        <f t="shared" si="12"/>
        <v>56.898478194848479</v>
      </c>
      <c r="X44" s="581">
        <f t="shared" si="13"/>
        <v>-95.008510700170376</v>
      </c>
      <c r="Y44" s="584">
        <f t="shared" si="14"/>
        <v>84.991489299829624</v>
      </c>
      <c r="AA44" s="147">
        <f t="shared" si="15"/>
        <v>1000000000</v>
      </c>
      <c r="AB44" s="147">
        <f t="shared" si="16"/>
        <v>301.99488400000001</v>
      </c>
      <c r="AD44" s="583">
        <f t="shared" si="17"/>
        <v>54.815598049440453</v>
      </c>
      <c r="AE44" s="584">
        <f t="shared" si="18"/>
        <v>-86.345658501399356</v>
      </c>
      <c r="AG44" s="583">
        <f t="shared" si="19"/>
        <v>57.192079648322917</v>
      </c>
      <c r="AH44" s="584">
        <f t="shared" si="20"/>
        <v>-8.5662503129661349</v>
      </c>
      <c r="AJ44" s="147">
        <f t="shared" si="21"/>
        <v>0</v>
      </c>
      <c r="AK44" s="147">
        <f t="shared" si="22"/>
        <v>0</v>
      </c>
      <c r="AM44" s="147" t="str">
        <f t="shared" si="26"/>
        <v>7.25170159032729E-07+0.00120430054034795i</v>
      </c>
      <c r="AN44" s="147" t="str">
        <f t="shared" si="27"/>
        <v>0.00120430083145564i</v>
      </c>
      <c r="AO44" s="147" t="str">
        <f t="shared" si="28"/>
        <v>0.999999758276601-0.000602150343246226i</v>
      </c>
      <c r="AP44" s="147" t="str">
        <f t="shared" si="29"/>
        <v>0.166666545804974-0.000200716756724658i</v>
      </c>
      <c r="AQ44" s="147" t="str">
        <f t="shared" si="30"/>
        <v>0.833333454195026+0.000200716756724658i</v>
      </c>
      <c r="AR44" s="147" t="str">
        <f t="shared" si="31"/>
        <v>0.999599797033646-0.000240763680220937i</v>
      </c>
    </row>
    <row r="45" spans="1:44">
      <c r="G45" s="585">
        <v>19.055</v>
      </c>
      <c r="H45" s="573">
        <f t="shared" si="23"/>
        <v>1.9054999999999999E-2</v>
      </c>
      <c r="I45" s="574">
        <f t="shared" si="0"/>
        <v>1.0136639386861621</v>
      </c>
      <c r="J45" s="575">
        <f t="shared" si="1"/>
        <v>0.16437849898735188</v>
      </c>
      <c r="K45" s="575">
        <f t="shared" si="2"/>
        <v>1.0000000007805045</v>
      </c>
      <c r="L45" s="576">
        <f t="shared" si="3"/>
        <v>3.9509611623636703E-5</v>
      </c>
      <c r="M45" s="575">
        <f t="shared" si="4"/>
        <v>1.0000000375458673</v>
      </c>
      <c r="N45" s="576">
        <f t="shared" si="5"/>
        <v>-2.7402870727331858E-4</v>
      </c>
      <c r="O45" s="574">
        <f t="shared" si="6"/>
        <v>359.1796797381304</v>
      </c>
      <c r="P45" s="577">
        <f t="shared" si="7"/>
        <v>1.5680122013326137</v>
      </c>
      <c r="Q45" s="586">
        <f t="shared" si="8"/>
        <v>1.0022451039583757</v>
      </c>
      <c r="R45" s="587">
        <f t="shared" si="9"/>
        <v>6.6946420070033999E-2</v>
      </c>
      <c r="S45" s="574">
        <f t="shared" si="10"/>
        <v>1.0000000704854926</v>
      </c>
      <c r="T45" s="577">
        <f t="shared" si="11"/>
        <v>3.754610190727075E-4</v>
      </c>
      <c r="U45" s="578">
        <f t="shared" si="24"/>
        <v>0.99959971820398319</v>
      </c>
      <c r="V45" s="579">
        <f t="shared" si="25"/>
        <v>-9.2436209027768363E-4</v>
      </c>
      <c r="W45" s="580">
        <f t="shared" si="12"/>
        <v>56.081959717453429</v>
      </c>
      <c r="X45" s="581">
        <f t="shared" si="13"/>
        <v>-95.510839714336498</v>
      </c>
      <c r="Y45" s="584">
        <f t="shared" si="14"/>
        <v>84.489160285663502</v>
      </c>
      <c r="AA45" s="147">
        <f t="shared" si="15"/>
        <v>1000000000</v>
      </c>
      <c r="AB45" s="147">
        <f t="shared" si="16"/>
        <v>363.09302500000001</v>
      </c>
      <c r="AD45" s="583">
        <f t="shared" si="17"/>
        <v>54.018693179634091</v>
      </c>
      <c r="AE45" s="584">
        <f t="shared" si="18"/>
        <v>-86.026246467917275</v>
      </c>
      <c r="AG45" s="583">
        <f t="shared" si="19"/>
        <v>57.172466864802075</v>
      </c>
      <c r="AH45" s="584">
        <f t="shared" si="20"/>
        <v>-9.3786691532685786</v>
      </c>
      <c r="AJ45" s="147">
        <f t="shared" si="21"/>
        <v>0</v>
      </c>
      <c r="AK45" s="147">
        <f t="shared" ref="AK45:AK53" si="32">IF(AJ45&gt;0,Y43,0)</f>
        <v>0</v>
      </c>
      <c r="AM45" s="147" t="str">
        <f t="shared" si="26"/>
        <v>8.71883048980671E-07+0.00132051707181935i</v>
      </c>
      <c r="AN45" s="147" t="str">
        <f t="shared" si="27"/>
        <v>0.0013205174555983i</v>
      </c>
      <c r="AO45" s="147" t="str">
        <f t="shared" si="28"/>
        <v>0.999999709372301-0.000660258632162979i</v>
      </c>
      <c r="AP45" s="147" t="str">
        <f t="shared" si="29"/>
        <v>0.166666521352825-0.000220086178636558i</v>
      </c>
      <c r="AQ45" s="147" t="str">
        <f t="shared" si="30"/>
        <v>0.833333478647175+0.000220086178636558i</v>
      </c>
      <c r="AR45" s="147" t="str">
        <f t="shared" si="31"/>
        <v>0.999599755970499-0.000263997662514082i</v>
      </c>
    </row>
    <row r="46" spans="1:44">
      <c r="G46" s="585">
        <v>20.893000000000001</v>
      </c>
      <c r="H46" s="573">
        <f t="shared" si="23"/>
        <v>2.0893000000000002E-2</v>
      </c>
      <c r="I46" s="574">
        <f t="shared" si="0"/>
        <v>1.0164047226985411</v>
      </c>
      <c r="J46" s="575">
        <f t="shared" si="1"/>
        <v>0.17990861819130111</v>
      </c>
      <c r="K46" s="575">
        <f t="shared" si="2"/>
        <v>1.0000000009383379</v>
      </c>
      <c r="L46" s="576">
        <f t="shared" si="3"/>
        <v>4.3320614828957418E-5</v>
      </c>
      <c r="M46" s="575">
        <f t="shared" si="4"/>
        <v>1.0000000451383668</v>
      </c>
      <c r="N46" s="576">
        <f t="shared" si="5"/>
        <v>-3.0046086339973659E-4</v>
      </c>
      <c r="O46" s="574">
        <f t="shared" si="6"/>
        <v>393.82504102005566</v>
      </c>
      <c r="P46" s="577">
        <f t="shared" si="7"/>
        <v>1.5682571254480213</v>
      </c>
      <c r="Q46" s="586">
        <f t="shared" si="8"/>
        <v>1.0026984962975463</v>
      </c>
      <c r="R46" s="587">
        <f t="shared" si="9"/>
        <v>7.3381768893958435E-2</v>
      </c>
      <c r="S46" s="574">
        <f t="shared" si="10"/>
        <v>1.0000000847390202</v>
      </c>
      <c r="T46" s="577">
        <f t="shared" si="11"/>
        <v>4.1167709246627221E-4</v>
      </c>
      <c r="U46" s="578">
        <f t="shared" si="24"/>
        <v>0.99959966121941224</v>
      </c>
      <c r="V46" s="579">
        <f t="shared" si="25"/>
        <v>-1.0135238314030561E-3</v>
      </c>
      <c r="W46" s="580">
        <f t="shared" si="12"/>
        <v>55.262602657284816</v>
      </c>
      <c r="X46" s="581">
        <f t="shared" si="13"/>
        <v>-96.0544445076941</v>
      </c>
      <c r="Y46" s="584">
        <f t="shared" si="14"/>
        <v>83.9455554923059</v>
      </c>
      <c r="AA46" s="147">
        <f t="shared" si="15"/>
        <v>1000000000</v>
      </c>
      <c r="AB46" s="147">
        <f t="shared" si="16"/>
        <v>436.51744900000006</v>
      </c>
      <c r="AD46" s="583">
        <f t="shared" si="17"/>
        <v>53.222790100746103</v>
      </c>
      <c r="AE46" s="584">
        <f t="shared" si="18"/>
        <v>-85.673636286478839</v>
      </c>
      <c r="AG46" s="583">
        <f t="shared" si="19"/>
        <v>57.149013873841255</v>
      </c>
      <c r="AH46" s="584">
        <f t="shared" si="20"/>
        <v>-10.264666945131919</v>
      </c>
      <c r="AJ46" s="147">
        <f t="shared" si="21"/>
        <v>0</v>
      </c>
      <c r="AK46" s="147">
        <f t="shared" si="32"/>
        <v>0</v>
      </c>
      <c r="AM46" s="147" t="str">
        <f t="shared" si="26"/>
        <v>1.04819461399508E-06+0.00144789092417045i</v>
      </c>
      <c r="AN46" s="147" t="str">
        <f t="shared" si="27"/>
        <v>0.00144789143006115i</v>
      </c>
      <c r="AO46" s="147" t="str">
        <f t="shared" si="28"/>
        <v>0.999999650601772-0.000723945588897374i</v>
      </c>
      <c r="AP46" s="147" t="str">
        <f t="shared" si="29"/>
        <v>0.166666491967564-0.000241315154028408i</v>
      </c>
      <c r="AQ46" s="147" t="str">
        <f t="shared" si="30"/>
        <v>0.833333508032436+0.000241315154028408i</v>
      </c>
      <c r="AR46" s="147" t="str">
        <f t="shared" si="31"/>
        <v>0.999599706623053-0.000289462207922047i</v>
      </c>
    </row>
    <row r="47" spans="1:44">
      <c r="G47" s="585">
        <v>22.909000000000002</v>
      </c>
      <c r="H47" s="573">
        <f t="shared" si="23"/>
        <v>2.2909000000000002E-2</v>
      </c>
      <c r="I47" s="574">
        <f t="shared" si="0"/>
        <v>1.0196912044445234</v>
      </c>
      <c r="J47" s="575">
        <f t="shared" si="1"/>
        <v>0.19684218444352924</v>
      </c>
      <c r="K47" s="575">
        <f t="shared" si="2"/>
        <v>1.0000000011281578</v>
      </c>
      <c r="L47" s="576">
        <f t="shared" si="3"/>
        <v>4.750069233671548E-5</v>
      </c>
      <c r="M47" s="575">
        <f t="shared" si="4"/>
        <v>1.0000000542695844</v>
      </c>
      <c r="N47" s="576">
        <f t="shared" si="5"/>
        <v>-3.2945282523921327E-4</v>
      </c>
      <c r="O47" s="574">
        <f t="shared" si="6"/>
        <v>431.82563398940709</v>
      </c>
      <c r="P47" s="577">
        <f t="shared" si="7"/>
        <v>1.5684805752158477</v>
      </c>
      <c r="Q47" s="586">
        <f t="shared" si="8"/>
        <v>1.0032435030547571</v>
      </c>
      <c r="R47" s="587">
        <f t="shared" si="9"/>
        <v>8.0433330463468386E-2</v>
      </c>
      <c r="S47" s="574">
        <f t="shared" si="10"/>
        <v>1.000000101881209</v>
      </c>
      <c r="T47" s="577">
        <f t="shared" si="11"/>
        <v>4.5140048837074236E-4</v>
      </c>
      <c r="U47" s="578">
        <f t="shared" si="24"/>
        <v>0.99959959268619158</v>
      </c>
      <c r="V47" s="579">
        <f t="shared" si="25"/>
        <v>-1.1113203780791852E-3</v>
      </c>
      <c r="W47" s="580">
        <f t="shared" si="12"/>
        <v>54.439180013923441</v>
      </c>
      <c r="X47" s="581">
        <f t="shared" si="13"/>
        <v>-96.642745327006978</v>
      </c>
      <c r="Y47" s="584">
        <f t="shared" si="14"/>
        <v>83.357254672993022</v>
      </c>
      <c r="AA47" s="147">
        <f t="shared" si="15"/>
        <v>1000000000</v>
      </c>
      <c r="AB47" s="147">
        <f t="shared" si="16"/>
        <v>524.82228100000009</v>
      </c>
      <c r="AD47" s="583">
        <f t="shared" si="17"/>
        <v>52.427407949965527</v>
      </c>
      <c r="AE47" s="584">
        <f t="shared" si="18"/>
        <v>-85.284690280687713</v>
      </c>
      <c r="AG47" s="583">
        <f t="shared" si="19"/>
        <v>57.120974572281298</v>
      </c>
      <c r="AH47" s="584">
        <f t="shared" si="20"/>
        <v>-11.230707111472093</v>
      </c>
      <c r="AJ47" s="147">
        <f t="shared" si="21"/>
        <v>0</v>
      </c>
      <c r="AK47" s="147">
        <f t="shared" si="32"/>
        <v>0</v>
      </c>
      <c r="AM47" s="147" t="str">
        <f t="shared" si="26"/>
        <v>1.26023798097119E-06+0.00158760019323916i</v>
      </c>
      <c r="AN47" s="147" t="str">
        <f t="shared" si="27"/>
        <v>0.00158760086015752i</v>
      </c>
      <c r="AO47" s="147" t="str">
        <f t="shared" si="28"/>
        <v>0.999999579920636-0.000793800263402572i</v>
      </c>
      <c r="AP47" s="147" t="str">
        <f t="shared" si="29"/>
        <v>0.166666456627003-0.000264600032206527i</v>
      </c>
      <c r="AQ47" s="147" t="str">
        <f t="shared" si="30"/>
        <v>0.833333543372997+0.000264600032206527i</v>
      </c>
      <c r="AR47" s="147" t="str">
        <f t="shared" si="31"/>
        <v>0.999599647274725-0.000317392838636928i</v>
      </c>
    </row>
    <row r="48" spans="1:44">
      <c r="A48" s="147" t="s">
        <v>802</v>
      </c>
      <c r="G48" s="585">
        <v>25.119</v>
      </c>
      <c r="H48" s="573">
        <f t="shared" si="23"/>
        <v>2.5118999999999999E-2</v>
      </c>
      <c r="I48" s="574">
        <f t="shared" si="0"/>
        <v>1.0236275719748191</v>
      </c>
      <c r="J48" s="575">
        <f t="shared" si="1"/>
        <v>0.21527444974432025</v>
      </c>
      <c r="K48" s="575">
        <f t="shared" si="2"/>
        <v>1.0000000013563204</v>
      </c>
      <c r="L48" s="576">
        <f t="shared" si="3"/>
        <v>5.2083019364636816E-5</v>
      </c>
      <c r="M48" s="575">
        <f t="shared" si="4"/>
        <v>1.0000000652452532</v>
      </c>
      <c r="N48" s="576">
        <f t="shared" si="5"/>
        <v>-3.6123468753026535E-4</v>
      </c>
      <c r="O48" s="574">
        <f t="shared" si="6"/>
        <v>473.48305065728727</v>
      </c>
      <c r="P48" s="577">
        <f t="shared" si="7"/>
        <v>1.5686843172054448</v>
      </c>
      <c r="Q48" s="586">
        <f t="shared" si="8"/>
        <v>1.0038982063540469</v>
      </c>
      <c r="R48" s="587">
        <f t="shared" si="9"/>
        <v>8.8154239737324988E-2</v>
      </c>
      <c r="S48" s="574">
        <f t="shared" si="10"/>
        <v>1.0000001224860173</v>
      </c>
      <c r="T48" s="577">
        <f t="shared" si="11"/>
        <v>4.9494647132698071E-4</v>
      </c>
      <c r="U48" s="578">
        <f t="shared" si="24"/>
        <v>0.99959951030969352</v>
      </c>
      <c r="V48" s="579">
        <f t="shared" si="25"/>
        <v>-1.2185278904342318E-3</v>
      </c>
      <c r="W48" s="580">
        <f t="shared" si="12"/>
        <v>53.611459264865964</v>
      </c>
      <c r="X48" s="581">
        <f t="shared" si="13"/>
        <v>-97.278330334655578</v>
      </c>
      <c r="Y48" s="584">
        <f t="shared" si="14"/>
        <v>82.721669665344422</v>
      </c>
      <c r="AA48" s="147">
        <f t="shared" si="15"/>
        <v>1000000000</v>
      </c>
      <c r="AB48" s="147">
        <f t="shared" si="16"/>
        <v>630.96416099999999</v>
      </c>
      <c r="AD48" s="583">
        <f t="shared" si="17"/>
        <v>51.633153861631847</v>
      </c>
      <c r="AE48" s="584">
        <f t="shared" si="18"/>
        <v>-84.856483321954684</v>
      </c>
      <c r="AG48" s="583">
        <f t="shared" si="19"/>
        <v>57.08750934315713</v>
      </c>
      <c r="AH48" s="584">
        <f t="shared" si="20"/>
        <v>-12.282214001859629</v>
      </c>
      <c r="AJ48" s="147">
        <f t="shared" si="21"/>
        <v>0</v>
      </c>
      <c r="AK48" s="147">
        <f t="shared" si="32"/>
        <v>0</v>
      </c>
      <c r="AM48" s="147" t="str">
        <f t="shared" si="26"/>
        <v>1.51511282098227E-06+0.00174075367174155i</v>
      </c>
      <c r="AN48" s="147" t="str">
        <f t="shared" si="27"/>
        <v>0.00174075455088815i</v>
      </c>
      <c r="AO48" s="147" t="str">
        <f t="shared" si="28"/>
        <v>0.999999494962343-0.000870377055863071i</v>
      </c>
      <c r="AP48" s="147" t="str">
        <f t="shared" si="29"/>
        <v>0.166666414147863-0.000290125611956925i</v>
      </c>
      <c r="AQ48" s="147" t="str">
        <f t="shared" si="30"/>
        <v>0.833333585852137+0.000290125611956925i</v>
      </c>
      <c r="AR48" s="147" t="str">
        <f t="shared" si="31"/>
        <v>0.999599575938411-0.000348011220961964i</v>
      </c>
    </row>
    <row r="49" spans="1:44">
      <c r="A49" s="147">
        <v>0.1</v>
      </c>
      <c r="C49" s="235" t="s">
        <v>803</v>
      </c>
      <c r="D49" s="648">
        <f>Fco_desire*1000</f>
        <v>5000</v>
      </c>
      <c r="E49" s="648" t="s">
        <v>8</v>
      </c>
      <c r="G49" s="585">
        <v>27.542000000000002</v>
      </c>
      <c r="H49" s="573">
        <f t="shared" si="23"/>
        <v>2.7542000000000001E-2</v>
      </c>
      <c r="I49" s="574">
        <f t="shared" si="0"/>
        <v>1.0283396999552978</v>
      </c>
      <c r="J49" s="575">
        <f t="shared" si="1"/>
        <v>0.23531346603256612</v>
      </c>
      <c r="K49" s="575">
        <f t="shared" si="2"/>
        <v>1.0000000016306041</v>
      </c>
      <c r="L49" s="576">
        <f t="shared" si="3"/>
        <v>5.7106991483678726E-5</v>
      </c>
      <c r="M49" s="575">
        <f t="shared" si="4"/>
        <v>1.0000000784395646</v>
      </c>
      <c r="N49" s="576">
        <f t="shared" si="5"/>
        <v>-3.9607968774409803E-4</v>
      </c>
      <c r="O49" s="574">
        <f t="shared" si="6"/>
        <v>519.15543170139733</v>
      </c>
      <c r="P49" s="577">
        <f t="shared" si="7"/>
        <v>1.5688701201960333</v>
      </c>
      <c r="Q49" s="586">
        <f t="shared" si="8"/>
        <v>1.0046846879165801</v>
      </c>
      <c r="R49" s="587">
        <f t="shared" si="9"/>
        <v>9.6607164807172949E-2</v>
      </c>
      <c r="S49" s="574">
        <f t="shared" si="10"/>
        <v>1.0000001472559203</v>
      </c>
      <c r="T49" s="577">
        <f t="shared" si="11"/>
        <v>5.4268941789808089E-4</v>
      </c>
      <c r="U49" s="578">
        <f t="shared" si="24"/>
        <v>0.99959941128147578</v>
      </c>
      <c r="V49" s="579">
        <f t="shared" si="25"/>
        <v>-1.3360680562700864E-3</v>
      </c>
      <c r="W49" s="580">
        <f t="shared" si="12"/>
        <v>52.778508563560464</v>
      </c>
      <c r="X49" s="581">
        <f t="shared" si="13"/>
        <v>-97.963988834304772</v>
      </c>
      <c r="Y49" s="584">
        <f t="shared" si="14"/>
        <v>82.036011165695228</v>
      </c>
      <c r="AA49" s="147">
        <f t="shared" si="15"/>
        <v>1000000000</v>
      </c>
      <c r="AB49" s="147">
        <f t="shared" si="16"/>
        <v>758.56176400000004</v>
      </c>
      <c r="AD49" s="583">
        <f t="shared" si="17"/>
        <v>50.84009644608151</v>
      </c>
      <c r="AE49" s="584">
        <f t="shared" si="18"/>
        <v>-84.385547586895612</v>
      </c>
      <c r="AG49" s="583">
        <f t="shared" si="19"/>
        <v>57.047617778387632</v>
      </c>
      <c r="AH49" s="584">
        <f t="shared" si="20"/>
        <v>-13.425339125701148</v>
      </c>
      <c r="AJ49" s="147">
        <f t="shared" si="21"/>
        <v>0</v>
      </c>
      <c r="AK49" s="147">
        <f t="shared" si="32"/>
        <v>0</v>
      </c>
      <c r="AM49" s="147" t="str">
        <f t="shared" si="26"/>
        <v>1.82150852001683E-06+0.00190866804930559i</v>
      </c>
      <c r="AN49" s="147" t="str">
        <f t="shared" si="27"/>
        <v>0.00190866920819147i</v>
      </c>
      <c r="AO49" s="147" t="str">
        <f t="shared" si="28"/>
        <v>0.999999392830421-0.000954334314295756i</v>
      </c>
      <c r="AP49" s="147" t="str">
        <f t="shared" si="29"/>
        <v>0.166666363081913-0.000318111341550932i</v>
      </c>
      <c r="AQ49" s="147" t="str">
        <f t="shared" si="30"/>
        <v>0.833333636918087+0.000318111341550932i</v>
      </c>
      <c r="AR49" s="147" t="str">
        <f t="shared" si="31"/>
        <v>0.999599490182069-0.000381580582792078i</v>
      </c>
    </row>
    <row r="50" spans="1:44">
      <c r="A50" s="147">
        <v>0.2</v>
      </c>
      <c r="C50" s="647" t="s">
        <v>810</v>
      </c>
      <c r="D50" s="147">
        <f>SQRT(1+(D49/Zero1)^2)*SQRT(1+(D49/z_RHP)^2)/SQRT(1+(D49/pole1)^2)/D58</f>
        <v>2.3482410964972365E-2</v>
      </c>
      <c r="G50" s="585">
        <v>30.2</v>
      </c>
      <c r="H50" s="573">
        <f t="shared" si="23"/>
        <v>3.0199999999999998E-2</v>
      </c>
      <c r="I50" s="574">
        <f t="shared" si="0"/>
        <v>1.0339791399601879</v>
      </c>
      <c r="J50" s="575">
        <f t="shared" si="1"/>
        <v>0.25707619605924509</v>
      </c>
      <c r="K50" s="575">
        <f t="shared" si="2"/>
        <v>1.0000000019605211</v>
      </c>
      <c r="L50" s="576">
        <f t="shared" si="3"/>
        <v>6.261822461795709E-5</v>
      </c>
      <c r="M50" s="575">
        <f t="shared" si="4"/>
        <v>1.0000000943100791</v>
      </c>
      <c r="N50" s="576">
        <f t="shared" si="5"/>
        <v>-4.3430420606033941E-4</v>
      </c>
      <c r="O50" s="574">
        <f t="shared" si="6"/>
        <v>569.25746651786142</v>
      </c>
      <c r="P50" s="577">
        <f t="shared" si="7"/>
        <v>1.5690396515238014</v>
      </c>
      <c r="Q50" s="586">
        <f t="shared" si="8"/>
        <v>1.0056298767226679</v>
      </c>
      <c r="R50" s="587">
        <f t="shared" si="9"/>
        <v>0.10586396997301097</v>
      </c>
      <c r="S50" s="574">
        <f t="shared" si="10"/>
        <v>1.0000001770499038</v>
      </c>
      <c r="T50" s="577">
        <f t="shared" si="11"/>
        <v>5.9506281660695083E-4</v>
      </c>
      <c r="U50" s="578">
        <f t="shared" si="24"/>
        <v>0.99959929216738641</v>
      </c>
      <c r="V50" s="579">
        <f t="shared" si="25"/>
        <v>-1.4650080939815153E-3</v>
      </c>
      <c r="W50" s="580">
        <f t="shared" si="12"/>
        <v>51.93894493092067</v>
      </c>
      <c r="X50" s="581">
        <f t="shared" si="13"/>
        <v>-98.702501806009735</v>
      </c>
      <c r="Y50" s="584">
        <f t="shared" si="14"/>
        <v>81.297498193990265</v>
      </c>
      <c r="AA50" s="147">
        <f t="shared" si="15"/>
        <v>1000000000</v>
      </c>
      <c r="AB50" s="147">
        <f t="shared" si="16"/>
        <v>912.04</v>
      </c>
      <c r="AD50" s="583">
        <f t="shared" si="17"/>
        <v>50.048037202021824</v>
      </c>
      <c r="AE50" s="584">
        <f t="shared" si="18"/>
        <v>-83.867885922807815</v>
      </c>
      <c r="AG50" s="583">
        <f t="shared" si="19"/>
        <v>57.000115459860552</v>
      </c>
      <c r="AH50" s="584">
        <f t="shared" si="20"/>
        <v>-14.666738321534799</v>
      </c>
      <c r="AJ50" s="147">
        <f t="shared" si="21"/>
        <v>0</v>
      </c>
      <c r="AK50" s="147">
        <f t="shared" si="32"/>
        <v>0</v>
      </c>
      <c r="AM50" s="147" t="str">
        <f t="shared" si="26"/>
        <v>2.19005044499454E-06+0.00209286791111341i</v>
      </c>
      <c r="AN50" s="147" t="str">
        <f t="shared" si="27"/>
        <v>0.00209286943894352i</v>
      </c>
      <c r="AO50" s="147" t="str">
        <f t="shared" si="28"/>
        <v>0.999999269983076-0.00104643433758585i</v>
      </c>
      <c r="AP50" s="147" t="str">
        <f t="shared" si="29"/>
        <v>0.166666301658259-0.000348811318518902i</v>
      </c>
      <c r="AQ50" s="147" t="str">
        <f t="shared" si="30"/>
        <v>0.833333698341741+0.000348811318518902i</v>
      </c>
      <c r="AR50" s="147" t="str">
        <f t="shared" si="31"/>
        <v>0.999599387031805-0.000418405712951577i</v>
      </c>
    </row>
    <row r="51" spans="1:44">
      <c r="A51" s="147">
        <v>0.3</v>
      </c>
      <c r="C51" s="235" t="s">
        <v>811</v>
      </c>
      <c r="D51" s="648">
        <f>20*LOG(D50*Acs*Am)</f>
        <v>24.701722652489675</v>
      </c>
      <c r="E51" s="235" t="s">
        <v>781</v>
      </c>
      <c r="G51" s="585">
        <v>33.113</v>
      </c>
      <c r="H51" s="573">
        <f t="shared" si="23"/>
        <v>3.3112999999999997E-2</v>
      </c>
      <c r="I51" s="574">
        <f t="shared" si="0"/>
        <v>1.0407154828724186</v>
      </c>
      <c r="J51" s="575">
        <f t="shared" si="1"/>
        <v>0.28064347219442565</v>
      </c>
      <c r="K51" s="575">
        <f t="shared" si="2"/>
        <v>1.0000000023569733</v>
      </c>
      <c r="L51" s="576">
        <f t="shared" si="3"/>
        <v>6.8658187788953298E-5</v>
      </c>
      <c r="M51" s="575">
        <f t="shared" si="4"/>
        <v>1.0000001133812597</v>
      </c>
      <c r="N51" s="576">
        <f t="shared" si="5"/>
        <v>-4.7619586067658296E-4</v>
      </c>
      <c r="O51" s="574">
        <f t="shared" si="6"/>
        <v>624.16614558597371</v>
      </c>
      <c r="P51" s="577">
        <f t="shared" si="7"/>
        <v>1.569194188590382</v>
      </c>
      <c r="Q51" s="586">
        <f t="shared" si="8"/>
        <v>1.0067645114435713</v>
      </c>
      <c r="R51" s="587">
        <f t="shared" si="9"/>
        <v>0.1159879139342866</v>
      </c>
      <c r="S51" s="574">
        <f t="shared" si="10"/>
        <v>1.0000002128525511</v>
      </c>
      <c r="T51" s="577">
        <f t="shared" si="11"/>
        <v>6.5246074754950136E-4</v>
      </c>
      <c r="U51" s="578">
        <f t="shared" si="24"/>
        <v>0.99959914903117131</v>
      </c>
      <c r="V51" s="579">
        <f t="shared" si="25"/>
        <v>-1.6063181976814337E-3</v>
      </c>
      <c r="W51" s="580">
        <f t="shared" si="12"/>
        <v>51.092503919982121</v>
      </c>
      <c r="X51" s="581">
        <f t="shared" si="13"/>
        <v>-99.495041607114501</v>
      </c>
      <c r="Y51" s="584">
        <f t="shared" si="14"/>
        <v>80.504958392885499</v>
      </c>
      <c r="AA51" s="147">
        <f t="shared" si="15"/>
        <v>1000000000</v>
      </c>
      <c r="AB51" s="147">
        <f t="shared" si="16"/>
        <v>1096.470769</v>
      </c>
      <c r="AD51" s="583">
        <f t="shared" si="17"/>
        <v>49.258002035952671</v>
      </c>
      <c r="AE51" s="584">
        <f t="shared" si="18"/>
        <v>-83.299969642040026</v>
      </c>
      <c r="AG51" s="583">
        <f t="shared" si="19"/>
        <v>56.94371210251883</v>
      </c>
      <c r="AH51" s="584">
        <f t="shared" si="20"/>
        <v>-16.011001458299734</v>
      </c>
      <c r="AJ51" s="147">
        <f t="shared" si="21"/>
        <v>0</v>
      </c>
      <c r="AK51" s="147">
        <f t="shared" si="32"/>
        <v>0</v>
      </c>
      <c r="AM51" s="147" t="str">
        <f t="shared" si="26"/>
        <v>2.63291754498685E-06+0.00229473923544006i</v>
      </c>
      <c r="AN51" s="147" t="str">
        <f t="shared" si="27"/>
        <v>0.00229474124939525i</v>
      </c>
      <c r="AO51" s="147" t="str">
        <f t="shared" si="28"/>
        <v>0.999999122360662-0.00114737012100197i</v>
      </c>
      <c r="AP51" s="147" t="str">
        <f t="shared" si="29"/>
        <v>0.166666227847076-0.00038245653924001i</v>
      </c>
      <c r="AQ51" s="147" t="str">
        <f t="shared" si="30"/>
        <v>0.833333772152924+0.00038245653924001i</v>
      </c>
      <c r="AR51" s="147" t="str">
        <f t="shared" si="31"/>
        <v>0.999599263078906-0.000458763688163434i</v>
      </c>
    </row>
    <row r="52" spans="1:44">
      <c r="A52" s="147">
        <v>0.4</v>
      </c>
      <c r="C52" s="147" t="s">
        <v>694</v>
      </c>
      <c r="D52" s="147" t="str">
        <f>IMSUB(1,IMEXP(COMPLEX(0,-2*Pi*D49*Tsw)))</f>
        <v>0.05943343164848+0.339609379286622i</v>
      </c>
      <c r="G52" s="585">
        <v>36.308</v>
      </c>
      <c r="H52" s="573">
        <f t="shared" si="23"/>
        <v>3.6308E-2</v>
      </c>
      <c r="I52" s="574">
        <f t="shared" si="0"/>
        <v>1.0487594364631807</v>
      </c>
      <c r="J52" s="575">
        <f t="shared" si="1"/>
        <v>0.30612834513366416</v>
      </c>
      <c r="K52" s="575">
        <f t="shared" si="2"/>
        <v>1.0000000028337548</v>
      </c>
      <c r="L52" s="576">
        <f t="shared" si="3"/>
        <v>7.5282864175669868E-5</v>
      </c>
      <c r="M52" s="575">
        <f t="shared" si="4"/>
        <v>1.0000001363166384</v>
      </c>
      <c r="N52" s="576">
        <f t="shared" si="5"/>
        <v>-5.2214293616045738E-4</v>
      </c>
      <c r="O52" s="574">
        <f t="shared" si="6"/>
        <v>684.39040619475099</v>
      </c>
      <c r="P52" s="577">
        <f t="shared" si="7"/>
        <v>1.5693351719528978</v>
      </c>
      <c r="Q52" s="586">
        <f t="shared" si="8"/>
        <v>1.0081273542745517</v>
      </c>
      <c r="R52" s="587">
        <f t="shared" si="9"/>
        <v>0.1270644595618991</v>
      </c>
      <c r="S52" s="574">
        <f t="shared" si="10"/>
        <v>1.0000002559095222</v>
      </c>
      <c r="T52" s="577">
        <f t="shared" si="11"/>
        <v>7.1541521885746953E-4</v>
      </c>
      <c r="U52" s="578">
        <f t="shared" si="24"/>
        <v>0.99959897689280208</v>
      </c>
      <c r="V52" s="579">
        <f t="shared" si="25"/>
        <v>-1.7613081315304075E-3</v>
      </c>
      <c r="W52" s="580">
        <f t="shared" si="12"/>
        <v>50.23730087346091</v>
      </c>
      <c r="X52" s="581">
        <f t="shared" si="13"/>
        <v>-100.34339600662942</v>
      </c>
      <c r="Y52" s="584">
        <f t="shared" si="14"/>
        <v>79.656603993370581</v>
      </c>
      <c r="AA52" s="147">
        <f t="shared" si="15"/>
        <v>1000000000</v>
      </c>
      <c r="AB52" s="147">
        <f t="shared" si="16"/>
        <v>1318.2708640000001</v>
      </c>
      <c r="AD52" s="583">
        <f t="shared" si="17"/>
        <v>48.469677598888623</v>
      </c>
      <c r="AE52" s="584">
        <f t="shared" si="18"/>
        <v>-82.677015102443065</v>
      </c>
      <c r="AG52" s="583">
        <f t="shared" si="19"/>
        <v>56.876836484610848</v>
      </c>
      <c r="AH52" s="584">
        <f t="shared" si="20"/>
        <v>-17.464549859238222</v>
      </c>
      <c r="AJ52" s="147">
        <f t="shared" si="21"/>
        <v>0</v>
      </c>
      <c r="AK52" s="147">
        <f t="shared" si="32"/>
        <v>0</v>
      </c>
      <c r="AM52" s="147" t="str">
        <f t="shared" si="26"/>
        <v>0.0000031655182040069+0.00251615309300597i</v>
      </c>
      <c r="AN52" s="147" t="str">
        <f t="shared" si="27"/>
        <v>0.00251615574798547i</v>
      </c>
      <c r="AO52" s="147" t="str">
        <f t="shared" si="28"/>
        <v>0.999998944827043-0.00125807721026067i</v>
      </c>
      <c r="AP52" s="147" t="str">
        <f t="shared" si="29"/>
        <v>0.166666139080299-0.000419358848834328i</v>
      </c>
      <c r="AQ52" s="147" t="str">
        <f t="shared" si="30"/>
        <v>0.833333860919701+0.000419358848834328i</v>
      </c>
      <c r="AR52" s="147" t="str">
        <f t="shared" si="31"/>
        <v>0.999599114010787-0.000503028562027639i</v>
      </c>
    </row>
    <row r="53" spans="1:44">
      <c r="A53" s="147">
        <v>0.5</v>
      </c>
      <c r="C53" s="147" t="s">
        <v>804</v>
      </c>
      <c r="D53" s="147" t="str">
        <f>COMPLEX(0, 2*Pi*D49*Tsw)</f>
        <v>0.346501562738993i</v>
      </c>
      <c r="G53" s="585">
        <v>39.811</v>
      </c>
      <c r="H53" s="573">
        <f t="shared" si="23"/>
        <v>3.9810999999999999E-2</v>
      </c>
      <c r="I53" s="574">
        <f t="shared" si="0"/>
        <v>1.058348834609137</v>
      </c>
      <c r="J53" s="575">
        <f t="shared" si="1"/>
        <v>0.33360491801289632</v>
      </c>
      <c r="K53" s="575">
        <f t="shared" si="2"/>
        <v>1.0000000034069345</v>
      </c>
      <c r="L53" s="576">
        <f t="shared" si="3"/>
        <v>8.2546163505352736E-5</v>
      </c>
      <c r="M53" s="575">
        <f t="shared" si="4"/>
        <v>1.0000001638892175</v>
      </c>
      <c r="N53" s="576">
        <f t="shared" si="5"/>
        <v>-5.7251933594201331E-4</v>
      </c>
      <c r="O53" s="574">
        <f t="shared" si="6"/>
        <v>750.42033622843962</v>
      </c>
      <c r="P53" s="577">
        <f t="shared" si="7"/>
        <v>1.5694637399130025</v>
      </c>
      <c r="Q53" s="586">
        <f t="shared" si="8"/>
        <v>1.0097633093381342</v>
      </c>
      <c r="R53" s="587">
        <f t="shared" si="9"/>
        <v>0.13917277312688542</v>
      </c>
      <c r="S53" s="574">
        <f t="shared" si="10"/>
        <v>1.0000003076719857</v>
      </c>
      <c r="T53" s="577">
        <f t="shared" si="11"/>
        <v>7.844385340721096E-4</v>
      </c>
      <c r="U53" s="578">
        <f t="shared" si="24"/>
        <v>0.99959876995065744</v>
      </c>
      <c r="V53" s="579">
        <f t="shared" si="25"/>
        <v>-1.9312391439508074E-3</v>
      </c>
      <c r="W53" s="580">
        <f t="shared" si="12"/>
        <v>49.372309889526704</v>
      </c>
      <c r="X53" s="581">
        <f t="shared" si="13"/>
        <v>-101.24746007949348</v>
      </c>
      <c r="Y53" s="584">
        <f t="shared" si="14"/>
        <v>78.752539920506521</v>
      </c>
      <c r="AA53" s="147">
        <f t="shared" si="15"/>
        <v>1000000000</v>
      </c>
      <c r="AB53" s="147">
        <f t="shared" si="16"/>
        <v>1584.9157210000001</v>
      </c>
      <c r="AD53" s="583">
        <f t="shared" si="17"/>
        <v>47.683747256603716</v>
      </c>
      <c r="AE53" s="584">
        <f t="shared" si="18"/>
        <v>-81.994580983512932</v>
      </c>
      <c r="AG53" s="583">
        <f t="shared" si="19"/>
        <v>56.797779439357434</v>
      </c>
      <c r="AH53" s="584">
        <f t="shared" si="20"/>
        <v>-19.031575391369973</v>
      </c>
      <c r="AJ53" s="147">
        <f t="shared" si="21"/>
        <v>0</v>
      </c>
      <c r="AK53" s="147">
        <f t="shared" si="32"/>
        <v>0</v>
      </c>
      <c r="AM53" s="147" t="str">
        <f t="shared" si="26"/>
        <v>3.80580286496457E-06+0.00275891124287764i</v>
      </c>
      <c r="AN53" s="147" t="str">
        <f t="shared" si="27"/>
        <v>0.00275891474284041i</v>
      </c>
      <c r="AO53" s="147" t="str">
        <f t="shared" si="28"/>
        <v>0.999998731398721-0.00137945649637812i</v>
      </c>
      <c r="AP53" s="147" t="str">
        <f t="shared" si="29"/>
        <v>0.166666032366189-0.000459818540479607i</v>
      </c>
      <c r="AQ53" s="147" t="str">
        <f t="shared" si="30"/>
        <v>0.833333967633811+0.000459818540479607i</v>
      </c>
      <c r="AR53" s="147" t="str">
        <f t="shared" si="31"/>
        <v>0.999598934803393-0.000551560528093392i</v>
      </c>
    </row>
    <row r="54" spans="1:44">
      <c r="A54" s="147">
        <v>0.6</v>
      </c>
      <c r="C54" s="147" t="s">
        <v>805</v>
      </c>
      <c r="D54" s="147" t="str">
        <f>IMDIV(D52, D53)</f>
        <v>0.980109228374353-0.171524281676181i</v>
      </c>
      <c r="G54" s="585">
        <v>43.652000000000001</v>
      </c>
      <c r="H54" s="573">
        <f t="shared" si="23"/>
        <v>4.3652000000000003E-2</v>
      </c>
      <c r="I54" s="574">
        <f t="shared" si="0"/>
        <v>1.0697641681066374</v>
      </c>
      <c r="J54" s="575">
        <f t="shared" si="1"/>
        <v>0.36314169265570129</v>
      </c>
      <c r="K54" s="575">
        <f t="shared" si="2"/>
        <v>1.0000000040960562</v>
      </c>
      <c r="L54" s="576">
        <f t="shared" si="3"/>
        <v>9.0510289308991164E-5</v>
      </c>
      <c r="M54" s="575">
        <f t="shared" si="4"/>
        <v>1.0000001970391359</v>
      </c>
      <c r="N54" s="576">
        <f t="shared" si="5"/>
        <v>-6.2775648690632075E-4</v>
      </c>
      <c r="O54" s="574">
        <f t="shared" si="6"/>
        <v>822.82142181229267</v>
      </c>
      <c r="P54" s="577">
        <f t="shared" si="7"/>
        <v>1.5695809959592348</v>
      </c>
      <c r="Q54" s="586">
        <f t="shared" si="8"/>
        <v>1.0117266808839336</v>
      </c>
      <c r="R54" s="587">
        <f t="shared" si="9"/>
        <v>0.15240223201474867</v>
      </c>
      <c r="S54" s="574">
        <f t="shared" si="10"/>
        <v>1.0000003699048801</v>
      </c>
      <c r="T54" s="577">
        <f t="shared" si="11"/>
        <v>8.6012181227928728E-4</v>
      </c>
      <c r="U54" s="578">
        <f t="shared" si="24"/>
        <v>0.99959852114872849</v>
      </c>
      <c r="V54" s="579">
        <f t="shared" si="25"/>
        <v>-2.1175665199262938E-3</v>
      </c>
      <c r="W54" s="580">
        <f t="shared" si="12"/>
        <v>48.495975698454885</v>
      </c>
      <c r="X54" s="581">
        <f t="shared" si="13"/>
        <v>-102.20623937460455</v>
      </c>
      <c r="Y54" s="584">
        <f t="shared" si="14"/>
        <v>77.79376062539545</v>
      </c>
      <c r="AA54" s="147">
        <f t="shared" si="15"/>
        <v>1000000000</v>
      </c>
      <c r="AB54" s="147">
        <f t="shared" si="16"/>
        <v>1905.497104</v>
      </c>
      <c r="AD54" s="583">
        <f t="shared" si="17"/>
        <v>46.900599156192214</v>
      </c>
      <c r="AE54" s="584">
        <f t="shared" si="18"/>
        <v>-81.247643432135519</v>
      </c>
      <c r="AG54" s="583">
        <f t="shared" si="19"/>
        <v>56.704597672564702</v>
      </c>
      <c r="AH54" s="584">
        <f t="shared" si="20"/>
        <v>-20.715940693331774</v>
      </c>
      <c r="AJ54" s="147">
        <f t="shared" si="21"/>
        <v>0</v>
      </c>
      <c r="AK54" s="147">
        <f t="shared" ref="AK54:AK85" si="33">IF(AJ54&gt;0,Y54,0)</f>
        <v>0</v>
      </c>
      <c r="AM54" s="147" t="str">
        <f t="shared" si="26"/>
        <v>0.0000045756031760158+0.00302509262945357i</v>
      </c>
      <c r="AN54" s="147" t="str">
        <f t="shared" si="27"/>
        <v>0.0030250972433365i</v>
      </c>
      <c r="AO54" s="147" t="str">
        <f t="shared" si="28"/>
        <v>0.999998474798475-0.00151254746805071i</v>
      </c>
      <c r="AP54" s="147" t="str">
        <f t="shared" si="29"/>
        <v>0.166665904066137-0.000504182104908928i</v>
      </c>
      <c r="AQ54" s="147" t="str">
        <f t="shared" si="30"/>
        <v>0.833334095933863+0.000504182104908928i</v>
      </c>
      <c r="AR54" s="147" t="str">
        <f t="shared" si="31"/>
        <v>0.99959871934639-0.000604775190218942i</v>
      </c>
    </row>
    <row r="55" spans="1:44">
      <c r="A55" s="147">
        <v>0.7</v>
      </c>
      <c r="C55" s="147" t="s">
        <v>806</v>
      </c>
      <c r="D55" s="147" t="str">
        <f>IMDIV(IMEXP(COMPLEX(0,-2*Pi*D49*Tsw)),6)</f>
        <v>0.156761094725253-0.056601563214437i</v>
      </c>
      <c r="G55" s="585">
        <v>47.863</v>
      </c>
      <c r="H55" s="573">
        <f t="shared" si="23"/>
        <v>4.7863000000000003E-2</v>
      </c>
      <c r="I55" s="574">
        <f t="shared" si="0"/>
        <v>1.083327301595832</v>
      </c>
      <c r="J55" s="575">
        <f t="shared" si="1"/>
        <v>0.39477775679261584</v>
      </c>
      <c r="K55" s="575">
        <f t="shared" si="2"/>
        <v>1.0000000049244469</v>
      </c>
      <c r="L55" s="576">
        <f t="shared" si="3"/>
        <v>9.924159201878036E-5</v>
      </c>
      <c r="M55" s="575">
        <f t="shared" si="4"/>
        <v>1.0000002368885255</v>
      </c>
      <c r="N55" s="576">
        <f t="shared" si="5"/>
        <v>-6.8831457744385877E-4</v>
      </c>
      <c r="O55" s="574">
        <f t="shared" si="6"/>
        <v>902.19684824464866</v>
      </c>
      <c r="P55" s="577">
        <f t="shared" si="7"/>
        <v>1.5696879210110521</v>
      </c>
      <c r="Q55" s="586">
        <f t="shared" si="8"/>
        <v>1.0140818111186611</v>
      </c>
      <c r="R55" s="587">
        <f t="shared" si="9"/>
        <v>0.16684438819645653</v>
      </c>
      <c r="S55" s="574">
        <f t="shared" si="10"/>
        <v>1.0000004447148012</v>
      </c>
      <c r="T55" s="577">
        <f t="shared" si="11"/>
        <v>9.4309557976588593E-4</v>
      </c>
      <c r="U55" s="578">
        <f t="shared" si="24"/>
        <v>0.99959822206510807</v>
      </c>
      <c r="V55" s="579">
        <f t="shared" si="25"/>
        <v>-2.3218425581727209E-3</v>
      </c>
      <c r="W55" s="580">
        <f t="shared" si="12"/>
        <v>47.60682146410673</v>
      </c>
      <c r="X55" s="581">
        <f t="shared" si="13"/>
        <v>-103.21693174686523</v>
      </c>
      <c r="Y55" s="584">
        <f t="shared" si="14"/>
        <v>76.783068253134772</v>
      </c>
      <c r="AA55" s="147">
        <f t="shared" si="15"/>
        <v>1000000000</v>
      </c>
      <c r="AB55" s="147">
        <f t="shared" si="16"/>
        <v>2290.8667689999997</v>
      </c>
      <c r="AD55" s="583">
        <f t="shared" si="17"/>
        <v>46.120879990471828</v>
      </c>
      <c r="AE55" s="584">
        <f t="shared" si="18"/>
        <v>-80.431049235802433</v>
      </c>
      <c r="AG55" s="583">
        <f t="shared" si="19"/>
        <v>56.595167801639114</v>
      </c>
      <c r="AH55" s="584">
        <f t="shared" si="20"/>
        <v>-22.519818952204474</v>
      </c>
      <c r="AJ55" s="147">
        <f t="shared" si="21"/>
        <v>0</v>
      </c>
      <c r="AK55" s="147">
        <f t="shared" si="33"/>
        <v>0</v>
      </c>
      <c r="AM55" s="147" t="str">
        <f t="shared" si="26"/>
        <v>5.50097695095619E-06+0.00331691477737132i</v>
      </c>
      <c r="AN55" s="147" t="str">
        <f t="shared" si="27"/>
        <v>0.00331692085947528i</v>
      </c>
      <c r="AO55" s="147" t="str">
        <f t="shared" si="28"/>
        <v>0.999998166340345-0.00165845890933509i</v>
      </c>
      <c r="AP55" s="147" t="str">
        <f t="shared" si="29"/>
        <v>0.166665749837175-0.000552819129561887i</v>
      </c>
      <c r="AQ55" s="147" t="str">
        <f t="shared" si="30"/>
        <v>0.833334250162825+0.000552819129561887i</v>
      </c>
      <c r="AR55" s="147" t="str">
        <f t="shared" si="31"/>
        <v>0.999598460346629-0.000663115851355268i</v>
      </c>
    </row>
    <row r="56" spans="1:44">
      <c r="A56" s="147">
        <v>0.8</v>
      </c>
      <c r="C56" s="147" t="s">
        <v>807</v>
      </c>
      <c r="D56" s="147" t="str">
        <f>IMSUB(1, D55)</f>
        <v>0.843238905274747+0.056601563214437i</v>
      </c>
      <c r="G56" s="585">
        <v>52.481000000000002</v>
      </c>
      <c r="H56" s="573">
        <f t="shared" si="23"/>
        <v>5.2481E-2</v>
      </c>
      <c r="I56" s="574">
        <f t="shared" si="0"/>
        <v>1.0994147774453766</v>
      </c>
      <c r="J56" s="575">
        <f t="shared" si="1"/>
        <v>0.4285366080629</v>
      </c>
      <c r="K56" s="575">
        <f t="shared" si="2"/>
        <v>1.0000000059205467</v>
      </c>
      <c r="L56" s="576">
        <f t="shared" si="3"/>
        <v>1.0881678932116573E-4</v>
      </c>
      <c r="M56" s="575">
        <f t="shared" si="4"/>
        <v>1.0000002848055087</v>
      </c>
      <c r="N56" s="576">
        <f t="shared" si="5"/>
        <v>-7.5472570012077443E-4</v>
      </c>
      <c r="O56" s="574">
        <f t="shared" si="6"/>
        <v>989.24404862447921</v>
      </c>
      <c r="P56" s="577">
        <f t="shared" si="7"/>
        <v>1.5697854537229774</v>
      </c>
      <c r="Q56" s="586">
        <f t="shared" si="8"/>
        <v>1.0169065200255865</v>
      </c>
      <c r="R56" s="587">
        <f t="shared" si="9"/>
        <v>0.18260183214349812</v>
      </c>
      <c r="S56" s="574">
        <f t="shared" si="10"/>
        <v>1.0000005346701459</v>
      </c>
      <c r="T56" s="577">
        <f t="shared" si="11"/>
        <v>1.0340888818814557E-3</v>
      </c>
      <c r="U56" s="578">
        <f t="shared" si="24"/>
        <v>0.99959786243169124</v>
      </c>
      <c r="V56" s="579">
        <f t="shared" si="25"/>
        <v>-2.5458620979005829E-3</v>
      </c>
      <c r="W56" s="580">
        <f t="shared" si="12"/>
        <v>46.702898307182679</v>
      </c>
      <c r="X56" s="581">
        <f t="shared" si="13"/>
        <v>-104.27522999072872</v>
      </c>
      <c r="Y56" s="584">
        <f t="shared" si="14"/>
        <v>75.724770009271282</v>
      </c>
      <c r="AA56" s="147">
        <f t="shared" si="15"/>
        <v>1000000000</v>
      </c>
      <c r="AB56" s="147">
        <f t="shared" si="16"/>
        <v>2754.255361</v>
      </c>
      <c r="AD56" s="583">
        <f t="shared" si="17"/>
        <v>45.344997171657056</v>
      </c>
      <c r="AE56" s="584">
        <f t="shared" si="18"/>
        <v>-79.539015945636649</v>
      </c>
      <c r="AG56" s="583">
        <f t="shared" si="19"/>
        <v>56.467133713514414</v>
      </c>
      <c r="AH56" s="584">
        <f t="shared" si="20"/>
        <v>-24.444479737894667</v>
      </c>
      <c r="AJ56" s="147">
        <f t="shared" si="21"/>
        <v>0</v>
      </c>
      <c r="AK56" s="147">
        <f t="shared" si="33"/>
        <v>0</v>
      </c>
      <c r="AM56" s="147" t="str">
        <f t="shared" si="26"/>
        <v>6.61369428001102E-06+0.00363694168492633i</v>
      </c>
      <c r="AN56" s="147" t="str">
        <f t="shared" si="27"/>
        <v>0.00363694970282101i</v>
      </c>
      <c r="AO56" s="147" t="str">
        <f t="shared" si="28"/>
        <v>0.999997795434269-0.00181847284686975i</v>
      </c>
      <c r="AP56" s="147" t="str">
        <f t="shared" si="29"/>
        <v>0.166665564384287-0.000606156947487722i</v>
      </c>
      <c r="AQ56" s="147" t="str">
        <f t="shared" si="30"/>
        <v>0.833334435615713+0.000606156947487722i</v>
      </c>
      <c r="AR56" s="147" t="str">
        <f t="shared" si="31"/>
        <v>0.999598148912212-0.000727095073433899i</v>
      </c>
    </row>
    <row r="57" spans="1:44">
      <c r="A57" s="147">
        <v>0.9</v>
      </c>
      <c r="C57" s="147" t="s">
        <v>808</v>
      </c>
      <c r="D57" s="147" t="str">
        <f>IMDIV(0.833,D56)</f>
        <v>0.983426688671586-0.0660115271454094i</v>
      </c>
      <c r="G57" s="585">
        <v>57.544000000000004</v>
      </c>
      <c r="H57" s="573">
        <f t="shared" si="23"/>
        <v>5.7544000000000005E-2</v>
      </c>
      <c r="I57" s="574">
        <f t="shared" si="0"/>
        <v>1.1184478825743251</v>
      </c>
      <c r="J57" s="575">
        <f t="shared" si="1"/>
        <v>0.46438718388722866</v>
      </c>
      <c r="K57" s="575">
        <f t="shared" si="2"/>
        <v>1.0000000071179955</v>
      </c>
      <c r="L57" s="576">
        <f t="shared" si="3"/>
        <v>1.1931467235186847E-4</v>
      </c>
      <c r="M57" s="575">
        <f t="shared" si="4"/>
        <v>1.0000003424082846</v>
      </c>
      <c r="N57" s="576">
        <f t="shared" si="5"/>
        <v>-8.2753632781312032E-4</v>
      </c>
      <c r="O57" s="574">
        <f t="shared" si="6"/>
        <v>1084.6793056754391</v>
      </c>
      <c r="P57" s="577">
        <f t="shared" si="7"/>
        <v>1.5698743951820897</v>
      </c>
      <c r="Q57" s="586">
        <f t="shared" si="8"/>
        <v>1.0202918559747691</v>
      </c>
      <c r="R57" s="587">
        <f t="shared" si="9"/>
        <v>0.19977267887028038</v>
      </c>
      <c r="S57" s="574">
        <f t="shared" si="10"/>
        <v>1.0000006428087844</v>
      </c>
      <c r="T57" s="577">
        <f t="shared" si="11"/>
        <v>1.1338504664370858E-3</v>
      </c>
      <c r="U57" s="578">
        <f t="shared" si="24"/>
        <v>0.99959743010353763</v>
      </c>
      <c r="V57" s="579">
        <f t="shared" si="25"/>
        <v>-2.7914684782991378E-3</v>
      </c>
      <c r="W57" s="580">
        <f t="shared" si="12"/>
        <v>45.78272009059296</v>
      </c>
      <c r="X57" s="581">
        <f t="shared" si="13"/>
        <v>-105.37395398600209</v>
      </c>
      <c r="Y57" s="584">
        <f t="shared" si="14"/>
        <v>74.626046013997907</v>
      </c>
      <c r="AA57" s="147">
        <f t="shared" si="15"/>
        <v>1000000000</v>
      </c>
      <c r="AB57" s="147">
        <f t="shared" si="16"/>
        <v>3311.3119360000005</v>
      </c>
      <c r="AD57" s="583">
        <f t="shared" si="17"/>
        <v>44.573905831975573</v>
      </c>
      <c r="AE57" s="584">
        <f t="shared" si="18"/>
        <v>-78.566010784397633</v>
      </c>
      <c r="AG57" s="583">
        <f t="shared" si="19"/>
        <v>56.318054349938443</v>
      </c>
      <c r="AH57" s="584">
        <f t="shared" si="20"/>
        <v>-26.488064476338245</v>
      </c>
      <c r="AJ57" s="147">
        <f t="shared" si="21"/>
        <v>0</v>
      </c>
      <c r="AK57" s="147">
        <f t="shared" si="33"/>
        <v>0</v>
      </c>
      <c r="AM57" s="147" t="str">
        <f t="shared" si="26"/>
        <v>7.95133241404677E-06+0.00398780661575824i</v>
      </c>
      <c r="AN57" s="147" t="str">
        <f t="shared" si="27"/>
        <v>0.00398781718525052i</v>
      </c>
      <c r="AO57" s="147" t="str">
        <f t="shared" si="28"/>
        <v>0.999997349554458-0.00199390595021654i</v>
      </c>
      <c r="AP57" s="147" t="str">
        <f t="shared" si="29"/>
        <v>0.166665341444598-0.000664634435959707i</v>
      </c>
      <c r="AQ57" s="147" t="str">
        <f t="shared" si="30"/>
        <v>0.833334658555402+0.000664634435959707i</v>
      </c>
      <c r="AR57" s="147" t="str">
        <f t="shared" si="31"/>
        <v>0.999597774525967-0.000797239255847507i</v>
      </c>
    </row>
    <row r="58" spans="1:44">
      <c r="A58" s="147">
        <v>1</v>
      </c>
      <c r="C58" s="147" t="s">
        <v>809</v>
      </c>
      <c r="D58" s="147">
        <f>IMABS(IMPRODUCT(D54, D57))</f>
        <v>0.98071627287152596</v>
      </c>
      <c r="G58" s="585">
        <v>63.095999999999997</v>
      </c>
      <c r="H58" s="573">
        <f t="shared" si="23"/>
        <v>6.3095999999999999E-2</v>
      </c>
      <c r="I58" s="574">
        <f t="shared" si="0"/>
        <v>1.1409125635518349</v>
      </c>
      <c r="J58" s="575">
        <f t="shared" si="1"/>
        <v>0.50227134960435282</v>
      </c>
      <c r="K58" s="575">
        <f t="shared" si="2"/>
        <v>1.0000000085577831</v>
      </c>
      <c r="L58" s="576">
        <f t="shared" si="3"/>
        <v>1.3082647295091426E-4</v>
      </c>
      <c r="M58" s="575">
        <f t="shared" si="4"/>
        <v>1.000000411668664</v>
      </c>
      <c r="N58" s="576">
        <f t="shared" si="5"/>
        <v>-9.0737921814227371E-4</v>
      </c>
      <c r="O58" s="574">
        <f t="shared" si="6"/>
        <v>1189.3319994705332</v>
      </c>
      <c r="P58" s="577">
        <f t="shared" si="7"/>
        <v>1.569955518577955</v>
      </c>
      <c r="Q58" s="586">
        <f t="shared" si="8"/>
        <v>1.0243475002880229</v>
      </c>
      <c r="R58" s="587">
        <f t="shared" si="9"/>
        <v>0.21846533049323491</v>
      </c>
      <c r="S58" s="574">
        <f t="shared" si="10"/>
        <v>1.0000007728324265</v>
      </c>
      <c r="T58" s="577">
        <f t="shared" si="11"/>
        <v>1.2432473034362066E-3</v>
      </c>
      <c r="U58" s="578">
        <f t="shared" si="24"/>
        <v>0.99959691028182973</v>
      </c>
      <c r="V58" s="579">
        <f t="shared" si="25"/>
        <v>-3.0607960826709501E-3</v>
      </c>
      <c r="W58" s="580">
        <f t="shared" si="12"/>
        <v>44.844405688442883</v>
      </c>
      <c r="X58" s="581">
        <f t="shared" si="13"/>
        <v>-106.50380917069779</v>
      </c>
      <c r="Y58" s="584">
        <f t="shared" si="14"/>
        <v>73.496190829302208</v>
      </c>
      <c r="AA58" s="147">
        <f t="shared" si="15"/>
        <v>1000000000</v>
      </c>
      <c r="AB58" s="147">
        <f t="shared" si="16"/>
        <v>3981.1052159999995</v>
      </c>
      <c r="AD58" s="583">
        <f t="shared" si="17"/>
        <v>43.808327550418241</v>
      </c>
      <c r="AE58" s="584">
        <f t="shared" si="18"/>
        <v>-77.505916742537622</v>
      </c>
      <c r="AG58" s="583">
        <f t="shared" si="19"/>
        <v>56.145327263212785</v>
      </c>
      <c r="AH58" s="584">
        <f t="shared" si="20"/>
        <v>-28.647151032784969</v>
      </c>
      <c r="AJ58" s="147">
        <f t="shared" si="21"/>
        <v>0</v>
      </c>
      <c r="AK58" s="147">
        <f t="shared" si="33"/>
        <v>0</v>
      </c>
      <c r="AM58" s="147" t="str">
        <f t="shared" si="26"/>
        <v>9.55967999205498E-06+0.00437255858704234i</v>
      </c>
      <c r="AN58" s="147" t="str">
        <f t="shared" si="27"/>
        <v>0.0043725725205159i</v>
      </c>
      <c r="AO58" s="147" t="str">
        <f t="shared" si="28"/>
        <v>0.999996813437972-0.0021862827768325i</v>
      </c>
      <c r="AP58" s="147" t="str">
        <f t="shared" si="29"/>
        <v>0.166665073386668-0.000728759764507057i</v>
      </c>
      <c r="AQ58" s="147" t="str">
        <f t="shared" si="30"/>
        <v>0.833334926613332+0.000728759764507057i</v>
      </c>
      <c r="AR58" s="147" t="str">
        <f t="shared" si="31"/>
        <v>0.999597324372564-0.00087415790152i</v>
      </c>
    </row>
    <row r="59" spans="1:44">
      <c r="A59" s="147">
        <v>1.2</v>
      </c>
      <c r="G59" s="585">
        <v>69.183000000000007</v>
      </c>
      <c r="H59" s="573">
        <f t="shared" si="23"/>
        <v>6.9183000000000008E-2</v>
      </c>
      <c r="I59" s="574">
        <f t="shared" si="0"/>
        <v>1.1673460670137092</v>
      </c>
      <c r="J59" s="575">
        <f t="shared" si="1"/>
        <v>0.54206726046391285</v>
      </c>
      <c r="K59" s="575">
        <f t="shared" si="2"/>
        <v>1.0000000102886026</v>
      </c>
      <c r="L59" s="576">
        <f t="shared" si="3"/>
        <v>1.434475698573503E-4</v>
      </c>
      <c r="M59" s="575">
        <f t="shared" si="4"/>
        <v>1.0000004949290178</v>
      </c>
      <c r="N59" s="576">
        <f t="shared" si="5"/>
        <v>-9.9491588950615523E-4</v>
      </c>
      <c r="O59" s="574">
        <f t="shared" si="6"/>
        <v>1304.0692092449899</v>
      </c>
      <c r="P59" s="577">
        <f t="shared" si="7"/>
        <v>1.5700294962532999</v>
      </c>
      <c r="Q59" s="586">
        <f t="shared" si="8"/>
        <v>1.0292017807550486</v>
      </c>
      <c r="R59" s="587">
        <f t="shared" si="9"/>
        <v>0.23878203355713551</v>
      </c>
      <c r="S59" s="574">
        <f t="shared" si="10"/>
        <v>1.0000009291384389</v>
      </c>
      <c r="T59" s="577">
        <f t="shared" si="11"/>
        <v>1.3631857682084754E-3</v>
      </c>
      <c r="U59" s="578">
        <f t="shared" si="24"/>
        <v>0.99959628538672396</v>
      </c>
      <c r="V59" s="579">
        <f t="shared" si="25"/>
        <v>-3.3560762945668084E-3</v>
      </c>
      <c r="W59" s="580">
        <f t="shared" si="12"/>
        <v>43.886568003800051</v>
      </c>
      <c r="X59" s="581">
        <f t="shared" si="13"/>
        <v>-107.65220679951939</v>
      </c>
      <c r="Y59" s="584">
        <f t="shared" si="14"/>
        <v>72.347793200480609</v>
      </c>
      <c r="AA59" s="147">
        <f t="shared" si="15"/>
        <v>1000000000</v>
      </c>
      <c r="AB59" s="147">
        <f t="shared" si="16"/>
        <v>4786.2874890000012</v>
      </c>
      <c r="AD59" s="583">
        <f t="shared" si="17"/>
        <v>43.049439795455207</v>
      </c>
      <c r="AE59" s="584">
        <f t="shared" si="18"/>
        <v>-76.352965978446335</v>
      </c>
      <c r="AG59" s="583">
        <f t="shared" si="19"/>
        <v>55.946388193453757</v>
      </c>
      <c r="AH59" s="584">
        <f t="shared" si="20"/>
        <v>-30.914662805828456</v>
      </c>
      <c r="AJ59" s="147">
        <f t="shared" si="21"/>
        <v>0</v>
      </c>
      <c r="AK59" s="147">
        <f t="shared" si="33"/>
        <v>0</v>
      </c>
      <c r="AM59" s="147" t="str">
        <f t="shared" si="26"/>
        <v>0.0000114931305550403+0.00479438515541174i</v>
      </c>
      <c r="AN59" s="147" t="str">
        <f t="shared" si="27"/>
        <v>0.00479440352299435i</v>
      </c>
      <c r="AO59" s="147" t="str">
        <f t="shared" si="28"/>
        <v>0.999996168953547-0.00239719716955786i</v>
      </c>
      <c r="AP59" s="147" t="str">
        <f t="shared" si="29"/>
        <v>0.166664751144908-0.000799064192568623i</v>
      </c>
      <c r="AQ59" s="147" t="str">
        <f t="shared" si="30"/>
        <v>0.833335248855092+0.000799064192568623i</v>
      </c>
      <c r="AR59" s="147" t="str">
        <f t="shared" si="31"/>
        <v>0.999596783228422-0.000958488192575548i</v>
      </c>
    </row>
    <row r="60" spans="1:44">
      <c r="A60" s="147">
        <v>1.5</v>
      </c>
      <c r="C60" s="147" t="s">
        <v>743</v>
      </c>
      <c r="D60" s="147">
        <f>10^(-D51/20)/O3*'Design Converter'!E40/10*Acs</f>
        <v>54642.186201481578</v>
      </c>
      <c r="G60" s="585">
        <v>75.858000000000004</v>
      </c>
      <c r="H60" s="573">
        <f t="shared" si="23"/>
        <v>7.5858000000000009E-2</v>
      </c>
      <c r="I60" s="574">
        <f t="shared" si="0"/>
        <v>1.1983578444490275</v>
      </c>
      <c r="J60" s="575">
        <f t="shared" si="1"/>
        <v>0.58361645236228743</v>
      </c>
      <c r="K60" s="575">
        <f t="shared" si="2"/>
        <v>1.000000012369735</v>
      </c>
      <c r="L60" s="576">
        <f t="shared" si="3"/>
        <v>1.5728785596376928E-4</v>
      </c>
      <c r="M60" s="575">
        <f t="shared" si="4"/>
        <v>1.0000005950410005</v>
      </c>
      <c r="N60" s="576">
        <f t="shared" si="5"/>
        <v>-1.0909085253463578E-3</v>
      </c>
      <c r="O60" s="574">
        <f t="shared" si="6"/>
        <v>1429.8899611395004</v>
      </c>
      <c r="P60" s="577">
        <f t="shared" si="7"/>
        <v>1.5700969722230811</v>
      </c>
      <c r="Q60" s="586">
        <f t="shared" si="8"/>
        <v>1.03500840773737</v>
      </c>
      <c r="R60" s="587">
        <f t="shared" si="9"/>
        <v>0.26083210249036992</v>
      </c>
      <c r="S60" s="574">
        <f t="shared" si="10"/>
        <v>1.0000011170802723</v>
      </c>
      <c r="T60" s="577">
        <f t="shared" si="11"/>
        <v>1.494710160707706E-3</v>
      </c>
      <c r="U60" s="578">
        <f t="shared" si="24"/>
        <v>0.99959553401624734</v>
      </c>
      <c r="V60" s="579">
        <f t="shared" si="25"/>
        <v>-3.6798800407753366E-3</v>
      </c>
      <c r="W60" s="580">
        <f t="shared" si="12"/>
        <v>42.907650205220698</v>
      </c>
      <c r="X60" s="581">
        <f t="shared" si="13"/>
        <v>-108.80408570279012</v>
      </c>
      <c r="Y60" s="584">
        <f t="shared" si="14"/>
        <v>71.195914297209882</v>
      </c>
      <c r="AA60" s="147">
        <f t="shared" si="15"/>
        <v>1000000000</v>
      </c>
      <c r="AB60" s="147">
        <f t="shared" si="16"/>
        <v>5754.4361640000006</v>
      </c>
      <c r="AD60" s="583">
        <f t="shared" si="17"/>
        <v>42.298265611731253</v>
      </c>
      <c r="AE60" s="584">
        <f t="shared" si="18"/>
        <v>-75.100991970049122</v>
      </c>
      <c r="AG60" s="583">
        <f t="shared" si="19"/>
        <v>55.718657636517008</v>
      </c>
      <c r="AH60" s="584">
        <f t="shared" si="20"/>
        <v>-33.281410541357431</v>
      </c>
      <c r="AJ60" s="147">
        <f t="shared" si="21"/>
        <v>0</v>
      </c>
      <c r="AK60" s="147">
        <f t="shared" si="33"/>
        <v>0</v>
      </c>
      <c r="AM60" s="147" t="str">
        <f t="shared" si="26"/>
        <v>0.0000138179038829955+0.00525695889573282i</v>
      </c>
      <c r="AN60" s="147" t="str">
        <f t="shared" si="27"/>
        <v>0.0052569831092509i</v>
      </c>
      <c r="AO60" s="147" t="str">
        <f t="shared" si="28"/>
        <v>0.999995394027796-0.00262848550125254i</v>
      </c>
      <c r="AP60" s="147" t="str">
        <f t="shared" si="29"/>
        <v>0.166664363682686-0.00087615981595547i</v>
      </c>
      <c r="AQ60" s="147" t="str">
        <f t="shared" si="30"/>
        <v>0.833335636317314+0.00087615981595547i</v>
      </c>
      <c r="AR60" s="147" t="str">
        <f t="shared" si="31"/>
        <v>0.999596132560169-0.00105096425181586i</v>
      </c>
    </row>
    <row r="61" spans="1:44">
      <c r="A61" s="147">
        <v>1.8</v>
      </c>
      <c r="C61" s="147" t="s">
        <v>744</v>
      </c>
      <c r="D61" s="147">
        <f>1/(6.28*D60*pole1*2)</f>
        <v>1.2683957822338634E-8</v>
      </c>
      <c r="G61" s="585">
        <v>83.176000000000002</v>
      </c>
      <c r="H61" s="573">
        <f t="shared" si="23"/>
        <v>8.3176E-2</v>
      </c>
      <c r="I61" s="574">
        <f t="shared" si="0"/>
        <v>1.2346064778642138</v>
      </c>
      <c r="J61" s="575">
        <f t="shared" si="1"/>
        <v>0.6266873686874177</v>
      </c>
      <c r="K61" s="575">
        <f t="shared" si="2"/>
        <v>1.0000000148714625</v>
      </c>
      <c r="L61" s="576">
        <f t="shared" si="3"/>
        <v>1.7246137105938878E-4</v>
      </c>
      <c r="M61" s="575">
        <f t="shared" si="4"/>
        <v>1.0000007153855281</v>
      </c>
      <c r="N61" s="576">
        <f t="shared" si="5"/>
        <v>-1.1961480690814259E-3</v>
      </c>
      <c r="O61" s="574">
        <f t="shared" si="6"/>
        <v>1567.8309804503601</v>
      </c>
      <c r="P61" s="577">
        <f t="shared" si="7"/>
        <v>1.5701585028966114</v>
      </c>
      <c r="Q61" s="586">
        <f t="shared" si="8"/>
        <v>1.041945720464593</v>
      </c>
      <c r="R61" s="587">
        <f t="shared" si="9"/>
        <v>0.28471090809980354</v>
      </c>
      <c r="S61" s="574">
        <f t="shared" si="10"/>
        <v>1.0000013430049655</v>
      </c>
      <c r="T61" s="577">
        <f t="shared" si="11"/>
        <v>1.6389041841572353E-3</v>
      </c>
      <c r="U61" s="578">
        <f t="shared" si="24"/>
        <v>0.99959463079647537</v>
      </c>
      <c r="V61" s="579">
        <f t="shared" si="25"/>
        <v>-4.0348752327856226E-3</v>
      </c>
      <c r="W61" s="580">
        <f t="shared" si="12"/>
        <v>41.906892751616411</v>
      </c>
      <c r="X61" s="581">
        <f t="shared" si="13"/>
        <v>-109.94099993449316</v>
      </c>
      <c r="Y61" s="584">
        <f t="shared" si="14"/>
        <v>70.059000065506837</v>
      </c>
      <c r="AA61" s="147">
        <f t="shared" si="15"/>
        <v>1000000000</v>
      </c>
      <c r="AB61" s="147">
        <f t="shared" si="16"/>
        <v>6918.2469760000004</v>
      </c>
      <c r="AD61" s="583">
        <f t="shared" si="17"/>
        <v>41.556355504037185</v>
      </c>
      <c r="AE61" s="584">
        <f t="shared" si="18"/>
        <v>-73.744624344143944</v>
      </c>
      <c r="AG61" s="583">
        <f t="shared" si="19"/>
        <v>55.459825987497247</v>
      </c>
      <c r="AH61" s="584">
        <f t="shared" si="20"/>
        <v>-35.734012946419938</v>
      </c>
      <c r="AJ61" s="147">
        <f t="shared" si="21"/>
        <v>0</v>
      </c>
      <c r="AK61" s="147">
        <f t="shared" si="33"/>
        <v>0</v>
      </c>
      <c r="AM61" s="147" t="str">
        <f t="shared" si="26"/>
        <v>0.000016612509809999+0.00576409087759151i</v>
      </c>
      <c r="AN61" s="147" t="str">
        <f t="shared" si="27"/>
        <v>0.00576412279647569i</v>
      </c>
      <c r="AO61" s="147" t="str">
        <f t="shared" si="28"/>
        <v>0.999994462490598-0.00288205341845879i</v>
      </c>
      <c r="AP61" s="147" t="str">
        <f t="shared" si="29"/>
        <v>0.166663897915032-0.000960681812931918i</v>
      </c>
      <c r="AQ61" s="147" t="str">
        <f t="shared" si="30"/>
        <v>0.833336102084968+0.000960681812931918i</v>
      </c>
      <c r="AR61" s="147" t="str">
        <f t="shared" si="31"/>
        <v>0.999595350394931-0.00115234785942084i</v>
      </c>
    </row>
    <row r="62" spans="1:44">
      <c r="A62" s="147">
        <v>2</v>
      </c>
      <c r="C62" s="147" t="s">
        <v>812</v>
      </c>
      <c r="D62" s="147">
        <f>D61/150</f>
        <v>8.455971881559089E-11</v>
      </c>
      <c r="G62" s="585">
        <v>91.201000000000008</v>
      </c>
      <c r="H62" s="573">
        <f t="shared" si="23"/>
        <v>9.1201000000000004E-2</v>
      </c>
      <c r="I62" s="574">
        <f t="shared" si="0"/>
        <v>1.2768302465048567</v>
      </c>
      <c r="J62" s="575">
        <f t="shared" si="1"/>
        <v>0.67101740376795904</v>
      </c>
      <c r="K62" s="575">
        <f t="shared" si="2"/>
        <v>1.0000000178795596</v>
      </c>
      <c r="L62" s="576">
        <f t="shared" si="3"/>
        <v>1.8910081598592278E-4</v>
      </c>
      <c r="M62" s="575">
        <f t="shared" si="4"/>
        <v>1.0000008600887311</v>
      </c>
      <c r="N62" s="576">
        <f t="shared" si="5"/>
        <v>-1.3115548899265384E-3</v>
      </c>
      <c r="O62" s="574">
        <f t="shared" si="6"/>
        <v>1719.0986384860187</v>
      </c>
      <c r="P62" s="577">
        <f t="shared" si="7"/>
        <v>1.5702146265747878</v>
      </c>
      <c r="Q62" s="586">
        <f t="shared" si="8"/>
        <v>1.050226526189344</v>
      </c>
      <c r="R62" s="587">
        <f t="shared" si="9"/>
        <v>0.31051764321935088</v>
      </c>
      <c r="S62" s="574">
        <f t="shared" si="10"/>
        <v>1.0000016146585553</v>
      </c>
      <c r="T62" s="577">
        <f t="shared" si="11"/>
        <v>1.7970288716701375E-3</v>
      </c>
      <c r="U62" s="578">
        <f t="shared" si="24"/>
        <v>0.99959354476086848</v>
      </c>
      <c r="V62" s="579">
        <f t="shared" si="25"/>
        <v>-4.4241663252083639E-3</v>
      </c>
      <c r="W62" s="580">
        <f t="shared" si="12"/>
        <v>40.883516696477322</v>
      </c>
      <c r="X62" s="581">
        <f t="shared" si="13"/>
        <v>-111.04254606368485</v>
      </c>
      <c r="Y62" s="584">
        <f t="shared" si="14"/>
        <v>68.957453936315147</v>
      </c>
      <c r="AA62" s="147">
        <f t="shared" si="15"/>
        <v>1000000000</v>
      </c>
      <c r="AB62" s="147">
        <f t="shared" si="16"/>
        <v>8317.6224010000005</v>
      </c>
      <c r="AD62" s="583">
        <f t="shared" si="17"/>
        <v>40.825079816509032</v>
      </c>
      <c r="AE62" s="584">
        <f t="shared" si="18"/>
        <v>-72.27828286422789</v>
      </c>
      <c r="AG62" s="583">
        <f t="shared" si="19"/>
        <v>55.167744493918363</v>
      </c>
      <c r="AH62" s="584">
        <f t="shared" si="20"/>
        <v>-38.257291082280965</v>
      </c>
      <c r="AJ62" s="147">
        <f t="shared" si="21"/>
        <v>0</v>
      </c>
      <c r="AK62" s="147">
        <f t="shared" si="33"/>
        <v>0</v>
      </c>
      <c r="AM62" s="147" t="str">
        <f t="shared" si="26"/>
        <v>0.0000199727628730217+0.0063202157269456i</v>
      </c>
      <c r="AN62" s="147" t="str">
        <f t="shared" si="27"/>
        <v>0.00632025780467177i</v>
      </c>
      <c r="AO62" s="147" t="str">
        <f t="shared" si="28"/>
        <v>0.999993342403511-0.00316011838287013i</v>
      </c>
      <c r="AP62" s="147" t="str">
        <f t="shared" si="29"/>
        <v>0.166663337872855-0.00105336928782427i</v>
      </c>
      <c r="AQ62" s="147" t="str">
        <f t="shared" si="30"/>
        <v>0.833336662127145+0.00105336928782427i</v>
      </c>
      <c r="AR62" s="147" t="str">
        <f t="shared" si="31"/>
        <v>0.999594409916937-0.00126352541480609i</v>
      </c>
    </row>
    <row r="63" spans="1:44">
      <c r="A63" s="147">
        <v>2.5</v>
      </c>
      <c r="G63" s="585">
        <v>100</v>
      </c>
      <c r="H63" s="573">
        <f t="shared" si="23"/>
        <v>0.1</v>
      </c>
      <c r="I63" s="574">
        <f t="shared" si="0"/>
        <v>1.3258141769482461</v>
      </c>
      <c r="J63" s="575">
        <f t="shared" si="1"/>
        <v>0.71627987813989402</v>
      </c>
      <c r="K63" s="575">
        <f t="shared" si="2"/>
        <v>1.0000000214959981</v>
      </c>
      <c r="L63" s="576">
        <f t="shared" si="3"/>
        <v>2.0734511192860655E-4</v>
      </c>
      <c r="M63" s="575">
        <f t="shared" si="4"/>
        <v>1.0000010340559053</v>
      </c>
      <c r="N63" s="576">
        <f t="shared" si="5"/>
        <v>-1.4380924965899358E-3</v>
      </c>
      <c r="O63" s="574">
        <f t="shared" si="6"/>
        <v>1884.9558552582205</v>
      </c>
      <c r="P63" s="577">
        <f t="shared" si="7"/>
        <v>1.5702658103670883</v>
      </c>
      <c r="Q63" s="586">
        <f t="shared" si="8"/>
        <v>1.0600963717154828</v>
      </c>
      <c r="R63" s="587">
        <f t="shared" si="9"/>
        <v>0.33832942864594873</v>
      </c>
      <c r="S63" s="574">
        <f t="shared" si="10"/>
        <v>1.0000019412498113</v>
      </c>
      <c r="T63" s="577">
        <f t="shared" si="11"/>
        <v>1.9704043600487701E-3</v>
      </c>
      <c r="U63" s="578">
        <f t="shared" si="24"/>
        <v>0.99959223909568762</v>
      </c>
      <c r="V63" s="579">
        <f t="shared" si="25"/>
        <v>-4.8510032407779076E-3</v>
      </c>
      <c r="W63" s="580">
        <f t="shared" si="12"/>
        <v>39.837753673475618</v>
      </c>
      <c r="X63" s="581">
        <f t="shared" si="13"/>
        <v>-112.08592389353019</v>
      </c>
      <c r="Y63" s="584">
        <f t="shared" si="14"/>
        <v>67.914076106469807</v>
      </c>
      <c r="AA63" s="147">
        <f t="shared" si="15"/>
        <v>1000000000</v>
      </c>
      <c r="AB63" s="147">
        <f t="shared" si="16"/>
        <v>10000</v>
      </c>
      <c r="AD63" s="583">
        <f t="shared" si="17"/>
        <v>40.10631652859098</v>
      </c>
      <c r="AE63" s="584">
        <f t="shared" si="18"/>
        <v>-70.697651235787646</v>
      </c>
      <c r="AG63" s="583">
        <f t="shared" si="19"/>
        <v>54.840767449799714</v>
      </c>
      <c r="AH63" s="584">
        <f t="shared" si="20"/>
        <v>-40.832388632905648</v>
      </c>
      <c r="AJ63" s="147">
        <f t="shared" si="21"/>
        <v>0</v>
      </c>
      <c r="AK63" s="147">
        <f t="shared" si="33"/>
        <v>0</v>
      </c>
      <c r="AM63" s="147" t="str">
        <f t="shared" si="26"/>
        <v>0.0000240125704950023+0.00692997578540304i</v>
      </c>
      <c r="AN63" s="147" t="str">
        <f t="shared" si="27"/>
        <v>0.00693003125477985i</v>
      </c>
      <c r="AO63" s="147" t="str">
        <f t="shared" si="28"/>
        <v>0.999991995797022-0.00346500176004836i</v>
      </c>
      <c r="AP63" s="147" t="str">
        <f t="shared" si="29"/>
        <v>0.166662664571584-0.00115499596423384i</v>
      </c>
      <c r="AQ63" s="147" t="str">
        <f t="shared" si="30"/>
        <v>0.833337335428416+0.00115499596423384i</v>
      </c>
      <c r="AR63" s="147" t="str">
        <f t="shared" si="31"/>
        <v>0.999593279247133-0.00138542479056476i</v>
      </c>
    </row>
    <row r="64" spans="1:44">
      <c r="A64" s="147">
        <v>3</v>
      </c>
      <c r="C64" s="147" t="s">
        <v>743</v>
      </c>
      <c r="D64" s="149">
        <f>D60/1000</f>
        <v>54.642186201481579</v>
      </c>
      <c r="G64" s="585">
        <v>109.65</v>
      </c>
      <c r="H64" s="573">
        <f t="shared" si="23"/>
        <v>0.10965000000000001</v>
      </c>
      <c r="I64" s="574">
        <f t="shared" si="0"/>
        <v>1.3824225339721821</v>
      </c>
      <c r="J64" s="575">
        <f t="shared" si="1"/>
        <v>0.76212873509693468</v>
      </c>
      <c r="K64" s="575">
        <f t="shared" si="2"/>
        <v>1.0000000258449018</v>
      </c>
      <c r="L64" s="576">
        <f t="shared" si="3"/>
        <v>2.2735391457055692E-4</v>
      </c>
      <c r="M64" s="575">
        <f t="shared" si="4"/>
        <v>1.0000012432579521</v>
      </c>
      <c r="N64" s="576">
        <f t="shared" si="5"/>
        <v>-1.5768682025883291E-3</v>
      </c>
      <c r="O64" s="574">
        <f t="shared" si="6"/>
        <v>2066.8540463485647</v>
      </c>
      <c r="P64" s="577">
        <f t="shared" si="7"/>
        <v>1.5703124996757145</v>
      </c>
      <c r="Q64" s="586">
        <f t="shared" si="8"/>
        <v>1.0718448802517695</v>
      </c>
      <c r="R64" s="587">
        <f t="shared" si="9"/>
        <v>0.36821644619659222</v>
      </c>
      <c r="S64" s="574">
        <f t="shared" si="10"/>
        <v>1.0000023339879702</v>
      </c>
      <c r="T64" s="577">
        <f t="shared" si="11"/>
        <v>2.1605478151079088E-3</v>
      </c>
      <c r="U64" s="578">
        <f t="shared" si="24"/>
        <v>0.99959066899048865</v>
      </c>
      <c r="V64" s="579">
        <f t="shared" si="25"/>
        <v>-5.3191209190508754E-3</v>
      </c>
      <c r="W64" s="580">
        <f t="shared" si="12"/>
        <v>38.770134839817239</v>
      </c>
      <c r="X64" s="581">
        <f t="shared" si="13"/>
        <v>-113.04766545327955</v>
      </c>
      <c r="Y64" s="584">
        <f t="shared" si="14"/>
        <v>66.952334546720451</v>
      </c>
      <c r="AA64" s="147">
        <f t="shared" si="15"/>
        <v>1000000000</v>
      </c>
      <c r="AB64" s="147">
        <f t="shared" si="16"/>
        <v>12023.122500000001</v>
      </c>
      <c r="AD64" s="583">
        <f t="shared" si="17"/>
        <v>39.401872397829301</v>
      </c>
      <c r="AE64" s="584">
        <f t="shared" si="18"/>
        <v>-68.998820783770739</v>
      </c>
      <c r="AG64" s="583">
        <f t="shared" si="19"/>
        <v>54.477620033571839</v>
      </c>
      <c r="AH64" s="584">
        <f t="shared" si="20"/>
        <v>-43.439318310049607</v>
      </c>
      <c r="AJ64" s="147">
        <f t="shared" si="21"/>
        <v>0</v>
      </c>
      <c r="AK64" s="147">
        <f t="shared" si="33"/>
        <v>0</v>
      </c>
      <c r="AM64" s="147" t="str">
        <f t="shared" si="26"/>
        <v>0.0000288705842840242+0.00759870614365956i</v>
      </c>
      <c r="AN64" s="147" t="str">
        <f t="shared" si="27"/>
        <v>0.00759877927086611i</v>
      </c>
      <c r="AO64" s="147" t="str">
        <f t="shared" si="28"/>
        <v>0.999990376453382-0.00379937135359553i</v>
      </c>
      <c r="AP64" s="147" t="str">
        <f t="shared" si="29"/>
        <v>0.166661854902619-0.00126645102394326i</v>
      </c>
      <c r="AQ64" s="147" t="str">
        <f t="shared" si="30"/>
        <v>0.833338145097381+0.00126645102394326i</v>
      </c>
      <c r="AR64" s="147" t="str">
        <f t="shared" si="31"/>
        <v>0.999591919581883-0.00151911228056403i</v>
      </c>
    </row>
    <row r="65" spans="1:44">
      <c r="A65" s="147">
        <v>4</v>
      </c>
      <c r="C65" s="147" t="s">
        <v>744</v>
      </c>
      <c r="D65" s="149">
        <f>D61*1000000000</f>
        <v>12.683957822338634</v>
      </c>
      <c r="G65" s="585">
        <v>120.23</v>
      </c>
      <c r="H65" s="573">
        <f t="shared" si="23"/>
        <v>0.12023</v>
      </c>
      <c r="I65" s="574">
        <f t="shared" si="0"/>
        <v>1.4475478665316845</v>
      </c>
      <c r="J65" s="575">
        <f t="shared" si="1"/>
        <v>0.8081690054909535</v>
      </c>
      <c r="K65" s="575">
        <f t="shared" si="2"/>
        <v>1.0000000310730088</v>
      </c>
      <c r="L65" s="576">
        <f t="shared" si="3"/>
        <v>2.4929102648012182E-4</v>
      </c>
      <c r="M65" s="575">
        <f t="shared" si="4"/>
        <v>1.0000014947536182</v>
      </c>
      <c r="N65" s="576">
        <f t="shared" si="5"/>
        <v>-1.7290180776140414E-3</v>
      </c>
      <c r="O65" s="574">
        <f t="shared" si="6"/>
        <v>2266.2823264826561</v>
      </c>
      <c r="P65" s="577">
        <f t="shared" si="7"/>
        <v>1.5703550754906064</v>
      </c>
      <c r="Q65" s="586">
        <f t="shared" si="8"/>
        <v>1.0858002908930837</v>
      </c>
      <c r="R65" s="587">
        <f t="shared" si="9"/>
        <v>0.40020876785144505</v>
      </c>
      <c r="S65" s="574">
        <f t="shared" si="10"/>
        <v>1.0000028061244832</v>
      </c>
      <c r="T65" s="577">
        <f t="shared" si="11"/>
        <v>2.3690157961541143E-3</v>
      </c>
      <c r="U65" s="578">
        <f t="shared" si="24"/>
        <v>0.99958878147165664</v>
      </c>
      <c r="V65" s="579">
        <f t="shared" si="25"/>
        <v>-5.8323512132472449E-3</v>
      </c>
      <c r="W65" s="580">
        <f t="shared" si="12"/>
        <v>37.682550247839742</v>
      </c>
      <c r="X65" s="581">
        <f t="shared" si="13"/>
        <v>-113.90380394934937</v>
      </c>
      <c r="Y65" s="584">
        <f t="shared" si="14"/>
        <v>66.096196050650633</v>
      </c>
      <c r="AA65" s="147">
        <f t="shared" si="15"/>
        <v>1000000000</v>
      </c>
      <c r="AB65" s="147">
        <f t="shared" si="16"/>
        <v>14455.252900000001</v>
      </c>
      <c r="AD65" s="583">
        <f t="shared" si="17"/>
        <v>38.714144562441398</v>
      </c>
      <c r="AE65" s="584">
        <f t="shared" si="18"/>
        <v>-67.18017952402478</v>
      </c>
      <c r="AG65" s="583">
        <f t="shared" si="19"/>
        <v>54.077796080001015</v>
      </c>
      <c r="AH65" s="584">
        <f t="shared" si="20"/>
        <v>-46.05528620624677</v>
      </c>
      <c r="AJ65" s="147">
        <f t="shared" si="21"/>
        <v>0</v>
      </c>
      <c r="AK65" s="147">
        <f t="shared" si="33"/>
        <v>0</v>
      </c>
      <c r="AM65" s="147" t="str">
        <f t="shared" si="26"/>
        <v>0.000034710716038+0.00833188017444106i</v>
      </c>
      <c r="AN65" s="147" t="str">
        <f t="shared" si="27"/>
        <v>0.00833197657762182i</v>
      </c>
      <c r="AO65" s="147" t="str">
        <f t="shared" si="28"/>
        <v>0.999988429734546-0.00416596418804473i</v>
      </c>
      <c r="AP65" s="147" t="str">
        <f t="shared" si="29"/>
        <v>0.166660881547327-0.00138864669574018i</v>
      </c>
      <c r="AQ65" s="147" t="str">
        <f t="shared" si="30"/>
        <v>0.833339118452673+0.00138864669574018i</v>
      </c>
      <c r="AR65" s="147" t="str">
        <f t="shared" si="31"/>
        <v>0.999590285048972-0.00166568173231156i</v>
      </c>
    </row>
    <row r="66" spans="1:44">
      <c r="A66" s="147">
        <v>5</v>
      </c>
      <c r="C66" s="147" t="s">
        <v>812</v>
      </c>
      <c r="D66" s="149">
        <f>D62*1000000000000</f>
        <v>84.559718815590884</v>
      </c>
      <c r="G66" s="585">
        <v>131.83000000000001</v>
      </c>
      <c r="H66" s="573">
        <f t="shared" si="23"/>
        <v>0.13183</v>
      </c>
      <c r="I66" s="574">
        <f t="shared" si="0"/>
        <v>1.5221572724039558</v>
      </c>
      <c r="J66" s="575">
        <f t="shared" si="1"/>
        <v>0.85401381413480104</v>
      </c>
      <c r="K66" s="575">
        <f t="shared" si="2"/>
        <v>1.000000037358215</v>
      </c>
      <c r="L66" s="576">
        <f t="shared" si="3"/>
        <v>2.7334305816493088E-4</v>
      </c>
      <c r="M66" s="575">
        <f t="shared" si="4"/>
        <v>1.0000017971004695</v>
      </c>
      <c r="N66" s="576">
        <f t="shared" si="5"/>
        <v>-1.8958363738501753E-3</v>
      </c>
      <c r="O66" s="574">
        <f t="shared" si="6"/>
        <v>2484.9371555093403</v>
      </c>
      <c r="P66" s="577">
        <f t="shared" si="7"/>
        <v>1.5703939021199813</v>
      </c>
      <c r="Q66" s="586">
        <f t="shared" si="8"/>
        <v>1.1023435791640643</v>
      </c>
      <c r="R66" s="587">
        <f t="shared" si="9"/>
        <v>0.43431573935120987</v>
      </c>
      <c r="S66" s="574">
        <f t="shared" si="10"/>
        <v>1.000003373724536</v>
      </c>
      <c r="T66" s="577">
        <f t="shared" si="11"/>
        <v>2.597581587209298E-3</v>
      </c>
      <c r="U66" s="578">
        <f t="shared" si="24"/>
        <v>0.99958651231858475</v>
      </c>
      <c r="V66" s="579">
        <f t="shared" si="25"/>
        <v>-6.3950594420526625E-3</v>
      </c>
      <c r="W66" s="580">
        <f t="shared" si="12"/>
        <v>36.577308919132363</v>
      </c>
      <c r="X66" s="581">
        <f t="shared" si="13"/>
        <v>-114.63207364733728</v>
      </c>
      <c r="Y66" s="584">
        <f t="shared" si="14"/>
        <v>65.367926352662721</v>
      </c>
      <c r="AA66" s="147">
        <f t="shared" si="15"/>
        <v>1000000000</v>
      </c>
      <c r="AB66" s="147">
        <f t="shared" si="16"/>
        <v>17379.148900000004</v>
      </c>
      <c r="AD66" s="583">
        <f t="shared" si="17"/>
        <v>38.045452137835902</v>
      </c>
      <c r="AE66" s="584">
        <f t="shared" si="18"/>
        <v>-65.241314460064231</v>
      </c>
      <c r="AG66" s="583">
        <f t="shared" si="19"/>
        <v>53.641286611386789</v>
      </c>
      <c r="AH66" s="584">
        <f t="shared" si="20"/>
        <v>-48.657939354905871</v>
      </c>
      <c r="AJ66" s="147">
        <f t="shared" si="21"/>
        <v>0</v>
      </c>
      <c r="AK66" s="147">
        <f t="shared" si="33"/>
        <v>0</v>
      </c>
      <c r="AM66" s="147" t="str">
        <f t="shared" si="26"/>
        <v>0.000041731680566981+0.00913573311788948i</v>
      </c>
      <c r="AN66" s="147" t="str">
        <f t="shared" si="27"/>
        <v>0.00913586020317628i</v>
      </c>
      <c r="AO66" s="147" t="str">
        <f t="shared" si="28"/>
        <v>0.99998608940111-0.00456789833019468i</v>
      </c>
      <c r="AP66" s="147" t="str">
        <f t="shared" si="29"/>
        <v>0.166659711386572-0.00152262218631491i</v>
      </c>
      <c r="AQ66" s="147" t="str">
        <f t="shared" si="30"/>
        <v>0.833340288613428+0.00152262218631491i</v>
      </c>
      <c r="AR66" s="147" t="str">
        <f t="shared" si="31"/>
        <v>0.999588320037353-0.00182637918034964i</v>
      </c>
    </row>
    <row r="67" spans="1:44">
      <c r="A67" s="147">
        <v>6</v>
      </c>
      <c r="G67" s="585">
        <v>144.54</v>
      </c>
      <c r="H67" s="573">
        <f t="shared" si="23"/>
        <v>0.14454</v>
      </c>
      <c r="I67" s="574">
        <f t="shared" si="0"/>
        <v>1.6072169894678541</v>
      </c>
      <c r="J67" s="575">
        <f t="shared" si="1"/>
        <v>0.89925481072222058</v>
      </c>
      <c r="K67" s="575">
        <f t="shared" si="2"/>
        <v>1.0000000449090336</v>
      </c>
      <c r="L67" s="576">
        <f t="shared" si="3"/>
        <v>2.9969662010373622E-4</v>
      </c>
      <c r="M67" s="575">
        <f t="shared" si="4"/>
        <v>1.0000021603288995</v>
      </c>
      <c r="N67" s="576">
        <f t="shared" si="5"/>
        <v>-2.0786173338452896E-3</v>
      </c>
      <c r="O67" s="574">
        <f t="shared" si="6"/>
        <v>2724.5149933049083</v>
      </c>
      <c r="P67" s="577">
        <f t="shared" si="7"/>
        <v>1.5704292889826952</v>
      </c>
      <c r="Q67" s="586">
        <f t="shared" si="8"/>
        <v>1.1218955598809781</v>
      </c>
      <c r="R67" s="587">
        <f t="shared" si="9"/>
        <v>0.47048492535146513</v>
      </c>
      <c r="S67" s="574">
        <f t="shared" si="10"/>
        <v>1.0000040556182452</v>
      </c>
      <c r="T67" s="577">
        <f t="shared" si="11"/>
        <v>2.8480184475136207E-3</v>
      </c>
      <c r="U67" s="578">
        <f t="shared" si="24"/>
        <v>0.99958378625965927</v>
      </c>
      <c r="V67" s="579">
        <f t="shared" si="25"/>
        <v>-7.0116107435961427E-3</v>
      </c>
      <c r="W67" s="580">
        <f t="shared" si="12"/>
        <v>35.45821597673369</v>
      </c>
      <c r="X67" s="581">
        <f t="shared" si="13"/>
        <v>-115.21251501734137</v>
      </c>
      <c r="Y67" s="584">
        <f t="shared" si="14"/>
        <v>64.787484982658626</v>
      </c>
      <c r="AA67" s="147">
        <f t="shared" si="15"/>
        <v>1000000000</v>
      </c>
      <c r="AB67" s="147">
        <f t="shared" si="16"/>
        <v>20891.811599999997</v>
      </c>
      <c r="AD67" s="583">
        <f t="shared" si="17"/>
        <v>37.398679415565404</v>
      </c>
      <c r="AE67" s="584">
        <f t="shared" si="18"/>
        <v>-63.185349244490325</v>
      </c>
      <c r="AG67" s="583">
        <f t="shared" si="19"/>
        <v>53.169013767406597</v>
      </c>
      <c r="AH67" s="584">
        <f t="shared" si="20"/>
        <v>-51.223694365539671</v>
      </c>
      <c r="AJ67" s="147">
        <f t="shared" si="21"/>
        <v>0</v>
      </c>
      <c r="AK67" s="147">
        <f t="shared" si="33"/>
        <v>0</v>
      </c>
      <c r="AM67" s="147" t="str">
        <f t="shared" si="26"/>
        <v>0.0000501663912040318+0.0100164996750839i</v>
      </c>
      <c r="AN67" s="147" t="str">
        <f t="shared" si="27"/>
        <v>0.0100166671756588i</v>
      </c>
      <c r="AO67" s="147" t="str">
        <f t="shared" si="28"/>
        <v>0.999983277813672-0.00500829171263069i</v>
      </c>
      <c r="AP67" s="147" t="str">
        <f t="shared" si="29"/>
        <v>0.166658305601466-0.00166941661251398i</v>
      </c>
      <c r="AQ67" s="147" t="str">
        <f t="shared" si="30"/>
        <v>0.833341694398534+0.00166941661251398i</v>
      </c>
      <c r="AR67" s="147" t="str">
        <f t="shared" si="31"/>
        <v>0.999585959367195-0.00200245039630199i</v>
      </c>
    </row>
    <row r="68" spans="1:44">
      <c r="A68" s="147">
        <v>7</v>
      </c>
      <c r="G68" s="585">
        <v>158.49</v>
      </c>
      <c r="H68" s="573">
        <f t="shared" si="23"/>
        <v>0.15849000000000002</v>
      </c>
      <c r="I68" s="574">
        <f t="shared" si="0"/>
        <v>1.7039606127473896</v>
      </c>
      <c r="J68" s="575">
        <f t="shared" si="1"/>
        <v>0.94361108466238408</v>
      </c>
      <c r="K68" s="575">
        <f t="shared" si="2"/>
        <v>1.0000000539959688</v>
      </c>
      <c r="L68" s="576">
        <f t="shared" si="3"/>
        <v>3.2862126077552777E-4</v>
      </c>
      <c r="M68" s="575">
        <f t="shared" si="4"/>
        <v>1.0000025974512812</v>
      </c>
      <c r="N68" s="576">
        <f t="shared" si="5"/>
        <v>-2.2792304222884457E-3</v>
      </c>
      <c r="O68" s="574">
        <f t="shared" si="6"/>
        <v>2987.4662819569107</v>
      </c>
      <c r="P68" s="577">
        <f t="shared" si="7"/>
        <v>1.5704615949772645</v>
      </c>
      <c r="Q68" s="586">
        <f t="shared" si="8"/>
        <v>1.1449825572293966</v>
      </c>
      <c r="R68" s="587">
        <f t="shared" si="9"/>
        <v>0.50870544122501771</v>
      </c>
      <c r="S68" s="574">
        <f t="shared" si="10"/>
        <v>1.0000048762337947</v>
      </c>
      <c r="T68" s="577">
        <f t="shared" si="11"/>
        <v>3.1228877598335546E-3</v>
      </c>
      <c r="U68" s="578">
        <f t="shared" si="24"/>
        <v>0.99958050564729661</v>
      </c>
      <c r="V68" s="579">
        <f t="shared" si="25"/>
        <v>-7.6883103775579288E-3</v>
      </c>
      <c r="W68" s="580">
        <f t="shared" si="12"/>
        <v>34.327136100166229</v>
      </c>
      <c r="X68" s="581">
        <f t="shared" si="13"/>
        <v>-115.6302769642768</v>
      </c>
      <c r="Y68" s="584">
        <f t="shared" si="14"/>
        <v>64.369723035723197</v>
      </c>
      <c r="AA68" s="147">
        <f t="shared" si="15"/>
        <v>1000000000</v>
      </c>
      <c r="AB68" s="147">
        <f t="shared" si="16"/>
        <v>25119.080100000003</v>
      </c>
      <c r="AD68" s="583">
        <f t="shared" si="17"/>
        <v>36.77532491424801</v>
      </c>
      <c r="AE68" s="584">
        <f t="shared" si="18"/>
        <v>-61.013074840296191</v>
      </c>
      <c r="AG68" s="583">
        <f t="shared" si="19"/>
        <v>52.661345406053861</v>
      </c>
      <c r="AH68" s="584">
        <f t="shared" si="20"/>
        <v>-53.736186650532495</v>
      </c>
      <c r="AJ68" s="147">
        <f t="shared" si="21"/>
        <v>0</v>
      </c>
      <c r="AK68" s="147">
        <f t="shared" si="33"/>
        <v>0</v>
      </c>
      <c r="AM68" s="147" t="str">
        <f t="shared" si="26"/>
        <v>0.0000603170031979738+0.0109831857060902i</v>
      </c>
      <c r="AN68" s="147" t="str">
        <f t="shared" si="27"/>
        <v>0.0109834065357006i</v>
      </c>
      <c r="AO68" s="147" t="str">
        <f t="shared" si="28"/>
        <v>0.999979894251416-0.00549164806036439i</v>
      </c>
      <c r="AP68" s="147" t="str">
        <f t="shared" si="29"/>
        <v>0.1666566138328-0.00183053095101503i</v>
      </c>
      <c r="AQ68" s="147" t="str">
        <f t="shared" si="30"/>
        <v>0.8333433861672+0.00183053095101503i</v>
      </c>
      <c r="AR68" s="147" t="str">
        <f t="shared" si="31"/>
        <v>0.999583118483365-0.00219569491624765i</v>
      </c>
    </row>
    <row r="69" spans="1:44">
      <c r="A69" s="147">
        <v>8</v>
      </c>
      <c r="G69" s="585">
        <v>173.78</v>
      </c>
      <c r="H69" s="573">
        <f t="shared" si="23"/>
        <v>0.17377999999999999</v>
      </c>
      <c r="I69" s="574">
        <f t="shared" si="0"/>
        <v>1.8134129678141895</v>
      </c>
      <c r="J69" s="575">
        <f t="shared" si="1"/>
        <v>0.98669926015602583</v>
      </c>
      <c r="K69" s="575">
        <f t="shared" si="2"/>
        <v>1.0000000649168133</v>
      </c>
      <c r="L69" s="576">
        <f t="shared" si="3"/>
        <v>3.6032432507914874E-4</v>
      </c>
      <c r="M69" s="575">
        <f t="shared" si="4"/>
        <v>1.0000031227926707</v>
      </c>
      <c r="N69" s="576">
        <f t="shared" si="5"/>
        <v>-2.4991136605831492E-3</v>
      </c>
      <c r="O69" s="574">
        <f t="shared" si="6"/>
        <v>3275.6759769422538</v>
      </c>
      <c r="P69" s="577">
        <f t="shared" si="7"/>
        <v>1.5704910462901789</v>
      </c>
      <c r="Q69" s="586">
        <f t="shared" si="8"/>
        <v>1.1721274267291097</v>
      </c>
      <c r="R69" s="587">
        <f t="shared" si="9"/>
        <v>0.54880301224322592</v>
      </c>
      <c r="S69" s="574">
        <f t="shared" si="10"/>
        <v>1.0000058624636221</v>
      </c>
      <c r="T69" s="577">
        <f t="shared" si="11"/>
        <v>3.4241597456650093E-3</v>
      </c>
      <c r="U69" s="578">
        <f t="shared" si="24"/>
        <v>0.99957656298805941</v>
      </c>
      <c r="V69" s="579">
        <f t="shared" si="25"/>
        <v>-8.430008010727047E-3</v>
      </c>
      <c r="W69" s="580">
        <f t="shared" si="12"/>
        <v>33.189915308743764</v>
      </c>
      <c r="X69" s="581">
        <f t="shared" si="13"/>
        <v>-115.87385310220834</v>
      </c>
      <c r="Y69" s="584">
        <f t="shared" si="14"/>
        <v>64.126146897791656</v>
      </c>
      <c r="AA69" s="147">
        <f t="shared" si="15"/>
        <v>1000000000</v>
      </c>
      <c r="AB69" s="147">
        <f t="shared" si="16"/>
        <v>30199.488400000002</v>
      </c>
      <c r="AD69" s="583">
        <f t="shared" si="17"/>
        <v>36.178877030673185</v>
      </c>
      <c r="AE69" s="584">
        <f t="shared" si="18"/>
        <v>-58.734602298828023</v>
      </c>
      <c r="AG69" s="583">
        <f t="shared" si="19"/>
        <v>52.120641018091035</v>
      </c>
      <c r="AH69" s="584">
        <f t="shared" si="20"/>
        <v>-56.173243041724234</v>
      </c>
      <c r="AJ69" s="147">
        <f t="shared" si="21"/>
        <v>0</v>
      </c>
      <c r="AK69" s="147">
        <f t="shared" si="33"/>
        <v>0</v>
      </c>
      <c r="AM69" s="147" t="str">
        <f t="shared" si="26"/>
        <v>0.0000725161481830439+0.0120427172089572i</v>
      </c>
      <c r="AN69" s="147" t="str">
        <f t="shared" si="27"/>
        <v>0.0120430083145564i</v>
      </c>
      <c r="AO69" s="147" t="str">
        <f t="shared" si="28"/>
        <v>0.999975827833744-0.00602143138067866i</v>
      </c>
      <c r="AP69" s="147" t="str">
        <f t="shared" si="29"/>
        <v>0.16665458064197-0.0020071195348262i</v>
      </c>
      <c r="AQ69" s="147" t="str">
        <f t="shared" si="30"/>
        <v>0.83334541935803+0.0020071195348262i</v>
      </c>
      <c r="AR69" s="147" t="str">
        <f t="shared" si="31"/>
        <v>0.999579704306765-0.00240749622488529i</v>
      </c>
    </row>
    <row r="70" spans="1:44">
      <c r="A70" s="147">
        <v>9</v>
      </c>
      <c r="G70" s="585">
        <v>190.55</v>
      </c>
      <c r="H70" s="573">
        <f t="shared" si="23"/>
        <v>0.19055000000000002</v>
      </c>
      <c r="I70" s="574">
        <f t="shared" si="0"/>
        <v>1.9368681058023356</v>
      </c>
      <c r="J70" s="575">
        <f t="shared" si="1"/>
        <v>1.0282744186057498</v>
      </c>
      <c r="K70" s="575">
        <f t="shared" si="2"/>
        <v>1.0000000780504676</v>
      </c>
      <c r="L70" s="576">
        <f t="shared" si="3"/>
        <v>3.9509609588366006E-4</v>
      </c>
      <c r="M70" s="575">
        <f t="shared" si="4"/>
        <v>1.00000375457976</v>
      </c>
      <c r="N70" s="576">
        <f t="shared" si="5"/>
        <v>-2.7402802822577583E-3</v>
      </c>
      <c r="O70" s="574">
        <f t="shared" si="6"/>
        <v>3591.7830159516307</v>
      </c>
      <c r="P70" s="577">
        <f t="shared" si="7"/>
        <v>1.5705179135365015</v>
      </c>
      <c r="Q70" s="586">
        <f t="shared" si="8"/>
        <v>1.2039621426164162</v>
      </c>
      <c r="R70" s="587">
        <f t="shared" si="9"/>
        <v>0.59062839544231216</v>
      </c>
      <c r="S70" s="574">
        <f t="shared" si="10"/>
        <v>1.0000070485246637</v>
      </c>
      <c r="T70" s="577">
        <f t="shared" si="11"/>
        <v>3.7545927242686396E-3</v>
      </c>
      <c r="U70" s="578">
        <f t="shared" si="24"/>
        <v>0.99957182151525736</v>
      </c>
      <c r="V70" s="579">
        <f t="shared" si="25"/>
        <v>-9.24349324379245E-3</v>
      </c>
      <c r="W70" s="580">
        <f t="shared" si="12"/>
        <v>32.050379717771634</v>
      </c>
      <c r="X70" s="581">
        <f t="shared" si="13"/>
        <v>-115.93842289954023</v>
      </c>
      <c r="Y70" s="584">
        <f t="shared" si="14"/>
        <v>64.061577100459772</v>
      </c>
      <c r="AA70" s="147">
        <f t="shared" si="15"/>
        <v>1000000000</v>
      </c>
      <c r="AB70" s="147">
        <f t="shared" si="16"/>
        <v>36309.302500000005</v>
      </c>
      <c r="AD70" s="583">
        <f t="shared" si="17"/>
        <v>35.611443652772429</v>
      </c>
      <c r="AE70" s="584">
        <f t="shared" si="18"/>
        <v>-56.358656157195426</v>
      </c>
      <c r="AG70" s="583">
        <f t="shared" si="19"/>
        <v>51.548621207926431</v>
      </c>
      <c r="AH70" s="584">
        <f t="shared" si="20"/>
        <v>-58.520540439480484</v>
      </c>
      <c r="AJ70" s="147">
        <f t="shared" si="21"/>
        <v>0</v>
      </c>
      <c r="AK70" s="147">
        <f t="shared" si="33"/>
        <v>0</v>
      </c>
      <c r="AM70" s="147" t="str">
        <f t="shared" si="26"/>
        <v>0.0000871870505669836+0.013204790780345i</v>
      </c>
      <c r="AN70" s="147" t="str">
        <f t="shared" si="27"/>
        <v>0.013205174555983i</v>
      </c>
      <c r="AO70" s="147" t="str">
        <f t="shared" si="28"/>
        <v>0.999970937480881-0.00660249133378407i</v>
      </c>
      <c r="AP70" s="147" t="str">
        <f t="shared" si="29"/>
        <v>0.166652135491572-0.00220079846339083i</v>
      </c>
      <c r="AQ70" s="147" t="str">
        <f t="shared" si="30"/>
        <v>0.833347864508428+0.00220079846339083i</v>
      </c>
      <c r="AR70" s="147" t="str">
        <f t="shared" si="31"/>
        <v>0.999575598411992-0.00263979129811022i</v>
      </c>
    </row>
    <row r="71" spans="1:44">
      <c r="A71" s="147">
        <v>10</v>
      </c>
      <c r="G71" s="585">
        <v>208.93</v>
      </c>
      <c r="H71" s="573">
        <f t="shared" si="23"/>
        <v>0.20893</v>
      </c>
      <c r="I71" s="574">
        <f t="shared" si="0"/>
        <v>2.0755375285428657</v>
      </c>
      <c r="J71" s="575">
        <f t="shared" si="1"/>
        <v>1.0680853272422806</v>
      </c>
      <c r="K71" s="575">
        <f t="shared" si="2"/>
        <v>1.0000000938337792</v>
      </c>
      <c r="L71" s="576">
        <f t="shared" si="3"/>
        <v>4.3320612146099165E-4</v>
      </c>
      <c r="M71" s="575">
        <f t="shared" si="4"/>
        <v>1.000004513826606</v>
      </c>
      <c r="N71" s="576">
        <f t="shared" si="5"/>
        <v>-3.0045996829194841E-3</v>
      </c>
      <c r="O71" s="574">
        <f t="shared" si="6"/>
        <v>3938.2378411473387</v>
      </c>
      <c r="P71" s="577">
        <f t="shared" si="7"/>
        <v>1.5705424061199444</v>
      </c>
      <c r="Q71" s="586">
        <f t="shared" si="8"/>
        <v>1.2411395762508075</v>
      </c>
      <c r="R71" s="587">
        <f t="shared" si="9"/>
        <v>0.63392118984178436</v>
      </c>
      <c r="S71" s="574">
        <f t="shared" si="10"/>
        <v>1.0000084738664772</v>
      </c>
      <c r="T71" s="577">
        <f t="shared" si="11"/>
        <v>4.1167479007220261E-3</v>
      </c>
      <c r="U71" s="578">
        <f t="shared" si="24"/>
        <v>0.99956612355555674</v>
      </c>
      <c r="V71" s="579">
        <f t="shared" si="25"/>
        <v>-1.0135070038062296E-2</v>
      </c>
      <c r="W71" s="580">
        <f t="shared" si="12"/>
        <v>30.914032596152808</v>
      </c>
      <c r="X71" s="581">
        <f t="shared" si="13"/>
        <v>-115.82512325514986</v>
      </c>
      <c r="Y71" s="584">
        <f t="shared" si="14"/>
        <v>64.174876744850138</v>
      </c>
      <c r="AA71" s="147">
        <f t="shared" si="15"/>
        <v>1000000000</v>
      </c>
      <c r="AB71" s="147">
        <f t="shared" si="16"/>
        <v>43651.744900000005</v>
      </c>
      <c r="AD71" s="583">
        <f t="shared" si="17"/>
        <v>35.075750166283683</v>
      </c>
      <c r="AE71" s="584">
        <f t="shared" si="18"/>
        <v>-53.90031503676925</v>
      </c>
      <c r="AG71" s="583">
        <f t="shared" si="19"/>
        <v>50.948066599177665</v>
      </c>
      <c r="AH71" s="584">
        <f t="shared" si="20"/>
        <v>-60.763414740552626</v>
      </c>
      <c r="AJ71" s="147">
        <f t="shared" si="21"/>
        <v>0</v>
      </c>
      <c r="AK71" s="147">
        <f t="shared" si="33"/>
        <v>0</v>
      </c>
      <c r="AM71" s="147" t="str">
        <f t="shared" si="26"/>
        <v>0.00010481764848802+0.0144784084151598i</v>
      </c>
      <c r="AN71" s="147" t="str">
        <f t="shared" si="27"/>
        <v>0.0144789143006115i</v>
      </c>
      <c r="AO71" s="147" t="str">
        <f t="shared" si="28"/>
        <v>0.999965060539679-0.00723933067851594i</v>
      </c>
      <c r="AP71" s="147" t="str">
        <f t="shared" si="29"/>
        <v>0.166649197058585-0.0024130680691933i</v>
      </c>
      <c r="AQ71" s="147" t="str">
        <f t="shared" si="30"/>
        <v>0.833350802941415+0.0024130680691933i</v>
      </c>
      <c r="AR71" s="147" t="str">
        <f t="shared" si="31"/>
        <v>0.999570664273953-0.00289437778705948i</v>
      </c>
    </row>
    <row r="72" spans="1:44">
      <c r="A72" s="147">
        <v>11</v>
      </c>
      <c r="G72" s="585">
        <v>229.09</v>
      </c>
      <c r="H72" s="573">
        <f t="shared" si="23"/>
        <v>0.22909000000000002</v>
      </c>
      <c r="I72" s="574">
        <f t="shared" si="0"/>
        <v>2.2309225092217568</v>
      </c>
      <c r="J72" s="575">
        <f t="shared" si="1"/>
        <v>1.1059951694944496</v>
      </c>
      <c r="K72" s="575">
        <f t="shared" si="2"/>
        <v>1.0000001128157825</v>
      </c>
      <c r="L72" s="576">
        <f t="shared" si="3"/>
        <v>4.7500688799889424E-4</v>
      </c>
      <c r="M72" s="575">
        <f t="shared" si="4"/>
        <v>1.0000054269438698</v>
      </c>
      <c r="N72" s="576">
        <f t="shared" si="5"/>
        <v>-3.2945164521521655E-3</v>
      </c>
      <c r="O72" s="574">
        <f t="shared" si="6"/>
        <v>4318.2448769187858</v>
      </c>
      <c r="P72" s="577">
        <f t="shared" si="7"/>
        <v>1.5705647512271739</v>
      </c>
      <c r="Q72" s="586">
        <f t="shared" si="8"/>
        <v>1.2844269703482682</v>
      </c>
      <c r="R72" s="587">
        <f t="shared" si="9"/>
        <v>0.67843264585515139</v>
      </c>
      <c r="S72" s="574">
        <f t="shared" si="10"/>
        <v>1.0000101880695307</v>
      </c>
      <c r="T72" s="577">
        <f t="shared" si="11"/>
        <v>4.5139745311884288E-3</v>
      </c>
      <c r="U72" s="578">
        <f t="shared" si="24"/>
        <v>0.9995592709529223</v>
      </c>
      <c r="V72" s="579">
        <f t="shared" si="25"/>
        <v>-1.1112981947451951E-2</v>
      </c>
      <c r="W72" s="580">
        <f t="shared" si="12"/>
        <v>29.784557686337379</v>
      </c>
      <c r="X72" s="581">
        <f t="shared" si="13"/>
        <v>-115.5411645630339</v>
      </c>
      <c r="Y72" s="584">
        <f t="shared" si="14"/>
        <v>64.458835436966098</v>
      </c>
      <c r="AA72" s="147">
        <f t="shared" si="15"/>
        <v>1000000000</v>
      </c>
      <c r="AB72" s="147">
        <f t="shared" si="16"/>
        <v>52482.2281</v>
      </c>
      <c r="AD72" s="583">
        <f t="shared" si="17"/>
        <v>34.57340460673845</v>
      </c>
      <c r="AE72" s="584">
        <f t="shared" si="18"/>
        <v>-51.374036154107358</v>
      </c>
      <c r="AG72" s="583">
        <f t="shared" si="19"/>
        <v>50.321056342888035</v>
      </c>
      <c r="AH72" s="584">
        <f t="shared" si="20"/>
        <v>-62.893674480683266</v>
      </c>
      <c r="AJ72" s="147">
        <f t="shared" si="21"/>
        <v>0</v>
      </c>
      <c r="AK72" s="147">
        <f t="shared" si="33"/>
        <v>0</v>
      </c>
      <c r="AM72" s="147" t="str">
        <f t="shared" si="26"/>
        <v>0.000126021177579982+0.015875341691539i</v>
      </c>
      <c r="AN72" s="147" t="str">
        <f t="shared" si="27"/>
        <v>0.0158760086015752i</v>
      </c>
      <c r="AO72" s="147" t="str">
        <f t="shared" si="28"/>
        <v>0.999957992587877-0.00793783757256709i</v>
      </c>
      <c r="AP72" s="147" t="str">
        <f t="shared" si="29"/>
        <v>0.16664566313707-0.00264589028192317i</v>
      </c>
      <c r="AQ72" s="147" t="str">
        <f t="shared" si="30"/>
        <v>0.83335433686293+0.00264589028192317i</v>
      </c>
      <c r="AR72" s="147" t="str">
        <f t="shared" si="31"/>
        <v>0.999564730318118-0.00317360633900063i</v>
      </c>
    </row>
    <row r="73" spans="1:44">
      <c r="A73" s="147">
        <v>12</v>
      </c>
      <c r="G73" s="585">
        <v>251.19</v>
      </c>
      <c r="H73" s="573">
        <f t="shared" si="23"/>
        <v>0.25119000000000002</v>
      </c>
      <c r="I73" s="574">
        <f t="shared" si="0"/>
        <v>2.4044418501403491</v>
      </c>
      <c r="J73" s="575">
        <f t="shared" si="1"/>
        <v>1.141867463687019</v>
      </c>
      <c r="K73" s="575">
        <f t="shared" si="2"/>
        <v>1.0000001356320365</v>
      </c>
      <c r="L73" s="576">
        <f t="shared" si="3"/>
        <v>5.2083014702314118E-4</v>
      </c>
      <c r="M73" s="575">
        <f t="shared" si="4"/>
        <v>1.0000065245042569</v>
      </c>
      <c r="N73" s="576">
        <f t="shared" si="5"/>
        <v>-3.6123313199843453E-3</v>
      </c>
      <c r="O73" s="574">
        <f t="shared" si="6"/>
        <v>4734.8200521216349</v>
      </c>
      <c r="P73" s="577">
        <f t="shared" si="7"/>
        <v>1.5705851255250645</v>
      </c>
      <c r="Q73" s="586">
        <f t="shared" si="8"/>
        <v>1.334601390710815</v>
      </c>
      <c r="R73" s="587">
        <f t="shared" si="9"/>
        <v>0.72381094759391595</v>
      </c>
      <c r="S73" s="574">
        <f t="shared" si="10"/>
        <v>1.0000122485274612</v>
      </c>
      <c r="T73" s="577">
        <f t="shared" si="11"/>
        <v>4.9494247020035343E-3</v>
      </c>
      <c r="U73" s="578">
        <f t="shared" si="24"/>
        <v>0.99955103434212955</v>
      </c>
      <c r="V73" s="579">
        <f t="shared" si="25"/>
        <v>-1.2184986480284602E-2</v>
      </c>
      <c r="W73" s="580">
        <f t="shared" si="12"/>
        <v>28.666800987301396</v>
      </c>
      <c r="X73" s="581">
        <f t="shared" si="13"/>
        <v>-115.09963257496639</v>
      </c>
      <c r="Y73" s="584">
        <f t="shared" si="14"/>
        <v>64.900367425033608</v>
      </c>
      <c r="AA73" s="147">
        <f t="shared" si="15"/>
        <v>1000000000</v>
      </c>
      <c r="AB73" s="147">
        <f t="shared" si="16"/>
        <v>63096.416100000002</v>
      </c>
      <c r="AD73" s="583">
        <f t="shared" si="17"/>
        <v>34.106305610811333</v>
      </c>
      <c r="AE73" s="584">
        <f t="shared" si="18"/>
        <v>-48.800167798319535</v>
      </c>
      <c r="AG73" s="583">
        <f t="shared" si="19"/>
        <v>49.670541788042968</v>
      </c>
      <c r="AH73" s="584">
        <f t="shared" si="20"/>
        <v>-64.903168177562804</v>
      </c>
      <c r="AJ73" s="147">
        <f t="shared" si="21"/>
        <v>0</v>
      </c>
      <c r="AK73" s="147">
        <f t="shared" si="33"/>
        <v>0</v>
      </c>
      <c r="AM73" s="147" t="str">
        <f t="shared" si="26"/>
        <v>0.000151507494413949+0.0174066663754669i</v>
      </c>
      <c r="AN73" s="147" t="str">
        <f t="shared" si="27"/>
        <v>0.0174075455088815i</v>
      </c>
      <c r="AO73" s="147" t="str">
        <f t="shared" si="28"/>
        <v>0.999949496991741-0.00870355296998353i</v>
      </c>
      <c r="AP73" s="147" t="str">
        <f t="shared" si="29"/>
        <v>0.166641415417598-0.00290111106257782i</v>
      </c>
      <c r="AQ73" s="147" t="str">
        <f t="shared" si="30"/>
        <v>0.833358584582402+0.00290111106257782i</v>
      </c>
      <c r="AR73" s="147" t="str">
        <f t="shared" si="31"/>
        <v>0.999557597954033-0.00347968768637725i</v>
      </c>
    </row>
    <row r="74" spans="1:44">
      <c r="A74" s="147">
        <v>13</v>
      </c>
      <c r="G74" s="585">
        <v>275.42</v>
      </c>
      <c r="H74" s="573">
        <f t="shared" si="23"/>
        <v>0.27542</v>
      </c>
      <c r="I74" s="574">
        <f t="shared" si="0"/>
        <v>2.5977401429733487</v>
      </c>
      <c r="J74" s="575">
        <f t="shared" si="1"/>
        <v>1.1756427080847014</v>
      </c>
      <c r="K74" s="575">
        <f t="shared" si="2"/>
        <v>1.000000163060411</v>
      </c>
      <c r="L74" s="576">
        <f t="shared" si="3"/>
        <v>5.7106985337832374E-4</v>
      </c>
      <c r="M74" s="575">
        <f t="shared" si="4"/>
        <v>1.0000078439260089</v>
      </c>
      <c r="N74" s="576">
        <f t="shared" si="5"/>
        <v>-3.960776372543981E-3</v>
      </c>
      <c r="O74" s="574">
        <f t="shared" si="6"/>
        <v>5191.5447822884489</v>
      </c>
      <c r="P74" s="577">
        <f t="shared" si="7"/>
        <v>1.5706037058991671</v>
      </c>
      <c r="Q74" s="586">
        <f t="shared" si="8"/>
        <v>1.3925272756408047</v>
      </c>
      <c r="R74" s="587">
        <f t="shared" si="9"/>
        <v>0.76970099073337184</v>
      </c>
      <c r="S74" s="574">
        <f t="shared" si="10"/>
        <v>1.0000147254846861</v>
      </c>
      <c r="T74" s="577">
        <f t="shared" si="11"/>
        <v>5.4268414365215081E-3</v>
      </c>
      <c r="U74" s="578">
        <f t="shared" si="24"/>
        <v>0.99954113302223824</v>
      </c>
      <c r="V74" s="579">
        <f t="shared" si="25"/>
        <v>-1.3360295099153974E-2</v>
      </c>
      <c r="W74" s="580">
        <f t="shared" si="12"/>
        <v>27.564256808295561</v>
      </c>
      <c r="X74" s="581">
        <f t="shared" si="13"/>
        <v>-114.51835040897515</v>
      </c>
      <c r="Y74" s="584">
        <f t="shared" si="14"/>
        <v>65.481649591024848</v>
      </c>
      <c r="AA74" s="147">
        <f t="shared" si="15"/>
        <v>1000000000</v>
      </c>
      <c r="AB74" s="147">
        <f t="shared" si="16"/>
        <v>75856.176400000011</v>
      </c>
      <c r="AD74" s="583">
        <f t="shared" si="17"/>
        <v>33.675464317636774</v>
      </c>
      <c r="AE74" s="584">
        <f t="shared" si="18"/>
        <v>-46.199280542758146</v>
      </c>
      <c r="AG74" s="583">
        <f t="shared" si="19"/>
        <v>48.999010983866064</v>
      </c>
      <c r="AH74" s="584">
        <f t="shared" si="20"/>
        <v>-66.7880928200059</v>
      </c>
      <c r="AJ74" s="147">
        <f t="shared" si="21"/>
        <v>0</v>
      </c>
      <c r="AK74" s="147">
        <f t="shared" si="33"/>
        <v>0</v>
      </c>
      <c r="AM74" s="147" t="str">
        <f t="shared" si="26"/>
        <v>0.000182145377557008+0.0190855332169303i</v>
      </c>
      <c r="AN74" s="147" t="str">
        <f t="shared" si="27"/>
        <v>0.0190866920819147i</v>
      </c>
      <c r="AO74" s="147" t="str">
        <f t="shared" si="28"/>
        <v>0.999939284136852-0.00954305632297579i</v>
      </c>
      <c r="AP74" s="147" t="str">
        <f t="shared" si="29"/>
        <v>0.16663630910374-0.00318092220282172i</v>
      </c>
      <c r="AQ74" s="147" t="str">
        <f t="shared" si="30"/>
        <v>0.83336369089626+0.00318092220282172i</v>
      </c>
      <c r="AR74" s="147" t="str">
        <f t="shared" si="31"/>
        <v>0.999549024151373-0.00381524623458509i</v>
      </c>
    </row>
    <row r="75" spans="1:44">
      <c r="A75" s="147">
        <v>14</v>
      </c>
      <c r="G75" s="585">
        <v>302</v>
      </c>
      <c r="H75" s="573">
        <f t="shared" si="23"/>
        <v>0.30199999999999999</v>
      </c>
      <c r="I75" s="574">
        <f t="shared" si="0"/>
        <v>2.8127008705656831</v>
      </c>
      <c r="J75" s="575">
        <f t="shared" si="1"/>
        <v>1.2073150976884308</v>
      </c>
      <c r="K75" s="575">
        <f t="shared" si="2"/>
        <v>1.0000001960520839</v>
      </c>
      <c r="L75" s="576">
        <f t="shared" si="3"/>
        <v>6.2618216515512154E-4</v>
      </c>
      <c r="M75" s="575">
        <f t="shared" si="4"/>
        <v>1.0000094309638845</v>
      </c>
      <c r="N75" s="576">
        <f t="shared" si="5"/>
        <v>-4.3430150277951529E-3</v>
      </c>
      <c r="O75" s="574">
        <f t="shared" si="6"/>
        <v>5692.5659696338535</v>
      </c>
      <c r="P75" s="577">
        <f t="shared" si="7"/>
        <v>1.570620659088896</v>
      </c>
      <c r="Q75" s="586">
        <f t="shared" si="8"/>
        <v>1.4591589686270743</v>
      </c>
      <c r="R75" s="587">
        <f t="shared" si="9"/>
        <v>0.81574466948219715</v>
      </c>
      <c r="S75" s="574">
        <f t="shared" si="10"/>
        <v>1.0000177048352343</v>
      </c>
      <c r="T75" s="577">
        <f t="shared" si="11"/>
        <v>5.9505586327096216E-3</v>
      </c>
      <c r="U75" s="578">
        <f t="shared" si="24"/>
        <v>0.99952922378584896</v>
      </c>
      <c r="V75" s="579">
        <f t="shared" si="25"/>
        <v>-1.4649572765202044E-2</v>
      </c>
      <c r="W75" s="580">
        <f t="shared" si="12"/>
        <v>26.479333284454984</v>
      </c>
      <c r="X75" s="581">
        <f t="shared" si="13"/>
        <v>-113.81852745295373</v>
      </c>
      <c r="Y75" s="584">
        <f t="shared" si="14"/>
        <v>66.181472547046269</v>
      </c>
      <c r="AA75" s="147">
        <f t="shared" si="15"/>
        <v>1000000000</v>
      </c>
      <c r="AB75" s="147">
        <f t="shared" si="16"/>
        <v>91204</v>
      </c>
      <c r="AD75" s="583">
        <f t="shared" si="17"/>
        <v>33.281187053348958</v>
      </c>
      <c r="AE75" s="584">
        <f t="shared" si="18"/>
        <v>-43.592150205435928</v>
      </c>
      <c r="AG75" s="583">
        <f t="shared" si="19"/>
        <v>48.308571705148367</v>
      </c>
      <c r="AH75" s="584">
        <f t="shared" si="20"/>
        <v>-68.547659863367826</v>
      </c>
      <c r="AJ75" s="147">
        <f t="shared" si="21"/>
        <v>0</v>
      </c>
      <c r="AK75" s="147">
        <f t="shared" si="33"/>
        <v>0</v>
      </c>
      <c r="AM75" s="147" t="str">
        <f t="shared" si="26"/>
        <v>0.000218997130665977+0.0209271665924555i</v>
      </c>
      <c r="AN75" s="147" t="str">
        <f t="shared" si="27"/>
        <v>0.0209286943894352i</v>
      </c>
      <c r="AO75" s="147" t="str">
        <f t="shared" si="28"/>
        <v>0.999926999890616-0.0104639652426922i</v>
      </c>
      <c r="AP75" s="147" t="str">
        <f t="shared" si="29"/>
        <v>0.166630167144889-0.00348786109874258i</v>
      </c>
      <c r="AQ75" s="147" t="str">
        <f t="shared" si="30"/>
        <v>0.833369832855111+0.00348786109874258i</v>
      </c>
      <c r="AR75" s="147" t="str">
        <f t="shared" si="31"/>
        <v>0.999538711773626-0.00418331940038993i</v>
      </c>
    </row>
    <row r="76" spans="1:44">
      <c r="A76" s="147">
        <v>15</v>
      </c>
      <c r="G76" s="585">
        <v>331.13</v>
      </c>
      <c r="H76" s="573">
        <f t="shared" si="23"/>
        <v>0.33112999999999998</v>
      </c>
      <c r="I76" s="574">
        <f t="shared" si="0"/>
        <v>3.0510443505523037</v>
      </c>
      <c r="J76" s="575">
        <f t="shared" si="1"/>
        <v>1.2368682717550601</v>
      </c>
      <c r="K76" s="575">
        <f t="shared" si="2"/>
        <v>1.0000002356973106</v>
      </c>
      <c r="L76" s="576">
        <f t="shared" si="3"/>
        <v>6.8658177108471953E-4</v>
      </c>
      <c r="M76" s="575">
        <f t="shared" si="4"/>
        <v>1.0000113380623246</v>
      </c>
      <c r="N76" s="576">
        <f t="shared" si="5"/>
        <v>-4.7619229727377081E-3</v>
      </c>
      <c r="O76" s="574">
        <f t="shared" si="6"/>
        <v>6241.6535252739786</v>
      </c>
      <c r="P76" s="577">
        <f t="shared" si="7"/>
        <v>1.5706361128387343</v>
      </c>
      <c r="Q76" s="586">
        <f t="shared" si="8"/>
        <v>1.5354081379950055</v>
      </c>
      <c r="R76" s="587">
        <f t="shared" si="9"/>
        <v>0.86150967756823937</v>
      </c>
      <c r="S76" s="574">
        <f t="shared" si="10"/>
        <v>1.0000212850308692</v>
      </c>
      <c r="T76" s="577">
        <f t="shared" si="11"/>
        <v>6.5245158183998573E-3</v>
      </c>
      <c r="U76" s="578">
        <f t="shared" si="24"/>
        <v>0.99951491330215192</v>
      </c>
      <c r="V76" s="579">
        <f t="shared" si="25"/>
        <v>-1.606251212574708E-2</v>
      </c>
      <c r="W76" s="580">
        <f t="shared" si="12"/>
        <v>25.415288161765815</v>
      </c>
      <c r="X76" s="581">
        <f t="shared" si="13"/>
        <v>-113.02492502038538</v>
      </c>
      <c r="Y76" s="584">
        <f t="shared" si="14"/>
        <v>66.975074979614618</v>
      </c>
      <c r="AA76" s="147">
        <f t="shared" si="15"/>
        <v>1000000000</v>
      </c>
      <c r="AB76" s="147">
        <f t="shared" si="16"/>
        <v>109647.0769</v>
      </c>
      <c r="AD76" s="583">
        <f t="shared" si="17"/>
        <v>32.923748841751348</v>
      </c>
      <c r="AE76" s="584">
        <f t="shared" si="18"/>
        <v>-41.003779148770626</v>
      </c>
      <c r="AG76" s="583">
        <f t="shared" si="19"/>
        <v>47.602213511490817</v>
      </c>
      <c r="AH76" s="584">
        <f t="shared" si="20"/>
        <v>-70.1805175631455</v>
      </c>
      <c r="AJ76" s="147">
        <f t="shared" si="21"/>
        <v>0</v>
      </c>
      <c r="AK76" s="147">
        <f t="shared" si="33"/>
        <v>0</v>
      </c>
      <c r="AM76" s="147" t="str">
        <f t="shared" si="26"/>
        <v>0.000263280316518011+0.0229453985912613i</v>
      </c>
      <c r="AN76" s="147" t="str">
        <f t="shared" si="27"/>
        <v>0.0229474124939525i</v>
      </c>
      <c r="AO76" s="147" t="str">
        <f t="shared" si="28"/>
        <v>0.999912238354031-0.0114732027668651i</v>
      </c>
      <c r="AP76" s="147" t="str">
        <f t="shared" si="29"/>
        <v>0.166622786613914-0.00382423309854355i</v>
      </c>
      <c r="AQ76" s="147" t="str">
        <f t="shared" si="30"/>
        <v>0.833377213386086+0.00382423309854355i</v>
      </c>
      <c r="AR76" s="147" t="str">
        <f t="shared" si="31"/>
        <v>0.999526320310009-0.00458666444870041i</v>
      </c>
    </row>
    <row r="77" spans="1:44">
      <c r="A77" s="147">
        <v>16</v>
      </c>
      <c r="G77" s="585">
        <v>363.08</v>
      </c>
      <c r="H77" s="573">
        <f t="shared" si="23"/>
        <v>0.36307999999999996</v>
      </c>
      <c r="I77" s="574">
        <f t="shared" ref="I77:I140" si="34">SQRT(1+(G77/pole1)^2)</f>
        <v>3.3150619235629439</v>
      </c>
      <c r="J77" s="575">
        <f t="shared" ref="J77:J140" si="35">ATAN(G77/pole1)</f>
        <v>1.2643698703568627</v>
      </c>
      <c r="K77" s="575">
        <f t="shared" ref="K77:K140" si="36">SQRT(1+(G77/Zero1)^2)</f>
        <v>1.0000002833754429</v>
      </c>
      <c r="L77" s="576">
        <f t="shared" ref="L77:L140" si="37">ATAN(G77/Zero1)</f>
        <v>7.5282850095684793E-4</v>
      </c>
      <c r="M77" s="575">
        <f t="shared" ref="M77:M140" si="38">SQRT(1+(G77/z_RHP)^2)</f>
        <v>1.0000136315718569</v>
      </c>
      <c r="N77" s="576">
        <f t="shared" ref="N77:N140" si="39">-ATAN(G77/z_RHP)</f>
        <v>-5.2213823857051424E-3</v>
      </c>
      <c r="O77" s="574">
        <f t="shared" ref="O77:O140" si="40">SQRT(1+(G77/Pole2)^2)</f>
        <v>6843.8968292297941</v>
      </c>
      <c r="P77" s="577">
        <f t="shared" ref="P77:P140" si="41">ATAN(G77/Pole2)</f>
        <v>1.5706502112077523</v>
      </c>
      <c r="Q77" s="586">
        <f t="shared" ref="Q77:Q140" si="42">SQRT(1+(G77/Zero2)^2)</f>
        <v>1.6223674810784261</v>
      </c>
      <c r="R77" s="587">
        <f t="shared" ref="R77:R140" si="43">ATAN(G77/Zero2)</f>
        <v>0.90665504785322493</v>
      </c>
      <c r="S77" s="574">
        <f t="shared" ref="S77:S140" si="44">SQRT(1+(G77/pole4)^2)</f>
        <v>1.0000255906280604</v>
      </c>
      <c r="T77" s="577">
        <f t="shared" ref="T77:T140" si="45">ATAN(G77/pole4)</f>
        <v>7.1540313584521568E-3</v>
      </c>
      <c r="U77" s="578">
        <f t="shared" si="24"/>
        <v>0.99949770400186344</v>
      </c>
      <c r="V77" s="579">
        <f t="shared" si="25"/>
        <v>-1.7612198272041468E-2</v>
      </c>
      <c r="W77" s="580">
        <f t="shared" ref="W77:W140" si="46">20*LOG10(((K77*Q77*M77*U77)/(I77*O77*S77))*Adc)</f>
        <v>24.372691014135839</v>
      </c>
      <c r="X77" s="581">
        <f t="shared" ref="X77:X140" si="47">((L77+R77+N77+V77)-(J77+P77+T77))*radconv</f>
        <v>-112.16220763083135</v>
      </c>
      <c r="Y77" s="584">
        <f t="shared" ref="Y77:Y140" si="48">IF(X77&gt;0,X77,X77+180)</f>
        <v>67.837792369168653</v>
      </c>
      <c r="AA77" s="147">
        <f t="shared" ref="AA77:AA140" si="49">IF(W77&lt;0,G77,1000000000)</f>
        <v>1000000000</v>
      </c>
      <c r="AB77" s="147">
        <f t="shared" ref="AB77:AB140" si="50">G77^2</f>
        <v>131827.0864</v>
      </c>
      <c r="AD77" s="583">
        <f t="shared" ref="AD77:AD140" si="51">20*LOG10((Q77/(O77*S77))*Aea)</f>
        <v>32.602143401552809</v>
      </c>
      <c r="AE77" s="584">
        <f t="shared" ref="AE77:AE140" si="52">(R77-(P77+T77))*radconv</f>
        <v>-38.454016324597745</v>
      </c>
      <c r="AG77" s="583">
        <f t="shared" ref="AG77:AG140" si="53">20*LOG10((K77*M77/(I77*U77))*Acs*Am)</f>
        <v>46.881520907890462</v>
      </c>
      <c r="AH77" s="584">
        <f t="shared" ref="AH77:AH140" si="54">(L77+N77-(J77+V77))*radconv</f>
        <v>-71.689982046056315</v>
      </c>
      <c r="AJ77" s="147">
        <f t="shared" ref="AJ77:AJ140" si="55">SUM((W78&lt;0)*(W77&gt;0))*G77</f>
        <v>0</v>
      </c>
      <c r="AK77" s="147">
        <f t="shared" si="33"/>
        <v>0</v>
      </c>
      <c r="AM77" s="147" t="str">
        <f t="shared" si="26"/>
        <v>0.000316535286898012+0.0251589025835552i</v>
      </c>
      <c r="AN77" s="147" t="str">
        <f t="shared" si="27"/>
        <v>0.0251615574798547i</v>
      </c>
      <c r="AO77" s="147" t="str">
        <f t="shared" si="28"/>
        <v>0.999894486010986-0.0125801150088361i</v>
      </c>
      <c r="AP77" s="147" t="str">
        <f t="shared" si="29"/>
        <v>0.166613910785517-0.00419315043059253i</v>
      </c>
      <c r="AQ77" s="147" t="str">
        <f t="shared" si="30"/>
        <v>0.833386089214483+0.00419315043059253i</v>
      </c>
      <c r="AR77" s="147" t="str">
        <f t="shared" si="31"/>
        <v>0.999511419030342-0.00502900371308045i</v>
      </c>
    </row>
    <row r="78" spans="1:44">
      <c r="A78" s="147">
        <v>17</v>
      </c>
      <c r="G78" s="585">
        <v>398.11</v>
      </c>
      <c r="H78" s="573">
        <f t="shared" ref="H78:H141" si="56">G78/1000</f>
        <v>0.39811000000000002</v>
      </c>
      <c r="I78" s="574">
        <f t="shared" si="34"/>
        <v>3.6069690284020761</v>
      </c>
      <c r="J78" s="575">
        <f t="shared" si="35"/>
        <v>1.2898748898977646</v>
      </c>
      <c r="K78" s="575">
        <f t="shared" si="36"/>
        <v>1.000000340693399</v>
      </c>
      <c r="L78" s="576">
        <f t="shared" si="37"/>
        <v>8.2546144944221412E-4</v>
      </c>
      <c r="M78" s="575">
        <f t="shared" si="38"/>
        <v>1.0000163887887865</v>
      </c>
      <c r="N78" s="576">
        <f t="shared" si="39"/>
        <v>-5.7251314330060542E-3</v>
      </c>
      <c r="O78" s="574">
        <f t="shared" si="40"/>
        <v>7504.1967659783841</v>
      </c>
      <c r="P78" s="577">
        <f t="shared" si="41"/>
        <v>1.5706630680286162</v>
      </c>
      <c r="Q78" s="586">
        <f t="shared" si="42"/>
        <v>1.72110257932235</v>
      </c>
      <c r="R78" s="587">
        <f t="shared" si="43"/>
        <v>0.95081139949747751</v>
      </c>
      <c r="S78" s="574">
        <f t="shared" si="44"/>
        <v>1.0000307667300126</v>
      </c>
      <c r="T78" s="577">
        <f t="shared" si="45"/>
        <v>7.8442260557610149E-3</v>
      </c>
      <c r="U78" s="578">
        <f t="shared" ref="U78:U141" si="57">IMABS(IMPRODUCT(AO78, AR78))</f>
        <v>0.99947701634475938</v>
      </c>
      <c r="V78" s="579">
        <f t="shared" ref="V78:V141" si="58">IMARGUMENT(IMPRODUCT(AO78, AR78))</f>
        <v>-1.931122738555955E-2</v>
      </c>
      <c r="W78" s="580">
        <f t="shared" si="46"/>
        <v>23.352610633277585</v>
      </c>
      <c r="X78" s="581">
        <f t="shared" si="47"/>
        <v>-111.25589523316518</v>
      </c>
      <c r="Y78" s="584">
        <f t="shared" si="48"/>
        <v>68.744104766834823</v>
      </c>
      <c r="AA78" s="147">
        <f t="shared" si="49"/>
        <v>1000000000</v>
      </c>
      <c r="AB78" s="147">
        <f t="shared" si="50"/>
        <v>158491.57210000002</v>
      </c>
      <c r="AD78" s="583">
        <f t="shared" si="51"/>
        <v>32.31523371756856</v>
      </c>
      <c r="AE78" s="584">
        <f t="shared" si="52"/>
        <v>-35.964325618613195</v>
      </c>
      <c r="AG78" s="583">
        <f t="shared" si="53"/>
        <v>46.148709776757144</v>
      </c>
      <c r="AH78" s="584">
        <f t="shared" si="54"/>
        <v>-73.078665959203335</v>
      </c>
      <c r="AJ78" s="147">
        <f t="shared" si="55"/>
        <v>0</v>
      </c>
      <c r="AK78" s="147">
        <f t="shared" si="33"/>
        <v>0</v>
      </c>
      <c r="AM78" s="147" t="str">
        <f t="shared" ref="AM78:AM141" si="59">IMSUB(1,IMEXP(COMPLEX(0,-2*Pi*G78*Tsw)))</f>
        <v>0.000380556388268949+0.0275856475975058i</v>
      </c>
      <c r="AN78" s="147" t="str">
        <f t="shared" ref="AN78:AN141" si="60">COMPLEX(0, 2*Pi*G78*Tsw)</f>
        <v>0.0275891474284041i</v>
      </c>
      <c r="AO78" s="147" t="str">
        <f t="shared" ref="AO78:AO141" si="61">IMDIV(AM78, AN78)</f>
        <v>0.999873144651991-0.0137936987453679i</v>
      </c>
      <c r="AP78" s="147" t="str">
        <f t="shared" ref="AP78:AP141" si="62">IMDIV(IMEXP(COMPLEX(0,-2*Pi*G78*Tsw)),6)</f>
        <v>0.166603240601955-0.00459760793291763i</v>
      </c>
      <c r="AQ78" s="147" t="str">
        <f t="shared" ref="AQ78:AQ141" si="63">IMSUB(1, AP78)</f>
        <v>0.833396759398045+0.00459760793291763i</v>
      </c>
      <c r="AR78" s="147" t="str">
        <f t="shared" ref="AR78:AR141" si="64">IMDIV(0.833, AQ78)</f>
        <v>0.999493506286494-0.00551391545693263i</v>
      </c>
    </row>
    <row r="79" spans="1:44">
      <c r="A79" s="147">
        <v>18</v>
      </c>
      <c r="G79" s="585">
        <v>436.52</v>
      </c>
      <c r="H79" s="573">
        <f t="shared" si="56"/>
        <v>0.43651999999999996</v>
      </c>
      <c r="I79" s="574">
        <f t="shared" si="34"/>
        <v>3.9293176935046361</v>
      </c>
      <c r="J79" s="575">
        <f t="shared" si="35"/>
        <v>1.3134686706411283</v>
      </c>
      <c r="K79" s="575">
        <f t="shared" si="36"/>
        <v>1.0000004096055419</v>
      </c>
      <c r="L79" s="576">
        <f t="shared" si="37"/>
        <v>9.0510264840477602E-4</v>
      </c>
      <c r="M79" s="575">
        <f t="shared" si="38"/>
        <v>1.0000197037214009</v>
      </c>
      <c r="N79" s="576">
        <f t="shared" si="39"/>
        <v>-6.2774832338808378E-3</v>
      </c>
      <c r="O79" s="574">
        <f t="shared" si="40"/>
        <v>8228.2082022345712</v>
      </c>
      <c r="P79" s="577">
        <f t="shared" si="41"/>
        <v>1.5706747936520928</v>
      </c>
      <c r="Q79" s="586">
        <f t="shared" si="42"/>
        <v>1.8327814057443113</v>
      </c>
      <c r="R79" s="587">
        <f t="shared" si="43"/>
        <v>0.99366898839537876</v>
      </c>
      <c r="S79" s="574">
        <f t="shared" si="44"/>
        <v>1.0000369898107189</v>
      </c>
      <c r="T79" s="577">
        <f t="shared" si="45"/>
        <v>8.6010081443672268E-3</v>
      </c>
      <c r="U79" s="578">
        <f t="shared" si="57"/>
        <v>0.99945214562923579</v>
      </c>
      <c r="V79" s="579">
        <f t="shared" si="58"/>
        <v>-2.1174130713145115E-2</v>
      </c>
      <c r="W79" s="580">
        <f t="shared" si="46"/>
        <v>22.354932329103193</v>
      </c>
      <c r="X79" s="581">
        <f t="shared" si="47"/>
        <v>-110.33001339666028</v>
      </c>
      <c r="Y79" s="584">
        <f t="shared" si="48"/>
        <v>69.669986603339723</v>
      </c>
      <c r="AA79" s="147">
        <f t="shared" si="49"/>
        <v>1000000000</v>
      </c>
      <c r="AB79" s="147">
        <f t="shared" si="50"/>
        <v>190549.71039999998</v>
      </c>
      <c r="AD79" s="583">
        <f t="shared" si="51"/>
        <v>32.061236774657587</v>
      </c>
      <c r="AE79" s="584">
        <f t="shared" si="52"/>
        <v>-33.552798900326756</v>
      </c>
      <c r="AG79" s="583">
        <f t="shared" si="53"/>
        <v>45.405460695525207</v>
      </c>
      <c r="AH79" s="584">
        <f t="shared" si="54"/>
        <v>-74.350837844117891</v>
      </c>
      <c r="AJ79" s="147">
        <f t="shared" si="55"/>
        <v>0</v>
      </c>
      <c r="AK79" s="147">
        <f t="shared" si="33"/>
        <v>0</v>
      </c>
      <c r="AM79" s="147" t="str">
        <f t="shared" si="59"/>
        <v>0.00045752577401903+0.0302463587594365i</v>
      </c>
      <c r="AN79" s="147" t="str">
        <f t="shared" si="60"/>
        <v>0.030250972433365i</v>
      </c>
      <c r="AO79" s="147" t="str">
        <f t="shared" si="61"/>
        <v>0.999847486756379-0.015124332780602i</v>
      </c>
      <c r="AP79" s="147" t="str">
        <f t="shared" si="62"/>
        <v>0.166590412370997-0.00504105979323942i</v>
      </c>
      <c r="AQ79" s="147" t="str">
        <f t="shared" si="63"/>
        <v>0.833409587629003+0.00504105979323942i</v>
      </c>
      <c r="AR79" s="147" t="str">
        <f t="shared" si="64"/>
        <v>0.999471972142663-0.00604552437124225i</v>
      </c>
    </row>
    <row r="80" spans="1:44">
      <c r="A80" s="147">
        <v>19</v>
      </c>
      <c r="G80" s="585">
        <v>478.63</v>
      </c>
      <c r="H80" s="573">
        <f t="shared" si="56"/>
        <v>0.47863</v>
      </c>
      <c r="I80" s="574">
        <f t="shared" si="34"/>
        <v>4.2848342136295887</v>
      </c>
      <c r="J80" s="575">
        <f t="shared" si="35"/>
        <v>1.335242804473779</v>
      </c>
      <c r="K80" s="575">
        <f t="shared" si="36"/>
        <v>1.0000004924445614</v>
      </c>
      <c r="L80" s="576">
        <f t="shared" si="37"/>
        <v>9.9241559763943291E-4</v>
      </c>
      <c r="M80" s="575">
        <f t="shared" si="38"/>
        <v>1.000023688574784</v>
      </c>
      <c r="N80" s="576">
        <f t="shared" si="39"/>
        <v>-6.8830381619737506E-3</v>
      </c>
      <c r="O80" s="574">
        <f t="shared" si="40"/>
        <v>9021.9629958373134</v>
      </c>
      <c r="P80" s="577">
        <f t="shared" si="41"/>
        <v>1.5706854861715744</v>
      </c>
      <c r="Q80" s="586">
        <f t="shared" si="42"/>
        <v>1.9586199131455813</v>
      </c>
      <c r="R80" s="587">
        <f t="shared" si="43"/>
        <v>1.0349562133110159</v>
      </c>
      <c r="S80" s="574">
        <f t="shared" si="44"/>
        <v>1.0000444705011855</v>
      </c>
      <c r="T80" s="577">
        <f t="shared" si="45"/>
        <v>9.4306790027824956E-3</v>
      </c>
      <c r="U80" s="578">
        <f t="shared" si="57"/>
        <v>0.99942225096301185</v>
      </c>
      <c r="V80" s="579">
        <f t="shared" si="58"/>
        <v>-2.3216402864338282E-2</v>
      </c>
      <c r="W80" s="580">
        <f t="shared" si="46"/>
        <v>21.379179819786998</v>
      </c>
      <c r="X80" s="581">
        <f t="shared" si="47"/>
        <v>-109.40685155914234</v>
      </c>
      <c r="Y80" s="584">
        <f t="shared" si="48"/>
        <v>70.593148440857661</v>
      </c>
      <c r="AA80" s="147">
        <f t="shared" si="49"/>
        <v>1000000000</v>
      </c>
      <c r="AB80" s="147">
        <f t="shared" si="50"/>
        <v>229086.67689999999</v>
      </c>
      <c r="AD80" s="583">
        <f t="shared" si="51"/>
        <v>31.838046327874075</v>
      </c>
      <c r="AE80" s="584">
        <f t="shared" si="52"/>
        <v>-31.235364437016162</v>
      </c>
      <c r="AG80" s="583">
        <f t="shared" si="53"/>
        <v>44.653418248976507</v>
      </c>
      <c r="AH80" s="584">
        <f t="shared" si="54"/>
        <v>-75.511083319882189</v>
      </c>
      <c r="AJ80" s="147">
        <f t="shared" si="55"/>
        <v>0</v>
      </c>
      <c r="AK80" s="147">
        <f t="shared" si="33"/>
        <v>0</v>
      </c>
      <c r="AM80" s="147" t="str">
        <f t="shared" si="59"/>
        <v>0.000550047766578965+0.0331631268220118i</v>
      </c>
      <c r="AN80" s="147" t="str">
        <f t="shared" si="60"/>
        <v>0.0331692085947528i</v>
      </c>
      <c r="AO80" s="147" t="str">
        <f t="shared" si="61"/>
        <v>0.999816644020202-0.0165830838263045i</v>
      </c>
      <c r="AP80" s="147" t="str">
        <f t="shared" si="62"/>
        <v>0.166574992038903-0.00552718780366863i</v>
      </c>
      <c r="AQ80" s="147" t="str">
        <f t="shared" si="63"/>
        <v>0.833425007961097+0.00552718780366863i</v>
      </c>
      <c r="AR80" s="147" t="str">
        <f t="shared" si="64"/>
        <v>0.999446088866775-0.00662822231159472i</v>
      </c>
    </row>
    <row r="81" spans="1:44">
      <c r="A81" s="147">
        <v>20</v>
      </c>
      <c r="G81" s="585">
        <v>524.80999999999995</v>
      </c>
      <c r="H81" s="573">
        <f t="shared" si="56"/>
        <v>0.52481</v>
      </c>
      <c r="I81" s="574">
        <f t="shared" si="34"/>
        <v>4.6766745970322434</v>
      </c>
      <c r="J81" s="575">
        <f t="shared" si="35"/>
        <v>1.3553052736599391</v>
      </c>
      <c r="K81" s="575">
        <f t="shared" si="36"/>
        <v>1.0000005920545114</v>
      </c>
      <c r="L81" s="576">
        <f t="shared" si="37"/>
        <v>1.088167468003726E-3</v>
      </c>
      <c r="M81" s="575">
        <f t="shared" si="38"/>
        <v>1.0000284801493768</v>
      </c>
      <c r="N81" s="576">
        <f t="shared" si="39"/>
        <v>-7.5471151390329935E-3</v>
      </c>
      <c r="O81" s="574">
        <f t="shared" si="40"/>
        <v>9892.4354824226702</v>
      </c>
      <c r="P81" s="577">
        <f t="shared" si="41"/>
        <v>1.5706952394536164</v>
      </c>
      <c r="Q81" s="586">
        <f t="shared" si="42"/>
        <v>2.0999731062694189</v>
      </c>
      <c r="R81" s="587">
        <f t="shared" si="43"/>
        <v>1.0744720294382422</v>
      </c>
      <c r="S81" s="574">
        <f t="shared" si="44"/>
        <v>1.0000534655996127</v>
      </c>
      <c r="T81" s="577">
        <f t="shared" si="45"/>
        <v>1.0340523930572854E-2</v>
      </c>
      <c r="U81" s="578">
        <f t="shared" si="57"/>
        <v>0.99938630741966594</v>
      </c>
      <c r="V81" s="579">
        <f t="shared" si="58"/>
        <v>-2.5455954596456949E-2</v>
      </c>
      <c r="W81" s="580">
        <f t="shared" si="46"/>
        <v>20.42399684007837</v>
      </c>
      <c r="X81" s="581">
        <f t="shared" si="47"/>
        <v>-108.50582546951368</v>
      </c>
      <c r="Y81" s="584">
        <f t="shared" si="48"/>
        <v>71.494174530486319</v>
      </c>
      <c r="AA81" s="147">
        <f t="shared" si="49"/>
        <v>1000000000</v>
      </c>
      <c r="AB81" s="147">
        <f t="shared" si="50"/>
        <v>275425.53609999997</v>
      </c>
      <c r="AD81" s="583">
        <f t="shared" si="51"/>
        <v>31.64319584561725</v>
      </c>
      <c r="AE81" s="584">
        <f t="shared" si="52"/>
        <v>-29.0239640426554</v>
      </c>
      <c r="AG81" s="583">
        <f t="shared" si="53"/>
        <v>43.893710527017944</v>
      </c>
      <c r="AH81" s="584">
        <f t="shared" si="54"/>
        <v>-76.564823899817824</v>
      </c>
      <c r="AJ81" s="147">
        <f t="shared" si="55"/>
        <v>0</v>
      </c>
      <c r="AK81" s="147">
        <f t="shared" si="33"/>
        <v>0</v>
      </c>
      <c r="AM81" s="147" t="str">
        <f t="shared" si="59"/>
        <v>0.000661297258509053+0.0363614796584863i</v>
      </c>
      <c r="AN81" s="147" t="str">
        <f t="shared" si="60"/>
        <v>0.0363694970282101i</v>
      </c>
      <c r="AO81" s="147" t="str">
        <f t="shared" si="61"/>
        <v>0.999779557860875-0.018182744127479i</v>
      </c>
      <c r="AP81" s="147" t="str">
        <f t="shared" si="62"/>
        <v>0.166556450456915-0.00606024660974772i</v>
      </c>
      <c r="AQ81" s="147" t="str">
        <f t="shared" si="63"/>
        <v>0.833443549543085+0.00606024660974772i</v>
      </c>
      <c r="AR81" s="147" t="str">
        <f t="shared" si="64"/>
        <v>0.999414969565767-0.00726708027719754i</v>
      </c>
    </row>
    <row r="82" spans="1:44">
      <c r="A82" s="147">
        <v>21</v>
      </c>
      <c r="G82" s="585">
        <v>575.44000000000005</v>
      </c>
      <c r="H82" s="573">
        <f t="shared" si="56"/>
        <v>0.57544000000000006</v>
      </c>
      <c r="I82" s="574">
        <f t="shared" si="34"/>
        <v>5.1080883511837518</v>
      </c>
      <c r="J82" s="575">
        <f t="shared" si="35"/>
        <v>1.3737558318995287</v>
      </c>
      <c r="K82" s="575">
        <f t="shared" si="36"/>
        <v>1.0000007117993053</v>
      </c>
      <c r="L82" s="576">
        <f t="shared" si="37"/>
        <v>1.1931461629935E-3</v>
      </c>
      <c r="M82" s="575">
        <f t="shared" si="38"/>
        <v>1.0000342402481277</v>
      </c>
      <c r="N82" s="576">
        <f t="shared" si="39"/>
        <v>-8.2751762713228483E-3</v>
      </c>
      <c r="O82" s="574">
        <f t="shared" si="40"/>
        <v>10846.788493192595</v>
      </c>
      <c r="P82" s="577">
        <f t="shared" si="41"/>
        <v>1.570704133607757</v>
      </c>
      <c r="Q82" s="586">
        <f t="shared" si="42"/>
        <v>2.2582176903132885</v>
      </c>
      <c r="R82" s="587">
        <f t="shared" si="43"/>
        <v>1.1120469857260591</v>
      </c>
      <c r="S82" s="574">
        <f t="shared" si="44"/>
        <v>1.0000642788332215</v>
      </c>
      <c r="T82" s="577">
        <f t="shared" si="45"/>
        <v>1.1338023661117346E-2</v>
      </c>
      <c r="U82" s="578">
        <f t="shared" si="57"/>
        <v>0.99934310321588804</v>
      </c>
      <c r="V82" s="579">
        <f t="shared" si="58"/>
        <v>-2.791117003976451E-2</v>
      </c>
      <c r="W82" s="580">
        <f t="shared" si="46"/>
        <v>19.488236078465295</v>
      </c>
      <c r="X82" s="581">
        <f t="shared" si="47"/>
        <v>-107.64411377340051</v>
      </c>
      <c r="Y82" s="584">
        <f t="shared" si="48"/>
        <v>72.355886226599495</v>
      </c>
      <c r="AA82" s="147">
        <f t="shared" si="49"/>
        <v>1000000000</v>
      </c>
      <c r="AB82" s="147">
        <f t="shared" si="50"/>
        <v>331131.19360000006</v>
      </c>
      <c r="AD82" s="583">
        <f t="shared" si="51"/>
        <v>31.474184471459893</v>
      </c>
      <c r="AE82" s="584">
        <f t="shared" si="52"/>
        <v>-26.928739751701013</v>
      </c>
      <c r="AG82" s="583">
        <f t="shared" si="53"/>
        <v>43.127712150567476</v>
      </c>
      <c r="AH82" s="584">
        <f t="shared" si="54"/>
        <v>-77.516989528943796</v>
      </c>
      <c r="AJ82" s="147">
        <f t="shared" si="55"/>
        <v>0</v>
      </c>
      <c r="AK82" s="147">
        <f t="shared" si="33"/>
        <v>0</v>
      </c>
      <c r="AM82" s="147" t="str">
        <f t="shared" si="59"/>
        <v>0.000795028927643049+0.0398676031922014i</v>
      </c>
      <c r="AN82" s="147" t="str">
        <f t="shared" si="60"/>
        <v>0.0398781718525052i</v>
      </c>
      <c r="AO82" s="147" t="str">
        <f t="shared" si="61"/>
        <v>0.999734976308771-0.0199364436911394i</v>
      </c>
      <c r="AP82" s="147" t="str">
        <f t="shared" si="62"/>
        <v>0.166534161845393-0.00664460053203357i</v>
      </c>
      <c r="AQ82" s="147" t="str">
        <f t="shared" si="63"/>
        <v>0.833465838154607+0.00664460053203357i</v>
      </c>
      <c r="AR82" s="147" t="str">
        <f t="shared" si="64"/>
        <v>0.999377565827469-0.00796729080138713i</v>
      </c>
    </row>
    <row r="83" spans="1:44">
      <c r="A83" s="147">
        <v>22</v>
      </c>
      <c r="G83" s="585">
        <v>630.96</v>
      </c>
      <c r="H83" s="573">
        <f t="shared" si="56"/>
        <v>0.63096000000000008</v>
      </c>
      <c r="I83" s="574">
        <f t="shared" si="34"/>
        <v>5.5828440572025624</v>
      </c>
      <c r="J83" s="575">
        <f t="shared" si="35"/>
        <v>1.3907042374479976</v>
      </c>
      <c r="K83" s="575">
        <f t="shared" si="36"/>
        <v>1.0000008557779447</v>
      </c>
      <c r="L83" s="576">
        <f t="shared" si="37"/>
        <v>1.3082639905840816E-3</v>
      </c>
      <c r="M83" s="575">
        <f t="shared" si="38"/>
        <v>1.000041166027551</v>
      </c>
      <c r="N83" s="576">
        <f t="shared" si="39"/>
        <v>-9.0735456574746465E-3</v>
      </c>
      <c r="O83" s="574">
        <f t="shared" si="40"/>
        <v>11893.315832704422</v>
      </c>
      <c r="P83" s="577">
        <f t="shared" si="41"/>
        <v>1.5707122459535867</v>
      </c>
      <c r="Q83" s="586">
        <f t="shared" si="42"/>
        <v>2.4349086501616699</v>
      </c>
      <c r="R83" s="587">
        <f t="shared" si="43"/>
        <v>1.147582309757929</v>
      </c>
      <c r="S83" s="574">
        <f t="shared" si="44"/>
        <v>1.0000772802863898</v>
      </c>
      <c r="T83" s="577">
        <f t="shared" si="45"/>
        <v>1.2431838950774272E-2</v>
      </c>
      <c r="U83" s="578">
        <f t="shared" si="57"/>
        <v>0.99929116240054561</v>
      </c>
      <c r="V83" s="579">
        <f t="shared" si="58"/>
        <v>-3.0603327727790543E-2</v>
      </c>
      <c r="W83" s="580">
        <f t="shared" si="46"/>
        <v>18.57009290888541</v>
      </c>
      <c r="X83" s="581">
        <f t="shared" si="47"/>
        <v>-106.83569429602528</v>
      </c>
      <c r="Y83" s="584">
        <f t="shared" si="48"/>
        <v>73.164305703974719</v>
      </c>
      <c r="AA83" s="147">
        <f t="shared" si="49"/>
        <v>1000000000</v>
      </c>
      <c r="AB83" s="147">
        <f t="shared" si="50"/>
        <v>398110.52160000004</v>
      </c>
      <c r="AD83" s="583">
        <f t="shared" si="51"/>
        <v>31.328373292120091</v>
      </c>
      <c r="AE83" s="584">
        <f t="shared" si="52"/>
        <v>-24.955851461632925</v>
      </c>
      <c r="AG83" s="583">
        <f t="shared" si="53"/>
        <v>42.356283081282236</v>
      </c>
      <c r="AH83" s="584">
        <f t="shared" si="54"/>
        <v>-78.372959794668958</v>
      </c>
      <c r="AJ83" s="147">
        <f t="shared" si="55"/>
        <v>0</v>
      </c>
      <c r="AK83" s="147">
        <f t="shared" si="33"/>
        <v>0</v>
      </c>
      <c r="AM83" s="147" t="str">
        <f t="shared" si="59"/>
        <v>0.000955817219110977+0.0437117930502175i</v>
      </c>
      <c r="AN83" s="147" t="str">
        <f t="shared" si="60"/>
        <v>0.043725725205159i</v>
      </c>
      <c r="AO83" s="147" t="str">
        <f t="shared" si="61"/>
        <v>0.999681373953751-0.0218593794528582i</v>
      </c>
      <c r="AP83" s="147" t="str">
        <f t="shared" si="62"/>
        <v>0.166507363796815-0.00728529884170292i</v>
      </c>
      <c r="AQ83" s="147" t="str">
        <f t="shared" si="63"/>
        <v>0.833492636203185+0.00728529884170292i</v>
      </c>
      <c r="AR83" s="147" t="str">
        <f t="shared" si="64"/>
        <v>0.999332600910811-0.00873485418306288i</v>
      </c>
    </row>
    <row r="84" spans="1:44">
      <c r="A84" s="147">
        <v>23</v>
      </c>
      <c r="G84" s="585">
        <v>691.83</v>
      </c>
      <c r="H84" s="573">
        <f t="shared" si="56"/>
        <v>0.69183000000000006</v>
      </c>
      <c r="I84" s="574">
        <f t="shared" si="34"/>
        <v>6.1048901724140423</v>
      </c>
      <c r="J84" s="575">
        <f t="shared" si="35"/>
        <v>1.4062517151104581</v>
      </c>
      <c r="K84" s="575">
        <f t="shared" si="36"/>
        <v>1.0000010288597496</v>
      </c>
      <c r="L84" s="576">
        <f t="shared" si="37"/>
        <v>1.4344747244971663E-3</v>
      </c>
      <c r="M84" s="575">
        <f t="shared" si="38"/>
        <v>1.0000494916893066</v>
      </c>
      <c r="N84" s="576">
        <f t="shared" si="39"/>
        <v>-9.9488339219563505E-3</v>
      </c>
      <c r="O84" s="574">
        <f t="shared" si="40"/>
        <v>13040.688296638535</v>
      </c>
      <c r="P84" s="577">
        <f t="shared" si="41"/>
        <v>1.5707196437258566</v>
      </c>
      <c r="Q84" s="586">
        <f t="shared" si="42"/>
        <v>2.631659277136063</v>
      </c>
      <c r="R84" s="587">
        <f t="shared" si="43"/>
        <v>1.1810125702168075</v>
      </c>
      <c r="S84" s="574">
        <f t="shared" si="44"/>
        <v>1.0000929095709445</v>
      </c>
      <c r="T84" s="577">
        <f t="shared" si="45"/>
        <v>1.3631021827028082E-2</v>
      </c>
      <c r="U84" s="578">
        <f t="shared" si="57"/>
        <v>0.99922873265172674</v>
      </c>
      <c r="V84" s="579">
        <f t="shared" si="58"/>
        <v>-3.3554655896801559E-2</v>
      </c>
      <c r="W84" s="580">
        <f t="shared" si="46"/>
        <v>17.668029660945717</v>
      </c>
      <c r="X84" s="581">
        <f t="shared" si="47"/>
        <v>-106.09223592286646</v>
      </c>
      <c r="Y84" s="584">
        <f t="shared" si="48"/>
        <v>73.907764077133535</v>
      </c>
      <c r="AA84" s="147">
        <f t="shared" si="49"/>
        <v>1000000000</v>
      </c>
      <c r="AB84" s="147">
        <f t="shared" si="50"/>
        <v>478628.74890000006</v>
      </c>
      <c r="AD84" s="583">
        <f t="shared" si="51"/>
        <v>31.203226053039039</v>
      </c>
      <c r="AE84" s="584">
        <f t="shared" si="52"/>
        <v>-23.10957060600899</v>
      </c>
      <c r="AG84" s="583">
        <f t="shared" si="53"/>
        <v>41.58045239143371</v>
      </c>
      <c r="AH84" s="584">
        <f t="shared" si="54"/>
        <v>-79.137584980662851</v>
      </c>
      <c r="AJ84" s="147">
        <f t="shared" si="55"/>
        <v>0</v>
      </c>
      <c r="AK84" s="147">
        <f t="shared" si="33"/>
        <v>0</v>
      </c>
      <c r="AM84" s="147" t="str">
        <f t="shared" si="59"/>
        <v>0.00114909511967298+0.0479256697371197i</v>
      </c>
      <c r="AN84" s="147" t="str">
        <f t="shared" si="60"/>
        <v>0.0479440352299435i</v>
      </c>
      <c r="AO84" s="147" t="str">
        <f t="shared" si="61"/>
        <v>0.999616938942755-0.0239674260658667i</v>
      </c>
      <c r="AP84" s="147" t="str">
        <f t="shared" si="62"/>
        <v>0.166475150813388-0.00798761162285328i</v>
      </c>
      <c r="AQ84" s="147" t="str">
        <f t="shared" si="63"/>
        <v>0.833524849186612+0.00798761162285328i</v>
      </c>
      <c r="AR84" s="147" t="str">
        <f t="shared" si="64"/>
        <v>0.999278559360763-0.00957601809113085i</v>
      </c>
    </row>
    <row r="85" spans="1:44">
      <c r="A85" s="147">
        <v>24</v>
      </c>
      <c r="G85" s="585">
        <v>758.58</v>
      </c>
      <c r="H85" s="573">
        <f t="shared" si="56"/>
        <v>0.75858000000000003</v>
      </c>
      <c r="I85" s="574">
        <f t="shared" si="34"/>
        <v>6.678783746705081</v>
      </c>
      <c r="J85" s="575">
        <f t="shared" si="35"/>
        <v>1.4205033021681572</v>
      </c>
      <c r="K85" s="575">
        <f t="shared" si="36"/>
        <v>1.0000012369727371</v>
      </c>
      <c r="L85" s="576">
        <f t="shared" si="37"/>
        <v>1.5728772755376011E-3</v>
      </c>
      <c r="M85" s="575">
        <f t="shared" si="38"/>
        <v>1.0000595023474788</v>
      </c>
      <c r="N85" s="576">
        <f t="shared" si="39"/>
        <v>-1.0908656854763265E-2</v>
      </c>
      <c r="O85" s="574">
        <f t="shared" si="40"/>
        <v>14298.896149589737</v>
      </c>
      <c r="P85" s="577">
        <f t="shared" si="41"/>
        <v>1.5707263913264273</v>
      </c>
      <c r="Q85" s="586">
        <f t="shared" si="42"/>
        <v>2.8503053185061789</v>
      </c>
      <c r="R85" s="587">
        <f t="shared" si="43"/>
        <v>1.2123287739409121</v>
      </c>
      <c r="S85" s="574">
        <f t="shared" si="44"/>
        <v>1.0001117018509567</v>
      </c>
      <c r="T85" s="577">
        <f t="shared" si="45"/>
        <v>1.494599974540467E-2</v>
      </c>
      <c r="U85" s="578">
        <f t="shared" si="57"/>
        <v>0.99915368198144883</v>
      </c>
      <c r="V85" s="579">
        <f t="shared" si="58"/>
        <v>-3.6790750370634645E-2</v>
      </c>
      <c r="W85" s="580">
        <f t="shared" si="46"/>
        <v>16.780106778200906</v>
      </c>
      <c r="X85" s="581">
        <f t="shared" si="47"/>
        <v>-105.42271317855568</v>
      </c>
      <c r="Y85" s="584">
        <f t="shared" si="48"/>
        <v>74.577286821444318</v>
      </c>
      <c r="AA85" s="147">
        <f t="shared" si="49"/>
        <v>1000000000</v>
      </c>
      <c r="AB85" s="147">
        <f t="shared" si="50"/>
        <v>575443.61640000006</v>
      </c>
      <c r="AD85" s="583">
        <f t="shared" si="51"/>
        <v>31.096257350605022</v>
      </c>
      <c r="AE85" s="584">
        <f t="shared" si="52"/>
        <v>-21.391013594192607</v>
      </c>
      <c r="AG85" s="583">
        <f t="shared" si="53"/>
        <v>40.80080303013019</v>
      </c>
      <c r="AH85" s="584">
        <f t="shared" si="54"/>
        <v>-79.815790136832248</v>
      </c>
      <c r="AJ85" s="147">
        <f t="shared" si="55"/>
        <v>0</v>
      </c>
      <c r="AK85" s="147">
        <f t="shared" si="33"/>
        <v>0</v>
      </c>
      <c r="AM85" s="147" t="str">
        <f t="shared" si="59"/>
        <v>0.00138147537428202+0.0525456208865657i</v>
      </c>
      <c r="AN85" s="147" t="str">
        <f t="shared" si="60"/>
        <v>0.052569831092509i</v>
      </c>
      <c r="AO85" s="147" t="str">
        <f t="shared" si="61"/>
        <v>0.999539465784079-0.0262788627159747i</v>
      </c>
      <c r="AP85" s="147" t="str">
        <f t="shared" si="62"/>
        <v>0.166436420770953-0.00875760348109428i</v>
      </c>
      <c r="AQ85" s="147" t="str">
        <f t="shared" si="63"/>
        <v>0.833563579229047+0.00875760348109428i</v>
      </c>
      <c r="AR85" s="147" t="str">
        <f t="shared" si="64"/>
        <v>0.999213597846871-0.0104979592449972i</v>
      </c>
    </row>
    <row r="86" spans="1:44">
      <c r="A86" s="147">
        <v>25</v>
      </c>
      <c r="G86" s="585">
        <v>831.76</v>
      </c>
      <c r="H86" s="573">
        <f t="shared" si="56"/>
        <v>0.83175999999999994</v>
      </c>
      <c r="I86" s="574">
        <f t="shared" si="34"/>
        <v>7.309262310139645</v>
      </c>
      <c r="J86" s="575">
        <f t="shared" si="35"/>
        <v>1.4335531755509898</v>
      </c>
      <c r="K86" s="575">
        <f t="shared" si="36"/>
        <v>1.000001487145149</v>
      </c>
      <c r="L86" s="576">
        <f t="shared" si="37"/>
        <v>1.7246120178600604E-3</v>
      </c>
      <c r="M86" s="575">
        <f t="shared" si="38"/>
        <v>1.0000715360196941</v>
      </c>
      <c r="N86" s="576">
        <f t="shared" si="39"/>
        <v>-1.1960915972673977E-2</v>
      </c>
      <c r="O86" s="574">
        <f t="shared" si="40"/>
        <v>15678.3066472752</v>
      </c>
      <c r="P86" s="577">
        <f t="shared" si="41"/>
        <v>1.5707325443965052</v>
      </c>
      <c r="Q86" s="586">
        <f t="shared" si="42"/>
        <v>3.0927477167476751</v>
      </c>
      <c r="R86" s="587">
        <f t="shared" si="43"/>
        <v>1.2415424492198379</v>
      </c>
      <c r="S86" s="574">
        <f t="shared" si="44"/>
        <v>1.0001342915696176</v>
      </c>
      <c r="T86" s="577">
        <f t="shared" si="45"/>
        <v>1.6387589378448315E-2</v>
      </c>
      <c r="U86" s="578">
        <f t="shared" si="57"/>
        <v>0.9990634848143185</v>
      </c>
      <c r="V86" s="579">
        <f t="shared" si="58"/>
        <v>-4.0338141720160439E-2</v>
      </c>
      <c r="W86" s="580">
        <f t="shared" si="46"/>
        <v>15.904839199501982</v>
      </c>
      <c r="X86" s="581">
        <f t="shared" si="47"/>
        <v>-104.83439189374035</v>
      </c>
      <c r="Y86" s="584">
        <f t="shared" si="48"/>
        <v>75.165608106259654</v>
      </c>
      <c r="AA86" s="147">
        <f t="shared" si="49"/>
        <v>1000000000</v>
      </c>
      <c r="AB86" s="147">
        <f t="shared" si="50"/>
        <v>691824.69759999996</v>
      </c>
      <c r="AD86" s="583">
        <f t="shared" si="51"/>
        <v>31.005190549026228</v>
      </c>
      <c r="AE86" s="584">
        <f t="shared" si="52"/>
        <v>-19.800142841536385</v>
      </c>
      <c r="AG86" s="583">
        <f t="shared" si="53"/>
        <v>40.018170536283584</v>
      </c>
      <c r="AH86" s="584">
        <f t="shared" si="54"/>
        <v>-80.411838498990548</v>
      </c>
      <c r="AJ86" s="147">
        <f t="shared" si="55"/>
        <v>0</v>
      </c>
      <c r="AK86" s="147">
        <f>IF(AJ86&gt;0,Y86,0)</f>
        <v>0</v>
      </c>
      <c r="AM86" s="147" t="str">
        <f t="shared" si="59"/>
        <v>0.00166079566989596+0.0576093143296782i</v>
      </c>
      <c r="AN86" s="147" t="str">
        <f t="shared" si="60"/>
        <v>0.0576412279647569i</v>
      </c>
      <c r="AO86" s="147" t="str">
        <f t="shared" si="61"/>
        <v>0.999446340124846-0.0288126351317742i</v>
      </c>
      <c r="AP86" s="147" t="str">
        <f t="shared" si="62"/>
        <v>0.166389867388351-0.0096015523882797i</v>
      </c>
      <c r="AQ86" s="147" t="str">
        <f t="shared" si="63"/>
        <v>0.833610132611649+0.0096015523882797i</v>
      </c>
      <c r="AR86" s="147" t="str">
        <f t="shared" si="64"/>
        <v>0.999135533485853-0.0115080800873919i</v>
      </c>
    </row>
    <row r="87" spans="1:44">
      <c r="A87" s="147">
        <v>26</v>
      </c>
      <c r="G87" s="585">
        <v>912.01</v>
      </c>
      <c r="H87" s="573">
        <f t="shared" si="56"/>
        <v>0.91200999999999999</v>
      </c>
      <c r="I87" s="574">
        <f t="shared" si="34"/>
        <v>8.0018465268314998</v>
      </c>
      <c r="J87" s="575">
        <f t="shared" si="35"/>
        <v>1.4454975689271967</v>
      </c>
      <c r="K87" s="575">
        <f t="shared" si="36"/>
        <v>1.0000017879543746</v>
      </c>
      <c r="L87" s="576">
        <f t="shared" si="37"/>
        <v>1.8910059283780761E-3</v>
      </c>
      <c r="M87" s="575">
        <f t="shared" si="38"/>
        <v>1.0000860052116498</v>
      </c>
      <c r="N87" s="576">
        <f t="shared" si="39"/>
        <v>-1.3114804460755721E-2</v>
      </c>
      <c r="O87" s="574">
        <f t="shared" si="40"/>
        <v>17190.983505444015</v>
      </c>
      <c r="P87" s="577">
        <f t="shared" si="41"/>
        <v>1.5707381567663903</v>
      </c>
      <c r="Q87" s="586">
        <f t="shared" si="42"/>
        <v>3.3611866403360677</v>
      </c>
      <c r="R87" s="587">
        <f t="shared" si="43"/>
        <v>1.2687086703886774</v>
      </c>
      <c r="S87" s="574">
        <f t="shared" si="44"/>
        <v>1.000161452952369</v>
      </c>
      <c r="T87" s="577">
        <f t="shared" si="45"/>
        <v>1.7968374039669183E-2</v>
      </c>
      <c r="U87" s="578">
        <f t="shared" si="57"/>
        <v>0.99895506163648329</v>
      </c>
      <c r="V87" s="579">
        <f t="shared" si="58"/>
        <v>-4.4227677435078425E-2</v>
      </c>
      <c r="W87" s="580">
        <f t="shared" si="46"/>
        <v>15.040386807020131</v>
      </c>
      <c r="X87" s="581">
        <f t="shared" si="47"/>
        <v>-104.33257251100528</v>
      </c>
      <c r="Y87" s="584">
        <f t="shared" si="48"/>
        <v>75.667427488994718</v>
      </c>
      <c r="AA87" s="147">
        <f t="shared" si="49"/>
        <v>1000000000</v>
      </c>
      <c r="AB87" s="147">
        <f t="shared" si="50"/>
        <v>831762.24009999994</v>
      </c>
      <c r="AD87" s="583">
        <f t="shared" si="51"/>
        <v>30.927885954147843</v>
      </c>
      <c r="AE87" s="584">
        <f t="shared" si="52"/>
        <v>-18.334526876082666</v>
      </c>
      <c r="AG87" s="583">
        <f t="shared" si="53"/>
        <v>39.23290811008367</v>
      </c>
      <c r="AH87" s="584">
        <f t="shared" si="54"/>
        <v>-80.929927119739475</v>
      </c>
      <c r="AJ87" s="147">
        <f t="shared" si="55"/>
        <v>0</v>
      </c>
      <c r="AK87" s="147">
        <f t="shared" ref="AK87:AK150" si="65">IF(AJ87&gt;0,Y87,0)</f>
        <v>0</v>
      </c>
      <c r="AM87" s="147" t="str">
        <f t="shared" si="59"/>
        <v>0.001996618167876+0.0631605086398356i</v>
      </c>
      <c r="AN87" s="147" t="str">
        <f t="shared" si="60"/>
        <v>0.0632025780467177i</v>
      </c>
      <c r="AO87" s="147" t="str">
        <f t="shared" si="61"/>
        <v>0.999334371980032-0.0315907709714017i</v>
      </c>
      <c r="AP87" s="147" t="str">
        <f t="shared" si="62"/>
        <v>0.166333896972021-0.0105267514399726i</v>
      </c>
      <c r="AQ87" s="147" t="str">
        <f t="shared" si="63"/>
        <v>0.833666103027979+0.0105267514399726i</v>
      </c>
      <c r="AR87" s="147" t="str">
        <f t="shared" si="64"/>
        <v>0.999041705590595-0.0126149590042352i</v>
      </c>
    </row>
    <row r="88" spans="1:44">
      <c r="A88" s="147">
        <v>27</v>
      </c>
      <c r="G88" s="585">
        <v>1000</v>
      </c>
      <c r="H88" s="573">
        <f t="shared" si="56"/>
        <v>1</v>
      </c>
      <c r="I88" s="574">
        <f t="shared" si="34"/>
        <v>8.7623240741081663</v>
      </c>
      <c r="J88" s="575">
        <f t="shared" si="35"/>
        <v>1.4564221532918913</v>
      </c>
      <c r="K88" s="575">
        <f t="shared" si="36"/>
        <v>1.0000021495975233</v>
      </c>
      <c r="L88" s="576">
        <f t="shared" si="37"/>
        <v>2.073448177614168E-3</v>
      </c>
      <c r="M88" s="575">
        <f t="shared" si="38"/>
        <v>1.0001034002981961</v>
      </c>
      <c r="N88" s="576">
        <f t="shared" si="39"/>
        <v>-1.4379943622796465E-2</v>
      </c>
      <c r="O88" s="574">
        <f t="shared" si="40"/>
        <v>18849.555926525827</v>
      </c>
      <c r="P88" s="577">
        <f t="shared" si="41"/>
        <v>1.5707432751471884</v>
      </c>
      <c r="Q88" s="586">
        <f t="shared" si="42"/>
        <v>3.6579272453717668</v>
      </c>
      <c r="R88" s="587">
        <f t="shared" si="43"/>
        <v>1.2938923640463236</v>
      </c>
      <c r="S88" s="574">
        <f t="shared" si="44"/>
        <v>1.0001941063309308</v>
      </c>
      <c r="T88" s="577">
        <f t="shared" si="45"/>
        <v>1.9701519657496787E-2</v>
      </c>
      <c r="U88" s="578">
        <f t="shared" si="57"/>
        <v>0.99882475576960394</v>
      </c>
      <c r="V88" s="579">
        <f t="shared" si="58"/>
        <v>-4.8491598374257962E-2</v>
      </c>
      <c r="W88" s="580">
        <f t="shared" si="46"/>
        <v>14.185383192417799</v>
      </c>
      <c r="X88" s="581">
        <f t="shared" si="47"/>
        <v>-103.9215195568225</v>
      </c>
      <c r="Y88" s="584">
        <f t="shared" si="48"/>
        <v>76.078480443177497</v>
      </c>
      <c r="AA88" s="147">
        <f t="shared" si="49"/>
        <v>1000000000</v>
      </c>
      <c r="AB88" s="147">
        <f t="shared" si="50"/>
        <v>1000000</v>
      </c>
      <c r="AD88" s="583">
        <f t="shared" si="51"/>
        <v>30.862443081502118</v>
      </c>
      <c r="AE88" s="584">
        <f t="shared" si="52"/>
        <v>-16.991202706214974</v>
      </c>
      <c r="AG88" s="583">
        <f t="shared" si="53"/>
        <v>38.445613528533038</v>
      </c>
      <c r="AH88" s="584">
        <f t="shared" si="54"/>
        <v>-81.37358898688116</v>
      </c>
      <c r="AJ88" s="147">
        <f t="shared" si="55"/>
        <v>0</v>
      </c>
      <c r="AK88" s="147">
        <f t="shared" si="65"/>
        <v>0</v>
      </c>
      <c r="AM88" s="147" t="str">
        <f t="shared" si="59"/>
        <v>0.00240030579984596+0.0692448563559768i</v>
      </c>
      <c r="AN88" s="147" t="str">
        <f t="shared" si="60"/>
        <v>0.0693003125477985i</v>
      </c>
      <c r="AO88" s="147" t="str">
        <f t="shared" si="61"/>
        <v>0.999199769960872-0.0346362911161533i</v>
      </c>
      <c r="AP88" s="147" t="str">
        <f t="shared" si="62"/>
        <v>0.166266615700026-0.0115408093926628i</v>
      </c>
      <c r="AQ88" s="147" t="str">
        <f t="shared" si="63"/>
        <v>0.833733384299974+0.0115408093926628i</v>
      </c>
      <c r="AR88" s="147" t="str">
        <f t="shared" si="64"/>
        <v>0.998928956351075-0.0138275003726029i</v>
      </c>
    </row>
    <row r="89" spans="1:44">
      <c r="A89" s="147">
        <v>28</v>
      </c>
      <c r="G89" s="585">
        <v>1096.5</v>
      </c>
      <c r="H89" s="573">
        <f t="shared" si="56"/>
        <v>1.0965</v>
      </c>
      <c r="I89" s="574">
        <f t="shared" si="34"/>
        <v>9.5973541272273017</v>
      </c>
      <c r="J89" s="575">
        <f t="shared" si="35"/>
        <v>1.4664114796091561</v>
      </c>
      <c r="K89" s="575">
        <f t="shared" si="36"/>
        <v>1.0000025844868727</v>
      </c>
      <c r="L89" s="576">
        <f t="shared" si="37"/>
        <v>2.2735352675974682E-3</v>
      </c>
      <c r="M89" s="575">
        <f t="shared" si="38"/>
        <v>1.0001243181450081</v>
      </c>
      <c r="N89" s="576">
        <f t="shared" si="39"/>
        <v>-1.5767388319345356E-2</v>
      </c>
      <c r="O89" s="574">
        <f t="shared" si="40"/>
        <v>20668.538068541362</v>
      </c>
      <c r="P89" s="577">
        <f t="shared" si="41"/>
        <v>1.5707479440792409</v>
      </c>
      <c r="Q89" s="586">
        <f t="shared" si="42"/>
        <v>3.985617233527702</v>
      </c>
      <c r="R89" s="587">
        <f t="shared" si="43"/>
        <v>1.3171842055280072</v>
      </c>
      <c r="S89" s="574">
        <f t="shared" si="44"/>
        <v>1.0002333718381933</v>
      </c>
      <c r="T89" s="577">
        <f t="shared" si="45"/>
        <v>2.1602150906056532E-2</v>
      </c>
      <c r="U89" s="578">
        <f t="shared" si="57"/>
        <v>0.99866812196766286</v>
      </c>
      <c r="V89" s="579">
        <f t="shared" si="58"/>
        <v>-5.316691157236772E-2</v>
      </c>
      <c r="W89" s="580">
        <f t="shared" si="46"/>
        <v>13.338259054112285</v>
      </c>
      <c r="X89" s="581">
        <f t="shared" si="47"/>
        <v>-103.60441353346722</v>
      </c>
      <c r="Y89" s="584">
        <f t="shared" si="48"/>
        <v>76.395586466532777</v>
      </c>
      <c r="AA89" s="147">
        <f t="shared" si="49"/>
        <v>1000000000</v>
      </c>
      <c r="AB89" s="147">
        <f t="shared" si="50"/>
        <v>1202312.25</v>
      </c>
      <c r="AD89" s="583">
        <f t="shared" si="51"/>
        <v>30.807139875561521</v>
      </c>
      <c r="AE89" s="584">
        <f t="shared" si="52"/>
        <v>-15.765844149881183</v>
      </c>
      <c r="AG89" s="583">
        <f t="shared" si="53"/>
        <v>37.656517019239061</v>
      </c>
      <c r="AH89" s="584">
        <f t="shared" si="54"/>
        <v>-81.746090090940498</v>
      </c>
      <c r="AJ89" s="147">
        <f t="shared" si="55"/>
        <v>0</v>
      </c>
      <c r="AK89" s="147">
        <f t="shared" si="65"/>
        <v>0</v>
      </c>
      <c r="AM89" s="147" t="str">
        <f t="shared" si="59"/>
        <v>0.00288568338995698+0.0759146864005015i</v>
      </c>
      <c r="AN89" s="147" t="str">
        <f t="shared" si="60"/>
        <v>0.0759877927086611i</v>
      </c>
      <c r="AO89" s="147" t="str">
        <f t="shared" si="61"/>
        <v>0.999037920361236-0.0379756180182882i</v>
      </c>
      <c r="AP89" s="147" t="str">
        <f t="shared" si="62"/>
        <v>0.166185719435007-0.0126524477334169i</v>
      </c>
      <c r="AQ89" s="147" t="str">
        <f t="shared" si="63"/>
        <v>0.833814280564993+0.0126524477334169i</v>
      </c>
      <c r="AR89" s="147" t="str">
        <f t="shared" si="64"/>
        <v>0.998793449023714-0.0151558712830977i</v>
      </c>
    </row>
    <row r="90" spans="1:44">
      <c r="A90" s="147">
        <v>29</v>
      </c>
      <c r="G90" s="585">
        <v>1202.3</v>
      </c>
      <c r="H90" s="573">
        <f t="shared" si="56"/>
        <v>1.2022999999999999</v>
      </c>
      <c r="I90" s="574">
        <f t="shared" si="34"/>
        <v>10.513775848383068</v>
      </c>
      <c r="J90" s="575">
        <f t="shared" si="35"/>
        <v>1.4755390241298518</v>
      </c>
      <c r="K90" s="575">
        <f t="shared" si="36"/>
        <v>1.0000031072960953</v>
      </c>
      <c r="L90" s="576">
        <f t="shared" si="37"/>
        <v>2.4929051523136037E-3</v>
      </c>
      <c r="M90" s="575">
        <f t="shared" si="38"/>
        <v>1.0001494643037516</v>
      </c>
      <c r="N90" s="576">
        <f t="shared" si="39"/>
        <v>-1.7288475341141505E-2</v>
      </c>
      <c r="O90" s="574">
        <f t="shared" si="40"/>
        <v>22662.821080632566</v>
      </c>
      <c r="P90" s="577">
        <f t="shared" si="41"/>
        <v>1.5707522016616324</v>
      </c>
      <c r="Q90" s="586">
        <f t="shared" si="42"/>
        <v>4.3469790855662653</v>
      </c>
      <c r="R90" s="587">
        <f t="shared" si="43"/>
        <v>1.3386725940149864</v>
      </c>
      <c r="S90" s="574">
        <f t="shared" si="44"/>
        <v>1.0002805734812918</v>
      </c>
      <c r="T90" s="577">
        <f t="shared" si="45"/>
        <v>2.3685771921661311E-2</v>
      </c>
      <c r="U90" s="578">
        <f t="shared" si="57"/>
        <v>0.99847991434927963</v>
      </c>
      <c r="V90" s="579">
        <f t="shared" si="58"/>
        <v>-5.82914880195936E-2</v>
      </c>
      <c r="W90" s="580">
        <f t="shared" si="46"/>
        <v>12.498046170057922</v>
      </c>
      <c r="X90" s="581">
        <f t="shared" si="47"/>
        <v>-103.38401547482117</v>
      </c>
      <c r="Y90" s="584">
        <f t="shared" si="48"/>
        <v>76.615984525178831</v>
      </c>
      <c r="AA90" s="147">
        <f t="shared" si="49"/>
        <v>1000000000</v>
      </c>
      <c r="AB90" s="147">
        <f t="shared" si="50"/>
        <v>1445525.2899999998</v>
      </c>
      <c r="AD90" s="583">
        <f t="shared" si="51"/>
        <v>30.760485025216081</v>
      </c>
      <c r="AE90" s="584">
        <f t="shared" si="52"/>
        <v>-14.654276811570494</v>
      </c>
      <c r="AG90" s="583">
        <f t="shared" si="53"/>
        <v>36.866233155651599</v>
      </c>
      <c r="AH90" s="584">
        <f t="shared" si="54"/>
        <v>-82.050026165497769</v>
      </c>
      <c r="AJ90" s="147">
        <f t="shared" si="55"/>
        <v>0</v>
      </c>
      <c r="AK90" s="147">
        <f t="shared" si="65"/>
        <v>0</v>
      </c>
      <c r="AM90" s="147" t="str">
        <f t="shared" si="59"/>
        <v>0.00346908406954605+0.0832233957178516i</v>
      </c>
      <c r="AN90" s="147" t="str">
        <f t="shared" si="60"/>
        <v>0.0833197657762182i</v>
      </c>
      <c r="AO90" s="147" t="str">
        <f t="shared" si="61"/>
        <v>0.998843370988039-0.0416357875856658i</v>
      </c>
      <c r="AP90" s="147" t="str">
        <f t="shared" si="62"/>
        <v>0.166088485988409-0.0138705659529753i</v>
      </c>
      <c r="AQ90" s="147" t="str">
        <f t="shared" si="63"/>
        <v>0.833911514011591+0.0138705659529753i</v>
      </c>
      <c r="AR90" s="147" t="str">
        <f t="shared" si="64"/>
        <v>0.998630659105969-0.016610362355064i</v>
      </c>
    </row>
    <row r="91" spans="1:44">
      <c r="A91" s="147">
        <v>30</v>
      </c>
      <c r="G91" s="585">
        <v>1318.3</v>
      </c>
      <c r="H91" s="573">
        <f t="shared" si="56"/>
        <v>1.3183</v>
      </c>
      <c r="I91" s="574">
        <f t="shared" si="34"/>
        <v>11.519386971242222</v>
      </c>
      <c r="J91" s="575">
        <f t="shared" si="35"/>
        <v>1.4838767466000131</v>
      </c>
      <c r="K91" s="575">
        <f t="shared" si="36"/>
        <v>1.0000037358145804</v>
      </c>
      <c r="L91" s="576">
        <f t="shared" si="37"/>
        <v>2.7334238420177854E-3</v>
      </c>
      <c r="M91" s="575">
        <f t="shared" si="38"/>
        <v>1.0001796940634513</v>
      </c>
      <c r="N91" s="576">
        <f t="shared" si="39"/>
        <v>-1.8956115597864136E-2</v>
      </c>
      <c r="O91" s="574">
        <f t="shared" si="40"/>
        <v>24849.369563091237</v>
      </c>
      <c r="P91" s="577">
        <f t="shared" si="41"/>
        <v>1.5707560843252544</v>
      </c>
      <c r="Q91" s="586">
        <f t="shared" si="42"/>
        <v>4.7451171379033354</v>
      </c>
      <c r="R91" s="587">
        <f t="shared" si="43"/>
        <v>1.3584614068371683</v>
      </c>
      <c r="S91" s="574">
        <f t="shared" si="44"/>
        <v>1.0003373161316236</v>
      </c>
      <c r="T91" s="577">
        <f t="shared" si="45"/>
        <v>2.5970034286896954E-2</v>
      </c>
      <c r="U91" s="578">
        <f t="shared" si="57"/>
        <v>0.99825378531073206</v>
      </c>
      <c r="V91" s="579">
        <f t="shared" si="58"/>
        <v>-6.3908389601177493E-2</v>
      </c>
      <c r="W91" s="580">
        <f t="shared" si="46"/>
        <v>11.66360066951427</v>
      </c>
      <c r="X91" s="581">
        <f t="shared" si="47"/>
        <v>-103.26261017696343</v>
      </c>
      <c r="Y91" s="584">
        <f t="shared" si="48"/>
        <v>76.737389823036565</v>
      </c>
      <c r="AA91" s="147">
        <f t="shared" si="49"/>
        <v>1000000000</v>
      </c>
      <c r="AB91" s="147">
        <f t="shared" si="50"/>
        <v>1737914.89</v>
      </c>
      <c r="AD91" s="583">
        <f t="shared" si="51"/>
        <v>30.721151962864962</v>
      </c>
      <c r="AE91" s="584">
        <f t="shared" si="52"/>
        <v>-13.651562407206718</v>
      </c>
      <c r="AG91" s="583">
        <f t="shared" si="53"/>
        <v>36.07505540716059</v>
      </c>
      <c r="AH91" s="584">
        <f t="shared" si="54"/>
        <v>-82.287685762138111</v>
      </c>
      <c r="AJ91" s="147">
        <f t="shared" si="55"/>
        <v>0</v>
      </c>
      <c r="AK91" s="147">
        <f t="shared" si="65"/>
        <v>0</v>
      </c>
      <c r="AM91" s="147" t="str">
        <f t="shared" si="59"/>
        <v>0.00417029529437096+0.0912315692394843i</v>
      </c>
      <c r="AN91" s="147" t="str">
        <f t="shared" si="60"/>
        <v>0.0913586020317628i</v>
      </c>
      <c r="AO91" s="147" t="str">
        <f t="shared" si="61"/>
        <v>0.99860951470958-0.0456475383995156i</v>
      </c>
      <c r="AP91" s="147" t="str">
        <f t="shared" si="62"/>
        <v>0.165971617450938-0.0152052615399141i</v>
      </c>
      <c r="AQ91" s="147" t="str">
        <f t="shared" si="63"/>
        <v>0.834028382549062+0.0152052615399141i</v>
      </c>
      <c r="AR91" s="147" t="str">
        <f t="shared" si="64"/>
        <v>0.998435116187201-0.0182025784612526i</v>
      </c>
    </row>
    <row r="92" spans="1:44">
      <c r="A92" s="147">
        <v>31</v>
      </c>
      <c r="G92" s="585">
        <v>1445.4</v>
      </c>
      <c r="H92" s="573">
        <f t="shared" si="56"/>
        <v>1.4454</v>
      </c>
      <c r="I92" s="574">
        <f t="shared" si="34"/>
        <v>12.621990537288928</v>
      </c>
      <c r="J92" s="575">
        <f t="shared" si="35"/>
        <v>1.4914864025095127</v>
      </c>
      <c r="K92" s="575">
        <f t="shared" si="36"/>
        <v>1.0000044908933898</v>
      </c>
      <c r="L92" s="576">
        <f t="shared" si="37"/>
        <v>2.9969573180887365E-3</v>
      </c>
      <c r="M92" s="575">
        <f t="shared" si="38"/>
        <v>1.0002160097931816</v>
      </c>
      <c r="N92" s="576">
        <f t="shared" si="39"/>
        <v>-2.0783210378660804E-2</v>
      </c>
      <c r="O92" s="574">
        <f t="shared" si="40"/>
        <v>27245.148116211898</v>
      </c>
      <c r="P92" s="577">
        <f t="shared" si="41"/>
        <v>1.5707596230120446</v>
      </c>
      <c r="Q92" s="586">
        <f t="shared" si="42"/>
        <v>5.1831423603896276</v>
      </c>
      <c r="R92" s="587">
        <f t="shared" si="43"/>
        <v>1.3766457368785194</v>
      </c>
      <c r="S92" s="574">
        <f t="shared" si="44"/>
        <v>1.0004054804397424</v>
      </c>
      <c r="T92" s="577">
        <f t="shared" si="45"/>
        <v>2.8472564870210292E-2</v>
      </c>
      <c r="U92" s="578">
        <f t="shared" si="57"/>
        <v>0.99798231430947104</v>
      </c>
      <c r="V92" s="579">
        <f t="shared" si="58"/>
        <v>-7.0060499059347012E-2</v>
      </c>
      <c r="W92" s="580">
        <f t="shared" si="46"/>
        <v>10.834446714485338</v>
      </c>
      <c r="X92" s="581">
        <f t="shared" si="47"/>
        <v>-103.24238854262983</v>
      </c>
      <c r="Y92" s="584">
        <f t="shared" si="48"/>
        <v>76.757611457370174</v>
      </c>
      <c r="AA92" s="147">
        <f t="shared" si="49"/>
        <v>1000000000</v>
      </c>
      <c r="AB92" s="147">
        <f t="shared" si="50"/>
        <v>2089181.1600000001</v>
      </c>
      <c r="AD92" s="583">
        <f t="shared" si="51"/>
        <v>30.688008139494375</v>
      </c>
      <c r="AE92" s="584">
        <f t="shared" si="52"/>
        <v>-12.753264233882254</v>
      </c>
      <c r="AG92" s="583">
        <f t="shared" si="53"/>
        <v>35.283770101732706</v>
      </c>
      <c r="AH92" s="584">
        <f t="shared" si="54"/>
        <v>-82.460782486212139</v>
      </c>
      <c r="AJ92" s="147">
        <f t="shared" si="55"/>
        <v>0</v>
      </c>
      <c r="AK92" s="147">
        <f t="shared" si="65"/>
        <v>0</v>
      </c>
      <c r="AM92" s="147" t="str">
        <f t="shared" si="59"/>
        <v>0.005012487953162+0.0999992543514397i</v>
      </c>
      <c r="AN92" s="147" t="str">
        <f t="shared" si="60"/>
        <v>0.100166671756588i</v>
      </c>
      <c r="AO92" s="147" t="str">
        <f t="shared" si="61"/>
        <v>0.998328611680788-0.0500414745270033i</v>
      </c>
      <c r="AP92" s="147" t="str">
        <f t="shared" si="62"/>
        <v>0.165831252007806-0.0166665423919066i</v>
      </c>
      <c r="AQ92" s="147" t="str">
        <f t="shared" si="63"/>
        <v>0.834168747992194+0.0166665423919066i</v>
      </c>
      <c r="AR92" s="147" t="str">
        <f t="shared" si="64"/>
        <v>0.998200432123982-0.01994386610342i</v>
      </c>
    </row>
    <row r="93" spans="1:44">
      <c r="A93" s="147">
        <v>32</v>
      </c>
      <c r="G93" s="585">
        <v>1584.9</v>
      </c>
      <c r="H93" s="573">
        <f t="shared" si="56"/>
        <v>1.5849000000000002</v>
      </c>
      <c r="I93" s="574">
        <f t="shared" si="34"/>
        <v>13.832865826698599</v>
      </c>
      <c r="J93" s="575">
        <f t="shared" si="35"/>
        <v>1.4984416115905446</v>
      </c>
      <c r="K93" s="575">
        <f t="shared" si="36"/>
        <v>1.0000053995824627</v>
      </c>
      <c r="L93" s="576">
        <f t="shared" si="37"/>
        <v>3.2862008966437423E-3</v>
      </c>
      <c r="M93" s="575">
        <f t="shared" si="38"/>
        <v>1.0002597117403662</v>
      </c>
      <c r="N93" s="576">
        <f t="shared" si="39"/>
        <v>-2.2788398115275079E-2</v>
      </c>
      <c r="O93" s="574">
        <f t="shared" si="40"/>
        <v>29874.661162646596</v>
      </c>
      <c r="P93" s="577">
        <f t="shared" si="41"/>
        <v>1.5707628536118958</v>
      </c>
      <c r="Q93" s="586">
        <f t="shared" si="42"/>
        <v>5.6655543096820491</v>
      </c>
      <c r="R93" s="587">
        <f t="shared" si="43"/>
        <v>1.3933615221336486</v>
      </c>
      <c r="S93" s="574">
        <f t="shared" si="44"/>
        <v>1.0004875057374498</v>
      </c>
      <c r="T93" s="577">
        <f t="shared" si="45"/>
        <v>3.1218833042525238E-2</v>
      </c>
      <c r="U93" s="578">
        <f t="shared" si="57"/>
        <v>0.9976558938584329</v>
      </c>
      <c r="V93" s="579">
        <f t="shared" si="58"/>
        <v>-7.6809819740199847E-2</v>
      </c>
      <c r="W93" s="580">
        <f t="shared" si="46"/>
        <v>10.00830332298399</v>
      </c>
      <c r="X93" s="581">
        <f t="shared" si="47"/>
        <v>-103.32570734548497</v>
      </c>
      <c r="Y93" s="584">
        <f t="shared" si="48"/>
        <v>76.674292654515028</v>
      </c>
      <c r="AA93" s="147">
        <f t="shared" si="49"/>
        <v>1000000000</v>
      </c>
      <c r="AB93" s="147">
        <f t="shared" si="50"/>
        <v>2511908.0100000002</v>
      </c>
      <c r="AD93" s="583">
        <f t="shared" si="51"/>
        <v>30.660005088729353</v>
      </c>
      <c r="AE93" s="584">
        <f t="shared" si="52"/>
        <v>-11.953054962023488</v>
      </c>
      <c r="AG93" s="583">
        <f t="shared" si="53"/>
        <v>34.491312658882393</v>
      </c>
      <c r="AH93" s="584">
        <f t="shared" si="54"/>
        <v>-82.570895380855845</v>
      </c>
      <c r="AJ93" s="147">
        <f t="shared" si="55"/>
        <v>0</v>
      </c>
      <c r="AK93" s="147">
        <f t="shared" si="65"/>
        <v>0</v>
      </c>
      <c r="AM93" s="147" t="str">
        <f t="shared" si="59"/>
        <v>0.00602569970417399+0.109613367576331i</v>
      </c>
      <c r="AN93" s="147" t="str">
        <f t="shared" si="60"/>
        <v>0.109834065357006i</v>
      </c>
      <c r="AO93" s="147" t="str">
        <f t="shared" si="61"/>
        <v>0.997990625404262-0.0548618471381168i</v>
      </c>
      <c r="AP93" s="147" t="str">
        <f t="shared" si="62"/>
        <v>0.165662383382638-0.0182688945960552i</v>
      </c>
      <c r="AQ93" s="147" t="str">
        <f t="shared" si="63"/>
        <v>0.834337616617362+0.0182688945960552i</v>
      </c>
      <c r="AR93" s="147" t="str">
        <f t="shared" si="64"/>
        <v>0.997918342878392-0.0218507048686459i</v>
      </c>
    </row>
    <row r="94" spans="1:44">
      <c r="A94" s="147">
        <v>33</v>
      </c>
      <c r="G94" s="585">
        <v>1737.8</v>
      </c>
      <c r="H94" s="573">
        <f t="shared" si="56"/>
        <v>1.7378</v>
      </c>
      <c r="I94" s="574">
        <f t="shared" si="34"/>
        <v>15.160694548194904</v>
      </c>
      <c r="J94" s="575">
        <f t="shared" si="35"/>
        <v>1.5047883651354392</v>
      </c>
      <c r="K94" s="575">
        <f t="shared" si="36"/>
        <v>1.0000064916604532</v>
      </c>
      <c r="L94" s="576">
        <f t="shared" si="37"/>
        <v>3.603227812781243E-3</v>
      </c>
      <c r="M94" s="575">
        <f t="shared" si="38"/>
        <v>1.0003122310105661</v>
      </c>
      <c r="N94" s="576">
        <f t="shared" si="39"/>
        <v>-2.4985987754564041E-2</v>
      </c>
      <c r="O94" s="574">
        <f t="shared" si="40"/>
        <v>32756.758258284026</v>
      </c>
      <c r="P94" s="577">
        <f t="shared" si="41"/>
        <v>1.570765798743486</v>
      </c>
      <c r="Q94" s="586">
        <f t="shared" si="42"/>
        <v>6.19582685757603</v>
      </c>
      <c r="R94" s="587">
        <f t="shared" si="43"/>
        <v>1.408688294378122</v>
      </c>
      <c r="S94" s="574">
        <f t="shared" si="44"/>
        <v>1.0005860763379042</v>
      </c>
      <c r="T94" s="577">
        <f t="shared" si="45"/>
        <v>3.4228357924075969E-2</v>
      </c>
      <c r="U94" s="578">
        <f t="shared" si="57"/>
        <v>0.99726399668611176</v>
      </c>
      <c r="V94" s="579">
        <f t="shared" si="58"/>
        <v>-8.4203520339570806E-2</v>
      </c>
      <c r="W94" s="580">
        <f t="shared" si="46"/>
        <v>9.1855405982083695</v>
      </c>
      <c r="X94" s="581">
        <f t="shared" si="47"/>
        <v>-103.51516813840323</v>
      </c>
      <c r="Y94" s="584">
        <f t="shared" si="48"/>
        <v>76.484831861596774</v>
      </c>
      <c r="AA94" s="147">
        <f t="shared" si="49"/>
        <v>1000000000</v>
      </c>
      <c r="AB94" s="147">
        <f t="shared" si="50"/>
        <v>3019948.84</v>
      </c>
      <c r="AD94" s="583">
        <f t="shared" si="51"/>
        <v>30.636328143305494</v>
      </c>
      <c r="AE94" s="584">
        <f t="shared" si="52"/>
        <v>-11.247497415713397</v>
      </c>
      <c r="AG94" s="583">
        <f t="shared" si="53"/>
        <v>33.699052167399429</v>
      </c>
      <c r="AH94" s="584">
        <f t="shared" si="54"/>
        <v>-82.618658040461483</v>
      </c>
      <c r="AJ94" s="147">
        <f t="shared" si="55"/>
        <v>0</v>
      </c>
      <c r="AK94" s="147">
        <f t="shared" si="65"/>
        <v>0</v>
      </c>
      <c r="AM94" s="147" t="str">
        <f t="shared" si="59"/>
        <v>0.00724294216787602+0.120139186465133i</v>
      </c>
      <c r="AN94" s="147" t="str">
        <f t="shared" si="60"/>
        <v>0.120430083145564i</v>
      </c>
      <c r="AO94" s="147" t="str">
        <f t="shared" si="61"/>
        <v>0.997584518146688-0.0601422998199002i</v>
      </c>
      <c r="AP94" s="147" t="str">
        <f t="shared" si="62"/>
        <v>0.165459509638687-0.0200231977441888i</v>
      </c>
      <c r="AQ94" s="147" t="str">
        <f t="shared" si="63"/>
        <v>0.834540490361313+0.0200231977441888i</v>
      </c>
      <c r="AR94" s="147" t="str">
        <f t="shared" si="64"/>
        <v>0.997579810816959-0.0239350133975529i</v>
      </c>
    </row>
    <row r="95" spans="1:44">
      <c r="A95" s="147">
        <v>34</v>
      </c>
      <c r="G95" s="585">
        <v>1905.5</v>
      </c>
      <c r="H95" s="573">
        <f t="shared" si="56"/>
        <v>1.9055</v>
      </c>
      <c r="I95" s="574">
        <f t="shared" si="34"/>
        <v>16.617635389171131</v>
      </c>
      <c r="J95" s="575">
        <f t="shared" si="35"/>
        <v>1.5105829144708074</v>
      </c>
      <c r="K95" s="575">
        <f t="shared" si="36"/>
        <v>1.0000078050166021</v>
      </c>
      <c r="L95" s="576">
        <f t="shared" si="37"/>
        <v>3.9509406063201634E-3</v>
      </c>
      <c r="M95" s="575">
        <f t="shared" si="38"/>
        <v>1.0003753882226865</v>
      </c>
      <c r="N95" s="576">
        <f t="shared" si="39"/>
        <v>-2.7396015404652634E-2</v>
      </c>
      <c r="O95" s="574">
        <f t="shared" si="40"/>
        <v>35917.828781370663</v>
      </c>
      <c r="P95" s="577">
        <f t="shared" si="41"/>
        <v>1.570768485468345</v>
      </c>
      <c r="Q95" s="586">
        <f t="shared" si="42"/>
        <v>6.7788261583662974</v>
      </c>
      <c r="R95" s="587">
        <f t="shared" si="43"/>
        <v>1.4227378140102254</v>
      </c>
      <c r="S95" s="574">
        <f t="shared" si="44"/>
        <v>1.0007046067151468</v>
      </c>
      <c r="T95" s="577">
        <f t="shared" si="45"/>
        <v>3.7528475541474773E-2</v>
      </c>
      <c r="U95" s="578">
        <f t="shared" si="57"/>
        <v>0.99679327076814916</v>
      </c>
      <c r="V95" s="579">
        <f t="shared" si="58"/>
        <v>-9.2307706698490921E-2</v>
      </c>
      <c r="W95" s="580">
        <f t="shared" si="46"/>
        <v>8.3648893697309887</v>
      </c>
      <c r="X95" s="581">
        <f t="shared" si="47"/>
        <v>-103.81392754216577</v>
      </c>
      <c r="Y95" s="584">
        <f t="shared" si="48"/>
        <v>76.186072457834229</v>
      </c>
      <c r="AA95" s="147">
        <f t="shared" si="49"/>
        <v>1000000000</v>
      </c>
      <c r="AB95" s="147">
        <f t="shared" si="50"/>
        <v>3630930.25</v>
      </c>
      <c r="AD95" s="583">
        <f t="shared" si="51"/>
        <v>30.616220537023576</v>
      </c>
      <c r="AE95" s="584">
        <f t="shared" si="52"/>
        <v>-10.631755985272951</v>
      </c>
      <c r="AG95" s="583">
        <f t="shared" si="53"/>
        <v>32.906710262408147</v>
      </c>
      <c r="AH95" s="584">
        <f t="shared" si="54"/>
        <v>-82.604487524096029</v>
      </c>
      <c r="AJ95" s="147">
        <f t="shared" si="55"/>
        <v>0</v>
      </c>
      <c r="AK95" s="147">
        <f t="shared" si="65"/>
        <v>0</v>
      </c>
      <c r="AM95" s="147" t="str">
        <f t="shared" si="59"/>
        <v>0.00870616944353297+0.131668301047316i</v>
      </c>
      <c r="AN95" s="147" t="str">
        <f t="shared" si="60"/>
        <v>0.13205174555983i</v>
      </c>
      <c r="AO95" s="147" t="str">
        <f t="shared" si="61"/>
        <v>0.997096255631545-0.0659299837849427i</v>
      </c>
      <c r="AP95" s="147" t="str">
        <f t="shared" si="62"/>
        <v>0.165215638426078-0.0219447168412193i</v>
      </c>
      <c r="AQ95" s="147" t="str">
        <f t="shared" si="63"/>
        <v>0.834784361573922+0.0219447168412193i</v>
      </c>
      <c r="AR95" s="147" t="str">
        <f t="shared" si="64"/>
        <v>0.99717338836299-0.0262135812031348i</v>
      </c>
    </row>
    <row r="96" spans="1:44">
      <c r="A96" s="147">
        <v>35</v>
      </c>
      <c r="G96" s="585">
        <v>2089.3000000000002</v>
      </c>
      <c r="H96" s="573">
        <f t="shared" si="56"/>
        <v>2.0893000000000002</v>
      </c>
      <c r="I96" s="574">
        <f t="shared" si="34"/>
        <v>18.214982932711816</v>
      </c>
      <c r="J96" s="575">
        <f t="shared" si="35"/>
        <v>1.5158688520529187</v>
      </c>
      <c r="K96" s="575">
        <f t="shared" si="36"/>
        <v>1.000009383334334</v>
      </c>
      <c r="L96" s="576">
        <f t="shared" si="37"/>
        <v>4.3320343863295129E-3</v>
      </c>
      <c r="M96" s="575">
        <f t="shared" si="38"/>
        <v>1.000451281851686</v>
      </c>
      <c r="N96" s="576">
        <f t="shared" si="39"/>
        <v>-3.0037050596144185E-2</v>
      </c>
      <c r="O96" s="574">
        <f t="shared" si="40"/>
        <v>39382.377154566042</v>
      </c>
      <c r="P96" s="577">
        <f t="shared" si="41"/>
        <v>1.5707709347268612</v>
      </c>
      <c r="Q96" s="586">
        <f t="shared" si="42"/>
        <v>7.4190797794337939</v>
      </c>
      <c r="R96" s="587">
        <f t="shared" si="43"/>
        <v>1.4355972178018583</v>
      </c>
      <c r="S96" s="574">
        <f t="shared" si="44"/>
        <v>1.0008470315068634</v>
      </c>
      <c r="T96" s="577">
        <f t="shared" si="45"/>
        <v>4.1144478448150473E-2</v>
      </c>
      <c r="U96" s="578">
        <f t="shared" si="57"/>
        <v>0.99622841177415877</v>
      </c>
      <c r="V96" s="579">
        <f t="shared" si="58"/>
        <v>-0.10118310891846569</v>
      </c>
      <c r="W96" s="580">
        <f t="shared" si="46"/>
        <v>7.546285412361236</v>
      </c>
      <c r="X96" s="581">
        <f t="shared" si="47"/>
        <v>-104.22533012349115</v>
      </c>
      <c r="Y96" s="584">
        <f t="shared" si="48"/>
        <v>75.774669876508852</v>
      </c>
      <c r="AA96" s="147">
        <f t="shared" si="49"/>
        <v>1000000000</v>
      </c>
      <c r="AB96" s="147">
        <f t="shared" si="50"/>
        <v>4365174.4900000012</v>
      </c>
      <c r="AD96" s="583">
        <f t="shared" si="51"/>
        <v>30.599058278208325</v>
      </c>
      <c r="AE96" s="584">
        <f t="shared" si="52"/>
        <v>-10.102288457788315</v>
      </c>
      <c r="AG96" s="583">
        <f t="shared" si="53"/>
        <v>32.115115527501281</v>
      </c>
      <c r="AH96" s="584">
        <f t="shared" si="54"/>
        <v>-82.528311454372727</v>
      </c>
      <c r="AJ96" s="147">
        <f t="shared" si="55"/>
        <v>0</v>
      </c>
      <c r="AK96" s="147">
        <f t="shared" si="65"/>
        <v>0</v>
      </c>
      <c r="AM96" s="147" t="str">
        <f t="shared" si="59"/>
        <v>0.010463648885512+0.144283782259214i</v>
      </c>
      <c r="AN96" s="147" t="str">
        <f t="shared" si="60"/>
        <v>0.144789143006115i</v>
      </c>
      <c r="AO96" s="147" t="str">
        <f t="shared" si="61"/>
        <v>0.996509677891528-0.0722681871600696i</v>
      </c>
      <c r="AP96" s="147" t="str">
        <f t="shared" si="62"/>
        <v>0.164922725185748-0.0240472970432023i</v>
      </c>
      <c r="AQ96" s="147" t="str">
        <f t="shared" si="63"/>
        <v>0.835077274814252+0.0240472970432023i</v>
      </c>
      <c r="AR96" s="147" t="str">
        <f t="shared" si="64"/>
        <v>0.996685986025887-0.0287010611923222i</v>
      </c>
    </row>
    <row r="97" spans="1:44">
      <c r="A97" s="147" t="s">
        <v>801</v>
      </c>
      <c r="G97" s="585">
        <v>2290.9</v>
      </c>
      <c r="H97" s="573">
        <f t="shared" si="56"/>
        <v>2.2909000000000002</v>
      </c>
      <c r="I97" s="574">
        <f t="shared" si="34"/>
        <v>19.967511718169341</v>
      </c>
      <c r="J97" s="575">
        <f t="shared" si="35"/>
        <v>1.520694015085517</v>
      </c>
      <c r="K97" s="575">
        <f t="shared" si="36"/>
        <v>1.0000112815152431</v>
      </c>
      <c r="L97" s="576">
        <f t="shared" si="37"/>
        <v>4.7500335122072183E-3</v>
      </c>
      <c r="M97" s="575">
        <f t="shared" si="38"/>
        <v>1.0005425486800246</v>
      </c>
      <c r="N97" s="576">
        <f t="shared" si="39"/>
        <v>-3.2933371959554043E-2</v>
      </c>
      <c r="O97" s="574">
        <f t="shared" si="40"/>
        <v>43182.44762288878</v>
      </c>
      <c r="P97" s="577">
        <f t="shared" si="41"/>
        <v>1.5707731692377145</v>
      </c>
      <c r="Q97" s="586">
        <f t="shared" si="42"/>
        <v>8.1225158796891925</v>
      </c>
      <c r="R97" s="587">
        <f t="shared" si="43"/>
        <v>1.4473686103364056</v>
      </c>
      <c r="S97" s="574">
        <f t="shared" si="44"/>
        <v>1.0010182936818925</v>
      </c>
      <c r="T97" s="577">
        <f t="shared" si="45"/>
        <v>4.5109429843391641E-2</v>
      </c>
      <c r="U97" s="578">
        <f t="shared" si="57"/>
        <v>0.9955502791040971</v>
      </c>
      <c r="V97" s="579">
        <f t="shared" si="58"/>
        <v>-0.1109090652399273</v>
      </c>
      <c r="W97" s="580">
        <f t="shared" si="46"/>
        <v>6.7284939751532438</v>
      </c>
      <c r="X97" s="581">
        <f t="shared" si="47"/>
        <v>-104.75389715249953</v>
      </c>
      <c r="Y97" s="584">
        <f t="shared" si="48"/>
        <v>75.246102847500467</v>
      </c>
      <c r="AA97" s="147">
        <f t="shared" si="49"/>
        <v>1000000000</v>
      </c>
      <c r="AB97" s="147">
        <f t="shared" si="50"/>
        <v>5248222.8100000005</v>
      </c>
      <c r="AD97" s="583">
        <f t="shared" si="51"/>
        <v>30.584276098678696</v>
      </c>
      <c r="AE97" s="584">
        <f t="shared" si="52"/>
        <v>-9.6551403550190003</v>
      </c>
      <c r="AG97" s="583">
        <f t="shared" si="53"/>
        <v>31.323935266260506</v>
      </c>
      <c r="AH97" s="584">
        <f t="shared" si="54"/>
        <v>-82.389514086980228</v>
      </c>
      <c r="AJ97" s="147">
        <f t="shared" si="55"/>
        <v>0</v>
      </c>
      <c r="AK97" s="147">
        <f t="shared" si="65"/>
        <v>0</v>
      </c>
      <c r="AM97" s="147" t="str">
        <f t="shared" si="59"/>
        <v>0.012575934677608+0.158094007546775i</v>
      </c>
      <c r="AN97" s="147" t="str">
        <f t="shared" si="60"/>
        <v>0.158760086015752i</v>
      </c>
      <c r="AO97" s="147" t="str">
        <f t="shared" si="61"/>
        <v>0.99580449667361-0.0792134534139785i</v>
      </c>
      <c r="AP97" s="147" t="str">
        <f t="shared" si="62"/>
        <v>0.164570677553732-0.0263490012577958i</v>
      </c>
      <c r="AQ97" s="147" t="str">
        <f t="shared" si="63"/>
        <v>0.835429322446268+0.0263490012577958i</v>
      </c>
      <c r="AR97" s="147" t="str">
        <f t="shared" si="64"/>
        <v>0.996101266718729-0.0314165098404861i</v>
      </c>
    </row>
    <row r="98" spans="1:44">
      <c r="G98" s="585">
        <v>2511.9</v>
      </c>
      <c r="H98" s="573">
        <f t="shared" si="56"/>
        <v>2.5119000000000002</v>
      </c>
      <c r="I98" s="574">
        <f t="shared" si="34"/>
        <v>21.889131117306473</v>
      </c>
      <c r="J98" s="575">
        <f t="shared" si="35"/>
        <v>1.5250956467861343</v>
      </c>
      <c r="K98" s="575">
        <f t="shared" si="36"/>
        <v>1.0000135631125762</v>
      </c>
      <c r="L98" s="576">
        <f t="shared" si="37"/>
        <v>5.2082548477631737E-3</v>
      </c>
      <c r="M98" s="575">
        <f t="shared" si="38"/>
        <v>1.0006522398457265</v>
      </c>
      <c r="N98" s="576">
        <f t="shared" si="39"/>
        <v>-3.6107770047888801E-2</v>
      </c>
      <c r="O98" s="574">
        <f t="shared" si="40"/>
        <v>47348.199475770067</v>
      </c>
      <c r="P98" s="577">
        <f t="shared" si="41"/>
        <v>1.5707752066676026</v>
      </c>
      <c r="Q98" s="586">
        <f t="shared" si="42"/>
        <v>8.8947224357325592</v>
      </c>
      <c r="R98" s="587">
        <f t="shared" si="43"/>
        <v>1.4581319137900444</v>
      </c>
      <c r="S98" s="574">
        <f t="shared" si="44"/>
        <v>1.0012241110235338</v>
      </c>
      <c r="T98" s="577">
        <f t="shared" si="45"/>
        <v>4.9454294454866904E-2</v>
      </c>
      <c r="U98" s="578">
        <f t="shared" si="57"/>
        <v>0.99473689944325872</v>
      </c>
      <c r="V98" s="579">
        <f t="shared" si="58"/>
        <v>-0.12155915018664107</v>
      </c>
      <c r="W98" s="580">
        <f t="shared" si="46"/>
        <v>5.9114017357885391</v>
      </c>
      <c r="X98" s="581">
        <f t="shared" si="47"/>
        <v>-105.40428973532219</v>
      </c>
      <c r="Y98" s="584">
        <f t="shared" si="48"/>
        <v>74.595710264677805</v>
      </c>
      <c r="AA98" s="147">
        <f t="shared" si="49"/>
        <v>1000000000</v>
      </c>
      <c r="AB98" s="147">
        <f t="shared" si="50"/>
        <v>6309641.6100000003</v>
      </c>
      <c r="AD98" s="583">
        <f t="shared" si="51"/>
        <v>30.571402744146845</v>
      </c>
      <c r="AE98" s="584">
        <f t="shared" si="52"/>
        <v>-9.2875076340137568</v>
      </c>
      <c r="AG98" s="583">
        <f t="shared" si="53"/>
        <v>30.533915189393369</v>
      </c>
      <c r="AH98" s="584">
        <f t="shared" si="54"/>
        <v>-82.187129551608592</v>
      </c>
      <c r="AJ98" s="147">
        <f t="shared" si="55"/>
        <v>0</v>
      </c>
      <c r="AK98" s="147">
        <f t="shared" si="65"/>
        <v>0</v>
      </c>
      <c r="AM98" s="147" t="str">
        <f t="shared" si="59"/>
        <v>0.0151129111892579+0.173197639400487i</v>
      </c>
      <c r="AN98" s="147" t="str">
        <f t="shared" si="60"/>
        <v>0.174075455088815i</v>
      </c>
      <c r="AO98" s="147" t="str">
        <f t="shared" si="61"/>
        <v>0.994957269030949-0.0868181627418245i</v>
      </c>
      <c r="AP98" s="147" t="str">
        <f t="shared" si="62"/>
        <v>0.164147848135124-0.0288662732334145i</v>
      </c>
      <c r="AQ98" s="147" t="str">
        <f t="shared" si="63"/>
        <v>0.835852151864876+0.0288662732334145i</v>
      </c>
      <c r="AR98" s="147" t="str">
        <f t="shared" si="64"/>
        <v>0.995400541215932-0.034376299606719i</v>
      </c>
    </row>
    <row r="99" spans="1:44">
      <c r="G99" s="585">
        <v>2754.2</v>
      </c>
      <c r="H99" s="573">
        <f t="shared" si="56"/>
        <v>2.7542</v>
      </c>
      <c r="I99" s="574">
        <f t="shared" si="34"/>
        <v>23.996361912621659</v>
      </c>
      <c r="J99" s="575">
        <f t="shared" si="35"/>
        <v>1.529111271799249</v>
      </c>
      <c r="K99" s="575">
        <f t="shared" si="36"/>
        <v>1.0000163059094758</v>
      </c>
      <c r="L99" s="576">
        <f t="shared" si="37"/>
        <v>5.7106370765220606E-3</v>
      </c>
      <c r="M99" s="575">
        <f t="shared" si="38"/>
        <v>1.0007840882800387</v>
      </c>
      <c r="N99" s="576">
        <f t="shared" si="39"/>
        <v>-3.9587278105619232E-2</v>
      </c>
      <c r="O99" s="574">
        <f t="shared" si="40"/>
        <v>51915.446869411047</v>
      </c>
      <c r="P99" s="577">
        <f t="shared" si="41"/>
        <v>1.5707770647050878</v>
      </c>
      <c r="Q99" s="586">
        <f t="shared" si="42"/>
        <v>9.7423416764328348</v>
      </c>
      <c r="R99" s="587">
        <f t="shared" si="43"/>
        <v>1.4679704968965395</v>
      </c>
      <c r="S99" s="574">
        <f t="shared" si="44"/>
        <v>1.001471476688794</v>
      </c>
      <c r="T99" s="577">
        <f t="shared" si="45"/>
        <v>5.4215764900365629E-2</v>
      </c>
      <c r="U99" s="578">
        <f t="shared" si="57"/>
        <v>0.99376159421607246</v>
      </c>
      <c r="V99" s="579">
        <f t="shared" si="58"/>
        <v>-0.13322018877540714</v>
      </c>
      <c r="W99" s="580">
        <f t="shared" si="46"/>
        <v>5.094322824021619</v>
      </c>
      <c r="X99" s="581">
        <f t="shared" si="47"/>
        <v>-106.18228247264334</v>
      </c>
      <c r="Y99" s="584">
        <f t="shared" si="48"/>
        <v>73.817717527356663</v>
      </c>
      <c r="AA99" s="147">
        <f t="shared" si="49"/>
        <v>1000000000</v>
      </c>
      <c r="AB99" s="147">
        <f t="shared" si="50"/>
        <v>7585617.6399999987</v>
      </c>
      <c r="AD99" s="583">
        <f t="shared" si="51"/>
        <v>30.560013615303596</v>
      </c>
      <c r="AE99" s="584">
        <f t="shared" si="52"/>
        <v>-8.9967169638000364</v>
      </c>
      <c r="AG99" s="583">
        <f t="shared" si="53"/>
        <v>29.745266192315061</v>
      </c>
      <c r="AH99" s="584">
        <f t="shared" si="54"/>
        <v>-81.919656365865563</v>
      </c>
      <c r="AJ99" s="147">
        <f t="shared" si="55"/>
        <v>0</v>
      </c>
      <c r="AK99" s="147">
        <f t="shared" si="65"/>
        <v>0</v>
      </c>
      <c r="AM99" s="147" t="str">
        <f t="shared" si="59"/>
        <v>0.018159859583614+0.189710143817171i</v>
      </c>
      <c r="AN99" s="147" t="str">
        <f t="shared" si="60"/>
        <v>0.190866920819147i</v>
      </c>
      <c r="AO99" s="147" t="str">
        <f t="shared" si="61"/>
        <v>0.993939353152388-0.0951440904776847i</v>
      </c>
      <c r="AP99" s="147" t="str">
        <f t="shared" si="62"/>
        <v>0.163640023402731-0.0316183573028618i</v>
      </c>
      <c r="AQ99" s="147" t="str">
        <f t="shared" si="63"/>
        <v>0.836359976597269+0.0316183573028618i</v>
      </c>
      <c r="AR99" s="147" t="str">
        <f t="shared" si="64"/>
        <v>0.994561195135489-0.0375991105591815i</v>
      </c>
    </row>
    <row r="100" spans="1:44">
      <c r="G100" s="585">
        <v>3020</v>
      </c>
      <c r="H100" s="573">
        <f t="shared" si="56"/>
        <v>3.02</v>
      </c>
      <c r="I100" s="574">
        <f t="shared" si="34"/>
        <v>26.308337437551906</v>
      </c>
      <c r="J100" s="575">
        <f t="shared" si="35"/>
        <v>1.5327764039434884</v>
      </c>
      <c r="K100" s="575">
        <f t="shared" si="36"/>
        <v>1.0000196050181445</v>
      </c>
      <c r="L100" s="576">
        <f t="shared" si="37"/>
        <v>6.2617406290077175E-3</v>
      </c>
      <c r="M100" s="575">
        <f t="shared" si="38"/>
        <v>1.0009426565349289</v>
      </c>
      <c r="N100" s="576">
        <f t="shared" si="39"/>
        <v>-4.340314801902747E-2</v>
      </c>
      <c r="O100" s="574">
        <f t="shared" si="40"/>
        <v>56925.658826783387</v>
      </c>
      <c r="P100" s="577">
        <f t="shared" si="41"/>
        <v>1.5707787600241176</v>
      </c>
      <c r="Q100" s="586">
        <f t="shared" si="42"/>
        <v>10.673073108176608</v>
      </c>
      <c r="R100" s="587">
        <f t="shared" si="43"/>
        <v>1.4769649732889454</v>
      </c>
      <c r="S100" s="574">
        <f t="shared" si="44"/>
        <v>1.001768934631631</v>
      </c>
      <c r="T100" s="577">
        <f t="shared" si="45"/>
        <v>5.9436200309754952E-2</v>
      </c>
      <c r="U100" s="578">
        <f t="shared" si="57"/>
        <v>0.99259205586084054</v>
      </c>
      <c r="V100" s="579">
        <f t="shared" si="58"/>
        <v>-0.1459918299229383</v>
      </c>
      <c r="W100" s="580">
        <f t="shared" si="46"/>
        <v>4.2762529831276836</v>
      </c>
      <c r="X100" s="581">
        <f t="shared" si="47"/>
        <v>-107.09495806028423</v>
      </c>
      <c r="Y100" s="584">
        <f t="shared" si="48"/>
        <v>72.905041939715773</v>
      </c>
      <c r="AA100" s="147">
        <f t="shared" si="49"/>
        <v>1000000000</v>
      </c>
      <c r="AB100" s="147">
        <f t="shared" si="50"/>
        <v>9120400</v>
      </c>
      <c r="AD100" s="583">
        <f t="shared" si="51"/>
        <v>30.549727277739205</v>
      </c>
      <c r="AE100" s="584">
        <f t="shared" si="52"/>
        <v>-8.7805774781421491</v>
      </c>
      <c r="AG100" s="583">
        <f t="shared" si="53"/>
        <v>28.95793923206789</v>
      </c>
      <c r="AH100" s="584">
        <f t="shared" si="54"/>
        <v>-81.584949167073759</v>
      </c>
      <c r="AJ100" s="147">
        <f t="shared" si="55"/>
        <v>0</v>
      </c>
      <c r="AK100" s="147">
        <f t="shared" si="65"/>
        <v>0</v>
      </c>
      <c r="AM100" s="147" t="str">
        <f t="shared" si="59"/>
        <v>0.021820690323495+0.207762455994328i</v>
      </c>
      <c r="AN100" s="147" t="str">
        <f t="shared" si="60"/>
        <v>0.209286943894352i</v>
      </c>
      <c r="AO100" s="147" t="str">
        <f t="shared" si="61"/>
        <v>0.992715800270878-0.104262071572463i</v>
      </c>
      <c r="AP100" s="147" t="str">
        <f t="shared" si="62"/>
        <v>0.163029884946084-0.0346270759990547i</v>
      </c>
      <c r="AQ100" s="147" t="str">
        <f t="shared" si="63"/>
        <v>0.836970115053916+0.0346270759990547i</v>
      </c>
      <c r="AR100" s="147" t="str">
        <f t="shared" si="64"/>
        <v>0.993555955533587-0.0411053357375355i</v>
      </c>
    </row>
    <row r="101" spans="1:44">
      <c r="G101" s="585">
        <v>3311.3</v>
      </c>
      <c r="H101" s="573">
        <f t="shared" si="56"/>
        <v>3.3113000000000001</v>
      </c>
      <c r="I101" s="574">
        <f t="shared" si="34"/>
        <v>28.842454176156945</v>
      </c>
      <c r="J101" s="575">
        <f t="shared" si="35"/>
        <v>1.5361182633392374</v>
      </c>
      <c r="K101" s="575">
        <f t="shared" si="36"/>
        <v>1.0000235694560666</v>
      </c>
      <c r="L101" s="576">
        <f t="shared" si="37"/>
        <v>6.8657109090540288E-3</v>
      </c>
      <c r="M101" s="575">
        <f t="shared" si="38"/>
        <v>1.0011331706222022</v>
      </c>
      <c r="N101" s="576">
        <f t="shared" si="39"/>
        <v>-4.7583644098672835E-2</v>
      </c>
      <c r="O101" s="574">
        <f t="shared" si="40"/>
        <v>62416.534459680704</v>
      </c>
      <c r="P101" s="577">
        <f t="shared" si="41"/>
        <v>1.5707803053991447</v>
      </c>
      <c r="Q101" s="586">
        <f t="shared" si="42"/>
        <v>11.693922140245721</v>
      </c>
      <c r="R101" s="587">
        <f t="shared" si="43"/>
        <v>1.4851772500850335</v>
      </c>
      <c r="S101" s="574">
        <f t="shared" si="44"/>
        <v>1.0021262652376166</v>
      </c>
      <c r="T101" s="577">
        <f t="shared" si="45"/>
        <v>6.5153734468209434E-2</v>
      </c>
      <c r="U101" s="578">
        <f t="shared" si="57"/>
        <v>0.99119180626816716</v>
      </c>
      <c r="V101" s="579">
        <f t="shared" si="58"/>
        <v>-0.15996203150233798</v>
      </c>
      <c r="W101" s="580">
        <f t="shared" si="46"/>
        <v>3.4573873451540504</v>
      </c>
      <c r="X101" s="581">
        <f t="shared" si="47"/>
        <v>-108.14893624303348</v>
      </c>
      <c r="Y101" s="584">
        <f t="shared" si="48"/>
        <v>71.851063756966525</v>
      </c>
      <c r="AA101" s="147">
        <f t="shared" si="49"/>
        <v>1000000000</v>
      </c>
      <c r="AB101" s="147">
        <f t="shared" si="50"/>
        <v>10964707.690000001</v>
      </c>
      <c r="AD101" s="583">
        <f t="shared" si="51"/>
        <v>30.540212126792113</v>
      </c>
      <c r="AE101" s="584">
        <f t="shared" si="52"/>
        <v>-8.6377277973379822</v>
      </c>
      <c r="AG101" s="583">
        <f t="shared" si="53"/>
        <v>28.173112415547493</v>
      </c>
      <c r="AH101" s="584">
        <f t="shared" si="54"/>
        <v>-81.180909849904708</v>
      </c>
      <c r="AJ101" s="147">
        <f t="shared" si="55"/>
        <v>0</v>
      </c>
      <c r="AK101" s="147">
        <f t="shared" si="65"/>
        <v>0</v>
      </c>
      <c r="AM101" s="147" t="str">
        <f t="shared" si="59"/>
        <v>0.026213851937254+0.227465465161459i</v>
      </c>
      <c r="AN101" s="147" t="str">
        <f t="shared" si="60"/>
        <v>0.229474124939525i</v>
      </c>
      <c r="AO101" s="147" t="str">
        <f t="shared" si="61"/>
        <v>0.991246682916449-0.114234456473741i</v>
      </c>
      <c r="AP101" s="147" t="str">
        <f t="shared" si="62"/>
        <v>0.162297691343791-0.0379109108602432i</v>
      </c>
      <c r="AQ101" s="147" t="str">
        <f t="shared" si="63"/>
        <v>0.837702308656209+0.0379109108602432i</v>
      </c>
      <c r="AR101" s="147" t="str">
        <f t="shared" si="64"/>
        <v>0.99235422840914-0.0449098114046668i</v>
      </c>
    </row>
    <row r="102" spans="1:44">
      <c r="G102" s="585">
        <v>3630.8</v>
      </c>
      <c r="H102" s="573">
        <f t="shared" si="56"/>
        <v>3.6308000000000002</v>
      </c>
      <c r="I102" s="574">
        <f t="shared" si="34"/>
        <v>31.62220036154481</v>
      </c>
      <c r="J102" s="575">
        <f t="shared" si="35"/>
        <v>1.5391677008183384</v>
      </c>
      <c r="K102" s="575">
        <f t="shared" si="36"/>
        <v>1.0000283371468026</v>
      </c>
      <c r="L102" s="576">
        <f t="shared" si="37"/>
        <v>7.5281442145050262E-3</v>
      </c>
      <c r="M102" s="575">
        <f t="shared" si="38"/>
        <v>1.0013622386296324</v>
      </c>
      <c r="N102" s="576">
        <f t="shared" si="39"/>
        <v>-5.2166924643548808E-2</v>
      </c>
      <c r="O102" s="574">
        <f t="shared" si="40"/>
        <v>68438.967569025786</v>
      </c>
      <c r="P102" s="577">
        <f t="shared" si="41"/>
        <v>1.5707817152360792</v>
      </c>
      <c r="Q102" s="586">
        <f t="shared" si="42"/>
        <v>12.814352280395438</v>
      </c>
      <c r="R102" s="587">
        <f t="shared" si="43"/>
        <v>1.4926794040746336</v>
      </c>
      <c r="S102" s="574">
        <f t="shared" si="44"/>
        <v>1.002555829418053</v>
      </c>
      <c r="T102" s="577">
        <f t="shared" si="45"/>
        <v>7.1419853130667774E-2</v>
      </c>
      <c r="U102" s="578">
        <f t="shared" si="57"/>
        <v>0.98951523883443737</v>
      </c>
      <c r="V102" s="579">
        <f t="shared" si="58"/>
        <v>-0.17524963410600142</v>
      </c>
      <c r="W102" s="580">
        <f t="shared" si="46"/>
        <v>2.6364449491674002</v>
      </c>
      <c r="X102" s="581">
        <f t="shared" si="47"/>
        <v>-109.35348041898094</v>
      </c>
      <c r="Y102" s="584">
        <f t="shared" si="48"/>
        <v>70.646519581019064</v>
      </c>
      <c r="AA102" s="147">
        <f t="shared" si="49"/>
        <v>1000000000</v>
      </c>
      <c r="AB102" s="147">
        <f t="shared" si="50"/>
        <v>13182708.640000001</v>
      </c>
      <c r="AD102" s="583">
        <f t="shared" si="51"/>
        <v>30.531142963692794</v>
      </c>
      <c r="AE102" s="584">
        <f t="shared" si="52"/>
        <v>-8.5669889673890118</v>
      </c>
      <c r="AG102" s="583">
        <f t="shared" si="53"/>
        <v>27.390647838956003</v>
      </c>
      <c r="AH102" s="584">
        <f t="shared" si="54"/>
        <v>-80.704362637673128</v>
      </c>
      <c r="AJ102" s="147">
        <f t="shared" si="55"/>
        <v>0</v>
      </c>
      <c r="AK102" s="147">
        <f t="shared" si="65"/>
        <v>0</v>
      </c>
      <c r="AM102" s="147" t="str">
        <f t="shared" si="59"/>
        <v>0.03148854218724+0.248968986191858i</v>
      </c>
      <c r="AN102" s="147" t="str">
        <f t="shared" si="60"/>
        <v>0.251615574798547i</v>
      </c>
      <c r="AO102" s="147" t="str">
        <f t="shared" si="61"/>
        <v>0.989481618501526-0.125145441463435i</v>
      </c>
      <c r="AP102" s="147" t="str">
        <f t="shared" si="62"/>
        <v>0.161418576302127-0.0414948310319763i</v>
      </c>
      <c r="AQ102" s="147" t="str">
        <f t="shared" si="63"/>
        <v>0.838581423697873+0.0414948310319763i</v>
      </c>
      <c r="AR102" s="147" t="str">
        <f t="shared" si="64"/>
        <v>0.990917959606003-0.049032773846915i</v>
      </c>
    </row>
    <row r="103" spans="1:44">
      <c r="G103" s="585">
        <v>3981.1</v>
      </c>
      <c r="H103" s="573">
        <f t="shared" si="56"/>
        <v>3.9811000000000001</v>
      </c>
      <c r="I103" s="574">
        <f t="shared" si="34"/>
        <v>34.670196959134536</v>
      </c>
      <c r="J103" s="575">
        <f t="shared" si="35"/>
        <v>1.541949109448445</v>
      </c>
      <c r="K103" s="575">
        <f t="shared" si="36"/>
        <v>1.0000340687653617</v>
      </c>
      <c r="L103" s="576">
        <f t="shared" si="37"/>
        <v>8.254428890696084E-3</v>
      </c>
      <c r="M103" s="575">
        <f t="shared" si="38"/>
        <v>1.0016375515207747</v>
      </c>
      <c r="N103" s="576">
        <f t="shared" si="39"/>
        <v>-5.7189509407823698E-2</v>
      </c>
      <c r="O103" s="574">
        <f t="shared" si="40"/>
        <v>75041.967000152945</v>
      </c>
      <c r="P103" s="577">
        <f t="shared" si="41"/>
        <v>1.5707830009181905</v>
      </c>
      <c r="Q103" s="586">
        <f t="shared" si="42"/>
        <v>14.043482789358363</v>
      </c>
      <c r="R103" s="587">
        <f t="shared" si="43"/>
        <v>1.4995286055626846</v>
      </c>
      <c r="S103" s="574">
        <f t="shared" si="44"/>
        <v>1.0030720017335211</v>
      </c>
      <c r="T103" s="577">
        <f t="shared" si="45"/>
        <v>7.8283561052625933E-2</v>
      </c>
      <c r="U103" s="578">
        <f t="shared" si="57"/>
        <v>0.98751030331207612</v>
      </c>
      <c r="V103" s="579">
        <f t="shared" si="58"/>
        <v>-0.19196512151938444</v>
      </c>
      <c r="W103" s="580">
        <f t="shared" si="46"/>
        <v>1.813058320703371</v>
      </c>
      <c r="X103" s="581">
        <f t="shared" si="47"/>
        <v>-110.71763496160328</v>
      </c>
      <c r="Y103" s="584">
        <f t="shared" si="48"/>
        <v>69.282365038396719</v>
      </c>
      <c r="AA103" s="147">
        <f t="shared" si="49"/>
        <v>1000000000</v>
      </c>
      <c r="AB103" s="147">
        <f t="shared" si="50"/>
        <v>15849157.209999999</v>
      </c>
      <c r="AD103" s="583">
        <f t="shared" si="51"/>
        <v>30.522220277694615</v>
      </c>
      <c r="AE103" s="584">
        <f t="shared" si="52"/>
        <v>-8.5678937889874831</v>
      </c>
      <c r="AG103" s="583">
        <f t="shared" si="53"/>
        <v>26.611417947396138</v>
      </c>
      <c r="AH103" s="584">
        <f t="shared" si="54"/>
        <v>-80.152158593926501</v>
      </c>
      <c r="AJ103" s="147">
        <f t="shared" si="55"/>
        <v>0</v>
      </c>
      <c r="AK103" s="147">
        <f t="shared" si="65"/>
        <v>0</v>
      </c>
      <c r="AM103" s="147" t="str">
        <f t="shared" si="59"/>
        <v>0.037817261883235+0.272404806253716i</v>
      </c>
      <c r="AN103" s="147" t="str">
        <f t="shared" si="60"/>
        <v>0.275891474284041i</v>
      </c>
      <c r="AO103" s="147" t="str">
        <f t="shared" si="61"/>
        <v>0.98736217550987-0.137072963132962i</v>
      </c>
      <c r="AP103" s="147" t="str">
        <f t="shared" si="62"/>
        <v>0.160363789686127-0.045400801042286i</v>
      </c>
      <c r="AQ103" s="147" t="str">
        <f t="shared" si="63"/>
        <v>0.839636210313873+0.045400801042286i</v>
      </c>
      <c r="AR103" s="147" t="str">
        <f t="shared" si="64"/>
        <v>0.989204111347-0.0534882351401781i</v>
      </c>
    </row>
    <row r="104" spans="1:44">
      <c r="G104" s="585">
        <v>4365.2</v>
      </c>
      <c r="H104" s="573">
        <f t="shared" si="56"/>
        <v>4.3651999999999997</v>
      </c>
      <c r="I104" s="574">
        <f t="shared" si="34"/>
        <v>38.012547318600724</v>
      </c>
      <c r="J104" s="575">
        <f t="shared" si="35"/>
        <v>1.5444861884213998</v>
      </c>
      <c r="K104" s="575">
        <f t="shared" si="36"/>
        <v>1.0000409597237283</v>
      </c>
      <c r="L104" s="576">
        <f t="shared" si="37"/>
        <v>9.050781810937221E-3</v>
      </c>
      <c r="M104" s="575">
        <f t="shared" si="38"/>
        <v>1.0019684541460612</v>
      </c>
      <c r="N104" s="576">
        <f t="shared" si="39"/>
        <v>-6.2693389618572848E-2</v>
      </c>
      <c r="O104" s="574">
        <f t="shared" si="40"/>
        <v>82282.081420756658</v>
      </c>
      <c r="P104" s="577">
        <f t="shared" si="41"/>
        <v>1.570784173480557</v>
      </c>
      <c r="Q104" s="586">
        <f t="shared" si="42"/>
        <v>15.391840959554168</v>
      </c>
      <c r="R104" s="587">
        <f t="shared" si="43"/>
        <v>1.5057810470780262</v>
      </c>
      <c r="S104" s="574">
        <f t="shared" si="44"/>
        <v>1.0036922331912186</v>
      </c>
      <c r="T104" s="577">
        <f t="shared" si="45"/>
        <v>8.5801030084930077E-2</v>
      </c>
      <c r="U104" s="578">
        <f t="shared" si="57"/>
        <v>0.9851149971177684</v>
      </c>
      <c r="V104" s="579">
        <f t="shared" si="58"/>
        <v>-0.21023351767254281</v>
      </c>
      <c r="W104" s="580">
        <f t="shared" si="46"/>
        <v>0.98640430421199343</v>
      </c>
      <c r="X104" s="581">
        <f t="shared" si="47"/>
        <v>-112.25197024510069</v>
      </c>
      <c r="Y104" s="584">
        <f t="shared" si="48"/>
        <v>67.748029754899306</v>
      </c>
      <c r="AA104" s="147">
        <f t="shared" si="49"/>
        <v>1000000000</v>
      </c>
      <c r="AB104" s="147">
        <f t="shared" si="50"/>
        <v>19054971.039999999</v>
      </c>
      <c r="AD104" s="583">
        <f t="shared" si="51"/>
        <v>30.513144794378935</v>
      </c>
      <c r="AE104" s="584">
        <f t="shared" si="52"/>
        <v>-8.6404417096350681</v>
      </c>
      <c r="AG104" s="583">
        <f t="shared" si="53"/>
        <v>25.836027609767083</v>
      </c>
      <c r="AH104" s="584">
        <f t="shared" si="54"/>
        <v>-79.520541958286231</v>
      </c>
      <c r="AJ104" s="147">
        <f t="shared" si="55"/>
        <v>0</v>
      </c>
      <c r="AK104" s="147">
        <f t="shared" si="65"/>
        <v>0</v>
      </c>
      <c r="AM104" s="147" t="str">
        <f t="shared" si="59"/>
        <v>0.045408193044684+0.29791690467945i</v>
      </c>
      <c r="AN104" s="147" t="str">
        <f t="shared" si="60"/>
        <v>0.30250972433365i</v>
      </c>
      <c r="AO104" s="147" t="str">
        <f t="shared" si="61"/>
        <v>0.984817613171554-0.150104903717414i</v>
      </c>
      <c r="AP104" s="147" t="str">
        <f t="shared" si="62"/>
        <v>0.159098634492553-0.049652817446575i</v>
      </c>
      <c r="AQ104" s="147" t="str">
        <f t="shared" si="63"/>
        <v>0.840901365507447+0.049652817446575i</v>
      </c>
      <c r="AR104" s="147" t="str">
        <f t="shared" si="64"/>
        <v>0.98716189183315-0.0582890826628976i</v>
      </c>
    </row>
    <row r="105" spans="1:44">
      <c r="G105" s="585">
        <v>4786.3</v>
      </c>
      <c r="H105" s="573">
        <f t="shared" si="56"/>
        <v>4.7862999999999998</v>
      </c>
      <c r="I105" s="574">
        <f t="shared" si="34"/>
        <v>41.677097113751451</v>
      </c>
      <c r="J105" s="575">
        <f t="shared" si="35"/>
        <v>1.5468000303615881</v>
      </c>
      <c r="K105" s="575">
        <f t="shared" si="36"/>
        <v>1.0000492432558064</v>
      </c>
      <c r="L105" s="576">
        <f t="shared" si="37"/>
        <v>9.9238334470807647E-3</v>
      </c>
      <c r="M105" s="575">
        <f t="shared" si="38"/>
        <v>1.002366086353508</v>
      </c>
      <c r="N105" s="576">
        <f t="shared" si="39"/>
        <v>-6.8723073997259729E-2</v>
      </c>
      <c r="O105" s="574">
        <f t="shared" si="40"/>
        <v>90219.629409712041</v>
      </c>
      <c r="P105" s="577">
        <f t="shared" si="41"/>
        <v>1.5707852427325195</v>
      </c>
      <c r="Q105" s="586">
        <f t="shared" si="42"/>
        <v>16.870660817438079</v>
      </c>
      <c r="R105" s="587">
        <f t="shared" si="43"/>
        <v>1.5114870610616193</v>
      </c>
      <c r="S105" s="574">
        <f t="shared" si="44"/>
        <v>1.0044373041656898</v>
      </c>
      <c r="T105" s="577">
        <f t="shared" si="45"/>
        <v>9.4031462807424998E-2</v>
      </c>
      <c r="U105" s="578">
        <f t="shared" si="57"/>
        <v>0.98225729499022052</v>
      </c>
      <c r="V105" s="579">
        <f t="shared" si="58"/>
        <v>-0.23018345353056674</v>
      </c>
      <c r="W105" s="580">
        <f t="shared" si="46"/>
        <v>0.15574918896738582</v>
      </c>
      <c r="X105" s="581">
        <f t="shared" si="47"/>
        <v>-113.96774384665005</v>
      </c>
      <c r="Y105" s="584">
        <f t="shared" si="48"/>
        <v>66.032256153349948</v>
      </c>
      <c r="AA105" s="147">
        <f t="shared" si="49"/>
        <v>1000000000</v>
      </c>
      <c r="AB105" s="147">
        <f t="shared" si="50"/>
        <v>22908667.690000001</v>
      </c>
      <c r="AD105" s="583">
        <f t="shared" si="51"/>
        <v>30.503614531541988</v>
      </c>
      <c r="AE105" s="584">
        <f t="shared" si="52"/>
        <v>-8.7851415128879076</v>
      </c>
      <c r="AG105" s="583">
        <f t="shared" si="53"/>
        <v>25.065369469440274</v>
      </c>
      <c r="AH105" s="584">
        <f t="shared" si="54"/>
        <v>-78.805521501527593</v>
      </c>
      <c r="AJ105" s="147">
        <f t="shared" si="55"/>
        <v>4786.3</v>
      </c>
      <c r="AK105" s="147">
        <f t="shared" si="65"/>
        <v>66.032256153349948</v>
      </c>
      <c r="AM105" s="147" t="str">
        <f t="shared" si="59"/>
        <v>0.0545073191972461+0.325643348693663i</v>
      </c>
      <c r="AN105" s="147" t="str">
        <f t="shared" si="60"/>
        <v>0.331692085947528i</v>
      </c>
      <c r="AO105" s="147" t="str">
        <f t="shared" si="61"/>
        <v>0.981763998870863-0.164331081465323i</v>
      </c>
      <c r="AP105" s="147" t="str">
        <f t="shared" si="62"/>
        <v>0.157582113467126-0.0542738914489438i</v>
      </c>
      <c r="AQ105" s="147" t="str">
        <f t="shared" si="63"/>
        <v>0.842417886532874+0.0542738914489438i</v>
      </c>
      <c r="AR105" s="147" t="str">
        <f t="shared" si="64"/>
        <v>0.984733027671501-0.0634427334751839i</v>
      </c>
    </row>
    <row r="106" spans="1:44">
      <c r="G106" s="585">
        <v>5248.1</v>
      </c>
      <c r="H106" s="573">
        <f t="shared" si="56"/>
        <v>5.2481</v>
      </c>
      <c r="I106" s="574">
        <f t="shared" si="34"/>
        <v>45.696045000116477</v>
      </c>
      <c r="J106" s="575">
        <f t="shared" si="35"/>
        <v>1.5489108477892095</v>
      </c>
      <c r="K106" s="575">
        <f t="shared" si="36"/>
        <v>1.0000592037161182</v>
      </c>
      <c r="L106" s="576">
        <f t="shared" si="37"/>
        <v>1.0881249502310045E-2</v>
      </c>
      <c r="M106" s="575">
        <f t="shared" si="38"/>
        <v>1.0028440112935173</v>
      </c>
      <c r="N106" s="576">
        <f t="shared" si="39"/>
        <v>-7.5329772037804374E-2</v>
      </c>
      <c r="O106" s="574">
        <f t="shared" si="40"/>
        <v>98924.354323844382</v>
      </c>
      <c r="P106" s="577">
        <f t="shared" si="41"/>
        <v>1.5707862180607346</v>
      </c>
      <c r="Q106" s="586">
        <f t="shared" si="42"/>
        <v>18.492936616597252</v>
      </c>
      <c r="R106" s="587">
        <f t="shared" si="43"/>
        <v>1.5166952389765307</v>
      </c>
      <c r="S106" s="574">
        <f t="shared" si="44"/>
        <v>1.0053324851906278</v>
      </c>
      <c r="T106" s="577">
        <f t="shared" si="45"/>
        <v>0.10304267420742415</v>
      </c>
      <c r="U106" s="578">
        <f t="shared" si="57"/>
        <v>0.97885195712639872</v>
      </c>
      <c r="V106" s="579">
        <f t="shared" si="58"/>
        <v>-0.25195963149087003</v>
      </c>
      <c r="W106" s="580">
        <f t="shared" si="46"/>
        <v>-0.68011751568989176</v>
      </c>
      <c r="X106" s="581">
        <f t="shared" si="47"/>
        <v>-115.87800153508007</v>
      </c>
      <c r="Y106" s="584">
        <f t="shared" si="48"/>
        <v>64.121998464919926</v>
      </c>
      <c r="AA106" s="147">
        <f t="shared" si="49"/>
        <v>5248.1</v>
      </c>
      <c r="AB106" s="147">
        <f t="shared" si="50"/>
        <v>27542553.610000003</v>
      </c>
      <c r="AD106" s="583">
        <f t="shared" si="51"/>
        <v>30.493308916868468</v>
      </c>
      <c r="AE106" s="584">
        <f t="shared" si="52"/>
        <v>-9.0030951633697818</v>
      </c>
      <c r="AG106" s="583">
        <f t="shared" si="53"/>
        <v>24.30013835558999</v>
      </c>
      <c r="AH106" s="584">
        <f t="shared" si="54"/>
        <v>-78.002459354521989</v>
      </c>
      <c r="AJ106" s="147">
        <f t="shared" si="55"/>
        <v>0</v>
      </c>
      <c r="AK106" s="147">
        <f t="shared" si="65"/>
        <v>0</v>
      </c>
      <c r="AM106" s="147" t="str">
        <f t="shared" si="59"/>
        <v>0.065411204984651+0.35572993159384i</v>
      </c>
      <c r="AN106" s="147" t="str">
        <f t="shared" si="60"/>
        <v>0.363694970282101i</v>
      </c>
      <c r="AO106" s="147" t="str">
        <f t="shared" si="61"/>
        <v>0.978099673245184-0.179851827298889i</v>
      </c>
      <c r="AP106" s="147" t="str">
        <f t="shared" si="62"/>
        <v>0.155764799169225-0.0592883219323067i</v>
      </c>
      <c r="AQ106" s="147" t="str">
        <f t="shared" si="63"/>
        <v>0.844235200830775+0.0592883219323067i</v>
      </c>
      <c r="AR106" s="147" t="str">
        <f t="shared" si="64"/>
        <v>0.981849507586227-0.0689525971406605i</v>
      </c>
    </row>
    <row r="107" spans="1:44">
      <c r="G107" s="585">
        <v>5370.3</v>
      </c>
      <c r="H107" s="573">
        <f t="shared" si="56"/>
        <v>5.3703000000000003</v>
      </c>
      <c r="I107" s="574">
        <f t="shared" si="34"/>
        <v>46.759556159975432</v>
      </c>
      <c r="J107" s="575">
        <f t="shared" si="35"/>
        <v>1.5494086934494473</v>
      </c>
      <c r="K107" s="575">
        <f t="shared" si="36"/>
        <v>1.0000619928000933</v>
      </c>
      <c r="L107" s="576">
        <f t="shared" si="37"/>
        <v>1.1134594529963697E-2</v>
      </c>
      <c r="M107" s="575">
        <f t="shared" si="38"/>
        <v>1.0029777977582093</v>
      </c>
      <c r="N107" s="576">
        <f t="shared" si="39"/>
        <v>-7.7076936718479885E-2</v>
      </c>
      <c r="O107" s="574">
        <f t="shared" si="40"/>
        <v>101227.77005470937</v>
      </c>
      <c r="P107" s="577">
        <f t="shared" si="41"/>
        <v>1.5707864480827658</v>
      </c>
      <c r="Q107" s="586">
        <f t="shared" si="42"/>
        <v>18.922292744017049</v>
      </c>
      <c r="R107" s="587">
        <f t="shared" si="43"/>
        <v>1.5179239777752718</v>
      </c>
      <c r="S107" s="574">
        <f t="shared" si="44"/>
        <v>1.0055830085984783</v>
      </c>
      <c r="T107" s="577">
        <f t="shared" si="45"/>
        <v>0.10542444461951825</v>
      </c>
      <c r="U107" s="578">
        <f t="shared" si="57"/>
        <v>0.9779043817387254</v>
      </c>
      <c r="V107" s="579">
        <f t="shared" si="58"/>
        <v>-0.25770306906069723</v>
      </c>
      <c r="W107" s="580">
        <f t="shared" si="46"/>
        <v>-0.88991797219802837</v>
      </c>
      <c r="X107" s="581">
        <f t="shared" si="47"/>
        <v>-116.38726730934422</v>
      </c>
      <c r="Y107" s="584">
        <f t="shared" si="48"/>
        <v>63.612732690655776</v>
      </c>
      <c r="AA107" s="147">
        <f t="shared" si="49"/>
        <v>5370.3</v>
      </c>
      <c r="AB107" s="147">
        <f t="shared" si="50"/>
        <v>28840122.090000004</v>
      </c>
      <c r="AD107" s="583">
        <f t="shared" si="51"/>
        <v>30.490573317694295</v>
      </c>
      <c r="AE107" s="584">
        <f t="shared" si="52"/>
        <v>-9.0691721878271547</v>
      </c>
      <c r="AG107" s="583">
        <f t="shared" si="53"/>
        <v>24.109898354209673</v>
      </c>
      <c r="AH107" s="584">
        <f t="shared" si="54"/>
        <v>-77.78749863828078</v>
      </c>
      <c r="AJ107" s="147">
        <f t="shared" si="55"/>
        <v>0</v>
      </c>
      <c r="AK107" s="147">
        <f t="shared" si="65"/>
        <v>0</v>
      </c>
      <c r="AM107" s="147" t="str">
        <f t="shared" si="59"/>
        <v>0.068457179293848+0.363631644924952i</v>
      </c>
      <c r="AN107" s="147" t="str">
        <f t="shared" si="60"/>
        <v>0.372163468475442i</v>
      </c>
      <c r="AO107" s="147" t="str">
        <f t="shared" si="61"/>
        <v>0.977075064391891-0.183943844822494i</v>
      </c>
      <c r="AP107" s="147" t="str">
        <f t="shared" si="62"/>
        <v>0.155257136784359-0.0606052741541587i</v>
      </c>
      <c r="AQ107" s="147" t="str">
        <f t="shared" si="63"/>
        <v>0.844742863215641+0.0606052741541587i</v>
      </c>
      <c r="AR107" s="147" t="str">
        <f t="shared" si="64"/>
        <v>0.981049225186189-0.0703844445927638i</v>
      </c>
    </row>
    <row r="108" spans="1:44">
      <c r="G108" s="585">
        <v>5432.85</v>
      </c>
      <c r="H108" s="573">
        <f t="shared" si="56"/>
        <v>5.4328500000000002</v>
      </c>
      <c r="I108" s="574">
        <f t="shared" si="34"/>
        <v>47.303935475932342</v>
      </c>
      <c r="J108" s="575">
        <f t="shared" si="35"/>
        <v>1.5496548617685018</v>
      </c>
      <c r="K108" s="575">
        <f t="shared" si="36"/>
        <v>1.0000634452732082</v>
      </c>
      <c r="L108" s="576">
        <f t="shared" si="37"/>
        <v>1.1264272632615757E-2</v>
      </c>
      <c r="M108" s="575">
        <f t="shared" si="38"/>
        <v>1.0030474629058972</v>
      </c>
      <c r="N108" s="576">
        <f t="shared" si="39"/>
        <v>-7.797106882206406E-2</v>
      </c>
      <c r="O108" s="574">
        <f t="shared" si="40"/>
        <v>102406.80977619751</v>
      </c>
      <c r="P108" s="577">
        <f t="shared" si="41"/>
        <v>1.5707865618192842</v>
      </c>
      <c r="Q108" s="586">
        <f t="shared" si="42"/>
        <v>19.142076138450172</v>
      </c>
      <c r="R108" s="587">
        <f t="shared" si="43"/>
        <v>1.5185315983052925</v>
      </c>
      <c r="S108" s="574">
        <f t="shared" si="44"/>
        <v>1.0057134494049473</v>
      </c>
      <c r="T108" s="577">
        <f t="shared" si="45"/>
        <v>0.10664312875877946</v>
      </c>
      <c r="U108" s="578">
        <f t="shared" si="57"/>
        <v>0.97741193881247634</v>
      </c>
      <c r="V108" s="579">
        <f t="shared" si="58"/>
        <v>-0.26063976995595206</v>
      </c>
      <c r="W108" s="580">
        <f t="shared" si="46"/>
        <v>-0.99561931944465554</v>
      </c>
      <c r="X108" s="581">
        <f t="shared" si="47"/>
        <v>-116.64845015269601</v>
      </c>
      <c r="Y108" s="584">
        <f t="shared" si="48"/>
        <v>63.351549847303986</v>
      </c>
      <c r="AA108" s="147">
        <f t="shared" si="49"/>
        <v>5432.85</v>
      </c>
      <c r="AB108" s="147">
        <f t="shared" si="50"/>
        <v>29515859.122500002</v>
      </c>
      <c r="AD108" s="583">
        <f t="shared" si="51"/>
        <v>30.489168988581312</v>
      </c>
      <c r="AE108" s="584">
        <f t="shared" si="52"/>
        <v>-9.1041900703131606</v>
      </c>
      <c r="AG108" s="583">
        <f t="shared" si="53"/>
        <v>24.014351439485743</v>
      </c>
      <c r="AH108" s="584">
        <f t="shared" si="54"/>
        <v>-77.677142464781227</v>
      </c>
      <c r="AJ108" s="147">
        <f t="shared" si="55"/>
        <v>0</v>
      </c>
      <c r="AK108" s="147">
        <f t="shared" si="65"/>
        <v>0</v>
      </c>
      <c r="AM108" s="147" t="str">
        <f t="shared" si="59"/>
        <v>0.070042172807794+0.3676662068289i</v>
      </c>
      <c r="AN108" s="147" t="str">
        <f t="shared" si="60"/>
        <v>0.376498203025307i</v>
      </c>
      <c r="AO108" s="147" t="str">
        <f t="shared" si="61"/>
        <v>0.976541730809235-0.186035875456983i</v>
      </c>
      <c r="AP108" s="147" t="str">
        <f t="shared" si="62"/>
        <v>0.154992971198701-0.06127770113815i</v>
      </c>
      <c r="AQ108" s="147" t="str">
        <f t="shared" si="63"/>
        <v>0.845007028801299+0.06127770113815i</v>
      </c>
      <c r="AR108" s="147" t="str">
        <f t="shared" si="64"/>
        <v>0.980633688342906-0.0711129920014057i</v>
      </c>
    </row>
    <row r="109" spans="1:44">
      <c r="G109" s="585">
        <v>5495.4</v>
      </c>
      <c r="H109" s="573">
        <f t="shared" si="56"/>
        <v>5.4954000000000001</v>
      </c>
      <c r="I109" s="574">
        <f t="shared" si="34"/>
        <v>47.84831759322595</v>
      </c>
      <c r="J109" s="575">
        <f t="shared" si="35"/>
        <v>1.5498954286664279</v>
      </c>
      <c r="K109" s="575">
        <f t="shared" si="36"/>
        <v>1.0000649145637515</v>
      </c>
      <c r="L109" s="576">
        <f t="shared" si="37"/>
        <v>1.1393950356403639E-2</v>
      </c>
      <c r="M109" s="575">
        <f t="shared" si="38"/>
        <v>1.0031179298504089</v>
      </c>
      <c r="N109" s="576">
        <f t="shared" si="39"/>
        <v>-7.8865076018464306E-2</v>
      </c>
      <c r="O109" s="574">
        <f t="shared" si="40"/>
        <v>103585.84949768691</v>
      </c>
      <c r="P109" s="577">
        <f t="shared" si="41"/>
        <v>1.5707866729666482</v>
      </c>
      <c r="Q109" s="586">
        <f t="shared" si="42"/>
        <v>19.36186643974116</v>
      </c>
      <c r="R109" s="587">
        <f t="shared" si="43"/>
        <v>1.5191254239858047</v>
      </c>
      <c r="S109" s="574">
        <f t="shared" si="44"/>
        <v>1.0058453834993093</v>
      </c>
      <c r="T109" s="577">
        <f t="shared" si="45"/>
        <v>0.107861495003965</v>
      </c>
      <c r="U109" s="578">
        <f t="shared" si="57"/>
        <v>0.97691450719076045</v>
      </c>
      <c r="V109" s="579">
        <f t="shared" si="58"/>
        <v>-0.26357429818168998</v>
      </c>
      <c r="W109" s="580">
        <f t="shared" si="46"/>
        <v>-1.1002136181872593</v>
      </c>
      <c r="X109" s="581">
        <f t="shared" si="47"/>
        <v>-116.90995246283687</v>
      </c>
      <c r="Y109" s="584">
        <f t="shared" si="48"/>
        <v>63.09004753716313</v>
      </c>
      <c r="AA109" s="147">
        <f t="shared" si="49"/>
        <v>5495.4</v>
      </c>
      <c r="AB109" s="147">
        <f t="shared" si="50"/>
        <v>30199421.159999996</v>
      </c>
      <c r="AD109" s="583">
        <f t="shared" si="51"/>
        <v>30.487761321968719</v>
      </c>
      <c r="AE109" s="584">
        <f t="shared" si="52"/>
        <v>-9.1399799771194079</v>
      </c>
      <c r="AG109" s="583">
        <f t="shared" si="53"/>
        <v>23.920008030596854</v>
      </c>
      <c r="AH109" s="584">
        <f t="shared" si="54"/>
        <v>-77.566582703337971</v>
      </c>
      <c r="AJ109" s="147">
        <f t="shared" si="55"/>
        <v>0</v>
      </c>
      <c r="AK109" s="147">
        <f t="shared" si="65"/>
        <v>0</v>
      </c>
      <c r="AM109" s="147" t="str">
        <f t="shared" si="59"/>
        <v>0.07164464013092+0.371693860323723i</v>
      </c>
      <c r="AN109" s="147" t="str">
        <f t="shared" si="60"/>
        <v>0.380832937575172i</v>
      </c>
      <c r="AO109" s="147" t="str">
        <f t="shared" si="61"/>
        <v>0.976002398034059-0.188126165208014i</v>
      </c>
      <c r="AP109" s="147" t="str">
        <f t="shared" si="62"/>
        <v>0.154725893311513-0.0619489767206205i</v>
      </c>
      <c r="AQ109" s="147" t="str">
        <f t="shared" si="63"/>
        <v>0.845274106688487+0.0619489767206205i</v>
      </c>
      <c r="AR109" s="147" t="str">
        <f t="shared" si="64"/>
        <v>0.980214191803927-0.0718385499671551i</v>
      </c>
    </row>
    <row r="110" spans="1:44">
      <c r="G110" s="585">
        <v>5559.4</v>
      </c>
      <c r="H110" s="573">
        <f t="shared" si="56"/>
        <v>5.5593999999999992</v>
      </c>
      <c r="I110" s="574">
        <f t="shared" si="34"/>
        <v>48.405322080901158</v>
      </c>
      <c r="J110" s="575">
        <f t="shared" si="35"/>
        <v>1.5501359716466758</v>
      </c>
      <c r="K110" s="575">
        <f t="shared" si="36"/>
        <v>1.0000664353212352</v>
      </c>
      <c r="L110" s="576">
        <f t="shared" si="37"/>
        <v>1.1526633801801498E-2</v>
      </c>
      <c r="M110" s="575">
        <f t="shared" si="38"/>
        <v>1.0031908600374511</v>
      </c>
      <c r="N110" s="576">
        <f t="shared" si="39"/>
        <v>-7.9779676855316797E-2</v>
      </c>
      <c r="O110" s="574">
        <f t="shared" si="40"/>
        <v>104792.22107523135</v>
      </c>
      <c r="P110" s="577">
        <f t="shared" si="41"/>
        <v>1.5707867841018441</v>
      </c>
      <c r="Q110" s="586">
        <f t="shared" si="42"/>
        <v>19.586758706334745</v>
      </c>
      <c r="R110" s="587">
        <f t="shared" si="43"/>
        <v>1.5197192211253905</v>
      </c>
      <c r="S110" s="574">
        <f t="shared" si="44"/>
        <v>1.0059819210190653</v>
      </c>
      <c r="T110" s="577">
        <f t="shared" si="45"/>
        <v>0.10910777207631538</v>
      </c>
      <c r="U110" s="578">
        <f t="shared" si="57"/>
        <v>0.97640040473042056</v>
      </c>
      <c r="V110" s="579">
        <f t="shared" si="58"/>
        <v>-0.26657458282079982</v>
      </c>
      <c r="W110" s="580">
        <f t="shared" si="46"/>
        <v>-1.2061141250896641</v>
      </c>
      <c r="X110" s="581">
        <f t="shared" si="47"/>
        <v>-117.17782948826185</v>
      </c>
      <c r="Y110" s="584">
        <f t="shared" si="48"/>
        <v>62.82217051173815</v>
      </c>
      <c r="AA110" s="147">
        <f t="shared" si="49"/>
        <v>5559.4</v>
      </c>
      <c r="AB110" s="147">
        <f t="shared" si="50"/>
        <v>30906928.359999996</v>
      </c>
      <c r="AD110" s="583">
        <f t="shared" si="51"/>
        <v>30.486317141385307</v>
      </c>
      <c r="AE110" s="584">
        <f t="shared" si="52"/>
        <v>-9.1773706911042154</v>
      </c>
      <c r="AG110" s="583">
        <f t="shared" si="53"/>
        <v>23.824696030794854</v>
      </c>
      <c r="AH110" s="584">
        <f t="shared" si="54"/>
        <v>-77.453261720067502</v>
      </c>
      <c r="AJ110" s="147">
        <f t="shared" si="55"/>
        <v>0</v>
      </c>
      <c r="AK110" s="147">
        <f t="shared" si="65"/>
        <v>0</v>
      </c>
      <c r="AM110" s="147" t="str">
        <f t="shared" si="59"/>
        <v>0.0733023096765369+0.375807651264792i</v>
      </c>
      <c r="AN110" s="147" t="str">
        <f t="shared" si="60"/>
        <v>0.385268157578231i</v>
      </c>
      <c r="AO110" s="147" t="str">
        <f t="shared" si="61"/>
        <v>0.975444359656123-0.190263088798488i</v>
      </c>
      <c r="AP110" s="147" t="str">
        <f t="shared" si="62"/>
        <v>0.15444961505391-0.062634608544132i</v>
      </c>
      <c r="AQ110" s="147" t="str">
        <f t="shared" si="63"/>
        <v>0.84555038494609+0.062634608544132i</v>
      </c>
      <c r="AR110" s="147" t="str">
        <f t="shared" si="64"/>
        <v>0.979780900324574-0.0725778075954155i</v>
      </c>
    </row>
    <row r="111" spans="1:44">
      <c r="G111" s="585">
        <v>5623.4</v>
      </c>
      <c r="H111" s="573">
        <f t="shared" si="56"/>
        <v>5.6233999999999993</v>
      </c>
      <c r="I111" s="574">
        <f t="shared" si="34"/>
        <v>48.9623293056287</v>
      </c>
      <c r="J111" s="575">
        <f t="shared" si="35"/>
        <v>1.5503710416907679</v>
      </c>
      <c r="K111" s="575">
        <f t="shared" si="36"/>
        <v>1.0000679736847315</v>
      </c>
      <c r="L111" s="576">
        <f t="shared" si="37"/>
        <v>1.1659316841332231E-2</v>
      </c>
      <c r="M111" s="575">
        <f t="shared" si="38"/>
        <v>1.0032646292659098</v>
      </c>
      <c r="N111" s="576">
        <f t="shared" si="39"/>
        <v>-8.0694143957318415E-2</v>
      </c>
      <c r="O111" s="574">
        <f t="shared" si="40"/>
        <v>105998.59265277705</v>
      </c>
      <c r="P111" s="577">
        <f t="shared" si="41"/>
        <v>1.5707868927073774</v>
      </c>
      <c r="Q111" s="586">
        <f t="shared" si="42"/>
        <v>19.811657722329468</v>
      </c>
      <c r="R111" s="587">
        <f t="shared" si="43"/>
        <v>1.5202995370706669</v>
      </c>
      <c r="S111" s="574">
        <f t="shared" si="44"/>
        <v>1.0061200206110219</v>
      </c>
      <c r="T111" s="577">
        <f t="shared" si="45"/>
        <v>0.1103537089565359</v>
      </c>
      <c r="U111" s="578">
        <f t="shared" si="57"/>
        <v>0.97588112822093542</v>
      </c>
      <c r="V111" s="579">
        <f t="shared" si="58"/>
        <v>-0.26957254954878657</v>
      </c>
      <c r="W111" s="580">
        <f t="shared" si="46"/>
        <v>-1.3109103416320997</v>
      </c>
      <c r="X111" s="581">
        <f t="shared" si="47"/>
        <v>-117.44600527085574</v>
      </c>
      <c r="Y111" s="584">
        <f t="shared" si="48"/>
        <v>62.553994729144264</v>
      </c>
      <c r="AA111" s="147">
        <f t="shared" si="49"/>
        <v>5623.4</v>
      </c>
      <c r="AB111" s="147">
        <f t="shared" si="50"/>
        <v>31622627.559999995</v>
      </c>
      <c r="AD111" s="583">
        <f t="shared" si="51"/>
        <v>30.484868623168108</v>
      </c>
      <c r="AE111" s="584">
        <f t="shared" si="52"/>
        <v>-9.2155141841143333</v>
      </c>
      <c r="AG111" s="583">
        <f t="shared" si="53"/>
        <v>23.730589578638813</v>
      </c>
      <c r="AH111" s="584">
        <f t="shared" si="54"/>
        <v>-77.339752327990112</v>
      </c>
      <c r="AJ111" s="147">
        <f t="shared" si="55"/>
        <v>0</v>
      </c>
      <c r="AK111" s="147">
        <f t="shared" si="65"/>
        <v>0</v>
      </c>
      <c r="AM111" s="147" t="str">
        <f t="shared" si="59"/>
        <v>0.0749782084260781+0.379914049639351i</v>
      </c>
      <c r="AN111" s="147" t="str">
        <f t="shared" si="60"/>
        <v>0.38970337758129i</v>
      </c>
      <c r="AO111" s="147" t="str">
        <f t="shared" si="61"/>
        <v>0.974880053637983-0.192398148795716i</v>
      </c>
      <c r="AP111" s="147" t="str">
        <f t="shared" si="62"/>
        <v>0.154170298595654-0.0633190082732252i</v>
      </c>
      <c r="AQ111" s="147" t="str">
        <f t="shared" si="63"/>
        <v>0.845829701404346+0.0633190082732252i</v>
      </c>
      <c r="AR111" s="147" t="str">
        <f t="shared" si="64"/>
        <v>0.979343520577383-0.0733138838454251i</v>
      </c>
    </row>
    <row r="112" spans="1:44">
      <c r="G112" s="585">
        <v>5688.9</v>
      </c>
      <c r="H112" s="573">
        <f t="shared" si="56"/>
        <v>5.6888999999999994</v>
      </c>
      <c r="I112" s="574">
        <f t="shared" si="34"/>
        <v>49.532394124858818</v>
      </c>
      <c r="J112" s="575">
        <f t="shared" si="35"/>
        <v>1.550606146985084</v>
      </c>
      <c r="K112" s="575">
        <f t="shared" si="36"/>
        <v>1.000069566333347</v>
      </c>
      <c r="L112" s="576">
        <f t="shared" si="37"/>
        <v>1.1795109214481536E-2</v>
      </c>
      <c r="M112" s="575">
        <f t="shared" si="38"/>
        <v>1.003340996036941</v>
      </c>
      <c r="N112" s="576">
        <f t="shared" si="39"/>
        <v>-8.1629903843784588E-2</v>
      </c>
      <c r="O112" s="574">
        <f t="shared" si="40"/>
        <v>107233.23856417273</v>
      </c>
      <c r="P112" s="577">
        <f t="shared" si="41"/>
        <v>1.5707870013281533</v>
      </c>
      <c r="Q112" s="586">
        <f t="shared" si="42"/>
        <v>20.041834560446862</v>
      </c>
      <c r="R112" s="587">
        <f t="shared" si="43"/>
        <v>1.5208799685126697</v>
      </c>
      <c r="S112" s="574">
        <f t="shared" si="44"/>
        <v>1.0062629736588322</v>
      </c>
      <c r="T112" s="577">
        <f t="shared" si="45"/>
        <v>0.11162849134734752</v>
      </c>
      <c r="U112" s="578">
        <f t="shared" si="57"/>
        <v>0.97534434973519923</v>
      </c>
      <c r="V112" s="579">
        <f t="shared" si="58"/>
        <v>-0.27263835845216783</v>
      </c>
      <c r="W112" s="580">
        <f t="shared" si="46"/>
        <v>-1.4170466779013438</v>
      </c>
      <c r="X112" s="581">
        <f t="shared" si="47"/>
        <v>-117.72075808787287</v>
      </c>
      <c r="Y112" s="584">
        <f t="shared" si="48"/>
        <v>62.279241912127134</v>
      </c>
      <c r="AA112" s="147">
        <f t="shared" si="49"/>
        <v>5688.9</v>
      </c>
      <c r="AB112" s="147">
        <f t="shared" si="50"/>
        <v>32363583.209999997</v>
      </c>
      <c r="AD112" s="583">
        <f t="shared" si="51"/>
        <v>30.483381256765728</v>
      </c>
      <c r="AE112" s="584">
        <f t="shared" si="52"/>
        <v>-9.2553037865394803</v>
      </c>
      <c r="AG112" s="583">
        <f t="shared" si="53"/>
        <v>23.635498497099015</v>
      </c>
      <c r="AH112" s="584">
        <f t="shared" si="54"/>
        <v>-77.223399720265903</v>
      </c>
      <c r="AJ112" s="147">
        <f t="shared" si="55"/>
        <v>0</v>
      </c>
      <c r="AK112" s="147">
        <f t="shared" si="65"/>
        <v>0</v>
      </c>
      <c r="AM112" s="147" t="str">
        <f t="shared" si="59"/>
        <v>0.076712226729975+0.384108952941844i</v>
      </c>
      <c r="AN112" s="147" t="str">
        <f t="shared" si="60"/>
        <v>0.394242548053171i</v>
      </c>
      <c r="AO112" s="147" t="str">
        <f t="shared" si="61"/>
        <v>0.974296038919776-0.194581298007512i</v>
      </c>
      <c r="AP112" s="147" t="str">
        <f t="shared" si="62"/>
        <v>0.153881295545004-0.0640181588236407i</v>
      </c>
      <c r="AQ112" s="147" t="str">
        <f t="shared" si="63"/>
        <v>0.846118704454996+0.0640181588236407i</v>
      </c>
      <c r="AR112" s="147" t="str">
        <f t="shared" si="64"/>
        <v>0.9788916870675-0.0740638909929239i</v>
      </c>
    </row>
    <row r="113" spans="7:44">
      <c r="G113" s="585">
        <v>5754.4</v>
      </c>
      <c r="H113" s="573">
        <f t="shared" si="56"/>
        <v>5.7543999999999995</v>
      </c>
      <c r="I113" s="574">
        <f t="shared" si="34"/>
        <v>50.102461619664084</v>
      </c>
      <c r="J113" s="575">
        <f t="shared" si="35"/>
        <v>1.5508359022199547</v>
      </c>
      <c r="K113" s="575">
        <f t="shared" si="36"/>
        <v>1.0000711774227549</v>
      </c>
      <c r="L113" s="576">
        <f t="shared" si="37"/>
        <v>1.1930901152618615E-2</v>
      </c>
      <c r="M113" s="575">
        <f t="shared" si="38"/>
        <v>1.0034182412458901</v>
      </c>
      <c r="N113" s="576">
        <f t="shared" si="39"/>
        <v>-8.2565520475957596E-2</v>
      </c>
      <c r="O113" s="574">
        <f t="shared" si="40"/>
        <v>108467.88447556968</v>
      </c>
      <c r="P113" s="577">
        <f t="shared" si="41"/>
        <v>1.5707871074761568</v>
      </c>
      <c r="Q113" s="586">
        <f t="shared" si="42"/>
        <v>20.272017997337812</v>
      </c>
      <c r="R113" s="587">
        <f t="shared" si="43"/>
        <v>1.5214472188492054</v>
      </c>
      <c r="S113" s="574">
        <f t="shared" si="44"/>
        <v>1.0064075614884571</v>
      </c>
      <c r="T113" s="577">
        <f t="shared" si="45"/>
        <v>0.11290290951966585</v>
      </c>
      <c r="U113" s="578">
        <f t="shared" si="57"/>
        <v>0.97480220469247747</v>
      </c>
      <c r="V113" s="579">
        <f t="shared" si="58"/>
        <v>-0.27570169371905695</v>
      </c>
      <c r="W113" s="580">
        <f t="shared" si="46"/>
        <v>-1.5220809898947809</v>
      </c>
      <c r="X113" s="581">
        <f t="shared" si="47"/>
        <v>-117.99578866904154</v>
      </c>
      <c r="Y113" s="584">
        <f t="shared" si="48"/>
        <v>62.004211330958455</v>
      </c>
      <c r="AA113" s="147">
        <f t="shared" si="49"/>
        <v>5754.4</v>
      </c>
      <c r="AB113" s="147">
        <f t="shared" si="50"/>
        <v>33113119.359999996</v>
      </c>
      <c r="AD113" s="583">
        <f t="shared" si="51"/>
        <v>30.481888543901832</v>
      </c>
      <c r="AE113" s="584">
        <f t="shared" si="52"/>
        <v>-9.2958276008161338</v>
      </c>
      <c r="AG113" s="583">
        <f t="shared" si="53"/>
        <v>23.5416156841146</v>
      </c>
      <c r="AH113" s="584">
        <f t="shared" si="54"/>
        <v>-77.106874122704156</v>
      </c>
      <c r="AJ113" s="147">
        <f t="shared" si="55"/>
        <v>0</v>
      </c>
      <c r="AK113" s="147">
        <f t="shared" si="65"/>
        <v>0</v>
      </c>
      <c r="AM113" s="147" t="str">
        <f t="shared" si="59"/>
        <v>0.078465268485802+0.388295942050719i</v>
      </c>
      <c r="AN113" s="147" t="str">
        <f t="shared" si="60"/>
        <v>0.398781718525052i</v>
      </c>
      <c r="AO113" s="147" t="str">
        <f t="shared" si="61"/>
        <v>0.973705473477781-0.196762451338081i</v>
      </c>
      <c r="AP113" s="147" t="str">
        <f t="shared" si="62"/>
        <v>0.153589121919033-0.0647159903417865i</v>
      </c>
      <c r="AQ113" s="147" t="str">
        <f t="shared" si="63"/>
        <v>0.846410878080967+0.0647159903417865i</v>
      </c>
      <c r="AR113" s="147" t="str">
        <f t="shared" si="64"/>
        <v>0.978435633432471-0.0748105118247528i</v>
      </c>
    </row>
    <row r="114" spans="7:44">
      <c r="G114" s="585">
        <v>5821.4</v>
      </c>
      <c r="H114" s="573">
        <f t="shared" si="56"/>
        <v>5.8213999999999997</v>
      </c>
      <c r="I114" s="574">
        <f t="shared" si="34"/>
        <v>50.685586769336794</v>
      </c>
      <c r="J114" s="575">
        <f t="shared" si="35"/>
        <v>1.5510655719497501</v>
      </c>
      <c r="K114" s="575">
        <f t="shared" si="36"/>
        <v>1.0000728444863376</v>
      </c>
      <c r="L114" s="576">
        <f t="shared" si="37"/>
        <v>1.2069802374508991E-2</v>
      </c>
      <c r="M114" s="575">
        <f t="shared" si="38"/>
        <v>1.0034981640612091</v>
      </c>
      <c r="N114" s="576">
        <f t="shared" si="39"/>
        <v>-8.3522413557435449E-2</v>
      </c>
      <c r="O114" s="574">
        <f t="shared" si="40"/>
        <v>109730.80472081661</v>
      </c>
      <c r="P114" s="577">
        <f t="shared" si="41"/>
        <v>1.5707872135836833</v>
      </c>
      <c r="Q114" s="586">
        <f t="shared" si="42"/>
        <v>20.507479406178227</v>
      </c>
      <c r="R114" s="587">
        <f t="shared" si="43"/>
        <v>1.5220142846466804</v>
      </c>
      <c r="S114" s="574">
        <f t="shared" si="44"/>
        <v>1.0065571511223859</v>
      </c>
      <c r="T114" s="577">
        <f t="shared" si="45"/>
        <v>0.11420613186460207</v>
      </c>
      <c r="U114" s="578">
        <f t="shared" si="57"/>
        <v>0.97424211997571863</v>
      </c>
      <c r="V114" s="579">
        <f t="shared" si="58"/>
        <v>-0.27883259856163423</v>
      </c>
      <c r="W114" s="580">
        <f t="shared" si="46"/>
        <v>-1.6284078288069543</v>
      </c>
      <c r="X114" s="581">
        <f t="shared" si="47"/>
        <v>-118.27738763307357</v>
      </c>
      <c r="Y114" s="584">
        <f t="shared" si="48"/>
        <v>61.722612366926427</v>
      </c>
      <c r="AA114" s="147">
        <f t="shared" si="49"/>
        <v>5821.4</v>
      </c>
      <c r="AB114" s="147">
        <f t="shared" si="50"/>
        <v>33888697.959999993</v>
      </c>
      <c r="AD114" s="583">
        <f t="shared" si="51"/>
        <v>30.480355728066037</v>
      </c>
      <c r="AE114" s="584">
        <f t="shared" si="52"/>
        <v>-9.3380123436082361</v>
      </c>
      <c r="AG114" s="583">
        <f t="shared" si="53"/>
        <v>23.44680570113433</v>
      </c>
      <c r="AH114" s="584">
        <f t="shared" si="54"/>
        <v>-76.98751307646063</v>
      </c>
      <c r="AJ114" s="147">
        <f t="shared" si="55"/>
        <v>0</v>
      </c>
      <c r="AK114" s="147">
        <f t="shared" si="65"/>
        <v>0</v>
      </c>
      <c r="AM114" s="147" t="str">
        <f t="shared" si="59"/>
        <v>0.080278100496141+0.392570538340581i</v>
      </c>
      <c r="AN114" s="147" t="str">
        <f t="shared" si="60"/>
        <v>0.403424839465754i</v>
      </c>
      <c r="AO114" s="147" t="str">
        <f t="shared" si="61"/>
        <v>0.973094613758669-0.198991466669359i</v>
      </c>
      <c r="AP114" s="147" t="str">
        <f t="shared" si="62"/>
        <v>0.153286983250643-0.0654284230567635i</v>
      </c>
      <c r="AQ114" s="147" t="str">
        <f t="shared" si="63"/>
        <v>0.846713016749357+0.0654284230567635i</v>
      </c>
      <c r="AR114" s="147" t="str">
        <f t="shared" si="64"/>
        <v>0.977964802631659-0.0755706993697366i</v>
      </c>
    </row>
    <row r="115" spans="7:44">
      <c r="G115" s="585">
        <v>5888.4</v>
      </c>
      <c r="H115" s="573">
        <f t="shared" si="56"/>
        <v>5.8883999999999999</v>
      </c>
      <c r="I115" s="574">
        <f t="shared" si="34"/>
        <v>51.268714531764225</v>
      </c>
      <c r="J115" s="575">
        <f t="shared" si="35"/>
        <v>1.5512900171874124</v>
      </c>
      <c r="K115" s="575">
        <f t="shared" si="36"/>
        <v>1.0000745308448107</v>
      </c>
      <c r="L115" s="576">
        <f t="shared" si="37"/>
        <v>1.2208703130639653E-2</v>
      </c>
      <c r="M115" s="575">
        <f t="shared" si="38"/>
        <v>1.0035790055771308</v>
      </c>
      <c r="N115" s="576">
        <f t="shared" si="39"/>
        <v>-8.4479153353200484E-2</v>
      </c>
      <c r="O115" s="574">
        <f t="shared" si="40"/>
        <v>110993.72496606476</v>
      </c>
      <c r="P115" s="577">
        <f t="shared" si="41"/>
        <v>1.570787317276563</v>
      </c>
      <c r="Q115" s="586">
        <f t="shared" si="42"/>
        <v>20.742947259764076</v>
      </c>
      <c r="R115" s="587">
        <f t="shared" si="43"/>
        <v>1.5225684762897711</v>
      </c>
      <c r="S115" s="574">
        <f t="shared" si="44"/>
        <v>1.0067084497716454</v>
      </c>
      <c r="T115" s="577">
        <f t="shared" si="45"/>
        <v>0.115508964698001</v>
      </c>
      <c r="U115" s="578">
        <f t="shared" si="57"/>
        <v>0.97367647748983743</v>
      </c>
      <c r="V115" s="579">
        <f t="shared" si="58"/>
        <v>-0.28196086687039207</v>
      </c>
      <c r="W115" s="580">
        <f t="shared" si="46"/>
        <v>-1.7336361191419682</v>
      </c>
      <c r="X115" s="581">
        <f t="shared" si="47"/>
        <v>-118.55924261655264</v>
      </c>
      <c r="Y115" s="584">
        <f t="shared" si="48"/>
        <v>61.440757383447362</v>
      </c>
      <c r="AA115" s="147">
        <f t="shared" si="49"/>
        <v>5888.4</v>
      </c>
      <c r="AB115" s="147">
        <f t="shared" si="50"/>
        <v>34673254.559999995</v>
      </c>
      <c r="AD115" s="583">
        <f t="shared" si="51"/>
        <v>30.478816554851569</v>
      </c>
      <c r="AE115" s="584">
        <f t="shared" si="52"/>
        <v>-9.3809122653959314</v>
      </c>
      <c r="AG115" s="583">
        <f t="shared" si="53"/>
        <v>23.353205523770196</v>
      </c>
      <c r="AH115" s="584">
        <f t="shared" si="54"/>
        <v>-76.867994995189648</v>
      </c>
      <c r="AJ115" s="147">
        <f t="shared" si="55"/>
        <v>0</v>
      </c>
      <c r="AK115" s="147">
        <f t="shared" si="65"/>
        <v>0</v>
      </c>
      <c r="AM115" s="147" t="str">
        <f t="shared" si="59"/>
        <v>0.0821107603617131+0.396836671385406i</v>
      </c>
      <c r="AN115" s="147" t="str">
        <f t="shared" si="60"/>
        <v>0.408067960406457i</v>
      </c>
      <c r="AO115" s="147" t="str">
        <f t="shared" si="61"/>
        <v>0.972476915340611-0.201218346767353i</v>
      </c>
      <c r="AP115" s="147" t="str">
        <f t="shared" si="62"/>
        <v>0.152981539939715-0.066139445230901i</v>
      </c>
      <c r="AQ115" s="147" t="str">
        <f t="shared" si="63"/>
        <v>0.847018460060285+0.066139445230901i</v>
      </c>
      <c r="AR115" s="147" t="str">
        <f t="shared" si="64"/>
        <v>0.977489623423519-0.0763272873741057i</v>
      </c>
    </row>
    <row r="116" spans="7:44">
      <c r="G116" s="585">
        <v>5957</v>
      </c>
      <c r="H116" s="573">
        <f t="shared" si="56"/>
        <v>5.9569999999999999</v>
      </c>
      <c r="I116" s="574">
        <f t="shared" si="34"/>
        <v>51.8657703483509</v>
      </c>
      <c r="J116" s="575">
        <f t="shared" si="35"/>
        <v>1.5515145931933432</v>
      </c>
      <c r="K116" s="575">
        <f t="shared" si="36"/>
        <v>1.0000762774659813</v>
      </c>
      <c r="L116" s="576">
        <f t="shared" si="37"/>
        <v>1.2350920431581107E-2</v>
      </c>
      <c r="M116" s="575">
        <f t="shared" si="38"/>
        <v>1.0036627292761011</v>
      </c>
      <c r="N116" s="576">
        <f t="shared" si="39"/>
        <v>-8.5458580055949057E-2</v>
      </c>
      <c r="O116" s="574">
        <f t="shared" si="40"/>
        <v>112286.8045007529</v>
      </c>
      <c r="P116" s="577">
        <f t="shared" si="41"/>
        <v>1.5707874210289479</v>
      </c>
      <c r="Q116" s="586">
        <f t="shared" si="42"/>
        <v>20.984044677133355</v>
      </c>
      <c r="R116" s="587">
        <f t="shared" si="43"/>
        <v>1.523123015637776</v>
      </c>
      <c r="S116" s="574">
        <f t="shared" si="44"/>
        <v>1.0068651314394268</v>
      </c>
      <c r="T116" s="577">
        <f t="shared" si="45"/>
        <v>0.11684250194754346</v>
      </c>
      <c r="U116" s="578">
        <f t="shared" si="57"/>
        <v>0.97309159930972611</v>
      </c>
      <c r="V116" s="579">
        <f t="shared" si="58"/>
        <v>-0.28516108315333477</v>
      </c>
      <c r="W116" s="580">
        <f t="shared" si="46"/>
        <v>-1.8402664276828407</v>
      </c>
      <c r="X116" s="581">
        <f t="shared" si="47"/>
        <v>-118.84807656261771</v>
      </c>
      <c r="Y116" s="584">
        <f t="shared" si="48"/>
        <v>61.151923437382294</v>
      </c>
      <c r="AA116" s="147">
        <f t="shared" si="49"/>
        <v>5957</v>
      </c>
      <c r="AB116" s="147">
        <f t="shared" si="50"/>
        <v>35485849</v>
      </c>
      <c r="AD116" s="583">
        <f t="shared" si="51"/>
        <v>30.477233670006378</v>
      </c>
      <c r="AE116" s="584">
        <f t="shared" si="52"/>
        <v>-9.4255515020283589</v>
      </c>
      <c r="AG116" s="583">
        <f t="shared" si="53"/>
        <v>23.258596297695597</v>
      </c>
      <c r="AH116" s="584">
        <f t="shared" si="54"/>
        <v>-76.745471931119951</v>
      </c>
      <c r="AJ116" s="147">
        <f t="shared" si="55"/>
        <v>0</v>
      </c>
      <c r="AK116" s="147">
        <f t="shared" si="65"/>
        <v>0</v>
      </c>
      <c r="AM116" s="147" t="str">
        <f t="shared" si="59"/>
        <v>0.084007687735+0.401195817365309i</v>
      </c>
      <c r="AN116" s="147" t="str">
        <f t="shared" si="60"/>
        <v>0.412821961847236i</v>
      </c>
      <c r="AO116" s="147" t="str">
        <f t="shared" si="61"/>
        <v>0.971837388616865-0.203496169048504i</v>
      </c>
      <c r="AP116" s="147" t="str">
        <f t="shared" si="62"/>
        <v>0.1526653853775-0.0668659695608848i</v>
      </c>
      <c r="AQ116" s="147" t="str">
        <f t="shared" si="63"/>
        <v>0.8473346146225+0.0668659695608848i</v>
      </c>
      <c r="AR116" s="147" t="str">
        <f t="shared" si="64"/>
        <v>0.976998627054024-0.0770981845073391i</v>
      </c>
    </row>
    <row r="117" spans="7:44">
      <c r="G117" s="585">
        <v>6025.6</v>
      </c>
      <c r="H117" s="573">
        <f t="shared" si="56"/>
        <v>6.0256000000000007</v>
      </c>
      <c r="I117" s="574">
        <f t="shared" si="34"/>
        <v>52.462828721216717</v>
      </c>
      <c r="J117" s="575">
        <f t="shared" si="35"/>
        <v>1.5517340575915666</v>
      </c>
      <c r="K117" s="575">
        <f t="shared" si="36"/>
        <v>1.0000780443143844</v>
      </c>
      <c r="L117" s="576">
        <f t="shared" si="37"/>
        <v>1.2493137232885391E-2</v>
      </c>
      <c r="M117" s="575">
        <f t="shared" si="38"/>
        <v>1.0037474156041544</v>
      </c>
      <c r="N117" s="576">
        <f t="shared" si="39"/>
        <v>-8.6437842429178444E-2</v>
      </c>
      <c r="O117" s="574">
        <f t="shared" si="40"/>
        <v>113579.8840354422</v>
      </c>
      <c r="P117" s="577">
        <f t="shared" si="41"/>
        <v>1.5707875224189414</v>
      </c>
      <c r="Q117" s="586">
        <f t="shared" si="42"/>
        <v>21.22514840078944</v>
      </c>
      <c r="R117" s="587">
        <f t="shared" si="43"/>
        <v>1.5236649567448741</v>
      </c>
      <c r="S117" s="574">
        <f t="shared" si="44"/>
        <v>1.0070236030781852</v>
      </c>
      <c r="T117" s="577">
        <f t="shared" si="45"/>
        <v>0.11817562185937773</v>
      </c>
      <c r="U117" s="578">
        <f t="shared" si="57"/>
        <v>0.97250095717135132</v>
      </c>
      <c r="V117" s="579">
        <f t="shared" si="58"/>
        <v>-0.28835848446095441</v>
      </c>
      <c r="W117" s="580">
        <f t="shared" si="46"/>
        <v>-1.9457996284115167</v>
      </c>
      <c r="X117" s="581">
        <f t="shared" si="47"/>
        <v>-119.13714474115751</v>
      </c>
      <c r="Y117" s="584">
        <f t="shared" si="48"/>
        <v>60.862855258842487</v>
      </c>
      <c r="AA117" s="147">
        <f t="shared" si="49"/>
        <v>6025.6</v>
      </c>
      <c r="AB117" s="147">
        <f t="shared" si="50"/>
        <v>36307855.360000007</v>
      </c>
      <c r="AD117" s="583">
        <f t="shared" si="51"/>
        <v>30.475643394112105</v>
      </c>
      <c r="AE117" s="584">
        <f t="shared" si="52"/>
        <v>-9.4708885176504616</v>
      </c>
      <c r="AG117" s="583">
        <f t="shared" si="53"/>
        <v>23.165200807512964</v>
      </c>
      <c r="AH117" s="584">
        <f t="shared" si="54"/>
        <v>-76.622807892946568</v>
      </c>
      <c r="AJ117" s="147">
        <f t="shared" si="55"/>
        <v>0</v>
      </c>
      <c r="AK117" s="147">
        <f t="shared" si="65"/>
        <v>0</v>
      </c>
      <c r="AM117" s="147" t="str">
        <f t="shared" si="59"/>
        <v>0.085925316980754+0.405545896124304i</v>
      </c>
      <c r="AN117" s="147" t="str">
        <f t="shared" si="60"/>
        <v>0.417575963288015i</v>
      </c>
      <c r="AO117" s="147" t="str">
        <f t="shared" si="61"/>
        <v>0.971190709663972-0.205771702720084i</v>
      </c>
      <c r="AP117" s="147" t="str">
        <f t="shared" si="62"/>
        <v>0.152345780503208-0.067590982687384i</v>
      </c>
      <c r="AQ117" s="147" t="str">
        <f t="shared" si="63"/>
        <v>0.847654219496792+0.067590982687384i</v>
      </c>
      <c r="AR117" s="147" t="str">
        <f t="shared" si="64"/>
        <v>0.976503145079439-0.0778652493612582i</v>
      </c>
    </row>
    <row r="118" spans="7:44">
      <c r="G118" s="585">
        <v>6095.8</v>
      </c>
      <c r="H118" s="573">
        <f t="shared" si="56"/>
        <v>6.0958000000000006</v>
      </c>
      <c r="I118" s="574">
        <f t="shared" si="34"/>
        <v>53.073815210199129</v>
      </c>
      <c r="J118" s="575">
        <f t="shared" si="35"/>
        <v>1.5519535288226176</v>
      </c>
      <c r="K118" s="575">
        <f t="shared" si="36"/>
        <v>1.0000798733123604</v>
      </c>
      <c r="L118" s="576">
        <f t="shared" si="37"/>
        <v>1.2638670520880345E-2</v>
      </c>
      <c r="M118" s="575">
        <f t="shared" si="38"/>
        <v>1.0038350734382344</v>
      </c>
      <c r="N118" s="576">
        <f t="shared" si="39"/>
        <v>-8.7439772701969676E-2</v>
      </c>
      <c r="O118" s="574">
        <f t="shared" si="40"/>
        <v>114903.12285957151</v>
      </c>
      <c r="P118" s="577">
        <f t="shared" si="41"/>
        <v>1.5707876238112428</v>
      </c>
      <c r="Q118" s="586">
        <f t="shared" si="42"/>
        <v>21.471881841903862</v>
      </c>
      <c r="R118" s="587">
        <f t="shared" si="43"/>
        <v>1.5242069378975303</v>
      </c>
      <c r="S118" s="574">
        <f t="shared" si="44"/>
        <v>1.0071876230476391</v>
      </c>
      <c r="T118" s="577">
        <f t="shared" si="45"/>
        <v>0.11953939815812667</v>
      </c>
      <c r="U118" s="578">
        <f t="shared" si="57"/>
        <v>0.97189060522067505</v>
      </c>
      <c r="V118" s="579">
        <f t="shared" si="58"/>
        <v>-0.29162751990577379</v>
      </c>
      <c r="W118" s="580">
        <f t="shared" si="46"/>
        <v>-2.0526857609658271</v>
      </c>
      <c r="X118" s="581">
        <f t="shared" si="47"/>
        <v>-119.43318058648934</v>
      </c>
      <c r="Y118" s="584">
        <f t="shared" si="48"/>
        <v>60.566819413510657</v>
      </c>
      <c r="AA118" s="147">
        <f t="shared" si="49"/>
        <v>6095.8</v>
      </c>
      <c r="AB118" s="147">
        <f t="shared" si="50"/>
        <v>37158777.640000001</v>
      </c>
      <c r="AD118" s="583">
        <f t="shared" si="51"/>
        <v>30.474008025417621</v>
      </c>
      <c r="AE118" s="584">
        <f t="shared" si="52"/>
        <v>-9.5179797205506809</v>
      </c>
      <c r="AG118" s="583">
        <f t="shared" si="53"/>
        <v>23.070856179969748</v>
      </c>
      <c r="AH118" s="584">
        <f t="shared" si="54"/>
        <v>-76.497148666816472</v>
      </c>
      <c r="AJ118" s="147">
        <f t="shared" si="55"/>
        <v>0</v>
      </c>
      <c r="AK118" s="147">
        <f t="shared" si="65"/>
        <v>0</v>
      </c>
      <c r="AM118" s="147" t="str">
        <f t="shared" si="59"/>
        <v>0.087909058821047+0.409987944968253i</v>
      </c>
      <c r="AN118" s="147" t="str">
        <f t="shared" si="60"/>
        <v>0.42244084522887i</v>
      </c>
      <c r="AO118" s="147" t="str">
        <f t="shared" si="61"/>
        <v>0.970521552540995-0.208097914332644i</v>
      </c>
      <c r="AP118" s="147" t="str">
        <f t="shared" si="62"/>
        <v>0.152015156863159-0.0683313241613755i</v>
      </c>
      <c r="AQ118" s="147" t="str">
        <f t="shared" si="63"/>
        <v>0.847984843136841+0.0683313241613755i</v>
      </c>
      <c r="AR118" s="147" t="str">
        <f t="shared" si="64"/>
        <v>0.975991501757807-0.0786462072112748i</v>
      </c>
    </row>
    <row r="119" spans="7:44">
      <c r="G119" s="585">
        <v>6166</v>
      </c>
      <c r="H119" s="573">
        <f t="shared" si="56"/>
        <v>6.1660000000000004</v>
      </c>
      <c r="I119" s="574">
        <f t="shared" si="34"/>
        <v>53.684804197431255</v>
      </c>
      <c r="J119" s="575">
        <f t="shared" si="35"/>
        <v>1.5521680044414046</v>
      </c>
      <c r="K119" s="575">
        <f t="shared" si="36"/>
        <v>1.0000817234918882</v>
      </c>
      <c r="L119" s="576">
        <f t="shared" si="37"/>
        <v>1.2784203273476251E-2</v>
      </c>
      <c r="M119" s="575">
        <f t="shared" si="38"/>
        <v>1.0039237388099116</v>
      </c>
      <c r="N119" s="576">
        <f t="shared" si="39"/>
        <v>-8.8441527001616824E-2</v>
      </c>
      <c r="O119" s="574">
        <f t="shared" si="40"/>
        <v>116226.36168370197</v>
      </c>
      <c r="P119" s="577">
        <f t="shared" si="41"/>
        <v>1.5707877228948388</v>
      </c>
      <c r="Q119" s="586">
        <f t="shared" si="42"/>
        <v>21.718621446938489</v>
      </c>
      <c r="R119" s="587">
        <f t="shared" si="43"/>
        <v>1.5247366045892379</v>
      </c>
      <c r="S119" s="574">
        <f t="shared" si="44"/>
        <v>1.0073535156589954</v>
      </c>
      <c r="T119" s="577">
        <f t="shared" si="45"/>
        <v>0.12090272781403356</v>
      </c>
      <c r="U119" s="578">
        <f t="shared" si="57"/>
        <v>0.97127428510781344</v>
      </c>
      <c r="V119" s="579">
        <f t="shared" si="58"/>
        <v>-0.29489355374898757</v>
      </c>
      <c r="W119" s="580">
        <f t="shared" si="46"/>
        <v>-2.1584775038307757</v>
      </c>
      <c r="X119" s="581">
        <f t="shared" si="47"/>
        <v>-119.72942801698689</v>
      </c>
      <c r="Y119" s="584">
        <f t="shared" si="48"/>
        <v>60.270571983013113</v>
      </c>
      <c r="AA119" s="147">
        <f t="shared" si="49"/>
        <v>6166</v>
      </c>
      <c r="AB119" s="147">
        <f t="shared" si="50"/>
        <v>38019556</v>
      </c>
      <c r="AD119" s="583">
        <f t="shared" si="51"/>
        <v>30.472364226671864</v>
      </c>
      <c r="AE119" s="584">
        <f t="shared" si="52"/>
        <v>-9.5657507670621147</v>
      </c>
      <c r="AG119" s="583">
        <f t="shared" si="53"/>
        <v>22.977727966987512</v>
      </c>
      <c r="AH119" s="584">
        <f t="shared" si="54"/>
        <v>-76.371365140448844</v>
      </c>
      <c r="AJ119" s="147">
        <f t="shared" si="55"/>
        <v>0</v>
      </c>
      <c r="AK119" s="147">
        <f t="shared" si="65"/>
        <v>0</v>
      </c>
      <c r="AM119" s="147" t="str">
        <f t="shared" si="59"/>
        <v>0.089914387144662+0.414420290615364i</v>
      </c>
      <c r="AN119" s="147" t="str">
        <f t="shared" si="60"/>
        <v>0.427305727169726i</v>
      </c>
      <c r="AO119" s="147" t="str">
        <f t="shared" si="61"/>
        <v>0.969844924289433-0.210421675693918i</v>
      </c>
      <c r="AP119" s="147" t="str">
        <f t="shared" si="62"/>
        <v>0.15168093547589-0.069070048435894i</v>
      </c>
      <c r="AQ119" s="147" t="str">
        <f t="shared" si="63"/>
        <v>0.84831906452411+0.069070048435894i</v>
      </c>
      <c r="AR119" s="147" t="str">
        <f t="shared" si="64"/>
        <v>0.975475240245268-0.0794230908031669i</v>
      </c>
    </row>
    <row r="120" spans="7:44">
      <c r="G120" s="585">
        <v>6237.8</v>
      </c>
      <c r="H120" s="573">
        <f t="shared" si="56"/>
        <v>6.2378</v>
      </c>
      <c r="I120" s="574">
        <f t="shared" si="34"/>
        <v>54.309721356011174</v>
      </c>
      <c r="J120" s="575">
        <f t="shared" si="35"/>
        <v>1.5523823764094486</v>
      </c>
      <c r="K120" s="575">
        <f t="shared" si="36"/>
        <v>1.0000836377518367</v>
      </c>
      <c r="L120" s="576">
        <f t="shared" si="37"/>
        <v>1.293305245162156E-2</v>
      </c>
      <c r="M120" s="575">
        <f t="shared" si="38"/>
        <v>1.0040154670115435</v>
      </c>
      <c r="N120" s="576">
        <f t="shared" si="39"/>
        <v>-8.946592922634887E-2</v>
      </c>
      <c r="O120" s="574">
        <f t="shared" si="40"/>
        <v>117579.75979727245</v>
      </c>
      <c r="P120" s="577">
        <f t="shared" si="41"/>
        <v>1.5707878219297589</v>
      </c>
      <c r="Q120" s="586">
        <f t="shared" si="42"/>
        <v>21.970990906475524</v>
      </c>
      <c r="R120" s="587">
        <f t="shared" si="43"/>
        <v>1.5252660369207516</v>
      </c>
      <c r="S120" s="574">
        <f t="shared" si="44"/>
        <v>1.0075251254845676</v>
      </c>
      <c r="T120" s="577">
        <f t="shared" si="45"/>
        <v>0.12229666343080926</v>
      </c>
      <c r="U120" s="578">
        <f t="shared" si="57"/>
        <v>0.97063778014981783</v>
      </c>
      <c r="V120" s="579">
        <f t="shared" si="58"/>
        <v>-0.29823089412173481</v>
      </c>
      <c r="W120" s="580">
        <f t="shared" si="46"/>
        <v>-2.2655756146554693</v>
      </c>
      <c r="X120" s="581">
        <f t="shared" si="47"/>
        <v>-120.03262970271811</v>
      </c>
      <c r="Y120" s="584">
        <f t="shared" si="48"/>
        <v>59.967370297281889</v>
      </c>
      <c r="AA120" s="147">
        <f t="shared" si="49"/>
        <v>6237.8</v>
      </c>
      <c r="AB120" s="147">
        <f t="shared" si="50"/>
        <v>38910148.840000004</v>
      </c>
      <c r="AD120" s="583">
        <f t="shared" si="51"/>
        <v>30.470673909878148</v>
      </c>
      <c r="AE120" s="584">
        <f t="shared" si="52"/>
        <v>-9.6152888310223776</v>
      </c>
      <c r="AG120" s="583">
        <f t="shared" si="53"/>
        <v>22.883708148995474</v>
      </c>
      <c r="AH120" s="584">
        <f t="shared" si="54"/>
        <v>-76.242597725468755</v>
      </c>
      <c r="AJ120" s="147">
        <f t="shared" si="55"/>
        <v>0</v>
      </c>
      <c r="AK120" s="147">
        <f t="shared" si="65"/>
        <v>0</v>
      </c>
      <c r="AM120" s="147" t="str">
        <f t="shared" si="59"/>
        <v>0.091987701575636+0.418943511598048i</v>
      </c>
      <c r="AN120" s="147" t="str">
        <f t="shared" si="60"/>
        <v>0.432281489610658i</v>
      </c>
      <c r="AO120" s="147" t="str">
        <f t="shared" si="61"/>
        <v>0.969145155799701-0.212795837403277i</v>
      </c>
      <c r="AP120" s="147" t="str">
        <f t="shared" si="62"/>
        <v>0.151335383070727-0.0698239185996747i</v>
      </c>
      <c r="AQ120" s="147" t="str">
        <f t="shared" si="63"/>
        <v>0.848664616929273+0.0698239185996747i</v>
      </c>
      <c r="AR120" s="147" t="str">
        <f t="shared" si="64"/>
        <v>0.974942476844574-0.0802134350656379i</v>
      </c>
    </row>
    <row r="121" spans="7:44">
      <c r="G121" s="585">
        <v>6309.6</v>
      </c>
      <c r="H121" s="573">
        <f t="shared" si="56"/>
        <v>6.3096000000000005</v>
      </c>
      <c r="I121" s="574">
        <f t="shared" si="34"/>
        <v>54.934640953629582</v>
      </c>
      <c r="J121" s="575">
        <f t="shared" si="35"/>
        <v>1.552591871127647</v>
      </c>
      <c r="K121" s="575">
        <f t="shared" si="36"/>
        <v>1.0000855741696311</v>
      </c>
      <c r="L121" s="576">
        <f t="shared" si="37"/>
        <v>1.308190105664569E-2</v>
      </c>
      <c r="M121" s="575">
        <f t="shared" si="38"/>
        <v>1.004108248633778</v>
      </c>
      <c r="N121" s="576">
        <f t="shared" si="39"/>
        <v>-9.0490143212073396E-2</v>
      </c>
      <c r="O121" s="574">
        <f t="shared" si="40"/>
        <v>118933.15791084406</v>
      </c>
      <c r="P121" s="577">
        <f t="shared" si="41"/>
        <v>1.5707879187107461</v>
      </c>
      <c r="Q121" s="586">
        <f t="shared" si="42"/>
        <v>22.223366384578476</v>
      </c>
      <c r="R121" s="587">
        <f t="shared" si="43"/>
        <v>1.5257834445972849</v>
      </c>
      <c r="S121" s="574">
        <f t="shared" si="44"/>
        <v>1.0076986923193889</v>
      </c>
      <c r="T121" s="577">
        <f t="shared" si="45"/>
        <v>0.12369012156919172</v>
      </c>
      <c r="U121" s="578">
        <f t="shared" si="57"/>
        <v>0.96999510537392131</v>
      </c>
      <c r="V121" s="579">
        <f t="shared" si="58"/>
        <v>-0.30156503794164974</v>
      </c>
      <c r="W121" s="580">
        <f t="shared" si="46"/>
        <v>-2.3715832420732283</v>
      </c>
      <c r="X121" s="581">
        <f t="shared" si="47"/>
        <v>-120.3360195165111</v>
      </c>
      <c r="Y121" s="584">
        <f t="shared" si="48"/>
        <v>59.663980483488899</v>
      </c>
      <c r="AA121" s="147">
        <f t="shared" si="49"/>
        <v>6309.6</v>
      </c>
      <c r="AB121" s="147">
        <f t="shared" si="50"/>
        <v>39811052.160000004</v>
      </c>
      <c r="AD121" s="583">
        <f t="shared" si="51"/>
        <v>30.468974120166909</v>
      </c>
      <c r="AE121" s="584">
        <f t="shared" si="52"/>
        <v>-9.6654883703262779</v>
      </c>
      <c r="AG121" s="583">
        <f t="shared" si="53"/>
        <v>22.790906253339745</v>
      </c>
      <c r="AH121" s="584">
        <f t="shared" si="54"/>
        <v>-76.113723261179786</v>
      </c>
      <c r="AJ121" s="147">
        <f t="shared" si="55"/>
        <v>0</v>
      </c>
      <c r="AK121" s="147">
        <f t="shared" si="65"/>
        <v>0</v>
      </c>
      <c r="AM121" s="147" t="str">
        <f t="shared" si="59"/>
        <v>0.094083496721092+0.423456360309911i</v>
      </c>
      <c r="AN121" s="147" t="str">
        <f t="shared" si="60"/>
        <v>0.43725725205159i</v>
      </c>
      <c r="AO121" s="147" t="str">
        <f t="shared" si="61"/>
        <v>0.968437592110992-0.215167378653314i</v>
      </c>
      <c r="AP121" s="147" t="str">
        <f t="shared" si="62"/>
        <v>0.150986083879818-0.0705760600516518i</v>
      </c>
      <c r="AQ121" s="147" t="str">
        <f t="shared" si="63"/>
        <v>0.849013916120182+0.0705760600516518i</v>
      </c>
      <c r="AR121" s="147" t="str">
        <f t="shared" si="64"/>
        <v>0.974404967895514-0.0809994538641779i</v>
      </c>
    </row>
    <row r="122" spans="7:44">
      <c r="G122" s="585">
        <v>6383.05</v>
      </c>
      <c r="H122" s="573">
        <f t="shared" si="56"/>
        <v>6.3830499999999999</v>
      </c>
      <c r="I122" s="574">
        <f t="shared" si="34"/>
        <v>55.573923954899549</v>
      </c>
      <c r="J122" s="575">
        <f t="shared" si="35"/>
        <v>1.5528013050112013</v>
      </c>
      <c r="K122" s="575">
        <f t="shared" si="36"/>
        <v>1.0000875780146372</v>
      </c>
      <c r="L122" s="576">
        <f t="shared" si="37"/>
        <v>1.3234169677342819E-2</v>
      </c>
      <c r="M122" s="575">
        <f t="shared" si="38"/>
        <v>1.0042042521307091</v>
      </c>
      <c r="N122" s="576">
        <f t="shared" si="39"/>
        <v>-9.1537697185498881E-2</v>
      </c>
      <c r="O122" s="574">
        <f t="shared" si="40"/>
        <v>120317.65779165068</v>
      </c>
      <c r="P122" s="577">
        <f t="shared" si="41"/>
        <v>1.5707880154628913</v>
      </c>
      <c r="Q122" s="586">
        <f t="shared" si="42"/>
        <v>22.48154759398868</v>
      </c>
      <c r="R122" s="587">
        <f t="shared" si="43"/>
        <v>1.5263007221874056</v>
      </c>
      <c r="S122" s="574">
        <f t="shared" si="44"/>
        <v>1.0078782717384296</v>
      </c>
      <c r="T122" s="577">
        <f t="shared" si="45"/>
        <v>0.12511510262721007</v>
      </c>
      <c r="U122" s="578">
        <f t="shared" si="57"/>
        <v>0.96933131659300054</v>
      </c>
      <c r="V122" s="579">
        <f t="shared" si="58"/>
        <v>-0.30497246505508996</v>
      </c>
      <c r="W122" s="580">
        <f t="shared" si="46"/>
        <v>-2.4789258025759238</v>
      </c>
      <c r="X122" s="581">
        <f t="shared" si="47"/>
        <v>-120.64655958049993</v>
      </c>
      <c r="Y122" s="584">
        <f t="shared" si="48"/>
        <v>59.353440419500075</v>
      </c>
      <c r="AA122" s="147">
        <f t="shared" si="49"/>
        <v>6383.05</v>
      </c>
      <c r="AB122" s="147">
        <f t="shared" si="50"/>
        <v>40743327.302500002</v>
      </c>
      <c r="AD122" s="583">
        <f t="shared" si="51"/>
        <v>30.467225151898258</v>
      </c>
      <c r="AE122" s="584">
        <f t="shared" si="52"/>
        <v>-9.7175014916352165</v>
      </c>
      <c r="AG122" s="583">
        <f t="shared" si="53"/>
        <v>22.697204617516775</v>
      </c>
      <c r="AH122" s="584">
        <f t="shared" si="54"/>
        <v>-75.981787818216375</v>
      </c>
      <c r="AJ122" s="147">
        <f t="shared" si="55"/>
        <v>0</v>
      </c>
      <c r="AK122" s="147">
        <f t="shared" si="65"/>
        <v>0</v>
      </c>
      <c r="AM122" s="147" t="str">
        <f t="shared" si="59"/>
        <v>0.096250661762537+0.428062067503473i</v>
      </c>
      <c r="AN122" s="147" t="str">
        <f t="shared" si="60"/>
        <v>0.442347360008225i</v>
      </c>
      <c r="AO122" s="147" t="str">
        <f t="shared" si="61"/>
        <v>0.967705713210346-0.21759067751811i</v>
      </c>
      <c r="AP122" s="147" t="str">
        <f t="shared" si="62"/>
        <v>0.150624889706244-0.0713436779172455i</v>
      </c>
      <c r="AQ122" s="147" t="str">
        <f t="shared" si="63"/>
        <v>0.849375110293756+0.0713436779172455i</v>
      </c>
      <c r="AR122" s="147" t="str">
        <f t="shared" si="64"/>
        <v>0.973850241789252-0.081799027482469i</v>
      </c>
    </row>
    <row r="123" spans="7:44">
      <c r="G123" s="585">
        <v>6456.5</v>
      </c>
      <c r="H123" s="573">
        <f t="shared" si="56"/>
        <v>6.4565000000000001</v>
      </c>
      <c r="I123" s="574">
        <f t="shared" si="34"/>
        <v>56.213209338340178</v>
      </c>
      <c r="J123" s="575">
        <f t="shared" si="35"/>
        <v>1.5530059753249625</v>
      </c>
      <c r="K123" s="575">
        <f t="shared" si="36"/>
        <v>1.0000896050473136</v>
      </c>
      <c r="L123" s="576">
        <f t="shared" si="37"/>
        <v>1.338643768431875E-2</v>
      </c>
      <c r="M123" s="575">
        <f t="shared" si="38"/>
        <v>1.004301357399197</v>
      </c>
      <c r="N123" s="576">
        <f t="shared" si="39"/>
        <v>-9.2585049733399052E-2</v>
      </c>
      <c r="O123" s="574">
        <f t="shared" si="40"/>
        <v>121702.15767245842</v>
      </c>
      <c r="P123" s="577">
        <f t="shared" si="41"/>
        <v>1.570788110013706</v>
      </c>
      <c r="Q123" s="586">
        <f t="shared" si="42"/>
        <v>22.739734682325391</v>
      </c>
      <c r="R123" s="587">
        <f t="shared" si="43"/>
        <v>1.5268062535643265</v>
      </c>
      <c r="S123" s="574">
        <f t="shared" si="44"/>
        <v>1.0080598969942864</v>
      </c>
      <c r="T123" s="577">
        <f t="shared" si="45"/>
        <v>0.12653957309040215</v>
      </c>
      <c r="U123" s="578">
        <f t="shared" si="57"/>
        <v>0.96866115081270365</v>
      </c>
      <c r="V123" s="579">
        <f t="shared" si="58"/>
        <v>-0.30837648755939312</v>
      </c>
      <c r="W123" s="580">
        <f t="shared" si="46"/>
        <v>-2.5851814256695378</v>
      </c>
      <c r="X123" s="581">
        <f t="shared" si="47"/>
        <v>-120.95726376402719</v>
      </c>
      <c r="Y123" s="584">
        <f t="shared" si="48"/>
        <v>59.042736235972811</v>
      </c>
      <c r="AA123" s="147">
        <f t="shared" si="49"/>
        <v>6456.5</v>
      </c>
      <c r="AB123" s="147">
        <f t="shared" si="50"/>
        <v>41686392.25</v>
      </c>
      <c r="AD123" s="583">
        <f t="shared" si="51"/>
        <v>30.465465650710502</v>
      </c>
      <c r="AE123" s="584">
        <f t="shared" si="52"/>
        <v>-9.7701582403309661</v>
      </c>
      <c r="AG123" s="583">
        <f t="shared" si="53"/>
        <v>22.604722961790316</v>
      </c>
      <c r="AH123" s="584">
        <f t="shared" si="54"/>
        <v>-75.849763006873886</v>
      </c>
      <c r="AJ123" s="147">
        <f t="shared" si="55"/>
        <v>0</v>
      </c>
      <c r="AK123" s="147">
        <f t="shared" si="65"/>
        <v>0</v>
      </c>
      <c r="AM123" s="147" t="str">
        <f t="shared" si="59"/>
        <v>0.098441242174886+0.432656683975688i</v>
      </c>
      <c r="AN123" s="147" t="str">
        <f t="shared" si="60"/>
        <v>0.447437467964861i</v>
      </c>
      <c r="AO123" s="147" t="str">
        <f t="shared" si="61"/>
        <v>0.966965699013982-0.220011173008464i</v>
      </c>
      <c r="AP123" s="147" t="str">
        <f t="shared" si="62"/>
        <v>0.150259792970852-0.0721094473292813i</v>
      </c>
      <c r="AQ123" s="147" t="str">
        <f t="shared" si="63"/>
        <v>0.849740207029148+0.0721094473292813i</v>
      </c>
      <c r="AR123" s="147" t="str">
        <f t="shared" si="64"/>
        <v>0.97329064203216-0.0825940089772556i</v>
      </c>
    </row>
    <row r="124" spans="7:44">
      <c r="G124" s="585">
        <v>6531.7</v>
      </c>
      <c r="H124" s="573">
        <f t="shared" si="56"/>
        <v>6.5316999999999998</v>
      </c>
      <c r="I124" s="574">
        <f t="shared" si="34"/>
        <v>56.867728547953</v>
      </c>
      <c r="J124" s="575">
        <f t="shared" si="35"/>
        <v>1.5532107546355582</v>
      </c>
      <c r="K124" s="575">
        <f t="shared" si="36"/>
        <v>1.000091704398326</v>
      </c>
      <c r="L124" s="576">
        <f t="shared" si="37"/>
        <v>1.3542332944790854E-2</v>
      </c>
      <c r="M124" s="575">
        <f t="shared" si="38"/>
        <v>1.0044019173980938</v>
      </c>
      <c r="N124" s="576">
        <f t="shared" si="39"/>
        <v>-9.3657145202748357E-2</v>
      </c>
      <c r="O124" s="574">
        <f t="shared" si="40"/>
        <v>123119.6442760911</v>
      </c>
      <c r="P124" s="577">
        <f t="shared" si="41"/>
        <v>1.5707882046141846</v>
      </c>
      <c r="Q124" s="586">
        <f t="shared" si="42"/>
        <v>23.004079150974007</v>
      </c>
      <c r="R124" s="587">
        <f t="shared" si="43"/>
        <v>1.5273120729939715</v>
      </c>
      <c r="S124" s="574">
        <f t="shared" si="44"/>
        <v>1.0082479679829972</v>
      </c>
      <c r="T124" s="577">
        <f t="shared" si="45"/>
        <v>0.12799744787033332</v>
      </c>
      <c r="U124" s="578">
        <f t="shared" si="57"/>
        <v>0.96796845356245365</v>
      </c>
      <c r="V124" s="579">
        <f t="shared" si="58"/>
        <v>-0.31185805519285187</v>
      </c>
      <c r="W124" s="580">
        <f t="shared" si="46"/>
        <v>-2.6928697443692506</v>
      </c>
      <c r="X124" s="581">
        <f t="shared" si="47"/>
        <v>-121.27552446490621</v>
      </c>
      <c r="Y124" s="584">
        <f t="shared" si="48"/>
        <v>58.724475535093788</v>
      </c>
      <c r="AA124" s="147">
        <f t="shared" si="49"/>
        <v>6531.7</v>
      </c>
      <c r="AB124" s="147">
        <f t="shared" si="50"/>
        <v>42663104.890000001</v>
      </c>
      <c r="AD124" s="583">
        <f t="shared" si="51"/>
        <v>30.463653017604003</v>
      </c>
      <c r="AE124" s="584">
        <f t="shared" si="52"/>
        <v>-9.8247124140357123</v>
      </c>
      <c r="AG124" s="583">
        <f t="shared" si="53"/>
        <v>22.511274416856836</v>
      </c>
      <c r="AH124" s="584">
        <f t="shared" si="54"/>
        <v>-75.714511270619212</v>
      </c>
      <c r="AJ124" s="147">
        <f t="shared" si="55"/>
        <v>0</v>
      </c>
      <c r="AK124" s="147">
        <f t="shared" si="65"/>
        <v>0</v>
      </c>
      <c r="AM124" s="147" t="str">
        <f t="shared" si="59"/>
        <v>0.100708214346771+0.437349156003103i</v>
      </c>
      <c r="AN124" s="147" t="str">
        <f t="shared" si="60"/>
        <v>0.452648851468456i</v>
      </c>
      <c r="AO124" s="147" t="str">
        <f t="shared" si="61"/>
        <v>0.966199637057028-0.222486402031198i</v>
      </c>
      <c r="AP124" s="147" t="str">
        <f t="shared" si="62"/>
        <v>0.149881964275538-0.0728915260005172i</v>
      </c>
      <c r="AQ124" s="147" t="str">
        <f t="shared" si="63"/>
        <v>0.850118035724462+0.0728915260005172i</v>
      </c>
      <c r="AR124" s="147" t="str">
        <f t="shared" si="64"/>
        <v>0.972712709395122-0.0834031402327391i</v>
      </c>
    </row>
    <row r="125" spans="7:44">
      <c r="G125" s="585">
        <v>6606.9</v>
      </c>
      <c r="H125" s="573">
        <f t="shared" si="56"/>
        <v>6.6068999999999996</v>
      </c>
      <c r="I125" s="574">
        <f t="shared" si="34"/>
        <v>57.522250088019952</v>
      </c>
      <c r="J125" s="575">
        <f t="shared" si="35"/>
        <v>1.55341087375874</v>
      </c>
      <c r="K125" s="575">
        <f t="shared" si="36"/>
        <v>1.0000938280547969</v>
      </c>
      <c r="L125" s="576">
        <f t="shared" si="37"/>
        <v>1.3698227546977866E-2</v>
      </c>
      <c r="M125" s="575">
        <f t="shared" si="38"/>
        <v>1.0045036316132847</v>
      </c>
      <c r="N125" s="576">
        <f t="shared" si="39"/>
        <v>-9.4729024787013005E-2</v>
      </c>
      <c r="O125" s="574">
        <f t="shared" si="40"/>
        <v>124537.13087972488</v>
      </c>
      <c r="P125" s="577">
        <f t="shared" si="41"/>
        <v>1.5707882970611702</v>
      </c>
      <c r="Q125" s="586">
        <f t="shared" si="42"/>
        <v>23.268429371561151</v>
      </c>
      <c r="R125" s="587">
        <f t="shared" si="43"/>
        <v>1.5278063994232114</v>
      </c>
      <c r="S125" s="574">
        <f t="shared" si="44"/>
        <v>1.0084381810988468</v>
      </c>
      <c r="T125" s="577">
        <f t="shared" si="45"/>
        <v>0.12945477577366213</v>
      </c>
      <c r="U125" s="578">
        <f t="shared" si="57"/>
        <v>0.96726915827683102</v>
      </c>
      <c r="V125" s="579">
        <f t="shared" si="58"/>
        <v>-0.31533599149230163</v>
      </c>
      <c r="W125" s="580">
        <f t="shared" si="46"/>
        <v>-2.7994729517127466</v>
      </c>
      <c r="X125" s="581">
        <f t="shared" si="47"/>
        <v>-121.5939248083247</v>
      </c>
      <c r="Y125" s="584">
        <f t="shared" si="48"/>
        <v>58.406075191675299</v>
      </c>
      <c r="AA125" s="147">
        <f t="shared" si="49"/>
        <v>6606.9</v>
      </c>
      <c r="AB125" s="147">
        <f t="shared" si="50"/>
        <v>43651127.609999992</v>
      </c>
      <c r="AD125" s="583">
        <f t="shared" si="51"/>
        <v>30.461828756251847</v>
      </c>
      <c r="AE125" s="584">
        <f t="shared" si="52"/>
        <v>-9.8798936310510417</v>
      </c>
      <c r="AG125" s="583">
        <f t="shared" si="53"/>
        <v>22.419050005569755</v>
      </c>
      <c r="AH125" s="584">
        <f t="shared" si="54"/>
        <v>-75.579188253819339</v>
      </c>
      <c r="AJ125" s="147">
        <f t="shared" si="55"/>
        <v>0</v>
      </c>
      <c r="AK125" s="147">
        <f t="shared" si="65"/>
        <v>0</v>
      </c>
      <c r="AM125" s="147" t="str">
        <f t="shared" si="59"/>
        <v>0.102999609895547+0.442029750302464i</v>
      </c>
      <c r="AN125" s="147" t="str">
        <f t="shared" si="60"/>
        <v>0.45786023497205i</v>
      </c>
      <c r="AO125" s="147" t="str">
        <f t="shared" si="61"/>
        <v>0.96542507197518-0.224958627171094i</v>
      </c>
      <c r="AP125" s="147" t="str">
        <f t="shared" si="62"/>
        <v>0.149500065017409-0.0736716250504107i</v>
      </c>
      <c r="AQ125" s="147" t="str">
        <f t="shared" si="63"/>
        <v>0.850499934982591+0.0736716250504107i</v>
      </c>
      <c r="AR125" s="147" t="str">
        <f t="shared" si="64"/>
        <v>0.97212976829714-0.0842073900826289i</v>
      </c>
    </row>
    <row r="126" spans="7:44">
      <c r="G126" s="585">
        <v>6683.85</v>
      </c>
      <c r="H126" s="573">
        <f t="shared" si="56"/>
        <v>6.6838500000000005</v>
      </c>
      <c r="I126" s="574">
        <f t="shared" si="34"/>
        <v>58.192005510283906</v>
      </c>
      <c r="J126" s="575">
        <f t="shared" si="35"/>
        <v>1.5536109898132753</v>
      </c>
      <c r="K126" s="575">
        <f t="shared" si="36"/>
        <v>1.000096026291772</v>
      </c>
      <c r="L126" s="576">
        <f t="shared" si="37"/>
        <v>1.385774932622966E-2</v>
      </c>
      <c r="M126" s="575">
        <f t="shared" si="38"/>
        <v>1.004608907301312</v>
      </c>
      <c r="N126" s="576">
        <f t="shared" si="39"/>
        <v>-9.5825622397514174E-2</v>
      </c>
      <c r="O126" s="574">
        <f t="shared" si="40"/>
        <v>125987.60420618366</v>
      </c>
      <c r="P126" s="577">
        <f t="shared" si="41"/>
        <v>1.570788389506095</v>
      </c>
      <c r="Q126" s="586">
        <f t="shared" si="42"/>
        <v>23.538937111366362</v>
      </c>
      <c r="R126" s="587">
        <f t="shared" si="43"/>
        <v>1.5283007358555245</v>
      </c>
      <c r="S126" s="574">
        <f t="shared" si="44"/>
        <v>1.0086350369345884</v>
      </c>
      <c r="T126" s="577">
        <f t="shared" si="45"/>
        <v>0.1309454453103342</v>
      </c>
      <c r="U126" s="578">
        <f t="shared" si="57"/>
        <v>0.96654680537622084</v>
      </c>
      <c r="V126" s="579">
        <f t="shared" si="58"/>
        <v>-0.31889107221413782</v>
      </c>
      <c r="W126" s="580">
        <f t="shared" si="46"/>
        <v>-2.9074608185422419</v>
      </c>
      <c r="X126" s="581">
        <f t="shared" si="47"/>
        <v>-121.91986320401162</v>
      </c>
      <c r="Y126" s="584">
        <f t="shared" si="48"/>
        <v>58.080136795988381</v>
      </c>
      <c r="AA126" s="147">
        <f t="shared" si="49"/>
        <v>6683.85</v>
      </c>
      <c r="AB126" s="147">
        <f t="shared" si="50"/>
        <v>44673850.822500005</v>
      </c>
      <c r="AD126" s="583">
        <f t="shared" si="51"/>
        <v>30.459949722470018</v>
      </c>
      <c r="AE126" s="584">
        <f t="shared" si="52"/>
        <v>-9.9369846096892456</v>
      </c>
      <c r="AG126" s="583">
        <f t="shared" si="53"/>
        <v>22.325919197285934</v>
      </c>
      <c r="AH126" s="584">
        <f t="shared" si="54"/>
        <v>-75.440653428023495</v>
      </c>
      <c r="AJ126" s="147">
        <f t="shared" si="55"/>
        <v>0</v>
      </c>
      <c r="AK126" s="147">
        <f t="shared" si="65"/>
        <v>0</v>
      </c>
      <c r="AM126" s="147" t="str">
        <f t="shared" si="59"/>
        <v>0.105369546755198+0.446806839839096i</v>
      </c>
      <c r="AN126" s="147" t="str">
        <f t="shared" si="60"/>
        <v>0.463192894022603i</v>
      </c>
      <c r="AO126" s="147" t="str">
        <f t="shared" si="61"/>
        <v>0.964623692645191-0.227485240198992i</v>
      </c>
      <c r="AP126" s="147" t="str">
        <f t="shared" si="62"/>
        <v>0.1491050755408-0.0744678066398493i</v>
      </c>
      <c r="AQ126" s="147" t="str">
        <f t="shared" si="63"/>
        <v>0.8508949244592+0.0744678066398493i</v>
      </c>
      <c r="AR126" s="147" t="str">
        <f t="shared" si="64"/>
        <v>0.971528130002519-0.0850252679273926i</v>
      </c>
    </row>
    <row r="127" spans="7:44">
      <c r="G127" s="585">
        <v>6760.8</v>
      </c>
      <c r="H127" s="573">
        <f t="shared" si="56"/>
        <v>6.7608000000000006</v>
      </c>
      <c r="I127" s="574">
        <f t="shared" si="34"/>
        <v>58.86176320989793</v>
      </c>
      <c r="J127" s="575">
        <f t="shared" si="35"/>
        <v>1.5538065518403779</v>
      </c>
      <c r="K127" s="575">
        <f t="shared" si="36"/>
        <v>1.0000982499782765</v>
      </c>
      <c r="L127" s="576">
        <f t="shared" si="37"/>
        <v>1.4017270400157645E-2</v>
      </c>
      <c r="M127" s="575">
        <f t="shared" si="38"/>
        <v>1.004715390803977</v>
      </c>
      <c r="N127" s="576">
        <f t="shared" si="39"/>
        <v>-9.6921988883143836E-2</v>
      </c>
      <c r="O127" s="574">
        <f t="shared" si="40"/>
        <v>127438.07753264348</v>
      </c>
      <c r="P127" s="577">
        <f t="shared" si="41"/>
        <v>1.5707884798466425</v>
      </c>
      <c r="Q127" s="586">
        <f t="shared" si="42"/>
        <v>23.809450472640656</v>
      </c>
      <c r="R127" s="587">
        <f t="shared" si="43"/>
        <v>1.5287838395018367</v>
      </c>
      <c r="S127" s="574">
        <f t="shared" si="44"/>
        <v>1.0088341331762791</v>
      </c>
      <c r="T127" s="577">
        <f t="shared" si="45"/>
        <v>0.13243552978141682</v>
      </c>
      <c r="U127" s="578">
        <f t="shared" si="57"/>
        <v>0.96581763749032146</v>
      </c>
      <c r="V127" s="579">
        <f t="shared" si="58"/>
        <v>-0.32244228492822097</v>
      </c>
      <c r="W127" s="580">
        <f t="shared" si="46"/>
        <v>-3.0143666609198849</v>
      </c>
      <c r="X127" s="581">
        <f t="shared" si="47"/>
        <v>-122.24591579942911</v>
      </c>
      <c r="Y127" s="584">
        <f t="shared" si="48"/>
        <v>57.754084200570887</v>
      </c>
      <c r="AA127" s="147">
        <f t="shared" si="49"/>
        <v>6760.8</v>
      </c>
      <c r="AB127" s="147">
        <f t="shared" si="50"/>
        <v>45708416.640000001</v>
      </c>
      <c r="AD127" s="583">
        <f t="shared" si="51"/>
        <v>30.458057957294248</v>
      </c>
      <c r="AE127" s="584">
        <f t="shared" si="52"/>
        <v>-9.9946855371972116</v>
      </c>
      <c r="AG127" s="583">
        <f t="shared" si="53"/>
        <v>22.234015425665454</v>
      </c>
      <c r="AH127" s="584">
        <f t="shared" si="54"/>
        <v>-75.302066094127682</v>
      </c>
      <c r="AJ127" s="147">
        <f t="shared" si="55"/>
        <v>0</v>
      </c>
      <c r="AK127" s="147">
        <f t="shared" si="65"/>
        <v>0</v>
      </c>
      <c r="AM127" s="147" t="str">
        <f t="shared" si="59"/>
        <v>0.107764924386697+0.451571223446893i</v>
      </c>
      <c r="AN127" s="147" t="str">
        <f t="shared" si="60"/>
        <v>0.468525553073156i</v>
      </c>
      <c r="AO127" s="147" t="str">
        <f t="shared" si="61"/>
        <v>0.963813436609687-0.230008638119831i</v>
      </c>
      <c r="AP127" s="147" t="str">
        <f t="shared" si="62"/>
        <v>0.148705845935551-0.0752618705744822i</v>
      </c>
      <c r="AQ127" s="147" t="str">
        <f t="shared" si="63"/>
        <v>0.851294154064449+0.0752618705744822i</v>
      </c>
      <c r="AR127" s="147" t="str">
        <f t="shared" si="64"/>
        <v>0.970921355768286-0.0858379645472126i</v>
      </c>
    </row>
    <row r="128" spans="7:44">
      <c r="G128" s="585">
        <v>6839.55</v>
      </c>
      <c r="H128" s="573">
        <f t="shared" si="56"/>
        <v>6.83955</v>
      </c>
      <c r="I128" s="574">
        <f t="shared" si="34"/>
        <v>59.547190033985487</v>
      </c>
      <c r="J128" s="575">
        <f t="shared" si="35"/>
        <v>1.5540021336774186</v>
      </c>
      <c r="K128" s="575">
        <f t="shared" si="36"/>
        <v>1.0001005520301203</v>
      </c>
      <c r="L128" s="576">
        <f t="shared" si="37"/>
        <v>1.4180522222463729E-2</v>
      </c>
      <c r="M128" s="575">
        <f t="shared" si="38"/>
        <v>1.0048256152726638</v>
      </c>
      <c r="N128" s="576">
        <f t="shared" si="39"/>
        <v>-9.8043759397631922E-2</v>
      </c>
      <c r="O128" s="574">
        <f t="shared" si="40"/>
        <v>128922.48005972331</v>
      </c>
      <c r="P128" s="577">
        <f t="shared" si="41"/>
        <v>1.5707885701957407</v>
      </c>
      <c r="Q128" s="586">
        <f t="shared" si="42"/>
        <v>24.086297254460131</v>
      </c>
      <c r="R128" s="587">
        <f t="shared" si="43"/>
        <v>1.5292670084998994</v>
      </c>
      <c r="S128" s="574">
        <f t="shared" si="44"/>
        <v>1.0090402048857576</v>
      </c>
      <c r="T128" s="577">
        <f t="shared" si="45"/>
        <v>0.13395985773442032</v>
      </c>
      <c r="U128" s="578">
        <f t="shared" si="57"/>
        <v>0.96506440693136475</v>
      </c>
      <c r="V128" s="579">
        <f t="shared" si="58"/>
        <v>-0.32607252803909081</v>
      </c>
      <c r="W128" s="580">
        <f t="shared" si="46"/>
        <v>-3.1226800561685932</v>
      </c>
      <c r="X128" s="581">
        <f t="shared" si="47"/>
        <v>-122.57969768867044</v>
      </c>
      <c r="Y128" s="584">
        <f t="shared" si="48"/>
        <v>57.420302311329564</v>
      </c>
      <c r="AA128" s="147">
        <f t="shared" si="49"/>
        <v>6839.55</v>
      </c>
      <c r="AB128" s="147">
        <f t="shared" si="50"/>
        <v>46779444.202500001</v>
      </c>
      <c r="AD128" s="583">
        <f t="shared" si="51"/>
        <v>30.456108492076073</v>
      </c>
      <c r="AE128" s="584">
        <f t="shared" si="52"/>
        <v>-10.054344727807754</v>
      </c>
      <c r="AG128" s="583">
        <f t="shared" si="53"/>
        <v>22.141204841076991</v>
      </c>
      <c r="AH128" s="584">
        <f t="shared" si="54"/>
        <v>-75.160193574564559</v>
      </c>
      <c r="AJ128" s="147">
        <f t="shared" si="55"/>
        <v>0</v>
      </c>
      <c r="AK128" s="147">
        <f t="shared" si="65"/>
        <v>0</v>
      </c>
      <c r="AM128" s="147" t="str">
        <f t="shared" si="59"/>
        <v>0.110242603553455+0.456433758029208i</v>
      </c>
      <c r="AN128" s="147" t="str">
        <f t="shared" si="60"/>
        <v>0.473982952686295i</v>
      </c>
      <c r="AO128" s="147" t="str">
        <f t="shared" si="61"/>
        <v>0.962975050985216-0.23258769736054i</v>
      </c>
      <c r="AP128" s="147" t="str">
        <f t="shared" si="62"/>
        <v>0.148292899407758-0.076072293004868i</v>
      </c>
      <c r="AQ128" s="147" t="str">
        <f t="shared" si="63"/>
        <v>0.851707100592242+0.076072293004868i</v>
      </c>
      <c r="AR128" s="147" t="str">
        <f t="shared" si="64"/>
        <v>0.970295127963862-0.0866642713490783i</v>
      </c>
    </row>
    <row r="129" spans="7:44">
      <c r="G129" s="585">
        <v>6918.3</v>
      </c>
      <c r="H129" s="573">
        <f t="shared" si="56"/>
        <v>6.9183000000000003</v>
      </c>
      <c r="I129" s="574">
        <f t="shared" si="34"/>
        <v>60.232619084045773</v>
      </c>
      <c r="J129" s="575">
        <f t="shared" si="35"/>
        <v>1.5541932641969245</v>
      </c>
      <c r="K129" s="575">
        <f t="shared" si="36"/>
        <v>1.0001028807356784</v>
      </c>
      <c r="L129" s="576">
        <f t="shared" si="37"/>
        <v>1.4343773288867989E-2</v>
      </c>
      <c r="M129" s="575">
        <f t="shared" si="38"/>
        <v>1.0049371039045392</v>
      </c>
      <c r="N129" s="576">
        <f t="shared" si="39"/>
        <v>-9.9165282422677942E-2</v>
      </c>
      <c r="O129" s="574">
        <f t="shared" si="40"/>
        <v>130406.88258680417</v>
      </c>
      <c r="P129" s="577">
        <f t="shared" si="41"/>
        <v>1.5707886584879778</v>
      </c>
      <c r="Q129" s="586">
        <f t="shared" si="42"/>
        <v>24.363149531487725</v>
      </c>
      <c r="R129" s="587">
        <f t="shared" si="43"/>
        <v>1.5297391965597522</v>
      </c>
      <c r="S129" s="574">
        <f t="shared" si="44"/>
        <v>1.009248620215919</v>
      </c>
      <c r="T129" s="577">
        <f t="shared" si="45"/>
        <v>0.13548355966261971</v>
      </c>
      <c r="U129" s="578">
        <f t="shared" si="57"/>
        <v>0.96430414035452006</v>
      </c>
      <c r="V129" s="579">
        <f t="shared" si="58"/>
        <v>-0.32969865114912639</v>
      </c>
      <c r="W129" s="580">
        <f t="shared" si="46"/>
        <v>-3.2299143315154923</v>
      </c>
      <c r="X129" s="581">
        <f t="shared" si="47"/>
        <v>-122.91356751573983</v>
      </c>
      <c r="Y129" s="584">
        <f t="shared" si="48"/>
        <v>57.086432484260172</v>
      </c>
      <c r="AA129" s="147">
        <f t="shared" si="49"/>
        <v>6918.3</v>
      </c>
      <c r="AB129" s="147">
        <f t="shared" si="50"/>
        <v>47862874.890000001</v>
      </c>
      <c r="AD129" s="583">
        <f t="shared" si="51"/>
        <v>30.454145168135071</v>
      </c>
      <c r="AE129" s="584">
        <f t="shared" si="52"/>
        <v>-10.114597093404877</v>
      </c>
      <c r="AG129" s="583">
        <f t="shared" si="53"/>
        <v>22.049624569832872</v>
      </c>
      <c r="AH129" s="584">
        <f t="shared" si="54"/>
        <v>-75.018287935162263</v>
      </c>
      <c r="AJ129" s="147">
        <f t="shared" si="55"/>
        <v>0</v>
      </c>
      <c r="AK129" s="147">
        <f t="shared" si="65"/>
        <v>0</v>
      </c>
      <c r="AM129" s="147" t="str">
        <f t="shared" si="59"/>
        <v>0.112746782486307+0.46128269858255i</v>
      </c>
      <c r="AN129" s="147" t="str">
        <f t="shared" si="60"/>
        <v>0.479440352299434i</v>
      </c>
      <c r="AO129" s="147" t="str">
        <f t="shared" si="61"/>
        <v>0.962127397850852-0.235163314780586i</v>
      </c>
      <c r="AP129" s="147" t="str">
        <f t="shared" si="62"/>
        <v>0.147875536252282-0.0768804497637583i</v>
      </c>
      <c r="AQ129" s="147" t="str">
        <f t="shared" si="63"/>
        <v>0.852124463747718+0.0768804497637583i</v>
      </c>
      <c r="AR129" s="147" t="str">
        <f t="shared" si="64"/>
        <v>0.969663638209652-0.0874850796998021i</v>
      </c>
    </row>
    <row r="130" spans="7:44">
      <c r="G130" s="585">
        <v>6998.9</v>
      </c>
      <c r="H130" s="573">
        <f t="shared" si="56"/>
        <v>6.9988999999999999</v>
      </c>
      <c r="I130" s="574">
        <f t="shared" si="34"/>
        <v>60.934152503500734</v>
      </c>
      <c r="J130" s="575">
        <f t="shared" si="35"/>
        <v>1.5543844321178064</v>
      </c>
      <c r="K130" s="575">
        <f t="shared" si="36"/>
        <v>1.000105291747436</v>
      </c>
      <c r="L130" s="576">
        <f t="shared" si="37"/>
        <v>1.4510858667866796E-2</v>
      </c>
      <c r="M130" s="575">
        <f t="shared" si="38"/>
        <v>1.0050525202540814</v>
      </c>
      <c r="N130" s="576">
        <f t="shared" si="39"/>
        <v>-0.10031289320110758</v>
      </c>
      <c r="O130" s="574">
        <f t="shared" si="40"/>
        <v>131926.15679230003</v>
      </c>
      <c r="P130" s="577">
        <f t="shared" si="41"/>
        <v>1.5707887467969317</v>
      </c>
      <c r="Q130" s="586">
        <f t="shared" si="42"/>
        <v>24.646511136890425</v>
      </c>
      <c r="R130" s="587">
        <f t="shared" si="43"/>
        <v>1.5302114923462622</v>
      </c>
      <c r="S130" s="574">
        <f t="shared" si="44"/>
        <v>1.0094643569893325</v>
      </c>
      <c r="T130" s="577">
        <f t="shared" si="45"/>
        <v>0.13704240125917591</v>
      </c>
      <c r="U130" s="578">
        <f t="shared" si="57"/>
        <v>0.96351878165725513</v>
      </c>
      <c r="V130" s="579">
        <f t="shared" si="58"/>
        <v>-0.33340565728318344</v>
      </c>
      <c r="W130" s="580">
        <f t="shared" si="46"/>
        <v>-3.3385774099162195</v>
      </c>
      <c r="X130" s="581">
        <f t="shared" si="47"/>
        <v>-123.25535595327219</v>
      </c>
      <c r="Y130" s="584">
        <f t="shared" si="48"/>
        <v>56.744644046727814</v>
      </c>
      <c r="AA130" s="147">
        <f t="shared" si="49"/>
        <v>6998.9</v>
      </c>
      <c r="AB130" s="147">
        <f t="shared" si="50"/>
        <v>48984601.209999993</v>
      </c>
      <c r="AD130" s="583">
        <f t="shared" si="51"/>
        <v>30.452121119240772</v>
      </c>
      <c r="AE130" s="584">
        <f t="shared" si="52"/>
        <v>-10.176856642369655</v>
      </c>
      <c r="AG130" s="583">
        <f t="shared" si="53"/>
        <v>21.957139411556454</v>
      </c>
      <c r="AH130" s="584">
        <f t="shared" si="54"/>
        <v>-74.87302521102329</v>
      </c>
      <c r="AJ130" s="147">
        <f t="shared" si="55"/>
        <v>0</v>
      </c>
      <c r="AK130" s="147">
        <f t="shared" si="65"/>
        <v>0</v>
      </c>
      <c r="AM130" s="147" t="str">
        <f t="shared" si="59"/>
        <v>0.115337152788709+0.466231323233448i</v>
      </c>
      <c r="AN130" s="147" t="str">
        <f t="shared" si="60"/>
        <v>0.485025957490787i</v>
      </c>
      <c r="AO130" s="147" t="str">
        <f t="shared" si="61"/>
        <v>0.961250250698807-0.237795835475259i</v>
      </c>
      <c r="AP130" s="147" t="str">
        <f t="shared" si="62"/>
        <v>0.147443807868548-0.077705220538908i</v>
      </c>
      <c r="AQ130" s="147" t="str">
        <f t="shared" si="63"/>
        <v>0.852556192131452+0.077705220538908i</v>
      </c>
      <c r="AR130" s="147" t="str">
        <f t="shared" si="64"/>
        <v>0.969011926791396-0.0883194400217879i</v>
      </c>
    </row>
    <row r="131" spans="7:44">
      <c r="G131" s="585">
        <v>7079.5</v>
      </c>
      <c r="H131" s="573">
        <f t="shared" si="56"/>
        <v>7.0795000000000003</v>
      </c>
      <c r="I131" s="574">
        <f t="shared" si="34"/>
        <v>61.63568809911316</v>
      </c>
      <c r="J131" s="575">
        <f t="shared" si="35"/>
        <v>1.5545712483100405</v>
      </c>
      <c r="K131" s="575">
        <f t="shared" si="36"/>
        <v>1.0001077306795221</v>
      </c>
      <c r="L131" s="576">
        <f t="shared" si="37"/>
        <v>1.4677943236598181E-2</v>
      </c>
      <c r="M131" s="575">
        <f t="shared" si="38"/>
        <v>1.0051692599633542</v>
      </c>
      <c r="N131" s="576">
        <f t="shared" si="39"/>
        <v>-0.10146023892476197</v>
      </c>
      <c r="O131" s="574">
        <f t="shared" si="40"/>
        <v>133445.43099779688</v>
      </c>
      <c r="P131" s="577">
        <f t="shared" si="41"/>
        <v>1.5707888330950934</v>
      </c>
      <c r="Q131" s="586">
        <f t="shared" si="42"/>
        <v>24.929878115046531</v>
      </c>
      <c r="R131" s="587">
        <f t="shared" si="43"/>
        <v>1.5306730514761344</v>
      </c>
      <c r="S131" s="574">
        <f t="shared" si="44"/>
        <v>1.0096825456964098</v>
      </c>
      <c r="T131" s="577">
        <f t="shared" si="45"/>
        <v>0.13860057292077163</v>
      </c>
      <c r="U131" s="578">
        <f t="shared" si="57"/>
        <v>0.96272616244181097</v>
      </c>
      <c r="V131" s="579">
        <f t="shared" si="58"/>
        <v>-0.33710827533380167</v>
      </c>
      <c r="W131" s="580">
        <f t="shared" si="46"/>
        <v>-3.4461641412197079</v>
      </c>
      <c r="X131" s="581">
        <f t="shared" si="47"/>
        <v>-123.59720516181898</v>
      </c>
      <c r="Y131" s="584">
        <f t="shared" si="48"/>
        <v>56.402794838181023</v>
      </c>
      <c r="AA131" s="147">
        <f t="shared" si="49"/>
        <v>7079.5</v>
      </c>
      <c r="AB131" s="147">
        <f t="shared" si="50"/>
        <v>50119320.25</v>
      </c>
      <c r="AD131" s="583">
        <f t="shared" si="51"/>
        <v>30.450082058045119</v>
      </c>
      <c r="AE131" s="584">
        <f t="shared" si="52"/>
        <v>-10.239692856790805</v>
      </c>
      <c r="AG131" s="583">
        <f t="shared" si="53"/>
        <v>21.865888165047316</v>
      </c>
      <c r="AH131" s="584">
        <f t="shared" si="54"/>
        <v>-74.727749429765325</v>
      </c>
      <c r="AJ131" s="147">
        <f t="shared" si="55"/>
        <v>0</v>
      </c>
      <c r="AK131" s="147">
        <f t="shared" si="65"/>
        <v>0</v>
      </c>
      <c r="AM131" s="147" t="str">
        <f t="shared" si="59"/>
        <v>0.117955123602564+0.471165401977938i</v>
      </c>
      <c r="AN131" s="147" t="str">
        <f t="shared" si="60"/>
        <v>0.49061156268214i</v>
      </c>
      <c r="AO131" s="147" t="str">
        <f t="shared" si="61"/>
        <v>0.960363427641429-0.240424671113969i</v>
      </c>
      <c r="AP131" s="147" t="str">
        <f t="shared" si="62"/>
        <v>0.147007479399573-0.078527566996323i</v>
      </c>
      <c r="AQ131" s="147" t="str">
        <f t="shared" si="63"/>
        <v>0.852992520600427+0.078527566996323i</v>
      </c>
      <c r="AR131" s="147" t="str">
        <f t="shared" si="64"/>
        <v>0.968354829765295-0.0891479666399422i</v>
      </c>
    </row>
    <row r="132" spans="7:44">
      <c r="G132" s="585">
        <v>7161.95</v>
      </c>
      <c r="H132" s="573">
        <f t="shared" si="56"/>
        <v>7.16195</v>
      </c>
      <c r="I132" s="574">
        <f t="shared" si="34"/>
        <v>62.353328113618304</v>
      </c>
      <c r="J132" s="575">
        <f t="shared" si="35"/>
        <v>1.5547580028938861</v>
      </c>
      <c r="K132" s="575">
        <f t="shared" si="36"/>
        <v>1.000110254480806</v>
      </c>
      <c r="L132" s="576">
        <f t="shared" si="37"/>
        <v>1.4848862024875993E-2</v>
      </c>
      <c r="M132" s="575">
        <f t="shared" si="38"/>
        <v>1.0052900479720295</v>
      </c>
      <c r="N132" s="576">
        <f t="shared" si="39"/>
        <v>-0.10263364220400185</v>
      </c>
      <c r="O132" s="574">
        <f t="shared" si="40"/>
        <v>134999.57688170872</v>
      </c>
      <c r="P132" s="577">
        <f t="shared" si="41"/>
        <v>1.5707889193642728</v>
      </c>
      <c r="Q132" s="586">
        <f t="shared" si="42"/>
        <v>25.219754544295419</v>
      </c>
      <c r="R132" s="587">
        <f t="shared" si="43"/>
        <v>1.5311344726924414</v>
      </c>
      <c r="S132" s="574">
        <f t="shared" si="44"/>
        <v>1.0099082777977655</v>
      </c>
      <c r="T132" s="577">
        <f t="shared" si="45"/>
        <v>0.14019380845844431</v>
      </c>
      <c r="U132" s="578">
        <f t="shared" si="57"/>
        <v>0.96190789636336471</v>
      </c>
      <c r="V132" s="579">
        <f t="shared" si="58"/>
        <v>-0.34089130129239437</v>
      </c>
      <c r="W132" s="580">
        <f t="shared" si="46"/>
        <v>-3.5551336486869416</v>
      </c>
      <c r="X132" s="581">
        <f t="shared" si="47"/>
        <v>-123.94694808991952</v>
      </c>
      <c r="Y132" s="584">
        <f t="shared" si="48"/>
        <v>56.053051910080484</v>
      </c>
      <c r="AA132" s="147">
        <f t="shared" si="49"/>
        <v>7161.95</v>
      </c>
      <c r="AB132" s="147">
        <f t="shared" si="50"/>
        <v>51293527.802499995</v>
      </c>
      <c r="AD132" s="583">
        <f t="shared" si="51"/>
        <v>30.447980424891639</v>
      </c>
      <c r="AE132" s="584">
        <f t="shared" si="52"/>
        <v>-10.304545983531519</v>
      </c>
      <c r="AG132" s="583">
        <f t="shared" si="53"/>
        <v>21.773791658303779</v>
      </c>
      <c r="AH132" s="584">
        <f t="shared" si="54"/>
        <v>-74.579136388198236</v>
      </c>
      <c r="AJ132" s="147">
        <f t="shared" si="55"/>
        <v>0</v>
      </c>
      <c r="AK132" s="147">
        <f t="shared" si="65"/>
        <v>0</v>
      </c>
      <c r="AM132" s="147" t="str">
        <f t="shared" si="59"/>
        <v>0.120661657201695+0.476197520872097i</v>
      </c>
      <c r="AN132" s="147" t="str">
        <f t="shared" si="60"/>
        <v>0.496325373451706i</v>
      </c>
      <c r="AO132" s="147" t="str">
        <f t="shared" si="61"/>
        <v>0.959446255105538-0.243109991259465i</v>
      </c>
      <c r="AP132" s="147" t="str">
        <f t="shared" si="62"/>
        <v>0.146556390466384-0.0793662534786828i</v>
      </c>
      <c r="AQ132" s="147" t="str">
        <f t="shared" si="63"/>
        <v>0.853443609533616+0.0793662534786828i</v>
      </c>
      <c r="AR132" s="147" t="str">
        <f t="shared" si="64"/>
        <v>0.967677145085875-0.0899894365890012i</v>
      </c>
    </row>
    <row r="133" spans="7:44">
      <c r="G133" s="585">
        <v>7244.4</v>
      </c>
      <c r="H133" s="573">
        <f t="shared" si="56"/>
        <v>7.2443999999999997</v>
      </c>
      <c r="I133" s="574">
        <f t="shared" si="34"/>
        <v>63.070970253348491</v>
      </c>
      <c r="J133" s="575">
        <f t="shared" si="35"/>
        <v>1.5549405075744347</v>
      </c>
      <c r="K133" s="575">
        <f t="shared" si="36"/>
        <v>1.0001128074983952</v>
      </c>
      <c r="L133" s="576">
        <f t="shared" si="37"/>
        <v>1.5019779945527938E-2</v>
      </c>
      <c r="M133" s="575">
        <f t="shared" si="38"/>
        <v>1.0054122198060051</v>
      </c>
      <c r="N133" s="576">
        <f t="shared" si="39"/>
        <v>-0.1038067619278987</v>
      </c>
      <c r="O133" s="574">
        <f t="shared" si="40"/>
        <v>136553.72276562155</v>
      </c>
      <c r="P133" s="577">
        <f t="shared" si="41"/>
        <v>1.5707890036697576</v>
      </c>
      <c r="Q133" s="586">
        <f t="shared" si="42"/>
        <v>25.509636221037713</v>
      </c>
      <c r="R133" s="587">
        <f t="shared" si="43"/>
        <v>1.5315854071771284</v>
      </c>
      <c r="S133" s="574">
        <f t="shared" si="44"/>
        <v>1.0101365723002345</v>
      </c>
      <c r="T133" s="577">
        <f t="shared" si="45"/>
        <v>0.14178632788311629</v>
      </c>
      <c r="U133" s="578">
        <f t="shared" si="57"/>
        <v>0.96108215152550025</v>
      </c>
      <c r="V133" s="579">
        <f t="shared" si="58"/>
        <v>-0.34466965989685383</v>
      </c>
      <c r="W133" s="580">
        <f t="shared" si="46"/>
        <v>-3.6630307814279712</v>
      </c>
      <c r="X133" s="581">
        <f t="shared" si="47"/>
        <v>-124.29672360269015</v>
      </c>
      <c r="Y133" s="584">
        <f t="shared" si="48"/>
        <v>55.70327639730985</v>
      </c>
      <c r="AA133" s="147">
        <f t="shared" si="49"/>
        <v>7244.4</v>
      </c>
      <c r="AB133" s="147">
        <f t="shared" si="50"/>
        <v>52481331.359999992</v>
      </c>
      <c r="AD133" s="583">
        <f t="shared" si="51"/>
        <v>30.445862617430485</v>
      </c>
      <c r="AE133" s="584">
        <f t="shared" si="52"/>
        <v>-10.369958812971554</v>
      </c>
      <c r="AG133" s="583">
        <f t="shared" si="53"/>
        <v>21.682931451257723</v>
      </c>
      <c r="AH133" s="584">
        <f t="shared" si="54"/>
        <v>-74.430531067989122</v>
      </c>
      <c r="AJ133" s="147">
        <f t="shared" si="55"/>
        <v>0</v>
      </c>
      <c r="AK133" s="147">
        <f t="shared" si="65"/>
        <v>0</v>
      </c>
      <c r="AM133" s="147" t="str">
        <f t="shared" si="59"/>
        <v>0.123396899038669+0.481214093086412i</v>
      </c>
      <c r="AN133" s="147" t="str">
        <f t="shared" si="60"/>
        <v>0.502039184221272i</v>
      </c>
      <c r="AO133" s="147" t="str">
        <f t="shared" si="61"/>
        <v>0.95851899256198-0.245791370309219i</v>
      </c>
      <c r="AP133" s="147" t="str">
        <f t="shared" si="62"/>
        <v>0.146100516826888-0.0802023488477353i</v>
      </c>
      <c r="AQ133" s="147" t="str">
        <f t="shared" si="63"/>
        <v>0.853899483173112+0.0802023488477353i</v>
      </c>
      <c r="AR133" s="147" t="str">
        <f t="shared" si="64"/>
        <v>0.966993961085988-0.0908247264800709i</v>
      </c>
    </row>
    <row r="134" spans="7:44">
      <c r="G134" s="585">
        <v>7328.75</v>
      </c>
      <c r="H134" s="573">
        <f t="shared" si="56"/>
        <v>7.3287500000000003</v>
      </c>
      <c r="I134" s="574">
        <f t="shared" si="34"/>
        <v>63.80515205624782</v>
      </c>
      <c r="J134" s="575">
        <f t="shared" si="35"/>
        <v>1.5551229695298519</v>
      </c>
      <c r="K134" s="575">
        <f t="shared" si="36"/>
        <v>1.0001154495821407</v>
      </c>
      <c r="L134" s="576">
        <f t="shared" si="37"/>
        <v>1.5194635636510526E-2</v>
      </c>
      <c r="M134" s="575">
        <f t="shared" si="38"/>
        <v>1.0055386385012028</v>
      </c>
      <c r="N134" s="576">
        <f t="shared" si="39"/>
        <v>-0.10500661864782969</v>
      </c>
      <c r="O134" s="574">
        <f t="shared" si="40"/>
        <v>138143.68280574444</v>
      </c>
      <c r="P134" s="577">
        <f t="shared" si="41"/>
        <v>1.5707890879550184</v>
      </c>
      <c r="Q134" s="586">
        <f t="shared" si="42"/>
        <v>25.806203255063526</v>
      </c>
      <c r="R134" s="587">
        <f t="shared" si="43"/>
        <v>1.5320362494364816</v>
      </c>
      <c r="S134" s="574">
        <f t="shared" si="44"/>
        <v>1.0103727775258051</v>
      </c>
      <c r="T134" s="577">
        <f t="shared" si="45"/>
        <v>0.14341479678360364</v>
      </c>
      <c r="U134" s="578">
        <f t="shared" si="57"/>
        <v>0.96022970186101786</v>
      </c>
      <c r="V134" s="579">
        <f t="shared" si="58"/>
        <v>-0.34853021900242059</v>
      </c>
      <c r="W134" s="580">
        <f t="shared" si="46"/>
        <v>-3.7723315754608584</v>
      </c>
      <c r="X134" s="581">
        <f t="shared" si="47"/>
        <v>-124.65457774490008</v>
      </c>
      <c r="Y134" s="584">
        <f t="shared" si="48"/>
        <v>55.345422255099919</v>
      </c>
      <c r="AA134" s="147">
        <f t="shared" si="49"/>
        <v>7328.75</v>
      </c>
      <c r="AB134" s="147">
        <f t="shared" si="50"/>
        <v>53710576.5625</v>
      </c>
      <c r="AD134" s="583">
        <f t="shared" si="51"/>
        <v>30.443679047092008</v>
      </c>
      <c r="AE134" s="584">
        <f t="shared" si="52"/>
        <v>-10.437436678617539</v>
      </c>
      <c r="AG134" s="583">
        <f t="shared" si="53"/>
        <v>21.591229287186245</v>
      </c>
      <c r="AH134" s="584">
        <f t="shared" si="54"/>
        <v>-74.278519857428051</v>
      </c>
      <c r="AJ134" s="147">
        <f t="shared" si="55"/>
        <v>0</v>
      </c>
      <c r="AK134" s="147">
        <f t="shared" si="65"/>
        <v>0</v>
      </c>
      <c r="AM134" s="147" t="str">
        <f t="shared" si="59"/>
        <v>0.126224787601147+0.486330009558673i</v>
      </c>
      <c r="AN134" s="147" t="str">
        <f t="shared" si="60"/>
        <v>0.507884665584678i</v>
      </c>
      <c r="AO134" s="147" t="str">
        <f t="shared" si="61"/>
        <v>0.957559939319705-0.248530416754829i</v>
      </c>
      <c r="AP134" s="147" t="str">
        <f t="shared" si="62"/>
        <v>0.145629202066476-0.0810550015931122i</v>
      </c>
      <c r="AQ134" s="147" t="str">
        <f t="shared" si="63"/>
        <v>0.854370797933524+0.0810550015931122i</v>
      </c>
      <c r="AR134" s="147" t="str">
        <f t="shared" si="64"/>
        <v>0.96628941497719-0.0916728313512392i</v>
      </c>
    </row>
    <row r="135" spans="7:44">
      <c r="G135" s="585">
        <v>7413.1</v>
      </c>
      <c r="H135" s="573">
        <f t="shared" si="56"/>
        <v>7.4131</v>
      </c>
      <c r="I135" s="574">
        <f t="shared" si="34"/>
        <v>64.539335935042359</v>
      </c>
      <c r="J135" s="575">
        <f t="shared" si="35"/>
        <v>1.5553012802049289</v>
      </c>
      <c r="K135" s="575">
        <f t="shared" si="36"/>
        <v>1.0001181222437667</v>
      </c>
      <c r="L135" s="576">
        <f t="shared" si="37"/>
        <v>1.5369490398289392E-2</v>
      </c>
      <c r="M135" s="575">
        <f t="shared" si="38"/>
        <v>1.0056665044611157</v>
      </c>
      <c r="N135" s="576">
        <f t="shared" si="39"/>
        <v>-0.10620617198160115</v>
      </c>
      <c r="O135" s="574">
        <f t="shared" si="40"/>
        <v>139733.64284586825</v>
      </c>
      <c r="P135" s="577">
        <f t="shared" si="41"/>
        <v>1.5707891703221988</v>
      </c>
      <c r="Q135" s="586">
        <f t="shared" si="42"/>
        <v>26.102775415235243</v>
      </c>
      <c r="R135" s="587">
        <f t="shared" si="43"/>
        <v>1.5324768471058372</v>
      </c>
      <c r="S135" s="574">
        <f t="shared" si="44"/>
        <v>1.0106116609133799</v>
      </c>
      <c r="T135" s="577">
        <f t="shared" si="45"/>
        <v>0.14504250014006961</v>
      </c>
      <c r="U135" s="578">
        <f t="shared" si="57"/>
        <v>0.959369553224245</v>
      </c>
      <c r="V135" s="579">
        <f t="shared" si="58"/>
        <v>-0.35238581431385912</v>
      </c>
      <c r="W135" s="580">
        <f t="shared" si="46"/>
        <v>-3.8805638260943702</v>
      </c>
      <c r="X135" s="581">
        <f t="shared" si="47"/>
        <v>-125.01243530173637</v>
      </c>
      <c r="Y135" s="584">
        <f t="shared" si="48"/>
        <v>54.987564698263625</v>
      </c>
      <c r="AA135" s="147">
        <f t="shared" si="49"/>
        <v>7413.1</v>
      </c>
      <c r="AB135" s="147">
        <f t="shared" si="50"/>
        <v>54954051.610000007</v>
      </c>
      <c r="AD135" s="583">
        <f t="shared" si="51"/>
        <v>30.441478112622185</v>
      </c>
      <c r="AE135" s="584">
        <f t="shared" si="52"/>
        <v>-10.505457543694478</v>
      </c>
      <c r="AG135" s="583">
        <f t="shared" si="53"/>
        <v>21.500766130077785</v>
      </c>
      <c r="AH135" s="584">
        <f t="shared" si="54"/>
        <v>-74.126537870970836</v>
      </c>
      <c r="AJ135" s="147">
        <f t="shared" si="55"/>
        <v>0</v>
      </c>
      <c r="AK135" s="147">
        <f t="shared" si="65"/>
        <v>0</v>
      </c>
      <c r="AM135" s="147" t="str">
        <f t="shared" si="59"/>
        <v>0.129082532673867+0.491429308350889i</v>
      </c>
      <c r="AN135" s="147" t="str">
        <f t="shared" si="60"/>
        <v>0.513730146948085i</v>
      </c>
      <c r="AO135" s="147" t="str">
        <f t="shared" si="61"/>
        <v>0.956590364163601-0.251265247797325i</v>
      </c>
      <c r="AP135" s="147" t="str">
        <f t="shared" si="62"/>
        <v>0.145152911221022-0.0819048847251482i</v>
      </c>
      <c r="AQ135" s="147" t="str">
        <f t="shared" si="63"/>
        <v>0.854847088778978+0.0819048847251482i</v>
      </c>
      <c r="AR135" s="147" t="str">
        <f t="shared" si="64"/>
        <v>0.965579260066522-0.0925143912014773i</v>
      </c>
    </row>
    <row r="136" spans="7:44">
      <c r="G136" s="585">
        <v>7499.45</v>
      </c>
      <c r="H136" s="573">
        <f t="shared" si="56"/>
        <v>7.4994499999999995</v>
      </c>
      <c r="I136" s="574">
        <f t="shared" si="34"/>
        <v>65.290929926097576</v>
      </c>
      <c r="J136" s="575">
        <f t="shared" si="35"/>
        <v>1.5554796648600111</v>
      </c>
      <c r="K136" s="575">
        <f t="shared" si="36"/>
        <v>1.0001208899499041</v>
      </c>
      <c r="L136" s="576">
        <f t="shared" si="37"/>
        <v>1.5548490120289355E-2</v>
      </c>
      <c r="M136" s="575">
        <f t="shared" si="38"/>
        <v>1.0057989007849475</v>
      </c>
      <c r="N136" s="576">
        <f t="shared" si="39"/>
        <v>-0.10743384985518928</v>
      </c>
      <c r="O136" s="574">
        <f t="shared" si="40"/>
        <v>141361.30199779206</v>
      </c>
      <c r="P136" s="577">
        <f t="shared" si="41"/>
        <v>1.5707892527230971</v>
      </c>
      <c r="Q136" s="586">
        <f t="shared" si="42"/>
        <v>26.406384647138822</v>
      </c>
      <c r="R136" s="587">
        <f t="shared" si="43"/>
        <v>1.5329176400346252</v>
      </c>
      <c r="S136" s="574">
        <f t="shared" si="44"/>
        <v>1.0108589805844135</v>
      </c>
      <c r="T136" s="577">
        <f t="shared" si="45"/>
        <v>0.14670799610853802</v>
      </c>
      <c r="U136" s="578">
        <f t="shared" si="57"/>
        <v>0.95848110312528423</v>
      </c>
      <c r="V136" s="579">
        <f t="shared" si="58"/>
        <v>-0.35632764605315187</v>
      </c>
      <c r="W136" s="580">
        <f t="shared" si="46"/>
        <v>-3.9902824426740779</v>
      </c>
      <c r="X136" s="581">
        <f t="shared" si="47"/>
        <v>-125.37876618094108</v>
      </c>
      <c r="Y136" s="584">
        <f t="shared" si="48"/>
        <v>54.621233819058915</v>
      </c>
      <c r="AA136" s="147">
        <f t="shared" si="49"/>
        <v>7499.45</v>
      </c>
      <c r="AB136" s="147">
        <f t="shared" si="50"/>
        <v>56241750.302499995</v>
      </c>
      <c r="AD136" s="583">
        <f t="shared" si="51"/>
        <v>30.439206798057455</v>
      </c>
      <c r="AE136" s="584">
        <f t="shared" si="52"/>
        <v>-10.575632580328895</v>
      </c>
      <c r="AG136" s="583">
        <f t="shared" si="53"/>
        <v>21.409413887466904</v>
      </c>
      <c r="AH136" s="584">
        <f t="shared" si="54"/>
        <v>-73.970993068600606</v>
      </c>
      <c r="AJ136" s="147">
        <f t="shared" si="55"/>
        <v>0</v>
      </c>
      <c r="AK136" s="147">
        <f t="shared" si="65"/>
        <v>0</v>
      </c>
      <c r="AM136" s="147" t="str">
        <f t="shared" si="59"/>
        <v>0.132038861794173+0.496632119948403i</v>
      </c>
      <c r="AN136" s="147" t="str">
        <f t="shared" si="60"/>
        <v>0.519714228936588i</v>
      </c>
      <c r="AO136" s="147" t="str">
        <f t="shared" si="61"/>
        <v>0.955586921228971-0.25406050949258i</v>
      </c>
      <c r="AP136" s="147" t="str">
        <f t="shared" si="62"/>
        <v>0.144660189700971-0.0827720199914005i</v>
      </c>
      <c r="AQ136" s="147" t="str">
        <f t="shared" si="63"/>
        <v>0.855339810299029+0.0827720199914005i</v>
      </c>
      <c r="AR136" s="147" t="str">
        <f t="shared" si="64"/>
        <v>0.964846534879548-0.0933690864286597i</v>
      </c>
    </row>
    <row r="137" spans="7:44">
      <c r="G137" s="585">
        <v>7585.8</v>
      </c>
      <c r="H137" s="573">
        <f t="shared" si="56"/>
        <v>7.5857999999999999</v>
      </c>
      <c r="I137" s="574">
        <f t="shared" si="34"/>
        <v>66.042525947492308</v>
      </c>
      <c r="J137" s="575">
        <f t="shared" si="35"/>
        <v>1.5556539893125074</v>
      </c>
      <c r="K137" s="575">
        <f t="shared" si="36"/>
        <v>1.0001236897006376</v>
      </c>
      <c r="L137" s="576">
        <f t="shared" si="37"/>
        <v>1.5727488845839327E-2</v>
      </c>
      <c r="M137" s="575">
        <f t="shared" si="38"/>
        <v>1.00593281264143</v>
      </c>
      <c r="N137" s="576">
        <f t="shared" si="39"/>
        <v>-0.10866120271619148</v>
      </c>
      <c r="O137" s="574">
        <f t="shared" si="40"/>
        <v>142988.96114971678</v>
      </c>
      <c r="P137" s="577">
        <f t="shared" si="41"/>
        <v>1.5707893332480385</v>
      </c>
      <c r="Q137" s="586">
        <f t="shared" si="42"/>
        <v>26.709998893119799</v>
      </c>
      <c r="R137" s="587">
        <f t="shared" si="43"/>
        <v>1.5333484120033574</v>
      </c>
      <c r="S137" s="574">
        <f t="shared" si="44"/>
        <v>1.0111091028774777</v>
      </c>
      <c r="T137" s="577">
        <f t="shared" si="45"/>
        <v>0.14837267269129539</v>
      </c>
      <c r="U137" s="578">
        <f t="shared" si="57"/>
        <v>0.95758472354823176</v>
      </c>
      <c r="V137" s="579">
        <f t="shared" si="58"/>
        <v>-0.36026419346982258</v>
      </c>
      <c r="W137" s="580">
        <f t="shared" si="46"/>
        <v>-4.0989350297355864</v>
      </c>
      <c r="X137" s="581">
        <f t="shared" si="47"/>
        <v>-125.74507019742309</v>
      </c>
      <c r="Y137" s="584">
        <f t="shared" si="48"/>
        <v>54.25492980257691</v>
      </c>
      <c r="AA137" s="147">
        <f t="shared" si="49"/>
        <v>7585.8</v>
      </c>
      <c r="AB137" s="147">
        <f t="shared" si="50"/>
        <v>57544361.640000001</v>
      </c>
      <c r="AD137" s="583">
        <f t="shared" si="51"/>
        <v>30.436916878259144</v>
      </c>
      <c r="AE137" s="584">
        <f t="shared" si="52"/>
        <v>-10.646334720854325</v>
      </c>
      <c r="AG137" s="583">
        <f t="shared" si="53"/>
        <v>21.319305055619395</v>
      </c>
      <c r="AH137" s="584">
        <f t="shared" si="54"/>
        <v>-73.815499838385037</v>
      </c>
      <c r="AJ137" s="147">
        <f t="shared" si="55"/>
        <v>0</v>
      </c>
      <c r="AK137" s="147">
        <f t="shared" si="65"/>
        <v>0</v>
      </c>
      <c r="AM137" s="147" t="str">
        <f t="shared" si="59"/>
        <v>0.135026271848047+0.501817147581579i</v>
      </c>
      <c r="AN137" s="147" t="str">
        <f t="shared" si="60"/>
        <v>0.52569831092509i</v>
      </c>
      <c r="AO137" s="147" t="str">
        <f t="shared" si="61"/>
        <v>0.954572493677055-0.256851256779647i</v>
      </c>
      <c r="AP137" s="147" t="str">
        <f t="shared" si="62"/>
        <v>0.144162288025325-0.0836361912635965i</v>
      </c>
      <c r="AQ137" s="147" t="str">
        <f t="shared" si="63"/>
        <v>0.855837711974675+0.0836361912635965i</v>
      </c>
      <c r="AR137" s="147" t="str">
        <f t="shared" si="64"/>
        <v>0.964108090153327-0.0942168445005734i</v>
      </c>
    </row>
    <row r="138" spans="7:44">
      <c r="G138" s="585">
        <v>7674.15</v>
      </c>
      <c r="H138" s="573">
        <f t="shared" si="56"/>
        <v>7.67415</v>
      </c>
      <c r="I138" s="574">
        <f t="shared" si="34"/>
        <v>66.811532129042689</v>
      </c>
      <c r="J138" s="575">
        <f t="shared" si="35"/>
        <v>1.55582829194443</v>
      </c>
      <c r="K138" s="575">
        <f t="shared" si="36"/>
        <v>1.0001265874641569</v>
      </c>
      <c r="L138" s="576">
        <f t="shared" si="37"/>
        <v>1.5910632416356391E-2</v>
      </c>
      <c r="M138" s="575">
        <f t="shared" si="38"/>
        <v>1.0060713940653749</v>
      </c>
      <c r="N138" s="576">
        <f t="shared" si="39"/>
        <v>-0.10991664286204229</v>
      </c>
      <c r="O138" s="574">
        <f t="shared" si="40"/>
        <v>144654.31941344152</v>
      </c>
      <c r="P138" s="577">
        <f t="shared" si="41"/>
        <v>1.5707894137624752</v>
      </c>
      <c r="Q138" s="586">
        <f t="shared" si="42"/>
        <v>27.020650329528273</v>
      </c>
      <c r="R138" s="587">
        <f t="shared" si="43"/>
        <v>1.5337791416797171</v>
      </c>
      <c r="S138" s="574">
        <f t="shared" si="44"/>
        <v>1.0113679169654695</v>
      </c>
      <c r="T138" s="577">
        <f t="shared" si="45"/>
        <v>0.15007504870910457</v>
      </c>
      <c r="U138" s="578">
        <f t="shared" si="57"/>
        <v>0.95665944906460343</v>
      </c>
      <c r="V138" s="579">
        <f t="shared" si="58"/>
        <v>-0.36428640555371472</v>
      </c>
      <c r="W138" s="580">
        <f t="shared" si="46"/>
        <v>-4.2090277365143907</v>
      </c>
      <c r="X138" s="581">
        <f t="shared" si="47"/>
        <v>-126.11981542942071</v>
      </c>
      <c r="Y138" s="584">
        <f t="shared" si="48"/>
        <v>53.880184570579289</v>
      </c>
      <c r="AA138" s="147">
        <f t="shared" si="49"/>
        <v>7674.15</v>
      </c>
      <c r="AB138" s="147">
        <f t="shared" si="50"/>
        <v>58892578.222499996</v>
      </c>
      <c r="AD138" s="583">
        <f t="shared" si="51"/>
        <v>30.434554469937535</v>
      </c>
      <c r="AE138" s="584">
        <f t="shared" si="52"/>
        <v>-10.719199302473305</v>
      </c>
      <c r="AG138" s="583">
        <f t="shared" si="53"/>
        <v>21.228368503311415</v>
      </c>
      <c r="AH138" s="584">
        <f t="shared" si="54"/>
        <v>-73.656468934809922</v>
      </c>
      <c r="AJ138" s="147">
        <f t="shared" si="55"/>
        <v>0</v>
      </c>
      <c r="AK138" s="147">
        <f t="shared" si="65"/>
        <v>0</v>
      </c>
      <c r="AM138" s="147" t="str">
        <f t="shared" si="59"/>
        <v>0.138114932465655+0.50710366825859i</v>
      </c>
      <c r="AN138" s="147" t="str">
        <f t="shared" si="60"/>
        <v>0.531820993538688i</v>
      </c>
      <c r="AO138" s="147" t="str">
        <f t="shared" si="61"/>
        <v>0.95352322382832-0.259701918772802i</v>
      </c>
      <c r="AP138" s="147" t="str">
        <f t="shared" si="62"/>
        <v>0.143647511255724-0.0845172780430983i</v>
      </c>
      <c r="AQ138" s="147" t="str">
        <f t="shared" si="63"/>
        <v>0.856352488744276+0.0845172780430983i</v>
      </c>
      <c r="AR138" s="147" t="str">
        <f t="shared" si="64"/>
        <v>0.963346705984279-0.0950770184844872i</v>
      </c>
    </row>
    <row r="139" spans="7:44">
      <c r="G139" s="585">
        <v>7762.5</v>
      </c>
      <c r="H139" s="573">
        <f t="shared" si="56"/>
        <v>7.7625000000000002</v>
      </c>
      <c r="I139" s="574">
        <f t="shared" si="34"/>
        <v>67.580540294226168</v>
      </c>
      <c r="J139" s="575">
        <f t="shared" si="35"/>
        <v>1.5559986277546902</v>
      </c>
      <c r="K139" s="575">
        <f t="shared" si="36"/>
        <v>1.0001295187732946</v>
      </c>
      <c r="L139" s="576">
        <f t="shared" si="37"/>
        <v>1.6093774919454514E-2</v>
      </c>
      <c r="M139" s="575">
        <f t="shared" si="38"/>
        <v>1.0062115607503441</v>
      </c>
      <c r="N139" s="576">
        <f t="shared" si="39"/>
        <v>-0.11117173521647039</v>
      </c>
      <c r="O139" s="574">
        <f t="shared" si="40"/>
        <v>146319.67767716717</v>
      </c>
      <c r="P139" s="577">
        <f t="shared" si="41"/>
        <v>1.5707894924441388</v>
      </c>
      <c r="Q139" s="586">
        <f t="shared" si="42"/>
        <v>27.331306665065959</v>
      </c>
      <c r="R139" s="587">
        <f t="shared" si="43"/>
        <v>1.5342000798113546</v>
      </c>
      <c r="S139" s="574">
        <f t="shared" si="44"/>
        <v>1.0116296605780515</v>
      </c>
      <c r="T139" s="577">
        <f t="shared" si="45"/>
        <v>0.15177654872867519</v>
      </c>
      <c r="U139" s="578">
        <f t="shared" si="57"/>
        <v>0.95572602352834723</v>
      </c>
      <c r="V139" s="579">
        <f t="shared" si="58"/>
        <v>-0.36830299991163185</v>
      </c>
      <c r="W139" s="580">
        <f t="shared" si="46"/>
        <v>-4.318058148355405</v>
      </c>
      <c r="X139" s="581">
        <f t="shared" si="47"/>
        <v>-126.49450235964343</v>
      </c>
      <c r="Y139" s="584">
        <f t="shared" si="48"/>
        <v>53.505497640356566</v>
      </c>
      <c r="AA139" s="147">
        <f t="shared" si="49"/>
        <v>7762.5</v>
      </c>
      <c r="AB139" s="147">
        <f t="shared" si="50"/>
        <v>60256406.25</v>
      </c>
      <c r="AD139" s="583">
        <f t="shared" si="51"/>
        <v>30.43217220449645</v>
      </c>
      <c r="AE139" s="584">
        <f t="shared" si="52"/>
        <v>-10.792574602268278</v>
      </c>
      <c r="AG139" s="583">
        <f t="shared" si="53"/>
        <v>21.138678510909852</v>
      </c>
      <c r="AH139" s="584">
        <f t="shared" si="54"/>
        <v>-73.497512755262306</v>
      </c>
      <c r="AJ139" s="147">
        <f t="shared" si="55"/>
        <v>0</v>
      </c>
      <c r="AK139" s="147">
        <f t="shared" si="65"/>
        <v>0</v>
      </c>
      <c r="AM139" s="147" t="str">
        <f t="shared" si="59"/>
        <v>0.141235902676766+0.512371179076859i</v>
      </c>
      <c r="AN139" s="147" t="str">
        <f t="shared" si="60"/>
        <v>0.537943676152286i</v>
      </c>
      <c r="AO139" s="147" t="str">
        <f t="shared" si="61"/>
        <v>0.952462500798713-0.262547751628897i</v>
      </c>
      <c r="AP139" s="147" t="str">
        <f t="shared" si="62"/>
        <v>0.143127349553872-0.0853951965128098i</v>
      </c>
      <c r="AQ139" s="147" t="str">
        <f t="shared" si="63"/>
        <v>0.856872650446128+0.0853951965128098i</v>
      </c>
      <c r="AR139" s="147" t="str">
        <f t="shared" si="64"/>
        <v>0.962579504742891-0.0959298513307961i</v>
      </c>
    </row>
    <row r="140" spans="7:44">
      <c r="G140" s="585">
        <v>7852.9</v>
      </c>
      <c r="H140" s="573">
        <f t="shared" si="56"/>
        <v>7.8529</v>
      </c>
      <c r="I140" s="574">
        <f t="shared" si="34"/>
        <v>68.367393869379413</v>
      </c>
      <c r="J140" s="575">
        <f t="shared" si="35"/>
        <v>1.5561689495567312</v>
      </c>
      <c r="K140" s="575">
        <f t="shared" si="36"/>
        <v>1.0001325528199823</v>
      </c>
      <c r="L140" s="576">
        <f t="shared" si="37"/>
        <v>1.6281165791379608E-2</v>
      </c>
      <c r="M140" s="575">
        <f t="shared" si="38"/>
        <v>1.006356619918036</v>
      </c>
      <c r="N140" s="576">
        <f t="shared" si="39"/>
        <v>-0.11245558572929822</v>
      </c>
      <c r="O140" s="574">
        <f t="shared" si="40"/>
        <v>148023.67753048785</v>
      </c>
      <c r="P140" s="577">
        <f t="shared" si="41"/>
        <v>1.5707895711189352</v>
      </c>
      <c r="Q140" s="586">
        <f t="shared" si="42"/>
        <v>27.649176110836756</v>
      </c>
      <c r="R140" s="587">
        <f t="shared" si="43"/>
        <v>1.5346209941770221</v>
      </c>
      <c r="S140" s="574">
        <f t="shared" si="44"/>
        <v>1.0119005073751612</v>
      </c>
      <c r="T140" s="577">
        <f t="shared" si="45"/>
        <v>0.15351661265497021</v>
      </c>
      <c r="U140" s="578">
        <f t="shared" si="57"/>
        <v>0.95476258217250365</v>
      </c>
      <c r="V140" s="579">
        <f t="shared" si="58"/>
        <v>-0.3724069329631769</v>
      </c>
      <c r="W140" s="580">
        <f t="shared" si="46"/>
        <v>-4.4285457102267518</v>
      </c>
      <c r="X140" s="581">
        <f t="shared" si="47"/>
        <v>-126.87780784368964</v>
      </c>
      <c r="Y140" s="584">
        <f t="shared" si="48"/>
        <v>53.122192156310362</v>
      </c>
      <c r="AA140" s="147">
        <f t="shared" si="49"/>
        <v>7852.9</v>
      </c>
      <c r="AB140" s="147">
        <f t="shared" si="50"/>
        <v>61668038.409999996</v>
      </c>
      <c r="AD140" s="583">
        <f t="shared" si="51"/>
        <v>30.429713929387745</v>
      </c>
      <c r="AE140" s="584">
        <f t="shared" si="52"/>
        <v>-10.868160812458932</v>
      </c>
      <c r="AG140" s="583">
        <f t="shared" si="53"/>
        <v>21.048170073994761</v>
      </c>
      <c r="AH140" s="584">
        <f t="shared" si="54"/>
        <v>-73.334955942064965</v>
      </c>
      <c r="AJ140" s="147">
        <f t="shared" si="55"/>
        <v>0</v>
      </c>
      <c r="AK140" s="147">
        <f t="shared" si="65"/>
        <v>0</v>
      </c>
      <c r="AM140" s="147" t="str">
        <f t="shared" si="59"/>
        <v>0.144462610062619+0.517741030264296i</v>
      </c>
      <c r="AN140" s="147" t="str">
        <f t="shared" si="60"/>
        <v>0.544208424406607i</v>
      </c>
      <c r="AO140" s="147" t="str">
        <f t="shared" si="61"/>
        <v>0.951365335494079-0.26545456406732i</v>
      </c>
      <c r="AP140" s="147" t="str">
        <f t="shared" si="62"/>
        <v>0.142589564989564-0.086290171710716i</v>
      </c>
      <c r="AQ140" s="147" t="str">
        <f t="shared" si="63"/>
        <v>0.857410435010436+0.086290171710716i</v>
      </c>
      <c r="AR140" s="147" t="str">
        <f t="shared" si="64"/>
        <v>0.961788571095472-0.0967948342595367i</v>
      </c>
    </row>
    <row r="141" spans="7:44">
      <c r="G141" s="585">
        <v>7943.3</v>
      </c>
      <c r="H141" s="573">
        <f t="shared" si="56"/>
        <v>7.9432999999999998</v>
      </c>
      <c r="I141" s="574">
        <f t="shared" ref="I141:I204" si="66">SQRT(1+(G141/pole1)^2)</f>
        <v>69.15424938270462</v>
      </c>
      <c r="J141" s="575">
        <f t="shared" ref="J141:J204" si="67">ATAN(G141/pole1)</f>
        <v>1.5563353954296324</v>
      </c>
      <c r="K141" s="575">
        <f t="shared" ref="K141:K204" si="68">SQRT(1+(G141/Zero1)^2)</f>
        <v>1.0001356219864497</v>
      </c>
      <c r="L141" s="576">
        <f t="shared" ref="L141:L204" si="69">ATAN(G141/Zero1)</f>
        <v>1.6468555519773338E-2</v>
      </c>
      <c r="M141" s="575">
        <f t="shared" ref="M141:M204" si="70">SQRT(1+(G141/z_RHP)^2)</f>
        <v>1.0065033373555881</v>
      </c>
      <c r="N141" s="576">
        <f t="shared" ref="N141:N204" si="71">-ATAN(G141/z_RHP)</f>
        <v>-0.11373906406477095</v>
      </c>
      <c r="O141" s="574">
        <f t="shared" ref="O141:O204" si="72">SQRT(1+(G141/Pole2)^2)</f>
        <v>149727.67738380941</v>
      </c>
      <c r="P141" s="577">
        <f t="shared" ref="P141:P204" si="73">ATAN(G141/Pole2)</f>
        <v>1.5707896480029893</v>
      </c>
      <c r="Q141" s="586">
        <f t="shared" ref="Q141:Q147" si="74">SQRT(1+(G141/Zero2)^2)</f>
        <v>27.967050343828294</v>
      </c>
      <c r="R141" s="587">
        <f t="shared" ref="R141:R147" si="75">ATAN(G141/Zero2)</f>
        <v>1.5350323403665949</v>
      </c>
      <c r="S141" s="574">
        <f t="shared" ref="S141:S204" si="76">SQRT(1+(G141/pole4)^2)</f>
        <v>1.0121744163822446</v>
      </c>
      <c r="T141" s="577">
        <f t="shared" ref="T141:T204" si="77">ATAN(G141/pole4)</f>
        <v>0.15525574007184142</v>
      </c>
      <c r="U141" s="578">
        <f t="shared" si="57"/>
        <v>0.95379076893775816</v>
      </c>
      <c r="V141" s="579">
        <f t="shared" si="58"/>
        <v>-0.37650489536513987</v>
      </c>
      <c r="W141" s="580">
        <f t="shared" ref="W141:W204" si="78">20*LOG10(((K141*Q141*M141*U141)/(I141*O141*S141))*Adc)</f>
        <v>-4.537974684300468</v>
      </c>
      <c r="X141" s="581">
        <f t="shared" ref="X141:X204" si="79">((L141+R141+N141+V141)-(J141+P141+T141))*radconv</f>
        <v>-127.26102235712861</v>
      </c>
      <c r="Y141" s="584">
        <f t="shared" ref="Y141:Y204" si="80">IF(X141&gt;0,X141,X141+180)</f>
        <v>52.73897764287139</v>
      </c>
      <c r="AA141" s="147">
        <f t="shared" ref="AA141:AA204" si="81">IF(W141&lt;0,G141,1000000000)</f>
        <v>7943.3</v>
      </c>
      <c r="AB141" s="147">
        <f t="shared" ref="AB141:AB204" si="82">G141^2</f>
        <v>63096014.890000001</v>
      </c>
      <c r="AD141" s="583">
        <f t="shared" ref="AD141:AD204" si="83">20*LOG10((Q141/(O141*S141))*Aea)</f>
        <v>30.427234512454842</v>
      </c>
      <c r="AE141" s="584">
        <f t="shared" ref="AE141:AE204" si="84">(R141-(P141+T141))*radconv</f>
        <v>-10.944241478118578</v>
      </c>
      <c r="AG141" s="583">
        <f t="shared" ref="AG141:AG204" si="85">20*LOG10((K141*M141/(I141*U141))*Acs*Am)</f>
        <v>20.958911535510385</v>
      </c>
      <c r="AH141" s="584">
        <f t="shared" ref="AH141:AH204" si="86">(L141+N141-(J141+V141))*radconv</f>
        <v>-73.172497888836148</v>
      </c>
      <c r="AJ141" s="147">
        <f t="shared" ref="AJ141:AJ204" si="87">SUM((W142&lt;0)*(W141&gt;0))*G141</f>
        <v>0</v>
      </c>
      <c r="AK141" s="147">
        <f t="shared" si="65"/>
        <v>0</v>
      </c>
      <c r="AM141" s="147" t="str">
        <f t="shared" si="59"/>
        <v>0.147722894675076+0.523090561699376i</v>
      </c>
      <c r="AN141" s="147" t="str">
        <f t="shared" si="60"/>
        <v>0.550473172660928i</v>
      </c>
      <c r="AO141" s="147" t="str">
        <f t="shared" si="61"/>
        <v>0.950256229873679-0.268356210641473i</v>
      </c>
      <c r="AP141" s="147" t="str">
        <f t="shared" si="62"/>
        <v>0.142046184220821-0.0871817602832293i</v>
      </c>
      <c r="AQ141" s="147" t="str">
        <f t="shared" si="63"/>
        <v>0.857953815779179+0.0871817602832293i</v>
      </c>
      <c r="AR141" s="147" t="str">
        <f t="shared" si="64"/>
        <v>0.960991730605585-0.0976520520696482i</v>
      </c>
    </row>
    <row r="142" spans="7:44">
      <c r="G142" s="585">
        <v>8035.8</v>
      </c>
      <c r="H142" s="573">
        <f t="shared" ref="H142:H205" si="88">G142/1000</f>
        <v>8.0358000000000001</v>
      </c>
      <c r="I142" s="574">
        <f t="shared" si="66"/>
        <v>69.95938555725003</v>
      </c>
      <c r="J142" s="575">
        <f t="shared" si="67"/>
        <v>1.5565018322352979</v>
      </c>
      <c r="K142" s="575">
        <f t="shared" si="68"/>
        <v>1.0001387988025974</v>
      </c>
      <c r="L142" s="576">
        <f t="shared" si="69"/>
        <v>1.6660297130737502E-2</v>
      </c>
      <c r="M142" s="575">
        <f t="shared" si="70"/>
        <v>1.0066551787957356</v>
      </c>
      <c r="N142" s="576">
        <f t="shared" si="71"/>
        <v>-0.11505196822901206</v>
      </c>
      <c r="O142" s="574">
        <f t="shared" si="72"/>
        <v>151471.26130452097</v>
      </c>
      <c r="P142" s="577">
        <f t="shared" si="73"/>
        <v>1.5707897248824849</v>
      </c>
      <c r="Q142" s="586">
        <f t="shared" si="74"/>
        <v>28.292313610388607</v>
      </c>
      <c r="R142" s="587">
        <f t="shared" si="75"/>
        <v>1.5354436742750683</v>
      </c>
      <c r="S142" s="574">
        <f t="shared" si="76"/>
        <v>1.012457855466429</v>
      </c>
      <c r="T142" s="577">
        <f t="shared" si="77"/>
        <v>0.15703428800123012</v>
      </c>
      <c r="U142" s="578">
        <f t="shared" ref="U142:U205" si="89">IMABS(IMPRODUCT(AO142, AR142))</f>
        <v>0.95278780032423727</v>
      </c>
      <c r="V142" s="579">
        <f t="shared" ref="V142:V205" si="90">IMARGUMENT(IMPRODUCT(AO142, AR142))</f>
        <v>-0.38069182751669711</v>
      </c>
      <c r="W142" s="580">
        <f t="shared" si="78"/>
        <v>-4.6488767397760986</v>
      </c>
      <c r="X142" s="581">
        <f t="shared" si="79"/>
        <v>-127.65302990589974</v>
      </c>
      <c r="Y142" s="584">
        <f t="shared" si="80"/>
        <v>52.346970094100257</v>
      </c>
      <c r="AA142" s="147">
        <f t="shared" si="81"/>
        <v>8035.8</v>
      </c>
      <c r="AB142" s="147">
        <f t="shared" si="82"/>
        <v>64574081.640000001</v>
      </c>
      <c r="AD142" s="583">
        <f t="shared" si="83"/>
        <v>30.424675447919451</v>
      </c>
      <c r="AE142" s="584">
        <f t="shared" si="84"/>
        <v>-11.022581476168273</v>
      </c>
      <c r="AG142" s="583">
        <f t="shared" si="85"/>
        <v>20.868845631350723</v>
      </c>
      <c r="AH142" s="584">
        <f t="shared" si="86"/>
        <v>-73.006378356225639</v>
      </c>
      <c r="AJ142" s="147">
        <f t="shared" si="87"/>
        <v>0</v>
      </c>
      <c r="AK142" s="147">
        <f t="shared" si="65"/>
        <v>0</v>
      </c>
      <c r="AM142" s="147" t="str">
        <f t="shared" ref="AM142:AM205" si="91">IMSUB(1,IMEXP(COMPLEX(0,-2*Pi*G142*Tsw)))</f>
        <v>0.151093538793939+0.528543110940445i</v>
      </c>
      <c r="AN142" s="147" t="str">
        <f t="shared" ref="AN142:AN205" si="92">COMPLEX(0, 2*Pi*G142*Tsw)</f>
        <v>0.556883451571599i</v>
      </c>
      <c r="AO142" s="147" t="str">
        <f t="shared" ref="AO142:AO205" si="93">IMDIV(AM142, AN142)</f>
        <v>0.949109027120174-0.271319857624666i</v>
      </c>
      <c r="AP142" s="147" t="str">
        <f t="shared" ref="AP142:AP205" si="94">IMDIV(IMEXP(COMPLEX(0,-2*Pi*G142*Tsw)),6)</f>
        <v>0.14148441020101-0.0880905184900742i</v>
      </c>
      <c r="AQ142" s="147" t="str">
        <f t="shared" ref="AQ142:AQ205" si="95">IMSUB(1, AP142)</f>
        <v>0.85851558979899+0.0880905184900742i</v>
      </c>
      <c r="AR142" s="147" t="str">
        <f t="shared" ref="AR142:AR205" si="96">IMDIV(0.833, AQ142)</f>
        <v>0.96017036210504-0.0985211055473541i</v>
      </c>
    </row>
    <row r="143" spans="7:44">
      <c r="G143" s="585">
        <v>8128.3</v>
      </c>
      <c r="H143" s="573">
        <f t="shared" si="88"/>
        <v>8.1282999999999994</v>
      </c>
      <c r="I143" s="574">
        <f t="shared" si="66"/>
        <v>70.764523625656082</v>
      </c>
      <c r="J143" s="575">
        <f t="shared" si="67"/>
        <v>1.5566644817067188</v>
      </c>
      <c r="K143" s="575">
        <f t="shared" si="68"/>
        <v>1.000142012388459</v>
      </c>
      <c r="L143" s="576">
        <f t="shared" si="69"/>
        <v>1.6852037516569655E-2</v>
      </c>
      <c r="M143" s="575">
        <f t="shared" si="70"/>
        <v>1.0068087548997469</v>
      </c>
      <c r="N143" s="576">
        <f t="shared" si="71"/>
        <v>-0.11636447412079685</v>
      </c>
      <c r="O143" s="574">
        <f t="shared" si="72"/>
        <v>153214.84522523341</v>
      </c>
      <c r="P143" s="577">
        <f t="shared" si="73"/>
        <v>1.5707898000122045</v>
      </c>
      <c r="Q143" s="586">
        <f t="shared" si="74"/>
        <v>28.617581555067783</v>
      </c>
      <c r="R143" s="587">
        <f t="shared" si="75"/>
        <v>1.5358456577931261</v>
      </c>
      <c r="S143" s="574">
        <f t="shared" si="76"/>
        <v>1.0127444953918789</v>
      </c>
      <c r="T143" s="577">
        <f t="shared" si="77"/>
        <v>0.15881183477591987</v>
      </c>
      <c r="U143" s="578">
        <f t="shared" si="89"/>
        <v>0.95177624082659551</v>
      </c>
      <c r="V143" s="579">
        <f t="shared" si="90"/>
        <v>-0.38487241579639614</v>
      </c>
      <c r="W143" s="580">
        <f t="shared" si="78"/>
        <v>-4.758723918098231</v>
      </c>
      <c r="X143" s="581">
        <f t="shared" si="79"/>
        <v>-128.04491250589766</v>
      </c>
      <c r="Y143" s="584">
        <f t="shared" si="80"/>
        <v>51.955087494102344</v>
      </c>
      <c r="AA143" s="147">
        <f t="shared" si="81"/>
        <v>8128.3</v>
      </c>
      <c r="AB143" s="147">
        <f t="shared" si="82"/>
        <v>66069260.890000001</v>
      </c>
      <c r="AD143" s="583">
        <f t="shared" si="83"/>
        <v>30.422093922588218</v>
      </c>
      <c r="AE143" s="584">
        <f t="shared" si="84"/>
        <v>-11.101399749932474</v>
      </c>
      <c r="AG143" s="583">
        <f t="shared" si="85"/>
        <v>20.780033114710605</v>
      </c>
      <c r="AH143" s="584">
        <f t="shared" si="86"/>
        <v>-72.840382553294731</v>
      </c>
      <c r="AJ143" s="147">
        <f t="shared" si="87"/>
        <v>0</v>
      </c>
      <c r="AK143" s="147">
        <f t="shared" si="65"/>
        <v>0</v>
      </c>
      <c r="AM143" s="147" t="str">
        <f t="shared" si="91"/>
        <v>0.154499065782367+0.533973941533771i</v>
      </c>
      <c r="AN143" s="147" t="str">
        <f t="shared" si="92"/>
        <v>0.563293730482271i</v>
      </c>
      <c r="AO143" s="147" t="str">
        <f t="shared" si="93"/>
        <v>0.947949378162974-0.274277978649062i</v>
      </c>
      <c r="AP143" s="147" t="str">
        <f t="shared" si="94"/>
        <v>0.140916822369605-0.0889956569222952i</v>
      </c>
      <c r="AQ143" s="147" t="str">
        <f t="shared" si="95"/>
        <v>0.859083177630395+0.0889956569222952i</v>
      </c>
      <c r="AR143" s="147" t="str">
        <f t="shared" si="96"/>
        <v>0.95934300609228-0.0993819495761608i</v>
      </c>
    </row>
    <row r="144" spans="7:44">
      <c r="G144" s="585">
        <v>8222.9500000000007</v>
      </c>
      <c r="H144" s="573">
        <f t="shared" si="88"/>
        <v>8.2229500000000009</v>
      </c>
      <c r="I144" s="574">
        <f t="shared" si="66"/>
        <v>71.588377607774902</v>
      </c>
      <c r="J144" s="575">
        <f t="shared" si="67"/>
        <v>1.556827124568785</v>
      </c>
      <c r="K144" s="575">
        <f t="shared" si="68"/>
        <v>1.0001453387297261</v>
      </c>
      <c r="L144" s="576">
        <f t="shared" si="69"/>
        <v>1.7048233287957803E-2</v>
      </c>
      <c r="M144" s="575">
        <f t="shared" si="70"/>
        <v>1.0069676953937752</v>
      </c>
      <c r="N144" s="576">
        <f t="shared" si="71"/>
        <v>-0.11770707011457517</v>
      </c>
      <c r="O144" s="574">
        <f t="shared" si="72"/>
        <v>154998.95569113086</v>
      </c>
      <c r="P144" s="577">
        <f t="shared" si="73"/>
        <v>1.5707898751385254</v>
      </c>
      <c r="Q144" s="586">
        <f t="shared" si="74"/>
        <v>28.950414459703303</v>
      </c>
      <c r="R144" s="587">
        <f t="shared" si="75"/>
        <v>1.5362476344279616</v>
      </c>
      <c r="S144" s="574">
        <f t="shared" si="76"/>
        <v>1.0130411082271571</v>
      </c>
      <c r="T144" s="577">
        <f t="shared" si="77"/>
        <v>0.16062965034647672</v>
      </c>
      <c r="U144" s="578">
        <f t="shared" si="89"/>
        <v>0.95073236912451553</v>
      </c>
      <c r="V144" s="579">
        <f t="shared" si="90"/>
        <v>-0.3891435600828817</v>
      </c>
      <c r="W144" s="580">
        <f t="shared" si="78"/>
        <v>-4.8700591003370421</v>
      </c>
      <c r="X144" s="581">
        <f t="shared" si="79"/>
        <v>-128.44575959151115</v>
      </c>
      <c r="Y144" s="584">
        <f t="shared" si="80"/>
        <v>51.554240408488852</v>
      </c>
      <c r="AA144" s="147">
        <f t="shared" si="81"/>
        <v>8222.9500000000007</v>
      </c>
      <c r="AB144" s="147">
        <f t="shared" si="82"/>
        <v>67616906.702500015</v>
      </c>
      <c r="AD144" s="583">
        <f t="shared" si="83"/>
        <v>30.419428991514422</v>
      </c>
      <c r="AE144" s="584">
        <f t="shared" si="84"/>
        <v>-11.182525649933419</v>
      </c>
      <c r="AG144" s="583">
        <f t="shared" si="85"/>
        <v>20.690426021027267</v>
      </c>
      <c r="AH144" s="584">
        <f t="shared" si="86"/>
        <v>-72.670666655733896</v>
      </c>
      <c r="AJ144" s="147">
        <f t="shared" si="87"/>
        <v>0</v>
      </c>
      <c r="AK144" s="147">
        <f t="shared" si="65"/>
        <v>0</v>
      </c>
      <c r="AM144" s="147" t="str">
        <f t="shared" si="91"/>
        <v>0.158019710755738+0.539508287725174i</v>
      </c>
      <c r="AN144" s="147" t="str">
        <f t="shared" si="92"/>
        <v>0.56985300506492i</v>
      </c>
      <c r="AO144" s="147" t="str">
        <f t="shared" si="93"/>
        <v>0.946749921348069-0.277299074237111i</v>
      </c>
      <c r="AP144" s="147" t="str">
        <f t="shared" si="94"/>
        <v>0.140330048207377-0.0899180479541957i</v>
      </c>
      <c r="AQ144" s="147" t="str">
        <f t="shared" si="95"/>
        <v>0.859669951792623+0.0899180479541957i</v>
      </c>
      <c r="AR144" s="147" t="str">
        <f t="shared" si="96"/>
        <v>0.958490325830343-0.100254264909373i</v>
      </c>
    </row>
    <row r="145" spans="7:44">
      <c r="G145" s="585">
        <v>8270.2750000000015</v>
      </c>
      <c r="H145" s="573">
        <f t="shared" si="88"/>
        <v>8.2702750000000016</v>
      </c>
      <c r="I145" s="574">
        <f t="shared" si="66"/>
        <v>72.000305296785513</v>
      </c>
      <c r="J145" s="575">
        <f t="shared" si="67"/>
        <v>1.5569070502341644</v>
      </c>
      <c r="K145" s="575">
        <f t="shared" si="68"/>
        <v>1.0001470163371782</v>
      </c>
      <c r="L145" s="576">
        <f t="shared" si="69"/>
        <v>1.7146330682375237E-2</v>
      </c>
      <c r="M145" s="575">
        <f t="shared" si="70"/>
        <v>1.0070478461507082</v>
      </c>
      <c r="N145" s="576">
        <f t="shared" si="71"/>
        <v>-0.11837820858201431</v>
      </c>
      <c r="O145" s="574">
        <f t="shared" si="72"/>
        <v>155891.01092407989</v>
      </c>
      <c r="P145" s="577">
        <f t="shared" si="73"/>
        <v>1.5707899120568429</v>
      </c>
      <c r="Q145" s="586">
        <f t="shared" si="74"/>
        <v>29.116832636176756</v>
      </c>
      <c r="R145" s="587">
        <f t="shared" si="75"/>
        <v>1.5364451764999203</v>
      </c>
      <c r="S145" s="574">
        <f t="shared" si="76"/>
        <v>1.0131906694226174</v>
      </c>
      <c r="T145" s="577">
        <f t="shared" si="77"/>
        <v>0.16153815750491446</v>
      </c>
      <c r="U145" s="578">
        <f t="shared" si="89"/>
        <v>0.95020712472465918</v>
      </c>
      <c r="V145" s="579">
        <f t="shared" si="90"/>
        <v>-0.39127660838982758</v>
      </c>
      <c r="W145" s="580">
        <f t="shared" si="78"/>
        <v>-4.9253308955205517</v>
      </c>
      <c r="X145" s="581">
        <f t="shared" si="79"/>
        <v>-128.64612390959863</v>
      </c>
      <c r="Y145" s="584">
        <f t="shared" si="80"/>
        <v>51.353876090401371</v>
      </c>
      <c r="AA145" s="147">
        <f t="shared" si="81"/>
        <v>8270.2750000000015</v>
      </c>
      <c r="AB145" s="147">
        <f t="shared" si="82"/>
        <v>68397448.575625017</v>
      </c>
      <c r="AD145" s="583">
        <f t="shared" si="83"/>
        <v>30.41808760382219</v>
      </c>
      <c r="AE145" s="584">
        <f t="shared" si="84"/>
        <v>-11.223263064080145</v>
      </c>
      <c r="AG145" s="583">
        <f t="shared" si="85"/>
        <v>20.646095529832174</v>
      </c>
      <c r="AH145" s="584">
        <f t="shared" si="86"/>
        <v>-72.585864228424285</v>
      </c>
      <c r="AJ145" s="147">
        <f t="shared" si="87"/>
        <v>0</v>
      </c>
      <c r="AK145" s="147">
        <f t="shared" si="65"/>
        <v>0</v>
      </c>
      <c r="AM145" s="147" t="str">
        <f t="shared" si="91"/>
        <v>0.159793627257885+0.54226677125151i</v>
      </c>
      <c r="AN145" s="147" t="str">
        <f t="shared" si="92"/>
        <v>0.573132642356245i</v>
      </c>
      <c r="AO145" s="147" t="str">
        <f t="shared" si="93"/>
        <v>0.946145326886565-0.278807409399937i</v>
      </c>
      <c r="AP145" s="147" t="str">
        <f t="shared" si="94"/>
        <v>0.140034395457019-0.090377795208585i</v>
      </c>
      <c r="AQ145" s="147" t="str">
        <f t="shared" si="95"/>
        <v>0.859965604542981+0.090377795208585i</v>
      </c>
      <c r="AR145" s="147" t="str">
        <f t="shared" si="96"/>
        <v>0.95806170738837-0.100687172056782i</v>
      </c>
    </row>
    <row r="146" spans="7:44">
      <c r="G146" s="585">
        <v>8317.6</v>
      </c>
      <c r="H146" s="573">
        <f t="shared" si="88"/>
        <v>8.3176000000000005</v>
      </c>
      <c r="I146" s="574">
        <f t="shared" si="66"/>
        <v>72.412233440509169</v>
      </c>
      <c r="J146" s="575">
        <f t="shared" si="67"/>
        <v>1.5569860665611266</v>
      </c>
      <c r="K146" s="575">
        <f t="shared" si="68"/>
        <v>1.0001487035691115</v>
      </c>
      <c r="L146" s="576">
        <f t="shared" si="69"/>
        <v>1.7244427746759772E-2</v>
      </c>
      <c r="M146" s="575">
        <f t="shared" si="70"/>
        <v>1.0071284504367053</v>
      </c>
      <c r="N146" s="576">
        <f t="shared" si="71"/>
        <v>-0.11904923992418129</v>
      </c>
      <c r="O146" s="574">
        <f t="shared" si="72"/>
        <v>156783.06615702916</v>
      </c>
      <c r="P146" s="577">
        <f t="shared" si="73"/>
        <v>1.5707899485550489</v>
      </c>
      <c r="Q146" s="586">
        <f t="shared" si="74"/>
        <v>29.283251935958138</v>
      </c>
      <c r="R146" s="587">
        <f t="shared" si="75"/>
        <v>1.5366404732814423</v>
      </c>
      <c r="S146" s="574">
        <f t="shared" si="76"/>
        <v>1.0133410666434617</v>
      </c>
      <c r="T146" s="577">
        <f t="shared" si="77"/>
        <v>0.16244639573667743</v>
      </c>
      <c r="U146" s="578">
        <f t="shared" si="89"/>
        <v>0.94967969051585666</v>
      </c>
      <c r="V146" s="579">
        <f t="shared" si="90"/>
        <v>-0.39340796620683643</v>
      </c>
      <c r="W146" s="580">
        <f t="shared" si="78"/>
        <v>-4.9803431468985684</v>
      </c>
      <c r="X146" s="581">
        <f t="shared" si="79"/>
        <v>-128.8464463628091</v>
      </c>
      <c r="Y146" s="584">
        <f t="shared" si="80"/>
        <v>51.153553637190896</v>
      </c>
      <c r="AA146" s="147">
        <f t="shared" si="81"/>
        <v>8317.6</v>
      </c>
      <c r="AB146" s="147">
        <f t="shared" si="82"/>
        <v>69182469.760000005</v>
      </c>
      <c r="AD146" s="583">
        <f t="shared" si="83"/>
        <v>30.416740245074998</v>
      </c>
      <c r="AE146" s="584">
        <f t="shared" si="84"/>
        <v>-11.264113691458741</v>
      </c>
      <c r="AG146" s="583">
        <f t="shared" si="85"/>
        <v>20.602075917983221</v>
      </c>
      <c r="AH146" s="584">
        <f t="shared" si="86"/>
        <v>-72.501100438883469</v>
      </c>
      <c r="AJ146" s="147">
        <f t="shared" si="87"/>
        <v>0</v>
      </c>
      <c r="AK146" s="147">
        <f t="shared" si="65"/>
        <v>0</v>
      </c>
      <c r="AM146" s="147" t="str">
        <f t="shared" si="91"/>
        <v>0.161576581029121+0.545019422150423i</v>
      </c>
      <c r="AN146" s="147" t="str">
        <f t="shared" si="92"/>
        <v>0.576412279647569i</v>
      </c>
      <c r="AO146" s="147" t="str">
        <f t="shared" si="93"/>
        <v>0.945537493551768-0.280314258967405i</v>
      </c>
      <c r="AP146" s="147" t="str">
        <f t="shared" si="94"/>
        <v>0.139737236495146-0.0908365703584038i</v>
      </c>
      <c r="AQ146" s="147" t="str">
        <f t="shared" si="95"/>
        <v>0.860262763504854+0.0908365703584038i</v>
      </c>
      <c r="AR146" s="147" t="str">
        <f t="shared" si="96"/>
        <v>0.957631587906796-0.101117905833704i</v>
      </c>
    </row>
    <row r="147" spans="7:44">
      <c r="G147" s="585">
        <v>8366.0499999999993</v>
      </c>
      <c r="H147" s="573">
        <f t="shared" si="88"/>
        <v>8.3660499999999995</v>
      </c>
      <c r="I147" s="574">
        <f t="shared" si="66"/>
        <v>72.833954316893227</v>
      </c>
      <c r="J147" s="575">
        <f t="shared" si="67"/>
        <v>1.5570660353364565</v>
      </c>
      <c r="K147" s="575">
        <f t="shared" si="68"/>
        <v>1.0001504408799058</v>
      </c>
      <c r="L147" s="576">
        <f t="shared" si="69"/>
        <v>1.7344856410173803E-2</v>
      </c>
      <c r="M147" s="575">
        <f t="shared" si="70"/>
        <v>1.0072114405462378</v>
      </c>
      <c r="N147" s="576">
        <f t="shared" si="71"/>
        <v>-0.11973611130360669</v>
      </c>
      <c r="O147" s="574">
        <f t="shared" si="72"/>
        <v>157696.32714036567</v>
      </c>
      <c r="P147" s="577">
        <f t="shared" si="73"/>
        <v>1.5707899854931164</v>
      </c>
      <c r="Q147" s="586">
        <f t="shared" si="74"/>
        <v>29.453628464318843</v>
      </c>
      <c r="R147" s="587">
        <f t="shared" si="75"/>
        <v>1.5368381263544617</v>
      </c>
      <c r="S147" s="574">
        <f t="shared" si="76"/>
        <v>1.0134959047592818</v>
      </c>
      <c r="T147" s="577">
        <f t="shared" si="77"/>
        <v>0.16337594438654254</v>
      </c>
      <c r="U147" s="578">
        <f t="shared" si="89"/>
        <v>0.94913746220240924</v>
      </c>
      <c r="V147" s="579">
        <f t="shared" si="90"/>
        <v>-0.39558823282658306</v>
      </c>
      <c r="W147" s="580">
        <f t="shared" si="78"/>
        <v>-5.0363975747275225</v>
      </c>
      <c r="X147" s="581">
        <f t="shared" si="79"/>
        <v>-129.05148564843395</v>
      </c>
      <c r="Y147" s="584">
        <f t="shared" si="80"/>
        <v>50.948514351566047</v>
      </c>
      <c r="AA147" s="147">
        <f t="shared" si="81"/>
        <v>8366.0499999999993</v>
      </c>
      <c r="AB147" s="147">
        <f t="shared" si="82"/>
        <v>69990792.602499992</v>
      </c>
      <c r="AD147" s="583">
        <f t="shared" si="83"/>
        <v>30.415354654475003</v>
      </c>
      <c r="AE147" s="584">
        <f t="shared" si="84"/>
        <v>-11.306050335499579</v>
      </c>
      <c r="AG147" s="583">
        <f t="shared" si="85"/>
        <v>20.557328489796763</v>
      </c>
      <c r="AH147" s="584">
        <f t="shared" si="86"/>
        <v>-72.414362929132494</v>
      </c>
      <c r="AJ147" s="147">
        <f t="shared" si="87"/>
        <v>0</v>
      </c>
      <c r="AK147" s="147">
        <f t="shared" si="65"/>
        <v>0</v>
      </c>
      <c r="AM147" s="147" t="str">
        <f t="shared" si="91"/>
        <v>0.163411260850356+0.547831435322954i</v>
      </c>
      <c r="AN147" s="147" t="str">
        <f t="shared" si="92"/>
        <v>0.57976987979051i</v>
      </c>
      <c r="AO147" s="147" t="str">
        <f t="shared" si="93"/>
        <v>0.944911859720797-0.281855381844607i</v>
      </c>
      <c r="AP147" s="147" t="str">
        <f t="shared" si="94"/>
        <v>0.139431456524941-0.0913052392204923i</v>
      </c>
      <c r="AQ147" s="147" t="str">
        <f t="shared" si="95"/>
        <v>0.860568543475059+0.0913052392204923i</v>
      </c>
      <c r="AR147" s="147" t="str">
        <f t="shared" si="96"/>
        <v>0.957189702697622-0.101556622591947i</v>
      </c>
    </row>
    <row r="148" spans="7:44">
      <c r="G148" s="588">
        <v>8414.5</v>
      </c>
      <c r="H148" s="573">
        <f t="shared" si="88"/>
        <v>8.4145000000000003</v>
      </c>
      <c r="I148" s="574">
        <f t="shared" si="66"/>
        <v>73.25567565368803</v>
      </c>
      <c r="J148" s="575">
        <f t="shared" si="67"/>
        <v>1.5571450833771074</v>
      </c>
      <c r="K148" s="575">
        <f t="shared" si="68"/>
        <v>1.0001521882780988</v>
      </c>
      <c r="L148" s="576">
        <f t="shared" si="69"/>
        <v>1.744528472367643E-2</v>
      </c>
      <c r="M148" s="575">
        <f t="shared" si="70"/>
        <v>1.0072949057719318</v>
      </c>
      <c r="N148" s="576">
        <f t="shared" si="71"/>
        <v>-0.12042286917761971</v>
      </c>
      <c r="O148" s="574">
        <f t="shared" si="72"/>
        <v>158609.58812370239</v>
      </c>
      <c r="P148" s="577">
        <f t="shared" si="73"/>
        <v>1.5707900220058115</v>
      </c>
      <c r="Q148" s="586">
        <f t="shared" ref="Q148:Q157" si="97">SQRT(1+(G148/Zero2)^2)</f>
        <v>29.624006130101151</v>
      </c>
      <c r="R148" s="587">
        <f t="shared" ref="R148:R157" si="98">ATAN(G148/Zero2)</f>
        <v>1.5370335058958671</v>
      </c>
      <c r="S148" s="574">
        <f t="shared" si="76"/>
        <v>1.013651618329096</v>
      </c>
      <c r="T148" s="577">
        <f t="shared" si="77"/>
        <v>0.16430520825120337</v>
      </c>
      <c r="U148" s="578">
        <f t="shared" si="89"/>
        <v>0.94859296406179505</v>
      </c>
      <c r="V148" s="579">
        <f t="shared" si="90"/>
        <v>-0.39776671520696527</v>
      </c>
      <c r="W148" s="580">
        <f t="shared" si="78"/>
        <v>-5.0921866340807931</v>
      </c>
      <c r="X148" s="581">
        <f t="shared" si="79"/>
        <v>-129.25647738953347</v>
      </c>
      <c r="Y148" s="584">
        <f t="shared" si="80"/>
        <v>50.743522610466528</v>
      </c>
      <c r="AA148" s="147">
        <f t="shared" si="81"/>
        <v>8414.5</v>
      </c>
      <c r="AB148" s="147">
        <f t="shared" si="82"/>
        <v>70803810.25</v>
      </c>
      <c r="AD148" s="583">
        <f t="shared" si="83"/>
        <v>30.413962771607032</v>
      </c>
      <c r="AE148" s="584">
        <f t="shared" si="84"/>
        <v>-11.348100901944303</v>
      </c>
      <c r="AG148" s="583">
        <f t="shared" si="85"/>
        <v>20.512899959694177</v>
      </c>
      <c r="AH148" s="584">
        <f t="shared" si="86"/>
        <v>-72.327668411223001</v>
      </c>
      <c r="AJ148" s="147">
        <f t="shared" si="87"/>
        <v>0</v>
      </c>
      <c r="AK148" s="147">
        <f t="shared" si="65"/>
        <v>0</v>
      </c>
      <c r="AM148" s="147" t="str">
        <f t="shared" si="91"/>
        <v>0.165255371928079+0.55063727253526i</v>
      </c>
      <c r="AN148" s="147" t="str">
        <f t="shared" si="92"/>
        <v>0.583127479933451i</v>
      </c>
      <c r="AO148" s="147" t="str">
        <f t="shared" si="93"/>
        <v>0.944282839488376-0.283394930979652i</v>
      </c>
      <c r="AP148" s="147" t="str">
        <f t="shared" si="94"/>
        <v>0.139124104678653-0.0917728787558767i</v>
      </c>
      <c r="AQ148" s="147" t="str">
        <f t="shared" si="95"/>
        <v>0.860875895321347+0.0917728787558767i</v>
      </c>
      <c r="AR148" s="147" t="str">
        <f t="shared" si="96"/>
        <v>0.956746272617223-0.101993051674727i</v>
      </c>
    </row>
    <row r="149" spans="7:44">
      <c r="G149" s="588">
        <v>8462.9500000000007</v>
      </c>
      <c r="H149" s="573">
        <f t="shared" si="88"/>
        <v>8.4629500000000011</v>
      </c>
      <c r="I149" s="574">
        <f t="shared" si="66"/>
        <v>73.677397442987541</v>
      </c>
      <c r="J149" s="575">
        <f t="shared" si="67"/>
        <v>1.5572232264926531</v>
      </c>
      <c r="K149" s="575">
        <f t="shared" si="68"/>
        <v>1.0001539457636375</v>
      </c>
      <c r="L149" s="576">
        <f t="shared" si="69"/>
        <v>1.7545712685243672E-2</v>
      </c>
      <c r="M149" s="575">
        <f t="shared" si="70"/>
        <v>1.0073788459956916</v>
      </c>
      <c r="N149" s="576">
        <f t="shared" si="71"/>
        <v>-0.12110951292671429</v>
      </c>
      <c r="O149" s="574">
        <f t="shared" si="72"/>
        <v>159522.84910703936</v>
      </c>
      <c r="P149" s="577">
        <f t="shared" si="73"/>
        <v>1.5707900581004393</v>
      </c>
      <c r="Q149" s="586">
        <f t="shared" si="97"/>
        <v>29.794384913792186</v>
      </c>
      <c r="R149" s="587">
        <f t="shared" si="98"/>
        <v>1.5372266508940906</v>
      </c>
      <c r="S149" s="574">
        <f t="shared" si="76"/>
        <v>1.0138082069495138</v>
      </c>
      <c r="T149" s="577">
        <f t="shared" si="77"/>
        <v>0.16523418585735716</v>
      </c>
      <c r="U149" s="578">
        <f t="shared" si="89"/>
        <v>0.94804620892896996</v>
      </c>
      <c r="V149" s="579">
        <f t="shared" si="90"/>
        <v>-0.39994340714996363</v>
      </c>
      <c r="W149" s="580">
        <f t="shared" si="78"/>
        <v>-5.1477136059742108</v>
      </c>
      <c r="X149" s="581">
        <f t="shared" si="79"/>
        <v>-129.46141978356189</v>
      </c>
      <c r="Y149" s="584">
        <f t="shared" si="80"/>
        <v>50.538580216438106</v>
      </c>
      <c r="AA149" s="147">
        <f t="shared" si="81"/>
        <v>8462.9500000000007</v>
      </c>
      <c r="AB149" s="147">
        <f t="shared" si="82"/>
        <v>71621522.702500015</v>
      </c>
      <c r="AD149" s="583">
        <f t="shared" si="83"/>
        <v>30.412564580356687</v>
      </c>
      <c r="AE149" s="584">
        <f t="shared" si="84"/>
        <v>-11.390263072924824</v>
      </c>
      <c r="AG149" s="583">
        <f t="shared" si="85"/>
        <v>20.468786905694202</v>
      </c>
      <c r="AH149" s="584">
        <f t="shared" si="86"/>
        <v>-72.241018110718073</v>
      </c>
      <c r="AJ149" s="147">
        <f t="shared" si="87"/>
        <v>0</v>
      </c>
      <c r="AK149" s="147">
        <f t="shared" si="65"/>
        <v>0</v>
      </c>
      <c r="AM149" s="147" t="str">
        <f t="shared" si="91"/>
        <v>0.167108893472762+0.553436902155823i</v>
      </c>
      <c r="AN149" s="147" t="str">
        <f t="shared" si="92"/>
        <v>0.586485080076392i</v>
      </c>
      <c r="AO149" s="147" t="str">
        <f t="shared" si="93"/>
        <v>0.943650437081427-0.284932897953679i</v>
      </c>
      <c r="AP149" s="147" t="str">
        <f t="shared" si="94"/>
        <v>0.138815184421206-0.0922394836926372i</v>
      </c>
      <c r="AQ149" s="147" t="str">
        <f t="shared" si="95"/>
        <v>0.861184815578794+0.0922394836926372i</v>
      </c>
      <c r="AR149" s="147" t="str">
        <f t="shared" si="96"/>
        <v>0.956301312025121-0.102427188310914i</v>
      </c>
    </row>
    <row r="150" spans="7:44">
      <c r="G150" s="588">
        <v>8511.4</v>
      </c>
      <c r="H150" s="573">
        <f t="shared" si="88"/>
        <v>8.5114000000000001</v>
      </c>
      <c r="I150" s="574">
        <f t="shared" si="66"/>
        <v>74.099119677065715</v>
      </c>
      <c r="J150" s="575">
        <f t="shared" si="67"/>
        <v>1.5573004801328014</v>
      </c>
      <c r="K150" s="575">
        <f t="shared" si="68"/>
        <v>1.0001557133364689</v>
      </c>
      <c r="L150" s="576">
        <f t="shared" si="69"/>
        <v>1.7646140292851595E-2</v>
      </c>
      <c r="M150" s="575">
        <f t="shared" si="70"/>
        <v>1.007463261098789</v>
      </c>
      <c r="N150" s="576">
        <f t="shared" si="71"/>
        <v>-0.12179604193202072</v>
      </c>
      <c r="O150" s="574">
        <f t="shared" si="72"/>
        <v>160436.11009037652</v>
      </c>
      <c r="P150" s="577">
        <f t="shared" si="73"/>
        <v>1.5707900937841397</v>
      </c>
      <c r="Q150" s="586">
        <f t="shared" si="97"/>
        <v>29.964764796322758</v>
      </c>
      <c r="R150" s="587">
        <f t="shared" si="98"/>
        <v>1.5374175994514867</v>
      </c>
      <c r="S150" s="574">
        <f t="shared" si="76"/>
        <v>1.0139656702151285</v>
      </c>
      <c r="T150" s="577">
        <f t="shared" si="77"/>
        <v>0.16616287573458505</v>
      </c>
      <c r="U150" s="578">
        <f t="shared" si="89"/>
        <v>0.94749720965198614</v>
      </c>
      <c r="V150" s="579">
        <f t="shared" si="90"/>
        <v>-0.40211830251543224</v>
      </c>
      <c r="W150" s="580">
        <f t="shared" si="78"/>
        <v>-5.2029817134126581</v>
      </c>
      <c r="X150" s="581">
        <f t="shared" si="79"/>
        <v>-129.66631106163155</v>
      </c>
      <c r="Y150" s="584">
        <f t="shared" si="80"/>
        <v>50.333688938368454</v>
      </c>
      <c r="AA150" s="147">
        <f t="shared" si="81"/>
        <v>8511.4</v>
      </c>
      <c r="AB150" s="147">
        <f t="shared" si="82"/>
        <v>72443929.959999993</v>
      </c>
      <c r="AD150" s="583">
        <f t="shared" si="83"/>
        <v>30.411160065293082</v>
      </c>
      <c r="AE150" s="584">
        <f t="shared" si="84"/>
        <v>-11.432534581497329</v>
      </c>
      <c r="AG150" s="583">
        <f t="shared" si="85"/>
        <v>20.424985962832636</v>
      </c>
      <c r="AH150" s="584">
        <f t="shared" si="86"/>
        <v>-72.154413229282568</v>
      </c>
      <c r="AJ150" s="147">
        <f t="shared" si="87"/>
        <v>0</v>
      </c>
      <c r="AK150" s="147">
        <f t="shared" si="65"/>
        <v>0</v>
      </c>
      <c r="AM150" s="147" t="str">
        <f t="shared" si="91"/>
        <v>0.168971804588789+0.556230292623107i</v>
      </c>
      <c r="AN150" s="147" t="str">
        <f t="shared" si="92"/>
        <v>0.589842680219332i</v>
      </c>
      <c r="AO150" s="147" t="str">
        <f t="shared" si="93"/>
        <v>0.943014656749277-0.28646927435966i</v>
      </c>
      <c r="AP150" s="147" t="str">
        <f t="shared" si="94"/>
        <v>0.138504699235202-0.0927050487705178i</v>
      </c>
      <c r="AQ150" s="147" t="str">
        <f t="shared" si="95"/>
        <v>0.861495300764798+0.0927050487705178i</v>
      </c>
      <c r="AR150" s="147" t="str">
        <f t="shared" si="96"/>
        <v>0.955854835281058-0.102859027836367i</v>
      </c>
    </row>
    <row r="151" spans="7:44">
      <c r="G151" s="588">
        <v>8560.9500000000007</v>
      </c>
      <c r="H151" s="573">
        <f t="shared" si="88"/>
        <v>8.5609500000000001</v>
      </c>
      <c r="I151" s="574">
        <f t="shared" si="66"/>
        <v>74.530417068320986</v>
      </c>
      <c r="J151" s="575">
        <f t="shared" si="67"/>
        <v>1.5573785834635232</v>
      </c>
      <c r="K151" s="575">
        <f t="shared" si="68"/>
        <v>1.0001575314733198</v>
      </c>
      <c r="L151" s="576">
        <f t="shared" si="69"/>
        <v>1.774884762240788E-2</v>
      </c>
      <c r="M151" s="575">
        <f t="shared" si="70"/>
        <v>1.0075500837967515</v>
      </c>
      <c r="N151" s="576">
        <f t="shared" si="71"/>
        <v>-0.12249803844184527</v>
      </c>
      <c r="O151" s="574">
        <f t="shared" si="72"/>
        <v>161370.10558520351</v>
      </c>
      <c r="P151" s="577">
        <f t="shared" si="73"/>
        <v>1.5707901298602389</v>
      </c>
      <c r="Q151" s="586">
        <f t="shared" si="97"/>
        <v>30.13901406988365</v>
      </c>
      <c r="R151" s="587">
        <f t="shared" si="98"/>
        <v>1.5376106502676445</v>
      </c>
      <c r="S151" s="574">
        <f t="shared" si="76"/>
        <v>1.0141276127308247</v>
      </c>
      <c r="T151" s="577">
        <f t="shared" si="77"/>
        <v>0.16711235128685772</v>
      </c>
      <c r="U151" s="578">
        <f t="shared" si="89"/>
        <v>0.94693343824908249</v>
      </c>
      <c r="V151" s="579">
        <f t="shared" si="90"/>
        <v>-0.40434071174769831</v>
      </c>
      <c r="W151" s="580">
        <f t="shared" si="78"/>
        <v>-5.2592401703539036</v>
      </c>
      <c r="X151" s="581">
        <f t="shared" si="79"/>
        <v>-129.87579947509107</v>
      </c>
      <c r="Y151" s="584">
        <f t="shared" si="80"/>
        <v>50.124200524908929</v>
      </c>
      <c r="AA151" s="147">
        <f t="shared" si="81"/>
        <v>8560.9500000000007</v>
      </c>
      <c r="AB151" s="147">
        <f t="shared" si="82"/>
        <v>73289864.902500018</v>
      </c>
      <c r="AD151" s="583">
        <f t="shared" si="83"/>
        <v>30.409717106181272</v>
      </c>
      <c r="AE151" s="584">
        <f t="shared" si="84"/>
        <v>-11.475876593453762</v>
      </c>
      <c r="AG151" s="583">
        <f t="shared" si="85"/>
        <v>20.380509943699245</v>
      </c>
      <c r="AH151" s="584">
        <f t="shared" si="86"/>
        <v>-72.065890291775162</v>
      </c>
      <c r="AJ151" s="147">
        <f t="shared" si="87"/>
        <v>0</v>
      </c>
      <c r="AK151" s="147">
        <f t="shared" ref="AK151:AK214" si="99">IF(AJ151&gt;0,Y151,0)</f>
        <v>0</v>
      </c>
      <c r="AM151" s="147" t="str">
        <f t="shared" si="91"/>
        <v>0.170886700773333+0.559080617662133i</v>
      </c>
      <c r="AN151" s="147" t="str">
        <f t="shared" si="92"/>
        <v>0.593276510706076i</v>
      </c>
      <c r="AO151" s="147" t="str">
        <f t="shared" si="93"/>
        <v>0.94236095239428-0.288038878481731i</v>
      </c>
      <c r="AP151" s="147" t="str">
        <f t="shared" si="94"/>
        <v>0.138185549871111-0.0931801029436888i</v>
      </c>
      <c r="AQ151" s="147" t="str">
        <f t="shared" si="95"/>
        <v>0.861814450128889+0.0931801029436888i</v>
      </c>
      <c r="AR151" s="147" t="str">
        <f t="shared" si="96"/>
        <v>0.955396668597873-0.103298291086548i</v>
      </c>
    </row>
    <row r="152" spans="7:44">
      <c r="G152" s="588">
        <v>8610.5</v>
      </c>
      <c r="H152" s="573">
        <f t="shared" si="88"/>
        <v>8.6105</v>
      </c>
      <c r="I152" s="574">
        <f t="shared" si="66"/>
        <v>74.961714908989819</v>
      </c>
      <c r="J152" s="575">
        <f t="shared" si="67"/>
        <v>1.5574557880479862</v>
      </c>
      <c r="K152" s="575">
        <f t="shared" si="68"/>
        <v>1.0001593601605894</v>
      </c>
      <c r="L152" s="576">
        <f t="shared" si="69"/>
        <v>1.7851554577468273E-2</v>
      </c>
      <c r="M152" s="575">
        <f t="shared" si="70"/>
        <v>1.0076374029287807</v>
      </c>
      <c r="N152" s="576">
        <f t="shared" si="71"/>
        <v>-0.12319991363126567</v>
      </c>
      <c r="O152" s="574">
        <f t="shared" si="72"/>
        <v>162304.10108003067</v>
      </c>
      <c r="P152" s="577">
        <f t="shared" si="73"/>
        <v>1.5707901655211312</v>
      </c>
      <c r="Q152" s="586">
        <f t="shared" si="97"/>
        <v>30.313264453770508</v>
      </c>
      <c r="R152" s="587">
        <f t="shared" si="98"/>
        <v>1.5378014816546075</v>
      </c>
      <c r="S152" s="574">
        <f t="shared" si="76"/>
        <v>1.0142904691940249</v>
      </c>
      <c r="T152" s="577">
        <f t="shared" si="77"/>
        <v>0.16806152279527717</v>
      </c>
      <c r="U152" s="578">
        <f t="shared" si="89"/>
        <v>0.94636734686406376</v>
      </c>
      <c r="V152" s="579">
        <f t="shared" si="90"/>
        <v>-0.40656122909327458</v>
      </c>
      <c r="W152" s="580">
        <f t="shared" si="78"/>
        <v>-5.3152345134774768</v>
      </c>
      <c r="X152" s="581">
        <f t="shared" si="79"/>
        <v>-130.08523078707694</v>
      </c>
      <c r="Y152" s="584">
        <f t="shared" si="80"/>
        <v>49.914769212923062</v>
      </c>
      <c r="AA152" s="147">
        <f t="shared" si="81"/>
        <v>8610.5</v>
      </c>
      <c r="AB152" s="147">
        <f t="shared" si="82"/>
        <v>74140710.25</v>
      </c>
      <c r="AD152" s="583">
        <f t="shared" si="83"/>
        <v>30.408267502295551</v>
      </c>
      <c r="AE152" s="584">
        <f t="shared" si="84"/>
        <v>-11.51932832511692</v>
      </c>
      <c r="AG152" s="583">
        <f t="shared" si="85"/>
        <v>20.336353426936174</v>
      </c>
      <c r="AH152" s="584">
        <f t="shared" si="86"/>
        <v>-71.977417327332873</v>
      </c>
      <c r="AJ152" s="147">
        <f t="shared" si="87"/>
        <v>0</v>
      </c>
      <c r="AK152" s="147">
        <f t="shared" si="99"/>
        <v>0</v>
      </c>
      <c r="AM152" s="147" t="str">
        <f t="shared" si="91"/>
        <v>0.172811373182215+0.561924350480834i</v>
      </c>
      <c r="AN152" s="147" t="str">
        <f t="shared" si="92"/>
        <v>0.596710341192819i</v>
      </c>
      <c r="AO152" s="147" t="str">
        <f t="shared" si="93"/>
        <v>0.941703724050688-0.289606801244246i</v>
      </c>
      <c r="AP152" s="147" t="str">
        <f t="shared" si="94"/>
        <v>0.137864771136297-0.0936540584134723i</v>
      </c>
      <c r="AQ152" s="147" t="str">
        <f t="shared" si="95"/>
        <v>0.862135228863703+0.0936540584134723i</v>
      </c>
      <c r="AR152" s="147" t="str">
        <f t="shared" si="96"/>
        <v>0.954936946512541-0.103735142209352i</v>
      </c>
    </row>
    <row r="153" spans="7:44">
      <c r="G153" s="588">
        <v>8660.0499999999993</v>
      </c>
      <c r="H153" s="573">
        <f t="shared" si="88"/>
        <v>8.66005</v>
      </c>
      <c r="I153" s="574">
        <f t="shared" si="66"/>
        <v>75.393013191359401</v>
      </c>
      <c r="J153" s="575">
        <f t="shared" si="67"/>
        <v>1.5575321093095453</v>
      </c>
      <c r="K153" s="575">
        <f t="shared" si="68"/>
        <v>1.0001611993982198</v>
      </c>
      <c r="L153" s="576">
        <f t="shared" si="69"/>
        <v>1.7954261155867988E-2</v>
      </c>
      <c r="M153" s="575">
        <f t="shared" si="70"/>
        <v>1.007725218365829</v>
      </c>
      <c r="N153" s="576">
        <f t="shared" si="71"/>
        <v>-0.12390166684038155</v>
      </c>
      <c r="O153" s="574">
        <f t="shared" si="72"/>
        <v>163238.09657485801</v>
      </c>
      <c r="P153" s="577">
        <f t="shared" si="73"/>
        <v>1.5707902007739432</v>
      </c>
      <c r="Q153" s="586">
        <f t="shared" si="97"/>
        <v>30.487515928945236</v>
      </c>
      <c r="R153" s="587">
        <f t="shared" si="98"/>
        <v>1.5379901316538158</v>
      </c>
      <c r="S153" s="574">
        <f t="shared" si="76"/>
        <v>1.0144542391645641</v>
      </c>
      <c r="T153" s="577">
        <f t="shared" si="77"/>
        <v>0.16901038869641946</v>
      </c>
      <c r="U153" s="578">
        <f t="shared" si="89"/>
        <v>0.94579894927793196</v>
      </c>
      <c r="V153" s="579">
        <f t="shared" si="90"/>
        <v>-0.40877984817206187</v>
      </c>
      <c r="W153" s="580">
        <f t="shared" si="78"/>
        <v>-5.3709680105660098</v>
      </c>
      <c r="X153" s="581">
        <f t="shared" si="79"/>
        <v>-130.2946032092608</v>
      </c>
      <c r="Y153" s="584">
        <f t="shared" si="80"/>
        <v>49.705396790739201</v>
      </c>
      <c r="AA153" s="147">
        <f t="shared" si="81"/>
        <v>8660.0499999999993</v>
      </c>
      <c r="AB153" s="147">
        <f t="shared" si="82"/>
        <v>74996466.002499983</v>
      </c>
      <c r="AD153" s="583">
        <f t="shared" si="83"/>
        <v>30.406811239206984</v>
      </c>
      <c r="AE153" s="584">
        <f t="shared" si="84"/>
        <v>-11.562887507703586</v>
      </c>
      <c r="AG153" s="583">
        <f t="shared" si="85"/>
        <v>20.292512989875785</v>
      </c>
      <c r="AH153" s="584">
        <f t="shared" si="86"/>
        <v>-71.888995547516132</v>
      </c>
      <c r="AJ153" s="147">
        <f t="shared" si="87"/>
        <v>0</v>
      </c>
      <c r="AK153" s="147">
        <f t="shared" si="99"/>
        <v>0</v>
      </c>
      <c r="AM153" s="147" t="str">
        <f t="shared" si="91"/>
        <v>0.174745799121277+0.564761457548247i</v>
      </c>
      <c r="AN153" s="147" t="str">
        <f t="shared" si="92"/>
        <v>0.600144171679563i</v>
      </c>
      <c r="AO153" s="147" t="str">
        <f t="shared" si="93"/>
        <v>0.941042976336346-0.291173033693277i</v>
      </c>
      <c r="AP153" s="147" t="str">
        <f t="shared" si="94"/>
        <v>0.137542366813121-0.0941269095913745i</v>
      </c>
      <c r="AQ153" s="147" t="str">
        <f t="shared" si="95"/>
        <v>0.862457633186879+0.0941269095913745i</v>
      </c>
      <c r="AR153" s="147" t="str">
        <f t="shared" si="96"/>
        <v>0.95447568438009-0.104169576560919i</v>
      </c>
    </row>
    <row r="154" spans="7:44">
      <c r="G154" s="588">
        <v>8709.6</v>
      </c>
      <c r="H154" s="573">
        <f t="shared" si="88"/>
        <v>8.7096</v>
      </c>
      <c r="I154" s="574">
        <f t="shared" si="66"/>
        <v>75.824311907892422</v>
      </c>
      <c r="J154" s="575">
        <f t="shared" si="67"/>
        <v>1.5576075623206758</v>
      </c>
      <c r="K154" s="575">
        <f t="shared" si="68"/>
        <v>1.0001630491861533</v>
      </c>
      <c r="L154" s="576">
        <f t="shared" si="69"/>
        <v>1.8056967355442273E-2</v>
      </c>
      <c r="M154" s="575">
        <f t="shared" si="70"/>
        <v>1.0078135299781603</v>
      </c>
      <c r="N154" s="576">
        <f t="shared" si="71"/>
        <v>-0.12460329741000242</v>
      </c>
      <c r="O154" s="574">
        <f t="shared" si="72"/>
        <v>164172.0920696856</v>
      </c>
      <c r="P154" s="577">
        <f t="shared" si="73"/>
        <v>1.57079023562564</v>
      </c>
      <c r="Q154" s="586">
        <f t="shared" si="97"/>
        <v>30.661768476802411</v>
      </c>
      <c r="R154" s="587">
        <f t="shared" si="98"/>
        <v>1.5381766374425725</v>
      </c>
      <c r="S154" s="574">
        <f t="shared" si="76"/>
        <v>1.0146189222000943</v>
      </c>
      <c r="T154" s="577">
        <f t="shared" si="77"/>
        <v>0.16995894743006837</v>
      </c>
      <c r="U154" s="578">
        <f t="shared" si="89"/>
        <v>0.94522825928285881</v>
      </c>
      <c r="V154" s="579">
        <f t="shared" si="90"/>
        <v>-0.41099656266724865</v>
      </c>
      <c r="W154" s="580">
        <f t="shared" si="78"/>
        <v>-5.42644387154904</v>
      </c>
      <c r="X154" s="581">
        <f t="shared" si="79"/>
        <v>-130.50391498656313</v>
      </c>
      <c r="Y154" s="584">
        <f t="shared" si="80"/>
        <v>49.496085013436868</v>
      </c>
      <c r="AA154" s="147">
        <f t="shared" si="81"/>
        <v>8709.6</v>
      </c>
      <c r="AB154" s="147">
        <f t="shared" si="82"/>
        <v>75857132.160000011</v>
      </c>
      <c r="AD154" s="583">
        <f t="shared" si="83"/>
        <v>30.405348303142055</v>
      </c>
      <c r="AE154" s="584">
        <f t="shared" si="84"/>
        <v>-11.60655192211647</v>
      </c>
      <c r="AG154" s="583">
        <f t="shared" si="85"/>
        <v>20.248985266741766</v>
      </c>
      <c r="AH154" s="584">
        <f t="shared" si="86"/>
        <v>-71.800626140196016</v>
      </c>
      <c r="AJ154" s="147">
        <f t="shared" si="87"/>
        <v>0</v>
      </c>
      <c r="AK154" s="147">
        <f t="shared" si="99"/>
        <v>0</v>
      </c>
      <c r="AM154" s="147" t="str">
        <f t="shared" si="91"/>
        <v>0.176689955781353+0.567591905411529i</v>
      </c>
      <c r="AN154" s="147" t="str">
        <f t="shared" si="92"/>
        <v>0.603578002166306i</v>
      </c>
      <c r="AO154" s="147" t="str">
        <f t="shared" si="93"/>
        <v>0.94037871389345-0.292737566888114i</v>
      </c>
      <c r="AP154" s="147" t="str">
        <f t="shared" si="94"/>
        <v>0.137218340703108-0.0945986509019215i</v>
      </c>
      <c r="AQ154" s="147" t="str">
        <f t="shared" si="95"/>
        <v>0.862781659296892+0.0945986509019215i</v>
      </c>
      <c r="AR154" s="147" t="str">
        <f t="shared" si="96"/>
        <v>0.954012897551836-0.104601589613046i</v>
      </c>
    </row>
    <row r="155" spans="7:44">
      <c r="G155" s="588">
        <v>8760.3250000000007</v>
      </c>
      <c r="H155" s="573">
        <f t="shared" si="88"/>
        <v>8.7603249999999999</v>
      </c>
      <c r="I155" s="574">
        <f t="shared" si="66"/>
        <v>76.26583863441401</v>
      </c>
      <c r="J155" s="575">
        <f t="shared" si="67"/>
        <v>1.5576839205806983</v>
      </c>
      <c r="K155" s="575">
        <f t="shared" si="68"/>
        <v>1.00016495376737</v>
      </c>
      <c r="L155" s="576">
        <f t="shared" si="69"/>
        <v>1.816210867567767E-2</v>
      </c>
      <c r="M155" s="575">
        <f t="shared" si="70"/>
        <v>1.007904449588553</v>
      </c>
      <c r="N155" s="576">
        <f t="shared" si="71"/>
        <v>-0.12532143831680662</v>
      </c>
      <c r="O155" s="574">
        <f t="shared" si="72"/>
        <v>165128.23579269546</v>
      </c>
      <c r="P155" s="577">
        <f t="shared" si="73"/>
        <v>1.5707902708954</v>
      </c>
      <c r="Q155" s="586">
        <f t="shared" si="97"/>
        <v>30.840154240806328</v>
      </c>
      <c r="R155" s="587">
        <f t="shared" si="98"/>
        <v>1.5383653827711563</v>
      </c>
      <c r="S155" s="574">
        <f t="shared" si="76"/>
        <v>1.0147884557691782</v>
      </c>
      <c r="T155" s="577">
        <f t="shared" si="77"/>
        <v>0.17092967993072003</v>
      </c>
      <c r="U155" s="578">
        <f t="shared" si="89"/>
        <v>0.94464167609151417</v>
      </c>
      <c r="V155" s="579">
        <f t="shared" si="90"/>
        <v>-0.41326386365209256</v>
      </c>
      <c r="W155" s="580">
        <f t="shared" si="78"/>
        <v>-5.4829716741981427</v>
      </c>
      <c r="X155" s="581">
        <f t="shared" si="79"/>
        <v>-130.71812564471048</v>
      </c>
      <c r="Y155" s="584">
        <f t="shared" si="80"/>
        <v>49.281874355289517</v>
      </c>
      <c r="AA155" s="147">
        <f t="shared" si="81"/>
        <v>8760.3250000000007</v>
      </c>
      <c r="AB155" s="147">
        <f t="shared" si="82"/>
        <v>76743294.105625018</v>
      </c>
      <c r="AD155" s="583">
        <f t="shared" si="83"/>
        <v>30.403843749933426</v>
      </c>
      <c r="AE155" s="584">
        <f t="shared" si="84"/>
        <v>-11.651358507568915</v>
      </c>
      <c r="AG155" s="583">
        <f t="shared" si="85"/>
        <v>20.204745821904577</v>
      </c>
      <c r="AH155" s="584">
        <f t="shared" si="86"/>
        <v>-71.710216657959194</v>
      </c>
      <c r="AJ155" s="147">
        <f t="shared" si="87"/>
        <v>0</v>
      </c>
      <c r="AK155" s="147">
        <f t="shared" si="99"/>
        <v>0</v>
      </c>
      <c r="AM155" s="147" t="str">
        <f t="shared" si="91"/>
        <v>0.178690270692184+0.570482540087181i</v>
      </c>
      <c r="AN155" s="147" t="str">
        <f t="shared" si="92"/>
        <v>0.607093260520293i</v>
      </c>
      <c r="AO155" s="147" t="str">
        <f t="shared" si="93"/>
        <v>0.939695063651776-0.294337431021788i</v>
      </c>
      <c r="AP155" s="147" t="str">
        <f t="shared" si="94"/>
        <v>0.136884954884636-0.0950804233478635i</v>
      </c>
      <c r="AQ155" s="147" t="str">
        <f t="shared" si="95"/>
        <v>0.863115045115364+0.0950804233478635i</v>
      </c>
      <c r="AR155" s="147" t="str">
        <f t="shared" si="96"/>
        <v>0.953537573129128-0.105041334459758i</v>
      </c>
    </row>
    <row r="156" spans="7:44">
      <c r="G156" s="588">
        <v>8811.0499999999993</v>
      </c>
      <c r="H156" s="573">
        <f t="shared" si="88"/>
        <v>8.8110499999999998</v>
      </c>
      <c r="I156" s="574">
        <f t="shared" si="66"/>
        <v>76.707365800490862</v>
      </c>
      <c r="J156" s="575">
        <f t="shared" si="67"/>
        <v>1.5577593998057262</v>
      </c>
      <c r="K156" s="575">
        <f t="shared" si="68"/>
        <v>1.0001668694050654</v>
      </c>
      <c r="L156" s="576">
        <f t="shared" si="69"/>
        <v>1.8267249594317216E-2</v>
      </c>
      <c r="M156" s="575">
        <f t="shared" si="70"/>
        <v>1.0079958889079135</v>
      </c>
      <c r="N156" s="576">
        <f t="shared" si="71"/>
        <v>-0.12603944930301184</v>
      </c>
      <c r="O156" s="574">
        <f t="shared" si="72"/>
        <v>166084.37951570554</v>
      </c>
      <c r="P156" s="577">
        <f t="shared" si="73"/>
        <v>1.5707903057590658</v>
      </c>
      <c r="Q156" s="586">
        <f t="shared" si="97"/>
        <v>31.018541090847695</v>
      </c>
      <c r="R156" s="587">
        <f t="shared" si="98"/>
        <v>1.5385519571670436</v>
      </c>
      <c r="S156" s="574">
        <f t="shared" si="76"/>
        <v>1.0149589452753487</v>
      </c>
      <c r="T156" s="577">
        <f t="shared" si="77"/>
        <v>0.17190008722456865</v>
      </c>
      <c r="U156" s="578">
        <f t="shared" si="89"/>
        <v>0.94405271976379879</v>
      </c>
      <c r="V156" s="579">
        <f t="shared" si="90"/>
        <v>-0.41552915546019292</v>
      </c>
      <c r="W156" s="580">
        <f t="shared" si="78"/>
        <v>-5.5392361046177694</v>
      </c>
      <c r="X156" s="581">
        <f t="shared" si="79"/>
        <v>-130.93226912865893</v>
      </c>
      <c r="Y156" s="584">
        <f t="shared" si="80"/>
        <v>49.06773087134107</v>
      </c>
      <c r="AA156" s="147">
        <f t="shared" si="81"/>
        <v>8811.0499999999993</v>
      </c>
      <c r="AB156" s="147">
        <f t="shared" si="82"/>
        <v>77634602.102499992</v>
      </c>
      <c r="AD156" s="583">
        <f t="shared" si="83"/>
        <v>30.402332176320762</v>
      </c>
      <c r="AE156" s="584">
        <f t="shared" si="84"/>
        <v>-11.696270822057828</v>
      </c>
      <c r="AG156" s="583">
        <f t="shared" si="85"/>
        <v>20.160827136769257</v>
      </c>
      <c r="AH156" s="584">
        <f t="shared" si="86"/>
        <v>-71.619864507182683</v>
      </c>
      <c r="AJ156" s="147">
        <f t="shared" si="87"/>
        <v>0</v>
      </c>
      <c r="AK156" s="147">
        <f t="shared" si="99"/>
        <v>0</v>
      </c>
      <c r="AM156" s="147" t="str">
        <f t="shared" si="91"/>
        <v>0.180700734550805+0.573366125293786i</v>
      </c>
      <c r="AN156" s="147" t="str">
        <f t="shared" si="92"/>
        <v>0.61060851887428i</v>
      </c>
      <c r="AO156" s="147" t="str">
        <f t="shared" si="93"/>
        <v>0.939007739935967-0.295935495436496i</v>
      </c>
      <c r="AP156" s="147" t="str">
        <f t="shared" si="94"/>
        <v>0.136549877574866-0.0955610208822977i</v>
      </c>
      <c r="AQ156" s="147" t="str">
        <f t="shared" si="95"/>
        <v>0.863450122425134+0.0955610208822977i</v>
      </c>
      <c r="AR156" s="147" t="str">
        <f t="shared" si="96"/>
        <v>0.953060683383159-0.105478532577047i</v>
      </c>
    </row>
    <row r="157" spans="7:44">
      <c r="G157" s="588">
        <v>8861.7749999999996</v>
      </c>
      <c r="H157" s="573">
        <f t="shared" si="88"/>
        <v>8.8617749999999997</v>
      </c>
      <c r="I157" s="574">
        <f t="shared" si="66"/>
        <v>77.148893398576234</v>
      </c>
      <c r="J157" s="575">
        <f t="shared" si="67"/>
        <v>1.5578340150871972</v>
      </c>
      <c r="K157" s="575">
        <f t="shared" si="68"/>
        <v>1.0001687960991759</v>
      </c>
      <c r="L157" s="576">
        <f t="shared" si="69"/>
        <v>1.8372390109038648E-2</v>
      </c>
      <c r="M157" s="575">
        <f t="shared" si="70"/>
        <v>1.0080878477948201</v>
      </c>
      <c r="N157" s="576">
        <f t="shared" si="71"/>
        <v>-0.12675732966374642</v>
      </c>
      <c r="O157" s="574">
        <f t="shared" si="72"/>
        <v>167040.52323871577</v>
      </c>
      <c r="P157" s="577">
        <f t="shared" si="73"/>
        <v>1.5707903402236107</v>
      </c>
      <c r="Q157" s="586">
        <f t="shared" si="97"/>
        <v>31.19692900829634</v>
      </c>
      <c r="R157" s="587">
        <f t="shared" si="98"/>
        <v>1.5387363978581212</v>
      </c>
      <c r="S157" s="574">
        <f t="shared" si="76"/>
        <v>1.0151303902369619</v>
      </c>
      <c r="T157" s="577">
        <f t="shared" si="77"/>
        <v>0.17287016764828431</v>
      </c>
      <c r="U157" s="578">
        <f t="shared" si="89"/>
        <v>0.94346140512777898</v>
      </c>
      <c r="V157" s="579">
        <f t="shared" si="90"/>
        <v>-0.41779243152060741</v>
      </c>
      <c r="W157" s="580">
        <f t="shared" si="78"/>
        <v>-5.5952404266503306</v>
      </c>
      <c r="X157" s="581">
        <f t="shared" si="79"/>
        <v>-131.14634365844071</v>
      </c>
      <c r="Y157" s="584">
        <f t="shared" si="80"/>
        <v>48.853656341559287</v>
      </c>
      <c r="AA157" s="147">
        <f t="shared" si="81"/>
        <v>8861.7749999999996</v>
      </c>
      <c r="AB157" s="147">
        <f t="shared" si="82"/>
        <v>78531056.15062499</v>
      </c>
      <c r="AD157" s="583">
        <f t="shared" si="83"/>
        <v>30.400813569526616</v>
      </c>
      <c r="AE157" s="584">
        <f t="shared" si="84"/>
        <v>-11.741286637680181</v>
      </c>
      <c r="AG157" s="583">
        <f t="shared" si="85"/>
        <v>20.117225777351297</v>
      </c>
      <c r="AH157" s="584">
        <f t="shared" si="86"/>
        <v>-71.529570888776291</v>
      </c>
      <c r="AJ157" s="147">
        <f t="shared" si="87"/>
        <v>0</v>
      </c>
      <c r="AK157" s="147">
        <f t="shared" si="99"/>
        <v>0</v>
      </c>
      <c r="AM157" s="147" t="str">
        <f t="shared" si="91"/>
        <v>0.182721322513858+0.5762426253988i</v>
      </c>
      <c r="AN157" s="147" t="str">
        <f t="shared" si="92"/>
        <v>0.614123777228267i</v>
      </c>
      <c r="AO157" s="147" t="str">
        <f t="shared" si="93"/>
        <v>0.938316747805407-0.297531750583794i</v>
      </c>
      <c r="AP157" s="147" t="str">
        <f t="shared" si="94"/>
        <v>0.136213112914357-0.0960404375664667i</v>
      </c>
      <c r="AQ157" s="147" t="str">
        <f t="shared" si="95"/>
        <v>0.863786887085643+0.0960404375664667i</v>
      </c>
      <c r="AR157" s="147" t="str">
        <f t="shared" si="96"/>
        <v>0.952582244764967-0.105913179481045i</v>
      </c>
    </row>
    <row r="158" spans="7:44">
      <c r="G158" s="585">
        <v>8912.5</v>
      </c>
      <c r="H158" s="573">
        <f t="shared" si="88"/>
        <v>8.9124999999999996</v>
      </c>
      <c r="I158" s="574">
        <f t="shared" si="66"/>
        <v>77.590421421295062</v>
      </c>
      <c r="J158" s="575">
        <f t="shared" si="67"/>
        <v>1.5579077811730766</v>
      </c>
      <c r="K158" s="575">
        <f t="shared" si="68"/>
        <v>1.0001707338496373</v>
      </c>
      <c r="L158" s="576">
        <f t="shared" si="69"/>
        <v>1.8477530217519744E-2</v>
      </c>
      <c r="M158" s="575">
        <f t="shared" si="70"/>
        <v>1.0081803261070994</v>
      </c>
      <c r="N158" s="576">
        <f t="shared" si="71"/>
        <v>-0.12747507869493369</v>
      </c>
      <c r="O158" s="574">
        <f t="shared" si="72"/>
        <v>167996.66696172627</v>
      </c>
      <c r="P158" s="577">
        <f t="shared" si="73"/>
        <v>1.5707903742958496</v>
      </c>
      <c r="Q158" s="586">
        <f t="shared" ref="Q158:Q214" si="100">SQRT(1+(G158/Zero2)^2)</f>
        <v>31.37531797494567</v>
      </c>
      <c r="R158" s="587">
        <f t="shared" ref="R158:R214" si="101">ATAN(G158/Zero2)</f>
        <v>1.538918741226206</v>
      </c>
      <c r="S158" s="574">
        <f t="shared" si="76"/>
        <v>1.0153027901700005</v>
      </c>
      <c r="T158" s="577">
        <f t="shared" si="77"/>
        <v>0.17383991954211817</v>
      </c>
      <c r="U158" s="578">
        <f t="shared" si="89"/>
        <v>0.94286774702032627</v>
      </c>
      <c r="V158" s="579">
        <f t="shared" si="90"/>
        <v>-0.42005368533178844</v>
      </c>
      <c r="W158" s="580">
        <f t="shared" si="78"/>
        <v>-5.6509878462145906</v>
      </c>
      <c r="X158" s="581">
        <f t="shared" si="79"/>
        <v>-131.3603474871025</v>
      </c>
      <c r="Y158" s="584">
        <f t="shared" si="80"/>
        <v>48.639652512897499</v>
      </c>
      <c r="AA158" s="147">
        <f t="shared" si="81"/>
        <v>8912.5</v>
      </c>
      <c r="AB158" s="147">
        <f t="shared" si="82"/>
        <v>79432656.25</v>
      </c>
      <c r="AD158" s="583">
        <f t="shared" si="83"/>
        <v>30.399287917404976</v>
      </c>
      <c r="AE158" s="584">
        <f t="shared" si="84"/>
        <v>-11.78640377520526</v>
      </c>
      <c r="AG158" s="583">
        <f t="shared" si="85"/>
        <v>20.073938366658552</v>
      </c>
      <c r="AH158" s="584">
        <f t="shared" si="86"/>
        <v>-71.43933698003984</v>
      </c>
      <c r="AJ158" s="147">
        <f t="shared" si="87"/>
        <v>0</v>
      </c>
      <c r="AK158" s="147">
        <f t="shared" si="99"/>
        <v>0</v>
      </c>
      <c r="AM158" s="147" t="str">
        <f t="shared" si="91"/>
        <v>0.184752009612877+0.579112004857228i</v>
      </c>
      <c r="AN158" s="147" t="str">
        <f t="shared" si="92"/>
        <v>0.617639035582254i</v>
      </c>
      <c r="AO158" s="147" t="str">
        <f t="shared" si="93"/>
        <v>0.937622092346048-0.299126186930056i</v>
      </c>
      <c r="AP158" s="147" t="str">
        <f t="shared" si="94"/>
        <v>0.135874665064521-0.0965186674762047i</v>
      </c>
      <c r="AQ158" s="147" t="str">
        <f t="shared" si="95"/>
        <v>0.864125334935479+0.0965186674762047i</v>
      </c>
      <c r="AR158" s="147" t="str">
        <f t="shared" si="96"/>
        <v>0.95210227371721-0.106345270813187i</v>
      </c>
    </row>
    <row r="159" spans="7:44">
      <c r="G159" s="585">
        <v>8964.4</v>
      </c>
      <c r="H159" s="573">
        <f t="shared" si="88"/>
        <v>8.9643999999999995</v>
      </c>
      <c r="I159" s="574">
        <f t="shared" si="66"/>
        <v>78.042177484213326</v>
      </c>
      <c r="J159" s="575">
        <f t="shared" si="67"/>
        <v>1.5579823920878555</v>
      </c>
      <c r="K159" s="575">
        <f t="shared" si="68"/>
        <v>1.0001727279297998</v>
      </c>
      <c r="L159" s="576">
        <f t="shared" si="69"/>
        <v>1.8585105381230801E-2</v>
      </c>
      <c r="M159" s="575">
        <f t="shared" si="70"/>
        <v>1.0082754840618262</v>
      </c>
      <c r="N159" s="576">
        <f t="shared" si="71"/>
        <v>-0.12820931708949329</v>
      </c>
      <c r="O159" s="574">
        <f t="shared" si="72"/>
        <v>168974.95891291901</v>
      </c>
      <c r="P159" s="577">
        <f t="shared" si="73"/>
        <v>1.5707904087582454</v>
      </c>
      <c r="Q159" s="586">
        <f t="shared" si="100"/>
        <v>31.5578402324509</v>
      </c>
      <c r="R159" s="587">
        <f t="shared" si="101"/>
        <v>1.5391031747424242</v>
      </c>
      <c r="S159" s="574">
        <f t="shared" si="76"/>
        <v>1.0154801714977468</v>
      </c>
      <c r="T159" s="577">
        <f t="shared" si="77"/>
        <v>0.17483179312490216</v>
      </c>
      <c r="U159" s="578">
        <f t="shared" si="89"/>
        <v>0.94225792730152569</v>
      </c>
      <c r="V159" s="579">
        <f t="shared" si="90"/>
        <v>-0.4223652193325978</v>
      </c>
      <c r="W159" s="580">
        <f t="shared" si="78"/>
        <v>-5.7077639923586521</v>
      </c>
      <c r="X159" s="581">
        <f t="shared" si="79"/>
        <v>-131.57923356119991</v>
      </c>
      <c r="Y159" s="584">
        <f t="shared" si="80"/>
        <v>48.420766438800086</v>
      </c>
      <c r="AA159" s="147">
        <f t="shared" si="81"/>
        <v>8964.4</v>
      </c>
      <c r="AB159" s="147">
        <f t="shared" si="82"/>
        <v>80360467.359999999</v>
      </c>
      <c r="AD159" s="583">
        <f t="shared" si="83"/>
        <v>30.397719620850982</v>
      </c>
      <c r="AE159" s="584">
        <f t="shared" si="84"/>
        <v>-11.832668657831944</v>
      </c>
      <c r="AG159" s="583">
        <f t="shared" si="85"/>
        <v>20.029969718854403</v>
      </c>
      <c r="AH159" s="584">
        <f t="shared" si="86"/>
        <v>-71.347075886313149</v>
      </c>
      <c r="AJ159" s="147">
        <f t="shared" si="87"/>
        <v>0</v>
      </c>
      <c r="AK159" s="147">
        <f t="shared" si="99"/>
        <v>0</v>
      </c>
      <c r="AM159" s="147" t="str">
        <f t="shared" si="91"/>
        <v>0.186840162370733+0.582040444012909i</v>
      </c>
      <c r="AN159" s="147" t="str">
        <f t="shared" si="92"/>
        <v>0.621235721803485i</v>
      </c>
      <c r="AO159" s="147" t="str">
        <f t="shared" si="93"/>
        <v>0.936907559538287-0.300755664578213i</v>
      </c>
      <c r="AP159" s="147" t="str">
        <f t="shared" si="94"/>
        <v>0.135526639604878-0.0970067406688182i</v>
      </c>
      <c r="AQ159" s="147" t="str">
        <f t="shared" si="95"/>
        <v>0.864473360395122+0.0970067406688182i</v>
      </c>
      <c r="AR159" s="147" t="str">
        <f t="shared" si="96"/>
        <v>0.951609615615486-0.106784721692028i</v>
      </c>
    </row>
    <row r="160" spans="7:44">
      <c r="G160" s="585">
        <v>9016.2999999999993</v>
      </c>
      <c r="H160" s="573">
        <f t="shared" si="88"/>
        <v>9.0162999999999993</v>
      </c>
      <c r="I160" s="574">
        <f t="shared" si="66"/>
        <v>78.493933976575207</v>
      </c>
      <c r="J160" s="575">
        <f t="shared" si="67"/>
        <v>1.5580561441859722</v>
      </c>
      <c r="K160" s="575">
        <f t="shared" si="68"/>
        <v>1.000174733584331</v>
      </c>
      <c r="L160" s="576">
        <f t="shared" si="69"/>
        <v>1.8692680114744911E-2</v>
      </c>
      <c r="M160" s="575">
        <f t="shared" si="70"/>
        <v>1.0083711854811745</v>
      </c>
      <c r="N160" s="576">
        <f t="shared" si="71"/>
        <v>-0.12894341651111557</v>
      </c>
      <c r="O160" s="574">
        <f t="shared" si="72"/>
        <v>169953.25086411199</v>
      </c>
      <c r="P160" s="577">
        <f t="shared" si="73"/>
        <v>1.5707904428238932</v>
      </c>
      <c r="Q160" s="586">
        <f t="shared" si="100"/>
        <v>31.740363551072981</v>
      </c>
      <c r="R160" s="587">
        <f t="shared" si="101"/>
        <v>1.539285487090754</v>
      </c>
      <c r="S160" s="574">
        <f t="shared" si="76"/>
        <v>1.0156585515187622</v>
      </c>
      <c r="T160" s="577">
        <f t="shared" si="77"/>
        <v>0.17582331927753977</v>
      </c>
      <c r="U160" s="578">
        <f t="shared" si="89"/>
        <v>0.94164568573365259</v>
      </c>
      <c r="V160" s="579">
        <f t="shared" si="90"/>
        <v>-0.42467462276402956</v>
      </c>
      <c r="W160" s="580">
        <f t="shared" si="78"/>
        <v>-5.7642778063847198</v>
      </c>
      <c r="X160" s="581">
        <f t="shared" si="79"/>
        <v>-131.79804202313412</v>
      </c>
      <c r="Y160" s="584">
        <f t="shared" si="80"/>
        <v>48.201957976865884</v>
      </c>
      <c r="AA160" s="147">
        <f t="shared" si="81"/>
        <v>9016.2999999999993</v>
      </c>
      <c r="AB160" s="147">
        <f t="shared" si="82"/>
        <v>81293665.689999983</v>
      </c>
      <c r="AD160" s="583">
        <f t="shared" si="83"/>
        <v>30.396143925004488</v>
      </c>
      <c r="AE160" s="584">
        <f t="shared" si="84"/>
        <v>-11.87903514541334</v>
      </c>
      <c r="AG160" s="583">
        <f t="shared" si="85"/>
        <v>19.986322757697515</v>
      </c>
      <c r="AH160" s="584">
        <f t="shared" si="86"/>
        <v>-71.254879720735389</v>
      </c>
      <c r="AJ160" s="147">
        <f t="shared" si="87"/>
        <v>0</v>
      </c>
      <c r="AK160" s="147">
        <f t="shared" si="99"/>
        <v>0</v>
      </c>
      <c r="AM160" s="147" t="str">
        <f t="shared" si="91"/>
        <v>0.188938834276325+0.584961353813184i</v>
      </c>
      <c r="AN160" s="147" t="str">
        <f t="shared" si="92"/>
        <v>0.624832408024716i</v>
      </c>
      <c r="AO160" s="147" t="str">
        <f t="shared" si="93"/>
        <v>0.936189202577414-0.302383218043407i</v>
      </c>
      <c r="AP160" s="147" t="str">
        <f t="shared" si="94"/>
        <v>0.135176860953946-0.097493558968864i</v>
      </c>
      <c r="AQ160" s="147" t="str">
        <f t="shared" si="95"/>
        <v>0.864823139046054+0.097493558968864i</v>
      </c>
      <c r="AR160" s="147" t="str">
        <f t="shared" si="96"/>
        <v>0.951115388060921-0.107221488400964i</v>
      </c>
    </row>
    <row r="161" spans="7:44">
      <c r="G161" s="585">
        <v>9068.2000000000007</v>
      </c>
      <c r="H161" s="573">
        <f t="shared" si="88"/>
        <v>9.0682000000000009</v>
      </c>
      <c r="I161" s="574">
        <f t="shared" si="66"/>
        <v>78.945690891008368</v>
      </c>
      <c r="J161" s="575">
        <f t="shared" si="67"/>
        <v>1.5581290522100324</v>
      </c>
      <c r="K161" s="575">
        <f t="shared" si="68"/>
        <v>1.0001767508131607</v>
      </c>
      <c r="L161" s="576">
        <f t="shared" si="69"/>
        <v>1.88002544155749E-2</v>
      </c>
      <c r="M161" s="575">
        <f t="shared" si="70"/>
        <v>1.008467430210424</v>
      </c>
      <c r="N161" s="576">
        <f t="shared" si="71"/>
        <v>-0.12967737620826317</v>
      </c>
      <c r="O161" s="574">
        <f t="shared" si="72"/>
        <v>170931.54281530518</v>
      </c>
      <c r="P161" s="577">
        <f t="shared" si="73"/>
        <v>1.5707904764996057</v>
      </c>
      <c r="Q161" s="586">
        <f t="shared" si="100"/>
        <v>31.92288791261069</v>
      </c>
      <c r="R161" s="587">
        <f t="shared" si="101"/>
        <v>1.5394657146433495</v>
      </c>
      <c r="S161" s="574">
        <f t="shared" si="76"/>
        <v>1.0158379297069389</v>
      </c>
      <c r="T161" s="577">
        <f t="shared" si="77"/>
        <v>0.17681449623398521</v>
      </c>
      <c r="U161" s="578">
        <f t="shared" si="89"/>
        <v>0.94103103823168543</v>
      </c>
      <c r="V161" s="579">
        <f t="shared" si="90"/>
        <v>-0.4269818888875303</v>
      </c>
      <c r="W161" s="580">
        <f t="shared" si="78"/>
        <v>-5.8205325424212928</v>
      </c>
      <c r="X161" s="581">
        <f t="shared" si="79"/>
        <v>-132.01677110381848</v>
      </c>
      <c r="Y161" s="584">
        <f t="shared" si="80"/>
        <v>47.983228896181515</v>
      </c>
      <c r="AA161" s="147">
        <f t="shared" si="81"/>
        <v>9068.2000000000007</v>
      </c>
      <c r="AB161" s="147">
        <f t="shared" si="82"/>
        <v>82232251.24000001</v>
      </c>
      <c r="AD161" s="583">
        <f t="shared" si="83"/>
        <v>30.394560818779027</v>
      </c>
      <c r="AE161" s="584">
        <f t="shared" si="84"/>
        <v>-11.925501053181883</v>
      </c>
      <c r="AG161" s="583">
        <f t="shared" si="85"/>
        <v>19.942994042981958</v>
      </c>
      <c r="AH161" s="584">
        <f t="shared" si="86"/>
        <v>-71.162749671168939</v>
      </c>
      <c r="AJ161" s="147">
        <f t="shared" si="87"/>
        <v>0</v>
      </c>
      <c r="AK161" s="147">
        <f t="shared" si="99"/>
        <v>0</v>
      </c>
      <c r="AM161" s="147" t="str">
        <f t="shared" si="91"/>
        <v>0.191047998180944+0.587874696472762i</v>
      </c>
      <c r="AN161" s="147" t="str">
        <f t="shared" si="92"/>
        <v>0.628429094245947i</v>
      </c>
      <c r="AO161" s="147" t="str">
        <f t="shared" si="93"/>
        <v>0.935467026997141-0.30400883716274i</v>
      </c>
      <c r="AP161" s="147" t="str">
        <f t="shared" si="94"/>
        <v>0.134825333636509-0.0979791160787937i</v>
      </c>
      <c r="AQ161" s="147" t="str">
        <f t="shared" si="95"/>
        <v>0.865174666363491+0.0979791160787937i</v>
      </c>
      <c r="AR161" s="147" t="str">
        <f t="shared" si="96"/>
        <v>0.950619608631267-0.107655566675745i</v>
      </c>
    </row>
    <row r="162" spans="7:44">
      <c r="G162" s="585">
        <v>9120.1</v>
      </c>
      <c r="H162" s="573">
        <f t="shared" si="88"/>
        <v>9.1201000000000008</v>
      </c>
      <c r="I162" s="574">
        <f t="shared" si="66"/>
        <v>79.397448220308277</v>
      </c>
      <c r="J162" s="575">
        <f t="shared" si="67"/>
        <v>1.5582011305671473</v>
      </c>
      <c r="K162" s="575">
        <f t="shared" si="68"/>
        <v>1.0001787796162194</v>
      </c>
      <c r="L162" s="576">
        <f t="shared" si="69"/>
        <v>1.8907828281233625E-2</v>
      </c>
      <c r="M162" s="575">
        <f t="shared" si="70"/>
        <v>1.0085642180940337</v>
      </c>
      <c r="N162" s="576">
        <f t="shared" si="71"/>
        <v>-0.13041119543028679</v>
      </c>
      <c r="O162" s="574">
        <f t="shared" si="72"/>
        <v>171909.8347664985</v>
      </c>
      <c r="P162" s="577">
        <f t="shared" si="73"/>
        <v>1.5707905097920394</v>
      </c>
      <c r="Q162" s="586">
        <f t="shared" si="100"/>
        <v>32.105413299276591</v>
      </c>
      <c r="R162" s="587">
        <f t="shared" si="101"/>
        <v>1.5396438929457832</v>
      </c>
      <c r="S162" s="574">
        <f t="shared" si="76"/>
        <v>1.0160183055335965</v>
      </c>
      <c r="T162" s="577">
        <f t="shared" si="77"/>
        <v>0.17780532223218087</v>
      </c>
      <c r="U162" s="578">
        <f t="shared" si="89"/>
        <v>0.9404140007164592</v>
      </c>
      <c r="V162" s="579">
        <f t="shared" si="90"/>
        <v>-0.42928701104041495</v>
      </c>
      <c r="W162" s="580">
        <f t="shared" si="78"/>
        <v>-5.8765313967288515</v>
      </c>
      <c r="X162" s="581">
        <f t="shared" si="79"/>
        <v>-132.23541906692117</v>
      </c>
      <c r="Y162" s="584">
        <f t="shared" si="80"/>
        <v>47.764580933078832</v>
      </c>
      <c r="AA162" s="147">
        <f t="shared" si="81"/>
        <v>9120.1</v>
      </c>
      <c r="AB162" s="147">
        <f t="shared" si="82"/>
        <v>83176224.010000005</v>
      </c>
      <c r="AD162" s="583">
        <f t="shared" si="83"/>
        <v>30.392970291695644</v>
      </c>
      <c r="AE162" s="584">
        <f t="shared" si="84"/>
        <v>-11.97206424394922</v>
      </c>
      <c r="AG162" s="583">
        <f t="shared" si="85"/>
        <v>19.899980191474064</v>
      </c>
      <c r="AH162" s="584">
        <f t="shared" si="86"/>
        <v>-71.070686901957615</v>
      </c>
      <c r="AJ162" s="147">
        <f t="shared" si="87"/>
        <v>0</v>
      </c>
      <c r="AK162" s="147">
        <f t="shared" si="99"/>
        <v>0</v>
      </c>
      <c r="AM162" s="147" t="str">
        <f t="shared" si="91"/>
        <v>0.193167626800155+0.590780434304239i</v>
      </c>
      <c r="AN162" s="147" t="str">
        <f t="shared" si="92"/>
        <v>0.632025780467177i</v>
      </c>
      <c r="AO162" s="147" t="str">
        <f t="shared" si="93"/>
        <v>0.934741038360096-0.3056325117899i</v>
      </c>
      <c r="AP162" s="147" t="str">
        <f t="shared" si="94"/>
        <v>0.134472062199974-0.0984634057173732i</v>
      </c>
      <c r="AQ162" s="147" t="str">
        <f t="shared" si="95"/>
        <v>0.865527937800026+0.0984634057173732i</v>
      </c>
      <c r="AR162" s="147" t="str">
        <f t="shared" si="96"/>
        <v>0.950122294890415-0.108086952387355i</v>
      </c>
    </row>
    <row r="163" spans="7:44">
      <c r="G163" s="585">
        <v>9173.2000000000007</v>
      </c>
      <c r="H163" s="573">
        <f t="shared" si="88"/>
        <v>9.1732000000000014</v>
      </c>
      <c r="I163" s="574">
        <f t="shared" si="66"/>
        <v>79.859651227800271</v>
      </c>
      <c r="J163" s="575">
        <f t="shared" si="67"/>
        <v>1.5582740314962091</v>
      </c>
      <c r="K163" s="575">
        <f t="shared" si="68"/>
        <v>1.000180867306687</v>
      </c>
      <c r="L163" s="576">
        <f t="shared" si="69"/>
        <v>1.9017888950927764E-2</v>
      </c>
      <c r="M163" s="575">
        <f t="shared" si="70"/>
        <v>1.0086638058219792</v>
      </c>
      <c r="N163" s="576">
        <f t="shared" si="71"/>
        <v>-0.13116183540416104</v>
      </c>
      <c r="O163" s="574">
        <f t="shared" si="72"/>
        <v>172910.74618477171</v>
      </c>
      <c r="P163" s="577">
        <f t="shared" si="73"/>
        <v>1.5707905434643514</v>
      </c>
      <c r="Q163" s="586">
        <f t="shared" si="100"/>
        <v>32.292159968923201</v>
      </c>
      <c r="R163" s="587">
        <f t="shared" si="101"/>
        <v>1.5398241063365123</v>
      </c>
      <c r="S163" s="574">
        <f t="shared" si="76"/>
        <v>1.0162038838508636</v>
      </c>
      <c r="T163" s="577">
        <f t="shared" si="77"/>
        <v>0.1788186924444928</v>
      </c>
      <c r="U163" s="578">
        <f t="shared" si="89"/>
        <v>0.93978023950453049</v>
      </c>
      <c r="V163" s="579">
        <f t="shared" si="90"/>
        <v>-0.43164320504509535</v>
      </c>
      <c r="W163" s="580">
        <f t="shared" si="78"/>
        <v>-5.9335634717502383</v>
      </c>
      <c r="X163" s="581">
        <f t="shared" si="79"/>
        <v>-132.45903674432029</v>
      </c>
      <c r="Y163" s="584">
        <f t="shared" si="80"/>
        <v>47.540963255679713</v>
      </c>
      <c r="AA163" s="147">
        <f t="shared" si="81"/>
        <v>9173.2000000000007</v>
      </c>
      <c r="AB163" s="147">
        <f t="shared" si="82"/>
        <v>84147598.24000001</v>
      </c>
      <c r="AD163" s="583">
        <f t="shared" si="83"/>
        <v>30.391335298895385</v>
      </c>
      <c r="AE163" s="584">
        <f t="shared" si="84"/>
        <v>-12.019802542834359</v>
      </c>
      <c r="AG163" s="583">
        <f t="shared" si="85"/>
        <v>19.856294197468017</v>
      </c>
      <c r="AH163" s="584">
        <f t="shared" si="86"/>
        <v>-70.976566335798637</v>
      </c>
      <c r="AJ163" s="147">
        <f t="shared" si="87"/>
        <v>0</v>
      </c>
      <c r="AK163" s="147">
        <f t="shared" si="99"/>
        <v>0</v>
      </c>
      <c r="AM163" s="147" t="str">
        <f t="shared" si="91"/>
        <v>0.195347066025807+0.593745447011363i</v>
      </c>
      <c r="AN163" s="147" t="str">
        <f t="shared" si="92"/>
        <v>0.635705627063465i</v>
      </c>
      <c r="AO163" s="147" t="str">
        <f t="shared" si="93"/>
        <v>0.93399432336956-0.30729170501161i</v>
      </c>
      <c r="AP163" s="147" t="str">
        <f t="shared" si="94"/>
        <v>0.134108822329032-0.0989575745018938i</v>
      </c>
      <c r="AQ163" s="147" t="str">
        <f t="shared" si="95"/>
        <v>0.865891177670968+0.0989575745018938i</v>
      </c>
      <c r="AR163" s="147" t="str">
        <f t="shared" si="96"/>
        <v>0.949611912933607-0.10852552150349i</v>
      </c>
    </row>
    <row r="164" spans="7:44">
      <c r="G164" s="585">
        <v>9226.2999999999993</v>
      </c>
      <c r="H164" s="573">
        <f t="shared" si="88"/>
        <v>9.2262999999999984</v>
      </c>
      <c r="I164" s="574">
        <f t="shared" si="66"/>
        <v>80.321854654825472</v>
      </c>
      <c r="J164" s="575">
        <f t="shared" si="67"/>
        <v>1.5583460934246238</v>
      </c>
      <c r="K164" s="575">
        <f t="shared" si="68"/>
        <v>1.0001829671126459</v>
      </c>
      <c r="L164" s="576">
        <f t="shared" si="69"/>
        <v>1.9127949159827545E-2</v>
      </c>
      <c r="M164" s="575">
        <f t="shared" si="70"/>
        <v>1.0087639617796031</v>
      </c>
      <c r="N164" s="576">
        <f t="shared" si="71"/>
        <v>-0.13191232674502623</v>
      </c>
      <c r="O164" s="574">
        <f t="shared" si="72"/>
        <v>173911.65760304502</v>
      </c>
      <c r="P164" s="577">
        <f t="shared" si="73"/>
        <v>1.5707905767490757</v>
      </c>
      <c r="Q164" s="586">
        <f t="shared" si="100"/>
        <v>32.478907675257794</v>
      </c>
      <c r="R164" s="587">
        <f t="shared" si="101"/>
        <v>1.5400022473457038</v>
      </c>
      <c r="S164" s="574">
        <f t="shared" si="76"/>
        <v>1.0163905053456943</v>
      </c>
      <c r="T164" s="577">
        <f t="shared" si="77"/>
        <v>0.17983169156288983</v>
      </c>
      <c r="U164" s="578">
        <f t="shared" si="89"/>
        <v>0.9391440102119708</v>
      </c>
      <c r="V164" s="579">
        <f t="shared" si="90"/>
        <v>-0.43399714092278885</v>
      </c>
      <c r="W164" s="580">
        <f t="shared" si="78"/>
        <v>-5.9903342846360985</v>
      </c>
      <c r="X164" s="581">
        <f t="shared" si="79"/>
        <v>-132.68256593412804</v>
      </c>
      <c r="Y164" s="584">
        <f t="shared" si="80"/>
        <v>47.317434065871964</v>
      </c>
      <c r="AA164" s="147">
        <f t="shared" si="81"/>
        <v>9226.2999999999993</v>
      </c>
      <c r="AB164" s="147">
        <f t="shared" si="82"/>
        <v>85124611.689999983</v>
      </c>
      <c r="AD164" s="583">
        <f t="shared" si="83"/>
        <v>30.389692517781892</v>
      </c>
      <c r="AE164" s="584">
        <f t="shared" si="84"/>
        <v>-12.067638296113003</v>
      </c>
      <c r="AG164" s="583">
        <f t="shared" si="85"/>
        <v>19.812930807365955</v>
      </c>
      <c r="AH164" s="584">
        <f t="shared" si="86"/>
        <v>-70.882518589947054</v>
      </c>
      <c r="AJ164" s="147">
        <f t="shared" si="87"/>
        <v>0</v>
      </c>
      <c r="AK164" s="147">
        <f t="shared" si="99"/>
        <v>0</v>
      </c>
      <c r="AM164" s="147" t="str">
        <f t="shared" si="91"/>
        <v>0.197537401262582+0.596702419659574i</v>
      </c>
      <c r="AN164" s="147" t="str">
        <f t="shared" si="92"/>
        <v>0.639385473659754i</v>
      </c>
      <c r="AO164" s="147" t="str">
        <f t="shared" si="93"/>
        <v>0.933243628830245-0.30894884134903i</v>
      </c>
      <c r="AP164" s="147" t="str">
        <f t="shared" si="94"/>
        <v>0.133743766456236-0.0994504032765957i</v>
      </c>
      <c r="AQ164" s="147" t="str">
        <f t="shared" si="95"/>
        <v>0.866256233543764+0.0994504032765957i</v>
      </c>
      <c r="AR164" s="147" t="str">
        <f t="shared" si="96"/>
        <v>0.949099962041199-0.108961263792199i</v>
      </c>
    </row>
    <row r="165" spans="7:44">
      <c r="G165" s="585">
        <v>9279.4</v>
      </c>
      <c r="H165" s="573">
        <f t="shared" si="88"/>
        <v>9.279399999999999</v>
      </c>
      <c r="I165" s="574">
        <f t="shared" si="66"/>
        <v>80.784058494182872</v>
      </c>
      <c r="J165" s="575">
        <f t="shared" si="67"/>
        <v>1.5584173307525964</v>
      </c>
      <c r="K165" s="575">
        <f t="shared" si="68"/>
        <v>1.0001850790340194</v>
      </c>
      <c r="L165" s="576">
        <f t="shared" si="69"/>
        <v>1.9238008905269516E-2</v>
      </c>
      <c r="M165" s="575">
        <f t="shared" si="70"/>
        <v>1.0088646857976711</v>
      </c>
      <c r="N165" s="576">
        <f t="shared" si="71"/>
        <v>-0.13266266865186649</v>
      </c>
      <c r="O165" s="574">
        <f t="shared" si="72"/>
        <v>174912.56902131857</v>
      </c>
      <c r="P165" s="577">
        <f t="shared" si="73"/>
        <v>1.5707906096528661</v>
      </c>
      <c r="Q165" s="586">
        <f t="shared" si="100"/>
        <v>32.665656400500332</v>
      </c>
      <c r="R165" s="587">
        <f t="shared" si="101"/>
        <v>1.5401783515052105</v>
      </c>
      <c r="S165" s="574">
        <f t="shared" si="76"/>
        <v>1.0165781694435747</v>
      </c>
      <c r="T165" s="577">
        <f t="shared" si="77"/>
        <v>0.18084431771330819</v>
      </c>
      <c r="U165" s="578">
        <f t="shared" si="89"/>
        <v>0.93850532990252789</v>
      </c>
      <c r="V165" s="579">
        <f t="shared" si="90"/>
        <v>-0.43634881178402812</v>
      </c>
      <c r="W165" s="580">
        <f t="shared" si="78"/>
        <v>-6.046847078941104</v>
      </c>
      <c r="X165" s="581">
        <f t="shared" si="79"/>
        <v>-132.90600487811597</v>
      </c>
      <c r="Y165" s="584">
        <f t="shared" si="80"/>
        <v>47.093995121884035</v>
      </c>
      <c r="AA165" s="147">
        <f t="shared" si="81"/>
        <v>9279.4</v>
      </c>
      <c r="AB165" s="147">
        <f t="shared" si="82"/>
        <v>86107264.359999999</v>
      </c>
      <c r="AD165" s="583">
        <f t="shared" si="83"/>
        <v>30.388041938983335</v>
      </c>
      <c r="AE165" s="584">
        <f t="shared" si="84"/>
        <v>-12.115569360965196</v>
      </c>
      <c r="AG165" s="583">
        <f t="shared" si="85"/>
        <v>19.769886574647366</v>
      </c>
      <c r="AH165" s="584">
        <f t="shared" si="86"/>
        <v>-70.788544838469008</v>
      </c>
      <c r="AJ165" s="147">
        <f t="shared" si="87"/>
        <v>0</v>
      </c>
      <c r="AK165" s="147">
        <f t="shared" si="99"/>
        <v>0</v>
      </c>
      <c r="AM165" s="147" t="str">
        <f t="shared" si="91"/>
        <v>0.199738602850589+0.599651312207747i</v>
      </c>
      <c r="AN165" s="147" t="str">
        <f t="shared" si="92"/>
        <v>0.643065320256042i</v>
      </c>
      <c r="AO165" s="147" t="str">
        <f t="shared" si="93"/>
        <v>0.932488960793268-0.310603909990141i</v>
      </c>
      <c r="AP165" s="147" t="str">
        <f t="shared" si="94"/>
        <v>0.133376899524902-0.0999418853679578i</v>
      </c>
      <c r="AQ165" s="147" t="str">
        <f t="shared" si="95"/>
        <v>0.866623100475098+0.0999418853679578i</v>
      </c>
      <c r="AR165" s="147" t="str">
        <f t="shared" si="96"/>
        <v>0.948586460971156-0.109394175267199i</v>
      </c>
    </row>
    <row r="166" spans="7:44">
      <c r="G166" s="585">
        <v>9332.5</v>
      </c>
      <c r="H166" s="573">
        <f t="shared" si="88"/>
        <v>9.3324999999999996</v>
      </c>
      <c r="I166" s="574">
        <f t="shared" si="66"/>
        <v>81.246262738835256</v>
      </c>
      <c r="J166" s="575">
        <f t="shared" si="67"/>
        <v>1.5584877575526781</v>
      </c>
      <c r="K166" s="575">
        <f t="shared" si="68"/>
        <v>1.0001872030707313</v>
      </c>
      <c r="L166" s="576">
        <f t="shared" si="69"/>
        <v>1.9348068184590273E-2</v>
      </c>
      <c r="M166" s="575">
        <f t="shared" si="70"/>
        <v>1.0089659777060562</v>
      </c>
      <c r="N166" s="576">
        <f t="shared" si="71"/>
        <v>-0.13341286032465796</v>
      </c>
      <c r="O166" s="574">
        <f t="shared" si="72"/>
        <v>175913.48043959233</v>
      </c>
      <c r="P166" s="577">
        <f t="shared" si="73"/>
        <v>1.5707906421822251</v>
      </c>
      <c r="Q166" s="586">
        <f t="shared" si="100"/>
        <v>32.852406127274911</v>
      </c>
      <c r="R166" s="587">
        <f t="shared" si="101"/>
        <v>1.540352453539473</v>
      </c>
      <c r="S166" s="574">
        <f t="shared" si="76"/>
        <v>1.016766875567207</v>
      </c>
      <c r="T166" s="577">
        <f t="shared" si="77"/>
        <v>0.18185656902612324</v>
      </c>
      <c r="U166" s="578">
        <f t="shared" si="89"/>
        <v>0.93786421564221001</v>
      </c>
      <c r="V166" s="579">
        <f t="shared" si="90"/>
        <v>-0.43869821082216998</v>
      </c>
      <c r="W166" s="580">
        <f t="shared" si="78"/>
        <v>-6.1031050404179936</v>
      </c>
      <c r="X166" s="581">
        <f t="shared" si="79"/>
        <v>-133.12935185059158</v>
      </c>
      <c r="Y166" s="584">
        <f t="shared" si="80"/>
        <v>46.870648149408424</v>
      </c>
      <c r="AA166" s="147">
        <f t="shared" si="81"/>
        <v>9332.5</v>
      </c>
      <c r="AB166" s="147">
        <f t="shared" si="82"/>
        <v>87095556.25</v>
      </c>
      <c r="AD166" s="583">
        <f t="shared" si="83"/>
        <v>30.386383553712783</v>
      </c>
      <c r="AE166" s="584">
        <f t="shared" si="84"/>
        <v>-12.163593641078046</v>
      </c>
      <c r="AG166" s="583">
        <f t="shared" si="85"/>
        <v>19.727158109737704</v>
      </c>
      <c r="AH166" s="584">
        <f t="shared" si="86"/>
        <v>-70.694646231968875</v>
      </c>
      <c r="AJ166" s="147">
        <f t="shared" si="87"/>
        <v>0</v>
      </c>
      <c r="AK166" s="147">
        <f t="shared" si="99"/>
        <v>0</v>
      </c>
      <c r="AM166" s="147" t="str">
        <f t="shared" si="91"/>
        <v>0.201950640982795+0.602592084724176i</v>
      </c>
      <c r="AN166" s="147" t="str">
        <f t="shared" si="92"/>
        <v>0.64674516685233i</v>
      </c>
      <c r="AO166" s="147" t="str">
        <f t="shared" si="93"/>
        <v>0.931730325341209-0.312256900141483i</v>
      </c>
      <c r="AP166" s="147" t="str">
        <f t="shared" si="94"/>
        <v>0.133008226502868-0.100432014120696i</v>
      </c>
      <c r="AQ166" s="147" t="str">
        <f t="shared" si="95"/>
        <v>0.866991773497132+0.100432014120696i</v>
      </c>
      <c r="AR166" s="147" t="str">
        <f t="shared" si="96"/>
        <v>0.94807142846118-0.109824252087851i</v>
      </c>
    </row>
    <row r="167" spans="7:44">
      <c r="G167" s="585">
        <v>9386.85</v>
      </c>
      <c r="H167" s="573">
        <f t="shared" si="88"/>
        <v>9.3868500000000008</v>
      </c>
      <c r="I167" s="574">
        <f t="shared" si="66"/>
        <v>81.719347910262371</v>
      </c>
      <c r="J167" s="575">
        <f t="shared" si="67"/>
        <v>1.558559017214814</v>
      </c>
      <c r="K167" s="575">
        <f t="shared" si="68"/>
        <v>1.0001893896547236</v>
      </c>
      <c r="L167" s="576">
        <f t="shared" si="69"/>
        <v>1.946071782774671E-2</v>
      </c>
      <c r="M167" s="575">
        <f t="shared" si="70"/>
        <v>1.0090702419973541</v>
      </c>
      <c r="N167" s="576">
        <f t="shared" si="71"/>
        <v>-0.13418055546225308</v>
      </c>
      <c r="O167" s="574">
        <f t="shared" si="72"/>
        <v>176937.95380274087</v>
      </c>
      <c r="P167" s="577">
        <f t="shared" si="73"/>
        <v>1.5707906750962164</v>
      </c>
      <c r="Q167" s="586">
        <f t="shared" si="100"/>
        <v>33.043553053509569</v>
      </c>
      <c r="R167" s="587">
        <f t="shared" si="101"/>
        <v>1.5405286160631275</v>
      </c>
      <c r="S167" s="574">
        <f t="shared" si="76"/>
        <v>1.0169611024291083</v>
      </c>
      <c r="T167" s="577">
        <f t="shared" si="77"/>
        <v>0.18289225910655518</v>
      </c>
      <c r="U167" s="578">
        <f t="shared" si="89"/>
        <v>0.93720550648173973</v>
      </c>
      <c r="V167" s="579">
        <f t="shared" si="90"/>
        <v>-0.44110055617438959</v>
      </c>
      <c r="W167" s="580">
        <f t="shared" si="78"/>
        <v>-6.160426705805099</v>
      </c>
      <c r="X167" s="581">
        <f t="shared" si="79"/>
        <v>-133.35785950778936</v>
      </c>
      <c r="Y167" s="584">
        <f t="shared" si="80"/>
        <v>46.642140492210643</v>
      </c>
      <c r="AA167" s="147">
        <f t="shared" si="81"/>
        <v>9386.85</v>
      </c>
      <c r="AB167" s="147">
        <f t="shared" si="82"/>
        <v>88112952.922499999</v>
      </c>
      <c r="AD167" s="583">
        <f t="shared" si="83"/>
        <v>30.384678036377245</v>
      </c>
      <c r="AE167" s="584">
        <f t="shared" si="84"/>
        <v>-12.212842828345655</v>
      </c>
      <c r="AG167" s="583">
        <f t="shared" si="85"/>
        <v>19.683747321816018</v>
      </c>
      <c r="AH167" s="584">
        <f t="shared" si="86"/>
        <v>-70.598616202354421</v>
      </c>
      <c r="AJ167" s="147">
        <f t="shared" si="87"/>
        <v>0</v>
      </c>
      <c r="AK167" s="147">
        <f t="shared" si="99"/>
        <v>0</v>
      </c>
      <c r="AM167" s="147" t="str">
        <f t="shared" si="91"/>
        <v>0.204225942504766+0.605593633897824i</v>
      </c>
      <c r="AN167" s="147" t="str">
        <f t="shared" si="92"/>
        <v>0.650511638839303i</v>
      </c>
      <c r="AO167" s="147" t="str">
        <f t="shared" si="93"/>
        <v>0.93094972901388-0.313946638785991i</v>
      </c>
      <c r="AP167" s="147" t="str">
        <f t="shared" si="94"/>
        <v>0.132629009582539-0.100932272316304i</v>
      </c>
      <c r="AQ167" s="147" t="str">
        <f t="shared" si="95"/>
        <v>0.867370990417461+0.100932272316304i</v>
      </c>
      <c r="AR167" s="147" t="str">
        <f t="shared" si="96"/>
        <v>0.947542705427425-0.11026151373762i</v>
      </c>
    </row>
    <row r="168" spans="7:44">
      <c r="G168" s="585">
        <v>9441.2000000000007</v>
      </c>
      <c r="H168" s="573">
        <f t="shared" si="88"/>
        <v>9.4412000000000003</v>
      </c>
      <c r="I168" s="574">
        <f t="shared" si="66"/>
        <v>82.192433491878447</v>
      </c>
      <c r="J168" s="575">
        <f t="shared" si="67"/>
        <v>1.558629456560463</v>
      </c>
      <c r="K168" s="575">
        <f t="shared" si="68"/>
        <v>1.0001915889310056</v>
      </c>
      <c r="L168" s="576">
        <f t="shared" si="69"/>
        <v>1.957336697693219E-2</v>
      </c>
      <c r="M168" s="575">
        <f t="shared" si="70"/>
        <v>1.0091751008669869</v>
      </c>
      <c r="N168" s="576">
        <f t="shared" si="71"/>
        <v>-0.13494809151658779</v>
      </c>
      <c r="O168" s="574">
        <f t="shared" si="72"/>
        <v>177962.42716588962</v>
      </c>
      <c r="P168" s="577">
        <f t="shared" si="73"/>
        <v>1.5707907076312566</v>
      </c>
      <c r="Q168" s="586">
        <f t="shared" si="100"/>
        <v>33.234700993396956</v>
      </c>
      <c r="R168" s="587">
        <f t="shared" si="101"/>
        <v>1.5407027522099206</v>
      </c>
      <c r="S168" s="574">
        <f t="shared" si="76"/>
        <v>1.0171564197210667</v>
      </c>
      <c r="T168" s="577">
        <f t="shared" si="77"/>
        <v>0.18392755254478696</v>
      </c>
      <c r="U168" s="578">
        <f t="shared" si="89"/>
        <v>0.93654428361040731</v>
      </c>
      <c r="V168" s="579">
        <f t="shared" si="90"/>
        <v>-0.44350050732066354</v>
      </c>
      <c r="W168" s="580">
        <f t="shared" si="78"/>
        <v>-6.2174879731047259</v>
      </c>
      <c r="X168" s="581">
        <f t="shared" si="79"/>
        <v>-133.58626725512704</v>
      </c>
      <c r="Y168" s="584">
        <f t="shared" si="80"/>
        <v>46.413732744872959</v>
      </c>
      <c r="AA168" s="147">
        <f t="shared" si="81"/>
        <v>9441.2000000000007</v>
      </c>
      <c r="AB168" s="147">
        <f t="shared" si="82"/>
        <v>89136257.440000013</v>
      </c>
      <c r="AD168" s="583">
        <f t="shared" si="83"/>
        <v>30.382964323877797</v>
      </c>
      <c r="AE168" s="584">
        <f t="shared" si="84"/>
        <v>-12.262185370818885</v>
      </c>
      <c r="AG168" s="583">
        <f t="shared" si="85"/>
        <v>19.640660334900257</v>
      </c>
      <c r="AH168" s="584">
        <f t="shared" si="86"/>
        <v>-70.502667263466478</v>
      </c>
      <c r="AJ168" s="147">
        <f t="shared" si="87"/>
        <v>0</v>
      </c>
      <c r="AK168" s="147">
        <f t="shared" si="99"/>
        <v>0</v>
      </c>
      <c r="AM168" s="147" t="str">
        <f t="shared" si="91"/>
        <v>0.206512533111838+0.60858659194186i</v>
      </c>
      <c r="AN168" s="147" t="str">
        <f t="shared" si="92"/>
        <v>0.654278110826276i</v>
      </c>
      <c r="AO168" s="147" t="str">
        <f t="shared" si="93"/>
        <v>0.930164989278469-0.315634177110154i</v>
      </c>
      <c r="AP168" s="147" t="str">
        <f t="shared" si="94"/>
        <v>0.132247911148027-0.101431098656977i</v>
      </c>
      <c r="AQ168" s="147" t="str">
        <f t="shared" si="95"/>
        <v>0.867752088851973+0.101431098656977i</v>
      </c>
      <c r="AR168" s="147" t="str">
        <f t="shared" si="96"/>
        <v>0.947012417655668-0.11069579802648i</v>
      </c>
    </row>
    <row r="169" spans="7:44">
      <c r="G169" s="585">
        <v>9495.5499999999993</v>
      </c>
      <c r="H169" s="573">
        <f t="shared" si="88"/>
        <v>9.4955499999999997</v>
      </c>
      <c r="I169" s="574">
        <f t="shared" si="66"/>
        <v>82.665519476641066</v>
      </c>
      <c r="J169" s="575">
        <f t="shared" si="67"/>
        <v>1.5586990896726725</v>
      </c>
      <c r="K169" s="575">
        <f t="shared" si="68"/>
        <v>1.0001938008994937</v>
      </c>
      <c r="L169" s="576">
        <f t="shared" si="69"/>
        <v>1.9686015629290985E-2</v>
      </c>
      <c r="M169" s="575">
        <f t="shared" si="70"/>
        <v>1.0092805541296341</v>
      </c>
      <c r="N169" s="576">
        <f t="shared" si="71"/>
        <v>-0.13571546763305864</v>
      </c>
      <c r="O169" s="574">
        <f t="shared" si="72"/>
        <v>178986.90052903851</v>
      </c>
      <c r="P169" s="577">
        <f t="shared" si="73"/>
        <v>1.5707907397938532</v>
      </c>
      <c r="Q169" s="586">
        <f t="shared" si="100"/>
        <v>33.425849929547148</v>
      </c>
      <c r="R169" s="587">
        <f t="shared" si="101"/>
        <v>1.5408748967332928</v>
      </c>
      <c r="S169" s="574">
        <f t="shared" si="76"/>
        <v>1.0173528268150414</v>
      </c>
      <c r="T169" s="577">
        <f t="shared" si="77"/>
        <v>0.18496244735058709</v>
      </c>
      <c r="U169" s="578">
        <f t="shared" si="89"/>
        <v>0.93588056532864061</v>
      </c>
      <c r="V169" s="579">
        <f t="shared" si="90"/>
        <v>-0.44589805723117593</v>
      </c>
      <c r="W169" s="580">
        <f t="shared" si="78"/>
        <v>-6.2742920787628966</v>
      </c>
      <c r="X169" s="581">
        <f t="shared" si="79"/>
        <v>-133.81457334303903</v>
      </c>
      <c r="Y169" s="584">
        <f t="shared" si="80"/>
        <v>46.185426656960971</v>
      </c>
      <c r="AA169" s="147">
        <f t="shared" si="81"/>
        <v>9495.5499999999993</v>
      </c>
      <c r="AB169" s="147">
        <f t="shared" si="82"/>
        <v>90165469.80249998</v>
      </c>
      <c r="AD169" s="583">
        <f t="shared" si="83"/>
        <v>30.381242408577677</v>
      </c>
      <c r="AE169" s="584">
        <f t="shared" si="84"/>
        <v>-12.311619163613253</v>
      </c>
      <c r="AG169" s="583">
        <f t="shared" si="85"/>
        <v>19.597893691392411</v>
      </c>
      <c r="AH169" s="584">
        <f t="shared" si="86"/>
        <v>-70.406800576181496</v>
      </c>
      <c r="AJ169" s="147">
        <f t="shared" si="87"/>
        <v>0</v>
      </c>
      <c r="AK169" s="147">
        <f t="shared" si="99"/>
        <v>0</v>
      </c>
      <c r="AM169" s="147" t="str">
        <f t="shared" si="91"/>
        <v>0.208810380365763+0.611570916397298i</v>
      </c>
      <c r="AN169" s="147" t="str">
        <f t="shared" si="92"/>
        <v>0.658044582813248i</v>
      </c>
      <c r="AO169" s="147" t="str">
        <f t="shared" si="93"/>
        <v>0.92937611275931-0.317319503601207i</v>
      </c>
      <c r="AP169" s="147" t="str">
        <f t="shared" si="94"/>
        <v>0.131864936605706-0.101928486066216i</v>
      </c>
      <c r="AQ169" s="147" t="str">
        <f t="shared" si="95"/>
        <v>0.868135063394294+0.101928486066216i</v>
      </c>
      <c r="AR169" s="147" t="str">
        <f t="shared" si="96"/>
        <v>0.94648058516419-0.111127101305705i</v>
      </c>
    </row>
    <row r="170" spans="7:44">
      <c r="G170" s="585">
        <v>9549.9</v>
      </c>
      <c r="H170" s="573">
        <f t="shared" si="88"/>
        <v>9.5498999999999992</v>
      </c>
      <c r="I170" s="574">
        <f t="shared" si="66"/>
        <v>83.138605857668153</v>
      </c>
      <c r="J170" s="575">
        <f t="shared" si="67"/>
        <v>1.5587679303139721</v>
      </c>
      <c r="K170" s="575">
        <f t="shared" si="68"/>
        <v>1.0001960255601037</v>
      </c>
      <c r="L170" s="576">
        <f t="shared" si="69"/>
        <v>1.9798663781967436E-2</v>
      </c>
      <c r="M170" s="575">
        <f t="shared" si="70"/>
        <v>1.0093866015990027</v>
      </c>
      <c r="N170" s="576">
        <f t="shared" si="71"/>
        <v>-0.1364826829581717</v>
      </c>
      <c r="O170" s="574">
        <f t="shared" si="72"/>
        <v>180011.37389218761</v>
      </c>
      <c r="P170" s="577">
        <f t="shared" si="73"/>
        <v>1.5707907715903648</v>
      </c>
      <c r="Q170" s="586">
        <f t="shared" si="100"/>
        <v>33.61699984496569</v>
      </c>
      <c r="R170" s="587">
        <f t="shared" si="101"/>
        <v>1.5410450835967153</v>
      </c>
      <c r="S170" s="574">
        <f t="shared" si="76"/>
        <v>1.0175503230799725</v>
      </c>
      <c r="T170" s="577">
        <f t="shared" si="77"/>
        <v>0.18599694153867202</v>
      </c>
      <c r="U170" s="578">
        <f t="shared" si="89"/>
        <v>0.935214369934811</v>
      </c>
      <c r="V170" s="579">
        <f t="shared" si="90"/>
        <v>-0.44829319896656739</v>
      </c>
      <c r="W170" s="580">
        <f t="shared" si="78"/>
        <v>-6.3308422013972763</v>
      </c>
      <c r="X170" s="581">
        <f t="shared" si="79"/>
        <v>-134.04277605437855</v>
      </c>
      <c r="Y170" s="584">
        <f t="shared" si="80"/>
        <v>45.95722394562145</v>
      </c>
      <c r="AA170" s="147">
        <f t="shared" si="81"/>
        <v>9549.9</v>
      </c>
      <c r="AB170" s="147">
        <f t="shared" si="82"/>
        <v>91200590.00999999</v>
      </c>
      <c r="AD170" s="583">
        <f t="shared" si="83"/>
        <v>30.379512283404718</v>
      </c>
      <c r="AE170" s="584">
        <f t="shared" si="84"/>
        <v>-12.361142147381157</v>
      </c>
      <c r="AG170" s="583">
        <f t="shared" si="85"/>
        <v>19.555443990709954</v>
      </c>
      <c r="AH170" s="584">
        <f t="shared" si="86"/>
        <v>-70.311017277892347</v>
      </c>
      <c r="AJ170" s="147">
        <f t="shared" si="87"/>
        <v>0</v>
      </c>
      <c r="AK170" s="147">
        <f t="shared" si="99"/>
        <v>0</v>
      </c>
      <c r="AM170" s="147" t="str">
        <f t="shared" si="91"/>
        <v>0.211119451668605+0.614546564927636i</v>
      </c>
      <c r="AN170" s="147" t="str">
        <f t="shared" si="92"/>
        <v>0.661811054800221i</v>
      </c>
      <c r="AO170" s="147" t="str">
        <f t="shared" si="93"/>
        <v>0.928583106115004-0.319002606767176i</v>
      </c>
      <c r="AP170" s="147" t="str">
        <f t="shared" si="94"/>
        <v>0.131480091388566-0.102424427487939i</v>
      </c>
      <c r="AQ170" s="147" t="str">
        <f t="shared" si="95"/>
        <v>0.868519908611434+0.102424427487939i</v>
      </c>
      <c r="AR170" s="147" t="str">
        <f t="shared" si="96"/>
        <v>0.945947227943564-0.111555420083374i</v>
      </c>
    </row>
    <row r="171" spans="7:44">
      <c r="G171" s="585">
        <v>9605.5249999999996</v>
      </c>
      <c r="H171" s="573">
        <f t="shared" si="88"/>
        <v>9.6055250000000001</v>
      </c>
      <c r="I171" s="574">
        <f t="shared" si="66"/>
        <v>83.622790804566662</v>
      </c>
      <c r="J171" s="575">
        <f t="shared" si="67"/>
        <v>1.5588375793523694</v>
      </c>
      <c r="K171" s="575">
        <f t="shared" si="68"/>
        <v>1.0001983155513079</v>
      </c>
      <c r="L171" s="576">
        <f t="shared" si="69"/>
        <v>1.9913954034217959E-2</v>
      </c>
      <c r="M171" s="575">
        <f t="shared" si="70"/>
        <v>1.009495751926587</v>
      </c>
      <c r="N171" s="576">
        <f t="shared" si="71"/>
        <v>-0.13726772905175996</v>
      </c>
      <c r="O171" s="574">
        <f t="shared" si="72"/>
        <v>181059.88043910902</v>
      </c>
      <c r="P171" s="577">
        <f t="shared" si="73"/>
        <v>1.5707908037602101</v>
      </c>
      <c r="Q171" s="586">
        <f t="shared" si="100"/>
        <v>33.812634954697415</v>
      </c>
      <c r="R171" s="587">
        <f t="shared" si="101"/>
        <v>1.5412172704355895</v>
      </c>
      <c r="S171" s="574">
        <f t="shared" si="76"/>
        <v>1.0177535795572998</v>
      </c>
      <c r="T171" s="577">
        <f t="shared" si="77"/>
        <v>0.18705528709800404</v>
      </c>
      <c r="U171" s="578">
        <f t="shared" si="89"/>
        <v>0.93453000035452516</v>
      </c>
      <c r="V171" s="579">
        <f t="shared" si="90"/>
        <v>-0.45074202775467037</v>
      </c>
      <c r="W171" s="580">
        <f t="shared" si="78"/>
        <v>-6.3884592043999948</v>
      </c>
      <c r="X171" s="581">
        <f t="shared" si="79"/>
        <v>-134.27622338577123</v>
      </c>
      <c r="Y171" s="584">
        <f t="shared" si="80"/>
        <v>45.723776614228768</v>
      </c>
      <c r="AA171" s="147">
        <f t="shared" si="81"/>
        <v>9605.5249999999996</v>
      </c>
      <c r="AB171" s="147">
        <f t="shared" si="82"/>
        <v>92266110.52562499</v>
      </c>
      <c r="AD171" s="583">
        <f t="shared" si="83"/>
        <v>30.377733063286648</v>
      </c>
      <c r="AE171" s="584">
        <f t="shared" si="84"/>
        <v>-12.411917145296483</v>
      </c>
      <c r="AG171" s="583">
        <f t="shared" si="85"/>
        <v>19.512323152464223</v>
      </c>
      <c r="AH171" s="584">
        <f t="shared" si="86"/>
        <v>-70.213074502432193</v>
      </c>
      <c r="AJ171" s="147">
        <f t="shared" si="87"/>
        <v>0</v>
      </c>
      <c r="AK171" s="147">
        <f t="shared" si="99"/>
        <v>0</v>
      </c>
      <c r="AM171" s="147" t="str">
        <f t="shared" si="91"/>
        <v>0.213494279528251+0.617582991722744i</v>
      </c>
      <c r="AN171" s="147" t="str">
        <f t="shared" si="92"/>
        <v>0.665665884685692i</v>
      </c>
      <c r="AO171" s="147" t="str">
        <f t="shared" si="93"/>
        <v>0.927767226668599-0.320722879810878i</v>
      </c>
      <c r="AP171" s="147" t="str">
        <f t="shared" si="94"/>
        <v>0.131084286745292-0.102930498620457i</v>
      </c>
      <c r="AQ171" s="147" t="str">
        <f t="shared" si="95"/>
        <v>0.868915713254708+0.102930498620457i</v>
      </c>
      <c r="AR171" s="147" t="str">
        <f t="shared" si="96"/>
        <v>0.945399800692128-0.111990692994174i</v>
      </c>
    </row>
    <row r="172" spans="7:44">
      <c r="G172" s="585">
        <v>9661.15</v>
      </c>
      <c r="H172" s="573">
        <f t="shared" si="88"/>
        <v>9.6611499999999992</v>
      </c>
      <c r="I172" s="574">
        <f t="shared" si="66"/>
        <v>84.106976152447885</v>
      </c>
      <c r="J172" s="575">
        <f t="shared" si="67"/>
        <v>1.5589064264827324</v>
      </c>
      <c r="K172" s="575">
        <f t="shared" si="68"/>
        <v>1.0002006188369295</v>
      </c>
      <c r="L172" s="576">
        <f t="shared" si="69"/>
        <v>2.0029243757014651E-2</v>
      </c>
      <c r="M172" s="575">
        <f t="shared" si="70"/>
        <v>1.0096055242690001</v>
      </c>
      <c r="N172" s="576">
        <f t="shared" si="71"/>
        <v>-0.13805260491606755</v>
      </c>
      <c r="O172" s="574">
        <f t="shared" si="72"/>
        <v>182108.38698603064</v>
      </c>
      <c r="P172" s="577">
        <f t="shared" si="73"/>
        <v>1.5707908355596134</v>
      </c>
      <c r="Q172" s="586">
        <f t="shared" si="100"/>
        <v>34.00827105538275</v>
      </c>
      <c r="R172" s="587">
        <f t="shared" si="101"/>
        <v>1.5413874762342217</v>
      </c>
      <c r="S172" s="574">
        <f t="shared" si="76"/>
        <v>1.0179579755596648</v>
      </c>
      <c r="T172" s="577">
        <f t="shared" si="77"/>
        <v>0.18811320883104557</v>
      </c>
      <c r="U172" s="578">
        <f t="shared" si="89"/>
        <v>0.93384307484962781</v>
      </c>
      <c r="V172" s="579">
        <f t="shared" si="90"/>
        <v>-0.45318831963690237</v>
      </c>
      <c r="W172" s="580">
        <f t="shared" si="78"/>
        <v>-6.4458167254287773</v>
      </c>
      <c r="X172" s="581">
        <f t="shared" si="79"/>
        <v>-134.50955889469708</v>
      </c>
      <c r="Y172" s="584">
        <f t="shared" si="80"/>
        <v>45.490441105302921</v>
      </c>
      <c r="AA172" s="147">
        <f t="shared" si="81"/>
        <v>9661.15</v>
      </c>
      <c r="AB172" s="147">
        <f t="shared" si="82"/>
        <v>93337819.32249999</v>
      </c>
      <c r="AD172" s="583">
        <f t="shared" si="83"/>
        <v>30.375945230332068</v>
      </c>
      <c r="AE172" s="584">
        <f t="shared" si="84"/>
        <v>-12.462781343774376</v>
      </c>
      <c r="AG172" s="583">
        <f t="shared" si="85"/>
        <v>19.469527271662525</v>
      </c>
      <c r="AH172" s="584">
        <f t="shared" si="86"/>
        <v>-70.115221411941761</v>
      </c>
      <c r="AJ172" s="147">
        <f t="shared" si="87"/>
        <v>0</v>
      </c>
      <c r="AK172" s="147">
        <f t="shared" si="99"/>
        <v>0</v>
      </c>
      <c r="AM172" s="147" t="str">
        <f t="shared" si="91"/>
        <v>0.215880794623056+0.620610241422932i</v>
      </c>
      <c r="AN172" s="147" t="str">
        <f t="shared" si="92"/>
        <v>0.669520714571164i</v>
      </c>
      <c r="AO172" s="147" t="str">
        <f t="shared" si="93"/>
        <v>0.926947035269014-0.322440799701515i</v>
      </c>
      <c r="AP172" s="147" t="str">
        <f t="shared" si="94"/>
        <v>0.130686534229491-0.103435040237155i</v>
      </c>
      <c r="AQ172" s="147" t="str">
        <f t="shared" si="95"/>
        <v>0.869313465770509+0.103435040237155i</v>
      </c>
      <c r="AR172" s="147" t="str">
        <f t="shared" si="96"/>
        <v>0.944850818610536-0.11242283283219i</v>
      </c>
    </row>
    <row r="173" spans="7:44">
      <c r="G173" s="585">
        <v>9716.7749999999996</v>
      </c>
      <c r="H173" s="573">
        <f t="shared" si="88"/>
        <v>9.7167750000000002</v>
      </c>
      <c r="I173" s="574">
        <f t="shared" si="66"/>
        <v>84.591161894426307</v>
      </c>
      <c r="J173" s="575">
        <f t="shared" si="67"/>
        <v>1.5589744854743668</v>
      </c>
      <c r="K173" s="575">
        <f t="shared" si="68"/>
        <v>1.0002029354168764</v>
      </c>
      <c r="L173" s="576">
        <f t="shared" si="69"/>
        <v>2.0144532947296394E-2</v>
      </c>
      <c r="M173" s="575">
        <f t="shared" si="70"/>
        <v>1.009715918423373</v>
      </c>
      <c r="N173" s="576">
        <f t="shared" si="71"/>
        <v>-0.13883730963975846</v>
      </c>
      <c r="O173" s="574">
        <f t="shared" si="72"/>
        <v>183156.89353295241</v>
      </c>
      <c r="P173" s="577">
        <f t="shared" si="73"/>
        <v>1.5707908669949364</v>
      </c>
      <c r="Q173" s="586">
        <f t="shared" si="100"/>
        <v>34.203908130017837</v>
      </c>
      <c r="R173" s="587">
        <f t="shared" si="101"/>
        <v>1.541555734975703</v>
      </c>
      <c r="S173" s="574">
        <f t="shared" si="76"/>
        <v>1.01816351040079</v>
      </c>
      <c r="T173" s="577">
        <f t="shared" si="77"/>
        <v>0.18917070462571317</v>
      </c>
      <c r="U173" s="578">
        <f t="shared" si="89"/>
        <v>0.93315361302265565</v>
      </c>
      <c r="V173" s="579">
        <f t="shared" si="90"/>
        <v>-0.45563206746743001</v>
      </c>
      <c r="W173" s="580">
        <f t="shared" si="78"/>
        <v>-6.5029179924389755</v>
      </c>
      <c r="X173" s="581">
        <f t="shared" si="79"/>
        <v>-134.74278084087601</v>
      </c>
      <c r="Y173" s="584">
        <f t="shared" si="80"/>
        <v>45.257219159123991</v>
      </c>
      <c r="AA173" s="147">
        <f t="shared" si="81"/>
        <v>9716.7749999999996</v>
      </c>
      <c r="AB173" s="147">
        <f t="shared" si="82"/>
        <v>94415716.40062499</v>
      </c>
      <c r="AD173" s="583">
        <f t="shared" si="83"/>
        <v>30.374148778683114</v>
      </c>
      <c r="AE173" s="584">
        <f t="shared" si="84"/>
        <v>-12.51373267507816</v>
      </c>
      <c r="AG173" s="583">
        <f t="shared" si="85"/>
        <v>19.427052879943425</v>
      </c>
      <c r="AH173" s="584">
        <f t="shared" si="86"/>
        <v>-70.017459152729984</v>
      </c>
      <c r="AJ173" s="147">
        <f t="shared" si="87"/>
        <v>0</v>
      </c>
      <c r="AK173" s="147">
        <f t="shared" si="99"/>
        <v>0</v>
      </c>
      <c r="AM173" s="147" t="str">
        <f t="shared" si="91"/>
        <v>0.21827896149013+0.623628269044189i</v>
      </c>
      <c r="AN173" s="147" t="str">
        <f t="shared" si="92"/>
        <v>0.673375544456635i</v>
      </c>
      <c r="AO173" s="147" t="str">
        <f t="shared" si="93"/>
        <v>0.926122539165588-0.324156354187566i</v>
      </c>
      <c r="AP173" s="147" t="str">
        <f t="shared" si="94"/>
        <v>0.130286839751645-0.103938044840698i</v>
      </c>
      <c r="AQ173" s="147" t="str">
        <f t="shared" si="95"/>
        <v>0.869713160248355+0.103938044840698i</v>
      </c>
      <c r="AR173" s="147" t="str">
        <f t="shared" si="96"/>
        <v>0.944300303030551-0.112851836358837i</v>
      </c>
    </row>
    <row r="174" spans="7:44">
      <c r="G174" s="585">
        <v>9772.4</v>
      </c>
      <c r="H174" s="573">
        <f t="shared" si="88"/>
        <v>9.7723999999999993</v>
      </c>
      <c r="I174" s="574">
        <f t="shared" si="66"/>
        <v>85.07534802377323</v>
      </c>
      <c r="J174" s="575">
        <f t="shared" si="67"/>
        <v>1.5590417697831498</v>
      </c>
      <c r="K174" s="575">
        <f t="shared" si="68"/>
        <v>1.0002052652910567</v>
      </c>
      <c r="L174" s="576">
        <f t="shared" si="69"/>
        <v>2.0259821602002129E-2</v>
      </c>
      <c r="M174" s="575">
        <f t="shared" si="70"/>
        <v>1.0098269341857768</v>
      </c>
      <c r="N174" s="576">
        <f t="shared" si="71"/>
        <v>-0.13962184231273719</v>
      </c>
      <c r="O174" s="574">
        <f t="shared" si="72"/>
        <v>184205.40007987438</v>
      </c>
      <c r="P174" s="577">
        <f t="shared" si="73"/>
        <v>1.5707908980723968</v>
      </c>
      <c r="Q174" s="586">
        <f t="shared" si="100"/>
        <v>34.399546161985519</v>
      </c>
      <c r="R174" s="587">
        <f t="shared" si="101"/>
        <v>1.5417220798704923</v>
      </c>
      <c r="S174" s="574">
        <f t="shared" si="76"/>
        <v>1.0183701833911292</v>
      </c>
      <c r="T174" s="577">
        <f t="shared" si="77"/>
        <v>0.1902277723754342</v>
      </c>
      <c r="U174" s="578">
        <f t="shared" si="89"/>
        <v>0.93246163446894859</v>
      </c>
      <c r="V174" s="579">
        <f t="shared" si="90"/>
        <v>-0.4580732641990547</v>
      </c>
      <c r="W174" s="580">
        <f t="shared" si="78"/>
        <v>-6.5597661755532233</v>
      </c>
      <c r="X174" s="581">
        <f t="shared" si="79"/>
        <v>-134.97588751636846</v>
      </c>
      <c r="Y174" s="584">
        <f t="shared" si="80"/>
        <v>45.024112483631541</v>
      </c>
      <c r="AA174" s="147">
        <f t="shared" si="81"/>
        <v>9772.4</v>
      </c>
      <c r="AB174" s="147">
        <f t="shared" si="82"/>
        <v>95499801.75999999</v>
      </c>
      <c r="AD174" s="583">
        <f t="shared" si="83"/>
        <v>30.372343703027251</v>
      </c>
      <c r="AE174" s="584">
        <f t="shared" si="84"/>
        <v>-12.564769116047229</v>
      </c>
      <c r="AG174" s="583">
        <f t="shared" si="85"/>
        <v>19.384896566014667</v>
      </c>
      <c r="AH174" s="584">
        <f t="shared" si="86"/>
        <v>-69.91978884756729</v>
      </c>
      <c r="AJ174" s="147">
        <f t="shared" si="87"/>
        <v>0</v>
      </c>
      <c r="AK174" s="147">
        <f t="shared" si="99"/>
        <v>0</v>
      </c>
      <c r="AM174" s="147" t="str">
        <f t="shared" si="91"/>
        <v>0.220688744493448+0.626637029739546i</v>
      </c>
      <c r="AN174" s="147" t="str">
        <f t="shared" si="92"/>
        <v>0.677230374342106i</v>
      </c>
      <c r="AO174" s="147" t="str">
        <f t="shared" si="93"/>
        <v>0.925293745644961-0.325869531040801i</v>
      </c>
      <c r="AP174" s="147" t="str">
        <f t="shared" si="94"/>
        <v>0.129885209251092-0.104439504956591i</v>
      </c>
      <c r="AQ174" s="147" t="str">
        <f t="shared" si="95"/>
        <v>0.870114790748908+0.104439504956591i</v>
      </c>
      <c r="AR174" s="147" t="str">
        <f t="shared" si="96"/>
        <v>0.943748275247645-0.113277700503937i</v>
      </c>
    </row>
    <row r="175" spans="7:44">
      <c r="G175" s="585">
        <v>9829.2999999999993</v>
      </c>
      <c r="H175" s="573">
        <f t="shared" si="88"/>
        <v>9.8292999999999999</v>
      </c>
      <c r="I175" s="574">
        <f t="shared" si="66"/>
        <v>85.570632745973441</v>
      </c>
      <c r="J175" s="575">
        <f t="shared" si="67"/>
        <v>1.5591098085266151</v>
      </c>
      <c r="K175" s="575">
        <f t="shared" si="68"/>
        <v>1.0002076623238052</v>
      </c>
      <c r="L175" s="576">
        <f t="shared" si="69"/>
        <v>2.0377752270797016E-2</v>
      </c>
      <c r="M175" s="575">
        <f t="shared" si="70"/>
        <v>1.0099411375088874</v>
      </c>
      <c r="N175" s="576">
        <f t="shared" si="71"/>
        <v>-0.14042417857350381</v>
      </c>
      <c r="O175" s="574">
        <f t="shared" si="72"/>
        <v>185277.93981056864</v>
      </c>
      <c r="P175" s="577">
        <f t="shared" si="73"/>
        <v>1.5707909294982674</v>
      </c>
      <c r="Q175" s="586">
        <f t="shared" si="100"/>
        <v>34.599669454996423</v>
      </c>
      <c r="R175" s="587">
        <f t="shared" si="101"/>
        <v>1.5418902912996137</v>
      </c>
      <c r="S175" s="574">
        <f t="shared" si="76"/>
        <v>1.0185827704628365</v>
      </c>
      <c r="T175" s="577">
        <f t="shared" si="77"/>
        <v>0.19130862447838926</v>
      </c>
      <c r="U175" s="578">
        <f t="shared" si="89"/>
        <v>0.93175121133604055</v>
      </c>
      <c r="V175" s="579">
        <f t="shared" si="90"/>
        <v>-0.46056776972644564</v>
      </c>
      <c r="W175" s="580">
        <f t="shared" si="78"/>
        <v>-6.6176587895215269</v>
      </c>
      <c r="X175" s="581">
        <f t="shared" si="79"/>
        <v>-135.21421629946383</v>
      </c>
      <c r="Y175" s="584">
        <f t="shared" si="80"/>
        <v>44.785783700536172</v>
      </c>
      <c r="AA175" s="147">
        <f t="shared" si="81"/>
        <v>9829.2999999999993</v>
      </c>
      <c r="AB175" s="147">
        <f t="shared" si="82"/>
        <v>96615138.48999998</v>
      </c>
      <c r="AD175" s="583">
        <f t="shared" si="83"/>
        <v>30.370488324835744</v>
      </c>
      <c r="AE175" s="584">
        <f t="shared" si="84"/>
        <v>-12.617061375499372</v>
      </c>
      <c r="AG175" s="583">
        <f t="shared" si="85"/>
        <v>19.34209957207263</v>
      </c>
      <c r="AH175" s="584">
        <f t="shared" si="86"/>
        <v>-69.819976093500756</v>
      </c>
      <c r="AJ175" s="147">
        <f t="shared" si="87"/>
        <v>0</v>
      </c>
      <c r="AK175" s="147">
        <f t="shared" si="99"/>
        <v>0</v>
      </c>
      <c r="AM175" s="147" t="str">
        <f t="shared" si="91"/>
        <v>0.223165744213015+0.629705120700064i</v>
      </c>
      <c r="AN175" s="147" t="str">
        <f t="shared" si="92"/>
        <v>0.681173562126076i</v>
      </c>
      <c r="AO175" s="147" t="str">
        <f t="shared" si="93"/>
        <v>0.924441516395074-0.327619503488173i</v>
      </c>
      <c r="AP175" s="147" t="str">
        <f t="shared" si="94"/>
        <v>0.129472375964497-0.104950853450011i</v>
      </c>
      <c r="AQ175" s="147" t="str">
        <f t="shared" si="95"/>
        <v>0.870527624035503+0.104950853450011i</v>
      </c>
      <c r="AR175" s="147" t="str">
        <f t="shared" si="96"/>
        <v>0.943182051812897-0.11371007485968i</v>
      </c>
    </row>
    <row r="176" spans="7:44">
      <c r="G176" s="585">
        <v>9886.2000000000007</v>
      </c>
      <c r="H176" s="573">
        <f t="shared" si="88"/>
        <v>9.8862000000000005</v>
      </c>
      <c r="I176" s="574">
        <f t="shared" si="66"/>
        <v>86.065917859744033</v>
      </c>
      <c r="J176" s="575">
        <f t="shared" si="67"/>
        <v>1.5591770641827822</v>
      </c>
      <c r="K176" s="575">
        <f t="shared" si="68"/>
        <v>1.0002100732670181</v>
      </c>
      <c r="L176" s="576">
        <f t="shared" si="69"/>
        <v>2.0495682372703172E-2</v>
      </c>
      <c r="M176" s="575">
        <f t="shared" si="70"/>
        <v>1.0100559908277531</v>
      </c>
      <c r="N176" s="576">
        <f t="shared" si="71"/>
        <v>-0.14122633288347694</v>
      </c>
      <c r="O176" s="574">
        <f t="shared" si="72"/>
        <v>186350.47954126314</v>
      </c>
      <c r="P176" s="577">
        <f t="shared" si="73"/>
        <v>1.5707909605623951</v>
      </c>
      <c r="Q176" s="586">
        <f t="shared" si="100"/>
        <v>34.799793715748024</v>
      </c>
      <c r="R176" s="587">
        <f t="shared" si="101"/>
        <v>1.5420565680559555</v>
      </c>
      <c r="S176" s="574">
        <f t="shared" si="76"/>
        <v>1.0187965469875593</v>
      </c>
      <c r="T176" s="577">
        <f t="shared" si="77"/>
        <v>0.19238902424748977</v>
      </c>
      <c r="U176" s="578">
        <f t="shared" si="89"/>
        <v>0.93103819623011319</v>
      </c>
      <c r="V176" s="579">
        <f t="shared" si="90"/>
        <v>-0.46305959126362006</v>
      </c>
      <c r="W176" s="580">
        <f t="shared" si="78"/>
        <v>-6.6752931152248696</v>
      </c>
      <c r="X176" s="581">
        <f t="shared" si="79"/>
        <v>-135.45242095215588</v>
      </c>
      <c r="Y176" s="584">
        <f t="shared" si="80"/>
        <v>44.547579047844124</v>
      </c>
      <c r="AA176" s="147">
        <f t="shared" si="81"/>
        <v>9886.2000000000007</v>
      </c>
      <c r="AB176" s="147">
        <f t="shared" si="82"/>
        <v>97736950.440000013</v>
      </c>
      <c r="AD176" s="583">
        <f t="shared" si="83"/>
        <v>30.368623913188237</v>
      </c>
      <c r="AE176" s="584">
        <f t="shared" si="84"/>
        <v>-12.669438545989491</v>
      </c>
      <c r="AG176" s="583">
        <f t="shared" si="85"/>
        <v>19.299628361128715</v>
      </c>
      <c r="AH176" s="584">
        <f t="shared" si="86"/>
        <v>-69.720261860616588</v>
      </c>
      <c r="AJ176" s="147">
        <f t="shared" si="87"/>
        <v>0</v>
      </c>
      <c r="AK176" s="147">
        <f t="shared" si="99"/>
        <v>0</v>
      </c>
      <c r="AM176" s="147" t="str">
        <f t="shared" si="91"/>
        <v>0.225654822702952+0.632763420558429i</v>
      </c>
      <c r="AN176" s="147" t="str">
        <f t="shared" si="92"/>
        <v>0.685116749910046i</v>
      </c>
      <c r="AO176" s="147" t="str">
        <f t="shared" si="93"/>
        <v>0.923584806007894-0.329366962247792i</v>
      </c>
      <c r="AP176" s="147" t="str">
        <f t="shared" si="94"/>
        <v>0.129057529549508-0.105460570093072i</v>
      </c>
      <c r="AQ176" s="147" t="str">
        <f t="shared" si="95"/>
        <v>0.870942470450492+0.105460570093072i</v>
      </c>
      <c r="AR176" s="147" t="str">
        <f t="shared" si="96"/>
        <v>0.942614291011364-0.114139158303437i</v>
      </c>
    </row>
    <row r="177" spans="7:44">
      <c r="G177" s="585">
        <v>9943.1</v>
      </c>
      <c r="H177" s="573">
        <f t="shared" si="88"/>
        <v>9.9431000000000012</v>
      </c>
      <c r="I177" s="574">
        <f t="shared" si="66"/>
        <v>86.561203358363557</v>
      </c>
      <c r="J177" s="575">
        <f t="shared" si="67"/>
        <v>1.559243550193034</v>
      </c>
      <c r="K177" s="575">
        <f t="shared" si="68"/>
        <v>1.000212498120594</v>
      </c>
      <c r="L177" s="576">
        <f t="shared" si="69"/>
        <v>2.0613611904444471E-2</v>
      </c>
      <c r="M177" s="575">
        <f t="shared" si="70"/>
        <v>1.0101714939206665</v>
      </c>
      <c r="N177" s="576">
        <f t="shared" si="71"/>
        <v>-0.14202830427260021</v>
      </c>
      <c r="O177" s="574">
        <f t="shared" si="72"/>
        <v>187423.0192719578</v>
      </c>
      <c r="P177" s="577">
        <f t="shared" si="73"/>
        <v>1.5707909912709899</v>
      </c>
      <c r="Q177" s="586">
        <f t="shared" si="100"/>
        <v>34.99991892764011</v>
      </c>
      <c r="R177" s="587">
        <f t="shared" si="101"/>
        <v>1.542220943316903</v>
      </c>
      <c r="S177" s="574">
        <f t="shared" si="76"/>
        <v>1.0190115122166981</v>
      </c>
      <c r="T177" s="577">
        <f t="shared" si="77"/>
        <v>0.19346896944599268</v>
      </c>
      <c r="U177" s="578">
        <f t="shared" si="89"/>
        <v>0.9303226100936961</v>
      </c>
      <c r="V177" s="579">
        <f t="shared" si="90"/>
        <v>-0.46554872158678356</v>
      </c>
      <c r="W177" s="580">
        <f t="shared" si="78"/>
        <v>-6.7326723664790968</v>
      </c>
      <c r="X177" s="581">
        <f t="shared" si="79"/>
        <v>-135.69049974656946</v>
      </c>
      <c r="Y177" s="584">
        <f t="shared" si="80"/>
        <v>44.309500253430542</v>
      </c>
      <c r="AA177" s="147">
        <f t="shared" si="81"/>
        <v>9943.1</v>
      </c>
      <c r="AB177" s="147">
        <f t="shared" si="82"/>
        <v>98865237.610000014</v>
      </c>
      <c r="AD177" s="583">
        <f t="shared" si="83"/>
        <v>30.366750464061333</v>
      </c>
      <c r="AE177" s="584">
        <f t="shared" si="84"/>
        <v>-12.72189859879329</v>
      </c>
      <c r="AG177" s="583">
        <f t="shared" si="85"/>
        <v>19.257479458948016</v>
      </c>
      <c r="AH177" s="584">
        <f t="shared" si="86"/>
        <v>-69.62064727754985</v>
      </c>
      <c r="AJ177" s="147">
        <f t="shared" si="87"/>
        <v>0</v>
      </c>
      <c r="AK177" s="147">
        <f t="shared" si="99"/>
        <v>0</v>
      </c>
      <c r="AM177" s="147" t="str">
        <f t="shared" si="91"/>
        <v>0.228155941261299+0.635811881762026i</v>
      </c>
      <c r="AN177" s="147" t="str">
        <f t="shared" si="92"/>
        <v>0.689059937694016i</v>
      </c>
      <c r="AO177" s="147" t="str">
        <f t="shared" si="93"/>
        <v>0.922723622403317-0.331111894307537i</v>
      </c>
      <c r="AP177" s="147" t="str">
        <f t="shared" si="94"/>
        <v>0.12864067645645-0.105968646960338i</v>
      </c>
      <c r="AQ177" s="147" t="str">
        <f t="shared" si="95"/>
        <v>0.87135932354355+0.105968646960338i</v>
      </c>
      <c r="AR177" s="147" t="str">
        <f t="shared" si="96"/>
        <v>0.942045015509408-0.114564948089723i</v>
      </c>
    </row>
    <row r="178" spans="7:44" s="284" customFormat="1">
      <c r="G178" s="649">
        <v>10000</v>
      </c>
      <c r="H178" s="650">
        <f t="shared" si="88"/>
        <v>10</v>
      </c>
      <c r="I178" s="651">
        <f t="shared" si="66"/>
        <v>87.056489235263527</v>
      </c>
      <c r="J178" s="652">
        <f t="shared" si="67"/>
        <v>1.5593092796928945</v>
      </c>
      <c r="K178" s="652">
        <f t="shared" si="68"/>
        <v>1.0002149368844324</v>
      </c>
      <c r="L178" s="653">
        <f t="shared" si="69"/>
        <v>2.0731540862744896E-2</v>
      </c>
      <c r="M178" s="652">
        <f t="shared" si="70"/>
        <v>1.0102876465647677</v>
      </c>
      <c r="N178" s="653">
        <f t="shared" si="71"/>
        <v>-0.14283009177220082</v>
      </c>
      <c r="O178" s="651">
        <f t="shared" si="72"/>
        <v>188495.55900265259</v>
      </c>
      <c r="P178" s="654">
        <f t="shared" si="73"/>
        <v>1.5707910216301209</v>
      </c>
      <c r="Q178" s="655">
        <f t="shared" si="100"/>
        <v>35.200045074449953</v>
      </c>
      <c r="R178" s="656">
        <f t="shared" si="101"/>
        <v>1.5423834495057518</v>
      </c>
      <c r="S178" s="651">
        <f t="shared" si="76"/>
        <v>1.019227665398124</v>
      </c>
      <c r="T178" s="654">
        <f t="shared" si="77"/>
        <v>0.19454845784327823</v>
      </c>
      <c r="U178" s="657">
        <f t="shared" si="89"/>
        <v>0.92960447385606915</v>
      </c>
      <c r="V178" s="658">
        <f t="shared" si="90"/>
        <v>-0.46803515357932618</v>
      </c>
      <c r="W178" s="659">
        <f t="shared" si="78"/>
        <v>-6.7897996993870446</v>
      </c>
      <c r="X178" s="660">
        <f t="shared" si="79"/>
        <v>-135.92845098707437</v>
      </c>
      <c r="Y178" s="661">
        <f t="shared" si="80"/>
        <v>44.07154901292563</v>
      </c>
      <c r="AA178" s="284">
        <f t="shared" si="81"/>
        <v>10000</v>
      </c>
      <c r="AB178" s="284">
        <f t="shared" si="82"/>
        <v>100000000</v>
      </c>
      <c r="AD178" s="662">
        <f t="shared" si="83"/>
        <v>30.364867973957903</v>
      </c>
      <c r="AE178" s="661">
        <f t="shared" si="84"/>
        <v>-12.774439548735424</v>
      </c>
      <c r="AG178" s="662">
        <f>20*LOG10((K178*M178/(I178*U178))*Acs*Am)</f>
        <v>19.215649448303147</v>
      </c>
      <c r="AH178" s="661">
        <f t="shared" si="86"/>
        <v>-69.521133449349122</v>
      </c>
      <c r="AJ178" s="284">
        <f t="shared" si="87"/>
        <v>0</v>
      </c>
      <c r="AK178" s="147">
        <f t="shared" si="99"/>
        <v>0</v>
      </c>
      <c r="AM178" s="284" t="str">
        <f t="shared" si="91"/>
        <v>0.230669060998889+0.638850456911215i</v>
      </c>
      <c r="AN178" s="284" t="str">
        <f t="shared" si="92"/>
        <v>0.693003125477985i</v>
      </c>
      <c r="AO178" s="284" t="str">
        <f t="shared" si="93"/>
        <v>0.921857973541722-0.332854286681304i</v>
      </c>
      <c r="AP178" s="284" t="str">
        <f t="shared" si="94"/>
        <v>0.128221823166852-0.106475076151869i</v>
      </c>
      <c r="AQ178" s="284" t="str">
        <f t="shared" si="95"/>
        <v>0.871778176833148+0.106475076151869i</v>
      </c>
      <c r="AR178" s="284" t="str">
        <f t="shared" si="96"/>
        <v>0.941474247927359-0.114987441653148i</v>
      </c>
    </row>
    <row r="179" spans="7:44">
      <c r="G179" s="585">
        <v>10058.25</v>
      </c>
      <c r="H179" s="573">
        <f t="shared" si="88"/>
        <v>10.058249999999999</v>
      </c>
      <c r="I179" s="574">
        <f t="shared" si="66"/>
        <v>87.563526568204139</v>
      </c>
      <c r="J179" s="575">
        <f t="shared" si="67"/>
        <v>1.5593757984356389</v>
      </c>
      <c r="K179" s="575">
        <f t="shared" si="68"/>
        <v>1.0002174479190984</v>
      </c>
      <c r="L179" s="576">
        <f t="shared" si="69"/>
        <v>2.0852267186597259E-2</v>
      </c>
      <c r="M179" s="575">
        <f t="shared" si="70"/>
        <v>1.0104072276441507</v>
      </c>
      <c r="N179" s="576">
        <f t="shared" si="71"/>
        <v>-0.14365071085398651</v>
      </c>
      <c r="O179" s="574">
        <f t="shared" si="72"/>
        <v>189593.54563381223</v>
      </c>
      <c r="P179" s="577">
        <f t="shared" si="73"/>
        <v>1.5707910523537405</v>
      </c>
      <c r="Q179" s="586">
        <f t="shared" si="100"/>
        <v>35.404920333058762</v>
      </c>
      <c r="R179" s="587">
        <f t="shared" si="101"/>
        <v>1.5425479082559161</v>
      </c>
      <c r="S179" s="574">
        <f t="shared" si="76"/>
        <v>1.0194501767696458</v>
      </c>
      <c r="T179" s="577">
        <f t="shared" si="77"/>
        <v>0.19565308249471852</v>
      </c>
      <c r="U179" s="578">
        <f t="shared" si="89"/>
        <v>0.92886667949900614</v>
      </c>
      <c r="V179" s="579">
        <f t="shared" si="90"/>
        <v>-0.47057777580841365</v>
      </c>
      <c r="W179" s="580">
        <f t="shared" si="78"/>
        <v>-6.8480247071947158</v>
      </c>
      <c r="X179" s="581">
        <f t="shared" si="79"/>
        <v>-136.17191395285357</v>
      </c>
      <c r="Y179" s="584">
        <f t="shared" si="80"/>
        <v>43.828086047146428</v>
      </c>
      <c r="AA179" s="147">
        <f t="shared" si="81"/>
        <v>10058.25</v>
      </c>
      <c r="AB179" s="147">
        <f t="shared" si="82"/>
        <v>101168393.0625</v>
      </c>
      <c r="AD179" s="583">
        <f t="shared" si="83"/>
        <v>30.362931451811356</v>
      </c>
      <c r="AE179" s="584">
        <f t="shared" si="84"/>
        <v>-12.828308847315931</v>
      </c>
      <c r="AG179" s="583">
        <f t="shared" si="85"/>
        <v>19.173153806692625</v>
      </c>
      <c r="AH179" s="584">
        <f t="shared" si="86"/>
        <v>-69.419364070969081</v>
      </c>
      <c r="AJ179" s="147">
        <f t="shared" si="87"/>
        <v>0</v>
      </c>
      <c r="AK179" s="147">
        <f t="shared" si="99"/>
        <v>0</v>
      </c>
      <c r="AM179" s="147" t="str">
        <f t="shared" si="91"/>
        <v>0.233254197465564+0.641950834796422i</v>
      </c>
      <c r="AN179" s="147" t="str">
        <f t="shared" si="92"/>
        <v>0.697039868683894i</v>
      </c>
      <c r="AO179" s="147" t="str">
        <f t="shared" si="93"/>
        <v>0.920967169365093-0.334635374452798i</v>
      </c>
      <c r="AP179" s="147" t="str">
        <f t="shared" si="94"/>
        <v>0.127790967089073-0.106991805799404i</v>
      </c>
      <c r="AQ179" s="147" t="str">
        <f t="shared" si="95"/>
        <v>0.872209032910927+0.106991805799404i</v>
      </c>
      <c r="AR179" s="147" t="str">
        <f t="shared" si="96"/>
        <v>0.940888416373688-0.115416542279542i</v>
      </c>
    </row>
    <row r="180" spans="7:44">
      <c r="G180" s="585">
        <v>10116.5</v>
      </c>
      <c r="H180" s="573">
        <f t="shared" si="88"/>
        <v>10.1165</v>
      </c>
      <c r="I180" s="574">
        <f t="shared" si="66"/>
        <v>88.070564284129688</v>
      </c>
      <c r="J180" s="575">
        <f t="shared" si="67"/>
        <v>1.5594415512584878</v>
      </c>
      <c r="K180" s="575">
        <f t="shared" si="68"/>
        <v>1.0002199735317059</v>
      </c>
      <c r="L180" s="576">
        <f t="shared" si="69"/>
        <v>2.0972992902527434E-2</v>
      </c>
      <c r="M180" s="575">
        <f t="shared" si="70"/>
        <v>1.0105274889862981</v>
      </c>
      <c r="N180" s="576">
        <f t="shared" si="71"/>
        <v>-0.14447113516688759</v>
      </c>
      <c r="O180" s="574">
        <f t="shared" si="72"/>
        <v>190691.53226497208</v>
      </c>
      <c r="P180" s="577">
        <f t="shared" si="73"/>
        <v>1.5707910827235521</v>
      </c>
      <c r="Q180" s="586">
        <f t="shared" si="100"/>
        <v>35.609796538234498</v>
      </c>
      <c r="R180" s="587">
        <f t="shared" si="101"/>
        <v>1.5427104746275568</v>
      </c>
      <c r="S180" s="574">
        <f t="shared" si="76"/>
        <v>1.0196739315260277</v>
      </c>
      <c r="T180" s="577">
        <f t="shared" si="77"/>
        <v>0.19675722370066601</v>
      </c>
      <c r="U180" s="578">
        <f t="shared" si="89"/>
        <v>0.92812625693924877</v>
      </c>
      <c r="V180" s="579">
        <f t="shared" si="90"/>
        <v>-0.47311755539726585</v>
      </c>
      <c r="W180" s="580">
        <f t="shared" si="78"/>
        <v>-6.9059922150106061</v>
      </c>
      <c r="X180" s="581">
        <f t="shared" si="79"/>
        <v>-136.41523974440778</v>
      </c>
      <c r="Y180" s="584">
        <f t="shared" si="80"/>
        <v>43.584760255592215</v>
      </c>
      <c r="AA180" s="147">
        <f t="shared" si="81"/>
        <v>10116.5</v>
      </c>
      <c r="AB180" s="147">
        <f t="shared" si="82"/>
        <v>102343572.25</v>
      </c>
      <c r="AD180" s="583">
        <f t="shared" si="83"/>
        <v>30.360985448792853</v>
      </c>
      <c r="AE180" s="584">
        <f t="shared" si="84"/>
        <v>-12.88225885154112</v>
      </c>
      <c r="AG180" s="583">
        <f t="shared" si="85"/>
        <v>19.130985298003523</v>
      </c>
      <c r="AH180" s="584">
        <f t="shared" si="86"/>
        <v>-69.317702555296208</v>
      </c>
      <c r="AJ180" s="147">
        <f t="shared" si="87"/>
        <v>0</v>
      </c>
      <c r="AK180" s="147">
        <f t="shared" si="99"/>
        <v>0</v>
      </c>
      <c r="AM180" s="147" t="str">
        <f t="shared" si="91"/>
        <v>0.235851828264859+0.64504075191715i</v>
      </c>
      <c r="AN180" s="147" t="str">
        <f t="shared" si="92"/>
        <v>0.701076611889804i</v>
      </c>
      <c r="AO180" s="147" t="str">
        <f t="shared" si="93"/>
        <v>0.920071702546737-0.336413773138292i</v>
      </c>
      <c r="AP180" s="147" t="str">
        <f t="shared" si="94"/>
        <v>0.127358028622524-0.107506791986192i</v>
      </c>
      <c r="AQ180" s="147" t="str">
        <f t="shared" si="95"/>
        <v>0.872641971377476+0.107506791986192i</v>
      </c>
      <c r="AR180" s="147" t="str">
        <f t="shared" si="96"/>
        <v>0.940301068919194-0.115842183548793i</v>
      </c>
    </row>
    <row r="181" spans="7:44">
      <c r="G181" s="585">
        <v>10174.75</v>
      </c>
      <c r="H181" s="573">
        <f t="shared" si="88"/>
        <v>10.17475</v>
      </c>
      <c r="I181" s="574">
        <f t="shared" si="66"/>
        <v>88.57760237646329</v>
      </c>
      <c r="J181" s="575">
        <f t="shared" si="67"/>
        <v>1.5595065513137605</v>
      </c>
      <c r="K181" s="575">
        <f t="shared" si="68"/>
        <v>1.0002225137221441</v>
      </c>
      <c r="L181" s="576">
        <f t="shared" si="69"/>
        <v>2.1093718007020961E-2</v>
      </c>
      <c r="M181" s="575">
        <f t="shared" si="70"/>
        <v>1.0106484303483672</v>
      </c>
      <c r="N181" s="576">
        <f t="shared" si="71"/>
        <v>-0.14529136367618248</v>
      </c>
      <c r="O181" s="574">
        <f t="shared" si="72"/>
        <v>191789.51889613201</v>
      </c>
      <c r="P181" s="577">
        <f t="shared" si="73"/>
        <v>1.5707911127456318</v>
      </c>
      <c r="Q181" s="586">
        <f t="shared" si="100"/>
        <v>35.814673673732777</v>
      </c>
      <c r="R181" s="587">
        <f t="shared" si="101"/>
        <v>1.5428711810879485</v>
      </c>
      <c r="S181" s="574">
        <f t="shared" si="76"/>
        <v>1.0198989288489144</v>
      </c>
      <c r="T181" s="577">
        <f t="shared" si="77"/>
        <v>0.19786087908801991</v>
      </c>
      <c r="U181" s="578">
        <f t="shared" si="89"/>
        <v>0.92738322857960187</v>
      </c>
      <c r="V181" s="579">
        <f t="shared" si="90"/>
        <v>-0.47565448505822172</v>
      </c>
      <c r="W181" s="580">
        <f t="shared" si="78"/>
        <v>-6.9637054295035163</v>
      </c>
      <c r="X181" s="581">
        <f t="shared" si="79"/>
        <v>-136.65842664281519</v>
      </c>
      <c r="Y181" s="584">
        <f t="shared" si="80"/>
        <v>43.341573357184814</v>
      </c>
      <c r="AA181" s="147">
        <f t="shared" si="81"/>
        <v>10174.75</v>
      </c>
      <c r="AB181" s="147">
        <f t="shared" si="82"/>
        <v>103525537.5625</v>
      </c>
      <c r="AD181" s="583">
        <f t="shared" si="83"/>
        <v>30.359029962760367</v>
      </c>
      <c r="AE181" s="584">
        <f t="shared" si="84"/>
        <v>-12.936287565552636</v>
      </c>
      <c r="AG181" s="583">
        <f t="shared" si="85"/>
        <v>19.089140433314874</v>
      </c>
      <c r="AH181" s="584">
        <f t="shared" si="86"/>
        <v>-69.216150014371223</v>
      </c>
      <c r="AJ181" s="147">
        <f t="shared" si="87"/>
        <v>0</v>
      </c>
      <c r="AK181" s="147">
        <f t="shared" si="99"/>
        <v>0</v>
      </c>
      <c r="AM181" s="147" t="str">
        <f t="shared" si="91"/>
        <v>0.238461911067671+0.648120157922353i</v>
      </c>
      <c r="AN181" s="147" t="str">
        <f t="shared" si="92"/>
        <v>0.705113355095713i</v>
      </c>
      <c r="AO181" s="147" t="str">
        <f t="shared" si="93"/>
        <v>0.919171581758477-0.338189468890859i</v>
      </c>
      <c r="AP181" s="147" t="str">
        <f t="shared" si="94"/>
        <v>0.126923014822055-0.108020026320392i</v>
      </c>
      <c r="AQ181" s="147" t="str">
        <f t="shared" si="95"/>
        <v>0.873076985177945+0.108020026320392i</v>
      </c>
      <c r="AR181" s="147" t="str">
        <f t="shared" si="96"/>
        <v>0.939712229672763-0.116264363287686i</v>
      </c>
    </row>
    <row r="182" spans="7:44">
      <c r="G182" s="585">
        <v>10233</v>
      </c>
      <c r="H182" s="573">
        <f t="shared" si="88"/>
        <v>10.233000000000001</v>
      </c>
      <c r="I182" s="574">
        <f t="shared" si="66"/>
        <v>89.084640838777801</v>
      </c>
      <c r="J182" s="575">
        <f t="shared" si="67"/>
        <v>1.5595708114543678</v>
      </c>
      <c r="K182" s="575">
        <f t="shared" si="68"/>
        <v>1.000225068490302</v>
      </c>
      <c r="L182" s="576">
        <f t="shared" si="69"/>
        <v>2.1214442496563485E-2</v>
      </c>
      <c r="M182" s="575">
        <f t="shared" si="70"/>
        <v>1.0107700514862596</v>
      </c>
      <c r="N182" s="576">
        <f t="shared" si="71"/>
        <v>-0.14611139534869724</v>
      </c>
      <c r="O182" s="574">
        <f t="shared" si="72"/>
        <v>192887.5055272922</v>
      </c>
      <c r="P182" s="577">
        <f t="shared" si="73"/>
        <v>1.570791142425918</v>
      </c>
      <c r="Q182" s="586">
        <f t="shared" si="100"/>
        <v>36.019551723678745</v>
      </c>
      <c r="R182" s="587">
        <f t="shared" si="101"/>
        <v>1.5430300593660649</v>
      </c>
      <c r="S182" s="574">
        <f t="shared" si="76"/>
        <v>1.0201251679161303</v>
      </c>
      <c r="T182" s="577">
        <f t="shared" si="77"/>
        <v>0.19896404629050138</v>
      </c>
      <c r="U182" s="578">
        <f t="shared" si="89"/>
        <v>0.92663761680250878</v>
      </c>
      <c r="V182" s="579">
        <f t="shared" si="90"/>
        <v>-0.4781885576203122</v>
      </c>
      <c r="W182" s="580">
        <f t="shared" si="78"/>
        <v>-7.0211674995712627</v>
      </c>
      <c r="X182" s="581">
        <f t="shared" si="79"/>
        <v>-136.90147296145798</v>
      </c>
      <c r="Y182" s="584">
        <f t="shared" si="80"/>
        <v>43.098527038542016</v>
      </c>
      <c r="AA182" s="147">
        <f t="shared" si="81"/>
        <v>10233</v>
      </c>
      <c r="AB182" s="147">
        <f t="shared" si="82"/>
        <v>104714289</v>
      </c>
      <c r="AD182" s="583">
        <f t="shared" si="83"/>
        <v>30.357064992081895</v>
      </c>
      <c r="AE182" s="584">
        <f t="shared" si="84"/>
        <v>-12.990393036176668</v>
      </c>
      <c r="AG182" s="583">
        <f t="shared" si="85"/>
        <v>19.047615780835123</v>
      </c>
      <c r="AH182" s="584">
        <f t="shared" si="86"/>
        <v>-69.114707536482825</v>
      </c>
      <c r="AJ182" s="147">
        <f t="shared" si="87"/>
        <v>0</v>
      </c>
      <c r="AK182" s="147">
        <f t="shared" si="99"/>
        <v>0</v>
      </c>
      <c r="AM182" s="147" t="str">
        <f t="shared" si="91"/>
        <v>0.241084403341984+0.651189002632268i</v>
      </c>
      <c r="AN182" s="147" t="str">
        <f t="shared" si="92"/>
        <v>0.709150098301622i</v>
      </c>
      <c r="AO182" s="147" t="str">
        <f t="shared" si="93"/>
        <v>0.91826681571621-0.339962447892722i</v>
      </c>
      <c r="AP182" s="147" t="str">
        <f t="shared" si="94"/>
        <v>0.126485932776336-0.108531500438711i</v>
      </c>
      <c r="AQ182" s="147" t="str">
        <f t="shared" si="95"/>
        <v>0.873514067223664+0.108531500438711i</v>
      </c>
      <c r="AR182" s="147" t="str">
        <f t="shared" si="96"/>
        <v>0.939121922685988-0.116683079515764i</v>
      </c>
    </row>
    <row r="183" spans="7:44">
      <c r="G183" s="585">
        <v>10292.5</v>
      </c>
      <c r="H183" s="573">
        <f t="shared" si="88"/>
        <v>10.2925</v>
      </c>
      <c r="I183" s="574">
        <f t="shared" si="66"/>
        <v>89.60256033023451</v>
      </c>
      <c r="J183" s="575">
        <f t="shared" si="67"/>
        <v>1.5596356997263305</v>
      </c>
      <c r="K183" s="575">
        <f t="shared" si="68"/>
        <v>1.0002276931320109</v>
      </c>
      <c r="L183" s="576">
        <f t="shared" si="69"/>
        <v>2.1337757001846747E-2</v>
      </c>
      <c r="M183" s="575">
        <f t="shared" si="70"/>
        <v>1.0108949840782262</v>
      </c>
      <c r="N183" s="576">
        <f t="shared" si="71"/>
        <v>-0.14694881997668074</v>
      </c>
      <c r="O183" s="574">
        <f t="shared" si="72"/>
        <v>194009.05410332722</v>
      </c>
      <c r="P183" s="577">
        <f t="shared" si="73"/>
        <v>1.5707911723962804</v>
      </c>
      <c r="Q183" s="586">
        <f t="shared" si="100"/>
        <v>36.228827226263469</v>
      </c>
      <c r="R183" s="587">
        <f t="shared" si="101"/>
        <v>1.5431904918410158</v>
      </c>
      <c r="S183" s="574">
        <f t="shared" si="76"/>
        <v>1.0203575430406209</v>
      </c>
      <c r="T183" s="577">
        <f t="shared" si="77"/>
        <v>0.20009038014422414</v>
      </c>
      <c r="U183" s="578">
        <f t="shared" si="89"/>
        <v>0.92587336085377447</v>
      </c>
      <c r="V183" s="579">
        <f t="shared" si="90"/>
        <v>-0.48077405236381782</v>
      </c>
      <c r="W183" s="580">
        <f t="shared" si="78"/>
        <v>-7.0796065902039151</v>
      </c>
      <c r="X183" s="581">
        <f t="shared" si="79"/>
        <v>-137.14958800836411</v>
      </c>
      <c r="Y183" s="584">
        <f t="shared" si="80"/>
        <v>42.850411991635895</v>
      </c>
      <c r="AA183" s="147">
        <f t="shared" si="81"/>
        <v>10292.5</v>
      </c>
      <c r="AB183" s="147">
        <f t="shared" si="82"/>
        <v>105935556.25</v>
      </c>
      <c r="AD183" s="583">
        <f t="shared" si="83"/>
        <v>30.355048061340945</v>
      </c>
      <c r="AE183" s="584">
        <f t="shared" si="84"/>
        <v>-13.045736825844683</v>
      </c>
      <c r="AG183" s="583">
        <f t="shared" si="85"/>
        <v>19.005527124566587</v>
      </c>
      <c r="AH183" s="584">
        <f t="shared" si="86"/>
        <v>-69.011202919870072</v>
      </c>
      <c r="AJ183" s="147">
        <f t="shared" si="87"/>
        <v>0</v>
      </c>
      <c r="AK183" s="147">
        <f t="shared" si="99"/>
        <v>0</v>
      </c>
      <c r="AM183" s="147" t="str">
        <f t="shared" si="91"/>
        <v>0.243775939613476+0.654312746698794i</v>
      </c>
      <c r="AN183" s="147" t="str">
        <f t="shared" si="92"/>
        <v>0.713273466898216i</v>
      </c>
      <c r="AO183" s="147" t="str">
        <f t="shared" si="93"/>
        <v>0.917337847353523-0.341770654491853i</v>
      </c>
      <c r="AP183" s="147" t="str">
        <f t="shared" si="94"/>
        <v>0.126037343397754-0.109052124449799i</v>
      </c>
      <c r="AQ183" s="147" t="str">
        <f t="shared" si="95"/>
        <v>0.873962656602246+0.109052124449799i</v>
      </c>
      <c r="AR183" s="147" t="str">
        <f t="shared" si="96"/>
        <v>0.938517457791477-0.117107203416776i</v>
      </c>
    </row>
    <row r="184" spans="7:44">
      <c r="G184" s="585">
        <v>10352</v>
      </c>
      <c r="H184" s="573">
        <f t="shared" si="88"/>
        <v>10.352</v>
      </c>
      <c r="I184" s="574">
        <f t="shared" si="66"/>
        <v>90.120480194625401</v>
      </c>
      <c r="J184" s="575">
        <f t="shared" si="67"/>
        <v>1.5596998421764137</v>
      </c>
      <c r="K184" s="575">
        <f t="shared" si="68"/>
        <v>1.0002303329835696</v>
      </c>
      <c r="L184" s="576">
        <f t="shared" si="69"/>
        <v>2.1461070858091114E-2</v>
      </c>
      <c r="M184" s="575">
        <f t="shared" si="70"/>
        <v>1.0110206254151415</v>
      </c>
      <c r="N184" s="576">
        <f t="shared" si="71"/>
        <v>-0.14778603705516136</v>
      </c>
      <c r="O184" s="574">
        <f t="shared" si="72"/>
        <v>195130.6026793624</v>
      </c>
      <c r="P184" s="577">
        <f t="shared" si="73"/>
        <v>1.5707912020221224</v>
      </c>
      <c r="Q184" s="586">
        <f t="shared" si="100"/>
        <v>36.438103650615687</v>
      </c>
      <c r="R184" s="587">
        <f t="shared" si="101"/>
        <v>1.5433490814834545</v>
      </c>
      <c r="S184" s="574">
        <f t="shared" si="76"/>
        <v>1.0205912120287919</v>
      </c>
      <c r="T184" s="577">
        <f t="shared" si="77"/>
        <v>0.20121619966715798</v>
      </c>
      <c r="U184" s="578">
        <f t="shared" si="89"/>
        <v>0.92510645655848245</v>
      </c>
      <c r="V184" s="579">
        <f t="shared" si="90"/>
        <v>-0.48335655131691879</v>
      </c>
      <c r="W184" s="580">
        <f t="shared" si="78"/>
        <v>-7.1377901048439982</v>
      </c>
      <c r="X184" s="581">
        <f t="shared" si="79"/>
        <v>-137.39755291995641</v>
      </c>
      <c r="Y184" s="584">
        <f t="shared" si="80"/>
        <v>42.602447080043589</v>
      </c>
      <c r="AA184" s="147">
        <f t="shared" si="81"/>
        <v>10352</v>
      </c>
      <c r="AB184" s="147">
        <f t="shared" si="82"/>
        <v>107163904</v>
      </c>
      <c r="AD184" s="583">
        <f t="shared" si="83"/>
        <v>30.353021232638852</v>
      </c>
      <c r="AE184" s="584">
        <f t="shared" si="84"/>
        <v>-13.10115671331503</v>
      </c>
      <c r="AG184" s="583">
        <f t="shared" si="85"/>
        <v>18.963765509585869</v>
      </c>
      <c r="AH184" s="584">
        <f t="shared" si="86"/>
        <v>-68.907815362434619</v>
      </c>
      <c r="AJ184" s="147">
        <f t="shared" si="87"/>
        <v>0</v>
      </c>
      <c r="AK184" s="147">
        <f t="shared" si="99"/>
        <v>0</v>
      </c>
      <c r="AM184" s="147" t="str">
        <f t="shared" si="91"/>
        <v>0.246480333315713+0.657425366045456i</v>
      </c>
      <c r="AN184" s="147" t="str">
        <f t="shared" si="92"/>
        <v>0.71739683549481i</v>
      </c>
      <c r="AO184" s="147" t="str">
        <f t="shared" si="93"/>
        <v>0.916404050753876-0.343575997440396i</v>
      </c>
      <c r="AP184" s="147" t="str">
        <f t="shared" si="94"/>
        <v>0.125586611114048-0.109570894340909i</v>
      </c>
      <c r="AQ184" s="147" t="str">
        <f t="shared" si="95"/>
        <v>0.874413388885952+0.109570894340909i</v>
      </c>
      <c r="AR184" s="147" t="str">
        <f t="shared" si="96"/>
        <v>0.93791151202615-0.117527709995693i</v>
      </c>
    </row>
    <row r="185" spans="7:44">
      <c r="G185" s="585">
        <v>10411.5</v>
      </c>
      <c r="H185" s="573">
        <f t="shared" si="88"/>
        <v>10.4115</v>
      </c>
      <c r="I185" s="574">
        <f t="shared" si="66"/>
        <v>90.63840042555745</v>
      </c>
      <c r="J185" s="575">
        <f t="shared" si="67"/>
        <v>1.5597632515892699</v>
      </c>
      <c r="K185" s="575">
        <f t="shared" si="68"/>
        <v>1.0002329880448573</v>
      </c>
      <c r="L185" s="576">
        <f t="shared" si="69"/>
        <v>2.158438406155145E-2</v>
      </c>
      <c r="M185" s="575">
        <f t="shared" si="70"/>
        <v>1.0111469752328071</v>
      </c>
      <c r="N185" s="576">
        <f t="shared" si="71"/>
        <v>-0.14862304548806157</v>
      </c>
      <c r="O185" s="574">
        <f t="shared" si="72"/>
        <v>196252.15125539777</v>
      </c>
      <c r="P185" s="577">
        <f t="shared" si="73"/>
        <v>1.5707912313093511</v>
      </c>
      <c r="Q185" s="586">
        <f t="shared" si="100"/>
        <v>36.647380980944007</v>
      </c>
      <c r="R185" s="587">
        <f t="shared" si="101"/>
        <v>1.5435058598561906</v>
      </c>
      <c r="S185" s="574">
        <f t="shared" si="76"/>
        <v>1.0208261739921398</v>
      </c>
      <c r="T185" s="577">
        <f t="shared" si="77"/>
        <v>0.20234150235959661</v>
      </c>
      <c r="U185" s="578">
        <f t="shared" si="89"/>
        <v>0.92433692769608267</v>
      </c>
      <c r="V185" s="579">
        <f t="shared" si="90"/>
        <v>-0.48593604721226463</v>
      </c>
      <c r="W185" s="580">
        <f t="shared" si="78"/>
        <v>-7.1957212212522261</v>
      </c>
      <c r="X185" s="581">
        <f t="shared" si="79"/>
        <v>-137.6453659984671</v>
      </c>
      <c r="Y185" s="584">
        <f t="shared" si="80"/>
        <v>42.354634001532901</v>
      </c>
      <c r="AA185" s="147">
        <f t="shared" si="81"/>
        <v>10411.5</v>
      </c>
      <c r="AB185" s="147">
        <f t="shared" si="82"/>
        <v>108399332.25</v>
      </c>
      <c r="AD185" s="583">
        <f t="shared" si="83"/>
        <v>30.350984505785519</v>
      </c>
      <c r="AE185" s="584">
        <f t="shared" si="84"/>
        <v>-13.156650747287776</v>
      </c>
      <c r="AG185" s="583">
        <f t="shared" si="85"/>
        <v>18.922327454763352</v>
      </c>
      <c r="AH185" s="584">
        <f t="shared" si="86"/>
        <v>-68.804545950485576</v>
      </c>
      <c r="AJ185" s="147">
        <f t="shared" si="87"/>
        <v>0</v>
      </c>
      <c r="AK185" s="147">
        <f t="shared" si="99"/>
        <v>0</v>
      </c>
      <c r="AM185" s="147" t="str">
        <f t="shared" si="91"/>
        <v>0.249197538468202+0.66052680775105i</v>
      </c>
      <c r="AN185" s="147" t="str">
        <f t="shared" si="92"/>
        <v>0.721520204091404i</v>
      </c>
      <c r="AO185" s="147" t="str">
        <f t="shared" si="93"/>
        <v>0.915465435348187-0.345378462106978i</v>
      </c>
      <c r="AP185" s="147" t="str">
        <f t="shared" si="94"/>
        <v>0.125133743588633-0.110087801291842i</v>
      </c>
      <c r="AQ185" s="147" t="str">
        <f t="shared" si="95"/>
        <v>0.874866256411367+0.110087801291842i</v>
      </c>
      <c r="AR185" s="147" t="str">
        <f t="shared" si="96"/>
        <v>0.937304110827661-0.117944597756098i</v>
      </c>
    </row>
    <row r="186" spans="7:44">
      <c r="G186" s="585">
        <v>10471</v>
      </c>
      <c r="H186" s="573">
        <f t="shared" si="88"/>
        <v>10.471</v>
      </c>
      <c r="I186" s="574">
        <f t="shared" si="66"/>
        <v>91.156321016782996</v>
      </c>
      <c r="J186" s="575">
        <f t="shared" si="67"/>
        <v>1.5598259404590229</v>
      </c>
      <c r="K186" s="575">
        <f t="shared" si="68"/>
        <v>1.0002356583157532</v>
      </c>
      <c r="L186" s="576">
        <f t="shared" si="69"/>
        <v>2.1707696608482728E-2</v>
      </c>
      <c r="M186" s="575">
        <f t="shared" si="70"/>
        <v>1.0112740332656676</v>
      </c>
      <c r="N186" s="576">
        <f t="shared" si="71"/>
        <v>-0.14945984418101951</v>
      </c>
      <c r="O186" s="574">
        <f t="shared" si="72"/>
        <v>197373.69983143327</v>
      </c>
      <c r="P186" s="577">
        <f t="shared" si="73"/>
        <v>1.5707912602637384</v>
      </c>
      <c r="Q186" s="586">
        <f t="shared" si="100"/>
        <v>36.856659201815646</v>
      </c>
      <c r="R186" s="587">
        <f t="shared" si="101"/>
        <v>1.54366085780552</v>
      </c>
      <c r="S186" s="574">
        <f t="shared" si="76"/>
        <v>1.0210624280380651</v>
      </c>
      <c r="T186" s="577">
        <f t="shared" si="77"/>
        <v>0.20346628572936401</v>
      </c>
      <c r="U186" s="578">
        <f t="shared" si="89"/>
        <v>0.92356479801765612</v>
      </c>
      <c r="V186" s="579">
        <f t="shared" si="90"/>
        <v>-0.48851253290823921</v>
      </c>
      <c r="W186" s="580">
        <f t="shared" si="78"/>
        <v>-7.2534030598713546</v>
      </c>
      <c r="X186" s="581">
        <f t="shared" si="79"/>
        <v>-137.89302557826156</v>
      </c>
      <c r="Y186" s="584">
        <f t="shared" si="80"/>
        <v>42.106974421738443</v>
      </c>
      <c r="AA186" s="147">
        <f t="shared" si="81"/>
        <v>10471</v>
      </c>
      <c r="AB186" s="147">
        <f t="shared" si="82"/>
        <v>109641841</v>
      </c>
      <c r="AD186" s="583">
        <f t="shared" si="83"/>
        <v>30.348937881081454</v>
      </c>
      <c r="AE186" s="584">
        <f t="shared" si="84"/>
        <v>-13.21221701793988</v>
      </c>
      <c r="AG186" s="583">
        <f t="shared" si="85"/>
        <v>18.881209535724039</v>
      </c>
      <c r="AH186" s="584">
        <f t="shared" si="86"/>
        <v>-68.701395746580218</v>
      </c>
      <c r="AJ186" s="147">
        <f t="shared" si="87"/>
        <v>0</v>
      </c>
      <c r="AK186" s="147">
        <f t="shared" si="99"/>
        <v>0</v>
      </c>
      <c r="AM186" s="147" t="str">
        <f t="shared" si="91"/>
        <v>0.251927508872628+0.663617019084417i</v>
      </c>
      <c r="AN186" s="147" t="str">
        <f t="shared" si="92"/>
        <v>0.725643572687998i</v>
      </c>
      <c r="AO186" s="147" t="str">
        <f t="shared" si="93"/>
        <v>0.914522010614913-0.347178033892609i</v>
      </c>
      <c r="AP186" s="147" t="str">
        <f t="shared" si="94"/>
        <v>0.124678748521229-0.110602836514069i</v>
      </c>
      <c r="AQ186" s="147" t="str">
        <f t="shared" si="95"/>
        <v>0.875321251478771+0.110602836514069i</v>
      </c>
      <c r="AR186" s="147" t="str">
        <f t="shared" si="96"/>
        <v>0.936695279564204-0.118357865405548i</v>
      </c>
    </row>
    <row r="187" spans="7:44">
      <c r="G187" s="585">
        <v>10532</v>
      </c>
      <c r="H187" s="573">
        <f t="shared" si="88"/>
        <v>10.532</v>
      </c>
      <c r="I187" s="574">
        <f t="shared" si="66"/>
        <v>91.687298797276853</v>
      </c>
      <c r="J187" s="575">
        <f t="shared" si="67"/>
        <v>1.5598894744831335</v>
      </c>
      <c r="K187" s="575">
        <f t="shared" si="68"/>
        <v>1.0002384116938698</v>
      </c>
      <c r="L187" s="576">
        <f t="shared" si="69"/>
        <v>2.1834117189599753E-2</v>
      </c>
      <c r="M187" s="575">
        <f t="shared" si="70"/>
        <v>1.0114050293842829</v>
      </c>
      <c r="N187" s="576">
        <f t="shared" si="71"/>
        <v>-0.15031751975758698</v>
      </c>
      <c r="O187" s="574">
        <f t="shared" si="72"/>
        <v>198523.52274131859</v>
      </c>
      <c r="P187" s="577">
        <f t="shared" si="73"/>
        <v>1.5707912896084404</v>
      </c>
      <c r="Q187" s="586">
        <f t="shared" si="100"/>
        <v>37.071214252935334</v>
      </c>
      <c r="R187" s="587">
        <f t="shared" si="101"/>
        <v>1.5438179465082946</v>
      </c>
      <c r="S187" s="574">
        <f t="shared" si="76"/>
        <v>1.0213059784830527</v>
      </c>
      <c r="T187" s="577">
        <f t="shared" si="77"/>
        <v>0.20461888325546065</v>
      </c>
      <c r="U187" s="578">
        <f t="shared" si="89"/>
        <v>0.92277052772493395</v>
      </c>
      <c r="V187" s="579">
        <f t="shared" si="90"/>
        <v>-0.49115083969397716</v>
      </c>
      <c r="W187" s="580">
        <f t="shared" si="78"/>
        <v>-7.3122834866770292</v>
      </c>
      <c r="X187" s="581">
        <f t="shared" si="79"/>
        <v>-138.14676761423121</v>
      </c>
      <c r="Y187" s="584">
        <f t="shared" si="80"/>
        <v>41.853232385768791</v>
      </c>
      <c r="AA187" s="147">
        <f t="shared" si="81"/>
        <v>10532</v>
      </c>
      <c r="AB187" s="147">
        <f t="shared" si="82"/>
        <v>110923024</v>
      </c>
      <c r="AD187" s="583">
        <f t="shared" si="83"/>
        <v>30.346829386327812</v>
      </c>
      <c r="AE187" s="584">
        <f t="shared" si="84"/>
        <v>-13.269257153377019</v>
      </c>
      <c r="AG187" s="583">
        <f t="shared" si="85"/>
        <v>18.839383847585037</v>
      </c>
      <c r="AH187" s="584">
        <f t="shared" si="86"/>
        <v>-68.595769959000194</v>
      </c>
      <c r="AJ187" s="147">
        <f t="shared" si="87"/>
        <v>0</v>
      </c>
      <c r="AK187" s="147">
        <f t="shared" si="99"/>
        <v>0</v>
      </c>
      <c r="AM187" s="147" t="str">
        <f t="shared" si="91"/>
        <v>0.254739505496726+0.666773421285473i</v>
      </c>
      <c r="AN187" s="147" t="str">
        <f t="shared" si="92"/>
        <v>0.729870891753414i</v>
      </c>
      <c r="AO187" s="147" t="str">
        <f t="shared" si="93"/>
        <v>0.913549819316183-0.34901995459053i</v>
      </c>
      <c r="AP187" s="147" t="str">
        <f t="shared" si="94"/>
        <v>0.124210082417212-0.111128903547579i</v>
      </c>
      <c r="AQ187" s="147" t="str">
        <f t="shared" si="95"/>
        <v>0.875789917582788+0.111128903547579i</v>
      </c>
      <c r="AR187" s="147" t="str">
        <f t="shared" si="96"/>
        <v>0.936069641497795-0.118777792271161i</v>
      </c>
    </row>
    <row r="188" spans="7:44">
      <c r="G188" s="585">
        <v>10593</v>
      </c>
      <c r="H188" s="573">
        <f t="shared" si="88"/>
        <v>10.593</v>
      </c>
      <c r="I188" s="574">
        <f t="shared" si="66"/>
        <v>92.21827694361113</v>
      </c>
      <c r="J188" s="575">
        <f t="shared" si="67"/>
        <v>1.5599522768699181</v>
      </c>
      <c r="K188" s="575">
        <f t="shared" si="68"/>
        <v>1.000241181057872</v>
      </c>
      <c r="L188" s="576">
        <f t="shared" si="69"/>
        <v>2.1960537072696851E-2</v>
      </c>
      <c r="M188" s="575">
        <f t="shared" si="70"/>
        <v>1.0115367693068991</v>
      </c>
      <c r="N188" s="576">
        <f t="shared" si="71"/>
        <v>-0.15117497256188581</v>
      </c>
      <c r="O188" s="574">
        <f t="shared" si="72"/>
        <v>199673.34565120412</v>
      </c>
      <c r="P188" s="577">
        <f t="shared" si="73"/>
        <v>1.5707913186151781</v>
      </c>
      <c r="Q188" s="586">
        <f t="shared" si="100"/>
        <v>37.285770208328039</v>
      </c>
      <c r="R188" s="587">
        <f t="shared" si="101"/>
        <v>1.5439732273231934</v>
      </c>
      <c r="S188" s="574">
        <f t="shared" si="76"/>
        <v>1.0215508850656856</v>
      </c>
      <c r="T188" s="577">
        <f t="shared" si="77"/>
        <v>0.20577092966401733</v>
      </c>
      <c r="U188" s="578">
        <f t="shared" si="89"/>
        <v>0.92197357428832427</v>
      </c>
      <c r="V188" s="579">
        <f t="shared" si="90"/>
        <v>-0.49378596779467565</v>
      </c>
      <c r="W188" s="580">
        <f t="shared" si="78"/>
        <v>-7.3709083716711365</v>
      </c>
      <c r="X188" s="581">
        <f t="shared" si="79"/>
        <v>-138.40034486958746</v>
      </c>
      <c r="Y188" s="584">
        <f t="shared" si="80"/>
        <v>41.599655130412543</v>
      </c>
      <c r="AA188" s="147">
        <f t="shared" si="81"/>
        <v>10593</v>
      </c>
      <c r="AB188" s="147">
        <f t="shared" si="82"/>
        <v>112211649</v>
      </c>
      <c r="AD188" s="583">
        <f t="shared" si="83"/>
        <v>30.344710490539445</v>
      </c>
      <c r="AE188" s="584">
        <f t="shared" si="84"/>
        <v>-13.32636927708637</v>
      </c>
      <c r="AG188" s="583">
        <f t="shared" si="85"/>
        <v>18.797887528327905</v>
      </c>
      <c r="AH188" s="584">
        <f t="shared" si="86"/>
        <v>-68.490271653009373</v>
      </c>
      <c r="AJ188" s="147">
        <f t="shared" si="87"/>
        <v>0</v>
      </c>
      <c r="AK188" s="147">
        <f t="shared" si="99"/>
        <v>0</v>
      </c>
      <c r="AM188" s="147" t="str">
        <f t="shared" si="91"/>
        <v>0.257564820074814+0.669917908112223i</v>
      </c>
      <c r="AN188" s="147" t="str">
        <f t="shared" si="92"/>
        <v>0.73409821081883i</v>
      </c>
      <c r="AO188" s="147" t="str">
        <f t="shared" si="93"/>
        <v>0.912572593474899-0.350858803738972i</v>
      </c>
      <c r="AP188" s="147" t="str">
        <f t="shared" si="94"/>
        <v>0.123739196654198-0.11165298468537i</v>
      </c>
      <c r="AQ188" s="147" t="str">
        <f t="shared" si="95"/>
        <v>0.876260803345802+0.11165298468537i</v>
      </c>
      <c r="AR188" s="147" t="str">
        <f t="shared" si="96"/>
        <v>0.935442554120962-0.119193912098444i</v>
      </c>
    </row>
    <row r="189" spans="7:44">
      <c r="G189" s="585">
        <v>10654</v>
      </c>
      <c r="H189" s="573">
        <f t="shared" si="88"/>
        <v>10.654</v>
      </c>
      <c r="I189" s="574">
        <f t="shared" si="66"/>
        <v>92.749255449502655</v>
      </c>
      <c r="J189" s="575">
        <f t="shared" si="67"/>
        <v>1.5600143601844882</v>
      </c>
      <c r="K189" s="575">
        <f t="shared" si="68"/>
        <v>1.000243966407627</v>
      </c>
      <c r="L189" s="576">
        <f t="shared" si="69"/>
        <v>2.2086956253738965E-2</v>
      </c>
      <c r="M189" s="575">
        <f t="shared" si="70"/>
        <v>1.0116692527429412</v>
      </c>
      <c r="N189" s="576">
        <f t="shared" si="71"/>
        <v>-0.15203220142034984</v>
      </c>
      <c r="O189" s="574">
        <f t="shared" si="72"/>
        <v>200823.16856108975</v>
      </c>
      <c r="P189" s="577">
        <f t="shared" si="73"/>
        <v>1.570791347289757</v>
      </c>
      <c r="Q189" s="586">
        <f t="shared" si="100"/>
        <v>37.500327052472514</v>
      </c>
      <c r="R189" s="587">
        <f t="shared" si="101"/>
        <v>1.5441267312739697</v>
      </c>
      <c r="S189" s="574">
        <f t="shared" si="76"/>
        <v>1.0217971468108382</v>
      </c>
      <c r="T189" s="577">
        <f t="shared" si="77"/>
        <v>0.20692242229439997</v>
      </c>
      <c r="U189" s="578">
        <f t="shared" si="89"/>
        <v>0.92117396319795175</v>
      </c>
      <c r="V189" s="579">
        <f t="shared" si="90"/>
        <v>-0.49641790992415269</v>
      </c>
      <c r="W189" s="580">
        <f t="shared" si="78"/>
        <v>-7.429280898175552</v>
      </c>
      <c r="X189" s="581">
        <f t="shared" si="79"/>
        <v>-138.65375565014102</v>
      </c>
      <c r="Y189" s="584">
        <f t="shared" si="80"/>
        <v>41.346244349858978</v>
      </c>
      <c r="AA189" s="147">
        <f t="shared" si="81"/>
        <v>10654</v>
      </c>
      <c r="AB189" s="147">
        <f t="shared" si="82"/>
        <v>113507716</v>
      </c>
      <c r="AD189" s="583">
        <f t="shared" si="83"/>
        <v>30.342581195550608</v>
      </c>
      <c r="AE189" s="584">
        <f t="shared" si="84"/>
        <v>-13.383551459427338</v>
      </c>
      <c r="AG189" s="583">
        <f t="shared" si="85"/>
        <v>18.756717065494843</v>
      </c>
      <c r="AH189" s="584">
        <f t="shared" si="86"/>
        <v>-68.384901898993917</v>
      </c>
      <c r="AJ189" s="147">
        <f t="shared" si="87"/>
        <v>0</v>
      </c>
      <c r="AK189" s="147">
        <f t="shared" si="99"/>
        <v>0</v>
      </c>
      <c r="AM189" s="147" t="str">
        <f t="shared" si="91"/>
        <v>0.260403402117957+0.673050423372058i</v>
      </c>
      <c r="AN189" s="147" t="str">
        <f t="shared" si="92"/>
        <v>0.738325529884245i</v>
      </c>
      <c r="AO189" s="147" t="str">
        <f t="shared" si="93"/>
        <v>0.911590343459448-0.35269456571383i</v>
      </c>
      <c r="AP189" s="147" t="str">
        <f t="shared" si="94"/>
        <v>0.123266099647007-0.11217507056201i</v>
      </c>
      <c r="AQ189" s="147" t="str">
        <f t="shared" si="95"/>
        <v>0.876733900352993+0.11217507056201i</v>
      </c>
      <c r="AR189" s="147" t="str">
        <f t="shared" si="96"/>
        <v>0.934814044530584-0.119606224152341i</v>
      </c>
    </row>
    <row r="190" spans="7:44">
      <c r="G190" s="585">
        <v>10715</v>
      </c>
      <c r="H190" s="573">
        <f t="shared" si="88"/>
        <v>10.715</v>
      </c>
      <c r="I190" s="574">
        <f t="shared" si="66"/>
        <v>93.280234308811316</v>
      </c>
      <c r="J190" s="575">
        <f t="shared" si="67"/>
        <v>1.5600757367058804</v>
      </c>
      <c r="K190" s="575">
        <f t="shared" si="68"/>
        <v>1.0002467677430009</v>
      </c>
      <c r="L190" s="576">
        <f t="shared" si="69"/>
        <v>2.2213374728691154E-2</v>
      </c>
      <c r="M190" s="575">
        <f t="shared" si="70"/>
        <v>1.0118024794003464</v>
      </c>
      <c r="N190" s="576">
        <f t="shared" si="71"/>
        <v>-0.15288920516134236</v>
      </c>
      <c r="O190" s="574">
        <f t="shared" si="72"/>
        <v>201972.9914709756</v>
      </c>
      <c r="P190" s="577">
        <f t="shared" si="73"/>
        <v>1.5707913756378498</v>
      </c>
      <c r="Q190" s="586">
        <f t="shared" si="100"/>
        <v>37.714884770200669</v>
      </c>
      <c r="R190" s="587">
        <f t="shared" si="101"/>
        <v>1.5442784886787473</v>
      </c>
      <c r="S190" s="574">
        <f t="shared" si="76"/>
        <v>1.0220447627389309</v>
      </c>
      <c r="T190" s="577">
        <f t="shared" si="77"/>
        <v>0.208073358494406</v>
      </c>
      <c r="U190" s="578">
        <f t="shared" si="89"/>
        <v>0.92037171990587652</v>
      </c>
      <c r="V190" s="579">
        <f t="shared" si="90"/>
        <v>-0.49904665893351136</v>
      </c>
      <c r="W190" s="580">
        <f t="shared" si="78"/>
        <v>-7.4874041918093788</v>
      </c>
      <c r="X190" s="581">
        <f t="shared" si="79"/>
        <v>-138.90699829419299</v>
      </c>
      <c r="Y190" s="584">
        <f t="shared" si="80"/>
        <v>41.093001705807012</v>
      </c>
      <c r="AA190" s="147">
        <f t="shared" si="81"/>
        <v>10715</v>
      </c>
      <c r="AB190" s="147">
        <f t="shared" si="82"/>
        <v>114811225</v>
      </c>
      <c r="AD190" s="583">
        <f t="shared" si="83"/>
        <v>30.340441503675073</v>
      </c>
      <c r="AE190" s="584">
        <f t="shared" si="84"/>
        <v>-13.440801811664393</v>
      </c>
      <c r="AG190" s="583">
        <f t="shared" si="85"/>
        <v>18.715869003848496</v>
      </c>
      <c r="AH190" s="584">
        <f t="shared" si="86"/>
        <v>-68.279661743193728</v>
      </c>
      <c r="AJ190" s="147">
        <f t="shared" si="87"/>
        <v>0</v>
      </c>
      <c r="AK190" s="147">
        <f t="shared" si="99"/>
        <v>0</v>
      </c>
      <c r="AM190" s="147" t="str">
        <f t="shared" si="91"/>
        <v>0.263255200900126+0.676170911086307i</v>
      </c>
      <c r="AN190" s="147" t="str">
        <f t="shared" si="92"/>
        <v>0.742552848949661i</v>
      </c>
      <c r="AO190" s="147" t="str">
        <f t="shared" si="93"/>
        <v>0.910603079690219-0.354527224927491i</v>
      </c>
      <c r="AP190" s="147" t="str">
        <f t="shared" si="94"/>
        <v>0.122790799849979-0.112695151847718i</v>
      </c>
      <c r="AQ190" s="147" t="str">
        <f t="shared" si="95"/>
        <v>0.877209200150021+0.112695151847718i</v>
      </c>
      <c r="AR190" s="147" t="str">
        <f t="shared" si="96"/>
        <v>0.934184139739263-0.120014727916261i</v>
      </c>
    </row>
    <row r="191" spans="7:44">
      <c r="G191" s="585">
        <v>10777.5</v>
      </c>
      <c r="H191" s="573">
        <f t="shared" si="88"/>
        <v>10.7775</v>
      </c>
      <c r="I191" s="574">
        <f t="shared" si="66"/>
        <v>93.824270385601537</v>
      </c>
      <c r="J191" s="575">
        <f t="shared" si="67"/>
        <v>1.5601379019565147</v>
      </c>
      <c r="K191" s="575">
        <f t="shared" si="68"/>
        <v>1.0002496545436166</v>
      </c>
      <c r="L191" s="576">
        <f t="shared" si="69"/>
        <v>2.2342901118099914E-2</v>
      </c>
      <c r="M191" s="575">
        <f t="shared" si="70"/>
        <v>1.0119397526760996</v>
      </c>
      <c r="N191" s="576">
        <f t="shared" si="71"/>
        <v>-0.1537670480526431</v>
      </c>
      <c r="O191" s="574">
        <f t="shared" si="72"/>
        <v>203151.08871471125</v>
      </c>
      <c r="P191" s="577">
        <f t="shared" si="73"/>
        <v>1.5707914043501963</v>
      </c>
      <c r="Q191" s="586">
        <f t="shared" si="100"/>
        <v>37.934719387951141</v>
      </c>
      <c r="R191" s="587">
        <f t="shared" si="101"/>
        <v>1.5444321973091717</v>
      </c>
      <c r="S191" s="574">
        <f t="shared" si="76"/>
        <v>1.0222998710960183</v>
      </c>
      <c r="T191" s="577">
        <f t="shared" si="77"/>
        <v>0.20925201651709116</v>
      </c>
      <c r="U191" s="578">
        <f t="shared" si="89"/>
        <v>0.9195470458059416</v>
      </c>
      <c r="V191" s="579">
        <f t="shared" si="90"/>
        <v>-0.50173673011590292</v>
      </c>
      <c r="W191" s="580">
        <f t="shared" si="78"/>
        <v>-7.546701454637792</v>
      </c>
      <c r="X191" s="581">
        <f t="shared" si="79"/>
        <v>-139.16629212310949</v>
      </c>
      <c r="Y191" s="584">
        <f t="shared" si="80"/>
        <v>40.833707876890514</v>
      </c>
      <c r="AA191" s="147">
        <f t="shared" si="81"/>
        <v>10777.5</v>
      </c>
      <c r="AB191" s="147">
        <f t="shared" si="82"/>
        <v>116154506.25</v>
      </c>
      <c r="AD191" s="583">
        <f t="shared" si="83"/>
        <v>30.338238415812544</v>
      </c>
      <c r="AE191" s="584">
        <f t="shared" si="84"/>
        <v>-13.499528731218811</v>
      </c>
      <c r="AG191" s="583">
        <f t="shared" si="85"/>
        <v>18.674347317913242</v>
      </c>
      <c r="AH191" s="584">
        <f t="shared" si="86"/>
        <v>-68.171969201522003</v>
      </c>
      <c r="AJ191" s="147">
        <f t="shared" si="87"/>
        <v>0</v>
      </c>
      <c r="AK191" s="147">
        <f t="shared" si="99"/>
        <v>0</v>
      </c>
      <c r="AM191" s="147" t="str">
        <f t="shared" si="91"/>
        <v>0.26619078082733+0.679355598973907i</v>
      </c>
      <c r="AN191" s="147" t="str">
        <f t="shared" si="92"/>
        <v>0.746884118483899i</v>
      </c>
      <c r="AO191" s="147" t="str">
        <f t="shared" si="93"/>
        <v>0.909586349690942-0.35640171512506i</v>
      </c>
      <c r="AP191" s="147" t="str">
        <f t="shared" si="94"/>
        <v>0.122301536528778-0.113225933162318i</v>
      </c>
      <c r="AQ191" s="147" t="str">
        <f t="shared" si="95"/>
        <v>0.877698463471222+0.113225933162318i</v>
      </c>
      <c r="AR191" s="147" t="str">
        <f t="shared" si="96"/>
        <v>0.933537326556929-0.120429326631412i</v>
      </c>
    </row>
    <row r="192" spans="7:44">
      <c r="G192" s="585">
        <v>10840</v>
      </c>
      <c r="H192" s="573">
        <f t="shared" si="88"/>
        <v>10.84</v>
      </c>
      <c r="I192" s="574">
        <f t="shared" si="66"/>
        <v>94.368306820796732</v>
      </c>
      <c r="J192" s="575">
        <f t="shared" si="67"/>
        <v>1.5601993504378993</v>
      </c>
      <c r="K192" s="575">
        <f t="shared" si="68"/>
        <v>1.0002525581254089</v>
      </c>
      <c r="L192" s="576">
        <f t="shared" si="69"/>
        <v>2.2472426757690712E-2</v>
      </c>
      <c r="M192" s="575">
        <f t="shared" si="70"/>
        <v>1.0120778055489759</v>
      </c>
      <c r="N192" s="576">
        <f t="shared" si="71"/>
        <v>-0.15464465213506665</v>
      </c>
      <c r="O192" s="574">
        <f t="shared" si="72"/>
        <v>204329.18595844708</v>
      </c>
      <c r="P192" s="577">
        <f t="shared" si="73"/>
        <v>1.5707914327314503</v>
      </c>
      <c r="Q192" s="586">
        <f t="shared" si="100"/>
        <v>38.15455489163238</v>
      </c>
      <c r="R192" s="587">
        <f t="shared" si="101"/>
        <v>1.5445841346938585</v>
      </c>
      <c r="S192" s="574">
        <f t="shared" si="76"/>
        <v>1.0225563989578124</v>
      </c>
      <c r="T192" s="577">
        <f t="shared" si="77"/>
        <v>0.21043008479781811</v>
      </c>
      <c r="U192" s="578">
        <f t="shared" si="89"/>
        <v>0.91871966242586756</v>
      </c>
      <c r="V192" s="579">
        <f t="shared" si="90"/>
        <v>-0.50442343445456517</v>
      </c>
      <c r="W192" s="580">
        <f t="shared" si="78"/>
        <v>-7.6057435396392208</v>
      </c>
      <c r="X192" s="581">
        <f t="shared" si="79"/>
        <v>-139.42540601466743</v>
      </c>
      <c r="Y192" s="584">
        <f t="shared" si="80"/>
        <v>40.574593985332569</v>
      </c>
      <c r="AA192" s="147">
        <f t="shared" si="81"/>
        <v>10840</v>
      </c>
      <c r="AB192" s="147">
        <f t="shared" si="82"/>
        <v>117505600</v>
      </c>
      <c r="AD192" s="583">
        <f t="shared" si="83"/>
        <v>30.336024419853764</v>
      </c>
      <c r="AE192" s="584">
        <f t="shared" si="84"/>
        <v>-13.558323326983134</v>
      </c>
      <c r="AG192" s="583">
        <f t="shared" si="85"/>
        <v>18.633156918833201</v>
      </c>
      <c r="AH192" s="584">
        <f t="shared" si="86"/>
        <v>-68.064414858154137</v>
      </c>
      <c r="AJ192" s="147">
        <f t="shared" si="87"/>
        <v>0</v>
      </c>
      <c r="AK192" s="147">
        <f t="shared" si="99"/>
        <v>0</v>
      </c>
      <c r="AM192" s="147" t="str">
        <f t="shared" si="91"/>
        <v>0.269140126917485+0.682527542241198i</v>
      </c>
      <c r="AN192" s="147" t="str">
        <f t="shared" si="92"/>
        <v>0.751215388018136i</v>
      </c>
      <c r="AO192" s="147" t="str">
        <f t="shared" si="93"/>
        <v>0.908564378642255-0.358272915079034i</v>
      </c>
      <c r="AP192" s="147" t="str">
        <f t="shared" si="94"/>
        <v>0.121809978847086-0.113754590373533i</v>
      </c>
      <c r="AQ192" s="147" t="str">
        <f t="shared" si="95"/>
        <v>0.878190021152914+0.113754590373533i</v>
      </c>
      <c r="AR192" s="147" t="str">
        <f t="shared" si="96"/>
        <v>0.932889105846553-0.12083992705837i</v>
      </c>
    </row>
    <row r="193" spans="7:44">
      <c r="G193" s="585">
        <v>10902.5</v>
      </c>
      <c r="H193" s="573">
        <f t="shared" si="88"/>
        <v>10.9025</v>
      </c>
      <c r="I193" s="574">
        <f t="shared" si="66"/>
        <v>94.912343608233812</v>
      </c>
      <c r="J193" s="575">
        <f t="shared" si="67"/>
        <v>1.5602600944751124</v>
      </c>
      <c r="K193" s="575">
        <f t="shared" si="68"/>
        <v>1.0002554784882323</v>
      </c>
      <c r="L193" s="576">
        <f t="shared" si="69"/>
        <v>2.2601951643124032E-2</v>
      </c>
      <c r="M193" s="575">
        <f t="shared" si="70"/>
        <v>1.012216637699995</v>
      </c>
      <c r="N193" s="576">
        <f t="shared" si="71"/>
        <v>-0.15552201615475986</v>
      </c>
      <c r="O193" s="574">
        <f t="shared" si="72"/>
        <v>205507.28320218305</v>
      </c>
      <c r="P193" s="577">
        <f t="shared" si="73"/>
        <v>1.5707914607873059</v>
      </c>
      <c r="Q193" s="586">
        <f t="shared" si="100"/>
        <v>38.374391266018677</v>
      </c>
      <c r="R193" s="587">
        <f t="shared" si="101"/>
        <v>1.5447343312666761</v>
      </c>
      <c r="S193" s="574">
        <f t="shared" si="76"/>
        <v>1.0228143452562521</v>
      </c>
      <c r="T193" s="577">
        <f t="shared" si="77"/>
        <v>0.21160756051160221</v>
      </c>
      <c r="U193" s="578">
        <f t="shared" si="89"/>
        <v>0.91788959700667905</v>
      </c>
      <c r="V193" s="579">
        <f t="shared" si="90"/>
        <v>-0.50710676470574667</v>
      </c>
      <c r="W193" s="580">
        <f t="shared" si="78"/>
        <v>-7.664533628809366</v>
      </c>
      <c r="X193" s="581">
        <f t="shared" si="79"/>
        <v>-139.68433828314784</v>
      </c>
      <c r="Y193" s="584">
        <f t="shared" si="80"/>
        <v>40.315661716852162</v>
      </c>
      <c r="AA193" s="147">
        <f t="shared" si="81"/>
        <v>10902.5</v>
      </c>
      <c r="AB193" s="147">
        <f t="shared" si="82"/>
        <v>118864506.25</v>
      </c>
      <c r="AD193" s="583">
        <f t="shared" si="83"/>
        <v>30.33379951976147</v>
      </c>
      <c r="AE193" s="584">
        <f t="shared" si="84"/>
        <v>-13.617183693691713</v>
      </c>
      <c r="AG193" s="583">
        <f t="shared" si="85"/>
        <v>18.592294268719087</v>
      </c>
      <c r="AH193" s="584">
        <f t="shared" si="86"/>
        <v>-67.9569997627096</v>
      </c>
      <c r="AJ193" s="147">
        <f t="shared" si="87"/>
        <v>0</v>
      </c>
      <c r="AK193" s="147">
        <f t="shared" si="99"/>
        <v>0</v>
      </c>
      <c r="AM193" s="147" t="str">
        <f t="shared" si="91"/>
        <v>0.272103183841253+0.685686681382947i</v>
      </c>
      <c r="AN193" s="147" t="str">
        <f t="shared" si="92"/>
        <v>0.755546657552373i</v>
      </c>
      <c r="AO193" s="147" t="str">
        <f t="shared" si="93"/>
        <v>0.907537177921294-0.360140808143793i</v>
      </c>
      <c r="AP193" s="147" t="str">
        <f t="shared" si="94"/>
        <v>0.121316136026458-0.114281113563824i</v>
      </c>
      <c r="AQ193" s="147" t="str">
        <f t="shared" si="95"/>
        <v>0.878683863973542+0.114281113563824i</v>
      </c>
      <c r="AR193" s="147" t="str">
        <f t="shared" si="96"/>
        <v>0.932239506375593-0.121246529343346i</v>
      </c>
    </row>
    <row r="194" spans="7:44">
      <c r="G194" s="585">
        <v>10965</v>
      </c>
      <c r="H194" s="573">
        <f t="shared" si="88"/>
        <v>10.965</v>
      </c>
      <c r="I194" s="574">
        <f t="shared" si="66"/>
        <v>95.456380741890115</v>
      </c>
      <c r="J194" s="575">
        <f t="shared" si="67"/>
        <v>1.5603201461122751</v>
      </c>
      <c r="K194" s="575">
        <f t="shared" si="68"/>
        <v>1.0002584156319396</v>
      </c>
      <c r="L194" s="576">
        <f t="shared" si="69"/>
        <v>2.2731475770060489E-2</v>
      </c>
      <c r="M194" s="575">
        <f t="shared" si="70"/>
        <v>1.0123562488085522</v>
      </c>
      <c r="N194" s="576">
        <f t="shared" si="71"/>
        <v>-0.15639913886003398</v>
      </c>
      <c r="O194" s="574">
        <f t="shared" si="72"/>
        <v>206685.38044591915</v>
      </c>
      <c r="P194" s="577">
        <f t="shared" si="73"/>
        <v>1.5707914885233274</v>
      </c>
      <c r="Q194" s="586">
        <f t="shared" si="100"/>
        <v>38.594228496231167</v>
      </c>
      <c r="R194" s="587">
        <f t="shared" si="101"/>
        <v>1.5448828167683928</v>
      </c>
      <c r="S194" s="574">
        <f t="shared" si="76"/>
        <v>1.0230737089184518</v>
      </c>
      <c r="T194" s="577">
        <f t="shared" si="77"/>
        <v>0.21278444084287274</v>
      </c>
      <c r="U194" s="578">
        <f t="shared" si="89"/>
        <v>0.9170568767402002</v>
      </c>
      <c r="V194" s="579">
        <f t="shared" si="90"/>
        <v>-0.50978671377501295</v>
      </c>
      <c r="W194" s="580">
        <f t="shared" si="78"/>
        <v>-7.7230748462086254</v>
      </c>
      <c r="X194" s="581">
        <f t="shared" si="79"/>
        <v>-139.94308727565692</v>
      </c>
      <c r="Y194" s="584">
        <f t="shared" si="80"/>
        <v>40.056912724343078</v>
      </c>
      <c r="AA194" s="147">
        <f t="shared" si="81"/>
        <v>10965</v>
      </c>
      <c r="AB194" s="147">
        <f t="shared" si="82"/>
        <v>120231225</v>
      </c>
      <c r="AD194" s="583">
        <f t="shared" si="83"/>
        <v>30.331563719966471</v>
      </c>
      <c r="AE194" s="584">
        <f t="shared" si="84"/>
        <v>-13.676107966322533</v>
      </c>
      <c r="AG194" s="583">
        <f t="shared" si="85"/>
        <v>18.551755887230648</v>
      </c>
      <c r="AH194" s="584">
        <f t="shared" si="86"/>
        <v>-67.84972494027906</v>
      </c>
      <c r="AJ194" s="147">
        <f t="shared" si="87"/>
        <v>0</v>
      </c>
      <c r="AK194" s="147">
        <f t="shared" si="99"/>
        <v>0</v>
      </c>
      <c r="AM194" s="147" t="str">
        <f t="shared" si="91"/>
        <v>0.275079896012082+0.688832957134127i</v>
      </c>
      <c r="AN194" s="147" t="str">
        <f t="shared" si="92"/>
        <v>0.759877927086611i</v>
      </c>
      <c r="AO194" s="147" t="str">
        <f t="shared" si="93"/>
        <v>0.906504758961914-0.36200537771474i</v>
      </c>
      <c r="AP194" s="147" t="str">
        <f t="shared" si="94"/>
        <v>0.12082001733132-0.114805492855688i</v>
      </c>
      <c r="AQ194" s="147" t="str">
        <f t="shared" si="95"/>
        <v>0.87917998266868+0.114805492855688i</v>
      </c>
      <c r="AR194" s="147" t="str">
        <f t="shared" si="96"/>
        <v>0.931588556810647-0.121649133865313i</v>
      </c>
    </row>
    <row r="195" spans="7:44">
      <c r="G195" s="585">
        <v>11028.75</v>
      </c>
      <c r="H195" s="573">
        <f t="shared" si="88"/>
        <v>11.02875</v>
      </c>
      <c r="I195" s="574">
        <f t="shared" si="66"/>
        <v>96.011298968791024</v>
      </c>
      <c r="J195" s="575">
        <f t="shared" si="67"/>
        <v>1.5603806976777213</v>
      </c>
      <c r="K195" s="575">
        <f t="shared" si="68"/>
        <v>1.0002614288060341</v>
      </c>
      <c r="L195" s="576">
        <f t="shared" si="69"/>
        <v>2.2863589593632144E-2</v>
      </c>
      <c r="M195" s="575">
        <f t="shared" si="70"/>
        <v>1.0124994542871566</v>
      </c>
      <c r="N195" s="576">
        <f t="shared" si="71"/>
        <v>-0.15729355412147805</v>
      </c>
      <c r="O195" s="574">
        <f t="shared" si="72"/>
        <v>207887.03963453017</v>
      </c>
      <c r="P195" s="577">
        <f t="shared" si="73"/>
        <v>1.5707915164902151</v>
      </c>
      <c r="Q195" s="586">
        <f t="shared" si="100"/>
        <v>38.818463337640893</v>
      </c>
      <c r="R195" s="587">
        <f t="shared" si="101"/>
        <v>1.5450325393760294</v>
      </c>
      <c r="S195" s="574">
        <f t="shared" si="76"/>
        <v>1.023339718904378</v>
      </c>
      <c r="T195" s="577">
        <f t="shared" si="77"/>
        <v>0.21398424250760748</v>
      </c>
      <c r="U195" s="578">
        <f t="shared" si="89"/>
        <v>0.91620479519133879</v>
      </c>
      <c r="V195" s="579">
        <f t="shared" si="90"/>
        <v>-0.51251677132971185</v>
      </c>
      <c r="W195" s="580">
        <f t="shared" si="78"/>
        <v>-7.7825336811307047</v>
      </c>
      <c r="X195" s="581">
        <f t="shared" si="79"/>
        <v>-140.20682075643157</v>
      </c>
      <c r="Y195" s="584">
        <f t="shared" si="80"/>
        <v>39.793179243568432</v>
      </c>
      <c r="AA195" s="147">
        <f t="shared" si="81"/>
        <v>11028.75</v>
      </c>
      <c r="AB195" s="147">
        <f t="shared" si="82"/>
        <v>121633326.5625</v>
      </c>
      <c r="AD195" s="583">
        <f t="shared" si="83"/>
        <v>30.329271980370251</v>
      </c>
      <c r="AE195" s="584">
        <f t="shared" si="84"/>
        <v>-13.736274666902718</v>
      </c>
      <c r="AG195" s="583">
        <f t="shared" si="85"/>
        <v>18.510737248924997</v>
      </c>
      <c r="AH195" s="584">
        <f t="shared" si="86"/>
        <v>-67.740450168691964</v>
      </c>
      <c r="AJ195" s="147">
        <f t="shared" si="87"/>
        <v>0</v>
      </c>
      <c r="AK195" s="147">
        <f t="shared" si="99"/>
        <v>0</v>
      </c>
      <c r="AM195" s="147" t="str">
        <f t="shared" si="91"/>
        <v>0.278130152147825+0.692028845325018i</v>
      </c>
      <c r="AN195" s="147" t="str">
        <f t="shared" si="92"/>
        <v>0.764295822011533i</v>
      </c>
      <c r="AO195" s="147" t="str">
        <f t="shared" si="93"/>
        <v>0.905446327710758-0.363903797636654i</v>
      </c>
      <c r="AP195" s="147" t="str">
        <f t="shared" si="94"/>
        <v>0.120311641308696-0.115338140887503i</v>
      </c>
      <c r="AQ195" s="147" t="str">
        <f t="shared" si="95"/>
        <v>0.879688358691304+0.115338140887503i</v>
      </c>
      <c r="AR195" s="147" t="str">
        <f t="shared" si="96"/>
        <v>0.930923227009647-0.122055672615722i</v>
      </c>
    </row>
    <row r="196" spans="7:44">
      <c r="G196" s="585">
        <v>11092.5</v>
      </c>
      <c r="H196" s="573">
        <f t="shared" si="88"/>
        <v>11.092499999999999</v>
      </c>
      <c r="I196" s="574">
        <f t="shared" si="66"/>
        <v>96.56621754367076</v>
      </c>
      <c r="J196" s="575">
        <f t="shared" si="67"/>
        <v>1.5604405533232328</v>
      </c>
      <c r="K196" s="575">
        <f t="shared" si="68"/>
        <v>1.0002644594386487</v>
      </c>
      <c r="L196" s="576">
        <f t="shared" si="69"/>
        <v>2.2995702618944489E-2</v>
      </c>
      <c r="M196" s="575">
        <f t="shared" si="70"/>
        <v>1.0126434695142497</v>
      </c>
      <c r="N196" s="576">
        <f t="shared" si="71"/>
        <v>-0.15818771569575707</v>
      </c>
      <c r="O196" s="574">
        <f t="shared" si="72"/>
        <v>209088.69882314137</v>
      </c>
      <c r="P196" s="577">
        <f t="shared" si="73"/>
        <v>1.5707915441356441</v>
      </c>
      <c r="Q196" s="586">
        <f t="shared" si="100"/>
        <v>39.042699039243104</v>
      </c>
      <c r="R196" s="587">
        <f t="shared" si="101"/>
        <v>1.5451805421696856</v>
      </c>
      <c r="S196" s="574">
        <f t="shared" si="76"/>
        <v>1.0236072012455331</v>
      </c>
      <c r="T196" s="577">
        <f t="shared" si="77"/>
        <v>0.21518341884918285</v>
      </c>
      <c r="U196" s="578">
        <f t="shared" si="89"/>
        <v>0.91535000852203741</v>
      </c>
      <c r="V196" s="579">
        <f t="shared" si="90"/>
        <v>-0.5152432966651237</v>
      </c>
      <c r="W196" s="580">
        <f t="shared" si="78"/>
        <v>-7.8417399769919847</v>
      </c>
      <c r="X196" s="581">
        <f t="shared" si="79"/>
        <v>-140.47036018449305</v>
      </c>
      <c r="Y196" s="584">
        <f t="shared" si="80"/>
        <v>39.529639815506954</v>
      </c>
      <c r="AA196" s="147">
        <f t="shared" si="81"/>
        <v>11092.5</v>
      </c>
      <c r="AB196" s="147">
        <f t="shared" si="82"/>
        <v>123043556.25</v>
      </c>
      <c r="AD196" s="583">
        <f t="shared" si="83"/>
        <v>30.326968911463727</v>
      </c>
      <c r="AE196" s="584">
        <f t="shared" si="84"/>
        <v>-13.796504058769504</v>
      </c>
      <c r="AG196" s="583">
        <f t="shared" si="85"/>
        <v>18.470048842728282</v>
      </c>
      <c r="AH196" s="584">
        <f t="shared" si="86"/>
        <v>-67.631323415620372</v>
      </c>
      <c r="AJ196" s="147">
        <f t="shared" si="87"/>
        <v>0</v>
      </c>
      <c r="AK196" s="147">
        <f t="shared" si="99"/>
        <v>0</v>
      </c>
      <c r="AM196" s="147" t="str">
        <f t="shared" si="91"/>
        <v>0.281194497568768+0.695211226660347i</v>
      </c>
      <c r="AN196" s="147" t="str">
        <f t="shared" si="92"/>
        <v>0.768713716936455i</v>
      </c>
      <c r="AO196" s="147" t="str">
        <f t="shared" si="93"/>
        <v>0.904382491613345-0.365798725030443i</v>
      </c>
      <c r="AP196" s="147" t="str">
        <f t="shared" si="94"/>
        <v>0.119800917071872-0.115868537776724i</v>
      </c>
      <c r="AQ196" s="147" t="str">
        <f t="shared" si="95"/>
        <v>0.880199082928128+0.115868537776724i</v>
      </c>
      <c r="AR196" s="147" t="str">
        <f t="shared" si="96"/>
        <v>0.930256552488201-0.12245805362061i</v>
      </c>
    </row>
    <row r="197" spans="7:44">
      <c r="G197" s="585">
        <v>11156.25</v>
      </c>
      <c r="H197" s="573">
        <f t="shared" si="88"/>
        <v>11.15625</v>
      </c>
      <c r="I197" s="574">
        <f t="shared" si="66"/>
        <v>97.121136460564642</v>
      </c>
      <c r="J197" s="575">
        <f t="shared" si="67"/>
        <v>1.5604997249771644</v>
      </c>
      <c r="K197" s="575">
        <f t="shared" si="68"/>
        <v>1.0002675075296246</v>
      </c>
      <c r="L197" s="576">
        <f t="shared" si="69"/>
        <v>2.3127814841393035E-2</v>
      </c>
      <c r="M197" s="575">
        <f t="shared" si="70"/>
        <v>1.0127882941444004</v>
      </c>
      <c r="N197" s="576">
        <f t="shared" si="71"/>
        <v>-0.15908162226158881</v>
      </c>
      <c r="O197" s="574">
        <f t="shared" si="72"/>
        <v>210290.35801175269</v>
      </c>
      <c r="P197" s="577">
        <f t="shared" si="73"/>
        <v>1.5707915714651257</v>
      </c>
      <c r="Q197" s="586">
        <f t="shared" si="100"/>
        <v>39.266935586301287</v>
      </c>
      <c r="R197" s="587">
        <f t="shared" si="101"/>
        <v>1.5453268546061709</v>
      </c>
      <c r="S197" s="574">
        <f t="shared" si="76"/>
        <v>1.0238761547879816</v>
      </c>
      <c r="T197" s="577">
        <f t="shared" si="77"/>
        <v>0.21638196691015468</v>
      </c>
      <c r="U197" s="578">
        <f t="shared" si="89"/>
        <v>0.91449254541883718</v>
      </c>
      <c r="V197" s="579">
        <f t="shared" si="90"/>
        <v>-0.5179662827292284</v>
      </c>
      <c r="W197" s="580">
        <f t="shared" si="78"/>
        <v>-7.9006968712530057</v>
      </c>
      <c r="X197" s="581">
        <f t="shared" si="79"/>
        <v>-140.73370390691028</v>
      </c>
      <c r="Y197" s="584">
        <f t="shared" si="80"/>
        <v>39.266296093089721</v>
      </c>
      <c r="AA197" s="147">
        <f t="shared" si="81"/>
        <v>11156.25</v>
      </c>
      <c r="AB197" s="147">
        <f t="shared" si="82"/>
        <v>124461914.0625</v>
      </c>
      <c r="AD197" s="583">
        <f t="shared" si="83"/>
        <v>30.324654519366486</v>
      </c>
      <c r="AE197" s="584">
        <f t="shared" si="84"/>
        <v>-13.856794285038742</v>
      </c>
      <c r="AG197" s="583">
        <f t="shared" si="85"/>
        <v>18.429687152074134</v>
      </c>
      <c r="AH197" s="584">
        <f t="shared" si="86"/>
        <v>-67.522345693119604</v>
      </c>
      <c r="AJ197" s="147">
        <f t="shared" si="87"/>
        <v>0</v>
      </c>
      <c r="AK197" s="147">
        <f t="shared" si="99"/>
        <v>0</v>
      </c>
      <c r="AM197" s="147" t="str">
        <f t="shared" si="91"/>
        <v>0.284272872465743+0.698380039027148i</v>
      </c>
      <c r="AN197" s="147" t="str">
        <f t="shared" si="92"/>
        <v>0.773131611861377i</v>
      </c>
      <c r="AO197" s="147" t="str">
        <f t="shared" si="93"/>
        <v>0.903313262984735-0.367690142408397i</v>
      </c>
      <c r="AP197" s="147" t="str">
        <f t="shared" si="94"/>
        <v>0.119287854589043-0.116396673171191i</v>
      </c>
      <c r="AQ197" s="147" t="str">
        <f t="shared" si="95"/>
        <v>0.880712145410957+0.116396673171191i</v>
      </c>
      <c r="AR197" s="147" t="str">
        <f t="shared" si="96"/>
        <v>0.929588563330856-0.122856278017161i</v>
      </c>
    </row>
    <row r="198" spans="7:44">
      <c r="G198" s="585">
        <v>11220</v>
      </c>
      <c r="H198" s="573">
        <f t="shared" si="88"/>
        <v>11.22</v>
      </c>
      <c r="I198" s="574">
        <f t="shared" si="66"/>
        <v>97.676055713643464</v>
      </c>
      <c r="J198" s="575">
        <f t="shared" si="67"/>
        <v>1.5605582242968203</v>
      </c>
      <c r="K198" s="575">
        <f t="shared" si="68"/>
        <v>1.0002705730788024</v>
      </c>
      <c r="L198" s="576">
        <f t="shared" si="69"/>
        <v>2.3259926256373468E-2</v>
      </c>
      <c r="M198" s="575">
        <f t="shared" si="70"/>
        <v>1.0129339278304348</v>
      </c>
      <c r="N198" s="576">
        <f t="shared" si="71"/>
        <v>-0.1599752725000749</v>
      </c>
      <c r="O198" s="574">
        <f t="shared" si="72"/>
        <v>211492.01720036418</v>
      </c>
      <c r="P198" s="577">
        <f t="shared" si="73"/>
        <v>1.5707915984840448</v>
      </c>
      <c r="Q198" s="586">
        <f t="shared" si="100"/>
        <v>39.491172964413565</v>
      </c>
      <c r="R198" s="587">
        <f t="shared" si="101"/>
        <v>1.5454715054735451</v>
      </c>
      <c r="S198" s="574">
        <f t="shared" si="76"/>
        <v>1.0241465783726564</v>
      </c>
      <c r="T198" s="577">
        <f t="shared" si="77"/>
        <v>0.21757988374339718</v>
      </c>
      <c r="U198" s="578">
        <f t="shared" si="89"/>
        <v>0.91363243450739773</v>
      </c>
      <c r="V198" s="579">
        <f t="shared" si="90"/>
        <v>-0.52068572262924462</v>
      </c>
      <c r="W198" s="580">
        <f t="shared" si="78"/>
        <v>-7.9594074442424425</v>
      </c>
      <c r="X198" s="581">
        <f t="shared" si="79"/>
        <v>-140.99685030338333</v>
      </c>
      <c r="Y198" s="584">
        <f t="shared" si="80"/>
        <v>39.003149696616674</v>
      </c>
      <c r="AA198" s="147">
        <f t="shared" si="81"/>
        <v>11220</v>
      </c>
      <c r="AB198" s="147">
        <f t="shared" si="82"/>
        <v>125888400</v>
      </c>
      <c r="AD198" s="583">
        <f t="shared" si="83"/>
        <v>30.322328810647598</v>
      </c>
      <c r="AE198" s="584">
        <f t="shared" si="84"/>
        <v>-13.917143527726749</v>
      </c>
      <c r="AG198" s="583">
        <f t="shared" si="85"/>
        <v>18.389648717257895</v>
      </c>
      <c r="AH198" s="584">
        <f t="shared" si="86"/>
        <v>-67.413517988727747</v>
      </c>
      <c r="AJ198" s="147">
        <f t="shared" si="87"/>
        <v>0</v>
      </c>
      <c r="AK198" s="147">
        <f t="shared" si="99"/>
        <v>0</v>
      </c>
      <c r="AM198" s="147" t="str">
        <f t="shared" si="91"/>
        <v>0.287365216755753+0.701535220577289i</v>
      </c>
      <c r="AN198" s="147" t="str">
        <f t="shared" si="92"/>
        <v>0.777549506786299i</v>
      </c>
      <c r="AO198" s="147" t="str">
        <f t="shared" si="93"/>
        <v>0.902238654200701-0.369578032328085i</v>
      </c>
      <c r="AP198" s="147" t="str">
        <f t="shared" si="94"/>
        <v>0.118772463874041-0.116922536762882i</v>
      </c>
      <c r="AQ198" s="147" t="str">
        <f t="shared" si="95"/>
        <v>0.881227536125959+0.116922536762882i</v>
      </c>
      <c r="AR198" s="147" t="str">
        <f t="shared" si="96"/>
        <v>0.928919289504782-0.123250347185416i</v>
      </c>
    </row>
    <row r="199" spans="7:44">
      <c r="G199" s="585">
        <v>11285.5</v>
      </c>
      <c r="H199" s="573">
        <f t="shared" si="88"/>
        <v>11.285500000000001</v>
      </c>
      <c r="I199" s="574">
        <f t="shared" si="66"/>
        <v>98.246208388424762</v>
      </c>
      <c r="J199" s="575">
        <f t="shared" si="67"/>
        <v>1.560617641182299</v>
      </c>
      <c r="K199" s="575">
        <f t="shared" si="68"/>
        <v>1.0002737409637883</v>
      </c>
      <c r="L199" s="576">
        <f t="shared" si="69"/>
        <v>2.3395663413355732E-2</v>
      </c>
      <c r="M199" s="575">
        <f t="shared" si="70"/>
        <v>1.0130844016119629</v>
      </c>
      <c r="N199" s="576">
        <f t="shared" si="71"/>
        <v>-0.16089318595141619</v>
      </c>
      <c r="O199" s="574">
        <f t="shared" si="72"/>
        <v>212726.66311180044</v>
      </c>
      <c r="P199" s="577">
        <f t="shared" si="73"/>
        <v>1.5707916259267245</v>
      </c>
      <c r="Q199" s="586">
        <f t="shared" si="100"/>
        <v>39.721566729189242</v>
      </c>
      <c r="R199" s="587">
        <f t="shared" si="101"/>
        <v>1.5456184261073396</v>
      </c>
      <c r="S199" s="574">
        <f t="shared" si="76"/>
        <v>1.0244259552534267</v>
      </c>
      <c r="T199" s="577">
        <f t="shared" si="77"/>
        <v>0.21881002402412561</v>
      </c>
      <c r="U199" s="578">
        <f t="shared" si="89"/>
        <v>0.91274598489648096</v>
      </c>
      <c r="V199" s="579">
        <f t="shared" si="90"/>
        <v>-0.5234761132248823</v>
      </c>
      <c r="W199" s="580">
        <f t="shared" si="78"/>
        <v>-8.0194763019148549</v>
      </c>
      <c r="X199" s="581">
        <f t="shared" si="79"/>
        <v>-141.26701313169147</v>
      </c>
      <c r="Y199" s="584">
        <f t="shared" si="80"/>
        <v>38.732986868308529</v>
      </c>
      <c r="AA199" s="147">
        <f t="shared" si="81"/>
        <v>11285.5</v>
      </c>
      <c r="AB199" s="147">
        <f t="shared" si="82"/>
        <v>127362510.25</v>
      </c>
      <c r="AD199" s="583">
        <f t="shared" si="83"/>
        <v>30.319927479446669</v>
      </c>
      <c r="AE199" s="584">
        <f t="shared" si="84"/>
        <v>-13.979209014202359</v>
      </c>
      <c r="AG199" s="583">
        <f t="shared" si="85"/>
        <v>18.348844298700815</v>
      </c>
      <c r="AH199" s="584">
        <f t="shared" si="86"/>
        <v>-67.301860121548813</v>
      </c>
      <c r="AJ199" s="147">
        <f t="shared" si="87"/>
        <v>0</v>
      </c>
      <c r="AK199" s="147">
        <f t="shared" si="99"/>
        <v>0</v>
      </c>
      <c r="AM199" s="147" t="str">
        <f t="shared" si="91"/>
        <v>0.290556935354134+0.704762753006912i</v>
      </c>
      <c r="AN199" s="147" t="str">
        <f t="shared" si="92"/>
        <v>0.78208867725818i</v>
      </c>
      <c r="AO199" s="147" t="str">
        <f t="shared" si="93"/>
        <v>0.901128955705695-0.371514054356034i</v>
      </c>
      <c r="AP199" s="147" t="str">
        <f t="shared" si="94"/>
        <v>0.118240510774311-0.117460458834485i</v>
      </c>
      <c r="AQ199" s="147" t="str">
        <f t="shared" si="95"/>
        <v>0.881759489225689+0.117460458834485i</v>
      </c>
      <c r="AR199" s="147" t="str">
        <f t="shared" si="96"/>
        <v>0.928230336776826-0.123650907752225i</v>
      </c>
    </row>
    <row r="200" spans="7:44">
      <c r="G200" s="585">
        <v>11351</v>
      </c>
      <c r="H200" s="573">
        <f t="shared" si="88"/>
        <v>11.351000000000001</v>
      </c>
      <c r="I200" s="574">
        <f t="shared" si="66"/>
        <v>98.816361406048699</v>
      </c>
      <c r="J200" s="575">
        <f t="shared" si="67"/>
        <v>1.5606763724180348</v>
      </c>
      <c r="K200" s="575">
        <f t="shared" si="68"/>
        <v>1.0002769272782768</v>
      </c>
      <c r="L200" s="576">
        <f t="shared" si="69"/>
        <v>2.3531399708075801E-2</v>
      </c>
      <c r="M200" s="575">
        <f t="shared" si="70"/>
        <v>1.0132357287291061</v>
      </c>
      <c r="N200" s="576">
        <f t="shared" si="71"/>
        <v>-0.16181082599433494</v>
      </c>
      <c r="O200" s="574">
        <f t="shared" si="72"/>
        <v>213961.30902323688</v>
      </c>
      <c r="P200" s="577">
        <f t="shared" si="73"/>
        <v>1.5707916530526926</v>
      </c>
      <c r="Q200" s="586">
        <f t="shared" si="100"/>
        <v>39.951961341492591</v>
      </c>
      <c r="R200" s="587">
        <f t="shared" si="101"/>
        <v>1.5457636522230525</v>
      </c>
      <c r="S200" s="574">
        <f t="shared" si="76"/>
        <v>1.0247068814950973</v>
      </c>
      <c r="T200" s="577">
        <f t="shared" si="77"/>
        <v>0.22003949167173312</v>
      </c>
      <c r="U200" s="578">
        <f t="shared" si="89"/>
        <v>0.91185680117377788</v>
      </c>
      <c r="V200" s="579">
        <f t="shared" si="90"/>
        <v>-0.5262627460542505</v>
      </c>
      <c r="W200" s="580">
        <f t="shared" si="78"/>
        <v>-8.0792915422766338</v>
      </c>
      <c r="X200" s="581">
        <f t="shared" si="79"/>
        <v>-141.53696428681968</v>
      </c>
      <c r="Y200" s="584">
        <f t="shared" si="80"/>
        <v>38.463035713180318</v>
      </c>
      <c r="AA200" s="147">
        <f t="shared" si="81"/>
        <v>11351</v>
      </c>
      <c r="AB200" s="147">
        <f t="shared" si="82"/>
        <v>128845201</v>
      </c>
      <c r="AD200" s="583">
        <f t="shared" si="83"/>
        <v>30.317514217253319</v>
      </c>
      <c r="AE200" s="584">
        <f t="shared" si="84"/>
        <v>-14.041333032227206</v>
      </c>
      <c r="AG200" s="583">
        <f t="shared" si="85"/>
        <v>18.308373901156362</v>
      </c>
      <c r="AH200" s="584">
        <f t="shared" si="86"/>
        <v>-67.190362657936504</v>
      </c>
      <c r="AJ200" s="147">
        <f t="shared" si="87"/>
        <v>0</v>
      </c>
      <c r="AK200" s="147">
        <f t="shared" si="99"/>
        <v>0</v>
      </c>
      <c r="AM200" s="147" t="str">
        <f t="shared" si="91"/>
        <v>0.293763271340969+0.707975764481377i</v>
      </c>
      <c r="AN200" s="147" t="str">
        <f t="shared" si="92"/>
        <v>0.786627847730061i</v>
      </c>
      <c r="AO200" s="147" t="str">
        <f t="shared" si="93"/>
        <v>0.900013604303932-0.373446315419254i</v>
      </c>
      <c r="AP200" s="147" t="str">
        <f t="shared" si="94"/>
        <v>0.117706121443172-0.117995960746896i</v>
      </c>
      <c r="AQ200" s="147" t="str">
        <f t="shared" si="95"/>
        <v>0.882293878556828+0.117995960746896i</v>
      </c>
      <c r="AR200" s="147" t="str">
        <f t="shared" si="96"/>
        <v>0.927540091630231-0.124047085560873i</v>
      </c>
    </row>
    <row r="201" spans="7:44">
      <c r="G201" s="585">
        <v>11416.5</v>
      </c>
      <c r="H201" s="573">
        <f t="shared" si="88"/>
        <v>11.416499999999999</v>
      </c>
      <c r="I201" s="574">
        <f t="shared" si="66"/>
        <v>99.386514760614887</v>
      </c>
      <c r="J201" s="575">
        <f t="shared" si="67"/>
        <v>1.5607344298037757</v>
      </c>
      <c r="K201" s="575">
        <f t="shared" si="68"/>
        <v>1.0002801320220915</v>
      </c>
      <c r="L201" s="576">
        <f t="shared" si="69"/>
        <v>2.3667135135540234E-2</v>
      </c>
      <c r="M201" s="575">
        <f t="shared" si="70"/>
        <v>1.0133879087995836</v>
      </c>
      <c r="N201" s="576">
        <f t="shared" si="71"/>
        <v>-0.16272819120623944</v>
      </c>
      <c r="O201" s="574">
        <f t="shared" si="72"/>
        <v>215195.9549346735</v>
      </c>
      <c r="P201" s="577">
        <f t="shared" si="73"/>
        <v>1.5707916798674006</v>
      </c>
      <c r="Q201" s="586">
        <f t="shared" si="100"/>
        <v>40.182356786745146</v>
      </c>
      <c r="R201" s="587">
        <f t="shared" si="101"/>
        <v>1.5459072129623159</v>
      </c>
      <c r="S201" s="574">
        <f t="shared" si="76"/>
        <v>1.024989355823734</v>
      </c>
      <c r="T201" s="577">
        <f t="shared" si="77"/>
        <v>0.22126828352391054</v>
      </c>
      <c r="U201" s="578">
        <f t="shared" si="89"/>
        <v>0.91096491417456316</v>
      </c>
      <c r="V201" s="579">
        <f t="shared" si="90"/>
        <v>-0.5290456141622526</v>
      </c>
      <c r="W201" s="580">
        <f t="shared" si="78"/>
        <v>-8.138856326484655</v>
      </c>
      <c r="X201" s="581">
        <f t="shared" si="79"/>
        <v>-141.80670211455643</v>
      </c>
      <c r="Y201" s="584">
        <f t="shared" si="80"/>
        <v>38.19329788544357</v>
      </c>
      <c r="AA201" s="147">
        <f t="shared" si="81"/>
        <v>11416.5</v>
      </c>
      <c r="AB201" s="147">
        <f t="shared" si="82"/>
        <v>130336472.25</v>
      </c>
      <c r="AD201" s="583">
        <f t="shared" si="83"/>
        <v>30.315089032590183</v>
      </c>
      <c r="AE201" s="584">
        <f t="shared" si="84"/>
        <v>-14.103513731234109</v>
      </c>
      <c r="AG201" s="583">
        <f t="shared" si="85"/>
        <v>18.268233951325506</v>
      </c>
      <c r="AH201" s="584">
        <f t="shared" si="86"/>
        <v>-67.07902659124187</v>
      </c>
      <c r="AJ201" s="147">
        <f t="shared" si="87"/>
        <v>0</v>
      </c>
      <c r="AK201" s="147">
        <f t="shared" si="99"/>
        <v>0</v>
      </c>
      <c r="AM201" s="147" t="str">
        <f t="shared" si="91"/>
        <v>0.296984158652805+0.711174188799689i</v>
      </c>
      <c r="AN201" s="147" t="str">
        <f t="shared" si="92"/>
        <v>0.791167018201942i</v>
      </c>
      <c r="AO201" s="147" t="str">
        <f t="shared" si="93"/>
        <v>0.898892613617729-0.375374796749934i</v>
      </c>
      <c r="AP201" s="147" t="str">
        <f t="shared" si="94"/>
        <v>0.117169306891199-0.118529031466615i</v>
      </c>
      <c r="AQ201" s="147" t="str">
        <f t="shared" si="95"/>
        <v>0.882830693108801+0.118529031466615i</v>
      </c>
      <c r="AR201" s="147" t="str">
        <f t="shared" si="96"/>
        <v>0.926848586168244-0.124438882893692i</v>
      </c>
    </row>
    <row r="202" spans="7:44">
      <c r="G202" s="585">
        <v>11482</v>
      </c>
      <c r="H202" s="573">
        <f t="shared" si="88"/>
        <v>11.481999999999999</v>
      </c>
      <c r="I202" s="574">
        <f t="shared" si="66"/>
        <v>99.956668446357554</v>
      </c>
      <c r="J202" s="575">
        <f t="shared" si="67"/>
        <v>1.5607918248700658</v>
      </c>
      <c r="K202" s="575">
        <f t="shared" si="68"/>
        <v>1.0002833551950554</v>
      </c>
      <c r="L202" s="576">
        <f t="shared" si="69"/>
        <v>2.380286969075579E-2</v>
      </c>
      <c r="M202" s="575">
        <f t="shared" si="70"/>
        <v>1.0135409414391903</v>
      </c>
      <c r="N202" s="576">
        <f t="shared" si="71"/>
        <v>-0.16364528016724028</v>
      </c>
      <c r="O202" s="574">
        <f t="shared" si="72"/>
        <v>216430.60084611023</v>
      </c>
      <c r="P202" s="577">
        <f t="shared" si="73"/>
        <v>1.5707917063761754</v>
      </c>
      <c r="Q202" s="586">
        <f t="shared" si="100"/>
        <v>40.412753050700822</v>
      </c>
      <c r="R202" s="587">
        <f t="shared" si="101"/>
        <v>1.5460491368024849</v>
      </c>
      <c r="S202" s="574">
        <f t="shared" si="76"/>
        <v>1.0252733769597913</v>
      </c>
      <c r="T202" s="577">
        <f t="shared" si="77"/>
        <v>0.22249639642998734</v>
      </c>
      <c r="U202" s="578">
        <f t="shared" si="89"/>
        <v>0.91007035465804542</v>
      </c>
      <c r="V202" s="579">
        <f t="shared" si="90"/>
        <v>-0.53182471076834759</v>
      </c>
      <c r="W202" s="580">
        <f t="shared" si="78"/>
        <v>-8.1981737577020581</v>
      </c>
      <c r="X202" s="581">
        <f t="shared" si="79"/>
        <v>-142.07622499414225</v>
      </c>
      <c r="Y202" s="584">
        <f t="shared" si="80"/>
        <v>37.923775005857749</v>
      </c>
      <c r="AA202" s="147">
        <f t="shared" si="81"/>
        <v>11482</v>
      </c>
      <c r="AB202" s="147">
        <f t="shared" si="82"/>
        <v>131836324</v>
      </c>
      <c r="AD202" s="583">
        <f t="shared" si="83"/>
        <v>30.312651934424949</v>
      </c>
      <c r="AE202" s="584">
        <f t="shared" si="84"/>
        <v>-14.165749299375905</v>
      </c>
      <c r="AG202" s="583">
        <f t="shared" si="85"/>
        <v>18.228420933757327</v>
      </c>
      <c r="AH202" s="584">
        <f t="shared" si="86"/>
        <v>-66.967852889545199</v>
      </c>
      <c r="AJ202" s="147">
        <f t="shared" si="87"/>
        <v>0</v>
      </c>
      <c r="AK202" s="147">
        <f t="shared" si="99"/>
        <v>0</v>
      </c>
      <c r="AM202" s="147" t="str">
        <f t="shared" si="91"/>
        <v>0.300219530926373+0.714357960061407i</v>
      </c>
      <c r="AN202" s="147" t="str">
        <f t="shared" si="92"/>
        <v>0.795706188673823i</v>
      </c>
      <c r="AO202" s="147" t="str">
        <f t="shared" si="93"/>
        <v>0.897765997336283-0.37729947963172i</v>
      </c>
      <c r="AP202" s="147" t="str">
        <f t="shared" si="94"/>
        <v>0.116630078178938-0.119059660010234i</v>
      </c>
      <c r="AQ202" s="147" t="str">
        <f t="shared" si="95"/>
        <v>0.883369921821062+0.119059660010234i</v>
      </c>
      <c r="AR202" s="147" t="str">
        <f t="shared" si="96"/>
        <v>0.926155852354658-0.124826302293062i</v>
      </c>
    </row>
    <row r="203" spans="7:44">
      <c r="G203" s="585">
        <v>11548.75</v>
      </c>
      <c r="H203" s="573">
        <f t="shared" si="88"/>
        <v>11.54875</v>
      </c>
      <c r="I203" s="574">
        <f t="shared" si="66"/>
        <v>100.53770326251316</v>
      </c>
      <c r="J203" s="575">
        <f t="shared" si="67"/>
        <v>1.5608496455285605</v>
      </c>
      <c r="K203" s="575">
        <f t="shared" si="68"/>
        <v>1.0002866588388264</v>
      </c>
      <c r="L203" s="576">
        <f t="shared" si="69"/>
        <v>2.3941193697532268E-2</v>
      </c>
      <c r="M203" s="575">
        <f t="shared" si="70"/>
        <v>1.0136977712792201</v>
      </c>
      <c r="N203" s="576">
        <f t="shared" si="71"/>
        <v>-0.16457958514955268</v>
      </c>
      <c r="O203" s="574">
        <f t="shared" si="72"/>
        <v>217688.80870242187</v>
      </c>
      <c r="P203" s="577">
        <f t="shared" si="73"/>
        <v>1.5707917330814853</v>
      </c>
      <c r="Q203" s="586">
        <f t="shared" si="100"/>
        <v>40.64754701779745</v>
      </c>
      <c r="R203" s="587">
        <f t="shared" si="101"/>
        <v>1.5461921138706261</v>
      </c>
      <c r="S203" s="574">
        <f t="shared" si="76"/>
        <v>1.0255644083838755</v>
      </c>
      <c r="T203" s="577">
        <f t="shared" si="77"/>
        <v>0.22374724485013636</v>
      </c>
      <c r="U203" s="578">
        <f t="shared" si="89"/>
        <v>0.90915600565310672</v>
      </c>
      <c r="V203" s="579">
        <f t="shared" si="90"/>
        <v>-0.53465295657822698</v>
      </c>
      <c r="W203" s="580">
        <f t="shared" si="78"/>
        <v>-8.2583718761515907</v>
      </c>
      <c r="X203" s="581">
        <f t="shared" si="79"/>
        <v>-142.35066865577386</v>
      </c>
      <c r="Y203" s="584">
        <f t="shared" si="80"/>
        <v>37.649331344226141</v>
      </c>
      <c r="AA203" s="147">
        <f t="shared" si="81"/>
        <v>11548.75</v>
      </c>
      <c r="AB203" s="147">
        <f t="shared" si="82"/>
        <v>133373626.5625</v>
      </c>
      <c r="AD203" s="583">
        <f t="shared" si="83"/>
        <v>30.310156079780157</v>
      </c>
      <c r="AE203" s="584">
        <f t="shared" si="84"/>
        <v>-14.229227182263493</v>
      </c>
      <c r="AG203" s="583">
        <f t="shared" si="85"/>
        <v>18.188180895411882</v>
      </c>
      <c r="AH203" s="584">
        <f t="shared" si="86"/>
        <v>-66.854725571255614</v>
      </c>
      <c r="AJ203" s="147">
        <f t="shared" si="87"/>
        <v>0</v>
      </c>
      <c r="AK203" s="147">
        <f t="shared" si="99"/>
        <v>0</v>
      </c>
      <c r="AM203" s="147" t="str">
        <f t="shared" si="91"/>
        <v>0.303531480171045+0.717587347217929i</v>
      </c>
      <c r="AN203" s="147" t="str">
        <f t="shared" si="92"/>
        <v>0.800331984536388i</v>
      </c>
      <c r="AO203" s="147" t="str">
        <f t="shared" si="93"/>
        <v>0.896612107328947-0.379256965903809i</v>
      </c>
      <c r="AP203" s="147" t="str">
        <f t="shared" si="94"/>
        <v>0.116078086638159-0.119597891202988i</v>
      </c>
      <c r="AQ203" s="147" t="str">
        <f t="shared" si="95"/>
        <v>0.883921913361841+0.119597891202988i</v>
      </c>
      <c r="AR203" s="147" t="str">
        <f t="shared" si="96"/>
        <v>0.925448667638666-0.125216614039176i</v>
      </c>
    </row>
    <row r="204" spans="7:44">
      <c r="G204" s="585">
        <v>11615.5</v>
      </c>
      <c r="H204" s="573">
        <f t="shared" si="88"/>
        <v>11.615500000000001</v>
      </c>
      <c r="I204" s="574">
        <f t="shared" si="66"/>
        <v>101.11873841092657</v>
      </c>
      <c r="J204" s="575">
        <f t="shared" si="67"/>
        <v>1.5609068017043717</v>
      </c>
      <c r="K204" s="575">
        <f t="shared" si="68"/>
        <v>1.0002899816214865</v>
      </c>
      <c r="L204" s="576">
        <f t="shared" si="69"/>
        <v>2.4079516787980607E-2</v>
      </c>
      <c r="M204" s="575">
        <f t="shared" si="70"/>
        <v>1.013855485727978</v>
      </c>
      <c r="N204" s="576">
        <f t="shared" si="71"/>
        <v>-0.16551360026769232</v>
      </c>
      <c r="O204" s="574">
        <f t="shared" si="72"/>
        <v>218947.01655873368</v>
      </c>
      <c r="P204" s="577">
        <f t="shared" si="73"/>
        <v>1.5707917594798644</v>
      </c>
      <c r="Q204" s="586">
        <f t="shared" si="100"/>
        <v>40.882341806284799</v>
      </c>
      <c r="R204" s="587">
        <f t="shared" si="101"/>
        <v>1.5463334486545683</v>
      </c>
      <c r="S204" s="574">
        <f t="shared" si="76"/>
        <v>1.0258570435164476</v>
      </c>
      <c r="T204" s="577">
        <f t="shared" si="77"/>
        <v>0.22499738159337554</v>
      </c>
      <c r="U204" s="578">
        <f t="shared" si="89"/>
        <v>0.90823894540202754</v>
      </c>
      <c r="V204" s="579">
        <f t="shared" si="90"/>
        <v>-0.53747727189402228</v>
      </c>
      <c r="W204" s="580">
        <f t="shared" si="78"/>
        <v>-8.3183194394260536</v>
      </c>
      <c r="X204" s="581">
        <f t="shared" si="79"/>
        <v>-142.62488579142169</v>
      </c>
      <c r="Y204" s="584">
        <f t="shared" si="80"/>
        <v>37.37511420857831</v>
      </c>
      <c r="AA204" s="147">
        <f t="shared" si="81"/>
        <v>11615.5</v>
      </c>
      <c r="AB204" s="147">
        <f t="shared" si="82"/>
        <v>134919840.25</v>
      </c>
      <c r="AD204" s="583">
        <f t="shared" si="83"/>
        <v>30.307647872740962</v>
      </c>
      <c r="AE204" s="584">
        <f t="shared" si="84"/>
        <v>-14.29275836743534</v>
      </c>
      <c r="AG204" s="583">
        <f t="shared" si="85"/>
        <v>18.148273193050237</v>
      </c>
      <c r="AH204" s="584">
        <f t="shared" si="86"/>
        <v>-66.741768826143314</v>
      </c>
      <c r="AJ204" s="147">
        <f t="shared" si="87"/>
        <v>0</v>
      </c>
      <c r="AK204" s="147">
        <f t="shared" si="99"/>
        <v>0</v>
      </c>
      <c r="AM204" s="147" t="str">
        <f t="shared" si="91"/>
        <v>0.306858332413729+0.720801379476846i</v>
      </c>
      <c r="AN204" s="147" t="str">
        <f t="shared" si="92"/>
        <v>0.804957780398954i</v>
      </c>
      <c r="AO204" s="147" t="str">
        <f t="shared" si="93"/>
        <v>0.895452403875892-0.381210468282751i</v>
      </c>
      <c r="AP204" s="147" t="str">
        <f t="shared" si="94"/>
        <v>0.115523611264379-0.120133563246141i</v>
      </c>
      <c r="AQ204" s="147" t="str">
        <f t="shared" si="95"/>
        <v>0.884476388735621+0.120133563246141i</v>
      </c>
      <c r="AR204" s="147" t="str">
        <f t="shared" si="96"/>
        <v>0.924740273813766-0.125602385304224i</v>
      </c>
    </row>
    <row r="205" spans="7:44">
      <c r="G205" s="585">
        <v>11682.25</v>
      </c>
      <c r="H205" s="573">
        <f t="shared" si="88"/>
        <v>11.68225</v>
      </c>
      <c r="I205" s="574">
        <f t="shared" ref="I205:I268" si="102">SQRT(1+(G205/pole1)^2)</f>
        <v>101.69977388590293</v>
      </c>
      <c r="J205" s="575">
        <f t="shared" ref="J205:J268" si="103">ATAN(G205/pole1)</f>
        <v>1.5609633047861751</v>
      </c>
      <c r="K205" s="575">
        <f t="shared" ref="K205:K268" si="104">SQRT(1+(G205/Zero1)^2)</f>
        <v>1.0002933235428446</v>
      </c>
      <c r="L205" s="576">
        <f t="shared" ref="L205:L268" si="105">ATAN(G205/Zero1)</f>
        <v>2.4217838956816808E-2</v>
      </c>
      <c r="M205" s="575">
        <f t="shared" ref="M205:M268" si="106">SQRT(1+(G205/z_RHP)^2)</f>
        <v>1.0140140843727021</v>
      </c>
      <c r="N205" s="576">
        <f t="shared" ref="N205:N268" si="107">-ATAN(G205/z_RHP)</f>
        <v>-0.16644732402765283</v>
      </c>
      <c r="O205" s="574">
        <f t="shared" ref="O205:O268" si="108">SQRT(1+(G205/Pole2)^2)</f>
        <v>220205.22441504561</v>
      </c>
      <c r="P205" s="577">
        <f t="shared" ref="P205:P268" si="109">ATAN(G205/Pole2)</f>
        <v>1.5707917855765734</v>
      </c>
      <c r="Q205" s="586">
        <f t="shared" si="100"/>
        <v>41.117137402091494</v>
      </c>
      <c r="R205" s="587">
        <f t="shared" si="101"/>
        <v>1.5464731692829508</v>
      </c>
      <c r="S205" s="574">
        <f t="shared" ref="S205:S268" si="110">SQRT(1+(G205/pole4)^2)</f>
        <v>1.0261512809854831</v>
      </c>
      <c r="T205" s="577">
        <f t="shared" ref="T205:T268" si="111">ATAN(G205/pole4)</f>
        <v>0.22624680336271336</v>
      </c>
      <c r="U205" s="578">
        <f t="shared" si="89"/>
        <v>0.90731920620221151</v>
      </c>
      <c r="V205" s="579">
        <f t="shared" si="90"/>
        <v>-0.54029765009406239</v>
      </c>
      <c r="W205" s="580">
        <f t="shared" ref="W205:W268" si="112">20*LOG10(((K205*Q205*M205*U205)/(I205*O205*S205))*Adc)</f>
        <v>-8.37801955435393</v>
      </c>
      <c r="X205" s="581">
        <f t="shared" ref="X205:X268" si="113">((L205+R205+N205+V205)-(J205+P205+T205))*radconv</f>
        <v>-142.89887478866291</v>
      </c>
      <c r="Y205" s="584">
        <f t="shared" ref="Y205:Y268" si="114">IF(X205&gt;0,X205,X205+180)</f>
        <v>37.101125211337092</v>
      </c>
      <c r="AA205" s="147">
        <f t="shared" ref="AA205:AA268" si="115">IF(W205&lt;0,G205,1000000000)</f>
        <v>11682.25</v>
      </c>
      <c r="AB205" s="147">
        <f t="shared" ref="AB205:AB268" si="116">G205^2</f>
        <v>136474965.0625</v>
      </c>
      <c r="AD205" s="583">
        <f t="shared" ref="AD205:AD268" si="117">20*LOG10((Q205/(O205*S205))*Aea)</f>
        <v>30.305127324143996</v>
      </c>
      <c r="AE205" s="584">
        <f t="shared" ref="AE205:AE268" si="118">(R205-(P205+T205))*radconv</f>
        <v>-14.356341054636884</v>
      </c>
      <c r="AG205" s="583">
        <f t="shared" ref="AG205:AG268" si="119">20*LOG10((K205*M205/(I205*U205))*Acs*Am)</f>
        <v>18.108694283270555</v>
      </c>
      <c r="AH205" s="584">
        <f t="shared" ref="AH205:AH268" si="120">(L205+N205-(J205+V205))*radconv</f>
        <v>-66.628983600827681</v>
      </c>
      <c r="AJ205" s="147">
        <f t="shared" ref="AJ205:AJ268" si="121">SUM((W206&lt;0)*(W205&gt;0))*G205</f>
        <v>0</v>
      </c>
      <c r="AK205" s="147">
        <f t="shared" si="99"/>
        <v>0</v>
      </c>
      <c r="AM205" s="147" t="str">
        <f t="shared" si="91"/>
        <v>0.310200016466608+0.723999988064456i</v>
      </c>
      <c r="AN205" s="147" t="str">
        <f t="shared" si="92"/>
        <v>0.809583576261519i</v>
      </c>
      <c r="AO205" s="147" t="str">
        <f t="shared" si="93"/>
        <v>0.894286901678182-0.383159967126611i</v>
      </c>
      <c r="AP205" s="147" t="str">
        <f t="shared" si="94"/>
        <v>0.114966663922232-0.120666664677409i</v>
      </c>
      <c r="AQ205" s="147" t="str">
        <f t="shared" si="95"/>
        <v>0.885033336077768+0.120666664677409i</v>
      </c>
      <c r="AR205" s="147" t="str">
        <f t="shared" si="96"/>
        <v>0.92403070424868-0.125983619594876i</v>
      </c>
    </row>
    <row r="206" spans="7:44">
      <c r="G206" s="585">
        <v>11749</v>
      </c>
      <c r="H206" s="573">
        <f t="shared" ref="H206:H269" si="122">G206/1000</f>
        <v>11.749000000000001</v>
      </c>
      <c r="I206" s="574">
        <f t="shared" si="102"/>
        <v>102.28080968187686</v>
      </c>
      <c r="J206" s="575">
        <f t="shared" si="103"/>
        <v>1.5610191659038763</v>
      </c>
      <c r="K206" s="575">
        <f t="shared" si="104"/>
        <v>1.0002966846027093</v>
      </c>
      <c r="L206" s="576">
        <f t="shared" si="105"/>
        <v>2.4356160198757099E-2</v>
      </c>
      <c r="M206" s="575">
        <f t="shared" si="106"/>
        <v>1.0141735667985752</v>
      </c>
      <c r="N206" s="576">
        <f t="shared" si="107"/>
        <v>-0.16738075493839186</v>
      </c>
      <c r="O206" s="574">
        <f t="shared" si="108"/>
        <v>221463.43227135771</v>
      </c>
      <c r="P206" s="577">
        <f t="shared" si="109"/>
        <v>1.5707918113767541</v>
      </c>
      <c r="Q206" s="586">
        <f t="shared" si="100"/>
        <v>41.351933791465683</v>
      </c>
      <c r="R206" s="587">
        <f t="shared" si="101"/>
        <v>1.54661130324581</v>
      </c>
      <c r="S206" s="574">
        <f t="shared" si="110"/>
        <v>1.0264471194130229</v>
      </c>
      <c r="T206" s="577">
        <f t="shared" si="111"/>
        <v>0.22749550687385733</v>
      </c>
      <c r="U206" s="578">
        <f t="shared" ref="U206:U269" si="123">IMABS(IMPRODUCT(AO206, AR206))</f>
        <v>0.90639682026049861</v>
      </c>
      <c r="V206" s="579">
        <f t="shared" ref="V206:V269" si="124">IMARGUMENT(IMPRODUCT(AO206, AR206))</f>
        <v>-0.54311408474153988</v>
      </c>
      <c r="W206" s="580">
        <f t="shared" si="112"/>
        <v>-8.4374752707976004</v>
      </c>
      <c r="X206" s="581">
        <f t="shared" si="113"/>
        <v>-143.17263406831987</v>
      </c>
      <c r="Y206" s="584">
        <f t="shared" si="114"/>
        <v>36.827365931680134</v>
      </c>
      <c r="AA206" s="147">
        <f t="shared" si="115"/>
        <v>11749</v>
      </c>
      <c r="AB206" s="147">
        <f t="shared" si="116"/>
        <v>138039001</v>
      </c>
      <c r="AD206" s="583">
        <f t="shared" si="117"/>
        <v>30.302594445253035</v>
      </c>
      <c r="AE206" s="584">
        <f t="shared" si="118"/>
        <v>-14.41997348092352</v>
      </c>
      <c r="AG206" s="583">
        <f t="shared" si="119"/>
        <v>18.069440679638106</v>
      </c>
      <c r="AH206" s="584">
        <f t="shared" si="120"/>
        <v>-66.516370816679483</v>
      </c>
      <c r="AJ206" s="147">
        <f t="shared" si="121"/>
        <v>0</v>
      </c>
      <c r="AK206" s="147">
        <f t="shared" si="99"/>
        <v>0</v>
      </c>
      <c r="AM206" s="147" t="str">
        <f t="shared" ref="AM206:AM269" si="125">IMSUB(1,IMEXP(COMPLEX(0,-2*Pi*G206*Tsw)))</f>
        <v>0.313556460824497+0.727183104537096i</v>
      </c>
      <c r="AN206" s="147" t="str">
        <f t="shared" ref="AN206:AN269" si="126">COMPLEX(0, 2*Pi*G206*Tsw)</f>
        <v>0.814209372124085i</v>
      </c>
      <c r="AO206" s="147" t="str">
        <f t="shared" ref="AO206:AO269" si="127">IMDIV(AM206, AN206)</f>
        <v>0.893115615508137-0.385105442850038i</v>
      </c>
      <c r="AP206" s="147" t="str">
        <f t="shared" ref="AP206:AP269" si="128">IMDIV(IMEXP(COMPLEX(0,-2*Pi*G206*Tsw)),6)</f>
        <v>0.114407256529251-0.121197184089516i</v>
      </c>
      <c r="AQ206" s="147" t="str">
        <f t="shared" ref="AQ206:AQ269" si="129">IMSUB(1, AP206)</f>
        <v>0.885592743470749+0.121197184089516i</v>
      </c>
      <c r="AR206" s="147" t="str">
        <f t="shared" ref="AR206:AR269" si="130">IMDIV(0.833, AQ206)</f>
        <v>0.923319992152996-0.126360320686383i</v>
      </c>
    </row>
    <row r="207" spans="7:44">
      <c r="G207" s="585">
        <v>11817.5</v>
      </c>
      <c r="H207" s="573">
        <f t="shared" si="122"/>
        <v>11.817500000000001</v>
      </c>
      <c r="I207" s="574">
        <f t="shared" si="102"/>
        <v>102.87707895408721</v>
      </c>
      <c r="J207" s="575">
        <f t="shared" si="103"/>
        <v>1.5610758355218926</v>
      </c>
      <c r="K207" s="575">
        <f t="shared" si="104"/>
        <v>1.0003001536777678</v>
      </c>
      <c r="L207" s="576">
        <f t="shared" si="105"/>
        <v>2.4498106871092235E-2</v>
      </c>
      <c r="M207" s="575">
        <f t="shared" si="106"/>
        <v>1.0143381488147547</v>
      </c>
      <c r="N207" s="576">
        <f t="shared" si="107"/>
        <v>-0.16833835179356918</v>
      </c>
      <c r="O207" s="574">
        <f t="shared" si="108"/>
        <v>222754.62685049465</v>
      </c>
      <c r="P207" s="577">
        <f t="shared" si="109"/>
        <v>1.5707918375503223</v>
      </c>
      <c r="Q207" s="586">
        <f t="shared" si="100"/>
        <v>41.592886702376106</v>
      </c>
      <c r="R207" s="587">
        <f t="shared" si="101"/>
        <v>1.5467514372658671</v>
      </c>
      <c r="S207" s="574">
        <f t="shared" si="110"/>
        <v>1.0267523769205811</v>
      </c>
      <c r="T207" s="577">
        <f t="shared" si="111"/>
        <v>0.228776197748114</v>
      </c>
      <c r="U207" s="578">
        <f t="shared" si="123"/>
        <v>0.9054475338582374</v>
      </c>
      <c r="V207" s="579">
        <f t="shared" si="124"/>
        <v>-0.5460002519518089</v>
      </c>
      <c r="W207" s="580">
        <f t="shared" si="112"/>
        <v>-8.4982387975049587</v>
      </c>
      <c r="X207" s="581">
        <f t="shared" si="113"/>
        <v>-143.45333010540833</v>
      </c>
      <c r="Y207" s="584">
        <f t="shared" si="114"/>
        <v>36.546669894591673</v>
      </c>
      <c r="AA207" s="147">
        <f t="shared" si="115"/>
        <v>11817.5</v>
      </c>
      <c r="AB207" s="147">
        <f t="shared" si="116"/>
        <v>139653306.25</v>
      </c>
      <c r="AD207" s="583">
        <f t="shared" si="117"/>
        <v>30.299982354117773</v>
      </c>
      <c r="AE207" s="584">
        <f t="shared" si="118"/>
        <v>-14.485324074673541</v>
      </c>
      <c r="AG207" s="583">
        <f t="shared" si="119"/>
        <v>18.029492568563917</v>
      </c>
      <c r="AH207" s="584">
        <f t="shared" si="120"/>
        <v>-66.400985859405068</v>
      </c>
      <c r="AJ207" s="147">
        <f t="shared" si="121"/>
        <v>0</v>
      </c>
      <c r="AK207" s="147">
        <f t="shared" si="99"/>
        <v>0</v>
      </c>
      <c r="AM207" s="147" t="str">
        <f t="shared" si="125"/>
        <v>0.317016172365243+0.73043349539118i</v>
      </c>
      <c r="AN207" s="147" t="str">
        <f t="shared" si="126"/>
        <v>0.818956443533609i</v>
      </c>
      <c r="AO207" s="147" t="str">
        <f t="shared" si="127"/>
        <v>0.891907623608805-0.387097720359084i</v>
      </c>
      <c r="AP207" s="147" t="str">
        <f t="shared" si="128"/>
        <v>0.113830637939126-0.12173891589853i</v>
      </c>
      <c r="AQ207" s="147" t="str">
        <f t="shared" si="129"/>
        <v>0.886169362060874+0.12173891589853i</v>
      </c>
      <c r="AR207" s="147" t="str">
        <f t="shared" si="130"/>
        <v>0.922589493960224-0.126742189047127i</v>
      </c>
    </row>
    <row r="208" spans="7:44">
      <c r="G208" s="585">
        <v>11886</v>
      </c>
      <c r="H208" s="573">
        <f t="shared" si="122"/>
        <v>11.885999999999999</v>
      </c>
      <c r="I208" s="574">
        <f t="shared" si="102"/>
        <v>103.47334855287401</v>
      </c>
      <c r="J208" s="575">
        <f t="shared" si="103"/>
        <v>1.5611318520178892</v>
      </c>
      <c r="K208" s="575">
        <f t="shared" si="104"/>
        <v>1.0003036429075918</v>
      </c>
      <c r="L208" s="576">
        <f t="shared" si="105"/>
        <v>2.4640052556018963E-2</v>
      </c>
      <c r="M208" s="575">
        <f t="shared" si="106"/>
        <v>1.0145036606683466</v>
      </c>
      <c r="N208" s="576">
        <f t="shared" si="107"/>
        <v>-0.16929563707081885</v>
      </c>
      <c r="O208" s="574">
        <f t="shared" si="108"/>
        <v>224045.8214296317</v>
      </c>
      <c r="P208" s="577">
        <f t="shared" si="109"/>
        <v>1.5707918634222096</v>
      </c>
      <c r="Q208" s="586">
        <f t="shared" si="100"/>
        <v>41.833840420659698</v>
      </c>
      <c r="R208" s="587">
        <f t="shared" si="101"/>
        <v>1.5468899570063603</v>
      </c>
      <c r="S208" s="574">
        <f t="shared" si="110"/>
        <v>1.0270593174730176</v>
      </c>
      <c r="T208" s="577">
        <f t="shared" si="111"/>
        <v>0.23005612524202487</v>
      </c>
      <c r="U208" s="578">
        <f t="shared" si="123"/>
        <v>0.90449552853723991</v>
      </c>
      <c r="V208" s="579">
        <f t="shared" si="124"/>
        <v>-0.54888225297954851</v>
      </c>
      <c r="W208" s="580">
        <f t="shared" si="112"/>
        <v>-8.5587512722644767</v>
      </c>
      <c r="X208" s="581">
        <f t="shared" si="113"/>
        <v>-143.73378095680866</v>
      </c>
      <c r="Y208" s="584">
        <f t="shared" si="114"/>
        <v>36.266219043191342</v>
      </c>
      <c r="AA208" s="147">
        <f t="shared" si="115"/>
        <v>11886</v>
      </c>
      <c r="AB208" s="147">
        <f t="shared" si="116"/>
        <v>141276996</v>
      </c>
      <c r="AD208" s="583">
        <f t="shared" si="117"/>
        <v>30.297357303045345</v>
      </c>
      <c r="AE208" s="584">
        <f t="shared" si="118"/>
        <v>-14.550723404072555</v>
      </c>
      <c r="AG208" s="583">
        <f t="shared" si="119"/>
        <v>17.989879783648419</v>
      </c>
      <c r="AH208" s="584">
        <f t="shared" si="120"/>
        <v>-66.285784390145324</v>
      </c>
      <c r="AJ208" s="147">
        <f t="shared" si="121"/>
        <v>0</v>
      </c>
      <c r="AK208" s="147">
        <f t="shared" si="99"/>
        <v>0</v>
      </c>
      <c r="AM208" s="147" t="str">
        <f t="shared" si="125"/>
        <v>0.320491274703846+0.733667426186004i</v>
      </c>
      <c r="AN208" s="147" t="str">
        <f t="shared" si="126"/>
        <v>0.823703514943133i</v>
      </c>
      <c r="AO208" s="147" t="str">
        <f t="shared" si="127"/>
        <v>0.890693572233518-0.389085719424145i</v>
      </c>
      <c r="AP208" s="147" t="str">
        <f t="shared" si="128"/>
        <v>0.113251454216026-0.122277904364334i</v>
      </c>
      <c r="AQ208" s="147" t="str">
        <f t="shared" si="129"/>
        <v>0.886748545783974+0.122277904364334i</v>
      </c>
      <c r="AR208" s="147" t="str">
        <f t="shared" si="130"/>
        <v>0.921857862884428-0.127119292308095i</v>
      </c>
    </row>
    <row r="209" spans="7:44">
      <c r="G209" s="585">
        <v>11954.5</v>
      </c>
      <c r="H209" s="573">
        <f t="shared" si="122"/>
        <v>11.954499999999999</v>
      </c>
      <c r="I209" s="574">
        <f t="shared" si="102"/>
        <v>104.06961847262386</v>
      </c>
      <c r="J209" s="575">
        <f t="shared" si="103"/>
        <v>1.5611872266177569</v>
      </c>
      <c r="K209" s="575">
        <f t="shared" si="104"/>
        <v>1.0003071522919702</v>
      </c>
      <c r="L209" s="576">
        <f t="shared" si="105"/>
        <v>2.4781997247827633E-2</v>
      </c>
      <c r="M209" s="575">
        <f t="shared" si="106"/>
        <v>1.0146701019043285</v>
      </c>
      <c r="N209" s="576">
        <f t="shared" si="107"/>
        <v>-0.17025260916854174</v>
      </c>
      <c r="O209" s="574">
        <f t="shared" si="108"/>
        <v>225337.01600876893</v>
      </c>
      <c r="P209" s="577">
        <f t="shared" si="109"/>
        <v>1.570791888997602</v>
      </c>
      <c r="Q209" s="586">
        <f t="shared" si="100"/>
        <v>42.074794932445485</v>
      </c>
      <c r="R209" s="587">
        <f t="shared" si="101"/>
        <v>1.5470268901959623</v>
      </c>
      <c r="S209" s="574">
        <f t="shared" si="110"/>
        <v>1.0273679395618331</v>
      </c>
      <c r="T209" s="577">
        <f t="shared" si="111"/>
        <v>0.23133528584809712</v>
      </c>
      <c r="U209" s="578">
        <f t="shared" si="123"/>
        <v>0.90354083879337055</v>
      </c>
      <c r="V209" s="579">
        <f t="shared" si="124"/>
        <v>-0.55176008146955158</v>
      </c>
      <c r="W209" s="580">
        <f t="shared" si="112"/>
        <v>-8.6190158125857117</v>
      </c>
      <c r="X209" s="581">
        <f t="shared" si="113"/>
        <v>-144.01398502074949</v>
      </c>
      <c r="Y209" s="584">
        <f t="shared" si="114"/>
        <v>35.986014979250513</v>
      </c>
      <c r="AA209" s="147">
        <f t="shared" si="115"/>
        <v>11954.5</v>
      </c>
      <c r="AB209" s="147">
        <f t="shared" si="116"/>
        <v>142910070.25</v>
      </c>
      <c r="AD209" s="583">
        <f t="shared" si="117"/>
        <v>30.294719305533462</v>
      </c>
      <c r="AE209" s="584">
        <f t="shared" si="118"/>
        <v>-14.616169679717265</v>
      </c>
      <c r="AG209" s="583">
        <f t="shared" si="119"/>
        <v>17.950598735817689</v>
      </c>
      <c r="AH209" s="584">
        <f t="shared" si="120"/>
        <v>-66.170767324785231</v>
      </c>
      <c r="AJ209" s="147">
        <f t="shared" si="121"/>
        <v>0</v>
      </c>
      <c r="AK209" s="147">
        <f t="shared" si="99"/>
        <v>0</v>
      </c>
      <c r="AM209" s="147" t="str">
        <f t="shared" si="125"/>
        <v>0.323981689530109+0.736884824046088i</v>
      </c>
      <c r="AN209" s="147" t="str">
        <f t="shared" si="126"/>
        <v>0.828450586352657i</v>
      </c>
      <c r="AO209" s="147" t="str">
        <f t="shared" si="127"/>
        <v>0.889473477579759-0.391069419066348i</v>
      </c>
      <c r="AP209" s="147" t="str">
        <f t="shared" si="128"/>
        <v>0.112669718411649-0.122814137341015i</v>
      </c>
      <c r="AQ209" s="147" t="str">
        <f t="shared" si="129"/>
        <v>0.887330281588351+0.122814137341015i</v>
      </c>
      <c r="AR209" s="147" t="str">
        <f t="shared" si="130"/>
        <v>0.921125134279976-0.12749163541136i</v>
      </c>
    </row>
    <row r="210" spans="7:44">
      <c r="G210" s="585">
        <v>12023</v>
      </c>
      <c r="H210" s="573">
        <f t="shared" si="122"/>
        <v>12.023</v>
      </c>
      <c r="I210" s="574">
        <f t="shared" si="102"/>
        <v>104.66588870785129</v>
      </c>
      <c r="J210" s="575">
        <f t="shared" si="103"/>
        <v>1.5612419702915916</v>
      </c>
      <c r="K210" s="575">
        <f t="shared" si="104"/>
        <v>1.0003106818306913</v>
      </c>
      <c r="L210" s="576">
        <f t="shared" si="105"/>
        <v>2.4923940940808846E-2</v>
      </c>
      <c r="M210" s="575">
        <f t="shared" si="106"/>
        <v>1.0148374720654227</v>
      </c>
      <c r="N210" s="576">
        <f t="shared" si="107"/>
        <v>-0.17120926648848075</v>
      </c>
      <c r="O210" s="574">
        <f t="shared" si="108"/>
        <v>226628.21058790627</v>
      </c>
      <c r="P210" s="577">
        <f t="shared" si="109"/>
        <v>1.5707919142815674</v>
      </c>
      <c r="Q210" s="586">
        <f t="shared" si="100"/>
        <v>42.31575022417838</v>
      </c>
      <c r="R210" s="587">
        <f t="shared" si="101"/>
        <v>1.5471622639320146</v>
      </c>
      <c r="S210" s="574">
        <f t="shared" si="110"/>
        <v>1.0276782416720807</v>
      </c>
      <c r="T210" s="577">
        <f t="shared" si="111"/>
        <v>0.23261367607307837</v>
      </c>
      <c r="U210" s="578">
        <f t="shared" si="123"/>
        <v>0.90258349901297819</v>
      </c>
      <c r="V210" s="579">
        <f t="shared" si="124"/>
        <v>-0.55463373126756133</v>
      </c>
      <c r="W210" s="580">
        <f t="shared" si="112"/>
        <v>-8.6790354784451811</v>
      </c>
      <c r="X210" s="581">
        <f t="shared" si="113"/>
        <v>-144.2939407294902</v>
      </c>
      <c r="Y210" s="584">
        <f t="shared" si="114"/>
        <v>35.706059270509797</v>
      </c>
      <c r="AA210" s="147">
        <f t="shared" si="115"/>
        <v>12023</v>
      </c>
      <c r="AB210" s="147">
        <f t="shared" si="116"/>
        <v>144552529</v>
      </c>
      <c r="AD210" s="583">
        <f t="shared" si="117"/>
        <v>30.292068375502076</v>
      </c>
      <c r="AE210" s="584">
        <f t="shared" si="118"/>
        <v>-14.681661149186098</v>
      </c>
      <c r="AG210" s="583">
        <f t="shared" si="119"/>
        <v>17.91164589369815</v>
      </c>
      <c r="AH210" s="584">
        <f t="shared" si="120"/>
        <v>-66.055935553231691</v>
      </c>
      <c r="AJ210" s="147">
        <f t="shared" si="121"/>
        <v>0</v>
      </c>
      <c r="AK210" s="147">
        <f t="shared" si="99"/>
        <v>0</v>
      </c>
      <c r="AM210" s="147" t="str">
        <f t="shared" si="125"/>
        <v>0.327487338188777+0.740085616468516i</v>
      </c>
      <c r="AN210" s="147" t="str">
        <f t="shared" si="126"/>
        <v>0.833197657762182i</v>
      </c>
      <c r="AO210" s="147" t="str">
        <f t="shared" si="127"/>
        <v>0.888247355923025-0.393048798370784i</v>
      </c>
      <c r="AP210" s="147" t="str">
        <f t="shared" si="128"/>
        <v>0.112085443635204-0.123347602744753i</v>
      </c>
      <c r="AQ210" s="147" t="str">
        <f t="shared" si="129"/>
        <v>0.887914556364796+0.123347602744753i</v>
      </c>
      <c r="AR210" s="147" t="str">
        <f t="shared" si="130"/>
        <v>0.920391343315755-0.127859223583197i</v>
      </c>
    </row>
    <row r="211" spans="7:44">
      <c r="G211" s="585">
        <v>12093</v>
      </c>
      <c r="H211" s="573">
        <f t="shared" si="122"/>
        <v>12.093</v>
      </c>
      <c r="I211" s="574">
        <f t="shared" si="102"/>
        <v>105.27521627586627</v>
      </c>
      <c r="J211" s="575">
        <f t="shared" si="103"/>
        <v>1.5612972720866047</v>
      </c>
      <c r="K211" s="575">
        <f t="shared" si="104"/>
        <v>1.0003143094795381</v>
      </c>
      <c r="L211" s="576">
        <f t="shared" si="105"/>
        <v>2.5068991852024498E-2</v>
      </c>
      <c r="M211" s="575">
        <f t="shared" si="106"/>
        <v>1.0150094664482983</v>
      </c>
      <c r="N211" s="576">
        <f t="shared" si="107"/>
        <v>-0.17218654565650787</v>
      </c>
      <c r="O211" s="574">
        <f t="shared" si="108"/>
        <v>227947.67950089352</v>
      </c>
      <c r="P211" s="577">
        <f t="shared" si="109"/>
        <v>1.5707919398232801</v>
      </c>
      <c r="Q211" s="586">
        <f t="shared" si="100"/>
        <v>42.561982701129047</v>
      </c>
      <c r="R211" s="587">
        <f t="shared" si="101"/>
        <v>1.5472990185625048</v>
      </c>
      <c r="S211" s="574">
        <f t="shared" si="110"/>
        <v>1.0279970727432592</v>
      </c>
      <c r="T211" s="577">
        <f t="shared" si="111"/>
        <v>0.2339192607540749</v>
      </c>
      <c r="U211" s="578">
        <f t="shared" si="123"/>
        <v>0.90160249353736244</v>
      </c>
      <c r="V211" s="579">
        <f t="shared" si="124"/>
        <v>-0.55756598455815509</v>
      </c>
      <c r="W211" s="580">
        <f t="shared" si="112"/>
        <v>-8.7401195925579938</v>
      </c>
      <c r="X211" s="581">
        <f t="shared" si="113"/>
        <v>-144.57976868628617</v>
      </c>
      <c r="Y211" s="584">
        <f t="shared" si="114"/>
        <v>35.420231313713828</v>
      </c>
      <c r="AA211" s="147">
        <f t="shared" si="115"/>
        <v>12093</v>
      </c>
      <c r="AB211" s="147">
        <f t="shared" si="116"/>
        <v>146240649</v>
      </c>
      <c r="AD211" s="583">
        <f t="shared" si="117"/>
        <v>30.289346050411822</v>
      </c>
      <c r="AE211" s="584">
        <f t="shared" si="118"/>
        <v>-14.748631641557044</v>
      </c>
      <c r="AG211" s="583">
        <f t="shared" si="119"/>
        <v>17.872175518688248</v>
      </c>
      <c r="AH211" s="584">
        <f t="shared" si="120"/>
        <v>-65.938781541244026</v>
      </c>
      <c r="AJ211" s="147">
        <f t="shared" si="121"/>
        <v>0</v>
      </c>
      <c r="AK211" s="147">
        <f t="shared" si="99"/>
        <v>0</v>
      </c>
      <c r="AM211" s="147" t="str">
        <f t="shared" si="125"/>
        <v>0.331085408532655+0.743339269325975i</v>
      </c>
      <c r="AN211" s="147" t="str">
        <f t="shared" si="126"/>
        <v>0.838048679640528i</v>
      </c>
      <c r="AO211" s="147" t="str">
        <f t="shared" si="127"/>
        <v>0.886988175489785-0.395067036767686i</v>
      </c>
      <c r="AP211" s="147" t="str">
        <f t="shared" si="128"/>
        <v>0.111485765244557-0.123889878220996i</v>
      </c>
      <c r="AQ211" s="147" t="str">
        <f t="shared" si="129"/>
        <v>0.888514234755443+0.123889878220996i</v>
      </c>
      <c r="AR211" s="147" t="str">
        <f t="shared" si="130"/>
        <v>0.919640422828151-0.128229954608037i</v>
      </c>
    </row>
    <row r="212" spans="7:44">
      <c r="G212" s="585">
        <v>12163</v>
      </c>
      <c r="H212" s="573">
        <f t="shared" si="122"/>
        <v>12.163</v>
      </c>
      <c r="I212" s="574">
        <f t="shared" si="102"/>
        <v>105.8845441621377</v>
      </c>
      <c r="J212" s="575">
        <f t="shared" si="103"/>
        <v>1.5613519373974671</v>
      </c>
      <c r="K212" s="575">
        <f t="shared" si="104"/>
        <v>1.0003179581746116</v>
      </c>
      <c r="L212" s="576">
        <f t="shared" si="105"/>
        <v>2.52140417081353E-2</v>
      </c>
      <c r="M212" s="575">
        <f t="shared" si="106"/>
        <v>1.0151824299118872</v>
      </c>
      <c r="N212" s="576">
        <f t="shared" si="107"/>
        <v>-0.17316349274606857</v>
      </c>
      <c r="O212" s="574">
        <f t="shared" si="108"/>
        <v>229267.14841388087</v>
      </c>
      <c r="P212" s="577">
        <f t="shared" si="109"/>
        <v>1.5707919650709998</v>
      </c>
      <c r="Q212" s="586">
        <f t="shared" si="100"/>
        <v>42.808215964909593</v>
      </c>
      <c r="R212" s="587">
        <f t="shared" si="101"/>
        <v>1.5474341999676386</v>
      </c>
      <c r="S212" s="574">
        <f t="shared" si="110"/>
        <v>1.0283176549999149</v>
      </c>
      <c r="T212" s="577">
        <f t="shared" si="111"/>
        <v>0.23522403361518729</v>
      </c>
      <c r="U212" s="578">
        <f t="shared" si="123"/>
        <v>0.90061879293929714</v>
      </c>
      <c r="V212" s="579">
        <f t="shared" si="124"/>
        <v>-0.56049386178766791</v>
      </c>
      <c r="W212" s="580">
        <f t="shared" si="112"/>
        <v>-8.8009542731462105</v>
      </c>
      <c r="X212" s="581">
        <f t="shared" si="113"/>
        <v>-144.86533408762941</v>
      </c>
      <c r="Y212" s="584">
        <f t="shared" si="114"/>
        <v>35.134665912370593</v>
      </c>
      <c r="AA212" s="147">
        <f t="shared" si="115"/>
        <v>12163</v>
      </c>
      <c r="AB212" s="147">
        <f t="shared" si="116"/>
        <v>147938569</v>
      </c>
      <c r="AD212" s="583">
        <f t="shared" si="117"/>
        <v>30.286610250902143</v>
      </c>
      <c r="AE212" s="584">
        <f t="shared" si="118"/>
        <v>-14.815645742403522</v>
      </c>
      <c r="AG212" s="583">
        <f t="shared" si="119"/>
        <v>17.833040603343182</v>
      </c>
      <c r="AH212" s="584">
        <f t="shared" si="120"/>
        <v>-65.821822824990335</v>
      </c>
      <c r="AJ212" s="147">
        <f t="shared" si="121"/>
        <v>0</v>
      </c>
      <c r="AK212" s="147">
        <f t="shared" si="99"/>
        <v>0</v>
      </c>
      <c r="AM212" s="147" t="str">
        <f t="shared" si="125"/>
        <v>0.33469922002027+0.746575429650857i</v>
      </c>
      <c r="AN212" s="147" t="str">
        <f t="shared" si="126"/>
        <v>0.842899701518874i</v>
      </c>
      <c r="AO212" s="147" t="str">
        <f t="shared" si="127"/>
        <v>0.885722735819642-0.397080719588765i</v>
      </c>
      <c r="AP212" s="147" t="str">
        <f t="shared" si="128"/>
        <v>0.110883463329955-0.124429238275143i</v>
      </c>
      <c r="AQ212" s="147" t="str">
        <f t="shared" si="129"/>
        <v>0.889116536670045+0.124429238275143i</v>
      </c>
      <c r="AR212" s="147" t="str">
        <f t="shared" si="130"/>
        <v>0.918888466599366-0.128595732103905i</v>
      </c>
    </row>
    <row r="213" spans="7:44">
      <c r="G213" s="585">
        <v>12233</v>
      </c>
      <c r="H213" s="573">
        <f t="shared" si="122"/>
        <v>12.233000000000001</v>
      </c>
      <c r="I213" s="574">
        <f t="shared" si="102"/>
        <v>106.49387236120263</v>
      </c>
      <c r="J213" s="575">
        <f t="shared" si="103"/>
        <v>1.5614059771492026</v>
      </c>
      <c r="K213" s="575">
        <f t="shared" si="104"/>
        <v>1.0003216279156819</v>
      </c>
      <c r="L213" s="576">
        <f t="shared" si="105"/>
        <v>2.5359090503049301E-2</v>
      </c>
      <c r="M213" s="575">
        <f t="shared" si="106"/>
        <v>1.0153563619609474</v>
      </c>
      <c r="N213" s="576">
        <f t="shared" si="107"/>
        <v>-0.17414010606250099</v>
      </c>
      <c r="O213" s="574">
        <f t="shared" si="108"/>
        <v>230586.61732686841</v>
      </c>
      <c r="P213" s="577">
        <f t="shared" si="109"/>
        <v>1.5707919900297729</v>
      </c>
      <c r="Q213" s="586">
        <f t="shared" si="100"/>
        <v>43.054450002020133</v>
      </c>
      <c r="R213" s="587">
        <f t="shared" si="101"/>
        <v>1.5475678351348781</v>
      </c>
      <c r="S213" s="574">
        <f t="shared" si="110"/>
        <v>1.0286399868047429</v>
      </c>
      <c r="T213" s="577">
        <f t="shared" si="111"/>
        <v>0.23652799097495245</v>
      </c>
      <c r="U213" s="578">
        <f t="shared" si="123"/>
        <v>0.89963243354533562</v>
      </c>
      <c r="V213" s="579">
        <f t="shared" si="124"/>
        <v>-0.56341735703199503</v>
      </c>
      <c r="W213" s="580">
        <f t="shared" si="112"/>
        <v>-8.8615426079625177</v>
      </c>
      <c r="X213" s="581">
        <f t="shared" si="113"/>
        <v>-145.15063536639269</v>
      </c>
      <c r="Y213" s="584">
        <f t="shared" si="114"/>
        <v>34.849364633607308</v>
      </c>
      <c r="AA213" s="147">
        <f t="shared" si="115"/>
        <v>12233</v>
      </c>
      <c r="AB213" s="147">
        <f t="shared" si="116"/>
        <v>149646289</v>
      </c>
      <c r="AD213" s="583">
        <f t="shared" si="117"/>
        <v>30.283860993118651</v>
      </c>
      <c r="AE213" s="584">
        <f t="shared" si="118"/>
        <v>-14.882701694814733</v>
      </c>
      <c r="AG213" s="583">
        <f t="shared" si="119"/>
        <v>17.794237557661276</v>
      </c>
      <c r="AH213" s="584">
        <f t="shared" si="120"/>
        <v>-65.705060273106582</v>
      </c>
      <c r="AJ213" s="147">
        <f t="shared" si="121"/>
        <v>0</v>
      </c>
      <c r="AK213" s="147">
        <f t="shared" si="99"/>
        <v>0</v>
      </c>
      <c r="AM213" s="147" t="str">
        <f t="shared" si="125"/>
        <v>0.338328687610081+0.749794021288648i</v>
      </c>
      <c r="AN213" s="147" t="str">
        <f t="shared" si="126"/>
        <v>0.847750723397219i</v>
      </c>
      <c r="AO213" s="147" t="str">
        <f t="shared" si="127"/>
        <v>0.88445105453166-0.399089824723812i</v>
      </c>
      <c r="AP213" s="147" t="str">
        <f t="shared" si="128"/>
        <v>0.110278552064987-0.124965670214775i</v>
      </c>
      <c r="AQ213" s="147" t="str">
        <f t="shared" si="129"/>
        <v>0.889721447935013+0.124965670214775i</v>
      </c>
      <c r="AR213" s="147" t="str">
        <f t="shared" si="130"/>
        <v>0.918135511545669-0.128956562545034i</v>
      </c>
    </row>
    <row r="214" spans="7:44">
      <c r="G214" s="585">
        <v>12303</v>
      </c>
      <c r="H214" s="573">
        <f t="shared" si="122"/>
        <v>12.303000000000001</v>
      </c>
      <c r="I214" s="574">
        <f t="shared" si="102"/>
        <v>107.10320086772248</v>
      </c>
      <c r="J214" s="575">
        <f t="shared" si="103"/>
        <v>1.5614594020182329</v>
      </c>
      <c r="K214" s="575">
        <f t="shared" si="104"/>
        <v>1.0003253187025172</v>
      </c>
      <c r="L214" s="576">
        <f t="shared" si="105"/>
        <v>2.5504138230674798E-2</v>
      </c>
      <c r="M214" s="575">
        <f t="shared" si="106"/>
        <v>1.0155312620978048</v>
      </c>
      <c r="N214" s="576">
        <f t="shared" si="107"/>
        <v>-0.17511638391484782</v>
      </c>
      <c r="O214" s="574">
        <f t="shared" si="108"/>
        <v>231906.08623985606</v>
      </c>
      <c r="P214" s="577">
        <f t="shared" si="109"/>
        <v>1.5707920147045318</v>
      </c>
      <c r="Q214" s="586">
        <f t="shared" si="100"/>
        <v>43.300684799267778</v>
      </c>
      <c r="R214" s="587">
        <f t="shared" si="101"/>
        <v>1.5476999504380384</v>
      </c>
      <c r="S214" s="574">
        <f t="shared" si="110"/>
        <v>1.0289640665135604</v>
      </c>
      <c r="T214" s="577">
        <f t="shared" si="111"/>
        <v>0.23783112916760055</v>
      </c>
      <c r="U214" s="578">
        <f t="shared" si="123"/>
        <v>0.89864345155319447</v>
      </c>
      <c r="V214" s="579">
        <f t="shared" si="124"/>
        <v>-0.5663364645814043</v>
      </c>
      <c r="W214" s="580">
        <f t="shared" si="112"/>
        <v>-8.9218876276408938</v>
      </c>
      <c r="X214" s="581">
        <f t="shared" si="113"/>
        <v>-145.43567098975188</v>
      </c>
      <c r="Y214" s="584">
        <f t="shared" si="114"/>
        <v>34.564329010248116</v>
      </c>
      <c r="AA214" s="147">
        <f t="shared" si="115"/>
        <v>12303</v>
      </c>
      <c r="AB214" s="147">
        <f t="shared" si="116"/>
        <v>151363809</v>
      </c>
      <c r="AD214" s="583">
        <f t="shared" si="117"/>
        <v>30.281098293617944</v>
      </c>
      <c r="AE214" s="584">
        <f t="shared" si="118"/>
        <v>-14.949797777931805</v>
      </c>
      <c r="AG214" s="583">
        <f t="shared" si="119"/>
        <v>17.755762849113189</v>
      </c>
      <c r="AH214" s="584">
        <f t="shared" si="120"/>
        <v>-65.588494727914593</v>
      </c>
      <c r="AJ214" s="147">
        <f t="shared" si="121"/>
        <v>0</v>
      </c>
      <c r="AK214" s="147">
        <f t="shared" si="99"/>
        <v>0</v>
      </c>
      <c r="AM214" s="147" t="str">
        <f t="shared" si="125"/>
        <v>0.341973725892126+0.752994968498269i</v>
      </c>
      <c r="AN214" s="147" t="str">
        <f t="shared" si="126"/>
        <v>0.852601745275565i</v>
      </c>
      <c r="AO214" s="147" t="str">
        <f t="shared" si="127"/>
        <v>0.88317314932882-0.4010943301337i</v>
      </c>
      <c r="AP214" s="147" t="str">
        <f t="shared" si="128"/>
        <v>0.109671045684646-0.125499161416378i</v>
      </c>
      <c r="AQ214" s="147" t="str">
        <f t="shared" si="129"/>
        <v>0.890328954315354+0.125499161416378i</v>
      </c>
      <c r="AR214" s="147" t="str">
        <f t="shared" si="130"/>
        <v>0.917381594372063-0.12931245270019i</v>
      </c>
    </row>
    <row r="215" spans="7:44">
      <c r="G215" s="585">
        <v>12374.5</v>
      </c>
      <c r="H215" s="573">
        <f t="shared" si="122"/>
        <v>12.374499999999999</v>
      </c>
      <c r="I215" s="574">
        <f t="shared" si="102"/>
        <v>107.72558672565118</v>
      </c>
      <c r="J215" s="575">
        <f t="shared" si="103"/>
        <v>1.5615133477662055</v>
      </c>
      <c r="K215" s="575">
        <f t="shared" si="104"/>
        <v>1.0003291103044676</v>
      </c>
      <c r="L215" s="576">
        <f t="shared" si="105"/>
        <v>2.5652293015719491E-2</v>
      </c>
      <c r="M215" s="575">
        <f t="shared" si="106"/>
        <v>1.0157109090019154</v>
      </c>
      <c r="N215" s="576">
        <f t="shared" si="107"/>
        <v>-0.17611323392872921</v>
      </c>
      <c r="O215" s="574">
        <f t="shared" si="108"/>
        <v>233253.8294866936</v>
      </c>
      <c r="P215" s="577">
        <f t="shared" si="109"/>
        <v>1.5707920396198385</v>
      </c>
      <c r="Q215" s="586">
        <f t="shared" ref="Q215:Q278" si="131">SQRT(1+(G215/Zero2)^2)</f>
        <v>43.552196827795655</v>
      </c>
      <c r="R215" s="587">
        <f t="shared" ref="R215:R278" si="132">ATAN(G215/Zero2)</f>
        <v>1.5478333545164373</v>
      </c>
      <c r="S215" s="574">
        <f t="shared" si="110"/>
        <v>1.029296893558806</v>
      </c>
      <c r="T215" s="577">
        <f t="shared" si="111"/>
        <v>0.23916134226950292</v>
      </c>
      <c r="U215" s="578">
        <f t="shared" si="123"/>
        <v>0.8976306070910991</v>
      </c>
      <c r="V215" s="579">
        <f t="shared" si="124"/>
        <v>-0.56931358898620865</v>
      </c>
      <c r="W215" s="580">
        <f t="shared" si="112"/>
        <v>-8.9832776558106477</v>
      </c>
      <c r="X215" s="581">
        <f t="shared" si="113"/>
        <v>-145.72653870542348</v>
      </c>
      <c r="Y215" s="584">
        <f t="shared" si="114"/>
        <v>34.273461294576521</v>
      </c>
      <c r="AA215" s="147">
        <f t="shared" si="115"/>
        <v>12374.5</v>
      </c>
      <c r="AB215" s="147">
        <f t="shared" si="116"/>
        <v>153128250.25</v>
      </c>
      <c r="AD215" s="583">
        <f t="shared" si="117"/>
        <v>30.27826253418748</v>
      </c>
      <c r="AE215" s="584">
        <f t="shared" si="118"/>
        <v>-15.018371311482005</v>
      </c>
      <c r="AG215" s="583">
        <f t="shared" si="119"/>
        <v>17.716799034532713</v>
      </c>
      <c r="AH215" s="584">
        <f t="shared" si="120"/>
        <v>-65.469635582684845</v>
      </c>
      <c r="AJ215" s="147">
        <f t="shared" si="121"/>
        <v>0</v>
      </c>
      <c r="AK215" s="147">
        <f t="shared" ref="AK215:AK278" si="133">IF(AJ215&gt;0,Y215,0)</f>
        <v>0</v>
      </c>
      <c r="AM215" s="147" t="str">
        <f t="shared" si="125"/>
        <v>0.345712857703307+0.756246213494803i</v>
      </c>
      <c r="AN215" s="147" t="str">
        <f t="shared" si="126"/>
        <v>0.857556717622733i</v>
      </c>
      <c r="AO215" s="147" t="str">
        <f t="shared" si="127"/>
        <v>0.881861453538867-0.403137017760961i</v>
      </c>
      <c r="AP215" s="147" t="str">
        <f t="shared" si="128"/>
        <v>0.109047857049449-0.126041035582467i</v>
      </c>
      <c r="AQ215" s="147" t="str">
        <f t="shared" si="129"/>
        <v>0.890952142950551+0.126041035582467i</v>
      </c>
      <c r="AR215" s="147" t="str">
        <f t="shared" si="130"/>
        <v>0.916610566505214-0.12967087619942i</v>
      </c>
    </row>
    <row r="216" spans="7:44">
      <c r="G216" s="585">
        <v>12446</v>
      </c>
      <c r="H216" s="573">
        <f t="shared" si="122"/>
        <v>12.446</v>
      </c>
      <c r="I216" s="574">
        <f t="shared" si="102"/>
        <v>108.34797289347517</v>
      </c>
      <c r="J216" s="575">
        <f t="shared" si="103"/>
        <v>1.5615666737503167</v>
      </c>
      <c r="K216" s="575">
        <f t="shared" si="104"/>
        <v>1.0003329238633152</v>
      </c>
      <c r="L216" s="576">
        <f t="shared" si="105"/>
        <v>2.5800446674398205E-2</v>
      </c>
      <c r="M216" s="575">
        <f t="shared" si="106"/>
        <v>1.0158915648705076</v>
      </c>
      <c r="N216" s="576">
        <f t="shared" si="107"/>
        <v>-0.17710973039312233</v>
      </c>
      <c r="O216" s="574">
        <f t="shared" si="108"/>
        <v>234601.5727335313</v>
      </c>
      <c r="P216" s="577">
        <f t="shared" si="109"/>
        <v>1.5707920642488773</v>
      </c>
      <c r="Q216" s="586">
        <f t="shared" si="131"/>
        <v>43.803709622505899</v>
      </c>
      <c r="R216" s="587">
        <f t="shared" si="132"/>
        <v>1.5479652266340975</v>
      </c>
      <c r="S216" s="574">
        <f t="shared" si="110"/>
        <v>1.0296315407314827</v>
      </c>
      <c r="T216" s="577">
        <f t="shared" si="111"/>
        <v>0.24049069304013637</v>
      </c>
      <c r="U216" s="578">
        <f t="shared" si="123"/>
        <v>0.89661510234951902</v>
      </c>
      <c r="V216" s="579">
        <f t="shared" si="124"/>
        <v>-0.57228612427400261</v>
      </c>
      <c r="W216" s="580">
        <f t="shared" si="112"/>
        <v>-9.044420044319736</v>
      </c>
      <c r="X216" s="581">
        <f t="shared" si="113"/>
        <v>-146.01712613238789</v>
      </c>
      <c r="Y216" s="584">
        <f t="shared" si="114"/>
        <v>33.982873867612113</v>
      </c>
      <c r="AA216" s="147">
        <f t="shared" si="115"/>
        <v>12446</v>
      </c>
      <c r="AB216" s="147">
        <f t="shared" si="116"/>
        <v>154902916</v>
      </c>
      <c r="AD216" s="583">
        <f t="shared" si="117"/>
        <v>30.275412786974435</v>
      </c>
      <c r="AE216" s="584">
        <f t="shared" si="118"/>
        <v>-15.086983195572754</v>
      </c>
      <c r="AG216" s="583">
        <f t="shared" si="119"/>
        <v>17.678170507260109</v>
      </c>
      <c r="AH216" s="584">
        <f t="shared" si="120"/>
        <v>-65.350983672280634</v>
      </c>
      <c r="AJ216" s="147">
        <f t="shared" si="121"/>
        <v>0</v>
      </c>
      <c r="AK216" s="147">
        <f t="shared" si="133"/>
        <v>0</v>
      </c>
      <c r="AM216" s="147" t="str">
        <f t="shared" si="125"/>
        <v>0.349468053376595+0.759478891360624i</v>
      </c>
      <c r="AN216" s="147" t="str">
        <f t="shared" si="126"/>
        <v>0.8625116899699i</v>
      </c>
      <c r="AO216" s="147" t="str">
        <f t="shared" si="127"/>
        <v>0.880543301838759-0.40517486016774i</v>
      </c>
      <c r="AP216" s="147" t="str">
        <f t="shared" si="128"/>
        <v>0.108421991103901-0.126579815226771i</v>
      </c>
      <c r="AQ216" s="147" t="str">
        <f t="shared" si="129"/>
        <v>0.891578008896099+0.126579815226771i</v>
      </c>
      <c r="AR216" s="147" t="str">
        <f t="shared" si="130"/>
        <v>0.915838611570559-0.130024160615713i</v>
      </c>
    </row>
    <row r="217" spans="7:44">
      <c r="G217" s="585">
        <v>12517.5</v>
      </c>
      <c r="H217" s="573">
        <f t="shared" si="122"/>
        <v>12.5175</v>
      </c>
      <c r="I217" s="574">
        <f t="shared" si="102"/>
        <v>108.97035936588453</v>
      </c>
      <c r="J217" s="575">
        <f t="shared" si="103"/>
        <v>1.5616193905896432</v>
      </c>
      <c r="K217" s="575">
        <f t="shared" si="104"/>
        <v>1.0003367593788095</v>
      </c>
      <c r="L217" s="576">
        <f t="shared" si="105"/>
        <v>2.5948599200220065E-2</v>
      </c>
      <c r="M217" s="575">
        <f t="shared" si="106"/>
        <v>1.0160732291654053</v>
      </c>
      <c r="N217" s="576">
        <f t="shared" si="107"/>
        <v>-0.17810587151808618</v>
      </c>
      <c r="O217" s="574">
        <f t="shared" si="108"/>
        <v>235949.31598036914</v>
      </c>
      <c r="P217" s="577">
        <f t="shared" si="109"/>
        <v>1.5707920885965536</v>
      </c>
      <c r="Q217" s="586">
        <f t="shared" si="131"/>
        <v>44.055223170276037</v>
      </c>
      <c r="R217" s="587">
        <f t="shared" si="132"/>
        <v>1.5480955930245224</v>
      </c>
      <c r="S217" s="574">
        <f t="shared" si="110"/>
        <v>1.0299680062574552</v>
      </c>
      <c r="T217" s="577">
        <f t="shared" si="111"/>
        <v>0.24181917762395361</v>
      </c>
      <c r="U217" s="578">
        <f t="shared" si="123"/>
        <v>0.8955969754725428</v>
      </c>
      <c r="V217" s="579">
        <f t="shared" si="124"/>
        <v>-0.57525406504464893</v>
      </c>
      <c r="W217" s="580">
        <f t="shared" si="112"/>
        <v>-9.1053178467237927</v>
      </c>
      <c r="X217" s="581">
        <f t="shared" si="113"/>
        <v>-146.30743174378946</v>
      </c>
      <c r="Y217" s="584">
        <f t="shared" si="114"/>
        <v>33.692568256210535</v>
      </c>
      <c r="AA217" s="147">
        <f t="shared" si="115"/>
        <v>12517.5</v>
      </c>
      <c r="AB217" s="147">
        <f t="shared" si="116"/>
        <v>156687806.25</v>
      </c>
      <c r="AD217" s="583">
        <f t="shared" si="117"/>
        <v>30.272549070878423</v>
      </c>
      <c r="AE217" s="584">
        <f t="shared" si="118"/>
        <v>-15.155631706509517</v>
      </c>
      <c r="AG217" s="583">
        <f t="shared" si="119"/>
        <v>17.639873680290293</v>
      </c>
      <c r="AH217" s="584">
        <f t="shared" si="120"/>
        <v>-65.232539812351177</v>
      </c>
      <c r="AJ217" s="147">
        <f t="shared" si="121"/>
        <v>0</v>
      </c>
      <c r="AK217" s="147">
        <f t="shared" si="133"/>
        <v>0</v>
      </c>
      <c r="AM217" s="147" t="str">
        <f t="shared" si="125"/>
        <v>0.353239220715552+0.762692922727996i</v>
      </c>
      <c r="AN217" s="147" t="str">
        <f t="shared" si="126"/>
        <v>0.867466662317068i</v>
      </c>
      <c r="AO217" s="147" t="str">
        <f t="shared" si="127"/>
        <v>0.879218713363331-0.407207834099381i</v>
      </c>
      <c r="AP217" s="147" t="str">
        <f t="shared" si="128"/>
        <v>0.107793463214075-0.127115487121333i</v>
      </c>
      <c r="AQ217" s="147" t="str">
        <f t="shared" si="129"/>
        <v>0.892206536785925+0.127115487121333i</v>
      </c>
      <c r="AR217" s="147" t="str">
        <f t="shared" si="130"/>
        <v>0.915065767987508-0.130372314088636i</v>
      </c>
    </row>
    <row r="218" spans="7:44">
      <c r="G218" s="585">
        <v>12589</v>
      </c>
      <c r="H218" s="573">
        <f t="shared" si="122"/>
        <v>12.589</v>
      </c>
      <c r="I218" s="574">
        <f t="shared" si="102"/>
        <v>109.59274613768996</v>
      </c>
      <c r="J218" s="575">
        <f t="shared" si="103"/>
        <v>1.5616715086620487</v>
      </c>
      <c r="K218" s="575">
        <f t="shared" si="104"/>
        <v>1.0003406168506976</v>
      </c>
      <c r="L218" s="576">
        <f t="shared" si="105"/>
        <v>2.609675058669448E-2</v>
      </c>
      <c r="M218" s="575">
        <f t="shared" si="106"/>
        <v>1.0162559013458148</v>
      </c>
      <c r="N218" s="576">
        <f t="shared" si="107"/>
        <v>-0.17910165551777688</v>
      </c>
      <c r="O218" s="574">
        <f t="shared" si="108"/>
        <v>237297.05922720709</v>
      </c>
      <c r="P218" s="577">
        <f t="shared" si="109"/>
        <v>1.5707921126676618</v>
      </c>
      <c r="Q218" s="586">
        <f t="shared" si="131"/>
        <v>44.306737458281503</v>
      </c>
      <c r="R218" s="587">
        <f t="shared" si="132"/>
        <v>1.5482244793257469</v>
      </c>
      <c r="S218" s="574">
        <f t="shared" si="110"/>
        <v>1.0303062883552738</v>
      </c>
      <c r="T218" s="577">
        <f t="shared" si="111"/>
        <v>0.24314679218265975</v>
      </c>
      <c r="U218" s="578">
        <f t="shared" si="123"/>
        <v>0.89457626445435556</v>
      </c>
      <c r="V218" s="579">
        <f t="shared" si="124"/>
        <v>-0.57821740612583516</v>
      </c>
      <c r="W218" s="580">
        <f t="shared" si="112"/>
        <v>-9.1659740599787973</v>
      </c>
      <c r="X218" s="581">
        <f t="shared" si="113"/>
        <v>-146.59745404734042</v>
      </c>
      <c r="Y218" s="584">
        <f t="shared" si="114"/>
        <v>33.40254595265958</v>
      </c>
      <c r="AA218" s="147">
        <f t="shared" si="115"/>
        <v>12589</v>
      </c>
      <c r="AB218" s="147">
        <f t="shared" si="116"/>
        <v>158482921</v>
      </c>
      <c r="AD218" s="583">
        <f t="shared" si="117"/>
        <v>30.269671405199041</v>
      </c>
      <c r="AE218" s="584">
        <f t="shared" si="118"/>
        <v>-15.224315155697681</v>
      </c>
      <c r="AG218" s="583">
        <f t="shared" si="119"/>
        <v>17.6019050237785</v>
      </c>
      <c r="AH218" s="584">
        <f t="shared" si="120"/>
        <v>-65.114304791906505</v>
      </c>
      <c r="AJ218" s="147">
        <f t="shared" si="121"/>
        <v>0</v>
      </c>
      <c r="AK218" s="147">
        <f t="shared" si="133"/>
        <v>0</v>
      </c>
      <c r="AM218" s="147" t="str">
        <f t="shared" si="125"/>
        <v>0.357026267131605+0.765888228686981i</v>
      </c>
      <c r="AN218" s="147" t="str">
        <f t="shared" si="126"/>
        <v>0.872421634664236i</v>
      </c>
      <c r="AO218" s="147" t="str">
        <f t="shared" si="127"/>
        <v>0.877887707337455-0.409235916380056i</v>
      </c>
      <c r="AP218" s="147" t="str">
        <f t="shared" si="128"/>
        <v>0.107162288811399-0.127648038114497i</v>
      </c>
      <c r="AQ218" s="147" t="str">
        <f t="shared" si="129"/>
        <v>0.892837711188601+0.127648038114497i</v>
      </c>
      <c r="AR218" s="147" t="str">
        <f t="shared" si="130"/>
        <v>0.914292073936654-0.130715345061176i</v>
      </c>
    </row>
    <row r="219" spans="7:44">
      <c r="G219" s="585">
        <v>12662.25</v>
      </c>
      <c r="H219" s="573">
        <f t="shared" si="122"/>
        <v>12.66225</v>
      </c>
      <c r="I219" s="574">
        <f t="shared" si="102"/>
        <v>110.23036645733752</v>
      </c>
      <c r="J219" s="575">
        <f t="shared" si="103"/>
        <v>1.561724292025894</v>
      </c>
      <c r="K219" s="575">
        <f t="shared" si="104"/>
        <v>1.0003445915050295</v>
      </c>
      <c r="L219" s="576">
        <f t="shared" si="105"/>
        <v>2.624852686775133E-2</v>
      </c>
      <c r="M219" s="575">
        <f t="shared" si="106"/>
        <v>1.0164440891457038</v>
      </c>
      <c r="N219" s="576">
        <f t="shared" si="107"/>
        <v>-0.18012143964691507</v>
      </c>
      <c r="O219" s="574">
        <f t="shared" si="108"/>
        <v>238677.78919686988</v>
      </c>
      <c r="P219" s="577">
        <f t="shared" si="109"/>
        <v>1.5707921370460165</v>
      </c>
      <c r="Q219" s="586">
        <f t="shared" si="131"/>
        <v>44.564408444929278</v>
      </c>
      <c r="R219" s="587">
        <f t="shared" si="132"/>
        <v>1.5483550115106077</v>
      </c>
      <c r="S219" s="574">
        <f t="shared" si="110"/>
        <v>1.030654732023027</v>
      </c>
      <c r="T219" s="577">
        <f t="shared" si="111"/>
        <v>0.24450599458216016</v>
      </c>
      <c r="U219" s="578">
        <f t="shared" si="123"/>
        <v>0.89352793077290515</v>
      </c>
      <c r="V219" s="579">
        <f t="shared" si="124"/>
        <v>-0.58124850142789652</v>
      </c>
      <c r="W219" s="580">
        <f t="shared" si="112"/>
        <v>-9.2278674099102993</v>
      </c>
      <c r="X219" s="581">
        <f t="shared" si="113"/>
        <v>-146.89427948053483</v>
      </c>
      <c r="Y219" s="584">
        <f t="shared" si="114"/>
        <v>33.105720519465166</v>
      </c>
      <c r="AA219" s="147">
        <f t="shared" si="115"/>
        <v>12662.25</v>
      </c>
      <c r="AB219" s="147">
        <f t="shared" si="116"/>
        <v>160332575.0625</v>
      </c>
      <c r="AD219" s="583">
        <f t="shared" si="117"/>
        <v>30.26670886183263</v>
      </c>
      <c r="AE219" s="584">
        <f t="shared" si="118"/>
        <v>-15.294714170267238</v>
      </c>
      <c r="AG219" s="583">
        <f t="shared" si="119"/>
        <v>17.563343749880566</v>
      </c>
      <c r="AH219" s="584">
        <f t="shared" si="120"/>
        <v>-64.993393273914435</v>
      </c>
      <c r="AJ219" s="147">
        <f t="shared" si="121"/>
        <v>0</v>
      </c>
      <c r="AK219" s="147">
        <f t="shared" si="133"/>
        <v>0</v>
      </c>
      <c r="AM219" s="147" t="str">
        <f t="shared" si="125"/>
        <v>0.360922373092354+0.769142240932125i</v>
      </c>
      <c r="AN219" s="147" t="str">
        <f t="shared" si="126"/>
        <v>0.877497882558362i</v>
      </c>
      <c r="AO219" s="147" t="str">
        <f t="shared" si="127"/>
        <v>0.876517489352425-0.411308540187103i</v>
      </c>
      <c r="AP219" s="147" t="str">
        <f t="shared" si="128"/>
        <v>0.106512937817941-0.128190373488688i</v>
      </c>
      <c r="AQ219" s="147" t="str">
        <f t="shared" si="129"/>
        <v>0.893487062182059+0.128190373488688i</v>
      </c>
      <c r="AR219" s="147" t="str">
        <f t="shared" si="130"/>
        <v>0.913498601035525-0.131061468939633i</v>
      </c>
    </row>
    <row r="220" spans="7:44">
      <c r="G220" s="585">
        <v>12735.5</v>
      </c>
      <c r="H220" s="573">
        <f t="shared" si="122"/>
        <v>12.7355</v>
      </c>
      <c r="I220" s="574">
        <f t="shared" si="102"/>
        <v>110.86798708056358</v>
      </c>
      <c r="J220" s="575">
        <f t="shared" si="103"/>
        <v>1.5617764682577033</v>
      </c>
      <c r="K220" s="575">
        <f t="shared" si="104"/>
        <v>1.0003485892031554</v>
      </c>
      <c r="L220" s="576">
        <f t="shared" si="105"/>
        <v>2.6400301939215814E-2</v>
      </c>
      <c r="M220" s="575">
        <f t="shared" si="106"/>
        <v>1.0166333336144691</v>
      </c>
      <c r="N220" s="576">
        <f t="shared" si="107"/>
        <v>-0.18114084517389842</v>
      </c>
      <c r="O220" s="574">
        <f t="shared" si="108"/>
        <v>240058.51916653285</v>
      </c>
      <c r="P220" s="577">
        <f t="shared" si="109"/>
        <v>1.5707921611439399</v>
      </c>
      <c r="Q220" s="586">
        <f t="shared" si="131"/>
        <v>44.8220801821642</v>
      </c>
      <c r="R220" s="587">
        <f t="shared" si="132"/>
        <v>1.5484840428991689</v>
      </c>
      <c r="S220" s="574">
        <f t="shared" si="110"/>
        <v>1.0310050784653852</v>
      </c>
      <c r="T220" s="577">
        <f t="shared" si="111"/>
        <v>0.24586427574683978</v>
      </c>
      <c r="U220" s="578">
        <f t="shared" si="123"/>
        <v>0.89247696514315344</v>
      </c>
      <c r="V220" s="579">
        <f t="shared" si="124"/>
        <v>-0.58427475886219093</v>
      </c>
      <c r="W220" s="580">
        <f t="shared" si="112"/>
        <v>-9.2895133913395238</v>
      </c>
      <c r="X220" s="581">
        <f t="shared" si="113"/>
        <v>-147.19080450557894</v>
      </c>
      <c r="Y220" s="584">
        <f t="shared" si="114"/>
        <v>32.809195494421061</v>
      </c>
      <c r="AA220" s="147">
        <f t="shared" si="115"/>
        <v>12735.5</v>
      </c>
      <c r="AB220" s="147">
        <f t="shared" si="116"/>
        <v>162192960.25</v>
      </c>
      <c r="AD220" s="583">
        <f t="shared" si="117"/>
        <v>30.263731719927382</v>
      </c>
      <c r="AE220" s="584">
        <f t="shared" si="118"/>
        <v>-15.36514637519601</v>
      </c>
      <c r="AG220" s="583">
        <f t="shared" si="119"/>
        <v>17.525119585615737</v>
      </c>
      <c r="AH220" s="584">
        <f t="shared" si="120"/>
        <v>-64.872702536223173</v>
      </c>
      <c r="AJ220" s="147">
        <f t="shared" si="121"/>
        <v>0</v>
      </c>
      <c r="AK220" s="147">
        <f t="shared" si="133"/>
        <v>0</v>
      </c>
      <c r="AM220" s="147" t="str">
        <f t="shared" si="125"/>
        <v>0.364834946957077+0.772376433737449i</v>
      </c>
      <c r="AN220" s="147" t="str">
        <f t="shared" si="126"/>
        <v>0.882574130452488i</v>
      </c>
      <c r="AO220" s="147" t="str">
        <f t="shared" si="127"/>
        <v>0.875140576963726-0.413375980972872i</v>
      </c>
      <c r="AP220" s="147" t="str">
        <f t="shared" si="128"/>
        <v>0.105860842173821-0.128729405622908i</v>
      </c>
      <c r="AQ220" s="147" t="str">
        <f t="shared" si="129"/>
        <v>0.894139157826179+0.128729405622908i</v>
      </c>
      <c r="AR220" s="147" t="str">
        <f t="shared" si="130"/>
        <v>0.912704315874301-0.131402235394328i</v>
      </c>
    </row>
    <row r="221" spans="7:44">
      <c r="G221" s="585">
        <v>12808.75</v>
      </c>
      <c r="H221" s="573">
        <f t="shared" si="122"/>
        <v>12.80875</v>
      </c>
      <c r="I221" s="574">
        <f t="shared" si="102"/>
        <v>111.50560800216032</v>
      </c>
      <c r="J221" s="575">
        <f t="shared" si="103"/>
        <v>1.5618280477724533</v>
      </c>
      <c r="K221" s="575">
        <f t="shared" si="104"/>
        <v>1.0003526099447992</v>
      </c>
      <c r="L221" s="576">
        <f t="shared" si="105"/>
        <v>2.6552075794109994E-2</v>
      </c>
      <c r="M221" s="575">
        <f t="shared" si="106"/>
        <v>1.0168236341621295</v>
      </c>
      <c r="N221" s="576">
        <f t="shared" si="107"/>
        <v>-0.1821598701920025</v>
      </c>
      <c r="O221" s="574">
        <f t="shared" si="108"/>
        <v>241439.24913619593</v>
      </c>
      <c r="P221" s="577">
        <f t="shared" si="109"/>
        <v>1.5707921849662438</v>
      </c>
      <c r="Q221" s="586">
        <f t="shared" si="131"/>
        <v>45.079752657115428</v>
      </c>
      <c r="R221" s="587">
        <f t="shared" si="132"/>
        <v>1.5486115992224128</v>
      </c>
      <c r="S221" s="574">
        <f t="shared" si="110"/>
        <v>1.0313573257432622</v>
      </c>
      <c r="T221" s="577">
        <f t="shared" si="111"/>
        <v>0.24722163160621627</v>
      </c>
      <c r="U221" s="578">
        <f t="shared" si="123"/>
        <v>0.89142340791341856</v>
      </c>
      <c r="V221" s="579">
        <f t="shared" si="124"/>
        <v>-0.58729617360166975</v>
      </c>
      <c r="W221" s="580">
        <f t="shared" si="112"/>
        <v>-9.3509150503836196</v>
      </c>
      <c r="X221" s="581">
        <f t="shared" si="113"/>
        <v>-147.48702762656745</v>
      </c>
      <c r="Y221" s="584">
        <f t="shared" si="114"/>
        <v>32.512972373432547</v>
      </c>
      <c r="AA221" s="147">
        <f t="shared" si="115"/>
        <v>12808.75</v>
      </c>
      <c r="AB221" s="147">
        <f t="shared" si="116"/>
        <v>164064076.5625</v>
      </c>
      <c r="AD221" s="583">
        <f t="shared" si="117"/>
        <v>30.260740001470772</v>
      </c>
      <c r="AE221" s="584">
        <f t="shared" si="118"/>
        <v>-15.435610063261553</v>
      </c>
      <c r="AG221" s="583">
        <f t="shared" si="119"/>
        <v>17.487228913989771</v>
      </c>
      <c r="AH221" s="584">
        <f t="shared" si="120"/>
        <v>-64.752233343289006</v>
      </c>
      <c r="AJ221" s="147">
        <f t="shared" si="121"/>
        <v>0</v>
      </c>
      <c r="AK221" s="147">
        <f t="shared" si="133"/>
        <v>0</v>
      </c>
      <c r="AM221" s="147" t="str">
        <f t="shared" si="125"/>
        <v>0.368763887905642+0.775590723763506i</v>
      </c>
      <c r="AN221" s="147" t="str">
        <f t="shared" si="126"/>
        <v>0.887650378346614i</v>
      </c>
      <c r="AO221" s="147" t="str">
        <f t="shared" si="127"/>
        <v>0.873756991134464-0.415438214077621i</v>
      </c>
      <c r="AP221" s="147" t="str">
        <f t="shared" si="128"/>
        <v>0.105206018682393-0.129265120627251i</v>
      </c>
      <c r="AQ221" s="147" t="str">
        <f t="shared" si="129"/>
        <v>0.894793981317607+0.129265120627251i</v>
      </c>
      <c r="AR221" s="147" t="str">
        <f t="shared" si="130"/>
        <v>0.911909258713187-0.131737654465544i</v>
      </c>
    </row>
    <row r="222" spans="7:44">
      <c r="G222" s="585">
        <v>12882</v>
      </c>
      <c r="H222" s="573">
        <f t="shared" si="122"/>
        <v>12.882</v>
      </c>
      <c r="I222" s="574">
        <f t="shared" si="102"/>
        <v>112.14322921703831</v>
      </c>
      <c r="J222" s="575">
        <f t="shared" si="103"/>
        <v>1.5618790407482646</v>
      </c>
      <c r="K222" s="575">
        <f t="shared" si="104"/>
        <v>1.0003566537296829</v>
      </c>
      <c r="L222" s="576">
        <f t="shared" si="105"/>
        <v>2.670384842545627E-2</v>
      </c>
      <c r="M222" s="575">
        <f t="shared" si="106"/>
        <v>1.017014990195855</v>
      </c>
      <c r="N222" s="576">
        <f t="shared" si="107"/>
        <v>-0.18317851279908703</v>
      </c>
      <c r="O222" s="574">
        <f t="shared" si="108"/>
        <v>242819.97910585915</v>
      </c>
      <c r="P222" s="577">
        <f t="shared" si="109"/>
        <v>1.5707922085176294</v>
      </c>
      <c r="Q222" s="586">
        <f t="shared" si="131"/>
        <v>45.337425857204643</v>
      </c>
      <c r="R222" s="587">
        <f t="shared" si="132"/>
        <v>1.5487377056265532</v>
      </c>
      <c r="S222" s="574">
        <f t="shared" si="110"/>
        <v>1.031711471909706</v>
      </c>
      <c r="T222" s="577">
        <f t="shared" si="111"/>
        <v>0.24857805810898967</v>
      </c>
      <c r="U222" s="578">
        <f t="shared" si="123"/>
        <v>0.89036729925692293</v>
      </c>
      <c r="V222" s="579">
        <f t="shared" si="124"/>
        <v>-0.59031274106379761</v>
      </c>
      <c r="W222" s="580">
        <f t="shared" si="112"/>
        <v>-9.412075376413906</v>
      </c>
      <c r="X222" s="581">
        <f t="shared" si="113"/>
        <v>-147.78294738289401</v>
      </c>
      <c r="Y222" s="584">
        <f t="shared" si="114"/>
        <v>32.217052617105992</v>
      </c>
      <c r="AA222" s="147">
        <f t="shared" si="115"/>
        <v>12882</v>
      </c>
      <c r="AB222" s="147">
        <f t="shared" si="116"/>
        <v>165945924</v>
      </c>
      <c r="AD222" s="583">
        <f t="shared" si="117"/>
        <v>30.25773372884478</v>
      </c>
      <c r="AE222" s="584">
        <f t="shared" si="118"/>
        <v>-15.506103561838874</v>
      </c>
      <c r="AG222" s="583">
        <f t="shared" si="119"/>
        <v>17.449668175554422</v>
      </c>
      <c r="AH222" s="584">
        <f t="shared" si="120"/>
        <v>-64.6319864322504</v>
      </c>
      <c r="AJ222" s="147">
        <f t="shared" si="121"/>
        <v>0</v>
      </c>
      <c r="AK222" s="147">
        <f t="shared" si="133"/>
        <v>0</v>
      </c>
      <c r="AM222" s="147" t="str">
        <f t="shared" si="125"/>
        <v>0.372709094696168+0.778785028183708i</v>
      </c>
      <c r="AN222" s="147" t="str">
        <f t="shared" si="126"/>
        <v>0.892726626240741i</v>
      </c>
      <c r="AO222" s="147" t="str">
        <f t="shared" si="127"/>
        <v>0.872366752925429-0.417495214930063i</v>
      </c>
      <c r="AP222" s="147" t="str">
        <f t="shared" si="128"/>
        <v>0.104548484217305-0.129797504697285i</v>
      </c>
      <c r="AQ222" s="147" t="str">
        <f t="shared" si="129"/>
        <v>0.895451515782695+0.129797504697285i</v>
      </c>
      <c r="AR222" s="147" t="str">
        <f t="shared" si="130"/>
        <v>0.91111346954063-0.132067736508426i</v>
      </c>
    </row>
    <row r="223" spans="7:44">
      <c r="G223" s="585">
        <v>12957.25</v>
      </c>
      <c r="H223" s="573">
        <f t="shared" si="122"/>
        <v>12.95725</v>
      </c>
      <c r="I223" s="574">
        <f t="shared" si="102"/>
        <v>112.79826018505813</v>
      </c>
      <c r="J223" s="575">
        <f t="shared" si="103"/>
        <v>1.5619308256958746</v>
      </c>
      <c r="K223" s="575">
        <f t="shared" si="104"/>
        <v>1.0003608319203616</v>
      </c>
      <c r="L223" s="576">
        <f t="shared" si="105"/>
        <v>2.6859763737986254E-2</v>
      </c>
      <c r="M223" s="575">
        <f t="shared" si="106"/>
        <v>1.0172126694493409</v>
      </c>
      <c r="N223" s="576">
        <f t="shared" si="107"/>
        <v>-0.18422456796424214</v>
      </c>
      <c r="O223" s="574">
        <f t="shared" si="108"/>
        <v>244238.4081873222</v>
      </c>
      <c r="P223" s="577">
        <f t="shared" si="109"/>
        <v>1.5707922324347694</v>
      </c>
      <c r="Q223" s="586">
        <f t="shared" si="131"/>
        <v>45.602135245220254</v>
      </c>
      <c r="R223" s="587">
        <f t="shared" si="132"/>
        <v>1.5488657711897331</v>
      </c>
      <c r="S223" s="574">
        <f t="shared" si="110"/>
        <v>1.0320772629084687</v>
      </c>
      <c r="T223" s="577">
        <f t="shared" si="111"/>
        <v>0.24997054814548056</v>
      </c>
      <c r="U223" s="578">
        <f t="shared" si="123"/>
        <v>0.88927974002256482</v>
      </c>
      <c r="V223" s="579">
        <f t="shared" si="124"/>
        <v>-0.59340661997674227</v>
      </c>
      <c r="W223" s="580">
        <f t="shared" si="112"/>
        <v>-9.4746573846569575</v>
      </c>
      <c r="X223" s="581">
        <f t="shared" si="113"/>
        <v>-148.08662945913437</v>
      </c>
      <c r="Y223" s="584">
        <f t="shared" si="114"/>
        <v>31.913370540865628</v>
      </c>
      <c r="AA223" s="147">
        <f t="shared" si="115"/>
        <v>12957.25</v>
      </c>
      <c r="AB223" s="147">
        <f t="shared" si="116"/>
        <v>167890327.5625</v>
      </c>
      <c r="AD223" s="583">
        <f t="shared" si="117"/>
        <v>30.254630241945328</v>
      </c>
      <c r="AE223" s="584">
        <f t="shared" si="118"/>
        <v>-15.578551118106617</v>
      </c>
      <c r="AG223" s="583">
        <f t="shared" si="119"/>
        <v>17.411421775978649</v>
      </c>
      <c r="AH223" s="584">
        <f t="shared" si="120"/>
        <v>-64.508688543745436</v>
      </c>
      <c r="AJ223" s="147">
        <f t="shared" si="121"/>
        <v>0</v>
      </c>
      <c r="AK223" s="147">
        <f t="shared" si="133"/>
        <v>0</v>
      </c>
      <c r="AM223" s="147" t="str">
        <f t="shared" si="125"/>
        <v>0.376778851697287+0.782045651038511i</v>
      </c>
      <c r="AN223" s="147" t="str">
        <f t="shared" si="126"/>
        <v>0.897941474759962i</v>
      </c>
      <c r="AO223" s="147" t="str">
        <f t="shared" si="127"/>
        <v>0.870931650915855-0.419602905409852i</v>
      </c>
      <c r="AP223" s="147" t="str">
        <f t="shared" si="128"/>
        <v>0.103870191383786-0.130340941839752i</v>
      </c>
      <c r="AQ223" s="147" t="str">
        <f t="shared" si="129"/>
        <v>0.896129808616214+0.130340941839752i</v>
      </c>
      <c r="AR223" s="147" t="str">
        <f t="shared" si="130"/>
        <v>0.910295231802223-0.132401284640394i</v>
      </c>
    </row>
    <row r="224" spans="7:44">
      <c r="G224" s="585">
        <v>13032.5</v>
      </c>
      <c r="H224" s="573">
        <f t="shared" si="122"/>
        <v>13.032500000000001</v>
      </c>
      <c r="I224" s="574">
        <f t="shared" si="102"/>
        <v>113.453291452074</v>
      </c>
      <c r="J224" s="575">
        <f t="shared" si="103"/>
        <v>1.5619820126748987</v>
      </c>
      <c r="K224" s="575">
        <f t="shared" si="104"/>
        <v>1.000365034429193</v>
      </c>
      <c r="L224" s="576">
        <f t="shared" si="105"/>
        <v>2.7015677744313654E-2</v>
      </c>
      <c r="M224" s="575">
        <f t="shared" si="106"/>
        <v>1.0174114613356393</v>
      </c>
      <c r="N224" s="576">
        <f t="shared" si="107"/>
        <v>-0.18527021549605466</v>
      </c>
      <c r="O224" s="574">
        <f t="shared" si="108"/>
        <v>245656.8372687854</v>
      </c>
      <c r="P224" s="577">
        <f t="shared" si="109"/>
        <v>1.5707922560757133</v>
      </c>
      <c r="Q224" s="586">
        <f t="shared" si="131"/>
        <v>45.866845372514057</v>
      </c>
      <c r="R224" s="587">
        <f t="shared" si="132"/>
        <v>1.5489923585520862</v>
      </c>
      <c r="S224" s="574">
        <f t="shared" si="110"/>
        <v>1.0324450537141445</v>
      </c>
      <c r="T224" s="577">
        <f t="shared" si="111"/>
        <v>0.25136204877724766</v>
      </c>
      <c r="U224" s="578">
        <f t="shared" si="123"/>
        <v>0.8881895735055142</v>
      </c>
      <c r="V224" s="579">
        <f t="shared" si="124"/>
        <v>-0.5964953742823329</v>
      </c>
      <c r="W224" s="580">
        <f t="shared" si="112"/>
        <v>-9.5369909188683053</v>
      </c>
      <c r="X224" s="581">
        <f t="shared" si="113"/>
        <v>-148.38998836522376</v>
      </c>
      <c r="Y224" s="584">
        <f t="shared" si="114"/>
        <v>31.610011634776242</v>
      </c>
      <c r="AA224" s="147">
        <f t="shared" si="115"/>
        <v>13032.5</v>
      </c>
      <c r="AB224" s="147">
        <f t="shared" si="116"/>
        <v>169846056.25</v>
      </c>
      <c r="AD224" s="583">
        <f t="shared" si="117"/>
        <v>30.25151144437978</v>
      </c>
      <c r="AE224" s="584">
        <f t="shared" si="118"/>
        <v>-15.651026664503258</v>
      </c>
      <c r="AG224" s="583">
        <f t="shared" si="119"/>
        <v>17.373516137992308</v>
      </c>
      <c r="AH224" s="584">
        <f t="shared" si="120"/>
        <v>-64.385626731707305</v>
      </c>
      <c r="AJ224" s="147">
        <f t="shared" si="121"/>
        <v>0</v>
      </c>
      <c r="AK224" s="147">
        <f t="shared" si="133"/>
        <v>0</v>
      </c>
      <c r="AM224" s="147" t="str">
        <f t="shared" si="125"/>
        <v>0.380865556937932+0.785285006487595i</v>
      </c>
      <c r="AN224" s="147" t="str">
        <f t="shared" si="126"/>
        <v>0.903156323279184i</v>
      </c>
      <c r="AO224" s="147" t="str">
        <f t="shared" si="127"/>
        <v>0.86948957367245-0.421705021734315i</v>
      </c>
      <c r="AP224" s="147" t="str">
        <f t="shared" si="128"/>
        <v>0.103189073843678-0.130880834414599i</v>
      </c>
      <c r="AQ224" s="147" t="str">
        <f t="shared" si="129"/>
        <v>0.896810926156322+0.130880834414599i</v>
      </c>
      <c r="AR224" s="147" t="str">
        <f t="shared" si="130"/>
        <v>0.909476306199432-0.132729223478417i</v>
      </c>
    </row>
    <row r="225" spans="7:44">
      <c r="G225" s="585">
        <v>13107.75</v>
      </c>
      <c r="H225" s="573">
        <f t="shared" si="122"/>
        <v>13.107749999999999</v>
      </c>
      <c r="I225" s="574">
        <f t="shared" si="102"/>
        <v>114.10832301293681</v>
      </c>
      <c r="J225" s="575">
        <f t="shared" si="103"/>
        <v>1.5620326119828678</v>
      </c>
      <c r="K225" s="575">
        <f t="shared" si="104"/>
        <v>1.0003692612558708</v>
      </c>
      <c r="L225" s="576">
        <f t="shared" si="105"/>
        <v>2.7171590436874695E-2</v>
      </c>
      <c r="M225" s="575">
        <f t="shared" si="106"/>
        <v>1.0176113652026872</v>
      </c>
      <c r="N225" s="576">
        <f t="shared" si="107"/>
        <v>-0.18631545334751515</v>
      </c>
      <c r="O225" s="574">
        <f t="shared" si="108"/>
        <v>247075.26635024871</v>
      </c>
      <c r="P225" s="577">
        <f t="shared" si="109"/>
        <v>1.5707922794452174</v>
      </c>
      <c r="Q225" s="586">
        <f t="shared" si="131"/>
        <v>46.131556226359763</v>
      </c>
      <c r="R225" s="587">
        <f t="shared" si="132"/>
        <v>1.5491174931560368</v>
      </c>
      <c r="S225" s="574">
        <f t="shared" si="110"/>
        <v>1.0328148421903083</v>
      </c>
      <c r="T225" s="577">
        <f t="shared" si="111"/>
        <v>0.25275255567552407</v>
      </c>
      <c r="U225" s="578">
        <f t="shared" si="123"/>
        <v>0.88709684266738098</v>
      </c>
      <c r="V225" s="579">
        <f t="shared" si="124"/>
        <v>-0.59957899980733997</v>
      </c>
      <c r="W225" s="580">
        <f t="shared" si="112"/>
        <v>-9.5990790415740701</v>
      </c>
      <c r="X225" s="581">
        <f t="shared" si="113"/>
        <v>-148.69302262971601</v>
      </c>
      <c r="Y225" s="584">
        <f t="shared" si="114"/>
        <v>31.306977370283988</v>
      </c>
      <c r="AA225" s="147">
        <f t="shared" si="115"/>
        <v>13107.75</v>
      </c>
      <c r="AB225" s="147">
        <f t="shared" si="116"/>
        <v>171813110.0625</v>
      </c>
      <c r="AD225" s="583">
        <f t="shared" si="117"/>
        <v>30.248377361645368</v>
      </c>
      <c r="AE225" s="584">
        <f t="shared" si="118"/>
        <v>-15.723528495537717</v>
      </c>
      <c r="AG225" s="583">
        <f t="shared" si="119"/>
        <v>17.335947583937664</v>
      </c>
      <c r="AH225" s="584">
        <f t="shared" si="120"/>
        <v>-64.262801708397902</v>
      </c>
      <c r="AJ225" s="147">
        <f t="shared" si="121"/>
        <v>0</v>
      </c>
      <c r="AK225" s="147">
        <f t="shared" si="133"/>
        <v>0</v>
      </c>
      <c r="AM225" s="147" t="str">
        <f t="shared" si="125"/>
        <v>0.384969099281855+0.788503006438039i</v>
      </c>
      <c r="AN225" s="147" t="str">
        <f t="shared" si="126"/>
        <v>0.908371171798406i</v>
      </c>
      <c r="AO225" s="147" t="str">
        <f t="shared" si="127"/>
        <v>0.868040544348132-0.423801537558362i</v>
      </c>
      <c r="AP225" s="147" t="str">
        <f t="shared" si="128"/>
        <v>0.102505150119691-0.131417167739673i</v>
      </c>
      <c r="AQ225" s="147" t="str">
        <f t="shared" si="129"/>
        <v>0.897494849880309+0.131417167739673i</v>
      </c>
      <c r="AR225" s="147" t="str">
        <f t="shared" si="130"/>
        <v>0.908656735177538-0.133051565254703i</v>
      </c>
    </row>
    <row r="226" spans="7:44">
      <c r="G226" s="585">
        <v>13183</v>
      </c>
      <c r="H226" s="573">
        <f t="shared" si="122"/>
        <v>13.183</v>
      </c>
      <c r="I226" s="574">
        <f t="shared" si="102"/>
        <v>114.76335486261502</v>
      </c>
      <c r="J226" s="575">
        <f t="shared" si="103"/>
        <v>1.5620826336822258</v>
      </c>
      <c r="K226" s="575">
        <f t="shared" si="104"/>
        <v>1.0003735124000868</v>
      </c>
      <c r="L226" s="576">
        <f t="shared" si="105"/>
        <v>2.7327501808105996E-2</v>
      </c>
      <c r="M226" s="575">
        <f t="shared" si="106"/>
        <v>1.0178123803952872</v>
      </c>
      <c r="N226" s="576">
        <f t="shared" si="107"/>
        <v>-0.18736027947679865</v>
      </c>
      <c r="O226" s="574">
        <f t="shared" si="108"/>
        <v>248493.69543171214</v>
      </c>
      <c r="P226" s="577">
        <f t="shared" si="109"/>
        <v>1.5707923025479302</v>
      </c>
      <c r="Q226" s="586">
        <f t="shared" si="131"/>
        <v>46.396267794321503</v>
      </c>
      <c r="R226" s="587">
        <f t="shared" si="132"/>
        <v>1.5492411998635516</v>
      </c>
      <c r="S226" s="574">
        <f t="shared" si="110"/>
        <v>1.0331866261919971</v>
      </c>
      <c r="T226" s="577">
        <f t="shared" si="111"/>
        <v>0.2541420645330944</v>
      </c>
      <c r="U226" s="578">
        <f t="shared" si="123"/>
        <v>0.88600159026438563</v>
      </c>
      <c r="V226" s="579">
        <f t="shared" si="124"/>
        <v>-0.60265749264327972</v>
      </c>
      <c r="W226" s="580">
        <f t="shared" si="112"/>
        <v>-9.6609247578062512</v>
      </c>
      <c r="X226" s="581">
        <f t="shared" si="113"/>
        <v>-148.99573081764774</v>
      </c>
      <c r="Y226" s="584">
        <f t="shared" si="114"/>
        <v>31.00426918235226</v>
      </c>
      <c r="AA226" s="147">
        <f t="shared" si="115"/>
        <v>13183</v>
      </c>
      <c r="AB226" s="147">
        <f t="shared" si="116"/>
        <v>173791489</v>
      </c>
      <c r="AD226" s="583">
        <f t="shared" si="117"/>
        <v>30.24522801963316</v>
      </c>
      <c r="AE226" s="584">
        <f t="shared" si="118"/>
        <v>-15.796054940205289</v>
      </c>
      <c r="AG226" s="583">
        <f t="shared" si="119"/>
        <v>17.298712494734943</v>
      </c>
      <c r="AH226" s="584">
        <f t="shared" si="120"/>
        <v>-64.140214157737788</v>
      </c>
      <c r="AJ226" s="147">
        <f t="shared" si="121"/>
        <v>0</v>
      </c>
      <c r="AK226" s="147">
        <f t="shared" si="133"/>
        <v>0</v>
      </c>
      <c r="AM226" s="147" t="str">
        <f t="shared" si="125"/>
        <v>0.389089367134931+0.791699563377675i</v>
      </c>
      <c r="AN226" s="147" t="str">
        <f t="shared" si="126"/>
        <v>0.913586020317628i</v>
      </c>
      <c r="AO226" s="147" t="str">
        <f t="shared" si="127"/>
        <v>0.866584586202866-0.425892426637237i</v>
      </c>
      <c r="AP226" s="147" t="str">
        <f t="shared" si="128"/>
        <v>0.101818438810845-0.131949927229612i</v>
      </c>
      <c r="AQ226" s="147" t="str">
        <f t="shared" si="129"/>
        <v>0.898181561189155+0.131949927229612i</v>
      </c>
      <c r="AR226" s="147" t="str">
        <f t="shared" si="130"/>
        <v>0.907836560870676-0.133368322530103i</v>
      </c>
    </row>
    <row r="227" spans="7:44">
      <c r="G227" s="585">
        <v>13259.75</v>
      </c>
      <c r="H227" s="573">
        <f t="shared" si="122"/>
        <v>13.25975</v>
      </c>
      <c r="I227" s="574">
        <f t="shared" si="102"/>
        <v>115.43144411798589</v>
      </c>
      <c r="J227" s="575">
        <f t="shared" si="103"/>
        <v>1.5621330676939902</v>
      </c>
      <c r="K227" s="575">
        <f t="shared" si="104"/>
        <v>1.0003778733338693</v>
      </c>
      <c r="L227" s="576">
        <f t="shared" si="105"/>
        <v>2.7486519678259502E-2</v>
      </c>
      <c r="M227" s="575">
        <f t="shared" si="106"/>
        <v>1.0180185466279363</v>
      </c>
      <c r="N227" s="576">
        <f t="shared" si="107"/>
        <v>-0.1884255064785656</v>
      </c>
      <c r="O227" s="574">
        <f t="shared" si="108"/>
        <v>249940.3988470255</v>
      </c>
      <c r="P227" s="577">
        <f t="shared" si="109"/>
        <v>1.5707923258410508</v>
      </c>
      <c r="Q227" s="586">
        <f t="shared" si="131"/>
        <v>46.666256727842885</v>
      </c>
      <c r="R227" s="587">
        <f t="shared" si="132"/>
        <v>1.5493659268035742</v>
      </c>
      <c r="S227" s="574">
        <f t="shared" si="110"/>
        <v>1.0335678745262806</v>
      </c>
      <c r="T227" s="577">
        <f t="shared" si="111"/>
        <v>0.25555823871707434</v>
      </c>
      <c r="U227" s="578">
        <f t="shared" si="123"/>
        <v>0.88488195224529653</v>
      </c>
      <c r="V227" s="579">
        <f t="shared" si="124"/>
        <v>-0.60579205982799567</v>
      </c>
      <c r="W227" s="580">
        <f t="shared" si="112"/>
        <v>-9.7237566338867349</v>
      </c>
      <c r="X227" s="581">
        <f t="shared" si="113"/>
        <v>-149.30413571404034</v>
      </c>
      <c r="Y227" s="584">
        <f t="shared" si="114"/>
        <v>30.695864285959658</v>
      </c>
      <c r="AA227" s="147">
        <f t="shared" si="115"/>
        <v>13259.75</v>
      </c>
      <c r="AB227" s="147">
        <f t="shared" si="116"/>
        <v>175820970.0625</v>
      </c>
      <c r="AD227" s="583">
        <f t="shared" si="117"/>
        <v>30.242000208719411</v>
      </c>
      <c r="AE227" s="584">
        <f t="shared" si="118"/>
        <v>-15.870050751429899</v>
      </c>
      <c r="AG227" s="583">
        <f t="shared" si="119"/>
        <v>17.261074986556892</v>
      </c>
      <c r="AH227" s="584">
        <f t="shared" si="120"/>
        <v>-64.015428301926434</v>
      </c>
      <c r="AJ227" s="147">
        <f t="shared" si="121"/>
        <v>0</v>
      </c>
      <c r="AK227" s="147">
        <f t="shared" si="133"/>
        <v>0</v>
      </c>
      <c r="AM227" s="147" t="str">
        <f t="shared" si="125"/>
        <v>0.393308879312676+0.794937660498708i</v>
      </c>
      <c r="AN227" s="147" t="str">
        <f t="shared" si="126"/>
        <v>0.918904819305671i</v>
      </c>
      <c r="AO227" s="147" t="str">
        <f t="shared" si="127"/>
        <v>0.865092492494888-0.428019171354289i</v>
      </c>
      <c r="AP227" s="147" t="str">
        <f t="shared" si="128"/>
        <v>0.101115186781221-0.132489610083118i</v>
      </c>
      <c r="AQ227" s="147" t="str">
        <f t="shared" si="129"/>
        <v>0.898884813218779+0.132489610083118i</v>
      </c>
      <c r="AR227" s="147" t="str">
        <f t="shared" si="130"/>
        <v>0.906999459495525-0.133685654676772i</v>
      </c>
    </row>
    <row r="228" spans="7:44">
      <c r="G228" s="585">
        <v>13336.5</v>
      </c>
      <c r="H228" s="573">
        <f t="shared" si="122"/>
        <v>13.336499999999999</v>
      </c>
      <c r="I228" s="574">
        <f t="shared" si="102"/>
        <v>116.09953366358785</v>
      </c>
      <c r="J228" s="575">
        <f t="shared" si="103"/>
        <v>1.5621829212653751</v>
      </c>
      <c r="K228" s="575">
        <f t="shared" si="104"/>
        <v>1.0003822595636693</v>
      </c>
      <c r="L228" s="576">
        <f t="shared" si="105"/>
        <v>2.7645536157989176E-2</v>
      </c>
      <c r="M228" s="575">
        <f t="shared" si="106"/>
        <v>1.0182258675464038</v>
      </c>
      <c r="N228" s="576">
        <f t="shared" si="107"/>
        <v>-0.18949030090652078</v>
      </c>
      <c r="O228" s="574">
        <f t="shared" si="108"/>
        <v>251387.10226233897</v>
      </c>
      <c r="P228" s="577">
        <f t="shared" si="109"/>
        <v>1.5707923488660729</v>
      </c>
      <c r="Q228" s="586">
        <f t="shared" si="131"/>
        <v>46.936246378990319</v>
      </c>
      <c r="R228" s="587">
        <f t="shared" si="132"/>
        <v>1.5494892188210778</v>
      </c>
      <c r="S228" s="574">
        <f t="shared" si="110"/>
        <v>1.0339511942008295</v>
      </c>
      <c r="T228" s="577">
        <f t="shared" si="111"/>
        <v>0.2569733656928252</v>
      </c>
      <c r="U228" s="578">
        <f t="shared" si="123"/>
        <v>0.88375978031127522</v>
      </c>
      <c r="V228" s="579">
        <f t="shared" si="124"/>
        <v>-0.60892128027853987</v>
      </c>
      <c r="W228" s="580">
        <f t="shared" si="112"/>
        <v>-9.786342480570914</v>
      </c>
      <c r="X228" s="581">
        <f t="shared" si="113"/>
        <v>-149.61219850238953</v>
      </c>
      <c r="Y228" s="584">
        <f t="shared" si="114"/>
        <v>30.387801497610468</v>
      </c>
      <c r="AA228" s="147">
        <f t="shared" si="115"/>
        <v>13336.5</v>
      </c>
      <c r="AB228" s="147">
        <f t="shared" si="116"/>
        <v>177862232.25</v>
      </c>
      <c r="AD228" s="583">
        <f t="shared" si="117"/>
        <v>30.238756579731788</v>
      </c>
      <c r="AE228" s="584">
        <f t="shared" si="118"/>
        <v>-15.944068761686099</v>
      </c>
      <c r="AG228" s="583">
        <f t="shared" si="119"/>
        <v>17.223776945931071</v>
      </c>
      <c r="AH228" s="584">
        <f t="shared" si="120"/>
        <v>-63.890890829645272</v>
      </c>
      <c r="AJ228" s="147">
        <f t="shared" si="121"/>
        <v>0</v>
      </c>
      <c r="AK228" s="147">
        <f t="shared" si="133"/>
        <v>0</v>
      </c>
      <c r="AM228" s="147" t="str">
        <f t="shared" si="125"/>
        <v>0.397545554512844+0.798153269186291i</v>
      </c>
      <c r="AN228" s="147" t="str">
        <f t="shared" si="126"/>
        <v>0.924223618293715i</v>
      </c>
      <c r="AO228" s="147" t="str">
        <f t="shared" si="127"/>
        <v>0.863593240194215-0.430140007941785i</v>
      </c>
      <c r="AP228" s="147" t="str">
        <f t="shared" si="128"/>
        <v>0.100409074247859-0.133025544864382i</v>
      </c>
      <c r="AQ228" s="147" t="str">
        <f t="shared" si="129"/>
        <v>0.899590925752141+0.133025544864382i</v>
      </c>
      <c r="AR228" s="147" t="str">
        <f t="shared" si="130"/>
        <v>0.906161818083071-0.133997204879556i</v>
      </c>
    </row>
    <row r="229" spans="7:44">
      <c r="G229" s="585">
        <v>13413.25</v>
      </c>
      <c r="H229" s="573">
        <f t="shared" si="122"/>
        <v>13.41325</v>
      </c>
      <c r="I229" s="574">
        <f t="shared" si="102"/>
        <v>116.76762349443918</v>
      </c>
      <c r="J229" s="575">
        <f t="shared" si="103"/>
        <v>1.5622322043591566</v>
      </c>
      <c r="K229" s="575">
        <f t="shared" si="104"/>
        <v>1.0003866710891538</v>
      </c>
      <c r="L229" s="576">
        <f t="shared" si="105"/>
        <v>2.7804551239271502E-2</v>
      </c>
      <c r="M229" s="575">
        <f t="shared" si="106"/>
        <v>1.0184343424455171</v>
      </c>
      <c r="N229" s="576">
        <f t="shared" si="107"/>
        <v>-0.19055466061107904</v>
      </c>
      <c r="O229" s="574">
        <f t="shared" si="108"/>
        <v>252833.80567765259</v>
      </c>
      <c r="P229" s="577">
        <f t="shared" si="109"/>
        <v>1.5707923716275989</v>
      </c>
      <c r="Q229" s="586">
        <f t="shared" si="131"/>
        <v>47.206236735450723</v>
      </c>
      <c r="R229" s="587">
        <f t="shared" si="132"/>
        <v>1.5496111005328785</v>
      </c>
      <c r="S229" s="574">
        <f t="shared" si="110"/>
        <v>1.0343365829127606</v>
      </c>
      <c r="T229" s="577">
        <f t="shared" si="111"/>
        <v>0.25838744095995669</v>
      </c>
      <c r="U229" s="578">
        <f t="shared" si="123"/>
        <v>0.88263511915078696</v>
      </c>
      <c r="V229" s="579">
        <f t="shared" si="124"/>
        <v>-0.61204515068638909</v>
      </c>
      <c r="W229" s="580">
        <f t="shared" si="112"/>
        <v>-9.8486853099298912</v>
      </c>
      <c r="X229" s="581">
        <f t="shared" si="113"/>
        <v>-149.91991777322417</v>
      </c>
      <c r="Y229" s="584">
        <f t="shared" si="114"/>
        <v>30.080082226775829</v>
      </c>
      <c r="AA229" s="147">
        <f t="shared" si="115"/>
        <v>13413.25</v>
      </c>
      <c r="AB229" s="147">
        <f t="shared" si="116"/>
        <v>179915275.5625</v>
      </c>
      <c r="AD229" s="583">
        <f t="shared" si="117"/>
        <v>30.235497161340067</v>
      </c>
      <c r="AE229" s="584">
        <f t="shared" si="118"/>
        <v>-16.018107302944532</v>
      </c>
      <c r="AG229" s="583">
        <f t="shared" si="119"/>
        <v>17.186814713061015</v>
      </c>
      <c r="AH229" s="584">
        <f t="shared" si="120"/>
        <v>-63.766602378581283</v>
      </c>
      <c r="AJ229" s="147">
        <f t="shared" si="121"/>
        <v>0</v>
      </c>
      <c r="AK229" s="147">
        <f t="shared" si="133"/>
        <v>0</v>
      </c>
      <c r="AM229" s="147" t="str">
        <f t="shared" si="125"/>
        <v>0.401799272881776+0.801346298472282i</v>
      </c>
      <c r="AN229" s="147" t="str">
        <f t="shared" si="126"/>
        <v>0.929542417281759i</v>
      </c>
      <c r="AO229" s="147" t="str">
        <f t="shared" si="127"/>
        <v>0.862086854320905-0.432254908879521i</v>
      </c>
      <c r="AP229" s="147" t="str">
        <f t="shared" si="128"/>
        <v>0.0997001211863707-0.133557716412047i</v>
      </c>
      <c r="AQ229" s="147" t="str">
        <f t="shared" si="129"/>
        <v>0.900299878813629+0.133557716412047i</v>
      </c>
      <c r="AR229" s="147" t="str">
        <f t="shared" si="130"/>
        <v>0.905323680325378-0.134302987486059i</v>
      </c>
    </row>
    <row r="230" spans="7:44">
      <c r="G230" s="585">
        <v>13490</v>
      </c>
      <c r="H230" s="573">
        <f t="shared" si="122"/>
        <v>13.49</v>
      </c>
      <c r="I230" s="574">
        <f t="shared" si="102"/>
        <v>117.43571360567157</v>
      </c>
      <c r="J230" s="575">
        <f t="shared" si="103"/>
        <v>1.5622809267114104</v>
      </c>
      <c r="K230" s="575">
        <f t="shared" si="104"/>
        <v>1.0003911079099879</v>
      </c>
      <c r="L230" s="576">
        <f t="shared" si="105"/>
        <v>2.7963564914083392E-2</v>
      </c>
      <c r="M230" s="575">
        <f t="shared" si="106"/>
        <v>1.0186439706167578</v>
      </c>
      <c r="N230" s="576">
        <f t="shared" si="107"/>
        <v>-0.19161858344834973</v>
      </c>
      <c r="O230" s="574">
        <f t="shared" si="108"/>
        <v>254280.50909296636</v>
      </c>
      <c r="P230" s="577">
        <f t="shared" si="109"/>
        <v>1.5707923941301258</v>
      </c>
      <c r="Q230" s="586">
        <f t="shared" si="131"/>
        <v>47.476227785191035</v>
      </c>
      <c r="R230" s="587">
        <f t="shared" si="132"/>
        <v>1.5497315959959919</v>
      </c>
      <c r="S230" s="574">
        <f t="shared" si="110"/>
        <v>1.0347240383502008</v>
      </c>
      <c r="T230" s="577">
        <f t="shared" si="111"/>
        <v>0.25980046004158941</v>
      </c>
      <c r="U230" s="578">
        <f t="shared" si="123"/>
        <v>0.88150801321971761</v>
      </c>
      <c r="V230" s="579">
        <f t="shared" si="124"/>
        <v>-0.61516366802089195</v>
      </c>
      <c r="W230" s="580">
        <f t="shared" si="112"/>
        <v>-9.9107880774537875</v>
      </c>
      <c r="X230" s="581">
        <f t="shared" si="113"/>
        <v>-150.22729215374642</v>
      </c>
      <c r="Y230" s="584">
        <f t="shared" si="114"/>
        <v>29.772707846253581</v>
      </c>
      <c r="AA230" s="147">
        <f t="shared" si="115"/>
        <v>13490</v>
      </c>
      <c r="AB230" s="147">
        <f t="shared" si="116"/>
        <v>181980100</v>
      </c>
      <c r="AD230" s="583">
        <f t="shared" si="117"/>
        <v>30.232221982596478</v>
      </c>
      <c r="AE230" s="584">
        <f t="shared" si="118"/>
        <v>-16.092164740591119</v>
      </c>
      <c r="AG230" s="583">
        <f t="shared" si="119"/>
        <v>17.150184686100015</v>
      </c>
      <c r="AH230" s="584">
        <f t="shared" si="120"/>
        <v>-63.642563557837846</v>
      </c>
      <c r="AJ230" s="147">
        <f t="shared" si="121"/>
        <v>0</v>
      </c>
      <c r="AK230" s="147">
        <f t="shared" si="133"/>
        <v>0</v>
      </c>
      <c r="AM230" s="147" t="str">
        <f t="shared" si="125"/>
        <v>0.406069914083666+0.8045166580273i</v>
      </c>
      <c r="AN230" s="147" t="str">
        <f t="shared" si="126"/>
        <v>0.934861216269802i</v>
      </c>
      <c r="AO230" s="147" t="str">
        <f t="shared" si="127"/>
        <v>0.860573360008889-0.434363846757842i</v>
      </c>
      <c r="AP230" s="147" t="str">
        <f t="shared" si="128"/>
        <v>0.0989883476527223-0.134086109671217i</v>
      </c>
      <c r="AQ230" s="147" t="str">
        <f t="shared" si="129"/>
        <v>0.901011652347278+0.134086109671217i</v>
      </c>
      <c r="AR230" s="147" t="str">
        <f t="shared" si="130"/>
        <v>0.904485089570013-0.134603017175321i</v>
      </c>
    </row>
    <row r="231" spans="7:44">
      <c r="G231" s="585">
        <v>13568.5</v>
      </c>
      <c r="H231" s="573">
        <f t="shared" si="122"/>
        <v>13.5685</v>
      </c>
      <c r="I231" s="574">
        <f t="shared" si="102"/>
        <v>118.11903732700034</v>
      </c>
      <c r="J231" s="575">
        <f t="shared" si="103"/>
        <v>1.5623301898482846</v>
      </c>
      <c r="K231" s="575">
        <f t="shared" si="104"/>
        <v>1.0003956720628433</v>
      </c>
      <c r="L231" s="576">
        <f t="shared" si="105"/>
        <v>2.8126202844562624E-2</v>
      </c>
      <c r="M231" s="575">
        <f t="shared" si="106"/>
        <v>1.0188595708575137</v>
      </c>
      <c r="N231" s="576">
        <f t="shared" si="107"/>
        <v>-0.19270631096132523</v>
      </c>
      <c r="O231" s="574">
        <f t="shared" si="108"/>
        <v>255760.19923110498</v>
      </c>
      <c r="P231" s="577">
        <f t="shared" si="109"/>
        <v>1.5707924168823966</v>
      </c>
      <c r="Q231" s="586">
        <f t="shared" si="131"/>
        <v>47.752375687559883</v>
      </c>
      <c r="R231" s="587">
        <f t="shared" si="132"/>
        <v>1.5498534293962536</v>
      </c>
      <c r="S231" s="574">
        <f t="shared" si="110"/>
        <v>1.0351224638061682</v>
      </c>
      <c r="T231" s="577">
        <f t="shared" si="111"/>
        <v>0.26124460057402082</v>
      </c>
      <c r="U231" s="578">
        <f t="shared" si="123"/>
        <v>0.880352724873947</v>
      </c>
      <c r="V231" s="579">
        <f t="shared" si="124"/>
        <v>-0.61834775119344432</v>
      </c>
      <c r="W231" s="580">
        <f t="shared" si="112"/>
        <v>-9.9740615568311259</v>
      </c>
      <c r="X231" s="581">
        <f t="shared" si="113"/>
        <v>-150.54131690159062</v>
      </c>
      <c r="Y231" s="584">
        <f t="shared" si="114"/>
        <v>29.458683098409381</v>
      </c>
      <c r="AA231" s="147">
        <f t="shared" si="115"/>
        <v>13568.5</v>
      </c>
      <c r="AB231" s="147">
        <f t="shared" si="116"/>
        <v>184104192.25</v>
      </c>
      <c r="AD231" s="583">
        <f t="shared" si="117"/>
        <v>30.228855852698722</v>
      </c>
      <c r="AE231" s="584">
        <f t="shared" si="118"/>
        <v>-16.167928662180142</v>
      </c>
      <c r="AG231" s="583">
        <f t="shared" si="119"/>
        <v>17.113059406264753</v>
      </c>
      <c r="AH231" s="584">
        <f t="shared" si="120"/>
        <v>-63.515955328864329</v>
      </c>
      <c r="AJ231" s="147">
        <f t="shared" si="121"/>
        <v>0</v>
      </c>
      <c r="AK231" s="147">
        <f t="shared" si="133"/>
        <v>0</v>
      </c>
      <c r="AM231" s="147" t="str">
        <f t="shared" si="125"/>
        <v>0.41045531156456+0.807735761457644i</v>
      </c>
      <c r="AN231" s="147" t="str">
        <f t="shared" si="126"/>
        <v>0.940301290804804i</v>
      </c>
      <c r="AO231" s="147" t="str">
        <f t="shared" si="127"/>
        <v>0.859018028962082-0.436514674156462i</v>
      </c>
      <c r="AP231" s="147" t="str">
        <f t="shared" si="128"/>
        <v>0.0982574480725733-0.134622626909607i</v>
      </c>
      <c r="AQ231" s="147" t="str">
        <f t="shared" si="129"/>
        <v>0.901742551927427+0.134622626909607i</v>
      </c>
      <c r="AR231" s="147" t="str">
        <f t="shared" si="130"/>
        <v>0.903626954063264-0.134903952400057i</v>
      </c>
    </row>
    <row r="232" spans="7:44">
      <c r="G232" s="585">
        <v>13647</v>
      </c>
      <c r="H232" s="573">
        <f t="shared" si="122"/>
        <v>13.647</v>
      </c>
      <c r="I232" s="574">
        <f t="shared" si="102"/>
        <v>118.8023613316895</v>
      </c>
      <c r="J232" s="575">
        <f t="shared" si="103"/>
        <v>1.5623788862846886</v>
      </c>
      <c r="K232" s="575">
        <f t="shared" si="104"/>
        <v>1.000400262677019</v>
      </c>
      <c r="L232" s="576">
        <f t="shared" si="105"/>
        <v>2.8288839286725202E-2</v>
      </c>
      <c r="M232" s="575">
        <f t="shared" si="106"/>
        <v>1.0190763760522361</v>
      </c>
      <c r="N232" s="576">
        <f t="shared" si="107"/>
        <v>-0.19379357693924276</v>
      </c>
      <c r="O232" s="574">
        <f t="shared" si="108"/>
        <v>257239.88936924376</v>
      </c>
      <c r="P232" s="577">
        <f t="shared" si="109"/>
        <v>1.5707924393729169</v>
      </c>
      <c r="Q232" s="586">
        <f t="shared" si="131"/>
        <v>48.028524290584471</v>
      </c>
      <c r="R232" s="587">
        <f t="shared" si="132"/>
        <v>1.5499738617923717</v>
      </c>
      <c r="S232" s="574">
        <f t="shared" si="110"/>
        <v>1.0355230463895337</v>
      </c>
      <c r="T232" s="577">
        <f t="shared" si="111"/>
        <v>0.26268762680899588</v>
      </c>
      <c r="U232" s="578">
        <f t="shared" si="123"/>
        <v>0.87919497231655541</v>
      </c>
      <c r="V232" s="579">
        <f t="shared" si="124"/>
        <v>-0.62152622886271103</v>
      </c>
      <c r="W232" s="580">
        <f t="shared" si="112"/>
        <v>-10.037089980691238</v>
      </c>
      <c r="X232" s="581">
        <f t="shared" si="113"/>
        <v>-150.85497806155817</v>
      </c>
      <c r="Y232" s="584">
        <f t="shared" si="114"/>
        <v>29.145021938441829</v>
      </c>
      <c r="AA232" s="147">
        <f t="shared" si="115"/>
        <v>13647</v>
      </c>
      <c r="AB232" s="147">
        <f t="shared" si="116"/>
        <v>186240609</v>
      </c>
      <c r="AD232" s="583">
        <f t="shared" si="117"/>
        <v>30.225473298201212</v>
      </c>
      <c r="AE232" s="584">
        <f t="shared" si="118"/>
        <v>-16.24370899585514</v>
      </c>
      <c r="AG232" s="583">
        <f t="shared" si="119"/>
        <v>17.076274212765579</v>
      </c>
      <c r="AH232" s="584">
        <f t="shared" si="120"/>
        <v>-63.389609443289572</v>
      </c>
      <c r="AJ232" s="147">
        <f t="shared" si="121"/>
        <v>0</v>
      </c>
      <c r="AK232" s="147">
        <f t="shared" si="133"/>
        <v>0</v>
      </c>
      <c r="AM232" s="147" t="str">
        <f t="shared" si="125"/>
        <v>0.414858156230207+0.810930960482881i</v>
      </c>
      <c r="AN232" s="147" t="str">
        <f t="shared" si="126"/>
        <v>0.945741365339806i</v>
      </c>
      <c r="AO232" s="147" t="str">
        <f t="shared" si="127"/>
        <v>0.85745531516591-0.438659205819075i</v>
      </c>
      <c r="AP232" s="147" t="str">
        <f t="shared" si="128"/>
        <v>0.0975236406282988-0.13515516008048i</v>
      </c>
      <c r="AQ232" s="147" t="str">
        <f t="shared" si="129"/>
        <v>0.902476359371701+0.13515516008048i</v>
      </c>
      <c r="AR232" s="147" t="str">
        <f t="shared" si="130"/>
        <v>0.902768435282719-0.135198901466168i</v>
      </c>
    </row>
    <row r="233" spans="7:44">
      <c r="G233" s="585">
        <v>13725.5</v>
      </c>
      <c r="H233" s="573">
        <f t="shared" si="122"/>
        <v>13.7255</v>
      </c>
      <c r="I233" s="574">
        <f t="shared" si="102"/>
        <v>119.48568561487755</v>
      </c>
      <c r="J233" s="575">
        <f t="shared" si="103"/>
        <v>1.562427025743065</v>
      </c>
      <c r="K233" s="575">
        <f t="shared" si="104"/>
        <v>1.000404879752151</v>
      </c>
      <c r="L233" s="576">
        <f t="shared" si="105"/>
        <v>2.8451474231987999E-2</v>
      </c>
      <c r="M233" s="575">
        <f t="shared" si="106"/>
        <v>1.0192943854320395</v>
      </c>
      <c r="N233" s="576">
        <f t="shared" si="107"/>
        <v>-0.19488037910681608</v>
      </c>
      <c r="O233" s="574">
        <f t="shared" si="108"/>
        <v>258719.57950738264</v>
      </c>
      <c r="P233" s="577">
        <f t="shared" si="109"/>
        <v>1.5707924616061779</v>
      </c>
      <c r="Q233" s="586">
        <f t="shared" si="131"/>
        <v>48.304673582248228</v>
      </c>
      <c r="R233" s="587">
        <f t="shared" si="132"/>
        <v>1.550092917208703</v>
      </c>
      <c r="S233" s="574">
        <f t="shared" si="110"/>
        <v>1.0359257835978761</v>
      </c>
      <c r="T233" s="577">
        <f t="shared" si="111"/>
        <v>0.26412953403297945</v>
      </c>
      <c r="U233" s="578">
        <f t="shared" si="123"/>
        <v>0.87803480234362374</v>
      </c>
      <c r="V233" s="579">
        <f t="shared" si="124"/>
        <v>-0.62469909867361573</v>
      </c>
      <c r="W233" s="580">
        <f t="shared" si="112"/>
        <v>-10.099876336159401</v>
      </c>
      <c r="X233" s="581">
        <f t="shared" si="113"/>
        <v>-151.16827427959296</v>
      </c>
      <c r="Y233" s="584">
        <f t="shared" si="114"/>
        <v>28.831725720407036</v>
      </c>
      <c r="AA233" s="147">
        <f t="shared" si="115"/>
        <v>13725.5</v>
      </c>
      <c r="AB233" s="147">
        <f t="shared" si="116"/>
        <v>188389350.25</v>
      </c>
      <c r="AD233" s="583">
        <f t="shared" si="117"/>
        <v>30.222074351366039</v>
      </c>
      <c r="AE233" s="584">
        <f t="shared" si="118"/>
        <v>-16.319504095313494</v>
      </c>
      <c r="AG233" s="583">
        <f t="shared" si="119"/>
        <v>17.039825431637766</v>
      </c>
      <c r="AH233" s="584">
        <f t="shared" si="120"/>
        <v>-63.263526463231926</v>
      </c>
      <c r="AJ233" s="147">
        <f t="shared" si="121"/>
        <v>0</v>
      </c>
      <c r="AK233" s="147">
        <f t="shared" si="133"/>
        <v>0</v>
      </c>
      <c r="AM233" s="147" t="str">
        <f t="shared" si="125"/>
        <v>0.419278317781334+0.81410216054321i</v>
      </c>
      <c r="AN233" s="147" t="str">
        <f t="shared" si="126"/>
        <v>0.951181439874809i</v>
      </c>
      <c r="AO233" s="147" t="str">
        <f t="shared" si="127"/>
        <v>0.855885245879439-0.440797412780171i</v>
      </c>
      <c r="AP233" s="147" t="str">
        <f t="shared" si="128"/>
        <v>0.0967869470364443-0.135683693423868i</v>
      </c>
      <c r="AQ233" s="147" t="str">
        <f t="shared" si="129"/>
        <v>0.903213052963556+0.135683693423868i</v>
      </c>
      <c r="AR233" s="147" t="str">
        <f t="shared" si="130"/>
        <v>0.901909578479983-0.135487881116202i</v>
      </c>
    </row>
    <row r="234" spans="7:44">
      <c r="G234" s="585">
        <v>13804</v>
      </c>
      <c r="H234" s="573">
        <f t="shared" si="122"/>
        <v>13.804</v>
      </c>
      <c r="I234" s="574">
        <f t="shared" si="102"/>
        <v>120.16901017181355</v>
      </c>
      <c r="J234" s="575">
        <f t="shared" si="103"/>
        <v>1.562474617724726</v>
      </c>
      <c r="K234" s="575">
        <f t="shared" si="104"/>
        <v>1.0004095232878729</v>
      </c>
      <c r="L234" s="576">
        <f t="shared" si="105"/>
        <v>2.8614107671768377E-2</v>
      </c>
      <c r="M234" s="575">
        <f t="shared" si="106"/>
        <v>1.0195135982244274</v>
      </c>
      <c r="N234" s="576">
        <f t="shared" si="107"/>
        <v>-0.19596671519508235</v>
      </c>
      <c r="O234" s="574">
        <f t="shared" si="108"/>
        <v>260199.26964552162</v>
      </c>
      <c r="P234" s="577">
        <f t="shared" si="109"/>
        <v>1.5707924835865688</v>
      </c>
      <c r="Q234" s="586">
        <f t="shared" si="131"/>
        <v>48.580823550807828</v>
      </c>
      <c r="R234" s="587">
        <f t="shared" si="132"/>
        <v>1.5502106191235112</v>
      </c>
      <c r="S234" s="574">
        <f t="shared" si="110"/>
        <v>1.0363306729192143</v>
      </c>
      <c r="T234" s="577">
        <f t="shared" si="111"/>
        <v>0.26557031755835608</v>
      </c>
      <c r="U234" s="578">
        <f t="shared" si="123"/>
        <v>0.87687226148648378</v>
      </c>
      <c r="V234" s="579">
        <f t="shared" si="124"/>
        <v>-0.62786635856535367</v>
      </c>
      <c r="W234" s="580">
        <f t="shared" si="112"/>
        <v>-10.162423554056952</v>
      </c>
      <c r="X234" s="581">
        <f t="shared" si="113"/>
        <v>-151.48120423895986</v>
      </c>
      <c r="Y234" s="584">
        <f t="shared" si="114"/>
        <v>28.518795761040138</v>
      </c>
      <c r="AA234" s="147">
        <f t="shared" si="115"/>
        <v>13804</v>
      </c>
      <c r="AB234" s="147">
        <f t="shared" si="116"/>
        <v>190550416</v>
      </c>
      <c r="AD234" s="583">
        <f t="shared" si="117"/>
        <v>30.218659044831341</v>
      </c>
      <c r="AE234" s="584">
        <f t="shared" si="118"/>
        <v>-16.395312347020692</v>
      </c>
      <c r="AG234" s="583">
        <f t="shared" si="119"/>
        <v>17.00370944691873</v>
      </c>
      <c r="AH234" s="584">
        <f t="shared" si="120"/>
        <v>-63.137706921641644</v>
      </c>
      <c r="AJ234" s="147">
        <f t="shared" si="121"/>
        <v>0</v>
      </c>
      <c r="AK234" s="147">
        <f t="shared" si="133"/>
        <v>0</v>
      </c>
      <c r="AM234" s="147" t="str">
        <f t="shared" si="125"/>
        <v>0.423715665406185+0.817249267789066i</v>
      </c>
      <c r="AN234" s="147" t="str">
        <f t="shared" si="126"/>
        <v>0.956621514409811i</v>
      </c>
      <c r="AO234" s="147" t="str">
        <f t="shared" si="127"/>
        <v>0.85430784848412-0.442929266197402i</v>
      </c>
      <c r="AP234" s="147" t="str">
        <f t="shared" si="128"/>
        <v>0.0960473890989692-0.136208211298178i</v>
      </c>
      <c r="AQ234" s="147" t="str">
        <f t="shared" si="129"/>
        <v>0.903952610901031+0.136208211298178i</v>
      </c>
      <c r="AR234" s="147" t="str">
        <f t="shared" si="130"/>
        <v>0.90105042852271-0.135770908428708i</v>
      </c>
    </row>
    <row r="235" spans="7:44">
      <c r="G235" s="585">
        <v>13884.25</v>
      </c>
      <c r="H235" s="573">
        <f t="shared" si="122"/>
        <v>13.88425</v>
      </c>
      <c r="I235" s="574">
        <f t="shared" si="102"/>
        <v>120.86756835687991</v>
      </c>
      <c r="J235" s="575">
        <f t="shared" si="103"/>
        <v>1.5625227144234177</v>
      </c>
      <c r="K235" s="575">
        <f t="shared" si="104"/>
        <v>1.0004142976935171</v>
      </c>
      <c r="L235" s="576">
        <f t="shared" si="105"/>
        <v>2.8780365132649605E-2</v>
      </c>
      <c r="M235" s="575">
        <f t="shared" si="106"/>
        <v>1.0197389410711</v>
      </c>
      <c r="N235" s="576">
        <f t="shared" si="107"/>
        <v>-0.19707678483008498</v>
      </c>
      <c r="O235" s="574">
        <f t="shared" si="108"/>
        <v>261711.94650648552</v>
      </c>
      <c r="P235" s="577">
        <f t="shared" si="109"/>
        <v>1.5707925058000458</v>
      </c>
      <c r="Q235" s="586">
        <f t="shared" si="131"/>
        <v>48.863130416605486</v>
      </c>
      <c r="R235" s="587">
        <f t="shared" si="132"/>
        <v>1.5503295697620167</v>
      </c>
      <c r="S235" s="574">
        <f t="shared" si="110"/>
        <v>1.0367468104231117</v>
      </c>
      <c r="T235" s="577">
        <f t="shared" si="111"/>
        <v>0.26704205405359505</v>
      </c>
      <c r="U235" s="578">
        <f t="shared" si="123"/>
        <v>0.87568140153543306</v>
      </c>
      <c r="V235" s="579">
        <f t="shared" si="124"/>
        <v>-0.63109842541512706</v>
      </c>
      <c r="W235" s="580">
        <f t="shared" si="112"/>
        <v>-10.226120937550307</v>
      </c>
      <c r="X235" s="581">
        <f t="shared" si="113"/>
        <v>-151.80073041390924</v>
      </c>
      <c r="Y235" s="584">
        <f t="shared" si="114"/>
        <v>28.199269586090765</v>
      </c>
      <c r="AA235" s="147">
        <f t="shared" si="115"/>
        <v>13884.25</v>
      </c>
      <c r="AB235" s="147">
        <f t="shared" si="116"/>
        <v>192772398.0625</v>
      </c>
      <c r="AD235" s="583">
        <f t="shared" si="117"/>
        <v>30.215150724436871</v>
      </c>
      <c r="AE235" s="584">
        <f t="shared" si="118"/>
        <v>-16.47282254002355</v>
      </c>
      <c r="AG235" s="583">
        <f t="shared" si="119"/>
        <v>16.967128630276267</v>
      </c>
      <c r="AH235" s="584">
        <f t="shared" si="120"/>
        <v>-63.009355323972599</v>
      </c>
      <c r="AJ235" s="147">
        <f t="shared" si="121"/>
        <v>0</v>
      </c>
      <c r="AK235" s="147">
        <f t="shared" si="133"/>
        <v>0</v>
      </c>
      <c r="AM235" s="147" t="str">
        <f t="shared" si="125"/>
        <v>0.428269563075261+0.820441532038601i</v>
      </c>
      <c r="AN235" s="147" t="str">
        <f t="shared" si="126"/>
        <v>0.962182864491772i</v>
      </c>
      <c r="AO235" s="147" t="str">
        <f t="shared" si="127"/>
        <v>0.852687739842427-0.445102047521366i</v>
      </c>
      <c r="AP235" s="147" t="str">
        <f t="shared" si="128"/>
        <v>0.0952884061541232-0.136740255339767i</v>
      </c>
      <c r="AQ235" s="147" t="str">
        <f t="shared" si="129"/>
        <v>0.904711593845877+0.136740255339767i</v>
      </c>
      <c r="AR235" s="147" t="str">
        <f t="shared" si="130"/>
        <v>0.900171868830749-0.136054110537419i</v>
      </c>
    </row>
    <row r="236" spans="7:44">
      <c r="G236" s="585">
        <v>13964.5</v>
      </c>
      <c r="H236" s="573">
        <f t="shared" si="122"/>
        <v>13.964499999999999</v>
      </c>
      <c r="I236" s="574">
        <f t="shared" si="102"/>
        <v>121.56612681833494</v>
      </c>
      <c r="J236" s="575">
        <f t="shared" si="103"/>
        <v>1.562570258363704</v>
      </c>
      <c r="K236" s="575">
        <f t="shared" si="104"/>
        <v>1.0004190997518918</v>
      </c>
      <c r="L236" s="576">
        <f t="shared" si="105"/>
        <v>2.8946621002039225E-2</v>
      </c>
      <c r="M236" s="575">
        <f t="shared" si="106"/>
        <v>1.0199655399396288</v>
      </c>
      <c r="N236" s="576">
        <f t="shared" si="107"/>
        <v>-0.19818636259848907</v>
      </c>
      <c r="O236" s="574">
        <f t="shared" si="108"/>
        <v>263224.6233674495</v>
      </c>
      <c r="P236" s="577">
        <f t="shared" si="109"/>
        <v>1.5707925277582138</v>
      </c>
      <c r="Q236" s="586">
        <f t="shared" si="131"/>
        <v>49.145437965837033</v>
      </c>
      <c r="R236" s="587">
        <f t="shared" si="132"/>
        <v>1.5504471538190394</v>
      </c>
      <c r="S236" s="574">
        <f t="shared" si="110"/>
        <v>1.0371651917243943</v>
      </c>
      <c r="T236" s="577">
        <f t="shared" si="111"/>
        <v>0.26851260636652924</v>
      </c>
      <c r="U236" s="578">
        <f t="shared" si="123"/>
        <v>0.87448816129915274</v>
      </c>
      <c r="V236" s="579">
        <f t="shared" si="124"/>
        <v>-0.63432462600870021</v>
      </c>
      <c r="W236" s="580">
        <f t="shared" si="112"/>
        <v>-10.28957442222017</v>
      </c>
      <c r="X236" s="581">
        <f t="shared" si="113"/>
        <v>-152.11987115179312</v>
      </c>
      <c r="Y236" s="584">
        <f t="shared" si="114"/>
        <v>27.88012884820688</v>
      </c>
      <c r="AA236" s="147">
        <f t="shared" si="115"/>
        <v>13964.5</v>
      </c>
      <c r="AB236" s="147">
        <f t="shared" si="116"/>
        <v>195007260.25</v>
      </c>
      <c r="AD236" s="583">
        <f t="shared" si="117"/>
        <v>30.211625376939182</v>
      </c>
      <c r="AE236" s="584">
        <f t="shared" si="118"/>
        <v>-16.550343169101396</v>
      </c>
      <c r="AG236" s="583">
        <f t="shared" si="119"/>
        <v>16.930888151328787</v>
      </c>
      <c r="AH236" s="584">
        <f t="shared" si="120"/>
        <v>-62.881280076607524</v>
      </c>
      <c r="AJ236" s="147">
        <f t="shared" si="121"/>
        <v>0</v>
      </c>
      <c r="AK236" s="147">
        <f t="shared" si="133"/>
        <v>0</v>
      </c>
      <c r="AM236" s="147" t="str">
        <f t="shared" si="125"/>
        <v>0.432841143529176+0.823608421233481i</v>
      </c>
      <c r="AN236" s="147" t="str">
        <f t="shared" si="126"/>
        <v>0.967744214573732i</v>
      </c>
      <c r="AO236" s="147" t="str">
        <f t="shared" si="127"/>
        <v>0.851060030977566-0.44726812830375i</v>
      </c>
      <c r="AP236" s="147" t="str">
        <f t="shared" si="128"/>
        <v>0.0945264760784707-0.13726807020558i</v>
      </c>
      <c r="AQ236" s="147" t="str">
        <f t="shared" si="129"/>
        <v>0.905473523921529+0.13726807020558i</v>
      </c>
      <c r="AR236" s="147" t="str">
        <f t="shared" si="130"/>
        <v>0.899293096360085-0.13633112910019i</v>
      </c>
    </row>
    <row r="237" spans="7:44">
      <c r="G237" s="585">
        <v>14044.75</v>
      </c>
      <c r="H237" s="573">
        <f t="shared" si="122"/>
        <v>14.044750000000001</v>
      </c>
      <c r="I237" s="574">
        <f t="shared" si="102"/>
        <v>122.26468555144122</v>
      </c>
      <c r="J237" s="575">
        <f t="shared" si="103"/>
        <v>1.5626172590199157</v>
      </c>
      <c r="K237" s="575">
        <f t="shared" si="104"/>
        <v>1.0004239294625994</v>
      </c>
      <c r="L237" s="576">
        <f t="shared" si="105"/>
        <v>2.9112875270769258E-2</v>
      </c>
      <c r="M237" s="575">
        <f t="shared" si="106"/>
        <v>1.020193393993075</v>
      </c>
      <c r="N237" s="576">
        <f t="shared" si="107"/>
        <v>-0.19929544609681774</v>
      </c>
      <c r="O237" s="574">
        <f t="shared" si="108"/>
        <v>264737.30022841366</v>
      </c>
      <c r="P237" s="577">
        <f t="shared" si="109"/>
        <v>1.5707925494654491</v>
      </c>
      <c r="Q237" s="586">
        <f t="shared" si="131"/>
        <v>49.427746186792128</v>
      </c>
      <c r="R237" s="587">
        <f t="shared" si="132"/>
        <v>1.5505633947071269</v>
      </c>
      <c r="S237" s="574">
        <f t="shared" si="110"/>
        <v>1.0375858141087908</v>
      </c>
      <c r="T237" s="577">
        <f t="shared" si="111"/>
        <v>0.26998196957328824</v>
      </c>
      <c r="U237" s="578">
        <f t="shared" si="123"/>
        <v>0.87329258961748257</v>
      </c>
      <c r="V237" s="579">
        <f t="shared" si="124"/>
        <v>-0.63754495908156583</v>
      </c>
      <c r="W237" s="580">
        <f t="shared" si="112"/>
        <v>-10.352786965309242</v>
      </c>
      <c r="X237" s="581">
        <f t="shared" si="113"/>
        <v>-152.43862516250962</v>
      </c>
      <c r="Y237" s="584">
        <f t="shared" si="114"/>
        <v>27.561374837490376</v>
      </c>
      <c r="AA237" s="147">
        <f t="shared" si="115"/>
        <v>14044.75</v>
      </c>
      <c r="AB237" s="147">
        <f t="shared" si="116"/>
        <v>197255002.5625</v>
      </c>
      <c r="AD237" s="583">
        <f t="shared" si="117"/>
        <v>30.208083038363945</v>
      </c>
      <c r="AE237" s="584">
        <f t="shared" si="118"/>
        <v>-16.627872610947794</v>
      </c>
      <c r="AG237" s="583">
        <f t="shared" si="119"/>
        <v>16.894984326655628</v>
      </c>
      <c r="AH237" s="584">
        <f t="shared" si="120"/>
        <v>-62.753481657652742</v>
      </c>
      <c r="AJ237" s="147">
        <f t="shared" si="121"/>
        <v>0</v>
      </c>
      <c r="AK237" s="147">
        <f t="shared" si="133"/>
        <v>0</v>
      </c>
      <c r="AM237" s="147" t="str">
        <f t="shared" si="125"/>
        <v>0.437430265375645+0.826749837426463i</v>
      </c>
      <c r="AN237" s="147" t="str">
        <f t="shared" si="126"/>
        <v>0.973305564655693i</v>
      </c>
      <c r="AO237" s="147" t="str">
        <f t="shared" si="127"/>
        <v>0.8494247515362-0.449427478132611i</v>
      </c>
      <c r="AP237" s="147" t="str">
        <f t="shared" si="128"/>
        <v>0.0937616224373925-0.137791639571077i</v>
      </c>
      <c r="AQ237" s="147" t="str">
        <f t="shared" si="129"/>
        <v>0.906238377562608+0.137791639571077i</v>
      </c>
      <c r="AR237" s="147" t="str">
        <f t="shared" si="130"/>
        <v>0.898414157792832-0.136601983408709i</v>
      </c>
    </row>
    <row r="238" spans="7:44">
      <c r="G238" s="585">
        <v>14125</v>
      </c>
      <c r="H238" s="573">
        <f t="shared" si="122"/>
        <v>14.125</v>
      </c>
      <c r="I238" s="574">
        <f t="shared" si="102"/>
        <v>122.96324455156892</v>
      </c>
      <c r="J238" s="575">
        <f t="shared" si="103"/>
        <v>1.562663725651098</v>
      </c>
      <c r="K238" s="575">
        <f t="shared" si="104"/>
        <v>1.0004287868252388</v>
      </c>
      <c r="L238" s="576">
        <f t="shared" si="105"/>
        <v>2.9279127929672244E-2</v>
      </c>
      <c r="M238" s="575">
        <f t="shared" si="106"/>
        <v>1.0204225023906135</v>
      </c>
      <c r="N238" s="576">
        <f t="shared" si="107"/>
        <v>-0.20040403292859874</v>
      </c>
      <c r="O238" s="574">
        <f t="shared" si="108"/>
        <v>266249.97708937799</v>
      </c>
      <c r="P238" s="577">
        <f t="shared" si="109"/>
        <v>1.5707925709260289</v>
      </c>
      <c r="Q238" s="586">
        <f t="shared" si="131"/>
        <v>49.710055068026421</v>
      </c>
      <c r="R238" s="587">
        <f t="shared" si="132"/>
        <v>1.550678315307124</v>
      </c>
      <c r="S238" s="574">
        <f t="shared" si="110"/>
        <v>1.0380086748519035</v>
      </c>
      <c r="T238" s="577">
        <f t="shared" si="111"/>
        <v>0.27145013877849988</v>
      </c>
      <c r="U238" s="578">
        <f t="shared" si="123"/>
        <v>0.87209473503107671</v>
      </c>
      <c r="V238" s="579">
        <f t="shared" si="124"/>
        <v>-0.64075942367946559</v>
      </c>
      <c r="W238" s="580">
        <f t="shared" si="112"/>
        <v>-10.415761468158912</v>
      </c>
      <c r="X238" s="581">
        <f t="shared" si="113"/>
        <v>-152.75699119389049</v>
      </c>
      <c r="Y238" s="584">
        <f t="shared" si="114"/>
        <v>27.243008806109515</v>
      </c>
      <c r="AA238" s="147">
        <f t="shared" si="115"/>
        <v>14125</v>
      </c>
      <c r="AB238" s="147">
        <f t="shared" si="116"/>
        <v>199515625</v>
      </c>
      <c r="AD238" s="583">
        <f t="shared" si="117"/>
        <v>30.204523745106147</v>
      </c>
      <c r="AE238" s="584">
        <f t="shared" si="118"/>
        <v>-16.705409274347783</v>
      </c>
      <c r="AG238" s="583">
        <f t="shared" si="119"/>
        <v>16.859413530797141</v>
      </c>
      <c r="AH238" s="584">
        <f t="shared" si="120"/>
        <v>-62.625960515504957</v>
      </c>
      <c r="AJ238" s="147">
        <f t="shared" si="121"/>
        <v>0</v>
      </c>
      <c r="AK238" s="147">
        <f t="shared" si="133"/>
        <v>0</v>
      </c>
      <c r="AM238" s="147" t="str">
        <f t="shared" si="125"/>
        <v>0.442036786679853+0.829865683458146i</v>
      </c>
      <c r="AN238" s="147" t="str">
        <f t="shared" si="126"/>
        <v>0.978866914737654i</v>
      </c>
      <c r="AO238" s="147" t="str">
        <f t="shared" si="127"/>
        <v>0.847781931296103-0.451580066732895i</v>
      </c>
      <c r="AP238" s="147" t="str">
        <f t="shared" si="128"/>
        <v>0.0929938688866912-0.138310947243024i</v>
      </c>
      <c r="AQ238" s="147" t="str">
        <f t="shared" si="129"/>
        <v>0.907006131113309+0.138310947243024i</v>
      </c>
      <c r="AR238" s="147" t="str">
        <f t="shared" si="130"/>
        <v>0.897535099385877-0.136866693092303i</v>
      </c>
    </row>
    <row r="239" spans="7:44">
      <c r="G239" s="585">
        <v>14207.25</v>
      </c>
      <c r="H239" s="573">
        <f t="shared" si="122"/>
        <v>14.20725</v>
      </c>
      <c r="I239" s="574">
        <f t="shared" si="102"/>
        <v>123.67921339414566</v>
      </c>
      <c r="J239" s="575">
        <f t="shared" si="103"/>
        <v>1.5627108056423786</v>
      </c>
      <c r="K239" s="575">
        <f t="shared" si="104"/>
        <v>1.0004337939374601</v>
      </c>
      <c r="L239" s="576">
        <f t="shared" si="105"/>
        <v>2.9449522276922522E-2</v>
      </c>
      <c r="M239" s="575">
        <f t="shared" si="106"/>
        <v>1.0206586213959183</v>
      </c>
      <c r="N239" s="576">
        <f t="shared" si="107"/>
        <v>-0.20153973020480925</v>
      </c>
      <c r="O239" s="574">
        <f t="shared" si="108"/>
        <v>267800.35306214209</v>
      </c>
      <c r="P239" s="577">
        <f t="shared" si="109"/>
        <v>1.5707925926698718</v>
      </c>
      <c r="Q239" s="586">
        <f t="shared" si="131"/>
        <v>49.999400358083868</v>
      </c>
      <c r="R239" s="587">
        <f t="shared" si="132"/>
        <v>1.5507947533138762</v>
      </c>
      <c r="S239" s="574">
        <f t="shared" si="110"/>
        <v>1.0384443940501713</v>
      </c>
      <c r="T239" s="577">
        <f t="shared" si="111"/>
        <v>0.27295365377047487</v>
      </c>
      <c r="U239" s="578">
        <f t="shared" si="123"/>
        <v>0.87086470888626155</v>
      </c>
      <c r="V239" s="579">
        <f t="shared" si="124"/>
        <v>-0.64404790919007704</v>
      </c>
      <c r="W239" s="580">
        <f t="shared" si="112"/>
        <v>-10.480061394410924</v>
      </c>
      <c r="X239" s="581">
        <f t="shared" si="113"/>
        <v>-153.08288770653519</v>
      </c>
      <c r="Y239" s="584">
        <f t="shared" si="114"/>
        <v>26.917112293464811</v>
      </c>
      <c r="AA239" s="147">
        <f t="shared" si="115"/>
        <v>14207.25</v>
      </c>
      <c r="AB239" s="147">
        <f t="shared" si="116"/>
        <v>201845952.5625</v>
      </c>
      <c r="AD239" s="583">
        <f t="shared" si="117"/>
        <v>30.200858191411839</v>
      </c>
      <c r="AE239" s="584">
        <f t="shared" si="118"/>
        <v>-16.784884177382033</v>
      </c>
      <c r="AG239" s="583">
        <f t="shared" si="119"/>
        <v>16.823298083580369</v>
      </c>
      <c r="AH239" s="584">
        <f t="shared" si="120"/>
        <v>-62.495549443188914</v>
      </c>
      <c r="AJ239" s="147">
        <f t="shared" si="121"/>
        <v>0</v>
      </c>
      <c r="AK239" s="147">
        <f t="shared" si="133"/>
        <v>0</v>
      </c>
      <c r="AM239" s="147" t="str">
        <f t="shared" si="125"/>
        <v>0.44677601848662+0.833032548150721i</v>
      </c>
      <c r="AN239" s="147" t="str">
        <f t="shared" si="126"/>
        <v>0.984566865444711i</v>
      </c>
      <c r="AO239" s="147" t="str">
        <f t="shared" si="127"/>
        <v>0.846090374750175-0.453779254784102i</v>
      </c>
      <c r="AP239" s="147" t="str">
        <f t="shared" si="128"/>
        <v>0.0922039969188967-0.13883875802512i</v>
      </c>
      <c r="AQ239" s="147" t="str">
        <f t="shared" si="129"/>
        <v>0.907796003081103+0.13883875802512i</v>
      </c>
      <c r="AR239" s="147" t="str">
        <f t="shared" si="130"/>
        <v>0.896634056574609-0.137131644549356i</v>
      </c>
    </row>
    <row r="240" spans="7:44">
      <c r="G240" s="585">
        <v>14289.5</v>
      </c>
      <c r="H240" s="573">
        <f t="shared" si="122"/>
        <v>14.2895</v>
      </c>
      <c r="I240" s="574">
        <f t="shared" si="102"/>
        <v>124.39518250770489</v>
      </c>
      <c r="J240" s="575">
        <f t="shared" si="103"/>
        <v>1.5627573436864135</v>
      </c>
      <c r="K240" s="575">
        <f t="shared" si="104"/>
        <v>1.0004388300962188</v>
      </c>
      <c r="L240" s="576">
        <f t="shared" si="105"/>
        <v>2.9619914913606819E-2</v>
      </c>
      <c r="M240" s="575">
        <f t="shared" si="106"/>
        <v>1.0208960562452425</v>
      </c>
      <c r="N240" s="576">
        <f t="shared" si="107"/>
        <v>-0.2026749006751313</v>
      </c>
      <c r="O240" s="574">
        <f t="shared" si="108"/>
        <v>269350.72903490631</v>
      </c>
      <c r="P240" s="577">
        <f t="shared" si="109"/>
        <v>1.570792614163401</v>
      </c>
      <c r="Q240" s="586">
        <f t="shared" si="131"/>
        <v>50.288746318223026</v>
      </c>
      <c r="R240" s="587">
        <f t="shared" si="132"/>
        <v>1.5509098514253052</v>
      </c>
      <c r="S240" s="574">
        <f t="shared" si="110"/>
        <v>1.0388824587393271</v>
      </c>
      <c r="T240" s="577">
        <f t="shared" si="111"/>
        <v>0.27445590418419835</v>
      </c>
      <c r="U240" s="578">
        <f t="shared" si="123"/>
        <v>0.86963238690668943</v>
      </c>
      <c r="V240" s="579">
        <f t="shared" si="124"/>
        <v>-0.64733022902843063</v>
      </c>
      <c r="W240" s="580">
        <f t="shared" si="112"/>
        <v>-10.544117264678214</v>
      </c>
      <c r="X240" s="581">
        <f t="shared" si="113"/>
        <v>-153.40837411615385</v>
      </c>
      <c r="Y240" s="584">
        <f t="shared" si="114"/>
        <v>26.591625883846149</v>
      </c>
      <c r="AA240" s="147">
        <f t="shared" si="115"/>
        <v>14289.5</v>
      </c>
      <c r="AB240" s="147">
        <f t="shared" si="116"/>
        <v>204189810.25</v>
      </c>
      <c r="AD240" s="583">
        <f t="shared" si="117"/>
        <v>30.197174905975714</v>
      </c>
      <c r="AE240" s="584">
        <f t="shared" si="118"/>
        <v>-16.864363381424681</v>
      </c>
      <c r="AG240" s="583">
        <f t="shared" si="119"/>
        <v>16.78752494112144</v>
      </c>
      <c r="AH240" s="584">
        <f t="shared" si="120"/>
        <v>-62.365430500835714</v>
      </c>
      <c r="AJ240" s="147">
        <f t="shared" si="121"/>
        <v>0</v>
      </c>
      <c r="AK240" s="147">
        <f t="shared" si="133"/>
        <v>0</v>
      </c>
      <c r="AM240" s="147" t="str">
        <f t="shared" si="125"/>
        <v>0.451533224181004+0.836172348157194i</v>
      </c>
      <c r="AN240" s="147" t="str">
        <f t="shared" si="126"/>
        <v>0.990266816151767i</v>
      </c>
      <c r="AO240" s="147" t="str">
        <f t="shared" si="127"/>
        <v>0.844390960616662-0.455971276444148i</v>
      </c>
      <c r="AP240" s="147" t="str">
        <f t="shared" si="128"/>
        <v>0.091411129303166-0.139362058026199i</v>
      </c>
      <c r="AQ240" s="147" t="str">
        <f t="shared" si="129"/>
        <v>0.908588870696834+0.139362058026199i</v>
      </c>
      <c r="AR240" s="147" t="str">
        <f t="shared" si="130"/>
        <v>0.895732984894431-0.137390184100648i</v>
      </c>
    </row>
    <row r="241" spans="7:44">
      <c r="G241" s="585">
        <v>14371.75</v>
      </c>
      <c r="H241" s="573">
        <f t="shared" si="122"/>
        <v>14.37175</v>
      </c>
      <c r="I241" s="574">
        <f t="shared" si="102"/>
        <v>125.11115188759437</v>
      </c>
      <c r="J241" s="575">
        <f t="shared" si="103"/>
        <v>1.5628033490871491</v>
      </c>
      <c r="K241" s="575">
        <f t="shared" si="104"/>
        <v>1.0004438953010759</v>
      </c>
      <c r="L241" s="576">
        <f t="shared" si="105"/>
        <v>2.9790305829856818E-2</v>
      </c>
      <c r="M241" s="575">
        <f t="shared" si="106"/>
        <v>1.0211348060207037</v>
      </c>
      <c r="N241" s="576">
        <f t="shared" si="107"/>
        <v>-0.20380954178248059</v>
      </c>
      <c r="O241" s="574">
        <f t="shared" si="108"/>
        <v>270901.1050076707</v>
      </c>
      <c r="P241" s="577">
        <f t="shared" si="109"/>
        <v>1.5707926354109136</v>
      </c>
      <c r="Q241" s="586">
        <f t="shared" si="131"/>
        <v>50.578092936943712</v>
      </c>
      <c r="R241" s="587">
        <f t="shared" si="132"/>
        <v>1.5510236326341122</v>
      </c>
      <c r="S241" s="574">
        <f t="shared" si="110"/>
        <v>1.0393228659535647</v>
      </c>
      <c r="T241" s="577">
        <f t="shared" si="111"/>
        <v>0.27595688484256958</v>
      </c>
      <c r="U241" s="578">
        <f t="shared" si="123"/>
        <v>0.8683978203601519</v>
      </c>
      <c r="V241" s="579">
        <f t="shared" si="124"/>
        <v>-0.65060638316286679</v>
      </c>
      <c r="W241" s="580">
        <f t="shared" si="112"/>
        <v>-10.607932028398485</v>
      </c>
      <c r="X241" s="581">
        <f t="shared" si="113"/>
        <v>-153.73344919430016</v>
      </c>
      <c r="Y241" s="584">
        <f t="shared" si="114"/>
        <v>26.266550805699836</v>
      </c>
      <c r="AA241" s="147">
        <f t="shared" si="115"/>
        <v>14371.75</v>
      </c>
      <c r="AB241" s="147">
        <f t="shared" si="116"/>
        <v>206547198.0625</v>
      </c>
      <c r="AD241" s="583">
        <f t="shared" si="117"/>
        <v>30.193473929127844</v>
      </c>
      <c r="AE241" s="584">
        <f t="shared" si="118"/>
        <v>-16.943845272711201</v>
      </c>
      <c r="AG241" s="583">
        <f t="shared" si="119"/>
        <v>16.752090381417272</v>
      </c>
      <c r="AH241" s="584">
        <f t="shared" si="120"/>
        <v>-62.235604077391471</v>
      </c>
      <c r="AJ241" s="147">
        <f t="shared" si="121"/>
        <v>0</v>
      </c>
      <c r="AK241" s="147">
        <f t="shared" si="133"/>
        <v>0</v>
      </c>
      <c r="AM241" s="147" t="str">
        <f t="shared" si="125"/>
        <v>0.456308249204486+0.839284981467504i</v>
      </c>
      <c r="AN241" s="147" t="str">
        <f t="shared" si="126"/>
        <v>0.995966766858823i</v>
      </c>
      <c r="AO241" s="147" t="str">
        <f t="shared" si="127"/>
        <v>0.842683721380105-0.4581560995691i</v>
      </c>
      <c r="AP241" s="147" t="str">
        <f t="shared" si="128"/>
        <v>0.0906152917992523-0.139880830244584i</v>
      </c>
      <c r="AQ241" s="147" t="str">
        <f t="shared" si="129"/>
        <v>0.909384708200748+0.139880830244584i</v>
      </c>
      <c r="AR241" s="147" t="str">
        <f t="shared" si="130"/>
        <v>0.894831932749639-0.137642333935919i</v>
      </c>
    </row>
    <row r="242" spans="7:44">
      <c r="G242" s="585">
        <v>14454</v>
      </c>
      <c r="H242" s="573">
        <f t="shared" si="122"/>
        <v>14.454000000000001</v>
      </c>
      <c r="I242" s="574">
        <f t="shared" si="102"/>
        <v>125.82712152926777</v>
      </c>
      <c r="J242" s="575">
        <f t="shared" si="103"/>
        <v>1.5628488309367796</v>
      </c>
      <c r="K242" s="575">
        <f t="shared" si="104"/>
        <v>1.0004489895515902</v>
      </c>
      <c r="L242" s="576">
        <f t="shared" si="105"/>
        <v>2.996069501580478E-2</v>
      </c>
      <c r="M242" s="575">
        <f t="shared" si="106"/>
        <v>1.0213748698001972</v>
      </c>
      <c r="N242" s="576">
        <f t="shared" si="107"/>
        <v>-0.20494365097760917</v>
      </c>
      <c r="O242" s="574">
        <f t="shared" si="108"/>
        <v>272451.48098043521</v>
      </c>
      <c r="P242" s="577">
        <f t="shared" si="109"/>
        <v>1.5707926564166097</v>
      </c>
      <c r="Q242" s="586">
        <f t="shared" si="131"/>
        <v>50.867440203007419</v>
      </c>
      <c r="R242" s="587">
        <f t="shared" si="132"/>
        <v>1.551136119409982</v>
      </c>
      <c r="S242" s="574">
        <f t="shared" si="110"/>
        <v>1.0397656127162569</v>
      </c>
      <c r="T242" s="577">
        <f t="shared" si="111"/>
        <v>0.27745659060012107</v>
      </c>
      <c r="U242" s="578">
        <f t="shared" si="123"/>
        <v>0.86716106017456873</v>
      </c>
      <c r="V242" s="579">
        <f t="shared" si="124"/>
        <v>-0.6538763718913152</v>
      </c>
      <c r="W242" s="580">
        <f t="shared" si="112"/>
        <v>-10.671508578957127</v>
      </c>
      <c r="X242" s="581">
        <f t="shared" si="113"/>
        <v>-154.0581117515018</v>
      </c>
      <c r="Y242" s="584">
        <f t="shared" si="114"/>
        <v>25.941888248498202</v>
      </c>
      <c r="AA242" s="147">
        <f t="shared" si="115"/>
        <v>14454</v>
      </c>
      <c r="AB242" s="147">
        <f t="shared" si="116"/>
        <v>208918116</v>
      </c>
      <c r="AD242" s="583">
        <f t="shared" si="117"/>
        <v>30.189755301564961</v>
      </c>
      <c r="AE242" s="584">
        <f t="shared" si="118"/>
        <v>-17.023328269250552</v>
      </c>
      <c r="AG242" s="583">
        <f t="shared" si="119"/>
        <v>16.716990741000178</v>
      </c>
      <c r="AH242" s="584">
        <f t="shared" si="120"/>
        <v>-62.106070531234643</v>
      </c>
      <c r="AJ242" s="147">
        <f t="shared" si="121"/>
        <v>0</v>
      </c>
      <c r="AK242" s="147">
        <f t="shared" si="133"/>
        <v>0</v>
      </c>
      <c r="AM242" s="147" t="str">
        <f t="shared" si="125"/>
        <v>0.461100938419607+0.842370346954219i</v>
      </c>
      <c r="AN242" s="147" t="str">
        <f t="shared" si="126"/>
        <v>1.00166671756588i</v>
      </c>
      <c r="AO242" s="147" t="str">
        <f t="shared" si="127"/>
        <v>0.840968689666796-0.460333692168703i</v>
      </c>
      <c r="AP242" s="147" t="str">
        <f t="shared" si="128"/>
        <v>0.0898165102633988-0.140395057825703i</v>
      </c>
      <c r="AQ242" s="147" t="str">
        <f t="shared" si="129"/>
        <v>0.910183489736601+0.140395057825703i</v>
      </c>
      <c r="AR242" s="147" t="str">
        <f t="shared" si="130"/>
        <v>0.893930948070731-0.137888116585036i</v>
      </c>
    </row>
    <row r="243" spans="7:44">
      <c r="G243" s="585">
        <v>14622.5</v>
      </c>
      <c r="H243" s="573">
        <f t="shared" si="122"/>
        <v>14.6225</v>
      </c>
      <c r="I243" s="574">
        <f t="shared" si="102"/>
        <v>127.29388080378833</v>
      </c>
      <c r="J243" s="575">
        <f t="shared" si="103"/>
        <v>1.5629404088225052</v>
      </c>
      <c r="K243" s="575">
        <f t="shared" si="104"/>
        <v>1.0004595164981593</v>
      </c>
      <c r="L243" s="576">
        <f t="shared" si="105"/>
        <v>3.0309754346974742E-2</v>
      </c>
      <c r="M243" s="575">
        <f t="shared" si="106"/>
        <v>1.0218707716083548</v>
      </c>
      <c r="N243" s="576">
        <f t="shared" si="107"/>
        <v>-0.20726535187712597</v>
      </c>
      <c r="O243" s="574">
        <f t="shared" si="108"/>
        <v>275627.63114956405</v>
      </c>
      <c r="P243" s="577">
        <f t="shared" si="109"/>
        <v>1.570792698711617</v>
      </c>
      <c r="Q243" s="586">
        <f t="shared" si="131"/>
        <v>51.460208310180867</v>
      </c>
      <c r="R243" s="587">
        <f t="shared" si="132"/>
        <v>1.5513626132425535</v>
      </c>
      <c r="S243" s="574">
        <f t="shared" si="110"/>
        <v>1.0406799312532655</v>
      </c>
      <c r="T243" s="577">
        <f t="shared" si="111"/>
        <v>0.28052493340455981</v>
      </c>
      <c r="U243" s="578">
        <f t="shared" si="123"/>
        <v>0.86462075600026023</v>
      </c>
      <c r="V243" s="579">
        <f t="shared" si="124"/>
        <v>-0.66055612604123548</v>
      </c>
      <c r="W243" s="580">
        <f t="shared" si="112"/>
        <v>-10.801021569483796</v>
      </c>
      <c r="X243" s="581">
        <f t="shared" si="113"/>
        <v>-154.72193291136986</v>
      </c>
      <c r="Y243" s="584">
        <f t="shared" si="114"/>
        <v>25.278067088630138</v>
      </c>
      <c r="AA243" s="147">
        <f t="shared" si="115"/>
        <v>14622.5</v>
      </c>
      <c r="AB243" s="147">
        <f t="shared" si="116"/>
        <v>213817506.25</v>
      </c>
      <c r="AD243" s="583">
        <f t="shared" si="117"/>
        <v>30.182082255725994</v>
      </c>
      <c r="AE243" s="584">
        <f t="shared" si="118"/>
        <v>-17.186156644863612</v>
      </c>
      <c r="AG243" s="583">
        <f t="shared" si="119"/>
        <v>16.646115224567428</v>
      </c>
      <c r="AH243" s="584">
        <f t="shared" si="120"/>
        <v>-61.841619872664182</v>
      </c>
      <c r="AJ243" s="147">
        <f t="shared" si="121"/>
        <v>0</v>
      </c>
      <c r="AK243" s="147">
        <f t="shared" si="133"/>
        <v>0</v>
      </c>
      <c r="AM243" s="147" t="str">
        <f t="shared" si="125"/>
        <v>0.470973900202548+0.848605553677972i</v>
      </c>
      <c r="AN243" s="147" t="str">
        <f t="shared" si="126"/>
        <v>1.01334382023018i</v>
      </c>
      <c r="AO243" s="147" t="str">
        <f t="shared" si="127"/>
        <v>0.837431024630132-0.464772065314975i</v>
      </c>
      <c r="AP243" s="147" t="str">
        <f t="shared" si="128"/>
        <v>0.0881710166329087-0.141434258946329i</v>
      </c>
      <c r="AQ243" s="147" t="str">
        <f t="shared" si="129"/>
        <v>0.911828983367091+0.141434258946329i</v>
      </c>
      <c r="AR243" s="147" t="str">
        <f t="shared" si="130"/>
        <v>0.892085571977202-0.138371848329932i</v>
      </c>
    </row>
    <row r="244" spans="7:44">
      <c r="G244" s="585">
        <v>14706.75</v>
      </c>
      <c r="H244" s="573">
        <f t="shared" si="122"/>
        <v>14.70675</v>
      </c>
      <c r="I244" s="574">
        <f t="shared" si="102"/>
        <v>128.02726083450068</v>
      </c>
      <c r="J244" s="575">
        <f t="shared" si="103"/>
        <v>1.5629854108856178</v>
      </c>
      <c r="K244" s="575">
        <f t="shared" si="104"/>
        <v>1.0004648256826227</v>
      </c>
      <c r="L244" s="576">
        <f t="shared" si="105"/>
        <v>3.0484281247311066E-2</v>
      </c>
      <c r="M244" s="575">
        <f t="shared" si="106"/>
        <v>1.0221207865755597</v>
      </c>
      <c r="N244" s="576">
        <f t="shared" si="107"/>
        <v>-0.20842535438688664</v>
      </c>
      <c r="O244" s="574">
        <f t="shared" si="108"/>
        <v>277215.70623412868</v>
      </c>
      <c r="P244" s="577">
        <f t="shared" si="109"/>
        <v>1.5707927194956797</v>
      </c>
      <c r="Q244" s="586">
        <f t="shared" si="131"/>
        <v>51.756593336715923</v>
      </c>
      <c r="R244" s="587">
        <f t="shared" si="132"/>
        <v>1.5514739146311034</v>
      </c>
      <c r="S244" s="574">
        <f t="shared" si="110"/>
        <v>1.0411407598167808</v>
      </c>
      <c r="T244" s="577">
        <f t="shared" si="111"/>
        <v>0.28205707665615681</v>
      </c>
      <c r="U244" s="578">
        <f t="shared" si="123"/>
        <v>0.86334736569702097</v>
      </c>
      <c r="V244" s="579">
        <f t="shared" si="124"/>
        <v>-0.66388630367553081</v>
      </c>
      <c r="W244" s="580">
        <f t="shared" si="112"/>
        <v>-10.865415048052995</v>
      </c>
      <c r="X244" s="581">
        <f t="shared" si="113"/>
        <v>-155.05318948968835</v>
      </c>
      <c r="Y244" s="584">
        <f t="shared" si="114"/>
        <v>24.94681051031165</v>
      </c>
      <c r="AA244" s="147">
        <f t="shared" si="115"/>
        <v>14706.75</v>
      </c>
      <c r="AB244" s="147">
        <f t="shared" si="116"/>
        <v>216288495.5625</v>
      </c>
      <c r="AD244" s="583">
        <f t="shared" si="117"/>
        <v>30.178218129727163</v>
      </c>
      <c r="AE244" s="584">
        <f t="shared" si="118"/>
        <v>-17.267566077903812</v>
      </c>
      <c r="AG244" s="583">
        <f t="shared" si="119"/>
        <v>16.611189422209428</v>
      </c>
      <c r="AH244" s="584">
        <f t="shared" si="120"/>
        <v>-61.709856770558474</v>
      </c>
      <c r="AJ244" s="147">
        <f t="shared" si="121"/>
        <v>0</v>
      </c>
      <c r="AK244" s="147">
        <f t="shared" si="133"/>
        <v>0</v>
      </c>
      <c r="AM244" s="147" t="str">
        <f t="shared" si="125"/>
        <v>0.475937516014588+0.851679818287976i</v>
      </c>
      <c r="AN244" s="147" t="str">
        <f t="shared" si="126"/>
        <v>1.01918237156234i</v>
      </c>
      <c r="AO244" s="147" t="str">
        <f t="shared" si="127"/>
        <v>0.835650068183976-0.466979737183844i</v>
      </c>
      <c r="AP244" s="147" t="str">
        <f t="shared" si="128"/>
        <v>0.087343747330902-0.141946636381329i</v>
      </c>
      <c r="AQ244" s="147" t="str">
        <f t="shared" si="129"/>
        <v>0.912656252669098+0.141946636381329i</v>
      </c>
      <c r="AR244" s="147" t="str">
        <f t="shared" si="130"/>
        <v>0.891163190484971-0.138603791938365i</v>
      </c>
    </row>
    <row r="245" spans="7:44">
      <c r="G245" s="585">
        <v>14791</v>
      </c>
      <c r="H245" s="573">
        <f t="shared" si="122"/>
        <v>14.791</v>
      </c>
      <c r="I245" s="574">
        <f t="shared" si="102"/>
        <v>128.76064112153847</v>
      </c>
      <c r="J245" s="575">
        <f t="shared" si="103"/>
        <v>1.5630299003135035</v>
      </c>
      <c r="K245" s="575">
        <f t="shared" si="104"/>
        <v>1.0004701653405597</v>
      </c>
      <c r="L245" s="576">
        <f t="shared" si="105"/>
        <v>3.0658806290011317E-2</v>
      </c>
      <c r="M245" s="575">
        <f t="shared" si="106"/>
        <v>1.0223721762406894</v>
      </c>
      <c r="N245" s="576">
        <f t="shared" si="107"/>
        <v>-0.20958478799335933</v>
      </c>
      <c r="O245" s="574">
        <f t="shared" si="108"/>
        <v>278803.78131869342</v>
      </c>
      <c r="P245" s="577">
        <f t="shared" si="109"/>
        <v>1.5707927400429693</v>
      </c>
      <c r="Q245" s="586">
        <f t="shared" si="131"/>
        <v>52.052978997110166</v>
      </c>
      <c r="R245" s="587">
        <f t="shared" si="132"/>
        <v>1.551583948537905</v>
      </c>
      <c r="S245" s="574">
        <f t="shared" si="110"/>
        <v>1.0416040302537102</v>
      </c>
      <c r="T245" s="577">
        <f t="shared" si="111"/>
        <v>0.28358786060699015</v>
      </c>
      <c r="U245" s="578">
        <f t="shared" si="123"/>
        <v>0.86207188768077747</v>
      </c>
      <c r="V245" s="579">
        <f t="shared" si="124"/>
        <v>-0.6672100171968931</v>
      </c>
      <c r="W245" s="580">
        <f t="shared" si="112"/>
        <v>-10.929570373165822</v>
      </c>
      <c r="X245" s="581">
        <f t="shared" si="113"/>
        <v>-155.38400856605128</v>
      </c>
      <c r="Y245" s="584">
        <f t="shared" si="114"/>
        <v>24.615991433948722</v>
      </c>
      <c r="AA245" s="147">
        <f t="shared" si="115"/>
        <v>14791</v>
      </c>
      <c r="AB245" s="147">
        <f t="shared" si="116"/>
        <v>218773681</v>
      </c>
      <c r="AD245" s="583">
        <f t="shared" si="117"/>
        <v>30.174335661869467</v>
      </c>
      <c r="AE245" s="584">
        <f t="shared" si="118"/>
        <v>-17.348970236535852</v>
      </c>
      <c r="AG245" s="583">
        <f t="shared" si="119"/>
        <v>16.576599976753922</v>
      </c>
      <c r="AH245" s="584">
        <f t="shared" si="120"/>
        <v>-61.578402173684893</v>
      </c>
      <c r="AJ245" s="147">
        <f t="shared" si="121"/>
        <v>0</v>
      </c>
      <c r="AK245" s="147">
        <f t="shared" si="133"/>
        <v>0</v>
      </c>
      <c r="AM245" s="147" t="str">
        <f t="shared" si="125"/>
        <v>0.480918996375057+0.854725050338249i</v>
      </c>
      <c r="AN245" s="147" t="str">
        <f t="shared" si="126"/>
        <v>1.02502092289449i</v>
      </c>
      <c r="AO245" s="147" t="str">
        <f t="shared" si="127"/>
        <v>0.833861076635047-0.46917968758825i</v>
      </c>
      <c r="AP245" s="147" t="str">
        <f t="shared" si="128"/>
        <v>0.0865135006041572-0.142454175056375i</v>
      </c>
      <c r="AQ245" s="147" t="str">
        <f t="shared" si="129"/>
        <v>0.913486499395843+0.142454175056375i</v>
      </c>
      <c r="AR245" s="147" t="str">
        <f t="shared" si="130"/>
        <v>0.89024107945329-0.138829154737032i</v>
      </c>
    </row>
    <row r="246" spans="7:44">
      <c r="G246" s="585">
        <v>14877.25</v>
      </c>
      <c r="H246" s="573">
        <f t="shared" si="122"/>
        <v>14.87725</v>
      </c>
      <c r="I246" s="574">
        <f t="shared" si="102"/>
        <v>129.51143129061202</v>
      </c>
      <c r="J246" s="575">
        <f t="shared" si="103"/>
        <v>1.5630749239289039</v>
      </c>
      <c r="K246" s="575">
        <f t="shared" si="104"/>
        <v>1.0004756633226144</v>
      </c>
      <c r="L246" s="576">
        <f t="shared" si="105"/>
        <v>3.0837472425055384E-2</v>
      </c>
      <c r="M246" s="575">
        <f t="shared" si="106"/>
        <v>1.0226309565903993</v>
      </c>
      <c r="N246" s="576">
        <f t="shared" si="107"/>
        <v>-0.21077115310966929</v>
      </c>
      <c r="O246" s="574">
        <f t="shared" si="108"/>
        <v>280429.55551505799</v>
      </c>
      <c r="P246" s="577">
        <f t="shared" si="109"/>
        <v>1.570792760836957</v>
      </c>
      <c r="Q246" s="586">
        <f t="shared" si="131"/>
        <v>52.356401164247949</v>
      </c>
      <c r="R246" s="587">
        <f t="shared" si="132"/>
        <v>1.5516953040254053</v>
      </c>
      <c r="S246" s="574">
        <f t="shared" si="110"/>
        <v>1.042080824320482</v>
      </c>
      <c r="T246" s="577">
        <f t="shared" si="111"/>
        <v>0.28515356996413893</v>
      </c>
      <c r="U246" s="578">
        <f t="shared" si="123"/>
        <v>0.86076402378274941</v>
      </c>
      <c r="V246" s="579">
        <f t="shared" si="124"/>
        <v>-0.67060593797968016</v>
      </c>
      <c r="W246" s="580">
        <f t="shared" si="112"/>
        <v>-10.995004921282893</v>
      </c>
      <c r="X246" s="581">
        <f t="shared" si="113"/>
        <v>-155.72222658669634</v>
      </c>
      <c r="Y246" s="584">
        <f t="shared" si="114"/>
        <v>24.277773413303663</v>
      </c>
      <c r="AA246" s="147">
        <f t="shared" si="115"/>
        <v>14877.25</v>
      </c>
      <c r="AB246" s="147">
        <f t="shared" si="116"/>
        <v>221332567.5625</v>
      </c>
      <c r="AD246" s="583">
        <f t="shared" si="117"/>
        <v>30.170342076055157</v>
      </c>
      <c r="AE246" s="584">
        <f t="shared" si="118"/>
        <v>-17.432299766688182</v>
      </c>
      <c r="AG246" s="583">
        <f t="shared" si="119"/>
        <v>16.541534047816754</v>
      </c>
      <c r="AH246" s="584">
        <f t="shared" si="120"/>
        <v>-61.444146806904065</v>
      </c>
      <c r="AJ246" s="147">
        <f t="shared" si="121"/>
        <v>0</v>
      </c>
      <c r="AK246" s="147">
        <f t="shared" si="133"/>
        <v>0</v>
      </c>
      <c r="AM246" s="147" t="str">
        <f t="shared" si="125"/>
        <v>0.486037059868769+0.857812389845041i</v>
      </c>
      <c r="AN246" s="147" t="str">
        <f t="shared" si="126"/>
        <v>1.03099807485174i</v>
      </c>
      <c r="AO246" s="147" t="str">
        <f t="shared" si="127"/>
        <v>0.832021330368048-0.471423828738635i</v>
      </c>
      <c r="AP246" s="147" t="str">
        <f t="shared" si="128"/>
        <v>0.0856604900218718-0.14296873164084i</v>
      </c>
      <c r="AQ246" s="147" t="str">
        <f t="shared" si="129"/>
        <v>0.914339509978128+0.14296873164084i</v>
      </c>
      <c r="AR246" s="147" t="str">
        <f t="shared" si="130"/>
        <v>0.889297409778168-0.139053077483779i</v>
      </c>
    </row>
    <row r="247" spans="7:44">
      <c r="G247" s="585">
        <v>14963.5</v>
      </c>
      <c r="H247" s="573">
        <f t="shared" si="122"/>
        <v>14.9635</v>
      </c>
      <c r="I247" s="574">
        <f t="shared" si="102"/>
        <v>130.26222171919528</v>
      </c>
      <c r="J247" s="575">
        <f t="shared" si="103"/>
        <v>1.5631194285405094</v>
      </c>
      <c r="K247" s="575">
        <f t="shared" si="104"/>
        <v>1.0004811932410889</v>
      </c>
      <c r="L247" s="576">
        <f t="shared" si="105"/>
        <v>3.1016136590734711E-2</v>
      </c>
      <c r="M247" s="575">
        <f t="shared" si="106"/>
        <v>1.0228911755250707</v>
      </c>
      <c r="N247" s="576">
        <f t="shared" si="107"/>
        <v>-0.21195691628224392</v>
      </c>
      <c r="O247" s="574">
        <f t="shared" si="108"/>
        <v>282055.32971142273</v>
      </c>
      <c r="P247" s="577">
        <f t="shared" si="109"/>
        <v>1.5707927813912306</v>
      </c>
      <c r="Q247" s="586">
        <f t="shared" si="131"/>
        <v>52.659823973125889</v>
      </c>
      <c r="R247" s="587">
        <f t="shared" si="132"/>
        <v>1.551805376266717</v>
      </c>
      <c r="S247" s="574">
        <f t="shared" si="110"/>
        <v>1.0425601706516587</v>
      </c>
      <c r="T247" s="577">
        <f t="shared" si="111"/>
        <v>0.28671784339535128</v>
      </c>
      <c r="U247" s="578">
        <f t="shared" si="123"/>
        <v>0.85945408352905595</v>
      </c>
      <c r="V247" s="579">
        <f t="shared" si="124"/>
        <v>-0.67399508886173054</v>
      </c>
      <c r="W247" s="580">
        <f t="shared" si="112"/>
        <v>-11.060195807285924</v>
      </c>
      <c r="X247" s="581">
        <f t="shared" si="113"/>
        <v>-156.05998384623496</v>
      </c>
      <c r="Y247" s="584">
        <f t="shared" si="114"/>
        <v>23.940016153765043</v>
      </c>
      <c r="AA247" s="147">
        <f t="shared" si="115"/>
        <v>14963.5</v>
      </c>
      <c r="AB247" s="147">
        <f t="shared" si="116"/>
        <v>223906332.25</v>
      </c>
      <c r="AD247" s="583">
        <f t="shared" si="117"/>
        <v>30.166329364285481</v>
      </c>
      <c r="AE247" s="584">
        <f t="shared" si="118"/>
        <v>-17.515620535200721</v>
      </c>
      <c r="AG247" s="583">
        <f t="shared" si="119"/>
        <v>16.506812980683854</v>
      </c>
      <c r="AH247" s="584">
        <f t="shared" si="120"/>
        <v>-61.310215214137273</v>
      </c>
      <c r="AJ247" s="147">
        <f t="shared" si="121"/>
        <v>0</v>
      </c>
      <c r="AK247" s="147">
        <f t="shared" si="133"/>
        <v>0</v>
      </c>
      <c r="AM247" s="147" t="str">
        <f t="shared" si="125"/>
        <v>0.491173485325389+0.860869082941238i</v>
      </c>
      <c r="AN247" s="147" t="str">
        <f t="shared" si="126"/>
        <v>1.03697522680898i</v>
      </c>
      <c r="AO247" s="147" t="str">
        <f t="shared" si="127"/>
        <v>0.83017323913353-0.47365980654798i</v>
      </c>
      <c r="AP247" s="147" t="str">
        <f t="shared" si="128"/>
        <v>0.0848044191124352-0.143478180490206i</v>
      </c>
      <c r="AQ247" s="147" t="str">
        <f t="shared" si="129"/>
        <v>0.915195580887565+0.143478180490206i</v>
      </c>
      <c r="AR247" s="147" t="str">
        <f t="shared" si="130"/>
        <v>0.888354126725348-0.139270158636373i</v>
      </c>
    </row>
    <row r="248" spans="7:44">
      <c r="G248" s="585">
        <v>15049.75</v>
      </c>
      <c r="H248" s="573">
        <f t="shared" si="122"/>
        <v>15.04975</v>
      </c>
      <c r="I248" s="574">
        <f t="shared" si="102"/>
        <v>131.01301240282663</v>
      </c>
      <c r="J248" s="575">
        <f t="shared" si="103"/>
        <v>1.5631634230708416</v>
      </c>
      <c r="K248" s="575">
        <f t="shared" si="104"/>
        <v>1.0004867550954544</v>
      </c>
      <c r="L248" s="576">
        <f t="shared" si="105"/>
        <v>3.1194798775675815E-2</v>
      </c>
      <c r="M248" s="575">
        <f t="shared" si="106"/>
        <v>1.0231528319470762</v>
      </c>
      <c r="N248" s="576">
        <f t="shared" si="107"/>
        <v>-0.21314207463719101</v>
      </c>
      <c r="O248" s="574">
        <f t="shared" si="108"/>
        <v>283681.10390778753</v>
      </c>
      <c r="P248" s="577">
        <f t="shared" si="109"/>
        <v>1.5707928017099113</v>
      </c>
      <c r="Q248" s="586">
        <f t="shared" si="131"/>
        <v>52.963247412714551</v>
      </c>
      <c r="R248" s="587">
        <f t="shared" si="132"/>
        <v>1.5519141873140831</v>
      </c>
      <c r="S248" s="574">
        <f t="shared" si="110"/>
        <v>1.0430420657284407</v>
      </c>
      <c r="T248" s="577">
        <f t="shared" si="111"/>
        <v>0.2882806752302276</v>
      </c>
      <c r="U248" s="578">
        <f t="shared" si="123"/>
        <v>0.85814212276688628</v>
      </c>
      <c r="V248" s="579">
        <f t="shared" si="124"/>
        <v>-0.67737747280175908</v>
      </c>
      <c r="W248" s="580">
        <f t="shared" si="112"/>
        <v>-11.125145946455179</v>
      </c>
      <c r="X248" s="581">
        <f t="shared" si="113"/>
        <v>-156.39727927324722</v>
      </c>
      <c r="Y248" s="584">
        <f t="shared" si="114"/>
        <v>23.602720726752779</v>
      </c>
      <c r="AA248" s="147">
        <f t="shared" si="115"/>
        <v>15049.75</v>
      </c>
      <c r="AB248" s="147">
        <f t="shared" si="116"/>
        <v>226494975.0625</v>
      </c>
      <c r="AD248" s="583">
        <f t="shared" si="117"/>
        <v>30.162297576217068</v>
      </c>
      <c r="AE248" s="584">
        <f t="shared" si="118"/>
        <v>-17.598930953919194</v>
      </c>
      <c r="AG248" s="583">
        <f t="shared" si="119"/>
        <v>16.472432994221059</v>
      </c>
      <c r="AH248" s="584">
        <f t="shared" si="120"/>
        <v>-61.176607573075252</v>
      </c>
      <c r="AJ248" s="147">
        <f t="shared" si="121"/>
        <v>0</v>
      </c>
      <c r="AK248" s="147">
        <f t="shared" si="133"/>
        <v>0</v>
      </c>
      <c r="AM248" s="147" t="str">
        <f t="shared" si="125"/>
        <v>0.49632808923977+0.863895020422701i</v>
      </c>
      <c r="AN248" s="147" t="str">
        <f t="shared" si="126"/>
        <v>1.04295237876623i</v>
      </c>
      <c r="AO248" s="147" t="str">
        <f t="shared" si="127"/>
        <v>0.828316841699574-0.475887585420636i</v>
      </c>
      <c r="AP248" s="147" t="str">
        <f t="shared" si="128"/>
        <v>0.0839453184600383-0.143982503403784i</v>
      </c>
      <c r="AQ248" s="147" t="str">
        <f t="shared" si="129"/>
        <v>0.916054681539962+0.143982503403784i</v>
      </c>
      <c r="AR248" s="147" t="str">
        <f t="shared" si="130"/>
        <v>0.887411281626626-0.139480426717068i</v>
      </c>
    </row>
    <row r="249" spans="7:44">
      <c r="G249" s="585">
        <v>15136</v>
      </c>
      <c r="H249" s="573">
        <f t="shared" si="122"/>
        <v>15.135999999999999</v>
      </c>
      <c r="I249" s="574">
        <f t="shared" si="102"/>
        <v>131.76380333714638</v>
      </c>
      <c r="J249" s="575">
        <f t="shared" si="103"/>
        <v>1.5632069162390665</v>
      </c>
      <c r="K249" s="575">
        <f t="shared" si="104"/>
        <v>1.0004923488851776</v>
      </c>
      <c r="L249" s="576">
        <f t="shared" si="105"/>
        <v>3.1373458968505963E-2</v>
      </c>
      <c r="M249" s="575">
        <f t="shared" si="106"/>
        <v>1.0234159247538495</v>
      </c>
      <c r="N249" s="576">
        <f t="shared" si="107"/>
        <v>-0.21432662531034555</v>
      </c>
      <c r="O249" s="574">
        <f t="shared" si="108"/>
        <v>285306.87810415257</v>
      </c>
      <c r="P249" s="577">
        <f t="shared" si="109"/>
        <v>1.5707928217970268</v>
      </c>
      <c r="Q249" s="586">
        <f t="shared" si="131"/>
        <v>53.266671472235743</v>
      </c>
      <c r="R249" s="587">
        <f t="shared" si="132"/>
        <v>1.5520217587174017</v>
      </c>
      <c r="S249" s="574">
        <f t="shared" si="110"/>
        <v>1.0435265060198362</v>
      </c>
      <c r="T249" s="577">
        <f t="shared" si="111"/>
        <v>0.28984205983698308</v>
      </c>
      <c r="U249" s="578">
        <f t="shared" si="123"/>
        <v>0.85682819691393552</v>
      </c>
      <c r="V249" s="579">
        <f t="shared" si="124"/>
        <v>-0.68075309312471588</v>
      </c>
      <c r="W249" s="580">
        <f t="shared" si="112"/>
        <v>-11.189858198194287</v>
      </c>
      <c r="X249" s="581">
        <f t="shared" si="113"/>
        <v>-156.7341118371923</v>
      </c>
      <c r="Y249" s="584">
        <f t="shared" si="114"/>
        <v>23.265888162807698</v>
      </c>
      <c r="AA249" s="147">
        <f t="shared" si="115"/>
        <v>15136</v>
      </c>
      <c r="AB249" s="147">
        <f t="shared" si="116"/>
        <v>229098496</v>
      </c>
      <c r="AD249" s="583">
        <f t="shared" si="117"/>
        <v>30.1582467618652</v>
      </c>
      <c r="AE249" s="584">
        <f t="shared" si="118"/>
        <v>-17.682229465678653</v>
      </c>
      <c r="AG249" s="583">
        <f t="shared" si="119"/>
        <v>16.438390366625171</v>
      </c>
      <c r="AH249" s="584">
        <f t="shared" si="120"/>
        <v>-61.043324029330854</v>
      </c>
      <c r="AJ249" s="147">
        <f t="shared" si="121"/>
        <v>0</v>
      </c>
      <c r="AK249" s="147">
        <f t="shared" si="133"/>
        <v>0</v>
      </c>
      <c r="AM249" s="147" t="str">
        <f t="shared" si="125"/>
        <v>0.50150068745729+0.866890094184058i</v>
      </c>
      <c r="AN249" s="147" t="str">
        <f t="shared" si="126"/>
        <v>1.04892953072348i</v>
      </c>
      <c r="AO249" s="147" t="str">
        <f t="shared" si="127"/>
        <v>0.826452176998141-0.478107129953133i</v>
      </c>
      <c r="AP249" s="147" t="str">
        <f t="shared" si="128"/>
        <v>0.0830832187571183-0.14448168236401i</v>
      </c>
      <c r="AQ249" s="147" t="str">
        <f t="shared" si="129"/>
        <v>0.916916781242882+0.14448168236401i</v>
      </c>
      <c r="AR249" s="147" t="str">
        <f t="shared" si="130"/>
        <v>0.88646892523687-0.139683910581316i</v>
      </c>
    </row>
    <row r="250" spans="7:44">
      <c r="G250" s="585">
        <v>15224</v>
      </c>
      <c r="H250" s="573">
        <f t="shared" si="122"/>
        <v>15.224</v>
      </c>
      <c r="I250" s="574">
        <f t="shared" si="102"/>
        <v>132.52982796466205</v>
      </c>
      <c r="J250" s="575">
        <f t="shared" si="103"/>
        <v>1.56325078399428</v>
      </c>
      <c r="K250" s="575">
        <f t="shared" si="104"/>
        <v>1.0004980890854049</v>
      </c>
      <c r="L250" s="576">
        <f t="shared" si="105"/>
        <v>3.1555742085805707E-2</v>
      </c>
      <c r="M250" s="575">
        <f t="shared" si="106"/>
        <v>1.0236858349228721</v>
      </c>
      <c r="N250" s="576">
        <f t="shared" si="107"/>
        <v>-0.21553458108173063</v>
      </c>
      <c r="O250" s="574">
        <f t="shared" si="108"/>
        <v>286965.6390233424</v>
      </c>
      <c r="P250" s="577">
        <f t="shared" si="109"/>
        <v>1.57079284205713</v>
      </c>
      <c r="Q250" s="586">
        <f t="shared" si="131"/>
        <v>53.576252589948837</v>
      </c>
      <c r="R250" s="587">
        <f t="shared" si="132"/>
        <v>1.5521302569528119</v>
      </c>
      <c r="S250" s="574">
        <f t="shared" si="110"/>
        <v>1.044023395059714</v>
      </c>
      <c r="T250" s="577">
        <f t="shared" si="111"/>
        <v>0.29143362733573741</v>
      </c>
      <c r="U250" s="578">
        <f t="shared" si="123"/>
        <v>0.85548564344566369</v>
      </c>
      <c r="V250" s="579">
        <f t="shared" si="124"/>
        <v>-0.68419023726393768</v>
      </c>
      <c r="W250" s="580">
        <f t="shared" si="112"/>
        <v>-11.255641185769264</v>
      </c>
      <c r="X250" s="581">
        <f t="shared" si="113"/>
        <v>-157.07730061214511</v>
      </c>
      <c r="Y250" s="584">
        <f t="shared" si="114"/>
        <v>22.922699387854891</v>
      </c>
      <c r="AA250" s="147">
        <f t="shared" si="115"/>
        <v>15224</v>
      </c>
      <c r="AB250" s="147">
        <f t="shared" si="116"/>
        <v>231770176</v>
      </c>
      <c r="AD250" s="583">
        <f t="shared" si="117"/>
        <v>30.154094200077253</v>
      </c>
      <c r="AE250" s="584">
        <f t="shared" si="118"/>
        <v>-17.767204236109343</v>
      </c>
      <c r="AG250" s="583">
        <f t="shared" si="119"/>
        <v>16.404000913546131</v>
      </c>
      <c r="AH250" s="584">
        <f t="shared" si="120"/>
        <v>-60.907670327891836</v>
      </c>
      <c r="AJ250" s="147">
        <f t="shared" si="121"/>
        <v>0</v>
      </c>
      <c r="AK250" s="147">
        <f t="shared" si="133"/>
        <v>0</v>
      </c>
      <c r="AM250" s="147" t="str">
        <f t="shared" si="125"/>
        <v>0.50679659085148+0.869914017132888i</v>
      </c>
      <c r="AN250" s="147" t="str">
        <f t="shared" si="126"/>
        <v>1.05502795822768i</v>
      </c>
      <c r="AO250" s="147" t="str">
        <f t="shared" si="127"/>
        <v>0.824541198504577-0.480363185543289i</v>
      </c>
      <c r="AP250" s="147" t="str">
        <f t="shared" si="128"/>
        <v>0.08220056819142-0.144985669522148i</v>
      </c>
      <c r="AQ250" s="147" t="str">
        <f t="shared" si="129"/>
        <v>0.91779943180858+0.144985669522148i</v>
      </c>
      <c r="AR250" s="147" t="str">
        <f t="shared" si="130"/>
        <v>0.88550800431816-0.139884561292762i</v>
      </c>
    </row>
    <row r="251" spans="7:44">
      <c r="G251" s="585">
        <v>15312</v>
      </c>
      <c r="H251" s="573">
        <f t="shared" si="122"/>
        <v>15.311999999999999</v>
      </c>
      <c r="I251" s="574">
        <f t="shared" si="102"/>
        <v>133.29585284428416</v>
      </c>
      <c r="J251" s="575">
        <f t="shared" si="103"/>
        <v>1.5632941475509654</v>
      </c>
      <c r="K251" s="575">
        <f t="shared" si="104"/>
        <v>1.0005038625289351</v>
      </c>
      <c r="L251" s="576">
        <f t="shared" si="105"/>
        <v>3.173802310541949E-2</v>
      </c>
      <c r="M251" s="575">
        <f t="shared" si="106"/>
        <v>1.0239572380216506</v>
      </c>
      <c r="N251" s="576">
        <f t="shared" si="107"/>
        <v>-0.21674189826902304</v>
      </c>
      <c r="O251" s="574">
        <f t="shared" si="108"/>
        <v>288624.39994253241</v>
      </c>
      <c r="P251" s="577">
        <f t="shared" si="109"/>
        <v>1.5707928620843585</v>
      </c>
      <c r="Q251" s="586">
        <f t="shared" si="131"/>
        <v>53.885834331107638</v>
      </c>
      <c r="R251" s="587">
        <f t="shared" si="132"/>
        <v>1.5522375085140505</v>
      </c>
      <c r="S251" s="574">
        <f t="shared" si="110"/>
        <v>1.0445229261817608</v>
      </c>
      <c r="T251" s="577">
        <f t="shared" si="111"/>
        <v>0.29302367656118039</v>
      </c>
      <c r="U251" s="578">
        <f t="shared" si="123"/>
        <v>0.85414115951071745</v>
      </c>
      <c r="V251" s="579">
        <f t="shared" si="124"/>
        <v>-0.68762034867565214</v>
      </c>
      <c r="W251" s="580">
        <f t="shared" si="112"/>
        <v>-11.321182376199603</v>
      </c>
      <c r="X251" s="581">
        <f t="shared" si="113"/>
        <v>-157.42000551023304</v>
      </c>
      <c r="Y251" s="584">
        <f t="shared" si="114"/>
        <v>22.57999448976696</v>
      </c>
      <c r="AA251" s="147">
        <f t="shared" si="115"/>
        <v>15312</v>
      </c>
      <c r="AB251" s="147">
        <f t="shared" si="116"/>
        <v>234457344</v>
      </c>
      <c r="AD251" s="583">
        <f t="shared" si="117"/>
        <v>30.149921938380103</v>
      </c>
      <c r="AE251" s="584">
        <f t="shared" si="118"/>
        <v>-17.852163431712867</v>
      </c>
      <c r="AG251" s="583">
        <f t="shared" si="119"/>
        <v>16.369955004003685</v>
      </c>
      <c r="AH251" s="584">
        <f t="shared" si="120"/>
        <v>-60.772354215625313</v>
      </c>
      <c r="AJ251" s="147">
        <f t="shared" si="121"/>
        <v>0</v>
      </c>
      <c r="AK251" s="147">
        <f t="shared" si="133"/>
        <v>0</v>
      </c>
      <c r="AM251" s="147" t="str">
        <f t="shared" si="125"/>
        <v>0.512110836827069+0.872905587368083i</v>
      </c>
      <c r="AN251" s="147" t="str">
        <f t="shared" si="126"/>
        <v>1.06112638573189i</v>
      </c>
      <c r="AO251" s="147" t="str">
        <f t="shared" si="127"/>
        <v>0.822621696251587-0.482610595413525i</v>
      </c>
      <c r="AP251" s="147" t="str">
        <f t="shared" si="128"/>
        <v>0.0813148605288218-0.145484264561347i</v>
      </c>
      <c r="AQ251" s="147" t="str">
        <f t="shared" si="129"/>
        <v>0.918685139471178+0.145484264561347i</v>
      </c>
      <c r="AR251" s="147" t="str">
        <f t="shared" si="130"/>
        <v>0.884547697050479-0.140078211397758i</v>
      </c>
    </row>
    <row r="252" spans="7:44">
      <c r="G252" s="585">
        <v>15400</v>
      </c>
      <c r="H252" s="573">
        <f t="shared" si="122"/>
        <v>15.4</v>
      </c>
      <c r="I252" s="574">
        <f t="shared" si="102"/>
        <v>134.06187797169108</v>
      </c>
      <c r="J252" s="575">
        <f t="shared" si="103"/>
        <v>1.5633370155518793</v>
      </c>
      <c r="K252" s="575">
        <f t="shared" si="104"/>
        <v>1.0005096692151927</v>
      </c>
      <c r="L252" s="576">
        <f t="shared" si="105"/>
        <v>3.1920302015270671E-2</v>
      </c>
      <c r="M252" s="575">
        <f t="shared" si="106"/>
        <v>1.024230132863384</v>
      </c>
      <c r="N252" s="576">
        <f t="shared" si="107"/>
        <v>-0.21794857386166153</v>
      </c>
      <c r="O252" s="574">
        <f t="shared" si="108"/>
        <v>290283.16086172243</v>
      </c>
      <c r="P252" s="577">
        <f t="shared" si="109"/>
        <v>1.5707928818827046</v>
      </c>
      <c r="Q252" s="586">
        <f t="shared" si="131"/>
        <v>54.195416685028164</v>
      </c>
      <c r="R252" s="587">
        <f t="shared" si="132"/>
        <v>1.5523435347628887</v>
      </c>
      <c r="S252" s="574">
        <f t="shared" si="110"/>
        <v>1.0450250955971621</v>
      </c>
      <c r="T252" s="577">
        <f t="shared" si="111"/>
        <v>0.29461220165623575</v>
      </c>
      <c r="U252" s="578">
        <f t="shared" si="123"/>
        <v>0.85279480257517248</v>
      </c>
      <c r="V252" s="579">
        <f t="shared" si="124"/>
        <v>-0.6910434320433374</v>
      </c>
      <c r="W252" s="580">
        <f t="shared" si="112"/>
        <v>-11.386484635156018</v>
      </c>
      <c r="X252" s="581">
        <f t="shared" si="113"/>
        <v>-157.76222556389627</v>
      </c>
      <c r="Y252" s="584">
        <f t="shared" si="114"/>
        <v>22.237774436103734</v>
      </c>
      <c r="AA252" s="147">
        <f t="shared" si="115"/>
        <v>15400</v>
      </c>
      <c r="AB252" s="147">
        <f t="shared" si="116"/>
        <v>237160000</v>
      </c>
      <c r="AD252" s="583">
        <f t="shared" si="117"/>
        <v>30.145730030990279</v>
      </c>
      <c r="AE252" s="584">
        <f t="shared" si="118"/>
        <v>-17.937105493192856</v>
      </c>
      <c r="AG252" s="583">
        <f t="shared" si="119"/>
        <v>16.336248867804262</v>
      </c>
      <c r="AH252" s="584">
        <f t="shared" si="120"/>
        <v>-60.637375747580727</v>
      </c>
      <c r="AJ252" s="147">
        <f t="shared" si="121"/>
        <v>0</v>
      </c>
      <c r="AK252" s="147">
        <f t="shared" si="133"/>
        <v>0</v>
      </c>
      <c r="AM252" s="147" t="str">
        <f t="shared" si="125"/>
        <v>0.517443227743506+0.875864693631039i</v>
      </c>
      <c r="AN252" s="147" t="str">
        <f t="shared" si="126"/>
        <v>1.0672248132361i</v>
      </c>
      <c r="AO252" s="147" t="str">
        <f t="shared" si="127"/>
        <v>0.820693712110377-0.484849322585075i</v>
      </c>
      <c r="AP252" s="147" t="str">
        <f t="shared" si="128"/>
        <v>0.0804261287094157-0.145977448938507i</v>
      </c>
      <c r="AQ252" s="147" t="str">
        <f t="shared" si="129"/>
        <v>0.919573871290584+0.145977448938507i</v>
      </c>
      <c r="AR252" s="147" t="str">
        <f t="shared" si="130"/>
        <v>0.883588055485892-0.140264892554356i</v>
      </c>
    </row>
    <row r="253" spans="7:44">
      <c r="G253" s="585">
        <v>15488</v>
      </c>
      <c r="H253" s="573">
        <f t="shared" si="122"/>
        <v>15.488</v>
      </c>
      <c r="I253" s="574">
        <f t="shared" si="102"/>
        <v>134.82790334265954</v>
      </c>
      <c r="J253" s="575">
        <f t="shared" si="103"/>
        <v>1.5633793964433704</v>
      </c>
      <c r="K253" s="575">
        <f t="shared" si="104"/>
        <v>1.0005155091435989</v>
      </c>
      <c r="L253" s="576">
        <f t="shared" si="105"/>
        <v>3.2102578803283432E-2</v>
      </c>
      <c r="M253" s="575">
        <f t="shared" si="106"/>
        <v>1.0245045182560164</v>
      </c>
      <c r="N253" s="576">
        <f t="shared" si="107"/>
        <v>-0.21915460485975738</v>
      </c>
      <c r="O253" s="574">
        <f t="shared" si="108"/>
        <v>291941.92178091273</v>
      </c>
      <c r="P253" s="577">
        <f t="shared" si="109"/>
        <v>1.5707929014560693</v>
      </c>
      <c r="Q253" s="586">
        <f t="shared" si="131"/>
        <v>54.504999641269166</v>
      </c>
      <c r="R253" s="587">
        <f t="shared" si="132"/>
        <v>1.5524483565758782</v>
      </c>
      <c r="S253" s="574">
        <f t="shared" si="110"/>
        <v>1.0455298995043898</v>
      </c>
      <c r="T253" s="577">
        <f t="shared" si="111"/>
        <v>0.29619919680581808</v>
      </c>
      <c r="U253" s="578">
        <f t="shared" si="123"/>
        <v>0.85144662963243134</v>
      </c>
      <c r="V253" s="579">
        <f t="shared" si="124"/>
        <v>-0.69445949242926064</v>
      </c>
      <c r="W253" s="580">
        <f t="shared" si="112"/>
        <v>-11.451550773362534</v>
      </c>
      <c r="X253" s="581">
        <f t="shared" si="113"/>
        <v>-158.10395984683771</v>
      </c>
      <c r="Y253" s="584">
        <f t="shared" si="114"/>
        <v>21.896040153162289</v>
      </c>
      <c r="AA253" s="147">
        <f t="shared" si="115"/>
        <v>15488</v>
      </c>
      <c r="AB253" s="147">
        <f t="shared" si="116"/>
        <v>239878144</v>
      </c>
      <c r="AD253" s="583">
        <f t="shared" si="117"/>
        <v>30.141518532473654</v>
      </c>
      <c r="AE253" s="584">
        <f t="shared" si="118"/>
        <v>-18.022028891454667</v>
      </c>
      <c r="AG253" s="583">
        <f t="shared" si="119"/>
        <v>16.302878793657872</v>
      </c>
      <c r="AH253" s="584">
        <f t="shared" si="120"/>
        <v>-60.502734946462596</v>
      </c>
      <c r="AJ253" s="147">
        <f t="shared" si="121"/>
        <v>0</v>
      </c>
      <c r="AK253" s="147">
        <f t="shared" si="133"/>
        <v>0</v>
      </c>
      <c r="AM253" s="147" t="str">
        <f t="shared" si="125"/>
        <v>0.522793565285417+0.878791225870511i</v>
      </c>
      <c r="AN253" s="147" t="str">
        <f t="shared" si="126"/>
        <v>1.0733232407403i</v>
      </c>
      <c r="AO253" s="147" t="str">
        <f t="shared" si="127"/>
        <v>0.818757288125416-0.487079330290875i</v>
      </c>
      <c r="AP253" s="147" t="str">
        <f t="shared" si="128"/>
        <v>0.0795344057857638-0.146465204311752i</v>
      </c>
      <c r="AQ253" s="147" t="str">
        <f t="shared" si="129"/>
        <v>0.920465594214236+0.146465204311752i</v>
      </c>
      <c r="AR253" s="147" t="str">
        <f t="shared" si="130"/>
        <v>0.882629131052869-0.140444636740083i</v>
      </c>
    </row>
    <row r="254" spans="7:44">
      <c r="G254" s="585">
        <v>15578.25</v>
      </c>
      <c r="H254" s="573">
        <f t="shared" si="122"/>
        <v>15.578250000000001</v>
      </c>
      <c r="I254" s="574">
        <f t="shared" si="102"/>
        <v>135.61351483824896</v>
      </c>
      <c r="J254" s="575">
        <f t="shared" si="103"/>
        <v>1.5634223636334397</v>
      </c>
      <c r="K254" s="575">
        <f t="shared" si="104"/>
        <v>1.0005215329156727</v>
      </c>
      <c r="L254" s="576">
        <f t="shared" si="105"/>
        <v>3.2289513860795128E-2</v>
      </c>
      <c r="M254" s="575">
        <f t="shared" si="106"/>
        <v>1.0247874661341487</v>
      </c>
      <c r="N254" s="576">
        <f t="shared" si="107"/>
        <v>-0.22039079921959381</v>
      </c>
      <c r="O254" s="574">
        <f t="shared" si="108"/>
        <v>293643.09420087776</v>
      </c>
      <c r="P254" s="577">
        <f t="shared" si="109"/>
        <v>1.5707929213002001</v>
      </c>
      <c r="Q254" s="586">
        <f t="shared" si="131"/>
        <v>54.822498685751924</v>
      </c>
      <c r="R254" s="587">
        <f t="shared" si="132"/>
        <v>1.552554628841478</v>
      </c>
      <c r="S254" s="574">
        <f t="shared" si="110"/>
        <v>1.0460503427259136</v>
      </c>
      <c r="T254" s="577">
        <f t="shared" si="111"/>
        <v>0.29782517336629888</v>
      </c>
      <c r="U254" s="578">
        <f t="shared" si="123"/>
        <v>0.85006215931244367</v>
      </c>
      <c r="V254" s="579">
        <f t="shared" si="124"/>
        <v>-0.69795560634098863</v>
      </c>
      <c r="W254" s="580">
        <f t="shared" si="112"/>
        <v>-11.518038168514508</v>
      </c>
      <c r="X254" s="581">
        <f t="shared" si="113"/>
        <v>-158.45392616655266</v>
      </c>
      <c r="Y254" s="584">
        <f t="shared" si="114"/>
        <v>21.546073833447338</v>
      </c>
      <c r="AA254" s="147">
        <f t="shared" si="115"/>
        <v>15578.25</v>
      </c>
      <c r="AB254" s="147">
        <f t="shared" si="116"/>
        <v>242681873.0625</v>
      </c>
      <c r="AD254" s="583">
        <f t="shared" si="117"/>
        <v>30.137179062220483</v>
      </c>
      <c r="AE254" s="584">
        <f t="shared" si="118"/>
        <v>-18.109102670743699</v>
      </c>
      <c r="AG254" s="583">
        <f t="shared" si="119"/>
        <v>16.269000741094878</v>
      </c>
      <c r="AH254" s="584">
        <f t="shared" si="120"/>
        <v>-60.365002342752781</v>
      </c>
      <c r="AJ254" s="147">
        <f t="shared" si="121"/>
        <v>0</v>
      </c>
      <c r="AK254" s="147">
        <f t="shared" si="133"/>
        <v>0</v>
      </c>
      <c r="AM254" s="147" t="str">
        <f t="shared" si="125"/>
        <v>0.528299133570695+0.881758636254754i</v>
      </c>
      <c r="AN254" s="147" t="str">
        <f t="shared" si="126"/>
        <v>1.07957759394774i</v>
      </c>
      <c r="AO254" s="147" t="str">
        <f t="shared" si="127"/>
        <v>0.816762631234673-0.489357260221417i</v>
      </c>
      <c r="AP254" s="147" t="str">
        <f t="shared" si="128"/>
        <v>0.0786168110715508-0.146959772709126i</v>
      </c>
      <c r="AQ254" s="147" t="str">
        <f t="shared" si="129"/>
        <v>0.921383188928449+0.146959772709126i</v>
      </c>
      <c r="AR254" s="147" t="str">
        <f t="shared" si="130"/>
        <v>0.88164648675154-0.140621805194307i</v>
      </c>
    </row>
    <row r="255" spans="7:44">
      <c r="G255" s="585">
        <v>15668.5</v>
      </c>
      <c r="H255" s="573">
        <f t="shared" si="122"/>
        <v>15.6685</v>
      </c>
      <c r="I255" s="574">
        <f t="shared" si="102"/>
        <v>136.39912658132124</v>
      </c>
      <c r="J255" s="575">
        <f t="shared" si="103"/>
        <v>1.5634648358713104</v>
      </c>
      <c r="K255" s="575">
        <f t="shared" si="104"/>
        <v>1.0005275916502654</v>
      </c>
      <c r="L255" s="576">
        <f t="shared" si="105"/>
        <v>3.2476446660853732E-2</v>
      </c>
      <c r="M255" s="575">
        <f t="shared" si="106"/>
        <v>1.0250719792024556</v>
      </c>
      <c r="N255" s="576">
        <f t="shared" si="107"/>
        <v>-0.22162630924467847</v>
      </c>
      <c r="O255" s="574">
        <f t="shared" si="108"/>
        <v>295344.26662084291</v>
      </c>
      <c r="P255" s="577">
        <f t="shared" si="109"/>
        <v>1.5707929409157277</v>
      </c>
      <c r="Q255" s="586">
        <f t="shared" si="131"/>
        <v>55.139998342258473</v>
      </c>
      <c r="R255" s="587">
        <f t="shared" si="132"/>
        <v>1.5526596772631733</v>
      </c>
      <c r="S255" s="574">
        <f t="shared" si="110"/>
        <v>1.0465735487403161</v>
      </c>
      <c r="T255" s="577">
        <f t="shared" si="111"/>
        <v>0.2994495284920603</v>
      </c>
      <c r="U255" s="578">
        <f t="shared" si="123"/>
        <v>0.84867589882496886</v>
      </c>
      <c r="V255" s="579">
        <f t="shared" si="124"/>
        <v>-0.70144434553786184</v>
      </c>
      <c r="W255" s="580">
        <f t="shared" si="112"/>
        <v>-11.584283030701698</v>
      </c>
      <c r="X255" s="581">
        <f t="shared" si="113"/>
        <v>-158.80337971403452</v>
      </c>
      <c r="Y255" s="584">
        <f t="shared" si="114"/>
        <v>21.19662028596548</v>
      </c>
      <c r="AA255" s="147">
        <f t="shared" si="115"/>
        <v>15668.5</v>
      </c>
      <c r="AB255" s="147">
        <f t="shared" si="116"/>
        <v>245501892.25</v>
      </c>
      <c r="AD255" s="583">
        <f t="shared" si="117"/>
        <v>30.132819103553004</v>
      </c>
      <c r="AE255" s="584">
        <f t="shared" si="118"/>
        <v>-18.196153656659025</v>
      </c>
      <c r="AG255" s="583">
        <f t="shared" si="119"/>
        <v>16.235468433124531</v>
      </c>
      <c r="AH255" s="584">
        <f t="shared" si="120"/>
        <v>-60.227624840257114</v>
      </c>
      <c r="AJ255" s="147">
        <f t="shared" si="121"/>
        <v>0</v>
      </c>
      <c r="AK255" s="147">
        <f t="shared" si="133"/>
        <v>0</v>
      </c>
      <c r="AM255" s="147" t="str">
        <f t="shared" si="125"/>
        <v>0.533823153287507+0.884691555057013i</v>
      </c>
      <c r="AN255" s="147" t="str">
        <f t="shared" si="126"/>
        <v>1.08583194715518i</v>
      </c>
      <c r="AO255" s="147" t="str">
        <f t="shared" si="127"/>
        <v>0.81475918752884-0.491625941459997i</v>
      </c>
      <c r="AP255" s="147" t="str">
        <f t="shared" si="128"/>
        <v>0.0776961411187488-0.147448592509502i</v>
      </c>
      <c r="AQ255" s="147" t="str">
        <f t="shared" si="129"/>
        <v>0.922303858881251+0.147448592509502i</v>
      </c>
      <c r="AR255" s="147" t="str">
        <f t="shared" si="130"/>
        <v>0.880664704279932-0.140791746525254i</v>
      </c>
    </row>
    <row r="256" spans="7:44">
      <c r="G256" s="585">
        <v>15758.75</v>
      </c>
      <c r="H256" s="573">
        <f t="shared" si="122"/>
        <v>15.758749999999999</v>
      </c>
      <c r="I256" s="574">
        <f t="shared" si="102"/>
        <v>137.18473856762458</v>
      </c>
      <c r="J256" s="575">
        <f t="shared" si="103"/>
        <v>1.5635068216601147</v>
      </c>
      <c r="K256" s="575">
        <f t="shared" si="104"/>
        <v>1.0005336853467417</v>
      </c>
      <c r="L256" s="576">
        <f t="shared" si="105"/>
        <v>3.2663377190436063E-2</v>
      </c>
      <c r="M256" s="575">
        <f t="shared" si="106"/>
        <v>1.0253580561580249</v>
      </c>
      <c r="N256" s="576">
        <f t="shared" si="107"/>
        <v>-0.22286113173427355</v>
      </c>
      <c r="O256" s="574">
        <f t="shared" si="108"/>
        <v>297045.4390408083</v>
      </c>
      <c r="P256" s="577">
        <f t="shared" si="109"/>
        <v>1.5707929603065802</v>
      </c>
      <c r="Q256" s="586">
        <f t="shared" si="131"/>
        <v>55.457498600277106</v>
      </c>
      <c r="R256" s="587">
        <f t="shared" si="132"/>
        <v>1.5527635228585475</v>
      </c>
      <c r="S256" s="574">
        <f t="shared" si="110"/>
        <v>1.0470995134061289</v>
      </c>
      <c r="T256" s="577">
        <f t="shared" si="111"/>
        <v>0.30107225604828614</v>
      </c>
      <c r="U256" s="578">
        <f t="shared" si="123"/>
        <v>0.84728790808917065</v>
      </c>
      <c r="V256" s="579">
        <f t="shared" si="124"/>
        <v>-0.7049257166917301</v>
      </c>
      <c r="W256" s="580">
        <f t="shared" si="112"/>
        <v>-11.650288220275417</v>
      </c>
      <c r="X256" s="581">
        <f t="shared" si="113"/>
        <v>-159.15231962061031</v>
      </c>
      <c r="Y256" s="584">
        <f t="shared" si="114"/>
        <v>20.847680379389686</v>
      </c>
      <c r="AA256" s="147">
        <f t="shared" si="115"/>
        <v>15758.75</v>
      </c>
      <c r="AB256" s="147">
        <f t="shared" si="116"/>
        <v>248338201.5625</v>
      </c>
      <c r="AD256" s="583">
        <f t="shared" si="117"/>
        <v>30.128438716415435</v>
      </c>
      <c r="AE256" s="584">
        <f t="shared" si="118"/>
        <v>-18.28318029370784</v>
      </c>
      <c r="AG256" s="583">
        <f t="shared" si="119"/>
        <v>16.202278051263413</v>
      </c>
      <c r="AH256" s="584">
        <f t="shared" si="120"/>
        <v>-60.090602361257737</v>
      </c>
      <c r="AJ256" s="147">
        <f t="shared" si="121"/>
        <v>0</v>
      </c>
      <c r="AK256" s="147">
        <f t="shared" si="133"/>
        <v>0</v>
      </c>
      <c r="AM256" s="147" t="str">
        <f t="shared" si="125"/>
        <v>0.539365408353841+0.887589867550873i</v>
      </c>
      <c r="AN256" s="147" t="str">
        <f t="shared" si="126"/>
        <v>1.09208630036262i</v>
      </c>
      <c r="AO256" s="147" t="str">
        <f t="shared" si="127"/>
        <v>0.812747002921065-0.493885335046093i</v>
      </c>
      <c r="AP256" s="147" t="str">
        <f t="shared" si="128"/>
        <v>0.0767724319410265-0.147931644591812i</v>
      </c>
      <c r="AQ256" s="147" t="str">
        <f t="shared" si="129"/>
        <v>0.923227568058974+0.147931644591812i</v>
      </c>
      <c r="AR256" s="147" t="str">
        <f t="shared" si="130"/>
        <v>0.879683837075086-0.140954496206119i</v>
      </c>
    </row>
    <row r="257" spans="7:44">
      <c r="G257" s="585">
        <v>15849</v>
      </c>
      <c r="H257" s="573">
        <f t="shared" si="122"/>
        <v>15.849</v>
      </c>
      <c r="I257" s="574">
        <f t="shared" si="102"/>
        <v>137.97035079300403</v>
      </c>
      <c r="J257" s="575">
        <f t="shared" si="103"/>
        <v>1.5635483293093217</v>
      </c>
      <c r="K257" s="575">
        <f t="shared" si="104"/>
        <v>1.000539814004463</v>
      </c>
      <c r="L257" s="576">
        <f t="shared" si="105"/>
        <v>3.2850305436519893E-2</v>
      </c>
      <c r="M257" s="575">
        <f t="shared" si="106"/>
        <v>1.0256456956922404</v>
      </c>
      <c r="N257" s="576">
        <f t="shared" si="107"/>
        <v>-0.2240952634995893</v>
      </c>
      <c r="O257" s="574">
        <f t="shared" si="108"/>
        <v>298746.61146077368</v>
      </c>
      <c r="P257" s="577">
        <f t="shared" si="109"/>
        <v>1.5707929794765954</v>
      </c>
      <c r="Q257" s="586">
        <f t="shared" si="131"/>
        <v>55.774999449535485</v>
      </c>
      <c r="R257" s="587">
        <f t="shared" si="132"/>
        <v>1.552866186166715</v>
      </c>
      <c r="S257" s="574">
        <f t="shared" si="110"/>
        <v>1.0476282325683861</v>
      </c>
      <c r="T257" s="577">
        <f t="shared" si="111"/>
        <v>0.30269334994673364</v>
      </c>
      <c r="U257" s="578">
        <f t="shared" si="123"/>
        <v>0.84589824649538148</v>
      </c>
      <c r="V257" s="579">
        <f t="shared" si="124"/>
        <v>-0.70839972687309227</v>
      </c>
      <c r="W257" s="580">
        <f t="shared" si="112"/>
        <v>-11.716056542453369</v>
      </c>
      <c r="X257" s="581">
        <f t="shared" si="113"/>
        <v>-159.50074506011381</v>
      </c>
      <c r="Y257" s="584">
        <f t="shared" si="114"/>
        <v>20.499254939886185</v>
      </c>
      <c r="AA257" s="147">
        <f t="shared" si="115"/>
        <v>15849</v>
      </c>
      <c r="AB257" s="147">
        <f t="shared" si="116"/>
        <v>251190801</v>
      </c>
      <c r="AD257" s="583">
        <f t="shared" si="117"/>
        <v>30.124037961098864</v>
      </c>
      <c r="AE257" s="584">
        <f t="shared" si="118"/>
        <v>-18.370181056474816</v>
      </c>
      <c r="AG257" s="583">
        <f t="shared" si="119"/>
        <v>16.169425836752364</v>
      </c>
      <c r="AH257" s="584">
        <f t="shared" si="120"/>
        <v>-59.953934794784352</v>
      </c>
      <c r="AJ257" s="147">
        <f t="shared" si="121"/>
        <v>0</v>
      </c>
      <c r="AK257" s="147">
        <f t="shared" si="133"/>
        <v>0</v>
      </c>
      <c r="AM257" s="147" t="str">
        <f t="shared" si="125"/>
        <v>0.544925681974378+0.890453460363603i</v>
      </c>
      <c r="AN257" s="147" t="str">
        <f t="shared" si="126"/>
        <v>1.09834065357006i</v>
      </c>
      <c r="AO257" s="147" t="str">
        <f t="shared" si="127"/>
        <v>0.810726123511191-0.496135402257164i</v>
      </c>
      <c r="AP257" s="147" t="str">
        <f t="shared" si="128"/>
        <v>0.075845719670937-0.148408910060601i</v>
      </c>
      <c r="AQ257" s="147" t="str">
        <f t="shared" si="129"/>
        <v>0.924154280329063+0.148408910060601i</v>
      </c>
      <c r="AR257" s="147" t="str">
        <f t="shared" si="130"/>
        <v>0.878703937888687-0.141110090018286i</v>
      </c>
    </row>
    <row r="258" spans="7:44">
      <c r="G258" s="585">
        <v>15941.25</v>
      </c>
      <c r="H258" s="573">
        <f t="shared" si="122"/>
        <v>15.94125</v>
      </c>
      <c r="I258" s="574">
        <f t="shared" si="102"/>
        <v>138.7733729504433</v>
      </c>
      <c r="J258" s="575">
        <f t="shared" si="103"/>
        <v>1.563590271098972</v>
      </c>
      <c r="K258" s="575">
        <f t="shared" si="104"/>
        <v>1.0005461146086212</v>
      </c>
      <c r="L258" s="576">
        <f t="shared" si="105"/>
        <v>3.3041373763288868E-2</v>
      </c>
      <c r="M258" s="575">
        <f t="shared" si="106"/>
        <v>1.0259413230453995</v>
      </c>
      <c r="N258" s="576">
        <f t="shared" si="107"/>
        <v>-0.22535602728368034</v>
      </c>
      <c r="O258" s="574">
        <f t="shared" si="108"/>
        <v>300485.48299253901</v>
      </c>
      <c r="P258" s="577">
        <f t="shared" si="109"/>
        <v>1.5707929988471034</v>
      </c>
      <c r="Q258" s="586">
        <f t="shared" si="131"/>
        <v>56.099536929281292</v>
      </c>
      <c r="R258" s="587">
        <f t="shared" si="132"/>
        <v>1.5529699235811547</v>
      </c>
      <c r="S258" s="574">
        <f t="shared" si="110"/>
        <v>1.0481715108939942</v>
      </c>
      <c r="T258" s="577">
        <f t="shared" si="111"/>
        <v>0.30434867371056007</v>
      </c>
      <c r="U258" s="578">
        <f t="shared" si="123"/>
        <v>0.84447612354520163</v>
      </c>
      <c r="V258" s="579">
        <f t="shared" si="124"/>
        <v>-0.71194312373678503</v>
      </c>
      <c r="W258" s="580">
        <f t="shared" si="112"/>
        <v>-11.783040399359709</v>
      </c>
      <c r="X258" s="581">
        <f t="shared" si="113"/>
        <v>-159.85635932776904</v>
      </c>
      <c r="Y258" s="584">
        <f t="shared" si="114"/>
        <v>20.143640672230958</v>
      </c>
      <c r="AA258" s="147">
        <f t="shared" si="115"/>
        <v>15941.25</v>
      </c>
      <c r="AB258" s="147">
        <f t="shared" si="116"/>
        <v>254123451.5625</v>
      </c>
      <c r="AD258" s="583">
        <f t="shared" si="117"/>
        <v>30.11951869500345</v>
      </c>
      <c r="AE258" s="584">
        <f t="shared" si="118"/>
        <v>-18.459081515794729</v>
      </c>
      <c r="AG258" s="583">
        <f t="shared" si="119"/>
        <v>16.136191234588402</v>
      </c>
      <c r="AH258" s="584">
        <f t="shared" si="120"/>
        <v>-59.814605231796712</v>
      </c>
      <c r="AJ258" s="147">
        <f t="shared" si="121"/>
        <v>0</v>
      </c>
      <c r="AK258" s="147">
        <f t="shared" si="133"/>
        <v>0</v>
      </c>
      <c r="AM258" s="147" t="str">
        <f t="shared" si="125"/>
        <v>0.550627570440296+0.893344513360668i</v>
      </c>
      <c r="AN258" s="147" t="str">
        <f t="shared" si="126"/>
        <v>1.10473360740259i</v>
      </c>
      <c r="AO258" s="147" t="str">
        <f t="shared" si="127"/>
        <v>0.808651522298726-0.498425653705704i</v>
      </c>
      <c r="AP258" s="147" t="str">
        <f t="shared" si="128"/>
        <v>0.0748954049266173-0.148890752226778i</v>
      </c>
      <c r="AQ258" s="147" t="str">
        <f t="shared" si="129"/>
        <v>0.925104595073383+0.148890752226778i</v>
      </c>
      <c r="AR258" s="147" t="str">
        <f t="shared" si="130"/>
        <v>0.877703378123895-0.141261773962418i</v>
      </c>
    </row>
    <row r="259" spans="7:44">
      <c r="G259" s="585">
        <v>16033.5</v>
      </c>
      <c r="H259" s="573">
        <f t="shared" si="122"/>
        <v>16.0335</v>
      </c>
      <c r="I259" s="574">
        <f t="shared" si="102"/>
        <v>139.57639534919176</v>
      </c>
      <c r="J259" s="575">
        <f t="shared" si="103"/>
        <v>1.5636317302827862</v>
      </c>
      <c r="K259" s="575">
        <f t="shared" si="104"/>
        <v>1.0005524517393609</v>
      </c>
      <c r="L259" s="576">
        <f t="shared" si="105"/>
        <v>3.323243967672021E-2</v>
      </c>
      <c r="M259" s="575">
        <f t="shared" si="106"/>
        <v>1.026238580217214</v>
      </c>
      <c r="N259" s="576">
        <f t="shared" si="107"/>
        <v>-0.22661606269159515</v>
      </c>
      <c r="O259" s="574">
        <f t="shared" si="108"/>
        <v>302224.35452430445</v>
      </c>
      <c r="P259" s="577">
        <f t="shared" si="109"/>
        <v>1.570793017994712</v>
      </c>
      <c r="Q259" s="586">
        <f t="shared" si="131"/>
        <v>56.424075005794727</v>
      </c>
      <c r="R259" s="587">
        <f t="shared" si="132"/>
        <v>1.5530724676500194</v>
      </c>
      <c r="S259" s="574">
        <f t="shared" si="110"/>
        <v>1.0487176583306583</v>
      </c>
      <c r="T259" s="577">
        <f t="shared" si="111"/>
        <v>0.30600227789430368</v>
      </c>
      <c r="U259" s="578">
        <f t="shared" si="123"/>
        <v>0.84305237864521088</v>
      </c>
      <c r="V259" s="579">
        <f t="shared" si="124"/>
        <v>-0.71547884595554723</v>
      </c>
      <c r="W259" s="580">
        <f t="shared" si="112"/>
        <v>-11.849782530509605</v>
      </c>
      <c r="X259" s="581">
        <f t="shared" si="113"/>
        <v>-160.21143446098807</v>
      </c>
      <c r="Y259" s="584">
        <f t="shared" si="114"/>
        <v>19.788565539011927</v>
      </c>
      <c r="AA259" s="147">
        <f t="shared" si="115"/>
        <v>16033.5</v>
      </c>
      <c r="AB259" s="147">
        <f t="shared" si="116"/>
        <v>257073122.25</v>
      </c>
      <c r="AD259" s="583">
        <f t="shared" si="117"/>
        <v>30.114978276432254</v>
      </c>
      <c r="AE259" s="584">
        <f t="shared" si="118"/>
        <v>-18.547951811327078</v>
      </c>
      <c r="AG259" s="583">
        <f t="shared" si="119"/>
        <v>16.10330219789568</v>
      </c>
      <c r="AH259" s="584">
        <f t="shared" si="120"/>
        <v>-59.675646147688965</v>
      </c>
      <c r="AJ259" s="147">
        <f t="shared" si="121"/>
        <v>0</v>
      </c>
      <c r="AK259" s="147">
        <f t="shared" si="133"/>
        <v>0</v>
      </c>
      <c r="AM259" s="147" t="str">
        <f t="shared" si="125"/>
        <v>0.556347824631374+0.896199055618051i</v>
      </c>
      <c r="AN259" s="147" t="str">
        <f t="shared" si="126"/>
        <v>1.11112656123513i</v>
      </c>
      <c r="AO259" s="147" t="str">
        <f t="shared" si="127"/>
        <v>0.806567934639088-0.50070607979431i</v>
      </c>
      <c r="AP259" s="147" t="str">
        <f t="shared" si="128"/>
        <v>0.0739420292281043-0.149366509269675i</v>
      </c>
      <c r="AQ259" s="147" t="str">
        <f t="shared" si="129"/>
        <v>0.926057970771896+0.149366509269675i</v>
      </c>
      <c r="AR259" s="147" t="str">
        <f t="shared" si="130"/>
        <v>0.876703939025468-0.141406057901599i</v>
      </c>
    </row>
    <row r="260" spans="7:44">
      <c r="G260" s="585">
        <v>16125.75</v>
      </c>
      <c r="H260" s="573">
        <f t="shared" si="122"/>
        <v>16.12575</v>
      </c>
      <c r="I260" s="574">
        <f t="shared" si="102"/>
        <v>140.37941798510826</v>
      </c>
      <c r="J260" s="575">
        <f t="shared" si="103"/>
        <v>1.5636727151426768</v>
      </c>
      <c r="K260" s="575">
        <f t="shared" si="104"/>
        <v>1.0005588253959885</v>
      </c>
      <c r="L260" s="576">
        <f t="shared" si="105"/>
        <v>3.3423503162909721E-2</v>
      </c>
      <c r="M260" s="575">
        <f t="shared" si="106"/>
        <v>1.0265374657918311</v>
      </c>
      <c r="N260" s="576">
        <f t="shared" si="107"/>
        <v>-0.22787536635674277</v>
      </c>
      <c r="O260" s="574">
        <f t="shared" si="108"/>
        <v>303963.22605606995</v>
      </c>
      <c r="P260" s="577">
        <f t="shared" si="109"/>
        <v>1.5707930369232468</v>
      </c>
      <c r="Q260" s="586">
        <f t="shared" si="131"/>
        <v>56.748613668837244</v>
      </c>
      <c r="R260" s="587">
        <f t="shared" si="132"/>
        <v>1.5531738388449441</v>
      </c>
      <c r="S260" s="574">
        <f t="shared" si="110"/>
        <v>1.0492666703982281</v>
      </c>
      <c r="T260" s="577">
        <f t="shared" si="111"/>
        <v>0.30765415614694014</v>
      </c>
      <c r="U260" s="578">
        <f t="shared" si="123"/>
        <v>0.84162707350219468</v>
      </c>
      <c r="V260" s="579">
        <f t="shared" si="124"/>
        <v>-0.71900690233822817</v>
      </c>
      <c r="W260" s="580">
        <f t="shared" si="112"/>
        <v>-11.916285761717337</v>
      </c>
      <c r="X260" s="581">
        <f t="shared" si="113"/>
        <v>-160.56596971029856</v>
      </c>
      <c r="Y260" s="584">
        <f t="shared" si="114"/>
        <v>19.43403028970144</v>
      </c>
      <c r="AA260" s="147">
        <f t="shared" si="115"/>
        <v>16125.75</v>
      </c>
      <c r="AB260" s="147">
        <f t="shared" si="116"/>
        <v>260039813.0625</v>
      </c>
      <c r="AD260" s="583">
        <f t="shared" si="117"/>
        <v>30.110416770837901</v>
      </c>
      <c r="AE260" s="584">
        <f t="shared" si="118"/>
        <v>-18.636790406465874</v>
      </c>
      <c r="AG260" s="583">
        <f t="shared" si="119"/>
        <v>16.07075489769856</v>
      </c>
      <c r="AH260" s="584">
        <f t="shared" si="120"/>
        <v>-59.537057320175059</v>
      </c>
      <c r="AJ260" s="147">
        <f t="shared" si="121"/>
        <v>0</v>
      </c>
      <c r="AK260" s="147">
        <f t="shared" si="133"/>
        <v>0</v>
      </c>
      <c r="AM260" s="147" t="str">
        <f t="shared" si="125"/>
        <v>0.562086210762411+0.899016970471401i</v>
      </c>
      <c r="AN260" s="147" t="str">
        <f t="shared" si="126"/>
        <v>1.11751951506766i</v>
      </c>
      <c r="AO260" s="147" t="str">
        <f t="shared" si="127"/>
        <v>0.804475410361823-0.502976639945639i</v>
      </c>
      <c r="AP260" s="147" t="str">
        <f t="shared" si="128"/>
        <v>0.0729856315395982-0.149836161745233i</v>
      </c>
      <c r="AQ260" s="147" t="str">
        <f t="shared" si="129"/>
        <v>0.927014368460402+0.149836161745233i</v>
      </c>
      <c r="AR260" s="147" t="str">
        <f t="shared" si="130"/>
        <v>0.875705674721023-0.141542980975189i</v>
      </c>
    </row>
    <row r="261" spans="7:44">
      <c r="G261" s="585">
        <v>16218</v>
      </c>
      <c r="H261" s="573">
        <f t="shared" si="122"/>
        <v>16.218</v>
      </c>
      <c r="I261" s="574">
        <f t="shared" si="102"/>
        <v>141.18244085414591</v>
      </c>
      <c r="J261" s="575">
        <f t="shared" si="103"/>
        <v>1.5637132337721378</v>
      </c>
      <c r="K261" s="575">
        <f t="shared" si="104"/>
        <v>1.0005652355778059</v>
      </c>
      <c r="L261" s="576">
        <f t="shared" si="105"/>
        <v>3.3614564207954292E-2</v>
      </c>
      <c r="M261" s="575">
        <f t="shared" si="106"/>
        <v>1.0268379783472952</v>
      </c>
      <c r="N261" s="576">
        <f t="shared" si="107"/>
        <v>-0.22913393492572459</v>
      </c>
      <c r="O261" s="574">
        <f t="shared" si="108"/>
        <v>305702.09758783563</v>
      </c>
      <c r="P261" s="577">
        <f t="shared" si="109"/>
        <v>1.5707930556364456</v>
      </c>
      <c r="Q261" s="586">
        <f t="shared" si="131"/>
        <v>57.073152908403202</v>
      </c>
      <c r="R261" s="587">
        <f t="shared" si="132"/>
        <v>1.5532740571720238</v>
      </c>
      <c r="S261" s="574">
        <f t="shared" si="110"/>
        <v>1.0498185426024496</v>
      </c>
      <c r="T261" s="577">
        <f t="shared" si="111"/>
        <v>0.30930430216837201</v>
      </c>
      <c r="U261" s="578">
        <f t="shared" si="123"/>
        <v>0.84020026924142688</v>
      </c>
      <c r="V261" s="579">
        <f t="shared" si="124"/>
        <v>-0.72252730210626503</v>
      </c>
      <c r="W261" s="580">
        <f t="shared" si="112"/>
        <v>-11.982552864239542</v>
      </c>
      <c r="X261" s="581">
        <f t="shared" si="113"/>
        <v>-160.91996436941434</v>
      </c>
      <c r="Y261" s="584">
        <f t="shared" si="114"/>
        <v>19.080035630585655</v>
      </c>
      <c r="AA261" s="147">
        <f t="shared" si="115"/>
        <v>16218</v>
      </c>
      <c r="AB261" s="147">
        <f t="shared" si="116"/>
        <v>263023524</v>
      </c>
      <c r="AD261" s="583">
        <f t="shared" si="117"/>
        <v>30.105834244012151</v>
      </c>
      <c r="AE261" s="584">
        <f t="shared" si="118"/>
        <v>-18.725595794191474</v>
      </c>
      <c r="AG261" s="583">
        <f t="shared" si="119"/>
        <v>16.038545564798742</v>
      </c>
      <c r="AH261" s="584">
        <f t="shared" si="120"/>
        <v>-59.39883849328961</v>
      </c>
      <c r="AJ261" s="147">
        <f t="shared" si="121"/>
        <v>0</v>
      </c>
      <c r="AK261" s="147">
        <f t="shared" si="133"/>
        <v>0</v>
      </c>
      <c r="AM261" s="147" t="str">
        <f t="shared" si="125"/>
        <v>0.567842494307192+0.901798142753338i</v>
      </c>
      <c r="AN261" s="147" t="str">
        <f t="shared" si="126"/>
        <v>1.1239124689002i</v>
      </c>
      <c r="AO261" s="147" t="str">
        <f t="shared" si="127"/>
        <v>0.802373999494631-0.505237293846248i</v>
      </c>
      <c r="AP261" s="147" t="str">
        <f t="shared" si="128"/>
        <v>0.0720262509488013-0.15029969045889i</v>
      </c>
      <c r="AQ261" s="147" t="str">
        <f t="shared" si="129"/>
        <v>0.927973749051199+0.15029969045889i</v>
      </c>
      <c r="AR261" s="147" t="str">
        <f t="shared" si="130"/>
        <v>0.87470863859784-0.141672582610652i</v>
      </c>
    </row>
    <row r="262" spans="7:44">
      <c r="G262" s="585">
        <v>16312.5</v>
      </c>
      <c r="H262" s="573">
        <f t="shared" si="122"/>
        <v>16.3125</v>
      </c>
      <c r="I262" s="574">
        <f t="shared" si="102"/>
        <v>142.00504988440389</v>
      </c>
      <c r="J262" s="575">
        <f t="shared" si="103"/>
        <v>1.5637542655022427</v>
      </c>
      <c r="K262" s="575">
        <f t="shared" si="104"/>
        <v>1.0005718399771284</v>
      </c>
      <c r="L262" s="576">
        <f t="shared" si="105"/>
        <v>3.3810282732774533E-2</v>
      </c>
      <c r="M262" s="575">
        <f t="shared" si="106"/>
        <v>1.0271475059729773</v>
      </c>
      <c r="N262" s="576">
        <f t="shared" si="107"/>
        <v>-0.23042243458905798</v>
      </c>
      <c r="O262" s="574">
        <f t="shared" si="108"/>
        <v>307483.38062037609</v>
      </c>
      <c r="P262" s="577">
        <f t="shared" si="109"/>
        <v>1.570793074586605</v>
      </c>
      <c r="Q262" s="586">
        <f t="shared" si="131"/>
        <v>57.405608326744257</v>
      </c>
      <c r="R262" s="587">
        <f t="shared" si="132"/>
        <v>1.5533755448966231</v>
      </c>
      <c r="S262" s="574">
        <f t="shared" si="110"/>
        <v>1.0503868360182935</v>
      </c>
      <c r="T262" s="577">
        <f t="shared" si="111"/>
        <v>0.31099289300098715</v>
      </c>
      <c r="U262" s="578">
        <f t="shared" si="123"/>
        <v>0.83873717375005818</v>
      </c>
      <c r="V262" s="579">
        <f t="shared" si="124"/>
        <v>-0.72612563633834459</v>
      </c>
      <c r="W262" s="580">
        <f t="shared" si="112"/>
        <v>-12.050194240630496</v>
      </c>
      <c r="X262" s="581">
        <f t="shared" si="113"/>
        <v>-161.28203182223865</v>
      </c>
      <c r="Y262" s="584">
        <f t="shared" si="114"/>
        <v>18.71796817776135</v>
      </c>
      <c r="AA262" s="147">
        <f t="shared" si="115"/>
        <v>16312.5</v>
      </c>
      <c r="AB262" s="147">
        <f t="shared" si="116"/>
        <v>266097656.25</v>
      </c>
      <c r="AD262" s="583">
        <f t="shared" si="117"/>
        <v>30.101118220805809</v>
      </c>
      <c r="AE262" s="584">
        <f t="shared" si="118"/>
        <v>-18.816531189800948</v>
      </c>
      <c r="AG262" s="583">
        <f t="shared" si="119"/>
        <v>16.005897192422346</v>
      </c>
      <c r="AH262" s="584">
        <f t="shared" si="120"/>
        <v>-59.257631820482089</v>
      </c>
      <c r="AJ262" s="147">
        <f t="shared" si="121"/>
        <v>0</v>
      </c>
      <c r="AK262" s="147">
        <f t="shared" si="133"/>
        <v>0</v>
      </c>
      <c r="AM262" s="147" t="str">
        <f t="shared" si="125"/>
        <v>0.573757486609718+0.904608931958299i</v>
      </c>
      <c r="AN262" s="147" t="str">
        <f t="shared" si="126"/>
        <v>1.13046134843596i</v>
      </c>
      <c r="AO262" s="147" t="str">
        <f t="shared" si="127"/>
        <v>0.800212172853024-0.507542772164245i</v>
      </c>
      <c r="AP262" s="147" t="str">
        <f t="shared" si="128"/>
        <v>0.0710404188983803-0.150768155326383i</v>
      </c>
      <c r="AQ262" s="147" t="str">
        <f t="shared" si="129"/>
        <v>0.92895958110162+0.150768155326383i</v>
      </c>
      <c r="AR262" s="147" t="str">
        <f t="shared" si="130"/>
        <v>0.873688613030812-0.141797795292788i</v>
      </c>
    </row>
    <row r="263" spans="7:44">
      <c r="G263" s="585">
        <v>16407</v>
      </c>
      <c r="H263" s="573">
        <f t="shared" si="122"/>
        <v>16.407</v>
      </c>
      <c r="I263" s="574">
        <f t="shared" si="102"/>
        <v>142.82765915098801</v>
      </c>
      <c r="J263" s="575">
        <f t="shared" si="103"/>
        <v>1.563794824591729</v>
      </c>
      <c r="K263" s="575">
        <f t="shared" si="104"/>
        <v>1.0005784827035902</v>
      </c>
      <c r="L263" s="576">
        <f t="shared" si="105"/>
        <v>3.4005998666385789E-2</v>
      </c>
      <c r="M263" s="575">
        <f t="shared" si="106"/>
        <v>1.0274587378720685</v>
      </c>
      <c r="N263" s="576">
        <f t="shared" si="107"/>
        <v>-0.23171015577939633</v>
      </c>
      <c r="O263" s="574">
        <f t="shared" si="108"/>
        <v>309264.66365291673</v>
      </c>
      <c r="P263" s="577">
        <f t="shared" si="109"/>
        <v>1.5707930933184684</v>
      </c>
      <c r="Q263" s="586">
        <f t="shared" si="131"/>
        <v>57.738064329540201</v>
      </c>
      <c r="R263" s="587">
        <f t="shared" si="132"/>
        <v>1.5534758638888064</v>
      </c>
      <c r="S263" s="574">
        <f t="shared" si="110"/>
        <v>1.0509581211990768</v>
      </c>
      <c r="T263" s="577">
        <f t="shared" si="111"/>
        <v>0.31267965285312982</v>
      </c>
      <c r="U263" s="578">
        <f t="shared" si="123"/>
        <v>0.83727263309924871</v>
      </c>
      <c r="V263" s="579">
        <f t="shared" si="124"/>
        <v>-0.72971595679970136</v>
      </c>
      <c r="W263" s="580">
        <f t="shared" si="112"/>
        <v>-12.117593546677867</v>
      </c>
      <c r="X263" s="581">
        <f t="shared" si="113"/>
        <v>-161.64353062823145</v>
      </c>
      <c r="Y263" s="584">
        <f t="shared" si="114"/>
        <v>18.356469371768554</v>
      </c>
      <c r="AA263" s="147">
        <f t="shared" si="115"/>
        <v>16407</v>
      </c>
      <c r="AB263" s="147">
        <f t="shared" si="116"/>
        <v>269189649</v>
      </c>
      <c r="AD263" s="583">
        <f t="shared" si="117"/>
        <v>30.096380279252337</v>
      </c>
      <c r="AE263" s="584">
        <f t="shared" si="118"/>
        <v>-18.907428628884301</v>
      </c>
      <c r="AG263" s="583">
        <f t="shared" si="119"/>
        <v>15.973595654342743</v>
      </c>
      <c r="AH263" s="584">
        <f t="shared" si="120"/>
        <v>-59.116812767850995</v>
      </c>
      <c r="AJ263" s="147">
        <f t="shared" si="121"/>
        <v>0</v>
      </c>
      <c r="AK263" s="147">
        <f t="shared" si="133"/>
        <v>0</v>
      </c>
      <c r="AM263" s="147" t="str">
        <f t="shared" si="125"/>
        <v>0.579690759460462+0.907380924594008i</v>
      </c>
      <c r="AN263" s="147" t="str">
        <f t="shared" si="126"/>
        <v>1.13701022797173i</v>
      </c>
      <c r="AO263" s="147" t="str">
        <f t="shared" si="127"/>
        <v>0.798041127750144-0.509837770320282i</v>
      </c>
      <c r="AP263" s="147" t="str">
        <f t="shared" si="128"/>
        <v>0.070051540089923-0.151230154099001i</v>
      </c>
      <c r="AQ263" s="147" t="str">
        <f t="shared" si="129"/>
        <v>0.929948459910077+0.151230154099001i</v>
      </c>
      <c r="AR263" s="147" t="str">
        <f t="shared" si="130"/>
        <v>0.872669987329037-0.141915409671311i</v>
      </c>
    </row>
    <row r="264" spans="7:44">
      <c r="G264" s="585">
        <v>16501.5</v>
      </c>
      <c r="H264" s="573">
        <f t="shared" si="122"/>
        <v>16.5015</v>
      </c>
      <c r="I264" s="574">
        <f t="shared" si="102"/>
        <v>143.65026864983835</v>
      </c>
      <c r="J264" s="575">
        <f t="shared" si="103"/>
        <v>1.5638349191601548</v>
      </c>
      <c r="K264" s="575">
        <f t="shared" si="104"/>
        <v>1.0005851637564271</v>
      </c>
      <c r="L264" s="576">
        <f t="shared" si="105"/>
        <v>3.4201711993846133E-2</v>
      </c>
      <c r="M264" s="575">
        <f t="shared" si="106"/>
        <v>1.0277716724962944</v>
      </c>
      <c r="N264" s="576">
        <f t="shared" si="107"/>
        <v>-0.23299709493523837</v>
      </c>
      <c r="O264" s="574">
        <f t="shared" si="108"/>
        <v>311045.94668545749</v>
      </c>
      <c r="P264" s="577">
        <f t="shared" si="109"/>
        <v>1.5707931118357863</v>
      </c>
      <c r="Q264" s="586">
        <f t="shared" si="131"/>
        <v>58.070520906752968</v>
      </c>
      <c r="R264" s="587">
        <f t="shared" si="132"/>
        <v>1.5535750342196881</v>
      </c>
      <c r="S264" s="574">
        <f t="shared" si="110"/>
        <v>1.0515323932686278</v>
      </c>
      <c r="T264" s="577">
        <f t="shared" si="111"/>
        <v>0.31436457511869881</v>
      </c>
      <c r="U264" s="578">
        <f t="shared" si="123"/>
        <v>0.83580671109472504</v>
      </c>
      <c r="V264" s="579">
        <f t="shared" si="124"/>
        <v>-0.73329827471247633</v>
      </c>
      <c r="W264" s="580">
        <f t="shared" si="112"/>
        <v>-12.184753591866404</v>
      </c>
      <c r="X264" s="581">
        <f t="shared" si="113"/>
        <v>-162.00446016411058</v>
      </c>
      <c r="Y264" s="584">
        <f t="shared" si="114"/>
        <v>17.995539835889417</v>
      </c>
      <c r="AA264" s="147">
        <f t="shared" si="115"/>
        <v>16501.5</v>
      </c>
      <c r="AB264" s="147">
        <f t="shared" si="116"/>
        <v>272299502.25</v>
      </c>
      <c r="AD264" s="583">
        <f t="shared" si="117"/>
        <v>30.091620491122594</v>
      </c>
      <c r="AE264" s="584">
        <f t="shared" si="118"/>
        <v>-18.998286583164575</v>
      </c>
      <c r="AG264" s="583">
        <f t="shared" si="119"/>
        <v>15.941637085663645</v>
      </c>
      <c r="AH264" s="584">
        <f t="shared" si="120"/>
        <v>-58.976380954428542</v>
      </c>
      <c r="AJ264" s="147">
        <f t="shared" si="121"/>
        <v>0</v>
      </c>
      <c r="AK264" s="147">
        <f t="shared" si="133"/>
        <v>0</v>
      </c>
      <c r="AM264" s="147" t="str">
        <f t="shared" si="125"/>
        <v>0.585642058395168+0.910114001776155i</v>
      </c>
      <c r="AN264" s="147" t="str">
        <f t="shared" si="126"/>
        <v>1.1435591075075i</v>
      </c>
      <c r="AO264" s="147" t="str">
        <f t="shared" si="127"/>
        <v>0.795860918601609-0.512122245846682i</v>
      </c>
      <c r="AP264" s="147" t="str">
        <f t="shared" si="128"/>
        <v>0.0690596569341387-0.151685666962693i</v>
      </c>
      <c r="AQ264" s="147" t="str">
        <f t="shared" si="129"/>
        <v>0.930940343065861+0.151685666962693i</v>
      </c>
      <c r="AR264" s="147" t="str">
        <f t="shared" si="130"/>
        <v>0.871652816482109-0.142025468992533i</v>
      </c>
    </row>
    <row r="265" spans="7:44">
      <c r="G265" s="585">
        <v>16596</v>
      </c>
      <c r="H265" s="573">
        <f t="shared" si="122"/>
        <v>16.596</v>
      </c>
      <c r="I265" s="574">
        <f t="shared" si="102"/>
        <v>144.47287837698747</v>
      </c>
      <c r="J265" s="575">
        <f t="shared" si="103"/>
        <v>1.5638745571421566</v>
      </c>
      <c r="K265" s="575">
        <f t="shared" si="104"/>
        <v>1.0005918831348721</v>
      </c>
      <c r="L265" s="576">
        <f t="shared" si="105"/>
        <v>3.4397422700214834E-2</v>
      </c>
      <c r="M265" s="575">
        <f t="shared" si="106"/>
        <v>1.0280863082908001</v>
      </c>
      <c r="N265" s="576">
        <f t="shared" si="107"/>
        <v>-0.23428324850976892</v>
      </c>
      <c r="O265" s="574">
        <f t="shared" si="108"/>
        <v>312827.22971799836</v>
      </c>
      <c r="P265" s="577">
        <f t="shared" si="109"/>
        <v>1.5707931301422238</v>
      </c>
      <c r="Q265" s="586">
        <f t="shared" si="131"/>
        <v>58.402978048573004</v>
      </c>
      <c r="R265" s="587">
        <f t="shared" si="132"/>
        <v>1.5536730755034569</v>
      </c>
      <c r="S265" s="574">
        <f t="shared" si="110"/>
        <v>1.0521096473359535</v>
      </c>
      <c r="T265" s="577">
        <f t="shared" si="111"/>
        <v>0.31604765324771283</v>
      </c>
      <c r="U265" s="578">
        <f t="shared" si="123"/>
        <v>0.83433947089972782</v>
      </c>
      <c r="V265" s="579">
        <f t="shared" si="124"/>
        <v>-0.73687260172796587</v>
      </c>
      <c r="W265" s="580">
        <f t="shared" si="112"/>
        <v>-12.251677131250764</v>
      </c>
      <c r="X265" s="581">
        <f t="shared" si="113"/>
        <v>-162.36481985081934</v>
      </c>
      <c r="Y265" s="584">
        <f t="shared" si="114"/>
        <v>17.635180149180655</v>
      </c>
      <c r="AA265" s="147">
        <f t="shared" si="115"/>
        <v>16596</v>
      </c>
      <c r="AB265" s="147">
        <f t="shared" si="116"/>
        <v>275427216</v>
      </c>
      <c r="AD265" s="583">
        <f t="shared" si="117"/>
        <v>30.086838928520994</v>
      </c>
      <c r="AE265" s="584">
        <f t="shared" si="118"/>
        <v>-19.089103553755237</v>
      </c>
      <c r="AG265" s="583">
        <f t="shared" si="119"/>
        <v>15.910017681868251</v>
      </c>
      <c r="AH265" s="584">
        <f t="shared" si="120"/>
        <v>-58.836335964904315</v>
      </c>
      <c r="AJ265" s="147">
        <f t="shared" si="121"/>
        <v>0</v>
      </c>
      <c r="AK265" s="147">
        <f t="shared" si="133"/>
        <v>0</v>
      </c>
      <c r="AM265" s="147" t="str">
        <f t="shared" si="125"/>
        <v>0.591611128176481+0.912808046289423i</v>
      </c>
      <c r="AN265" s="147" t="str">
        <f t="shared" si="126"/>
        <v>1.15010798704326i</v>
      </c>
      <c r="AO265" s="147" t="str">
        <f t="shared" si="127"/>
        <v>0.793671600034796-0.514396156570842i</v>
      </c>
      <c r="AP265" s="147" t="str">
        <f t="shared" si="128"/>
        <v>0.0680648119705865-0.15213467438157i</v>
      </c>
      <c r="AQ265" s="147" t="str">
        <f t="shared" si="129"/>
        <v>0.931935188029414+0.15213467438157i</v>
      </c>
      <c r="AR265" s="147" t="str">
        <f t="shared" si="130"/>
        <v>0.870637154676102-0.142128016768227i</v>
      </c>
    </row>
    <row r="266" spans="7:44">
      <c r="G266" s="585">
        <v>16692.5</v>
      </c>
      <c r="H266" s="573">
        <f t="shared" si="122"/>
        <v>16.692499999999999</v>
      </c>
      <c r="I266" s="574">
        <f t="shared" si="102"/>
        <v>145.31289806537978</v>
      </c>
      <c r="J266" s="575">
        <f t="shared" si="103"/>
        <v>1.5639145708981301</v>
      </c>
      <c r="K266" s="575">
        <f t="shared" si="104"/>
        <v>1.0005987842724593</v>
      </c>
      <c r="L266" s="576">
        <f t="shared" si="105"/>
        <v>3.4597272711701321E-2</v>
      </c>
      <c r="M266" s="575">
        <f t="shared" si="106"/>
        <v>1.0284093569778754</v>
      </c>
      <c r="N266" s="576">
        <f t="shared" si="107"/>
        <v>-0.23559580789878867</v>
      </c>
      <c r="O266" s="574">
        <f t="shared" si="108"/>
        <v>314646.21186233911</v>
      </c>
      <c r="P266" s="577">
        <f t="shared" si="109"/>
        <v>1.5707931486221989</v>
      </c>
      <c r="Q266" s="586">
        <f t="shared" si="131"/>
        <v>58.742471893073855</v>
      </c>
      <c r="R266" s="587">
        <f t="shared" si="132"/>
        <v>1.5537720465125331</v>
      </c>
      <c r="S266" s="574">
        <f t="shared" si="110"/>
        <v>1.0527021906545293</v>
      </c>
      <c r="T266" s="577">
        <f t="shared" si="111"/>
        <v>0.31776444223585198</v>
      </c>
      <c r="U266" s="578">
        <f t="shared" si="123"/>
        <v>0.83283988264020747</v>
      </c>
      <c r="V266" s="579">
        <f t="shared" si="124"/>
        <v>-0.74051434206025202</v>
      </c>
      <c r="W266" s="580">
        <f t="shared" si="112"/>
        <v>-12.319775782666023</v>
      </c>
      <c r="X266" s="581">
        <f t="shared" si="113"/>
        <v>-162.73221757390399</v>
      </c>
      <c r="Y266" s="584">
        <f t="shared" si="114"/>
        <v>17.267782426096005</v>
      </c>
      <c r="AA266" s="147">
        <f t="shared" si="115"/>
        <v>16692.5</v>
      </c>
      <c r="AB266" s="147">
        <f t="shared" si="116"/>
        <v>278639556.25</v>
      </c>
      <c r="AD266" s="583">
        <f t="shared" si="117"/>
        <v>30.081933773498871</v>
      </c>
      <c r="AE266" s="584">
        <f t="shared" si="118"/>
        <v>-19.181798754906435</v>
      </c>
      <c r="AG266" s="583">
        <f t="shared" si="119"/>
        <v>15.878075200214003</v>
      </c>
      <c r="AH266" s="584">
        <f t="shared" si="120"/>
        <v>-58.69372578411582</v>
      </c>
      <c r="AJ266" s="147">
        <f t="shared" si="121"/>
        <v>0</v>
      </c>
      <c r="AK266" s="147">
        <f t="shared" si="133"/>
        <v>0</v>
      </c>
      <c r="AM266" s="147" t="str">
        <f t="shared" si="125"/>
        <v>0.597724600405721+0.915518707007816i</v>
      </c>
      <c r="AN266" s="147" t="str">
        <f t="shared" si="126"/>
        <v>1.15679546720413i</v>
      </c>
      <c r="AO266" s="147" t="str">
        <f t="shared" si="127"/>
        <v>0.791426603028228-0.516707246312407i</v>
      </c>
      <c r="AP266" s="147" t="str">
        <f t="shared" si="128"/>
        <v>0.0670458999323798-0.152586451167969i</v>
      </c>
      <c r="AQ266" s="147" t="str">
        <f t="shared" si="129"/>
        <v>0.93295410006762+0.152586451167969i</v>
      </c>
      <c r="AR266" s="147" t="str">
        <f t="shared" si="130"/>
        <v>0.869601610144058-0.142225028661342i</v>
      </c>
    </row>
    <row r="267" spans="7:44">
      <c r="G267" s="585">
        <v>16789</v>
      </c>
      <c r="H267" s="573">
        <f t="shared" si="122"/>
        <v>16.789000000000001</v>
      </c>
      <c r="I267" s="574">
        <f t="shared" si="102"/>
        <v>146.15291798375824</v>
      </c>
      <c r="J267" s="575">
        <f t="shared" si="103"/>
        <v>1.563954124692744</v>
      </c>
      <c r="K267" s="575">
        <f t="shared" si="104"/>
        <v>1.0006057253734368</v>
      </c>
      <c r="L267" s="576">
        <f t="shared" si="105"/>
        <v>3.4797119958490878E-2</v>
      </c>
      <c r="M267" s="575">
        <f t="shared" si="106"/>
        <v>1.0287341763065529</v>
      </c>
      <c r="N267" s="576">
        <f t="shared" si="107"/>
        <v>-0.23690754067413658</v>
      </c>
      <c r="O267" s="574">
        <f t="shared" si="108"/>
        <v>316465.19400668005</v>
      </c>
      <c r="P267" s="577">
        <f t="shared" si="109"/>
        <v>1.570793166889735</v>
      </c>
      <c r="Q267" s="586">
        <f t="shared" si="131"/>
        <v>59.081966306359888</v>
      </c>
      <c r="R267" s="587">
        <f t="shared" si="132"/>
        <v>1.5538698801161122</v>
      </c>
      <c r="S267" s="574">
        <f t="shared" si="110"/>
        <v>1.0532978331738589</v>
      </c>
      <c r="T267" s="577">
        <f t="shared" si="111"/>
        <v>0.31947929457673074</v>
      </c>
      <c r="U267" s="578">
        <f t="shared" si="123"/>
        <v>0.83133905087919968</v>
      </c>
      <c r="V267" s="579">
        <f t="shared" si="124"/>
        <v>-0.74414777557447587</v>
      </c>
      <c r="W267" s="580">
        <f t="shared" si="112"/>
        <v>-12.387633450276997</v>
      </c>
      <c r="X267" s="581">
        <f t="shared" si="113"/>
        <v>-163.0990199891063</v>
      </c>
      <c r="Y267" s="584">
        <f t="shared" si="114"/>
        <v>16.900980010893704</v>
      </c>
      <c r="AA267" s="147">
        <f t="shared" si="115"/>
        <v>16789</v>
      </c>
      <c r="AB267" s="147">
        <f t="shared" si="116"/>
        <v>281870521</v>
      </c>
      <c r="AD267" s="583">
        <f t="shared" si="117"/>
        <v>30.077006065572725</v>
      </c>
      <c r="AE267" s="584">
        <f t="shared" si="118"/>
        <v>-19.274448150705872</v>
      </c>
      <c r="AG267" s="583">
        <f t="shared" si="119"/>
        <v>15.846478560073203</v>
      </c>
      <c r="AH267" s="584">
        <f t="shared" si="120"/>
        <v>-58.551517992030078</v>
      </c>
      <c r="AJ267" s="147">
        <f t="shared" si="121"/>
        <v>0</v>
      </c>
      <c r="AK267" s="147">
        <f t="shared" si="133"/>
        <v>0</v>
      </c>
      <c r="AM267" s="147" t="str">
        <f t="shared" si="125"/>
        <v>0.603856063285574+0.918188423693305i</v>
      </c>
      <c r="AN267" s="147" t="str">
        <f t="shared" si="126"/>
        <v>1.16348294736499i</v>
      </c>
      <c r="AO267" s="147" t="str">
        <f t="shared" si="127"/>
        <v>0.789172222741022-0.519007231393604i</v>
      </c>
      <c r="AP267" s="147" t="str">
        <f t="shared" si="128"/>
        <v>0.0660239894524043-0.153031403948884i</v>
      </c>
      <c r="AQ267" s="147" t="str">
        <f t="shared" si="129"/>
        <v>0.933976010547596+0.153031403948884i</v>
      </c>
      <c r="AR267" s="147" t="str">
        <f t="shared" si="130"/>
        <v>0.868567750860862-0.14231430019389i</v>
      </c>
    </row>
    <row r="268" spans="7:44">
      <c r="G268" s="585">
        <v>16885.5</v>
      </c>
      <c r="H268" s="573">
        <f t="shared" si="122"/>
        <v>16.8855</v>
      </c>
      <c r="I268" s="574">
        <f t="shared" si="102"/>
        <v>146.9929381281799</v>
      </c>
      <c r="J268" s="575">
        <f t="shared" si="103"/>
        <v>1.5639932264114929</v>
      </c>
      <c r="K268" s="575">
        <f t="shared" si="104"/>
        <v>1.0006127064369732</v>
      </c>
      <c r="L268" s="576">
        <f t="shared" si="105"/>
        <v>3.499696442467784E-2</v>
      </c>
      <c r="M268" s="575">
        <f t="shared" si="106"/>
        <v>1.0290607646001426</v>
      </c>
      <c r="N268" s="576">
        <f t="shared" si="107"/>
        <v>-0.23821844310666387</v>
      </c>
      <c r="O268" s="574">
        <f t="shared" si="108"/>
        <v>318284.17615102092</v>
      </c>
      <c r="P268" s="577">
        <f t="shared" si="109"/>
        <v>1.5707931849484746</v>
      </c>
      <c r="Q268" s="586">
        <f t="shared" si="131"/>
        <v>59.421461278682116</v>
      </c>
      <c r="R268" s="587">
        <f t="shared" si="132"/>
        <v>1.5539665958074562</v>
      </c>
      <c r="S268" s="574">
        <f t="shared" si="110"/>
        <v>1.0538965696391127</v>
      </c>
      <c r="T268" s="577">
        <f t="shared" si="111"/>
        <v>0.32119220347680044</v>
      </c>
      <c r="U268" s="578">
        <f t="shared" si="123"/>
        <v>0.82983704080134102</v>
      </c>
      <c r="V268" s="579">
        <f t="shared" si="124"/>
        <v>-0.74777291602200102</v>
      </c>
      <c r="W268" s="580">
        <f t="shared" si="112"/>
        <v>-12.455252900561234</v>
      </c>
      <c r="X268" s="581">
        <f t="shared" si="113"/>
        <v>-163.46522661745905</v>
      </c>
      <c r="Y268" s="584">
        <f t="shared" si="114"/>
        <v>16.534773382540948</v>
      </c>
      <c r="AA268" s="147">
        <f t="shared" si="115"/>
        <v>16885.5</v>
      </c>
      <c r="AB268" s="147">
        <f t="shared" si="116"/>
        <v>285120110.25</v>
      </c>
      <c r="AD268" s="583">
        <f t="shared" si="117"/>
        <v>30.072055882538827</v>
      </c>
      <c r="AE268" s="584">
        <f t="shared" si="118"/>
        <v>-19.367050235238928</v>
      </c>
      <c r="AG268" s="583">
        <f t="shared" si="119"/>
        <v>15.815223896951146</v>
      </c>
      <c r="AH268" s="584">
        <f t="shared" si="120"/>
        <v>-58.409712039804404</v>
      </c>
      <c r="AJ268" s="147">
        <f t="shared" si="121"/>
        <v>0</v>
      </c>
      <c r="AK268" s="147">
        <f t="shared" si="133"/>
        <v>0</v>
      </c>
      <c r="AM268" s="147" t="str">
        <f t="shared" si="125"/>
        <v>0.610005242603391+0.920817076950227i</v>
      </c>
      <c r="AN268" s="147" t="str">
        <f t="shared" si="126"/>
        <v>1.17017042752585i</v>
      </c>
      <c r="AO268" s="147" t="str">
        <f t="shared" si="127"/>
        <v>0.786908518015753-0.521296067866931i</v>
      </c>
      <c r="AP268" s="147" t="str">
        <f t="shared" si="128"/>
        <v>0.0649991262327682-0.153469512825038i</v>
      </c>
      <c r="AQ268" s="147" t="str">
        <f t="shared" si="129"/>
        <v>0.935000873767232+0.153469512825038i</v>
      </c>
      <c r="AR268" s="147" t="str">
        <f t="shared" si="130"/>
        <v>0.867535631955099-0.1423958784745i</v>
      </c>
    </row>
    <row r="269" spans="7:44">
      <c r="G269" s="585">
        <v>16982</v>
      </c>
      <c r="H269" s="573">
        <f t="shared" si="122"/>
        <v>16.981999999999999</v>
      </c>
      <c r="I269" s="574">
        <f t="shared" ref="I269:I332" si="134">SQRT(1+(G269/pole1)^2)</f>
        <v>147.83295849479151</v>
      </c>
      <c r="J269" s="575">
        <f t="shared" ref="J269:J332" si="135">ATAN(G269/pole1)</f>
        <v>1.5640318837606491</v>
      </c>
      <c r="K269" s="575">
        <f t="shared" ref="K269:K332" si="136">SQRT(1+(G269/Zero1)^2)</f>
        <v>1.0006197274622317</v>
      </c>
      <c r="L269" s="576">
        <f t="shared" ref="L269:L332" si="137">ATAN(G269/Zero1)</f>
        <v>3.5196806094357887E-2</v>
      </c>
      <c r="M269" s="575">
        <f t="shared" ref="M269:M332" si="138">SQRT(1+(G269/z_RHP)^2)</f>
        <v>1.0293891201749568</v>
      </c>
      <c r="N269" s="576">
        <f t="shared" ref="N269:N332" si="139">-ATAN(G269/z_RHP)</f>
        <v>-0.23952851148335674</v>
      </c>
      <c r="O269" s="574">
        <f t="shared" ref="O269:O332" si="140">SQRT(1+(G269/Pole2)^2)</f>
        <v>320103.15829536202</v>
      </c>
      <c r="P269" s="577">
        <f t="shared" ref="P269:P332" si="141">ATAN(G269/Pole2)</f>
        <v>1.5707932028019771</v>
      </c>
      <c r="Q269" s="586">
        <f t="shared" si="131"/>
        <v>59.760956800513092</v>
      </c>
      <c r="R269" s="587">
        <f t="shared" si="132"/>
        <v>1.5540622126369552</v>
      </c>
      <c r="S269" s="574">
        <f t="shared" ref="S269:S332" si="142">SQRT(1+(G269/pole4)^2)</f>
        <v>1.0544983947801312</v>
      </c>
      <c r="T269" s="577">
        <f t="shared" ref="T269:T332" si="143">ATAN(G269/pole4)</f>
        <v>0.32290316220351906</v>
      </c>
      <c r="U269" s="578">
        <f t="shared" si="123"/>
        <v>0.8283339168929974</v>
      </c>
      <c r="V269" s="579">
        <f t="shared" si="124"/>
        <v>-0.75138977759332859</v>
      </c>
      <c r="W269" s="580">
        <f t="shared" ref="W269:W332" si="144">20*LOG10(((K269*Q269*M269*U269)/(I269*O269*S269))*Adc)</f>
        <v>-12.522636846403392</v>
      </c>
      <c r="X269" s="581">
        <f t="shared" ref="X269:X332" si="145">((L269+R269+N269+V269)-(J269+P269+T269))*radconv</f>
        <v>-163.83083702467701</v>
      </c>
      <c r="Y269" s="584">
        <f t="shared" ref="Y269:Y332" si="146">IF(X269&gt;0,X269,X269+180)</f>
        <v>16.16916297532299</v>
      </c>
      <c r="AA269" s="147">
        <f t="shared" ref="AA269:AA332" si="147">IF(W269&lt;0,G269,1000000000)</f>
        <v>16982</v>
      </c>
      <c r="AB269" s="147">
        <f t="shared" ref="AB269:AB332" si="148">G269^2</f>
        <v>288388324</v>
      </c>
      <c r="AD269" s="583">
        <f t="shared" ref="AD269:AD332" si="149">20*LOG10((Q269/(O269*S269))*Aea)</f>
        <v>30.067083302516107</v>
      </c>
      <c r="AE269" s="584">
        <f t="shared" ref="AE269:AE332" si="150">(R269-(P269+T269))*radconv</f>
        <v>-19.459603531456363</v>
      </c>
      <c r="AG269" s="583">
        <f t="shared" ref="AG269:AG332" si="151">20*LOG10((K269*M269/(I269*U269))*Acs*Am)</f>
        <v>15.784307406604722</v>
      </c>
      <c r="AH269" s="584">
        <f t="shared" ref="AH269:AH332" si="152">(L269+N269-(J269+V269))*radconv</f>
        <v>-58.268307344091049</v>
      </c>
      <c r="AJ269" s="147">
        <f t="shared" ref="AJ269:AJ332" si="153">SUM((W270&lt;0)*(W269&gt;0))*G269</f>
        <v>0</v>
      </c>
      <c r="AK269" s="147">
        <f t="shared" si="133"/>
        <v>0</v>
      </c>
      <c r="AM269" s="147" t="str">
        <f t="shared" si="125"/>
        <v>0.616171863354196+0.92340454921936i</v>
      </c>
      <c r="AN269" s="147" t="str">
        <f t="shared" si="126"/>
        <v>1.17685790768671i</v>
      </c>
      <c r="AO269" s="147" t="str">
        <f t="shared" si="127"/>
        <v>0.784635547917972-0.523573712110559i</v>
      </c>
      <c r="AP269" s="147" t="str">
        <f t="shared" si="128"/>
        <v>0.063971356107634-0.153900758203227i</v>
      </c>
      <c r="AQ269" s="147" t="str">
        <f t="shared" si="129"/>
        <v>0.936028643892366+0.153900758203227i</v>
      </c>
      <c r="AR269" s="147" t="str">
        <f t="shared" si="130"/>
        <v>0.866505307697609-0.142469810845999i</v>
      </c>
    </row>
    <row r="270" spans="7:44">
      <c r="G270" s="585">
        <v>17081</v>
      </c>
      <c r="H270" s="573">
        <f t="shared" ref="H270:H333" si="154">G270/1000</f>
        <v>17.081</v>
      </c>
      <c r="I270" s="574">
        <f t="shared" si="134"/>
        <v>148.69474127401841</v>
      </c>
      <c r="J270" s="575">
        <f t="shared" si="135"/>
        <v>1.5640710887023481</v>
      </c>
      <c r="K270" s="575">
        <f t="shared" si="136"/>
        <v>1.000626971906504</v>
      </c>
      <c r="L270" s="576">
        <f t="shared" si="137"/>
        <v>3.5401822086579465E-2</v>
      </c>
      <c r="M270" s="575">
        <f t="shared" si="138"/>
        <v>1.0297278171497697</v>
      </c>
      <c r="N270" s="576">
        <f t="shared" si="139"/>
        <v>-0.24087164883327347</v>
      </c>
      <c r="O270" s="574">
        <f t="shared" si="140"/>
        <v>321969.26432945294</v>
      </c>
      <c r="P270" s="577">
        <f t="shared" si="141"/>
        <v>1.5707932209083701</v>
      </c>
      <c r="Q270" s="586">
        <f t="shared" si="131"/>
        <v>60.109248104404678</v>
      </c>
      <c r="R270" s="587">
        <f t="shared" si="132"/>
        <v>1.5541591841679929</v>
      </c>
      <c r="S270" s="574">
        <f t="shared" si="142"/>
        <v>1.0551190154445833</v>
      </c>
      <c r="T270" s="577">
        <f t="shared" si="143"/>
        <v>0.32465641268162171</v>
      </c>
      <c r="U270" s="578">
        <f t="shared" ref="U270:U333" si="155">IMABS(IMPRODUCT(AO270, AR270))</f>
        <v>0.8267907613194726</v>
      </c>
      <c r="V270" s="579">
        <f t="shared" ref="V270:V333" si="156">IMARGUMENT(IMPRODUCT(AO270, AR270))</f>
        <v>-0.75509175219926405</v>
      </c>
      <c r="W270" s="580">
        <f t="shared" si="144"/>
        <v>-12.591524543542974</v>
      </c>
      <c r="X270" s="581">
        <f t="shared" si="145"/>
        <v>-164.20529920473771</v>
      </c>
      <c r="Y270" s="584">
        <f t="shared" si="146"/>
        <v>15.794700795262287</v>
      </c>
      <c r="AA270" s="147">
        <f t="shared" si="147"/>
        <v>17081</v>
      </c>
      <c r="AB270" s="147">
        <f t="shared" si="148"/>
        <v>291760561</v>
      </c>
      <c r="AD270" s="583">
        <f t="shared" si="149"/>
        <v>30.061958706534888</v>
      </c>
      <c r="AE270" s="584">
        <f t="shared" si="150"/>
        <v>-19.554502362347893</v>
      </c>
      <c r="AG270" s="583">
        <f t="shared" si="151"/>
        <v>15.752937473323751</v>
      </c>
      <c r="AH270" s="584">
        <f t="shared" si="152"/>
        <v>-58.123655651206093</v>
      </c>
      <c r="AJ270" s="147">
        <f t="shared" si="153"/>
        <v>0</v>
      </c>
      <c r="AK270" s="147">
        <f t="shared" si="133"/>
        <v>0</v>
      </c>
      <c r="AM270" s="147" t="str">
        <f t="shared" ref="AM270:AM333" si="157">IMSUB(1,IMEXP(COMPLEX(0,-2*Pi*G270*Tsw)))</f>
        <v>0.622516077106433+0.926016138065036i</v>
      </c>
      <c r="AN270" s="147" t="str">
        <f t="shared" ref="AN270:AN333" si="158">COMPLEX(0, 2*Pi*G270*Tsw)</f>
        <v>1.18371863862895i</v>
      </c>
      <c r="AO270" s="147" t="str">
        <f t="shared" ref="AO270:AO333" si="159">IMDIV(AM270, AN270)</f>
        <v>0.782294126193367-0.525898686386713i</v>
      </c>
      <c r="AP270" s="147" t="str">
        <f t="shared" ref="AP270:AP333" si="160">IMDIV(IMEXP(COMPLEX(0,-2*Pi*G270*Tsw)),6)</f>
        <v>0.0629139871489278-0.154336023010839i</v>
      </c>
      <c r="AQ270" s="147" t="str">
        <f t="shared" ref="AQ270:AQ333" si="161">IMSUB(1, AP270)</f>
        <v>0.937086012851072+0.154336023010839i</v>
      </c>
      <c r="AR270" s="147" t="str">
        <f t="shared" ref="AR270:AR333" si="162">IMDIV(0.833, AQ270)</f>
        <v>0.865450212077484-0.142537762824504i</v>
      </c>
    </row>
    <row r="271" spans="7:44">
      <c r="G271" s="585">
        <v>17180</v>
      </c>
      <c r="H271" s="573">
        <f t="shared" si="154"/>
        <v>17.18</v>
      </c>
      <c r="I271" s="574">
        <f t="shared" si="134"/>
        <v>149.55652427915931</v>
      </c>
      <c r="J271" s="575">
        <f t="shared" si="135"/>
        <v>1.5641098418262716</v>
      </c>
      <c r="K271" s="575">
        <f t="shared" si="136"/>
        <v>1.0006342584080756</v>
      </c>
      <c r="L271" s="576">
        <f t="shared" si="137"/>
        <v>3.5606835101613034E-2</v>
      </c>
      <c r="M271" s="575">
        <f t="shared" si="138"/>
        <v>1.0300683705484577</v>
      </c>
      <c r="N271" s="576">
        <f t="shared" si="139"/>
        <v>-0.24221390048752112</v>
      </c>
      <c r="O271" s="574">
        <f t="shared" si="140"/>
        <v>323835.37036354397</v>
      </c>
      <c r="P271" s="577">
        <f t="shared" si="141"/>
        <v>1.5707932388060866</v>
      </c>
      <c r="Q271" s="586">
        <f t="shared" si="131"/>
        <v>60.457539967019677</v>
      </c>
      <c r="R271" s="587">
        <f t="shared" si="132"/>
        <v>1.5542550384068554</v>
      </c>
      <c r="S271" s="574">
        <f t="shared" si="142"/>
        <v>1.0557428756069198</v>
      </c>
      <c r="T271" s="577">
        <f t="shared" si="143"/>
        <v>0.32640759647389894</v>
      </c>
      <c r="U271" s="578">
        <f t="shared" si="155"/>
        <v>0.82524656870315272</v>
      </c>
      <c r="V271" s="579">
        <f t="shared" si="156"/>
        <v>-0.75878504506159727</v>
      </c>
      <c r="W271" s="580">
        <f t="shared" si="144"/>
        <v>-12.66016999291379</v>
      </c>
      <c r="X271" s="581">
        <f t="shared" si="145"/>
        <v>-164.57913308602986</v>
      </c>
      <c r="Y271" s="584">
        <f t="shared" si="146"/>
        <v>15.420866913970144</v>
      </c>
      <c r="AA271" s="147">
        <f t="shared" si="147"/>
        <v>17180</v>
      </c>
      <c r="AB271" s="147">
        <f t="shared" si="148"/>
        <v>295152400</v>
      </c>
      <c r="AD271" s="583">
        <f t="shared" si="149"/>
        <v>30.056810705636593</v>
      </c>
      <c r="AE271" s="584">
        <f t="shared" si="150"/>
        <v>-19.649346785033824</v>
      </c>
      <c r="AG271" s="583">
        <f t="shared" si="151"/>
        <v>15.721915539315102</v>
      </c>
      <c r="AH271" s="584">
        <f t="shared" si="152"/>
        <v>-57.979424922293731</v>
      </c>
      <c r="AJ271" s="147">
        <f t="shared" si="153"/>
        <v>0</v>
      </c>
      <c r="AK271" s="147">
        <f t="shared" si="133"/>
        <v>0</v>
      </c>
      <c r="AM271" s="147" t="str">
        <f t="shared" si="157"/>
        <v>0.628878058817194+0.928584139845553i</v>
      </c>
      <c r="AN271" s="147" t="str">
        <f t="shared" si="158"/>
        <v>1.19057936957118i</v>
      </c>
      <c r="AO271" s="147" t="str">
        <f t="shared" si="159"/>
        <v>0.779943079460556-0.528211789058382i</v>
      </c>
      <c r="AP271" s="147" t="str">
        <f t="shared" si="160"/>
        <v>0.061853656863801-0.154764023307592i</v>
      </c>
      <c r="AQ271" s="147" t="str">
        <f t="shared" si="161"/>
        <v>0.938146343136199+0.154764023307592i</v>
      </c>
      <c r="AR271" s="147" t="str">
        <f t="shared" si="162"/>
        <v>0.864397118263872-0.142597769246523i</v>
      </c>
    </row>
    <row r="272" spans="7:44">
      <c r="G272" s="585">
        <v>17279</v>
      </c>
      <c r="H272" s="573">
        <f t="shared" si="154"/>
        <v>17.279</v>
      </c>
      <c r="I272" s="574">
        <f t="shared" si="134"/>
        <v>150.41830750633127</v>
      </c>
      <c r="J272" s="575">
        <f t="shared" si="135"/>
        <v>1.5641481508980253</v>
      </c>
      <c r="K272" s="575">
        <f t="shared" si="136"/>
        <v>1.0006415869660286</v>
      </c>
      <c r="L272" s="576">
        <f t="shared" si="137"/>
        <v>3.5811845122290291E-2</v>
      </c>
      <c r="M272" s="575">
        <f t="shared" si="138"/>
        <v>1.0304107785303624</v>
      </c>
      <c r="N272" s="576">
        <f t="shared" si="139"/>
        <v>-0.24355526249017354</v>
      </c>
      <c r="O272" s="574">
        <f t="shared" si="140"/>
        <v>325701.47639763518</v>
      </c>
      <c r="P272" s="577">
        <f t="shared" si="141"/>
        <v>1.570793256498713</v>
      </c>
      <c r="Q272" s="586">
        <f t="shared" si="131"/>
        <v>60.805832378757096</v>
      </c>
      <c r="R272" s="587">
        <f t="shared" si="132"/>
        <v>1.5543497945511269</v>
      </c>
      <c r="S272" s="574">
        <f t="shared" si="142"/>
        <v>1.0563699695276922</v>
      </c>
      <c r="T272" s="577">
        <f t="shared" si="143"/>
        <v>0.32815670651094486</v>
      </c>
      <c r="U272" s="578">
        <f t="shared" si="155"/>
        <v>0.82370140638611766</v>
      </c>
      <c r="V272" s="579">
        <f t="shared" si="156"/>
        <v>-0.76246967289804468</v>
      </c>
      <c r="W272" s="580">
        <f t="shared" si="144"/>
        <v>-12.728575956452419</v>
      </c>
      <c r="X272" s="581">
        <f t="shared" si="145"/>
        <v>-164.95233834088802</v>
      </c>
      <c r="Y272" s="584">
        <f t="shared" si="146"/>
        <v>15.047661659111981</v>
      </c>
      <c r="AA272" s="147">
        <f t="shared" si="147"/>
        <v>17279</v>
      </c>
      <c r="AB272" s="147">
        <f t="shared" si="148"/>
        <v>298563841</v>
      </c>
      <c r="AD272" s="583">
        <f t="shared" si="149"/>
        <v>30.051639385167018</v>
      </c>
      <c r="AE272" s="584">
        <f t="shared" si="150"/>
        <v>-19.744135294731976</v>
      </c>
      <c r="AG272" s="583">
        <f t="shared" si="151"/>
        <v>15.691237686368449</v>
      </c>
      <c r="AH272" s="584">
        <f t="shared" si="152"/>
        <v>-57.835614418761594</v>
      </c>
      <c r="AJ272" s="147">
        <f t="shared" si="153"/>
        <v>0</v>
      </c>
      <c r="AK272" s="147">
        <f t="shared" si="133"/>
        <v>0</v>
      </c>
      <c r="AM272" s="147" t="str">
        <f t="shared" si="157"/>
        <v>0.635257509031543+0.931108433686499i</v>
      </c>
      <c r="AN272" s="147" t="str">
        <f t="shared" si="158"/>
        <v>1.19744010051341i</v>
      </c>
      <c r="AO272" s="147" t="str">
        <f t="shared" si="159"/>
        <v>0.777582472214919-0.530512974101312i</v>
      </c>
      <c r="AP272" s="147" t="str">
        <f t="shared" si="160"/>
        <v>0.0607904151614095-0.15518473894775i</v>
      </c>
      <c r="AQ272" s="147" t="str">
        <f t="shared" si="161"/>
        <v>0.939209584838591+0.15518473894775i</v>
      </c>
      <c r="AR272" s="147" t="str">
        <f t="shared" si="162"/>
        <v>0.86334608207167-0.142649881912012i</v>
      </c>
    </row>
    <row r="273" spans="7:44">
      <c r="G273" s="585">
        <v>17378</v>
      </c>
      <c r="H273" s="573">
        <f t="shared" si="154"/>
        <v>17.378</v>
      </c>
      <c r="I273" s="574">
        <f t="shared" si="134"/>
        <v>151.28009095173979</v>
      </c>
      <c r="J273" s="575">
        <f t="shared" si="135"/>
        <v>1.5641860235062697</v>
      </c>
      <c r="K273" s="575">
        <f t="shared" si="136"/>
        <v>1.0006489575794379</v>
      </c>
      <c r="L273" s="576">
        <f t="shared" si="137"/>
        <v>3.601685213144442E-2</v>
      </c>
      <c r="M273" s="575">
        <f t="shared" si="138"/>
        <v>1.0307550392472542</v>
      </c>
      <c r="N273" s="576">
        <f t="shared" si="139"/>
        <v>-0.24489573090335245</v>
      </c>
      <c r="O273" s="574">
        <f t="shared" si="140"/>
        <v>327567.58243172639</v>
      </c>
      <c r="P273" s="577">
        <f t="shared" si="141"/>
        <v>1.5707932739897545</v>
      </c>
      <c r="Q273" s="586">
        <f t="shared" si="131"/>
        <v>61.154125330234649</v>
      </c>
      <c r="R273" s="587">
        <f t="shared" si="132"/>
        <v>1.5544434713611262</v>
      </c>
      <c r="S273" s="574">
        <f t="shared" si="142"/>
        <v>1.057000291451357</v>
      </c>
      <c r="T273" s="577">
        <f t="shared" si="143"/>
        <v>0.32990373579084159</v>
      </c>
      <c r="U273" s="578">
        <f t="shared" si="155"/>
        <v>0.82215534094025866</v>
      </c>
      <c r="V273" s="579">
        <f t="shared" si="156"/>
        <v>-0.76614565288218806</v>
      </c>
      <c r="W273" s="580">
        <f t="shared" si="144"/>
        <v>-12.796745142374714</v>
      </c>
      <c r="X273" s="581">
        <f t="shared" si="145"/>
        <v>-165.32491468757746</v>
      </c>
      <c r="Y273" s="584">
        <f t="shared" si="146"/>
        <v>14.675085312422539</v>
      </c>
      <c r="AA273" s="147">
        <f t="shared" si="147"/>
        <v>17378</v>
      </c>
      <c r="AB273" s="147">
        <f t="shared" si="148"/>
        <v>301994884</v>
      </c>
      <c r="AD273" s="583">
        <f t="shared" si="149"/>
        <v>30.046444830788328</v>
      </c>
      <c r="AE273" s="584">
        <f t="shared" si="150"/>
        <v>-19.838866415575744</v>
      </c>
      <c r="AG273" s="583">
        <f t="shared" si="151"/>
        <v>15.660900057547549</v>
      </c>
      <c r="AH273" s="584">
        <f t="shared" si="152"/>
        <v>-57.692223366793939</v>
      </c>
      <c r="AJ273" s="147">
        <f t="shared" si="153"/>
        <v>0</v>
      </c>
      <c r="AK273" s="147">
        <f t="shared" si="133"/>
        <v>0</v>
      </c>
      <c r="AM273" s="147" t="str">
        <f t="shared" si="157"/>
        <v>0.641654127472303+0.933588900770764i</v>
      </c>
      <c r="AN273" s="147" t="str">
        <f t="shared" si="158"/>
        <v>1.20430083145564i</v>
      </c>
      <c r="AO273" s="147" t="str">
        <f t="shared" si="159"/>
        <v>0.775212369190457-0.532802195857272i</v>
      </c>
      <c r="AP273" s="147" t="str">
        <f t="shared" si="160"/>
        <v>0.0597243120879495-0.155598150128461i</v>
      </c>
      <c r="AQ273" s="147" t="str">
        <f t="shared" si="161"/>
        <v>0.940275687912051+0.155598150128461i</v>
      </c>
      <c r="AR273" s="147" t="str">
        <f t="shared" si="162"/>
        <v>0.862297158386745-0.14269415282229i</v>
      </c>
    </row>
    <row r="274" spans="7:44">
      <c r="G274" s="585">
        <v>17479.25</v>
      </c>
      <c r="H274" s="573">
        <f t="shared" si="154"/>
        <v>17.47925</v>
      </c>
      <c r="I274" s="574">
        <f t="shared" si="134"/>
        <v>152.16146060641236</v>
      </c>
      <c r="J274" s="575">
        <f t="shared" si="135"/>
        <v>1.5642243131285483</v>
      </c>
      <c r="K274" s="575">
        <f t="shared" si="136"/>
        <v>1.0006565392058471</v>
      </c>
      <c r="L274" s="576">
        <f t="shared" si="137"/>
        <v>3.6226515257950759E-2</v>
      </c>
      <c r="M274" s="575">
        <f t="shared" si="138"/>
        <v>1.0311090385121651</v>
      </c>
      <c r="N274" s="576">
        <f t="shared" si="139"/>
        <v>-0.24626573613916877</v>
      </c>
      <c r="O274" s="574">
        <f t="shared" si="140"/>
        <v>329476.09996659262</v>
      </c>
      <c r="P274" s="577">
        <f t="shared" si="141"/>
        <v>1.5707932916733807</v>
      </c>
      <c r="Q274" s="586">
        <f t="shared" si="131"/>
        <v>61.510334579333815</v>
      </c>
      <c r="R274" s="587">
        <f t="shared" si="132"/>
        <v>1.5545381798874758</v>
      </c>
      <c r="S274" s="574">
        <f t="shared" si="142"/>
        <v>1.0576482717404361</v>
      </c>
      <c r="T274" s="577">
        <f t="shared" si="143"/>
        <v>0.33168831082561173</v>
      </c>
      <c r="U274" s="578">
        <f t="shared" si="155"/>
        <v>0.82057327206714947</v>
      </c>
      <c r="V274" s="579">
        <f t="shared" si="156"/>
        <v>-0.7698962513349169</v>
      </c>
      <c r="W274" s="580">
        <f t="shared" si="144"/>
        <v>-12.866221484801185</v>
      </c>
      <c r="X274" s="581">
        <f t="shared" si="145"/>
        <v>-165.70530792148239</v>
      </c>
      <c r="Y274" s="584">
        <f t="shared" si="146"/>
        <v>14.294692078517613</v>
      </c>
      <c r="AA274" s="147">
        <f t="shared" si="147"/>
        <v>17479.25</v>
      </c>
      <c r="AB274" s="147">
        <f t="shared" si="148"/>
        <v>305524180.5625</v>
      </c>
      <c r="AD274" s="583">
        <f t="shared" si="149"/>
        <v>30.041108275977926</v>
      </c>
      <c r="AE274" s="584">
        <f t="shared" si="150"/>
        <v>-19.935689647756519</v>
      </c>
      <c r="AG274" s="583">
        <f t="shared" si="151"/>
        <v>15.630220890928413</v>
      </c>
      <c r="AH274" s="584">
        <f t="shared" si="152"/>
        <v>-57.546006444047691</v>
      </c>
      <c r="AJ274" s="147">
        <f t="shared" si="153"/>
        <v>0</v>
      </c>
      <c r="AK274" s="147">
        <f t="shared" si="133"/>
        <v>0</v>
      </c>
      <c r="AM274" s="147" t="str">
        <f t="shared" si="157"/>
        <v>0.648213567754383+0.936080288270136i</v>
      </c>
      <c r="AN274" s="147" t="str">
        <f t="shared" si="158"/>
        <v>1.21131748810111i</v>
      </c>
      <c r="AO274" s="147" t="str">
        <f t="shared" si="159"/>
        <v>0.772778645949839-0.535131023965103i</v>
      </c>
      <c r="AP274" s="147" t="str">
        <f t="shared" si="160"/>
        <v>0.0586310720409362-0.156013381378356i</v>
      </c>
      <c r="AQ274" s="147" t="str">
        <f t="shared" si="161"/>
        <v>0.941368927959064+0.156013381378356i</v>
      </c>
      <c r="AR274" s="147" t="str">
        <f t="shared" si="162"/>
        <v>0.861226636830922-0.142731373167805i</v>
      </c>
    </row>
    <row r="275" spans="7:44">
      <c r="G275" s="585">
        <v>17580.5</v>
      </c>
      <c r="H275" s="573">
        <f t="shared" si="154"/>
        <v>17.580500000000001</v>
      </c>
      <c r="I275" s="574">
        <f t="shared" si="134"/>
        <v>153.04283048159866</v>
      </c>
      <c r="J275" s="575">
        <f t="shared" si="135"/>
        <v>1.5642621617329064</v>
      </c>
      <c r="K275" s="575">
        <f t="shared" si="136"/>
        <v>1.0006641648190759</v>
      </c>
      <c r="L275" s="576">
        <f t="shared" si="137"/>
        <v>3.6436175198175866E-2</v>
      </c>
      <c r="M275" s="575">
        <f t="shared" si="138"/>
        <v>1.0314649717499107</v>
      </c>
      <c r="N275" s="576">
        <f t="shared" si="139"/>
        <v>-0.24763479843278133</v>
      </c>
      <c r="O275" s="574">
        <f t="shared" si="140"/>
        <v>331384.61750145885</v>
      </c>
      <c r="P275" s="577">
        <f t="shared" si="141"/>
        <v>1.5707933091533188</v>
      </c>
      <c r="Q275" s="586">
        <f t="shared" si="131"/>
        <v>61.866544373809141</v>
      </c>
      <c r="R275" s="587">
        <f t="shared" si="132"/>
        <v>1.5546317978056683</v>
      </c>
      <c r="S275" s="574">
        <f t="shared" si="142"/>
        <v>1.0582996161995164</v>
      </c>
      <c r="T275" s="577">
        <f t="shared" si="143"/>
        <v>0.33347069485045511</v>
      </c>
      <c r="U275" s="578">
        <f t="shared" si="155"/>
        <v>0.81899039693432585</v>
      </c>
      <c r="V275" s="579">
        <f t="shared" si="156"/>
        <v>-0.77363784214545139</v>
      </c>
      <c r="W275" s="580">
        <f t="shared" si="144"/>
        <v>-12.935455728177644</v>
      </c>
      <c r="X275" s="581">
        <f t="shared" si="145"/>
        <v>-166.08504288294421</v>
      </c>
      <c r="Y275" s="584">
        <f t="shared" si="146"/>
        <v>13.914957117055792</v>
      </c>
      <c r="AA275" s="147">
        <f t="shared" si="147"/>
        <v>17580.5</v>
      </c>
      <c r="AB275" s="147">
        <f t="shared" si="148"/>
        <v>309073980.25</v>
      </c>
      <c r="AD275" s="583">
        <f t="shared" si="149"/>
        <v>30.035747601378198</v>
      </c>
      <c r="AE275" s="584">
        <f t="shared" si="150"/>
        <v>-20.032449819889607</v>
      </c>
      <c r="AG275" s="583">
        <f t="shared" si="151"/>
        <v>15.599889619400518</v>
      </c>
      <c r="AH275" s="584">
        <f t="shared" si="152"/>
        <v>-57.400226508669384</v>
      </c>
      <c r="AJ275" s="147">
        <f t="shared" si="153"/>
        <v>0</v>
      </c>
      <c r="AK275" s="147">
        <f t="shared" si="133"/>
        <v>0</v>
      </c>
      <c r="AM275" s="147" t="str">
        <f t="shared" si="157"/>
        <v>0.654790327632322+0.938525589477347i</v>
      </c>
      <c r="AN275" s="147" t="str">
        <f t="shared" si="158"/>
        <v>1.21833414474657i</v>
      </c>
      <c r="AO275" s="147" t="str">
        <f t="shared" si="159"/>
        <v>0.770335128112635-0.537447243398507i</v>
      </c>
      <c r="AP275" s="147" t="str">
        <f t="shared" si="160"/>
        <v>0.057534945394613-0.156420931579558i</v>
      </c>
      <c r="AQ275" s="147" t="str">
        <f t="shared" si="161"/>
        <v>0.942465054605387+0.156420931579558i</v>
      </c>
      <c r="AR275" s="147" t="str">
        <f t="shared" si="162"/>
        <v>0.860158438070049-0.142760501868443i</v>
      </c>
    </row>
    <row r="276" spans="7:44">
      <c r="G276" s="585">
        <v>17681.75</v>
      </c>
      <c r="H276" s="573">
        <f t="shared" si="154"/>
        <v>17.681750000000001</v>
      </c>
      <c r="I276" s="574">
        <f t="shared" si="134"/>
        <v>153.92420057351066</v>
      </c>
      <c r="J276" s="575">
        <f t="shared" si="135"/>
        <v>1.5642995768950418</v>
      </c>
      <c r="K276" s="575">
        <f t="shared" si="136"/>
        <v>1.0006718344181185</v>
      </c>
      <c r="L276" s="576">
        <f t="shared" si="137"/>
        <v>3.6645831933760621E-2</v>
      </c>
      <c r="M276" s="575">
        <f t="shared" si="138"/>
        <v>1.0318228369590861</v>
      </c>
      <c r="N276" s="576">
        <f t="shared" si="139"/>
        <v>-0.24900291363052254</v>
      </c>
      <c r="O276" s="574">
        <f t="shared" si="140"/>
        <v>333293.1350363252</v>
      </c>
      <c r="P276" s="577">
        <f t="shared" si="141"/>
        <v>1.5707933264330682</v>
      </c>
      <c r="Q276" s="586">
        <f t="shared" si="131"/>
        <v>62.222754704294189</v>
      </c>
      <c r="R276" s="587">
        <f t="shared" si="132"/>
        <v>1.5547243438444578</v>
      </c>
      <c r="S276" s="574">
        <f t="shared" si="142"/>
        <v>1.0589543186208696</v>
      </c>
      <c r="T276" s="577">
        <f t="shared" si="143"/>
        <v>0.33525088059392316</v>
      </c>
      <c r="U276" s="578">
        <f t="shared" si="155"/>
        <v>0.81740678426589064</v>
      </c>
      <c r="V276" s="579">
        <f t="shared" si="156"/>
        <v>-0.77737044511497999</v>
      </c>
      <c r="W276" s="580">
        <f t="shared" si="144"/>
        <v>-13.004450603775886</v>
      </c>
      <c r="X276" s="581">
        <f t="shared" si="145"/>
        <v>-166.46411941410582</v>
      </c>
      <c r="Y276" s="584">
        <f t="shared" si="146"/>
        <v>13.535880585894176</v>
      </c>
      <c r="AA276" s="147">
        <f t="shared" si="147"/>
        <v>17681.75</v>
      </c>
      <c r="AB276" s="147">
        <f t="shared" si="148"/>
        <v>312644283.0625</v>
      </c>
      <c r="AD276" s="583">
        <f t="shared" si="149"/>
        <v>30.030362899589171</v>
      </c>
      <c r="AE276" s="584">
        <f t="shared" si="150"/>
        <v>-20.129145442473593</v>
      </c>
      <c r="AG276" s="583">
        <f t="shared" si="151"/>
        <v>15.569902307618941</v>
      </c>
      <c r="AH276" s="584">
        <f t="shared" si="152"/>
        <v>-57.254882623254247</v>
      </c>
      <c r="AJ276" s="147">
        <f t="shared" si="153"/>
        <v>0</v>
      </c>
      <c r="AK276" s="147">
        <f t="shared" si="133"/>
        <v>0</v>
      </c>
      <c r="AM276" s="147" t="str">
        <f t="shared" si="157"/>
        <v>0.661384083310755+0.940924684002233i</v>
      </c>
      <c r="AN276" s="147" t="str">
        <f t="shared" si="158"/>
        <v>1.22535080139204i</v>
      </c>
      <c r="AO276" s="147" t="str">
        <f t="shared" si="159"/>
        <v>0.767881885688009-0.539750806511409i</v>
      </c>
      <c r="AP276" s="147" t="str">
        <f t="shared" si="160"/>
        <v>0.0564359861148742-0.156820780667039i</v>
      </c>
      <c r="AQ276" s="147" t="str">
        <f t="shared" si="161"/>
        <v>0.943564013885126+0.156820780667039i</v>
      </c>
      <c r="AR276" s="147" t="str">
        <f t="shared" si="162"/>
        <v>0.859092617841136-0.142781595114477i</v>
      </c>
    </row>
    <row r="277" spans="7:44">
      <c r="G277" s="585">
        <v>17783</v>
      </c>
      <c r="H277" s="573">
        <f t="shared" si="154"/>
        <v>17.783000000000001</v>
      </c>
      <c r="I277" s="574">
        <f t="shared" si="134"/>
        <v>154.8055708784467</v>
      </c>
      <c r="J277" s="575">
        <f t="shared" si="135"/>
        <v>1.564336566018131</v>
      </c>
      <c r="K277" s="575">
        <f t="shared" si="136"/>
        <v>1.0006795480019635</v>
      </c>
      <c r="L277" s="576">
        <f t="shared" si="137"/>
        <v>3.6855485446347605E-2</v>
      </c>
      <c r="M277" s="575">
        <f t="shared" si="138"/>
        <v>1.0321826321302052</v>
      </c>
      <c r="N277" s="576">
        <f t="shared" si="139"/>
        <v>-0.25037007759865137</v>
      </c>
      <c r="O277" s="574">
        <f t="shared" si="140"/>
        <v>335201.65257119166</v>
      </c>
      <c r="P277" s="577">
        <f t="shared" si="141"/>
        <v>1.5707933435160484</v>
      </c>
      <c r="Q277" s="586">
        <f t="shared" si="131"/>
        <v>62.578965561635798</v>
      </c>
      <c r="R277" s="587">
        <f t="shared" si="132"/>
        <v>1.5548158363062428</v>
      </c>
      <c r="S277" s="574">
        <f t="shared" si="142"/>
        <v>1.0596123727801463</v>
      </c>
      <c r="T277" s="577">
        <f t="shared" si="143"/>
        <v>0.33702886085822398</v>
      </c>
      <c r="U277" s="578">
        <f t="shared" si="155"/>
        <v>0.81582250195005157</v>
      </c>
      <c r="V277" s="579">
        <f t="shared" si="156"/>
        <v>-0.78109408050998275</v>
      </c>
      <c r="W277" s="580">
        <f t="shared" si="144"/>
        <v>-13.073208789723367</v>
      </c>
      <c r="X277" s="581">
        <f t="shared" si="145"/>
        <v>-166.84253740367021</v>
      </c>
      <c r="Y277" s="584">
        <f t="shared" si="146"/>
        <v>13.157462596329793</v>
      </c>
      <c r="AA277" s="147">
        <f t="shared" si="147"/>
        <v>17783</v>
      </c>
      <c r="AB277" s="147">
        <f t="shared" si="148"/>
        <v>316235089</v>
      </c>
      <c r="AD277" s="583">
        <f t="shared" si="149"/>
        <v>30.024954263515092</v>
      </c>
      <c r="AE277" s="584">
        <f t="shared" si="150"/>
        <v>-20.22577505465112</v>
      </c>
      <c r="AG277" s="583">
        <f t="shared" si="151"/>
        <v>15.540255081805492</v>
      </c>
      <c r="AH277" s="584">
        <f t="shared" si="152"/>
        <v>-57.109973814995186</v>
      </c>
      <c r="AJ277" s="147">
        <f t="shared" si="153"/>
        <v>0</v>
      </c>
      <c r="AK277" s="147">
        <f t="shared" si="133"/>
        <v>0</v>
      </c>
      <c r="AM277" s="147" t="str">
        <f t="shared" si="157"/>
        <v>0.667994510157517+0.943277453729523i</v>
      </c>
      <c r="AN277" s="147" t="str">
        <f t="shared" si="158"/>
        <v>1.2323674580375i</v>
      </c>
      <c r="AO277" s="147" t="str">
        <f t="shared" si="159"/>
        <v>0.765418988936675-0.542041666063849i</v>
      </c>
      <c r="AP277" s="147" t="str">
        <f t="shared" si="160"/>
        <v>0.0553342483070805-0.15721290895492i</v>
      </c>
      <c r="AQ277" s="147" t="str">
        <f t="shared" si="161"/>
        <v>0.94466575169292+0.15721290895492i</v>
      </c>
      <c r="AR277" s="147" t="str">
        <f t="shared" si="162"/>
        <v>0.858029230891421-0.142794709255684i</v>
      </c>
    </row>
    <row r="278" spans="7:44">
      <c r="G278" s="585">
        <v>17886.5</v>
      </c>
      <c r="H278" s="573">
        <f t="shared" si="154"/>
        <v>17.886500000000002</v>
      </c>
      <c r="I278" s="574">
        <f t="shared" si="134"/>
        <v>155.7065274065699</v>
      </c>
      <c r="J278" s="575">
        <f t="shared" si="135"/>
        <v>1.5643739443091489</v>
      </c>
      <c r="K278" s="575">
        <f t="shared" si="136"/>
        <v>1.000687478459547</v>
      </c>
      <c r="L278" s="576">
        <f t="shared" si="137"/>
        <v>3.7069794575541493E-2</v>
      </c>
      <c r="M278" s="575">
        <f t="shared" si="138"/>
        <v>1.0325524154193584</v>
      </c>
      <c r="N278" s="576">
        <f t="shared" si="139"/>
        <v>-0.25176663553286421</v>
      </c>
      <c r="O278" s="574">
        <f t="shared" si="140"/>
        <v>337152.58160683303</v>
      </c>
      <c r="P278" s="577">
        <f t="shared" si="141"/>
        <v>1.5707933607787528</v>
      </c>
      <c r="Q278" s="586">
        <f t="shared" si="131"/>
        <v>62.943092751042045</v>
      </c>
      <c r="R278" s="587">
        <f t="shared" si="132"/>
        <v>1.5549082916008701</v>
      </c>
      <c r="S278" s="574">
        <f t="shared" si="142"/>
        <v>1.0602885081571329</v>
      </c>
      <c r="T278" s="577">
        <f t="shared" si="143"/>
        <v>0.33884406483781909</v>
      </c>
      <c r="U278" s="578">
        <f t="shared" si="155"/>
        <v>0.81420239104091607</v>
      </c>
      <c r="V278" s="579">
        <f t="shared" si="156"/>
        <v>-0.78489121623100422</v>
      </c>
      <c r="W278" s="580">
        <f t="shared" si="144"/>
        <v>-13.143253031922145</v>
      </c>
      <c r="X278" s="581">
        <f t="shared" si="145"/>
        <v>-167.22868395823753</v>
      </c>
      <c r="Y278" s="584">
        <f t="shared" si="146"/>
        <v>12.771316041762475</v>
      </c>
      <c r="AA278" s="147">
        <f t="shared" si="147"/>
        <v>17886.5</v>
      </c>
      <c r="AB278" s="147">
        <f t="shared" si="148"/>
        <v>319926882.25</v>
      </c>
      <c r="AD278" s="583">
        <f t="shared" si="149"/>
        <v>30.019400794567307</v>
      </c>
      <c r="AE278" s="584">
        <f t="shared" si="150"/>
        <v>-20.324482272654382</v>
      </c>
      <c r="AG278" s="583">
        <f t="shared" si="151"/>
        <v>15.510296564478947</v>
      </c>
      <c r="AH278" s="584">
        <f t="shared" si="152"/>
        <v>-56.962293448956245</v>
      </c>
      <c r="AJ278" s="147">
        <f t="shared" si="153"/>
        <v>0</v>
      </c>
      <c r="AK278" s="147">
        <f t="shared" si="133"/>
        <v>0</v>
      </c>
      <c r="AM278" s="147" t="str">
        <f t="shared" si="157"/>
        <v>0.67476872749085+0.945634506234877i</v>
      </c>
      <c r="AN278" s="147" t="str">
        <f t="shared" si="158"/>
        <v>1.2395400403862i</v>
      </c>
      <c r="AO278" s="147" t="str">
        <f t="shared" si="159"/>
        <v>0.762891456043847-0.544370254695939i</v>
      </c>
      <c r="AP278" s="147" t="str">
        <f t="shared" si="160"/>
        <v>0.0542052120848583-0.157605751039146i</v>
      </c>
      <c r="AQ278" s="147" t="str">
        <f t="shared" si="161"/>
        <v>0.945794787915142+0.157605751039146i</v>
      </c>
      <c r="AR278" s="147" t="str">
        <f t="shared" si="162"/>
        <v>0.85694478408593-0.142799926602111i</v>
      </c>
    </row>
    <row r="279" spans="7:44">
      <c r="G279" s="585">
        <v>17990</v>
      </c>
      <c r="H279" s="573">
        <f t="shared" si="154"/>
        <v>17.989999999999998</v>
      </c>
      <c r="I279" s="574">
        <f t="shared" si="134"/>
        <v>156.60748414973335</v>
      </c>
      <c r="J279" s="575">
        <f t="shared" si="135"/>
        <v>1.5644108925285196</v>
      </c>
      <c r="K279" s="575">
        <f t="shared" si="136"/>
        <v>1.0006954548763782</v>
      </c>
      <c r="L279" s="576">
        <f t="shared" si="137"/>
        <v>3.7284100298116067E-2</v>
      </c>
      <c r="M279" s="575">
        <f t="shared" si="138"/>
        <v>1.0329242111277597</v>
      </c>
      <c r="N279" s="576">
        <f t="shared" si="139"/>
        <v>-0.25316219081974406</v>
      </c>
      <c r="O279" s="574">
        <f t="shared" si="140"/>
        <v>339103.51064247452</v>
      </c>
      <c r="P279" s="577">
        <f t="shared" si="141"/>
        <v>1.5707933778428256</v>
      </c>
      <c r="Q279" s="586">
        <f t="shared" ref="Q279:Q342" si="163">SQRT(1+(G279/Zero2)^2)</f>
        <v>63.307220472295377</v>
      </c>
      <c r="R279" s="587">
        <f t="shared" ref="R279:R342" si="164">ATAN(G279/Zero2)</f>
        <v>1.5549996833355746</v>
      </c>
      <c r="S279" s="574">
        <f t="shared" si="142"/>
        <v>1.0609681326886196</v>
      </c>
      <c r="T279" s="577">
        <f t="shared" si="143"/>
        <v>0.3406569492534206</v>
      </c>
      <c r="U279" s="578">
        <f t="shared" si="155"/>
        <v>0.8125817211829689</v>
      </c>
      <c r="V279" s="579">
        <f t="shared" si="156"/>
        <v>-0.78867902566733272</v>
      </c>
      <c r="W279" s="580">
        <f t="shared" si="144"/>
        <v>-13.21305544292116</v>
      </c>
      <c r="X279" s="581">
        <f t="shared" si="145"/>
        <v>-167.61414228737365</v>
      </c>
      <c r="Y279" s="584">
        <f t="shared" si="146"/>
        <v>12.385857712626347</v>
      </c>
      <c r="AA279" s="147">
        <f t="shared" si="147"/>
        <v>17990</v>
      </c>
      <c r="AB279" s="147">
        <f t="shared" si="148"/>
        <v>323640100</v>
      </c>
      <c r="AD279" s="583">
        <f t="shared" si="149"/>
        <v>30.013822513014699</v>
      </c>
      <c r="AE279" s="584">
        <f t="shared" si="150"/>
        <v>-20.423117515544504</v>
      </c>
      <c r="AG279" s="583">
        <f t="shared" si="151"/>
        <v>15.480685421666012</v>
      </c>
      <c r="AH279" s="584">
        <f t="shared" si="152"/>
        <v>-56.815065546103391</v>
      </c>
      <c r="AJ279" s="147">
        <f t="shared" si="153"/>
        <v>0</v>
      </c>
      <c r="AK279" s="147">
        <f t="shared" ref="AK279:AK342" si="165">IF(AJ279&gt;0,Y279,0)</f>
        <v>0</v>
      </c>
      <c r="AM279" s="147" t="str">
        <f t="shared" si="157"/>
        <v>0.681559676580186+0.947942909895044i</v>
      </c>
      <c r="AN279" s="147" t="str">
        <f t="shared" si="158"/>
        <v>1.2467126227349i</v>
      </c>
      <c r="AO279" s="147" t="str">
        <f t="shared" si="159"/>
        <v>0.760353984237002-0.546685470373321i</v>
      </c>
      <c r="AP279" s="147" t="str">
        <f t="shared" si="160"/>
        <v>0.0530733872366357-0.157990484982507i</v>
      </c>
      <c r="AQ279" s="147" t="str">
        <f t="shared" si="161"/>
        <v>0.946926612763364+0.157990484982507i</v>
      </c>
      <c r="AR279" s="147" t="str">
        <f t="shared" si="162"/>
        <v>0.855862992459757-0.142796925796284i</v>
      </c>
    </row>
    <row r="280" spans="7:44">
      <c r="G280" s="585">
        <v>18093.5</v>
      </c>
      <c r="H280" s="573">
        <f t="shared" si="154"/>
        <v>18.093499999999999</v>
      </c>
      <c r="I280" s="574">
        <f t="shared" si="134"/>
        <v>157.50844110424694</v>
      </c>
      <c r="J280" s="575">
        <f t="shared" si="135"/>
        <v>1.564447418056242</v>
      </c>
      <c r="K280" s="575">
        <f t="shared" si="136"/>
        <v>1.0007034772513586</v>
      </c>
      <c r="L280" s="576">
        <f t="shared" si="137"/>
        <v>3.7498402594468225E-2</v>
      </c>
      <c r="M280" s="575">
        <f t="shared" si="138"/>
        <v>1.0332980170831152</v>
      </c>
      <c r="N280" s="576">
        <f t="shared" si="139"/>
        <v>-0.25455673910864135</v>
      </c>
      <c r="O280" s="574">
        <f t="shared" si="140"/>
        <v>341054.43967811606</v>
      </c>
      <c r="P280" s="577">
        <f t="shared" si="141"/>
        <v>1.5707933947116757</v>
      </c>
      <c r="Q280" s="586">
        <f t="shared" si="163"/>
        <v>63.671348716271126</v>
      </c>
      <c r="R280" s="587">
        <f t="shared" si="164"/>
        <v>1.5550900297559029</v>
      </c>
      <c r="S280" s="574">
        <f t="shared" si="142"/>
        <v>1.0616512396737756</v>
      </c>
      <c r="T280" s="577">
        <f t="shared" si="143"/>
        <v>0.34246750665489722</v>
      </c>
      <c r="U280" s="578">
        <f t="shared" si="155"/>
        <v>0.8109605621980297</v>
      </c>
      <c r="V280" s="579">
        <f t="shared" si="156"/>
        <v>-0.79245753192041946</v>
      </c>
      <c r="W280" s="580">
        <f t="shared" si="144"/>
        <v>-13.282618719675769</v>
      </c>
      <c r="X280" s="581">
        <f t="shared" si="145"/>
        <v>-167.9989124173278</v>
      </c>
      <c r="Y280" s="584">
        <f t="shared" si="146"/>
        <v>12.001087582672199</v>
      </c>
      <c r="AA280" s="147">
        <f t="shared" si="147"/>
        <v>18093.5</v>
      </c>
      <c r="AB280" s="147">
        <f t="shared" si="148"/>
        <v>327374742.25</v>
      </c>
      <c r="AD280" s="583">
        <f t="shared" si="149"/>
        <v>30.008219519015036</v>
      </c>
      <c r="AE280" s="584">
        <f t="shared" si="150"/>
        <v>-20.521679311262897</v>
      </c>
      <c r="AG280" s="583">
        <f t="shared" si="151"/>
        <v>15.451417706768513</v>
      </c>
      <c r="AH280" s="584">
        <f t="shared" si="152"/>
        <v>-56.668288957513063</v>
      </c>
      <c r="AJ280" s="147">
        <f t="shared" si="153"/>
        <v>0</v>
      </c>
      <c r="AK280" s="147">
        <f t="shared" si="165"/>
        <v>0</v>
      </c>
      <c r="AM280" s="147" t="str">
        <f t="shared" si="157"/>
        <v>0.688367008060269+0.950202545952541i</v>
      </c>
      <c r="AN280" s="147" t="str">
        <f t="shared" si="158"/>
        <v>1.25388520508359i</v>
      </c>
      <c r="AO280" s="147" t="str">
        <f t="shared" si="159"/>
        <v>0.75780664936484-0.548987263961201i</v>
      </c>
      <c r="AP280" s="147" t="str">
        <f t="shared" si="160"/>
        <v>0.0519388319899552-0.15836709099209i</v>
      </c>
      <c r="AQ280" s="147" t="str">
        <f t="shared" si="161"/>
        <v>0.948061168010045+0.15836709099209i</v>
      </c>
      <c r="AR280" s="147" t="str">
        <f t="shared" si="162"/>
        <v>0.854783911332158-0.142785767450693i</v>
      </c>
    </row>
    <row r="281" spans="7:44">
      <c r="G281" s="585">
        <v>18197</v>
      </c>
      <c r="H281" s="573">
        <f t="shared" si="154"/>
        <v>18.196999999999999</v>
      </c>
      <c r="I281" s="574">
        <f t="shared" si="134"/>
        <v>158.4093982665045</v>
      </c>
      <c r="J281" s="575">
        <f t="shared" si="135"/>
        <v>1.5644835281044234</v>
      </c>
      <c r="K281" s="575">
        <f t="shared" si="136"/>
        <v>1.0007115455833824</v>
      </c>
      <c r="L281" s="576">
        <f t="shared" si="137"/>
        <v>3.7712701444996735E-2</v>
      </c>
      <c r="M281" s="575">
        <f t="shared" si="138"/>
        <v>1.033673831104537</v>
      </c>
      <c r="N281" s="576">
        <f t="shared" si="139"/>
        <v>-0.25595027607084991</v>
      </c>
      <c r="O281" s="574">
        <f t="shared" si="140"/>
        <v>343005.36871375772</v>
      </c>
      <c r="P281" s="577">
        <f t="shared" si="141"/>
        <v>1.5707934113886342</v>
      </c>
      <c r="Q281" s="586">
        <f t="shared" si="163"/>
        <v>64.035477474052129</v>
      </c>
      <c r="R281" s="587">
        <f t="shared" si="164"/>
        <v>1.5551793486924683</v>
      </c>
      <c r="S281" s="574">
        <f t="shared" si="142"/>
        <v>1.0623378223947144</v>
      </c>
      <c r="T281" s="577">
        <f t="shared" si="143"/>
        <v>0.34427572967225661</v>
      </c>
      <c r="U281" s="578">
        <f t="shared" si="155"/>
        <v>0.80933898300580653</v>
      </c>
      <c r="V281" s="579">
        <f t="shared" si="156"/>
        <v>-0.79622675856353942</v>
      </c>
      <c r="W281" s="580">
        <f t="shared" si="144"/>
        <v>-13.351945506703069</v>
      </c>
      <c r="X281" s="581">
        <f t="shared" si="145"/>
        <v>-168.38299442138143</v>
      </c>
      <c r="Y281" s="584">
        <f t="shared" si="146"/>
        <v>11.617005578618574</v>
      </c>
      <c r="AA281" s="147">
        <f t="shared" si="147"/>
        <v>18197</v>
      </c>
      <c r="AB281" s="147">
        <f t="shared" si="148"/>
        <v>331130809</v>
      </c>
      <c r="AD281" s="583">
        <f t="shared" si="149"/>
        <v>30.002591913015507</v>
      </c>
      <c r="AE281" s="584">
        <f t="shared" si="150"/>
        <v>-20.620166216112089</v>
      </c>
      <c r="AG281" s="583">
        <f t="shared" si="151"/>
        <v>15.42248953495838</v>
      </c>
      <c r="AH281" s="584">
        <f t="shared" si="152"/>
        <v>-56.521962498865868</v>
      </c>
      <c r="AJ281" s="147">
        <f t="shared" si="153"/>
        <v>0</v>
      </c>
      <c r="AK281" s="147">
        <f t="shared" si="165"/>
        <v>0</v>
      </c>
      <c r="AM281" s="147" t="str">
        <f t="shared" si="157"/>
        <v>0.695190371723071+0.952413298158778i</v>
      </c>
      <c r="AN281" s="147" t="str">
        <f t="shared" si="158"/>
        <v>1.26105778743229i</v>
      </c>
      <c r="AO281" s="147" t="str">
        <f t="shared" si="159"/>
        <v>0.755249527539923-0.551275586774328i</v>
      </c>
      <c r="AP281" s="147" t="str">
        <f t="shared" si="160"/>
        <v>0.0508016047128215-0.15873554969313i</v>
      </c>
      <c r="AQ281" s="147" t="str">
        <f t="shared" si="161"/>
        <v>0.949198395287179+0.15873554969313i</v>
      </c>
      <c r="AR281" s="147" t="str">
        <f t="shared" si="162"/>
        <v>0.853707594974254-0.142766512288971i</v>
      </c>
    </row>
    <row r="282" spans="7:44">
      <c r="G282" s="585">
        <v>18303</v>
      </c>
      <c r="H282" s="573">
        <f t="shared" si="154"/>
        <v>18.303000000000001</v>
      </c>
      <c r="I282" s="574">
        <f t="shared" si="134"/>
        <v>159.33211789070739</v>
      </c>
      <c r="J282" s="575">
        <f t="shared" si="135"/>
        <v>1.5645200870858782</v>
      </c>
      <c r="K282" s="575">
        <f t="shared" si="136"/>
        <v>1.0007198564370525</v>
      </c>
      <c r="L282" s="576">
        <f t="shared" si="137"/>
        <v>3.7932173004106354E-2</v>
      </c>
      <c r="M282" s="575">
        <f t="shared" si="138"/>
        <v>1.0340608018794912</v>
      </c>
      <c r="N282" s="576">
        <f t="shared" si="139"/>
        <v>-0.25737642058235005</v>
      </c>
      <c r="O282" s="574">
        <f t="shared" si="140"/>
        <v>345003.42163914931</v>
      </c>
      <c r="P282" s="577">
        <f t="shared" si="141"/>
        <v>1.570793428272919</v>
      </c>
      <c r="Q282" s="586">
        <f t="shared" si="163"/>
        <v>64.408402135921847</v>
      </c>
      <c r="R282" s="587">
        <f t="shared" si="164"/>
        <v>1.5552697782869689</v>
      </c>
      <c r="S282" s="574">
        <f t="shared" si="142"/>
        <v>1.0630445848845824</v>
      </c>
      <c r="T282" s="577">
        <f t="shared" si="143"/>
        <v>0.34612520231332172</v>
      </c>
      <c r="U282" s="578">
        <f t="shared" si="155"/>
        <v>0.80767787074641717</v>
      </c>
      <c r="V282" s="579">
        <f t="shared" si="156"/>
        <v>-0.80007743591112213</v>
      </c>
      <c r="W282" s="580">
        <f t="shared" si="144"/>
        <v>-13.422704436056998</v>
      </c>
      <c r="X282" s="581">
        <f t="shared" si="145"/>
        <v>-168.77564063482669</v>
      </c>
      <c r="Y282" s="584">
        <f t="shared" si="146"/>
        <v>11.224359365173314</v>
      </c>
      <c r="AA282" s="147">
        <f t="shared" si="147"/>
        <v>18303</v>
      </c>
      <c r="AB282" s="147">
        <f t="shared" si="148"/>
        <v>334999809</v>
      </c>
      <c r="AD282" s="583">
        <f t="shared" si="149"/>
        <v>29.996802968832714</v>
      </c>
      <c r="AE282" s="584">
        <f t="shared" si="150"/>
        <v>-20.720952926175492</v>
      </c>
      <c r="AG282" s="583">
        <f t="shared" si="151"/>
        <v>15.393210563899579</v>
      </c>
      <c r="AH282" s="584">
        <f t="shared" si="152"/>
        <v>-56.372566881177278</v>
      </c>
      <c r="AJ282" s="147">
        <f t="shared" si="153"/>
        <v>0</v>
      </c>
      <c r="AK282" s="147">
        <f t="shared" si="165"/>
        <v>0</v>
      </c>
      <c r="AM282" s="147" t="str">
        <f t="shared" si="157"/>
        <v>0.702194801880606+0.954626662089986i</v>
      </c>
      <c r="AN282" s="147" t="str">
        <f t="shared" si="158"/>
        <v>1.26840362056236i</v>
      </c>
      <c r="AO282" s="147" t="str">
        <f t="shared" si="159"/>
        <v>0.752620574881947-0.553605169913722i</v>
      </c>
      <c r="AP282" s="147" t="str">
        <f t="shared" si="160"/>
        <v>0.0496341996865657-0.159104443681664i</v>
      </c>
      <c r="AQ282" s="147" t="str">
        <f t="shared" si="161"/>
        <v>0.950365800313434+0.159104443681664i</v>
      </c>
      <c r="AR282" s="147" t="str">
        <f t="shared" si="162"/>
        <v>0.852608201999319-0.142738463034746i</v>
      </c>
    </row>
    <row r="283" spans="7:44">
      <c r="G283" s="585">
        <v>18409</v>
      </c>
      <c r="H283" s="573">
        <f t="shared" si="154"/>
        <v>18.408999999999999</v>
      </c>
      <c r="I283" s="574">
        <f t="shared" si="134"/>
        <v>160.25483772541475</v>
      </c>
      <c r="J283" s="575">
        <f t="shared" si="135"/>
        <v>1.5645562250667071</v>
      </c>
      <c r="K283" s="575">
        <f t="shared" si="136"/>
        <v>1.0007282154923596</v>
      </c>
      <c r="L283" s="576">
        <f t="shared" si="137"/>
        <v>3.8151640907307292E-2</v>
      </c>
      <c r="M283" s="575">
        <f t="shared" si="138"/>
        <v>1.0344498742424622</v>
      </c>
      <c r="N283" s="576">
        <f t="shared" si="139"/>
        <v>-0.25880149520110912</v>
      </c>
      <c r="O283" s="574">
        <f t="shared" si="140"/>
        <v>347001.47456454096</v>
      </c>
      <c r="P283" s="577">
        <f t="shared" si="141"/>
        <v>1.5707934449627625</v>
      </c>
      <c r="Q283" s="586">
        <f t="shared" si="163"/>
        <v>64.781327318427913</v>
      </c>
      <c r="R283" s="587">
        <f t="shared" si="164"/>
        <v>1.5553591667342446</v>
      </c>
      <c r="S283" s="574">
        <f t="shared" si="142"/>
        <v>1.063754978731543</v>
      </c>
      <c r="T283" s="577">
        <f t="shared" si="143"/>
        <v>0.34797221104596054</v>
      </c>
      <c r="U283" s="578">
        <f t="shared" si="155"/>
        <v>0.80601646117341397</v>
      </c>
      <c r="V283" s="579">
        <f t="shared" si="156"/>
        <v>-0.80391843147109299</v>
      </c>
      <c r="W283" s="580">
        <f t="shared" si="144"/>
        <v>-13.493220764768326</v>
      </c>
      <c r="X283" s="581">
        <f t="shared" si="145"/>
        <v>-169.16756538092056</v>
      </c>
      <c r="Y283" s="584">
        <f t="shared" si="146"/>
        <v>10.832434619079436</v>
      </c>
      <c r="AA283" s="147">
        <f t="shared" si="147"/>
        <v>18409</v>
      </c>
      <c r="AB283" s="147">
        <f t="shared" si="148"/>
        <v>338891281</v>
      </c>
      <c r="AD283" s="583">
        <f t="shared" si="149"/>
        <v>29.990988423452876</v>
      </c>
      <c r="AE283" s="584">
        <f t="shared" si="150"/>
        <v>-20.821658106886041</v>
      </c>
      <c r="AG283" s="583">
        <f t="shared" si="151"/>
        <v>15.364279682177472</v>
      </c>
      <c r="AH283" s="584">
        <f t="shared" si="152"/>
        <v>-56.22364077662801</v>
      </c>
      <c r="AJ283" s="147">
        <f t="shared" si="153"/>
        <v>0</v>
      </c>
      <c r="AK283" s="147">
        <f t="shared" si="165"/>
        <v>0</v>
      </c>
      <c r="AM283" s="147" t="str">
        <f t="shared" si="157"/>
        <v>0.709215301910897+0.956788513391141i</v>
      </c>
      <c r="AN283" s="147" t="str">
        <f t="shared" si="158"/>
        <v>1.27574945369242i</v>
      </c>
      <c r="AO283" s="147" t="str">
        <f t="shared" si="159"/>
        <v>0.749981519193988-0.555920521743674i</v>
      </c>
      <c r="AP283" s="147" t="str">
        <f t="shared" si="160"/>
        <v>0.0484641163481838-0.159464752231857i</v>
      </c>
      <c r="AQ283" s="147" t="str">
        <f t="shared" si="161"/>
        <v>0.951535883651816+0.159464752231857i</v>
      </c>
      <c r="AR283" s="147" t="str">
        <f t="shared" si="162"/>
        <v>0.851511820863211-0.142702050305584i</v>
      </c>
    </row>
    <row r="284" spans="7:44">
      <c r="G284" s="585">
        <v>18515</v>
      </c>
      <c r="H284" s="573">
        <f t="shared" si="154"/>
        <v>18.515000000000001</v>
      </c>
      <c r="I284" s="574">
        <f t="shared" si="134"/>
        <v>161.17755776701122</v>
      </c>
      <c r="J284" s="575">
        <f t="shared" si="135"/>
        <v>1.5645919492773324</v>
      </c>
      <c r="K284" s="575">
        <f t="shared" si="136"/>
        <v>1.000736622748096</v>
      </c>
      <c r="L284" s="576">
        <f t="shared" si="137"/>
        <v>3.837110513354957E-2</v>
      </c>
      <c r="M284" s="575">
        <f t="shared" si="138"/>
        <v>1.0348410458230286</v>
      </c>
      <c r="N284" s="576">
        <f t="shared" si="139"/>
        <v>-0.26022549534896605</v>
      </c>
      <c r="O284" s="574">
        <f t="shared" si="140"/>
        <v>348999.52748993272</v>
      </c>
      <c r="P284" s="577">
        <f t="shared" si="141"/>
        <v>1.5707934614615044</v>
      </c>
      <c r="Q284" s="586">
        <f t="shared" si="163"/>
        <v>65.154253012630434</v>
      </c>
      <c r="R284" s="587">
        <f t="shared" si="164"/>
        <v>1.5554475319106076</v>
      </c>
      <c r="S284" s="574">
        <f t="shared" si="142"/>
        <v>1.0644689966652283</v>
      </c>
      <c r="T284" s="577">
        <f t="shared" si="143"/>
        <v>0.34981674821391157</v>
      </c>
      <c r="U284" s="578">
        <f t="shared" si="155"/>
        <v>0.80435482540140057</v>
      </c>
      <c r="V284" s="579">
        <f t="shared" si="156"/>
        <v>-0.80774977204650056</v>
      </c>
      <c r="W284" s="580">
        <f t="shared" si="144"/>
        <v>-13.563497171098211</v>
      </c>
      <c r="X284" s="581">
        <f t="shared" si="145"/>
        <v>-169.55876888581665</v>
      </c>
      <c r="Y284" s="584">
        <f t="shared" si="146"/>
        <v>10.441231114183353</v>
      </c>
      <c r="AA284" s="147">
        <f t="shared" si="147"/>
        <v>18515</v>
      </c>
      <c r="AB284" s="147">
        <f t="shared" si="148"/>
        <v>342805225</v>
      </c>
      <c r="AD284" s="583">
        <f t="shared" si="149"/>
        <v>29.985148385656842</v>
      </c>
      <c r="AE284" s="584">
        <f t="shared" si="150"/>
        <v>-20.922280295526384</v>
      </c>
      <c r="AG284" s="583">
        <f t="shared" si="151"/>
        <v>15.335692909762981</v>
      </c>
      <c r="AH284" s="584">
        <f t="shared" si="152"/>
        <v>-56.075182802685973</v>
      </c>
      <c r="AJ284" s="147">
        <f t="shared" si="153"/>
        <v>0</v>
      </c>
      <c r="AK284" s="147">
        <f t="shared" si="165"/>
        <v>0</v>
      </c>
      <c r="AM284" s="147" t="str">
        <f t="shared" si="157"/>
        <v>0.716251492980608+0.958898735406542i</v>
      </c>
      <c r="AN284" s="147" t="str">
        <f t="shared" si="158"/>
        <v>1.28309528682249i</v>
      </c>
      <c r="AO284" s="147" t="str">
        <f t="shared" si="159"/>
        <v>0.747332443080824-0.558221591441087i</v>
      </c>
      <c r="AP284" s="147" t="str">
        <f t="shared" si="160"/>
        <v>0.0472914178365653-0.15981645590109i</v>
      </c>
      <c r="AQ284" s="147" t="str">
        <f t="shared" si="161"/>
        <v>0.952708582163435+0.15981645590109i</v>
      </c>
      <c r="AR284" s="147" t="str">
        <f t="shared" si="162"/>
        <v>0.85041850650445-0.142657339596553i</v>
      </c>
    </row>
    <row r="285" spans="7:44">
      <c r="G285" s="585">
        <v>18621</v>
      </c>
      <c r="H285" s="573">
        <f t="shared" si="154"/>
        <v>18.620999999999999</v>
      </c>
      <c r="I285" s="574">
        <f t="shared" si="134"/>
        <v>162.10027801196384</v>
      </c>
      <c r="J285" s="575">
        <f t="shared" si="135"/>
        <v>1.5646272667835504</v>
      </c>
      <c r="K285" s="575">
        <f t="shared" si="136"/>
        <v>1.0007450782030469</v>
      </c>
      <c r="L285" s="576">
        <f t="shared" si="137"/>
        <v>3.8590565661785342E-2</v>
      </c>
      <c r="M285" s="575">
        <f t="shared" si="138"/>
        <v>1.0352343142415716</v>
      </c>
      <c r="N285" s="576">
        <f t="shared" si="139"/>
        <v>-0.26164841647209053</v>
      </c>
      <c r="O285" s="574">
        <f t="shared" si="140"/>
        <v>350997.58041532454</v>
      </c>
      <c r="P285" s="577">
        <f t="shared" si="141"/>
        <v>1.5707934777724082</v>
      </c>
      <c r="Q285" s="586">
        <f t="shared" si="163"/>
        <v>65.527179209792934</v>
      </c>
      <c r="R285" s="587">
        <f t="shared" si="164"/>
        <v>1.5555348912854865</v>
      </c>
      <c r="S285" s="574">
        <f t="shared" si="142"/>
        <v>1.0651866313977243</v>
      </c>
      <c r="T285" s="577">
        <f t="shared" si="143"/>
        <v>0.35165880624866153</v>
      </c>
      <c r="U285" s="578">
        <f t="shared" si="155"/>
        <v>0.80269303356763133</v>
      </c>
      <c r="V285" s="579">
        <f t="shared" si="156"/>
        <v>-0.81157148491994358</v>
      </c>
      <c r="W285" s="580">
        <f t="shared" si="144"/>
        <v>-13.633536281210606</v>
      </c>
      <c r="X285" s="581">
        <f t="shared" si="145"/>
        <v>-169.94925142344243</v>
      </c>
      <c r="Y285" s="584">
        <f t="shared" si="146"/>
        <v>10.050748576557567</v>
      </c>
      <c r="AA285" s="147">
        <f t="shared" si="147"/>
        <v>18621</v>
      </c>
      <c r="AB285" s="147">
        <f t="shared" si="148"/>
        <v>346741641</v>
      </c>
      <c r="AD285" s="583">
        <f t="shared" si="149"/>
        <v>29.979282964499721</v>
      </c>
      <c r="AE285" s="584">
        <f t="shared" si="150"/>
        <v>-21.022818057715075</v>
      </c>
      <c r="AG285" s="583">
        <f t="shared" si="151"/>
        <v>15.307446329098264</v>
      </c>
      <c r="AH285" s="584">
        <f t="shared" si="152"/>
        <v>-55.927191541304417</v>
      </c>
      <c r="AJ285" s="147">
        <f t="shared" si="153"/>
        <v>0</v>
      </c>
      <c r="AK285" s="147">
        <f t="shared" si="165"/>
        <v>0</v>
      </c>
      <c r="AM285" s="147" t="str">
        <f t="shared" si="157"/>
        <v>0.723302995409671+0.960957214266452i</v>
      </c>
      <c r="AN285" s="147" t="str">
        <f t="shared" si="158"/>
        <v>1.29044111995256i</v>
      </c>
      <c r="AO285" s="147" t="str">
        <f t="shared" si="159"/>
        <v>0.744673429425264-0.560508328683963i</v>
      </c>
      <c r="AP285" s="147" t="str">
        <f t="shared" si="160"/>
        <v>0.0461161674317215-0.160159535711075i</v>
      </c>
      <c r="AQ285" s="147" t="str">
        <f t="shared" si="161"/>
        <v>0.953883832568278+0.160159535711075i</v>
      </c>
      <c r="AR285" s="147" t="str">
        <f t="shared" si="162"/>
        <v>0.849328312747855-0.142604396459598i</v>
      </c>
    </row>
    <row r="286" spans="7:44">
      <c r="G286" s="585">
        <v>18729.5</v>
      </c>
      <c r="H286" s="573">
        <f t="shared" si="154"/>
        <v>18.729500000000002</v>
      </c>
      <c r="I286" s="574">
        <f t="shared" si="134"/>
        <v>163.04476073384771</v>
      </c>
      <c r="J286" s="575">
        <f t="shared" si="135"/>
        <v>1.5646630032514954</v>
      </c>
      <c r="K286" s="575">
        <f t="shared" si="136"/>
        <v>1.0007537829956106</v>
      </c>
      <c r="L286" s="576">
        <f t="shared" si="137"/>
        <v>3.8815198294047566E-2</v>
      </c>
      <c r="M286" s="575">
        <f t="shared" si="138"/>
        <v>1.0356390269669848</v>
      </c>
      <c r="N286" s="576">
        <f t="shared" si="139"/>
        <v>-0.26310377483010411</v>
      </c>
      <c r="O286" s="574">
        <f t="shared" si="140"/>
        <v>353042.75723046629</v>
      </c>
      <c r="P286" s="577">
        <f t="shared" si="141"/>
        <v>1.5707934942767965</v>
      </c>
      <c r="Q286" s="586">
        <f t="shared" si="163"/>
        <v>65.908901348115592</v>
      </c>
      <c r="R286" s="587">
        <f t="shared" si="164"/>
        <v>1.5556232871786364</v>
      </c>
      <c r="S286" s="574">
        <f t="shared" si="142"/>
        <v>1.0659249296099957</v>
      </c>
      <c r="T286" s="577">
        <f t="shared" si="143"/>
        <v>0.35354173371250031</v>
      </c>
      <c r="U286" s="578">
        <f t="shared" si="155"/>
        <v>0.80099195909143617</v>
      </c>
      <c r="V286" s="579">
        <f t="shared" si="156"/>
        <v>-0.81547339051935153</v>
      </c>
      <c r="W286" s="580">
        <f t="shared" si="144"/>
        <v>-13.704984187869174</v>
      </c>
      <c r="X286" s="581">
        <f t="shared" si="145"/>
        <v>-170.34819711624976</v>
      </c>
      <c r="Y286" s="584">
        <f t="shared" si="146"/>
        <v>9.6518028837502357</v>
      </c>
      <c r="AA286" s="147">
        <f t="shared" si="147"/>
        <v>18729.5</v>
      </c>
      <c r="AB286" s="147">
        <f t="shared" si="148"/>
        <v>350794170.25</v>
      </c>
      <c r="AD286" s="583">
        <f t="shared" si="149"/>
        <v>29.973253033629163</v>
      </c>
      <c r="AE286" s="584">
        <f t="shared" si="150"/>
        <v>-21.125638088667824</v>
      </c>
      <c r="AG286" s="583">
        <f t="shared" si="151"/>
        <v>15.278881852034676</v>
      </c>
      <c r="AH286" s="584">
        <f t="shared" si="152"/>
        <v>-55.776191756839026</v>
      </c>
      <c r="AJ286" s="147">
        <f t="shared" si="153"/>
        <v>0</v>
      </c>
      <c r="AK286" s="147">
        <f t="shared" si="165"/>
        <v>0</v>
      </c>
      <c r="AM286" s="147" t="str">
        <f t="shared" si="157"/>
        <v>0.730536266975077+0.963010538148089i</v>
      </c>
      <c r="AN286" s="147" t="str">
        <f t="shared" si="158"/>
        <v>1.29796020386399i</v>
      </c>
      <c r="AO286" s="147" t="str">
        <f t="shared" si="159"/>
        <v>0.741941498114684-0.562834102925723i</v>
      </c>
      <c r="AP286" s="147" t="str">
        <f t="shared" si="160"/>
        <v>0.0449106221708205-0.160501756358015i</v>
      </c>
      <c r="AQ286" s="147" t="str">
        <f t="shared" si="161"/>
        <v>0.955089377829179+0.160501756358015i</v>
      </c>
      <c r="AR286" s="147" t="str">
        <f t="shared" si="162"/>
        <v>0.848215693766876-0.142541747170771i</v>
      </c>
    </row>
    <row r="287" spans="7:44">
      <c r="G287" s="585">
        <v>18838</v>
      </c>
      <c r="H287" s="573">
        <f t="shared" si="154"/>
        <v>18.838000000000001</v>
      </c>
      <c r="I287" s="574">
        <f t="shared" si="134"/>
        <v>163.98924366155671</v>
      </c>
      <c r="J287" s="575">
        <f t="shared" si="135"/>
        <v>1.5646983280768296</v>
      </c>
      <c r="K287" s="575">
        <f t="shared" si="136"/>
        <v>1.0007625382851497</v>
      </c>
      <c r="L287" s="576">
        <f t="shared" si="137"/>
        <v>3.9039827007193995E-2</v>
      </c>
      <c r="M287" s="575">
        <f t="shared" si="138"/>
        <v>1.0360459315297754</v>
      </c>
      <c r="N287" s="576">
        <f t="shared" si="139"/>
        <v>-0.26455799308920813</v>
      </c>
      <c r="O287" s="574">
        <f t="shared" si="140"/>
        <v>355087.93404560816</v>
      </c>
      <c r="P287" s="577">
        <f t="shared" si="141"/>
        <v>1.5707935105910662</v>
      </c>
      <c r="Q287" s="586">
        <f t="shared" si="163"/>
        <v>66.290623995508369</v>
      </c>
      <c r="R287" s="587">
        <f t="shared" si="164"/>
        <v>1.5557106650487262</v>
      </c>
      <c r="S287" s="574">
        <f t="shared" si="142"/>
        <v>1.0666670017300746</v>
      </c>
      <c r="T287" s="577">
        <f t="shared" si="143"/>
        <v>0.35542204795849486</v>
      </c>
      <c r="U287" s="578">
        <f t="shared" si="155"/>
        <v>0.79929086668954263</v>
      </c>
      <c r="V287" s="579">
        <f t="shared" si="156"/>
        <v>-0.81936526826513456</v>
      </c>
      <c r="W287" s="580">
        <f t="shared" si="144"/>
        <v>-13.776188879415397</v>
      </c>
      <c r="X287" s="581">
        <f t="shared" si="145"/>
        <v>-170.74638816285309</v>
      </c>
      <c r="Y287" s="584">
        <f t="shared" si="146"/>
        <v>9.2536118371469058</v>
      </c>
      <c r="AA287" s="147">
        <f t="shared" si="147"/>
        <v>18838</v>
      </c>
      <c r="AB287" s="147">
        <f t="shared" si="148"/>
        <v>354870244</v>
      </c>
      <c r="AD287" s="583">
        <f t="shared" si="149"/>
        <v>29.967196739999199</v>
      </c>
      <c r="AE287" s="584">
        <f t="shared" si="150"/>
        <v>-21.228366710798824</v>
      </c>
      <c r="AG287" s="583">
        <f t="shared" si="151"/>
        <v>15.250665691830891</v>
      </c>
      <c r="AH287" s="584">
        <f t="shared" si="152"/>
        <v>-55.625677842373243</v>
      </c>
      <c r="AJ287" s="147">
        <f t="shared" si="153"/>
        <v>0</v>
      </c>
      <c r="AK287" s="147">
        <f t="shared" si="165"/>
        <v>0</v>
      </c>
      <c r="AM287" s="147" t="str">
        <f t="shared" si="157"/>
        <v>0.737784773038167+0.96500941692263i</v>
      </c>
      <c r="AN287" s="147" t="str">
        <f t="shared" si="158"/>
        <v>1.30547928777543i</v>
      </c>
      <c r="AO287" s="147" t="str">
        <f t="shared" si="159"/>
        <v>0.739199331585743-0.565144755605714i</v>
      </c>
      <c r="AP287" s="147" t="str">
        <f t="shared" si="160"/>
        <v>0.0437025378269722-0.160834902820438i</v>
      </c>
      <c r="AQ287" s="147" t="str">
        <f t="shared" si="161"/>
        <v>0.956297462173028+0.160834902820438i</v>
      </c>
      <c r="AR287" s="147" t="str">
        <f t="shared" si="162"/>
        <v>0.847106454909866-0.142470611648808i</v>
      </c>
    </row>
    <row r="288" spans="7:44">
      <c r="G288" s="585">
        <v>18946.5</v>
      </c>
      <c r="H288" s="573">
        <f t="shared" si="154"/>
        <v>18.9465</v>
      </c>
      <c r="I288" s="574">
        <f t="shared" si="134"/>
        <v>164.93372679155493</v>
      </c>
      <c r="J288" s="575">
        <f t="shared" si="135"/>
        <v>1.5647332483312044</v>
      </c>
      <c r="K288" s="575">
        <f t="shared" si="136"/>
        <v>1.0007713440703385</v>
      </c>
      <c r="L288" s="576">
        <f t="shared" si="137"/>
        <v>3.9264451778659129E-2</v>
      </c>
      <c r="M288" s="575">
        <f t="shared" si="138"/>
        <v>1.0364550253484457</v>
      </c>
      <c r="N288" s="576">
        <f t="shared" si="139"/>
        <v>-0.26601106644520278</v>
      </c>
      <c r="O288" s="574">
        <f t="shared" si="140"/>
        <v>357133.11086075002</v>
      </c>
      <c r="P288" s="577">
        <f t="shared" si="141"/>
        <v>1.5707935267184836</v>
      </c>
      <c r="Q288" s="586">
        <f t="shared" si="163"/>
        <v>66.672347143227469</v>
      </c>
      <c r="R288" s="587">
        <f t="shared" si="164"/>
        <v>1.5557970423800542</v>
      </c>
      <c r="S288" s="574">
        <f t="shared" si="142"/>
        <v>1.0674128398870277</v>
      </c>
      <c r="T288" s="577">
        <f t="shared" si="143"/>
        <v>0.35729974115471702</v>
      </c>
      <c r="U288" s="578">
        <f t="shared" si="155"/>
        <v>0.79758982842708726</v>
      </c>
      <c r="V288" s="579">
        <f t="shared" si="156"/>
        <v>-0.82324714891336936</v>
      </c>
      <c r="W288" s="580">
        <f t="shared" si="144"/>
        <v>-13.847153011127045</v>
      </c>
      <c r="X288" s="581">
        <f t="shared" si="145"/>
        <v>-171.14382500632837</v>
      </c>
      <c r="Y288" s="584">
        <f t="shared" si="146"/>
        <v>8.8561749936716296</v>
      </c>
      <c r="AA288" s="147">
        <f t="shared" si="147"/>
        <v>18946.5</v>
      </c>
      <c r="AB288" s="147">
        <f t="shared" si="148"/>
        <v>358969862.25</v>
      </c>
      <c r="AD288" s="583">
        <f t="shared" si="149"/>
        <v>29.961114201388703</v>
      </c>
      <c r="AE288" s="584">
        <f t="shared" si="150"/>
        <v>-21.331002473782313</v>
      </c>
      <c r="AG288" s="583">
        <f t="shared" si="151"/>
        <v>15.222793842166272</v>
      </c>
      <c r="AH288" s="584">
        <f t="shared" si="152"/>
        <v>-55.475648166922007</v>
      </c>
      <c r="AJ288" s="147">
        <f t="shared" si="153"/>
        <v>0</v>
      </c>
      <c r="AK288" s="147">
        <f t="shared" si="165"/>
        <v>0</v>
      </c>
      <c r="AM288" s="147" t="str">
        <f t="shared" si="157"/>
        <v>0.7450481037948+0.966953737580745i</v>
      </c>
      <c r="AN288" s="147" t="str">
        <f t="shared" si="158"/>
        <v>1.31299837168686i</v>
      </c>
      <c r="AO288" s="147" t="str">
        <f t="shared" si="159"/>
        <v>0.736447019609371-0.567440234398469i</v>
      </c>
      <c r="AP288" s="147" t="str">
        <f t="shared" si="160"/>
        <v>0.0424919827008667-0.161158956263457i</v>
      </c>
      <c r="AQ288" s="147" t="str">
        <f t="shared" si="161"/>
        <v>0.957508017299133+0.161158956263457i</v>
      </c>
      <c r="AR288" s="147" t="str">
        <f t="shared" si="162"/>
        <v>0.84600065034373-0.142391060277679i</v>
      </c>
    </row>
    <row r="289" spans="7:44">
      <c r="G289" s="585">
        <v>19055</v>
      </c>
      <c r="H289" s="573">
        <f t="shared" si="154"/>
        <v>19.055</v>
      </c>
      <c r="I289" s="574">
        <f t="shared" si="134"/>
        <v>165.87821012038705</v>
      </c>
      <c r="J289" s="575">
        <f t="shared" si="135"/>
        <v>1.5647677709252164</v>
      </c>
      <c r="K289" s="575">
        <f t="shared" si="136"/>
        <v>1.0007802003498445</v>
      </c>
      <c r="L289" s="576">
        <f t="shared" si="137"/>
        <v>3.9489072585879866E-2</v>
      </c>
      <c r="M289" s="575">
        <f t="shared" si="138"/>
        <v>1.0368663058316945</v>
      </c>
      <c r="N289" s="576">
        <f t="shared" si="139"/>
        <v>-0.26746299012078895</v>
      </c>
      <c r="O289" s="574">
        <f t="shared" si="140"/>
        <v>359178.28767589212</v>
      </c>
      <c r="P289" s="577">
        <f t="shared" si="141"/>
        <v>1.5707935426622408</v>
      </c>
      <c r="Q289" s="586">
        <f t="shared" si="163"/>
        <v>67.054070782728161</v>
      </c>
      <c r="R289" s="587">
        <f t="shared" si="164"/>
        <v>1.5558824362588419</v>
      </c>
      <c r="S289" s="574">
        <f t="shared" si="142"/>
        <v>1.0681624361920155</v>
      </c>
      <c r="T289" s="577">
        <f t="shared" si="143"/>
        <v>0.35917480556498632</v>
      </c>
      <c r="U289" s="578">
        <f t="shared" si="155"/>
        <v>0.79588891531649664</v>
      </c>
      <c r="V289" s="579">
        <f t="shared" si="156"/>
        <v>-0.82711906370377419</v>
      </c>
      <c r="W289" s="580">
        <f t="shared" si="144"/>
        <v>-13.917879186680747</v>
      </c>
      <c r="X289" s="581">
        <f t="shared" si="145"/>
        <v>-171.54050813806532</v>
      </c>
      <c r="Y289" s="584">
        <f t="shared" si="146"/>
        <v>8.4594918619346799</v>
      </c>
      <c r="AA289" s="147">
        <f t="shared" si="147"/>
        <v>19055</v>
      </c>
      <c r="AB289" s="147">
        <f t="shared" si="148"/>
        <v>363093025</v>
      </c>
      <c r="AD289" s="583">
        <f t="shared" si="149"/>
        <v>29.955005535831923</v>
      </c>
      <c r="AE289" s="584">
        <f t="shared" si="150"/>
        <v>-21.433543955582319</v>
      </c>
      <c r="AG289" s="583">
        <f t="shared" si="151"/>
        <v>15.195262359784394</v>
      </c>
      <c r="AH289" s="584">
        <f t="shared" si="152"/>
        <v>-55.326101064103014</v>
      </c>
      <c r="AJ289" s="147">
        <f t="shared" si="153"/>
        <v>0</v>
      </c>
      <c r="AK289" s="147">
        <f t="shared" si="165"/>
        <v>0</v>
      </c>
      <c r="AM289" s="147" t="str">
        <f t="shared" si="157"/>
        <v>0.752325848602736+0.968843390197634i</v>
      </c>
      <c r="AN289" s="147" t="str">
        <f t="shared" si="158"/>
        <v>1.3205174555983i</v>
      </c>
      <c r="AO289" s="147" t="str">
        <f t="shared" si="159"/>
        <v>0.733684652247683-0.569720487535602i</v>
      </c>
      <c r="AP289" s="147" t="str">
        <f t="shared" si="160"/>
        <v>0.0412790252328773-0.161473898366272i</v>
      </c>
      <c r="AQ289" s="147" t="str">
        <f t="shared" si="161"/>
        <v>0.958720974767123+0.161473898366272i</v>
      </c>
      <c r="AR289" s="147" t="str">
        <f t="shared" si="162"/>
        <v>0.844898333059637-0.142303163436519i</v>
      </c>
    </row>
    <row r="290" spans="7:44">
      <c r="G290" s="585">
        <v>19165.75</v>
      </c>
      <c r="H290" s="573">
        <f t="shared" si="154"/>
        <v>19.165749999999999</v>
      </c>
      <c r="I290" s="574">
        <f t="shared" si="134"/>
        <v>166.84227971058857</v>
      </c>
      <c r="J290" s="575">
        <f t="shared" si="135"/>
        <v>1.5648026063230398</v>
      </c>
      <c r="K290" s="575">
        <f t="shared" si="136"/>
        <v>1.0007892923593742</v>
      </c>
      <c r="L290" s="576">
        <f t="shared" si="137"/>
        <v>3.971834731643667E-2</v>
      </c>
      <c r="M290" s="575">
        <f t="shared" si="138"/>
        <v>1.0372883676249176</v>
      </c>
      <c r="N290" s="576">
        <f t="shared" si="139"/>
        <v>-0.26894383219027068</v>
      </c>
      <c r="O290" s="574">
        <f t="shared" si="140"/>
        <v>361265.87599180901</v>
      </c>
      <c r="P290" s="577">
        <f t="shared" si="141"/>
        <v>1.5707935587504549</v>
      </c>
      <c r="Q290" s="586">
        <f t="shared" si="163"/>
        <v>67.443710848750257</v>
      </c>
      <c r="R290" s="587">
        <f t="shared" si="164"/>
        <v>1.5559686040626337</v>
      </c>
      <c r="S290" s="574">
        <f t="shared" si="142"/>
        <v>1.0689314447673635</v>
      </c>
      <c r="T290" s="577">
        <f t="shared" si="143"/>
        <v>0.36108603474338785</v>
      </c>
      <c r="U290" s="578">
        <f t="shared" si="155"/>
        <v>0.79415293153581545</v>
      </c>
      <c r="V290" s="579">
        <f t="shared" si="156"/>
        <v>-0.83106102659410164</v>
      </c>
      <c r="W290" s="580">
        <f t="shared" si="144"/>
        <v>-13.98982927619228</v>
      </c>
      <c r="X290" s="581">
        <f t="shared" si="145"/>
        <v>-171.94464065861411</v>
      </c>
      <c r="Y290" s="584">
        <f t="shared" si="146"/>
        <v>8.0553593413858948</v>
      </c>
      <c r="AA290" s="147">
        <f t="shared" si="147"/>
        <v>19165.75</v>
      </c>
      <c r="AB290" s="147">
        <f t="shared" si="148"/>
        <v>367325973.0625</v>
      </c>
      <c r="AD290" s="583">
        <f t="shared" si="149"/>
        <v>29.948743370437967</v>
      </c>
      <c r="AE290" s="584">
        <f t="shared" si="150"/>
        <v>-21.538113191606058</v>
      </c>
      <c r="AG290" s="583">
        <f t="shared" si="151"/>
        <v>15.16750694556525</v>
      </c>
      <c r="AH290" s="584">
        <f t="shared" si="152"/>
        <v>-55.173948674885956</v>
      </c>
      <c r="AJ290" s="147">
        <f t="shared" si="153"/>
        <v>0</v>
      </c>
      <c r="AK290" s="147">
        <f t="shared" si="165"/>
        <v>0</v>
      </c>
      <c r="AM290" s="147" t="str">
        <f t="shared" si="157"/>
        <v>0.759768952617906+0.97071573793449i</v>
      </c>
      <c r="AN290" s="147" t="str">
        <f t="shared" si="158"/>
        <v>1.32819246521297i</v>
      </c>
      <c r="AO290" s="147" t="str">
        <f t="shared" si="159"/>
        <v>0.730854724265312-0.572032271313992i</v>
      </c>
      <c r="AP290" s="147" t="str">
        <f t="shared" si="160"/>
        <v>0.0400385078970157-0.161785956322415i</v>
      </c>
      <c r="AQ290" s="147" t="str">
        <f t="shared" si="161"/>
        <v>0.959961492102984+0.161785956322415i</v>
      </c>
      <c r="AR290" s="147" t="str">
        <f t="shared" si="162"/>
        <v>0.843776806982773-0.142204910054597i</v>
      </c>
    </row>
    <row r="291" spans="7:44">
      <c r="G291" s="585">
        <v>19276.5</v>
      </c>
      <c r="H291" s="573">
        <f t="shared" si="154"/>
        <v>19.276499999999999</v>
      </c>
      <c r="I291" s="574">
        <f t="shared" si="134"/>
        <v>167.80634950092758</v>
      </c>
      <c r="J291" s="575">
        <f t="shared" si="135"/>
        <v>1.56483704145292</v>
      </c>
      <c r="K291" s="575">
        <f t="shared" si="136"/>
        <v>1.0007984369763392</v>
      </c>
      <c r="L291" s="576">
        <f t="shared" si="137"/>
        <v>3.9947617869131528E-2</v>
      </c>
      <c r="M291" s="575">
        <f t="shared" si="138"/>
        <v>1.0377127022275601</v>
      </c>
      <c r="N291" s="576">
        <f t="shared" si="139"/>
        <v>-0.27042346642997184</v>
      </c>
      <c r="O291" s="574">
        <f t="shared" si="140"/>
        <v>363353.46430772613</v>
      </c>
      <c r="P291" s="577">
        <f t="shared" si="141"/>
        <v>1.5707935746538046</v>
      </c>
      <c r="Q291" s="586">
        <f t="shared" si="163"/>
        <v>67.833351409781699</v>
      </c>
      <c r="R291" s="587">
        <f t="shared" si="164"/>
        <v>1.5560537819566107</v>
      </c>
      <c r="S291" s="574">
        <f t="shared" si="142"/>
        <v>1.0697043523099383</v>
      </c>
      <c r="T291" s="577">
        <f t="shared" si="143"/>
        <v>0.36299450899361752</v>
      </c>
      <c r="U291" s="578">
        <f t="shared" si="155"/>
        <v>0.7924172243347587</v>
      </c>
      <c r="V291" s="579">
        <f t="shared" si="156"/>
        <v>-0.83499267327763926</v>
      </c>
      <c r="W291" s="580">
        <f t="shared" si="144"/>
        <v>-14.061536761174089</v>
      </c>
      <c r="X291" s="581">
        <f t="shared" si="145"/>
        <v>-172.34798906751894</v>
      </c>
      <c r="Y291" s="584">
        <f t="shared" si="146"/>
        <v>7.6520109324810619</v>
      </c>
      <c r="AA291" s="147">
        <f t="shared" si="147"/>
        <v>19276.5</v>
      </c>
      <c r="AB291" s="147">
        <f t="shared" si="148"/>
        <v>371583452.25</v>
      </c>
      <c r="AD291" s="583">
        <f t="shared" si="149"/>
        <v>29.94245423253366</v>
      </c>
      <c r="AE291" s="584">
        <f t="shared" si="150"/>
        <v>-21.642581288935105</v>
      </c>
      <c r="AG291" s="583">
        <f t="shared" si="151"/>
        <v>15.140098054675121</v>
      </c>
      <c r="AH291" s="584">
        <f t="shared" si="152"/>
        <v>-55.022295462940356</v>
      </c>
      <c r="AJ291" s="147">
        <f t="shared" si="153"/>
        <v>0</v>
      </c>
      <c r="AK291" s="147">
        <f t="shared" si="165"/>
        <v>0</v>
      </c>
      <c r="AM291" s="147" t="str">
        <f t="shared" si="157"/>
        <v>0.767226207559056+0.972530905191532i</v>
      </c>
      <c r="AN291" s="147" t="str">
        <f t="shared" si="158"/>
        <v>1.33586747482764i</v>
      </c>
      <c r="AO291" s="147" t="str">
        <f t="shared" si="159"/>
        <v>0.728014510059849-0.57432808419716i</v>
      </c>
      <c r="AP291" s="147" t="str">
        <f t="shared" si="160"/>
        <v>0.0387956320734907-0.162088484198589i</v>
      </c>
      <c r="AQ291" s="147" t="str">
        <f t="shared" si="161"/>
        <v>0.961204367926509+0.162088484198589i</v>
      </c>
      <c r="AR291" s="147" t="str">
        <f t="shared" si="162"/>
        <v>0.842659022198978-0.142098109582187i</v>
      </c>
    </row>
    <row r="292" spans="7:44">
      <c r="G292" s="585">
        <v>19387.25</v>
      </c>
      <c r="H292" s="573">
        <f t="shared" si="154"/>
        <v>19.387250000000002</v>
      </c>
      <c r="I292" s="574">
        <f t="shared" si="134"/>
        <v>168.77041948797449</v>
      </c>
      <c r="J292" s="575">
        <f t="shared" si="135"/>
        <v>1.5648710831741455</v>
      </c>
      <c r="K292" s="575">
        <f t="shared" si="136"/>
        <v>1.0008076341992971</v>
      </c>
      <c r="L292" s="576">
        <f t="shared" si="137"/>
        <v>4.0176884219976103E-2</v>
      </c>
      <c r="M292" s="575">
        <f t="shared" si="138"/>
        <v>1.0381393068526215</v>
      </c>
      <c r="N292" s="576">
        <f t="shared" si="139"/>
        <v>-0.27190188784618513</v>
      </c>
      <c r="O292" s="574">
        <f t="shared" si="140"/>
        <v>365441.05262364325</v>
      </c>
      <c r="P292" s="577">
        <f t="shared" si="141"/>
        <v>1.5707935903754582</v>
      </c>
      <c r="Q292" s="586">
        <f t="shared" si="163"/>
        <v>68.222992457341036</v>
      </c>
      <c r="R292" s="587">
        <f t="shared" si="164"/>
        <v>1.5561379869005014</v>
      </c>
      <c r="S292" s="574">
        <f t="shared" si="142"/>
        <v>1.0704811503743572</v>
      </c>
      <c r="T292" s="577">
        <f t="shared" si="143"/>
        <v>0.36490022039573139</v>
      </c>
      <c r="U292" s="578">
        <f t="shared" si="155"/>
        <v>0.7906818658792828</v>
      </c>
      <c r="V292" s="579">
        <f t="shared" si="156"/>
        <v>-0.83891403846899881</v>
      </c>
      <c r="W292" s="580">
        <f t="shared" si="144"/>
        <v>-14.133004252686064</v>
      </c>
      <c r="X292" s="581">
        <f t="shared" si="145"/>
        <v>-172.75055403672641</v>
      </c>
      <c r="Y292" s="584">
        <f t="shared" si="146"/>
        <v>7.2494459632735868</v>
      </c>
      <c r="AA292" s="147">
        <f t="shared" si="147"/>
        <v>19387.25</v>
      </c>
      <c r="AB292" s="147">
        <f t="shared" si="148"/>
        <v>375865462.5625</v>
      </c>
      <c r="AD292" s="583">
        <f t="shared" si="149"/>
        <v>29.936138248402461</v>
      </c>
      <c r="AE292" s="584">
        <f t="shared" si="150"/>
        <v>-21.746946822250766</v>
      </c>
      <c r="AG292" s="583">
        <f t="shared" si="151"/>
        <v>15.113031688413432</v>
      </c>
      <c r="AH292" s="584">
        <f t="shared" si="152"/>
        <v>-54.871139547529822</v>
      </c>
      <c r="AJ292" s="147">
        <f t="shared" si="153"/>
        <v>0</v>
      </c>
      <c r="AK292" s="147">
        <f t="shared" si="165"/>
        <v>0</v>
      </c>
      <c r="AM292" s="147" t="str">
        <f t="shared" si="157"/>
        <v>0.774697174152979+0.974288785045454i</v>
      </c>
      <c r="AN292" s="147" t="str">
        <f t="shared" si="158"/>
        <v>1.34354248444231i</v>
      </c>
      <c r="AO292" s="147" t="str">
        <f t="shared" si="159"/>
        <v>0.725164106328853-0.576607872935665i</v>
      </c>
      <c r="AP292" s="147" t="str">
        <f t="shared" si="160"/>
        <v>0.0375504709745035-0.162381464174242i</v>
      </c>
      <c r="AQ292" s="147" t="str">
        <f t="shared" si="161"/>
        <v>0.962449529025497+0.162381464174242i</v>
      </c>
      <c r="AR292" s="147" t="str">
        <f t="shared" si="162"/>
        <v>0.84154503135451-0.141982836750169i</v>
      </c>
    </row>
    <row r="293" spans="7:44">
      <c r="G293" s="585">
        <v>19498</v>
      </c>
      <c r="H293" s="573">
        <f t="shared" si="154"/>
        <v>19.498000000000001</v>
      </c>
      <c r="I293" s="574">
        <f t="shared" si="134"/>
        <v>169.73448966837736</v>
      </c>
      <c r="J293" s="575">
        <f t="shared" si="135"/>
        <v>1.5649047381901691</v>
      </c>
      <c r="K293" s="575">
        <f t="shared" si="136"/>
        <v>1.0008168840267981</v>
      </c>
      <c r="L293" s="576">
        <f t="shared" si="137"/>
        <v>4.0406146344984677E-2</v>
      </c>
      <c r="M293" s="575">
        <f t="shared" si="138"/>
        <v>1.0385681787027827</v>
      </c>
      <c r="N293" s="576">
        <f t="shared" si="139"/>
        <v>-0.27337909147459377</v>
      </c>
      <c r="O293" s="574">
        <f t="shared" si="140"/>
        <v>367528.64093956049</v>
      </c>
      <c r="P293" s="577">
        <f t="shared" si="141"/>
        <v>1.5707936059185115</v>
      </c>
      <c r="Q293" s="586">
        <f t="shared" si="163"/>
        <v>68.612633983139546</v>
      </c>
      <c r="R293" s="587">
        <f t="shared" si="164"/>
        <v>1.5562212354688427</v>
      </c>
      <c r="S293" s="574">
        <f t="shared" si="142"/>
        <v>1.0712618304972834</v>
      </c>
      <c r="T293" s="577">
        <f t="shared" si="143"/>
        <v>0.36680316113297051</v>
      </c>
      <c r="U293" s="578">
        <f t="shared" si="155"/>
        <v>0.78894692721811488</v>
      </c>
      <c r="V293" s="579">
        <f t="shared" si="156"/>
        <v>-0.84282515736222952</v>
      </c>
      <c r="W293" s="580">
        <f t="shared" si="144"/>
        <v>-14.204234311277673</v>
      </c>
      <c r="X293" s="581">
        <f t="shared" si="145"/>
        <v>-173.15233628638532</v>
      </c>
      <c r="Y293" s="584">
        <f t="shared" si="146"/>
        <v>6.8476637136146792</v>
      </c>
      <c r="AA293" s="147">
        <f t="shared" si="147"/>
        <v>19498</v>
      </c>
      <c r="AB293" s="147">
        <f t="shared" si="148"/>
        <v>380172004</v>
      </c>
      <c r="AD293" s="583">
        <f t="shared" si="149"/>
        <v>29.92979554455821</v>
      </c>
      <c r="AE293" s="584">
        <f t="shared" si="150"/>
        <v>-21.851208394212108</v>
      </c>
      <c r="AG293" s="583">
        <f t="shared" si="151"/>
        <v>15.086303911068182</v>
      </c>
      <c r="AH293" s="584">
        <f t="shared" si="152"/>
        <v>-54.720479013203295</v>
      </c>
      <c r="AJ293" s="147">
        <f t="shared" si="153"/>
        <v>0</v>
      </c>
      <c r="AK293" s="147">
        <f t="shared" si="165"/>
        <v>0</v>
      </c>
      <c r="AM293" s="147" t="str">
        <f t="shared" si="157"/>
        <v>0.782181412318777+0.975989273947494i</v>
      </c>
      <c r="AN293" s="147" t="str">
        <f t="shared" si="158"/>
        <v>1.35121749405698i</v>
      </c>
      <c r="AO293" s="147" t="str">
        <f t="shared" si="159"/>
        <v>0.722303610070295-0.57887158489216i</v>
      </c>
      <c r="AP293" s="147" t="str">
        <f t="shared" si="160"/>
        <v>0.0363030979468705-0.162664878991249i</v>
      </c>
      <c r="AQ293" s="147" t="str">
        <f t="shared" si="161"/>
        <v>0.96369690205313+0.162664878991249i</v>
      </c>
      <c r="AR293" s="147" t="str">
        <f t="shared" si="162"/>
        <v>0.840434885873433-0.141859166216443i</v>
      </c>
    </row>
    <row r="294" spans="7:44">
      <c r="G294" s="585">
        <v>19611.75</v>
      </c>
      <c r="H294" s="573">
        <f t="shared" si="154"/>
        <v>19.611750000000001</v>
      </c>
      <c r="I294" s="574">
        <f t="shared" si="134"/>
        <v>170.72467481448942</v>
      </c>
      <c r="J294" s="575">
        <f t="shared" si="135"/>
        <v>1.5649389091759554</v>
      </c>
      <c r="K294" s="575">
        <f t="shared" si="136"/>
        <v>1.0008264391737016</v>
      </c>
      <c r="L294" s="576">
        <f t="shared" si="137"/>
        <v>4.0641614306433309E-2</v>
      </c>
      <c r="M294" s="575">
        <f t="shared" si="138"/>
        <v>1.0390110250789024</v>
      </c>
      <c r="N294" s="576">
        <f t="shared" si="139"/>
        <v>-0.27489503674904958</v>
      </c>
      <c r="O294" s="574">
        <f t="shared" si="140"/>
        <v>369672.77792317758</v>
      </c>
      <c r="P294" s="577">
        <f t="shared" si="141"/>
        <v>1.5707936216998513</v>
      </c>
      <c r="Q294" s="586">
        <f t="shared" si="163"/>
        <v>69.012830621999612</v>
      </c>
      <c r="R294" s="587">
        <f t="shared" si="164"/>
        <v>1.5563057605055641</v>
      </c>
      <c r="S294" s="574">
        <f t="shared" si="142"/>
        <v>1.0720676900218804</v>
      </c>
      <c r="T294" s="577">
        <f t="shared" si="143"/>
        <v>0.36875475643663119</v>
      </c>
      <c r="U294" s="578">
        <f t="shared" si="155"/>
        <v>0.78716550293656773</v>
      </c>
      <c r="V294" s="579">
        <f t="shared" si="156"/>
        <v>-0.84683159186271606</v>
      </c>
      <c r="W294" s="580">
        <f t="shared" si="144"/>
        <v>-14.277149322406055</v>
      </c>
      <c r="X294" s="581">
        <f t="shared" si="145"/>
        <v>-173.56418802424847</v>
      </c>
      <c r="Y294" s="584">
        <f t="shared" si="146"/>
        <v>6.435811975751534</v>
      </c>
      <c r="AA294" s="147">
        <f t="shared" si="147"/>
        <v>19611.75</v>
      </c>
      <c r="AB294" s="147">
        <f t="shared" si="148"/>
        <v>384620738.0625</v>
      </c>
      <c r="AD294" s="583">
        <f t="shared" si="149"/>
        <v>29.923253347251869</v>
      </c>
      <c r="AE294" s="584">
        <f t="shared" si="150"/>
        <v>-21.958184544888493</v>
      </c>
      <c r="AG294" s="583">
        <f t="shared" si="151"/>
        <v>15.059200532601318</v>
      </c>
      <c r="AH294" s="584">
        <f t="shared" si="152"/>
        <v>-54.566251024318504</v>
      </c>
      <c r="AJ294" s="147">
        <f t="shared" si="153"/>
        <v>0</v>
      </c>
      <c r="AK294" s="147">
        <f t="shared" si="165"/>
        <v>0</v>
      </c>
      <c r="AM294" s="147" t="str">
        <f t="shared" si="157"/>
        <v>0.789881736403619+0.977675976642181i</v>
      </c>
      <c r="AN294" s="147" t="str">
        <f t="shared" si="158"/>
        <v>1.35910040460929i</v>
      </c>
      <c r="AO294" s="147" t="str">
        <f t="shared" si="159"/>
        <v>0.719355224475296-0.581179825805947i</v>
      </c>
      <c r="AP294" s="147" t="str">
        <f t="shared" si="160"/>
        <v>0.0350197105993968-0.16294599610703i</v>
      </c>
      <c r="AQ294" s="147" t="str">
        <f t="shared" si="161"/>
        <v>0.964980289400603+0.16294599610703i</v>
      </c>
      <c r="AR294" s="147" t="str">
        <f t="shared" si="162"/>
        <v>0.83929872448876-0.141723482018611i</v>
      </c>
    </row>
    <row r="295" spans="7:44">
      <c r="G295" s="585">
        <v>19725.5</v>
      </c>
      <c r="H295" s="573">
        <f t="shared" si="154"/>
        <v>19.7255</v>
      </c>
      <c r="I295" s="574">
        <f t="shared" si="134"/>
        <v>171.71486015765009</v>
      </c>
      <c r="J295" s="575">
        <f t="shared" si="135"/>
        <v>1.5649726860711439</v>
      </c>
      <c r="K295" s="575">
        <f t="shared" si="136"/>
        <v>1.0008360498105264</v>
      </c>
      <c r="L295" s="576">
        <f t="shared" si="137"/>
        <v>4.0877077758723727E-2</v>
      </c>
      <c r="M295" s="575">
        <f t="shared" si="138"/>
        <v>1.0394562571582175</v>
      </c>
      <c r="N295" s="576">
        <f t="shared" si="139"/>
        <v>-0.27640968684695655</v>
      </c>
      <c r="O295" s="574">
        <f t="shared" si="140"/>
        <v>371816.91490679479</v>
      </c>
      <c r="P295" s="577">
        <f t="shared" si="141"/>
        <v>1.57079363729918</v>
      </c>
      <c r="Q295" s="586">
        <f t="shared" si="163"/>
        <v>69.413027748235166</v>
      </c>
      <c r="R295" s="587">
        <f t="shared" si="164"/>
        <v>1.5563893108936535</v>
      </c>
      <c r="S295" s="574">
        <f t="shared" si="142"/>
        <v>1.0728776266136408</v>
      </c>
      <c r="T295" s="577">
        <f t="shared" si="143"/>
        <v>0.37070341255689532</v>
      </c>
      <c r="U295" s="578">
        <f t="shared" si="155"/>
        <v>0.78538466983924249</v>
      </c>
      <c r="V295" s="579">
        <f t="shared" si="156"/>
        <v>-0.85082729420665126</v>
      </c>
      <c r="W295" s="580">
        <f t="shared" si="144"/>
        <v>-14.349819180539319</v>
      </c>
      <c r="X295" s="581">
        <f t="shared" si="145"/>
        <v>-173.97521575533381</v>
      </c>
      <c r="Y295" s="584">
        <f t="shared" si="146"/>
        <v>6.0247842446661934</v>
      </c>
      <c r="AA295" s="147">
        <f t="shared" si="147"/>
        <v>19725.5</v>
      </c>
      <c r="AB295" s="147">
        <f t="shared" si="148"/>
        <v>389095350.25</v>
      </c>
      <c r="AD295" s="583">
        <f t="shared" si="149"/>
        <v>29.916683234291767</v>
      </c>
      <c r="AE295" s="584">
        <f t="shared" si="150"/>
        <v>-22.065048125585573</v>
      </c>
      <c r="AG295" s="583">
        <f t="shared" si="151"/>
        <v>15.032446117395466</v>
      </c>
      <c r="AH295" s="584">
        <f t="shared" si="152"/>
        <v>-54.412541413187533</v>
      </c>
      <c r="AJ295" s="147">
        <f t="shared" si="153"/>
        <v>0</v>
      </c>
      <c r="AK295" s="147">
        <f t="shared" si="165"/>
        <v>0</v>
      </c>
      <c r="AM295" s="147" t="str">
        <f t="shared" si="157"/>
        <v>0.797595117228324+0.979301926593726i</v>
      </c>
      <c r="AN295" s="147" t="str">
        <f t="shared" si="158"/>
        <v>1.3669833151616i</v>
      </c>
      <c r="AO295" s="147" t="str">
        <f t="shared" si="159"/>
        <v>0.716396400550036-0.583470996596645i</v>
      </c>
      <c r="AP295" s="147" t="str">
        <f t="shared" si="160"/>
        <v>0.0337341471286127-0.163216987765621i</v>
      </c>
      <c r="AQ295" s="147" t="str">
        <f t="shared" si="161"/>
        <v>0.966265852871387+0.163216987765621i</v>
      </c>
      <c r="AR295" s="147" t="str">
        <f t="shared" si="162"/>
        <v>0.838166725679992-0.14157909834476i</v>
      </c>
    </row>
    <row r="296" spans="7:44">
      <c r="G296" s="585">
        <v>19839.25</v>
      </c>
      <c r="H296" s="573">
        <f t="shared" si="154"/>
        <v>19.83925</v>
      </c>
      <c r="I296" s="574">
        <f t="shared" si="134"/>
        <v>172.70504569447021</v>
      </c>
      <c r="J296" s="575">
        <f t="shared" si="135"/>
        <v>1.5650060756540836</v>
      </c>
      <c r="K296" s="575">
        <f t="shared" si="136"/>
        <v>1.0008457159356745</v>
      </c>
      <c r="L296" s="576">
        <f t="shared" si="137"/>
        <v>4.1112536675876575E-2</v>
      </c>
      <c r="M296" s="575">
        <f t="shared" si="138"/>
        <v>1.0399038718764309</v>
      </c>
      <c r="N296" s="576">
        <f t="shared" si="139"/>
        <v>-0.27792303648665889</v>
      </c>
      <c r="O296" s="574">
        <f t="shared" si="140"/>
        <v>373961.05189041205</v>
      </c>
      <c r="P296" s="577">
        <f t="shared" si="141"/>
        <v>1.5707936527196287</v>
      </c>
      <c r="Q296" s="586">
        <f t="shared" si="163"/>
        <v>69.813225353464688</v>
      </c>
      <c r="R296" s="587">
        <f t="shared" si="164"/>
        <v>1.5564719033931729</v>
      </c>
      <c r="S296" s="574">
        <f t="shared" si="142"/>
        <v>1.0736916310459881</v>
      </c>
      <c r="T296" s="577">
        <f t="shared" si="143"/>
        <v>0.37264912136293948</v>
      </c>
      <c r="U296" s="578">
        <f t="shared" si="155"/>
        <v>0.78360450127234138</v>
      </c>
      <c r="V296" s="579">
        <f t="shared" si="156"/>
        <v>-0.85481230403169883</v>
      </c>
      <c r="W296" s="580">
        <f t="shared" si="144"/>
        <v>-14.422246502020622</v>
      </c>
      <c r="X296" s="581">
        <f t="shared" si="145"/>
        <v>-174.38542041199156</v>
      </c>
      <c r="Y296" s="584">
        <f t="shared" si="146"/>
        <v>5.6145795880084393</v>
      </c>
      <c r="AA296" s="147">
        <f t="shared" si="147"/>
        <v>19839.25</v>
      </c>
      <c r="AB296" s="147">
        <f t="shared" si="148"/>
        <v>393595840.5625</v>
      </c>
      <c r="AD296" s="583">
        <f t="shared" si="149"/>
        <v>29.910085343438407</v>
      </c>
      <c r="AE296" s="584">
        <f t="shared" si="150"/>
        <v>-22.171797710340055</v>
      </c>
      <c r="AG296" s="583">
        <f t="shared" si="151"/>
        <v>15.006036600247835</v>
      </c>
      <c r="AH296" s="584">
        <f t="shared" si="152"/>
        <v>-54.259347995982239</v>
      </c>
      <c r="AJ296" s="147">
        <f t="shared" si="153"/>
        <v>0</v>
      </c>
      <c r="AK296" s="147">
        <f t="shared" si="165"/>
        <v>0</v>
      </c>
      <c r="AM296" s="147" t="str">
        <f t="shared" si="157"/>
        <v>0.80532107548374+0.980867022765672i</v>
      </c>
      <c r="AN296" s="147" t="str">
        <f t="shared" si="158"/>
        <v>1.37486622571391i</v>
      </c>
      <c r="AO296" s="147" t="str">
        <f t="shared" si="159"/>
        <v>0.713427244353427-0.585745042260799i</v>
      </c>
      <c r="AP296" s="147" t="str">
        <f t="shared" si="160"/>
        <v>0.0324464874193767-0.163477837127612i</v>
      </c>
      <c r="AQ296" s="147" t="str">
        <f t="shared" si="161"/>
        <v>0.967553512580623+0.163477837127612i</v>
      </c>
      <c r="AR296" s="147" t="str">
        <f t="shared" si="162"/>
        <v>0.837038941231164-0.141426095740265i</v>
      </c>
    </row>
    <row r="297" spans="7:44">
      <c r="G297" s="585">
        <v>19953</v>
      </c>
      <c r="H297" s="573">
        <f t="shared" si="154"/>
        <v>19.952999999999999</v>
      </c>
      <c r="I297" s="574">
        <f t="shared" si="134"/>
        <v>173.69523142163774</v>
      </c>
      <c r="J297" s="575">
        <f t="shared" si="135"/>
        <v>1.5650390845485607</v>
      </c>
      <c r="K297" s="575">
        <f t="shared" si="136"/>
        <v>1.0008554375475378</v>
      </c>
      <c r="L297" s="576">
        <f t="shared" si="137"/>
        <v>4.1347991031915519E-2</v>
      </c>
      <c r="M297" s="575">
        <f t="shared" si="138"/>
        <v>1.040353866158134</v>
      </c>
      <c r="N297" s="576">
        <f t="shared" si="139"/>
        <v>-0.27943508041939319</v>
      </c>
      <c r="O297" s="574">
        <f t="shared" si="140"/>
        <v>376105.18887402944</v>
      </c>
      <c r="P297" s="577">
        <f t="shared" si="141"/>
        <v>1.5707936679642567</v>
      </c>
      <c r="Q297" s="586">
        <f t="shared" si="163"/>
        <v>70.213423429497823</v>
      </c>
      <c r="R297" s="587">
        <f t="shared" si="164"/>
        <v>1.5565535543821258</v>
      </c>
      <c r="S297" s="574">
        <f t="shared" si="142"/>
        <v>1.0745096940740353</v>
      </c>
      <c r="T297" s="577">
        <f t="shared" si="143"/>
        <v>0.37459187483777956</v>
      </c>
      <c r="U297" s="578">
        <f t="shared" si="155"/>
        <v>0.78182506937095575</v>
      </c>
      <c r="V297" s="579">
        <f t="shared" si="156"/>
        <v>-0.85878666145942339</v>
      </c>
      <c r="W297" s="580">
        <f t="shared" si="144"/>
        <v>-14.494433852552941</v>
      </c>
      <c r="X297" s="581">
        <f t="shared" si="145"/>
        <v>-174.79480297573491</v>
      </c>
      <c r="Y297" s="584">
        <f t="shared" si="146"/>
        <v>5.2051970242650896</v>
      </c>
      <c r="AA297" s="147">
        <f t="shared" si="147"/>
        <v>19953</v>
      </c>
      <c r="AB297" s="147">
        <f t="shared" si="148"/>
        <v>398122209</v>
      </c>
      <c r="AD297" s="583">
        <f t="shared" si="149"/>
        <v>29.903459812659136</v>
      </c>
      <c r="AE297" s="584">
        <f t="shared" si="150"/>
        <v>-22.278431901597376</v>
      </c>
      <c r="AG297" s="583">
        <f t="shared" si="151"/>
        <v>14.979967980471613</v>
      </c>
      <c r="AH297" s="584">
        <f t="shared" si="152"/>
        <v>-54.106668554177659</v>
      </c>
      <c r="AJ297" s="147">
        <f t="shared" si="153"/>
        <v>0</v>
      </c>
      <c r="AK297" s="147">
        <f t="shared" si="165"/>
        <v>0</v>
      </c>
      <c r="AM297" s="147" t="str">
        <f t="shared" si="157"/>
        <v>0.813059131079153+0.982371167903007i</v>
      </c>
      <c r="AN297" s="147" t="str">
        <f t="shared" si="158"/>
        <v>1.38274913626622i</v>
      </c>
      <c r="AO297" s="147" t="str">
        <f t="shared" si="159"/>
        <v>0.710447862260585-0.588001908484009i</v>
      </c>
      <c r="AP297" s="147" t="str">
        <f t="shared" si="160"/>
        <v>0.0311568114868078-0.163728527983834i</v>
      </c>
      <c r="AQ297" s="147" t="str">
        <f t="shared" si="161"/>
        <v>0.968843188513192+0.163728527983834i</v>
      </c>
      <c r="AR297" s="147" t="str">
        <f t="shared" si="162"/>
        <v>0.835915421629706-0.141264554599853i</v>
      </c>
    </row>
    <row r="298" spans="7:44">
      <c r="G298" s="585">
        <v>20069</v>
      </c>
      <c r="H298" s="573">
        <f t="shared" si="154"/>
        <v>20.068999999999999</v>
      </c>
      <c r="I298" s="574">
        <f t="shared" si="134"/>
        <v>174.70500343278906</v>
      </c>
      <c r="J298" s="575">
        <f t="shared" si="135"/>
        <v>1.5650723610182879</v>
      </c>
      <c r="K298" s="575">
        <f t="shared" si="136"/>
        <v>1.0008654085972235</v>
      </c>
      <c r="L298" s="576">
        <f t="shared" si="137"/>
        <v>4.1588098002603831E-2</v>
      </c>
      <c r="M298" s="575">
        <f t="shared" si="138"/>
        <v>1.0408152088574452</v>
      </c>
      <c r="N298" s="576">
        <f t="shared" si="139"/>
        <v>-0.28097568280342394</v>
      </c>
      <c r="O298" s="574">
        <f t="shared" si="140"/>
        <v>378291.73735842173</v>
      </c>
      <c r="P298" s="577">
        <f t="shared" si="141"/>
        <v>1.5707936833324541</v>
      </c>
      <c r="Q298" s="586">
        <f t="shared" si="163"/>
        <v>70.621537987997868</v>
      </c>
      <c r="R298" s="587">
        <f t="shared" si="164"/>
        <v>1.5566358674075618</v>
      </c>
      <c r="S298" s="574">
        <f t="shared" si="142"/>
        <v>1.0753481087757124</v>
      </c>
      <c r="T298" s="577">
        <f t="shared" si="143"/>
        <v>0.37657000461578449</v>
      </c>
      <c r="U298" s="578">
        <f t="shared" si="155"/>
        <v>0.78001127210878973</v>
      </c>
      <c r="V298" s="579">
        <f t="shared" si="156"/>
        <v>-0.86282870409281753</v>
      </c>
      <c r="W298" s="580">
        <f t="shared" si="144"/>
        <v>-14.56780455519767</v>
      </c>
      <c r="X298" s="581">
        <f t="shared" si="145"/>
        <v>-175.21143763863475</v>
      </c>
      <c r="Y298" s="584">
        <f t="shared" si="146"/>
        <v>4.7885623613652513</v>
      </c>
      <c r="AA298" s="147">
        <f t="shared" si="147"/>
        <v>20069</v>
      </c>
      <c r="AB298" s="147">
        <f t="shared" si="148"/>
        <v>402764761</v>
      </c>
      <c r="AD298" s="583">
        <f t="shared" si="149"/>
        <v>29.896674905233702</v>
      </c>
      <c r="AE298" s="584">
        <f t="shared" si="150"/>
        <v>-22.387055080906755</v>
      </c>
      <c r="AG298" s="583">
        <f t="shared" si="151"/>
        <v>14.95373071475985</v>
      </c>
      <c r="AH298" s="584">
        <f t="shared" si="152"/>
        <v>-53.951496070228032</v>
      </c>
      <c r="AJ298" s="147">
        <f t="shared" si="153"/>
        <v>0</v>
      </c>
      <c r="AK298" s="147">
        <f t="shared" si="165"/>
        <v>0</v>
      </c>
      <c r="AM298" s="147" t="str">
        <f t="shared" si="157"/>
        <v>0.8209622072815+0.983842197091834i</v>
      </c>
      <c r="AN298" s="147" t="str">
        <f t="shared" si="158"/>
        <v>1.39078797252177i</v>
      </c>
      <c r="AO298" s="147" t="str">
        <f t="shared" si="159"/>
        <v>0.707399126631744-0.59028566791021i</v>
      </c>
      <c r="AP298" s="147" t="str">
        <f t="shared" si="160"/>
        <v>0.02983963211975-0.163973699515306i</v>
      </c>
      <c r="AQ298" s="147" t="str">
        <f t="shared" si="161"/>
        <v>0.97016036788025+0.163973699515306i</v>
      </c>
      <c r="AR298" s="147" t="str">
        <f t="shared" si="162"/>
        <v>0.834774121789099-0.141091107760336i</v>
      </c>
    </row>
    <row r="299" spans="7:44">
      <c r="G299" s="585">
        <v>20185</v>
      </c>
      <c r="H299" s="573">
        <f t="shared" si="154"/>
        <v>20.184999999999999</v>
      </c>
      <c r="I299" s="574">
        <f t="shared" si="134"/>
        <v>175.71477563517186</v>
      </c>
      <c r="J299" s="575">
        <f t="shared" si="135"/>
        <v>1.5651052550312659</v>
      </c>
      <c r="K299" s="575">
        <f t="shared" si="136"/>
        <v>1.000875437347007</v>
      </c>
      <c r="L299" s="576">
        <f t="shared" si="137"/>
        <v>4.1828200175401023E-2</v>
      </c>
      <c r="M299" s="575">
        <f t="shared" si="138"/>
        <v>1.0412790196931567</v>
      </c>
      <c r="N299" s="576">
        <f t="shared" si="139"/>
        <v>-0.28251491639499765</v>
      </c>
      <c r="O299" s="574">
        <f t="shared" si="140"/>
        <v>380478.28584281413</v>
      </c>
      <c r="P299" s="577">
        <f t="shared" si="141"/>
        <v>1.5707936985240143</v>
      </c>
      <c r="Q299" s="586">
        <f t="shared" si="163"/>
        <v>71.029653019490951</v>
      </c>
      <c r="R299" s="587">
        <f t="shared" si="164"/>
        <v>1.5567172345417493</v>
      </c>
      <c r="S299" s="574">
        <f t="shared" si="142"/>
        <v>1.0761907247458753</v>
      </c>
      <c r="T299" s="577">
        <f t="shared" si="143"/>
        <v>0.37854504451289711</v>
      </c>
      <c r="U299" s="578">
        <f t="shared" si="155"/>
        <v>0.77819838865263768</v>
      </c>
      <c r="V299" s="579">
        <f t="shared" si="156"/>
        <v>-0.86685975450641128</v>
      </c>
      <c r="W299" s="580">
        <f t="shared" si="144"/>
        <v>-14.640930933592596</v>
      </c>
      <c r="X299" s="581">
        <f t="shared" si="145"/>
        <v>-175.62721957776367</v>
      </c>
      <c r="Y299" s="584">
        <f t="shared" si="146"/>
        <v>4.3727804222363318</v>
      </c>
      <c r="AA299" s="147">
        <f t="shared" si="147"/>
        <v>20185</v>
      </c>
      <c r="AB299" s="147">
        <f t="shared" si="148"/>
        <v>407434225</v>
      </c>
      <c r="AD299" s="583">
        <f t="shared" si="149"/>
        <v>29.889861544022921</v>
      </c>
      <c r="AE299" s="584">
        <f t="shared" si="150"/>
        <v>-22.495555408537502</v>
      </c>
      <c r="AG299" s="583">
        <f t="shared" si="151"/>
        <v>14.927839761764176</v>
      </c>
      <c r="AH299" s="584">
        <f t="shared" si="152"/>
        <v>-53.79685332979156</v>
      </c>
      <c r="AJ299" s="147">
        <f t="shared" si="153"/>
        <v>0</v>
      </c>
      <c r="AK299" s="147">
        <f t="shared" si="165"/>
        <v>0</v>
      </c>
      <c r="AM299" s="147" t="str">
        <f t="shared" si="157"/>
        <v>0.828876853360819+0.985249647898595i</v>
      </c>
      <c r="AN299" s="147" t="str">
        <f t="shared" si="158"/>
        <v>1.39882680877731i</v>
      </c>
      <c r="AO299" s="147" t="str">
        <f t="shared" si="159"/>
        <v>0.704339980987199-0.592551449657535i</v>
      </c>
      <c r="AP299" s="147" t="str">
        <f t="shared" si="160"/>
        <v>0.0285205244398635-0.164208274649766i</v>
      </c>
      <c r="AQ299" s="147" t="str">
        <f t="shared" si="161"/>
        <v>0.971479475560136+0.164208274649766i</v>
      </c>
      <c r="AR299" s="147" t="str">
        <f t="shared" si="162"/>
        <v>0.833637359184112-0.14090894957537i</v>
      </c>
    </row>
    <row r="300" spans="7:44">
      <c r="G300" s="585">
        <v>20301</v>
      </c>
      <c r="H300" s="573">
        <f t="shared" si="154"/>
        <v>20.300999999999998</v>
      </c>
      <c r="I300" s="574">
        <f t="shared" si="134"/>
        <v>176.72454802550823</v>
      </c>
      <c r="J300" s="575">
        <f t="shared" si="135"/>
        <v>1.5651377731432905</v>
      </c>
      <c r="K300" s="575">
        <f t="shared" si="136"/>
        <v>1.0008855237951535</v>
      </c>
      <c r="L300" s="576">
        <f t="shared" si="137"/>
        <v>4.206829752276843E-2</v>
      </c>
      <c r="M300" s="575">
        <f t="shared" si="138"/>
        <v>1.0417452953686415</v>
      </c>
      <c r="N300" s="576">
        <f t="shared" si="139"/>
        <v>-0.28405277573363585</v>
      </c>
      <c r="O300" s="574">
        <f t="shared" si="140"/>
        <v>382664.8343272066</v>
      </c>
      <c r="P300" s="577">
        <f t="shared" si="141"/>
        <v>1.5707937135419654</v>
      </c>
      <c r="Q300" s="586">
        <f t="shared" si="163"/>
        <v>71.43776851587063</v>
      </c>
      <c r="R300" s="587">
        <f t="shared" si="164"/>
        <v>1.5567976719948953</v>
      </c>
      <c r="S300" s="574">
        <f t="shared" si="142"/>
        <v>1.077037532123988</v>
      </c>
      <c r="T300" s="577">
        <f t="shared" si="143"/>
        <v>0.38051698639091125</v>
      </c>
      <c r="U300" s="578">
        <f t="shared" si="155"/>
        <v>0.7763864916683888</v>
      </c>
      <c r="V300" s="579">
        <f t="shared" si="156"/>
        <v>-0.87087985672648738</v>
      </c>
      <c r="W300" s="580">
        <f t="shared" si="144"/>
        <v>-14.713815554326546</v>
      </c>
      <c r="X300" s="581">
        <f t="shared" si="145"/>
        <v>-176.04214998508886</v>
      </c>
      <c r="Y300" s="584">
        <f t="shared" si="146"/>
        <v>3.9578500149111449</v>
      </c>
      <c r="AA300" s="147">
        <f t="shared" si="147"/>
        <v>20301</v>
      </c>
      <c r="AB300" s="147">
        <f t="shared" si="148"/>
        <v>412130601</v>
      </c>
      <c r="AD300" s="583">
        <f t="shared" si="149"/>
        <v>29.883019875931922</v>
      </c>
      <c r="AE300" s="584">
        <f t="shared" si="150"/>
        <v>-22.603931489601823</v>
      </c>
      <c r="AG300" s="583">
        <f t="shared" si="151"/>
        <v>14.902291077568751</v>
      </c>
      <c r="AH300" s="584">
        <f t="shared" si="152"/>
        <v>-53.642737874682986</v>
      </c>
      <c r="AJ300" s="147">
        <f t="shared" si="153"/>
        <v>0</v>
      </c>
      <c r="AK300" s="147">
        <f t="shared" si="165"/>
        <v>0</v>
      </c>
      <c r="AM300" s="147" t="str">
        <f t="shared" si="157"/>
        <v>0.836802557852593+0.986593429370247i</v>
      </c>
      <c r="AN300" s="147" t="str">
        <f t="shared" si="158"/>
        <v>1.40686564503286i</v>
      </c>
      <c r="AO300" s="147" t="str">
        <f t="shared" si="159"/>
        <v>0.701270539126146-0.594799198350634i</v>
      </c>
      <c r="AP300" s="147" t="str">
        <f t="shared" si="160"/>
        <v>0.0271995736912345-0.164432238228374i</v>
      </c>
      <c r="AQ300" s="147" t="str">
        <f t="shared" si="161"/>
        <v>0.972800426308766+0.164432238228374i</v>
      </c>
      <c r="AR300" s="147" t="str">
        <f t="shared" si="162"/>
        <v>0.832505183297588-0.140718164717268i</v>
      </c>
    </row>
    <row r="301" spans="7:44">
      <c r="G301" s="585">
        <v>20417</v>
      </c>
      <c r="H301" s="573">
        <f t="shared" si="154"/>
        <v>20.417000000000002</v>
      </c>
      <c r="I301" s="574">
        <f t="shared" si="134"/>
        <v>177.73432060059457</v>
      </c>
      <c r="J301" s="575">
        <f t="shared" si="135"/>
        <v>1.5651699217611779</v>
      </c>
      <c r="K301" s="575">
        <f t="shared" si="136"/>
        <v>1.0008956679399192</v>
      </c>
      <c r="L301" s="576">
        <f t="shared" si="137"/>
        <v>4.2308390017170697E-2</v>
      </c>
      <c r="M301" s="575">
        <f t="shared" si="138"/>
        <v>1.0422140325756692</v>
      </c>
      <c r="N301" s="576">
        <f t="shared" si="139"/>
        <v>-0.28558925539460694</v>
      </c>
      <c r="O301" s="574">
        <f t="shared" si="140"/>
        <v>384851.38281159924</v>
      </c>
      <c r="P301" s="577">
        <f t="shared" si="141"/>
        <v>1.5707937283892661</v>
      </c>
      <c r="Q301" s="586">
        <f t="shared" si="163"/>
        <v>71.845884469214639</v>
      </c>
      <c r="R301" s="587">
        <f t="shared" si="164"/>
        <v>1.5568771956089313</v>
      </c>
      <c r="S301" s="574">
        <f t="shared" si="142"/>
        <v>1.0778885210315281</v>
      </c>
      <c r="T301" s="577">
        <f t="shared" si="143"/>
        <v>0.38248582223350519</v>
      </c>
      <c r="U301" s="578">
        <f t="shared" si="155"/>
        <v>0.77457565255068594</v>
      </c>
      <c r="V301" s="579">
        <f t="shared" si="156"/>
        <v>-0.87488905525040506</v>
      </c>
      <c r="W301" s="580">
        <f t="shared" si="144"/>
        <v>-14.786460934688838</v>
      </c>
      <c r="X301" s="581">
        <f t="shared" si="145"/>
        <v>-176.45623010116049</v>
      </c>
      <c r="Y301" s="584">
        <f t="shared" si="146"/>
        <v>3.5437698988395141</v>
      </c>
      <c r="AA301" s="147">
        <f t="shared" si="147"/>
        <v>20417</v>
      </c>
      <c r="AB301" s="147">
        <f t="shared" si="148"/>
        <v>416853889</v>
      </c>
      <c r="AD301" s="583">
        <f t="shared" si="149"/>
        <v>29.876150048038461</v>
      </c>
      <c r="AE301" s="584">
        <f t="shared" si="150"/>
        <v>-22.71218195729201</v>
      </c>
      <c r="AG301" s="583">
        <f t="shared" si="151"/>
        <v>14.877080682500811</v>
      </c>
      <c r="AH301" s="584">
        <f t="shared" si="152"/>
        <v>-53.489147213238354</v>
      </c>
      <c r="AJ301" s="147">
        <f t="shared" si="153"/>
        <v>0</v>
      </c>
      <c r="AK301" s="147">
        <f t="shared" si="165"/>
        <v>0</v>
      </c>
      <c r="AM301" s="147" t="str">
        <f t="shared" si="157"/>
        <v>0.844738808577645+0.987873454668214i</v>
      </c>
      <c r="AN301" s="147" t="str">
        <f t="shared" si="158"/>
        <v>1.4149044812884i</v>
      </c>
      <c r="AO301" s="147" t="str">
        <f t="shared" si="159"/>
        <v>0.698190915169528-0.597028859367548i</v>
      </c>
      <c r="AP301" s="147" t="str">
        <f t="shared" si="160"/>
        <v>0.0258768652370592-0.164645575778036i</v>
      </c>
      <c r="AQ301" s="147" t="str">
        <f t="shared" si="161"/>
        <v>0.974123134762941+0.164645575778036i</v>
      </c>
      <c r="AR301" s="147" t="str">
        <f t="shared" si="162"/>
        <v>0.83137764228167-0.140518837626993i</v>
      </c>
    </row>
    <row r="302" spans="7:44">
      <c r="G302" s="585">
        <v>20536</v>
      </c>
      <c r="H302" s="573">
        <f t="shared" si="154"/>
        <v>20.536000000000001</v>
      </c>
      <c r="I302" s="574">
        <f t="shared" si="134"/>
        <v>178.77020817235493</v>
      </c>
      <c r="J302" s="575">
        <f t="shared" si="135"/>
        <v>1.5652025244195082</v>
      </c>
      <c r="K302" s="575">
        <f t="shared" si="136"/>
        <v>1.0009061343855628</v>
      </c>
      <c r="L302" s="576">
        <f t="shared" si="137"/>
        <v>4.2554686728515763E-2</v>
      </c>
      <c r="M302" s="575">
        <f t="shared" si="138"/>
        <v>1.0426974466624168</v>
      </c>
      <c r="N302" s="576">
        <f t="shared" si="139"/>
        <v>-0.28716403228965864</v>
      </c>
      <c r="O302" s="574">
        <f t="shared" si="140"/>
        <v>387094.47996369173</v>
      </c>
      <c r="P302" s="577">
        <f t="shared" si="141"/>
        <v>1.5707937434462524</v>
      </c>
      <c r="Q302" s="586">
        <f t="shared" si="163"/>
        <v>72.264555612219738</v>
      </c>
      <c r="R302" s="587">
        <f t="shared" si="164"/>
        <v>1.5569578424990267</v>
      </c>
      <c r="S302" s="574">
        <f t="shared" si="142"/>
        <v>1.0787658530431887</v>
      </c>
      <c r="T302" s="577">
        <f t="shared" si="143"/>
        <v>0.38450234040396614</v>
      </c>
      <c r="U302" s="578">
        <f t="shared" si="155"/>
        <v>0.7727191541424997</v>
      </c>
      <c r="V302" s="579">
        <f t="shared" si="156"/>
        <v>-0.87899065673269672</v>
      </c>
      <c r="W302" s="580">
        <f t="shared" si="144"/>
        <v>-14.860739061320199</v>
      </c>
      <c r="X302" s="581">
        <f t="shared" si="145"/>
        <v>-176.88013697498849</v>
      </c>
      <c r="Y302" s="584">
        <f t="shared" si="146"/>
        <v>3.1198630250115116</v>
      </c>
      <c r="AA302" s="147">
        <f t="shared" si="147"/>
        <v>20536</v>
      </c>
      <c r="AB302" s="147">
        <f t="shared" si="148"/>
        <v>421727296</v>
      </c>
      <c r="AD302" s="583">
        <f t="shared" si="149"/>
        <v>29.869073444875514</v>
      </c>
      <c r="AE302" s="584">
        <f t="shared" si="150"/>
        <v>-22.823100074166049</v>
      </c>
      <c r="AG302" s="583">
        <f t="shared" si="151"/>
        <v>14.85156571535002</v>
      </c>
      <c r="AH302" s="584">
        <f t="shared" si="152"/>
        <v>-53.332127061295417</v>
      </c>
      <c r="AJ302" s="147">
        <f t="shared" si="153"/>
        <v>0</v>
      </c>
      <c r="AK302" s="147">
        <f t="shared" si="165"/>
        <v>0</v>
      </c>
      <c r="AM302" s="147" t="str">
        <f t="shared" si="157"/>
        <v>0.852890728521302+0.989120246605541i</v>
      </c>
      <c r="AN302" s="147" t="str">
        <f t="shared" si="158"/>
        <v>1.42315121848159i</v>
      </c>
      <c r="AO302" s="147" t="str">
        <f t="shared" si="159"/>
        <v>0.695021185212397-0.599297332177589i</v>
      </c>
      <c r="AP302" s="147" t="str">
        <f t="shared" si="160"/>
        <v>0.0245182119131163-0.164853374434257i</v>
      </c>
      <c r="AQ302" s="147" t="str">
        <f t="shared" si="161"/>
        <v>0.975481788086884+0.164853374434257i</v>
      </c>
      <c r="AR302" s="147" t="str">
        <f t="shared" si="162"/>
        <v>0.830225806026995-0.140305567297542i</v>
      </c>
    </row>
    <row r="303" spans="7:44">
      <c r="G303" s="585">
        <v>20655</v>
      </c>
      <c r="H303" s="573">
        <f t="shared" si="154"/>
        <v>20.655000000000001</v>
      </c>
      <c r="I303" s="574">
        <f t="shared" si="134"/>
        <v>179.80609593194666</v>
      </c>
      <c r="J303" s="575">
        <f t="shared" si="135"/>
        <v>1.5652347514210347</v>
      </c>
      <c r="K303" s="575">
        <f t="shared" si="136"/>
        <v>1.0009166615469722</v>
      </c>
      <c r="L303" s="576">
        <f t="shared" si="137"/>
        <v>4.2800978273939749E-2</v>
      </c>
      <c r="M303" s="575">
        <f t="shared" si="138"/>
        <v>1.0431834441575019</v>
      </c>
      <c r="N303" s="576">
        <f t="shared" si="139"/>
        <v>-0.28873734577170312</v>
      </c>
      <c r="O303" s="574">
        <f t="shared" si="140"/>
        <v>389337.57711578428</v>
      </c>
      <c r="P303" s="577">
        <f t="shared" si="141"/>
        <v>1.5707937583297424</v>
      </c>
      <c r="Q303" s="586">
        <f t="shared" si="163"/>
        <v>72.683227219813148</v>
      </c>
      <c r="R303" s="587">
        <f t="shared" si="164"/>
        <v>1.5570375603014703</v>
      </c>
      <c r="S303" s="574">
        <f t="shared" si="142"/>
        <v>1.0796475645499173</v>
      </c>
      <c r="T303" s="577">
        <f t="shared" si="143"/>
        <v>0.38651557310597406</v>
      </c>
      <c r="U303" s="578">
        <f t="shared" si="155"/>
        <v>0.77086391717698166</v>
      </c>
      <c r="V303" s="579">
        <f t="shared" si="156"/>
        <v>-0.88308087957670967</v>
      </c>
      <c r="W303" s="580">
        <f t="shared" si="144"/>
        <v>-14.934770626202781</v>
      </c>
      <c r="X303" s="581">
        <f t="shared" si="145"/>
        <v>-177.30315180529712</v>
      </c>
      <c r="Y303" s="584">
        <f t="shared" si="146"/>
        <v>2.6968481947028806</v>
      </c>
      <c r="AA303" s="147">
        <f t="shared" si="147"/>
        <v>20655</v>
      </c>
      <c r="AB303" s="147">
        <f t="shared" si="148"/>
        <v>426629025</v>
      </c>
      <c r="AD303" s="583">
        <f t="shared" si="149"/>
        <v>29.861967520608687</v>
      </c>
      <c r="AE303" s="584">
        <f t="shared" si="150"/>
        <v>-22.933883170424505</v>
      </c>
      <c r="AG303" s="583">
        <f t="shared" si="151"/>
        <v>14.826398478525602</v>
      </c>
      <c r="AH303" s="584">
        <f t="shared" si="152"/>
        <v>-53.175653782350139</v>
      </c>
      <c r="AJ303" s="147">
        <f t="shared" si="153"/>
        <v>0</v>
      </c>
      <c r="AK303" s="147">
        <f t="shared" si="165"/>
        <v>0</v>
      </c>
      <c r="AM303" s="147" t="str">
        <f t="shared" si="157"/>
        <v>0.861052653114793+0.990299770167378i</v>
      </c>
      <c r="AN303" s="147" t="str">
        <f t="shared" si="158"/>
        <v>1.43139795567478i</v>
      </c>
      <c r="AO303" s="147" t="str">
        <f t="shared" si="159"/>
        <v>0.6918409840124-0.601546655632103i</v>
      </c>
      <c r="AP303" s="147" t="str">
        <f t="shared" si="160"/>
        <v>0.0231578911475345-0.165049961694563i</v>
      </c>
      <c r="AQ303" s="147" t="str">
        <f t="shared" si="161"/>
        <v>0.976842108852465+0.165049961694563i</v>
      </c>
      <c r="AR303" s="147" t="str">
        <f t="shared" si="162"/>
        <v>0.829078945918737-0.140083486395163i</v>
      </c>
    </row>
    <row r="304" spans="7:44">
      <c r="G304" s="585">
        <v>20774</v>
      </c>
      <c r="H304" s="573">
        <f t="shared" si="154"/>
        <v>20.774000000000001</v>
      </c>
      <c r="I304" s="574">
        <f t="shared" si="134"/>
        <v>180.84198387614197</v>
      </c>
      <c r="J304" s="575">
        <f t="shared" si="135"/>
        <v>1.5652666092211325</v>
      </c>
      <c r="K304" s="575">
        <f t="shared" si="136"/>
        <v>1.0009272494222319</v>
      </c>
      <c r="L304" s="576">
        <f t="shared" si="137"/>
        <v>4.3047264623726274E-2</v>
      </c>
      <c r="M304" s="575">
        <f t="shared" si="138"/>
        <v>1.0436720214519462</v>
      </c>
      <c r="N304" s="576">
        <f t="shared" si="139"/>
        <v>-0.29030919010166972</v>
      </c>
      <c r="O304" s="574">
        <f t="shared" si="140"/>
        <v>391580.67426787695</v>
      </c>
      <c r="P304" s="577">
        <f t="shared" si="141"/>
        <v>1.5707937730427179</v>
      </c>
      <c r="Q304" s="586">
        <f t="shared" si="163"/>
        <v>73.101899284012447</v>
      </c>
      <c r="R304" s="587">
        <f t="shared" si="164"/>
        <v>1.5571163649785613</v>
      </c>
      <c r="S304" s="574">
        <f t="shared" si="142"/>
        <v>1.0805336448307574</v>
      </c>
      <c r="T304" s="577">
        <f t="shared" si="143"/>
        <v>0.38852551208265407</v>
      </c>
      <c r="U304" s="578">
        <f t="shared" si="155"/>
        <v>0.76901001462967011</v>
      </c>
      <c r="V304" s="579">
        <f t="shared" si="156"/>
        <v>-0.88715977328398576</v>
      </c>
      <c r="W304" s="580">
        <f t="shared" si="144"/>
        <v>-15.008558193611099</v>
      </c>
      <c r="X304" s="581">
        <f t="shared" si="145"/>
        <v>-177.72527608357404</v>
      </c>
      <c r="Y304" s="584">
        <f t="shared" si="146"/>
        <v>2.2747239164259554</v>
      </c>
      <c r="AA304" s="147">
        <f t="shared" si="147"/>
        <v>20774</v>
      </c>
      <c r="AB304" s="147">
        <f t="shared" si="148"/>
        <v>431559076</v>
      </c>
      <c r="AD304" s="583">
        <f t="shared" si="149"/>
        <v>29.854832434510289</v>
      </c>
      <c r="AE304" s="584">
        <f t="shared" si="150"/>
        <v>-23.044529858581733</v>
      </c>
      <c r="AG304" s="583">
        <f t="shared" si="151"/>
        <v>14.801574877809456</v>
      </c>
      <c r="AH304" s="584">
        <f t="shared" si="152"/>
        <v>-53.01972458291695</v>
      </c>
      <c r="AJ304" s="147">
        <f t="shared" si="153"/>
        <v>0</v>
      </c>
      <c r="AK304" s="147">
        <f t="shared" si="165"/>
        <v>0</v>
      </c>
      <c r="AM304" s="147" t="str">
        <f t="shared" si="157"/>
        <v>0.869224027279594+0.991411945136345i</v>
      </c>
      <c r="AN304" s="147" t="str">
        <f t="shared" si="158"/>
        <v>1.43964469286797i</v>
      </c>
      <c r="AO304" s="147" t="str">
        <f t="shared" si="159"/>
        <v>0.688650435796986-0.603776773245335i</v>
      </c>
      <c r="AP304" s="147" t="str">
        <f t="shared" si="160"/>
        <v>0.021795995453401-0.165235324189391i</v>
      </c>
      <c r="AQ304" s="147" t="str">
        <f t="shared" si="161"/>
        <v>0.978204004546599+0.165235324189391i</v>
      </c>
      <c r="AR304" s="147" t="str">
        <f t="shared" si="162"/>
        <v>0.827937109697502-0.139852685220506i</v>
      </c>
    </row>
    <row r="305" spans="7:44">
      <c r="G305" s="585">
        <v>20893</v>
      </c>
      <c r="H305" s="573">
        <f t="shared" si="154"/>
        <v>20.893000000000001</v>
      </c>
      <c r="I305" s="574">
        <f t="shared" si="134"/>
        <v>181.87787200178659</v>
      </c>
      <c r="J305" s="575">
        <f t="shared" si="135"/>
        <v>1.5652981041281133</v>
      </c>
      <c r="K305" s="575">
        <f t="shared" si="136"/>
        <v>1.0009378980094152</v>
      </c>
      <c r="L305" s="576">
        <f t="shared" si="137"/>
        <v>4.3293545748162715E-2</v>
      </c>
      <c r="M305" s="575">
        <f t="shared" si="138"/>
        <v>1.044163174924386</v>
      </c>
      <c r="N305" s="576">
        <f t="shared" si="139"/>
        <v>-0.2918795595802392</v>
      </c>
      <c r="O305" s="574">
        <f t="shared" si="140"/>
        <v>393823.77141996968</v>
      </c>
      <c r="P305" s="577">
        <f t="shared" si="141"/>
        <v>1.5707937875880926</v>
      </c>
      <c r="Q305" s="586">
        <f t="shared" si="163"/>
        <v>73.520571797017055</v>
      </c>
      <c r="R305" s="587">
        <f t="shared" si="164"/>
        <v>1.5571942721290482</v>
      </c>
      <c r="S305" s="574">
        <f t="shared" si="142"/>
        <v>1.0814240831468569</v>
      </c>
      <c r="T305" s="577">
        <f t="shared" si="143"/>
        <v>0.39053214921057472</v>
      </c>
      <c r="U305" s="578">
        <f t="shared" si="155"/>
        <v>0.7671575181145357</v>
      </c>
      <c r="V305" s="579">
        <f t="shared" si="156"/>
        <v>-0.89122738782179556</v>
      </c>
      <c r="W305" s="580">
        <f t="shared" si="144"/>
        <v>-15.082104278710368</v>
      </c>
      <c r="X305" s="581">
        <f t="shared" si="145"/>
        <v>-178.14651135031426</v>
      </c>
      <c r="Y305" s="584">
        <f t="shared" si="146"/>
        <v>1.8534886496857439</v>
      </c>
      <c r="AA305" s="147">
        <f t="shared" si="147"/>
        <v>20893</v>
      </c>
      <c r="AB305" s="147">
        <f t="shared" si="148"/>
        <v>436517449</v>
      </c>
      <c r="AD305" s="583">
        <f t="shared" si="149"/>
        <v>29.847668345989959</v>
      </c>
      <c r="AE305" s="584">
        <f t="shared" si="150"/>
        <v>-23.155038779623908</v>
      </c>
      <c r="AG305" s="583">
        <f t="shared" si="151"/>
        <v>14.77709088452057</v>
      </c>
      <c r="AH305" s="584">
        <f t="shared" si="152"/>
        <v>-52.864336636677244</v>
      </c>
      <c r="AJ305" s="147">
        <f t="shared" si="153"/>
        <v>0</v>
      </c>
      <c r="AK305" s="147">
        <f t="shared" si="165"/>
        <v>0</v>
      </c>
      <c r="AM305" s="147" t="str">
        <f t="shared" si="157"/>
        <v>0.877404295294519+0.992456695875325i</v>
      </c>
      <c r="AN305" s="147" t="str">
        <f t="shared" si="158"/>
        <v>1.44789143006115i</v>
      </c>
      <c r="AO305" s="147" t="str">
        <f t="shared" si="159"/>
        <v>0.685449665126763-0.605987629374575i</v>
      </c>
      <c r="AP305" s="147" t="str">
        <f t="shared" si="160"/>
        <v>0.0204326174509135-0.165409449312554i</v>
      </c>
      <c r="AQ305" s="147" t="str">
        <f t="shared" si="161"/>
        <v>0.979567382549086+0.165409449312554i</v>
      </c>
      <c r="AR305" s="147" t="str">
        <f t="shared" si="162"/>
        <v>0.826800343711868-0.139613253749757i</v>
      </c>
    </row>
    <row r="306" spans="7:44">
      <c r="G306" s="585">
        <v>21014.75</v>
      </c>
      <c r="H306" s="573">
        <f t="shared" si="154"/>
        <v>21.014749999999999</v>
      </c>
      <c r="I306" s="574">
        <f t="shared" si="134"/>
        <v>182.93769890314297</v>
      </c>
      <c r="J306" s="575">
        <f t="shared" si="135"/>
        <v>1.5653299577183659</v>
      </c>
      <c r="K306" s="575">
        <f t="shared" si="136"/>
        <v>1.000948855508019</v>
      </c>
      <c r="L306" s="576">
        <f t="shared" si="137"/>
        <v>4.3545512804262276E-2</v>
      </c>
      <c r="M306" s="575">
        <f t="shared" si="138"/>
        <v>1.0446683409586877</v>
      </c>
      <c r="N306" s="576">
        <f t="shared" si="139"/>
        <v>-0.29348468683841988</v>
      </c>
      <c r="O306" s="574">
        <f t="shared" si="140"/>
        <v>396118.7048507873</v>
      </c>
      <c r="P306" s="577">
        <f t="shared" si="141"/>
        <v>1.5707938022991135</v>
      </c>
      <c r="Q306" s="586">
        <f t="shared" si="163"/>
        <v>73.948919971686593</v>
      </c>
      <c r="R306" s="587">
        <f t="shared" si="164"/>
        <v>1.5572730666743442</v>
      </c>
      <c r="S306" s="574">
        <f t="shared" si="142"/>
        <v>1.0823395978664638</v>
      </c>
      <c r="T306" s="577">
        <f t="shared" si="143"/>
        <v>0.39258173268722479</v>
      </c>
      <c r="U306" s="578">
        <f t="shared" si="155"/>
        <v>0.7652637402230954</v>
      </c>
      <c r="V306" s="579">
        <f t="shared" si="156"/>
        <v>-0.89537738127952893</v>
      </c>
      <c r="W306" s="580">
        <f t="shared" si="144"/>
        <v>-15.157102613632944</v>
      </c>
      <c r="X306" s="581">
        <f t="shared" si="145"/>
        <v>-178.57656263676591</v>
      </c>
      <c r="Y306" s="584">
        <f t="shared" si="146"/>
        <v>1.4234373632340862</v>
      </c>
      <c r="AA306" s="147">
        <f t="shared" si="147"/>
        <v>21014.75</v>
      </c>
      <c r="AB306" s="147">
        <f t="shared" si="148"/>
        <v>441619717.5625</v>
      </c>
      <c r="AD306" s="583">
        <f t="shared" si="149"/>
        <v>29.840308851679072</v>
      </c>
      <c r="AE306" s="584">
        <f t="shared" si="150"/>
        <v>-23.267957510710026</v>
      </c>
      <c r="AG306" s="583">
        <f t="shared" si="151"/>
        <v>14.752388420700555</v>
      </c>
      <c r="AH306" s="584">
        <f t="shared" si="152"/>
        <v>-52.705914971229326</v>
      </c>
      <c r="AJ306" s="147">
        <f t="shared" si="153"/>
        <v>0</v>
      </c>
      <c r="AK306" s="147">
        <f t="shared" si="165"/>
        <v>0</v>
      </c>
      <c r="AM306" s="147" t="str">
        <f t="shared" si="157"/>
        <v>0.885782227439138+0.993455736523392i</v>
      </c>
      <c r="AN306" s="147" t="str">
        <f t="shared" si="158"/>
        <v>1.45632874311385i</v>
      </c>
      <c r="AO306" s="147" t="str">
        <f t="shared" si="159"/>
        <v>0.682164477780775-0.608229585268778i</v>
      </c>
      <c r="AP306" s="147" t="str">
        <f t="shared" si="160"/>
        <v>0.0190362954268103-0.165575956087232i</v>
      </c>
      <c r="AQ306" s="147" t="str">
        <f t="shared" si="161"/>
        <v>0.98096370457319+0.165575956087232i</v>
      </c>
      <c r="AR306" s="147" t="str">
        <f t="shared" si="162"/>
        <v>0.82564260216622-0.139359450918219i</v>
      </c>
    </row>
    <row r="307" spans="7:44">
      <c r="G307" s="585">
        <v>21136.5</v>
      </c>
      <c r="H307" s="573">
        <f t="shared" si="154"/>
        <v>21.136500000000002</v>
      </c>
      <c r="I307" s="574">
        <f t="shared" si="134"/>
        <v>183.99752598797895</v>
      </c>
      <c r="J307" s="575">
        <f t="shared" si="135"/>
        <v>1.5653614443548278</v>
      </c>
      <c r="K307" s="575">
        <f t="shared" si="136"/>
        <v>1.0009598765528667</v>
      </c>
      <c r="L307" s="576">
        <f t="shared" si="137"/>
        <v>4.3797474327803412E-2</v>
      </c>
      <c r="M307" s="575">
        <f t="shared" si="138"/>
        <v>1.0451761959056833</v>
      </c>
      <c r="N307" s="576">
        <f t="shared" si="139"/>
        <v>-0.29508825835031499</v>
      </c>
      <c r="O307" s="574">
        <f t="shared" si="140"/>
        <v>398413.63828160497</v>
      </c>
      <c r="P307" s="577">
        <f t="shared" si="141"/>
        <v>1.5707938168406583</v>
      </c>
      <c r="Q307" s="586">
        <f t="shared" si="163"/>
        <v>74.377268600185729</v>
      </c>
      <c r="R307" s="587">
        <f t="shared" si="164"/>
        <v>1.5573509536434886</v>
      </c>
      <c r="S307" s="574">
        <f t="shared" si="142"/>
        <v>1.0832596515736852</v>
      </c>
      <c r="T307" s="577">
        <f t="shared" si="143"/>
        <v>0.39462784316830352</v>
      </c>
      <c r="U307" s="578">
        <f t="shared" si="155"/>
        <v>0.7633715814442158</v>
      </c>
      <c r="V307" s="579">
        <f t="shared" si="156"/>
        <v>-0.89951567548761324</v>
      </c>
      <c r="W307" s="580">
        <f t="shared" si="144"/>
        <v>-15.231853350796868</v>
      </c>
      <c r="X307" s="581">
        <f t="shared" si="145"/>
        <v>-179.00568676256503</v>
      </c>
      <c r="Y307" s="584">
        <f t="shared" si="146"/>
        <v>0.99431323743496591</v>
      </c>
      <c r="AA307" s="147">
        <f t="shared" si="147"/>
        <v>21136.5</v>
      </c>
      <c r="AB307" s="147">
        <f t="shared" si="148"/>
        <v>446751632.25</v>
      </c>
      <c r="AD307" s="583">
        <f t="shared" si="149"/>
        <v>29.832919336974992</v>
      </c>
      <c r="AE307" s="584">
        <f t="shared" si="150"/>
        <v>-23.380729244380287</v>
      </c>
      <c r="AG307" s="583">
        <f t="shared" si="151"/>
        <v>14.728033114673194</v>
      </c>
      <c r="AH307" s="584">
        <f t="shared" si="152"/>
        <v>-52.54805377780302</v>
      </c>
      <c r="AJ307" s="147">
        <f t="shared" si="153"/>
        <v>0</v>
      </c>
      <c r="AK307" s="147">
        <f t="shared" si="165"/>
        <v>0</v>
      </c>
      <c r="AM307" s="147" t="str">
        <f t="shared" si="157"/>
        <v>0.894168290499036+0.994384055214133i</v>
      </c>
      <c r="AN307" s="147" t="str">
        <f t="shared" si="158"/>
        <v>1.46476605616654i</v>
      </c>
      <c r="AO307" s="147" t="str">
        <f t="shared" si="159"/>
        <v>0.67886885487813-0.610451264032685i</v>
      </c>
      <c r="AP307" s="147" t="str">
        <f t="shared" si="160"/>
        <v>0.0176386182501607-0.165730675869022i</v>
      </c>
      <c r="AQ307" s="147" t="str">
        <f t="shared" si="161"/>
        <v>0.982361381749839+0.165730675869022i</v>
      </c>
      <c r="AR307" s="147" t="str">
        <f t="shared" si="162"/>
        <v>0.824490261682241-0.139096803736958i</v>
      </c>
    </row>
    <row r="308" spans="7:44">
      <c r="G308" s="585">
        <v>21258.25</v>
      </c>
      <c r="H308" s="573">
        <f t="shared" si="154"/>
        <v>21.25825</v>
      </c>
      <c r="I308" s="574">
        <f t="shared" si="134"/>
        <v>185.05735325314222</v>
      </c>
      <c r="J308" s="575">
        <f t="shared" si="135"/>
        <v>1.5653925703420923</v>
      </c>
      <c r="K308" s="575">
        <f t="shared" si="136"/>
        <v>1.0009709611418594</v>
      </c>
      <c r="L308" s="576">
        <f t="shared" si="137"/>
        <v>4.4049430286978025E-2</v>
      </c>
      <c r="M308" s="575">
        <f t="shared" si="138"/>
        <v>1.0456867358476294</v>
      </c>
      <c r="N308" s="576">
        <f t="shared" si="139"/>
        <v>-0.29669026814169325</v>
      </c>
      <c r="O308" s="574">
        <f t="shared" si="140"/>
        <v>400708.57171242282</v>
      </c>
      <c r="P308" s="577">
        <f t="shared" si="141"/>
        <v>1.5707938312156389</v>
      </c>
      <c r="Q308" s="586">
        <f t="shared" si="163"/>
        <v>74.805617674718334</v>
      </c>
      <c r="R308" s="587">
        <f t="shared" si="164"/>
        <v>1.5574279486263121</v>
      </c>
      <c r="S308" s="574">
        <f t="shared" si="142"/>
        <v>1.0841842327129789</v>
      </c>
      <c r="T308" s="577">
        <f t="shared" si="143"/>
        <v>0.39667047238500575</v>
      </c>
      <c r="U308" s="578">
        <f t="shared" si="155"/>
        <v>0.76148111412728259</v>
      </c>
      <c r="V308" s="579">
        <f t="shared" si="156"/>
        <v>-0.90364232538285627</v>
      </c>
      <c r="W308" s="580">
        <f t="shared" si="144"/>
        <v>-15.306359032483739</v>
      </c>
      <c r="X308" s="581">
        <f t="shared" si="145"/>
        <v>-179.4338855292774</v>
      </c>
      <c r="Y308" s="584">
        <f t="shared" si="146"/>
        <v>0.5661144707225958</v>
      </c>
      <c r="AA308" s="147">
        <f t="shared" si="147"/>
        <v>21258.25</v>
      </c>
      <c r="AB308" s="147">
        <f t="shared" si="148"/>
        <v>451913193.0625</v>
      </c>
      <c r="AD308" s="583">
        <f t="shared" si="149"/>
        <v>29.825499972957843</v>
      </c>
      <c r="AE308" s="584">
        <f t="shared" si="150"/>
        <v>-23.493352613802386</v>
      </c>
      <c r="AG308" s="583">
        <f t="shared" si="151"/>
        <v>14.7040208563925</v>
      </c>
      <c r="AH308" s="584">
        <f t="shared" si="152"/>
        <v>-52.390749929501908</v>
      </c>
      <c r="AJ308" s="147">
        <f t="shared" si="153"/>
        <v>0</v>
      </c>
      <c r="AK308" s="147">
        <f t="shared" si="165"/>
        <v>0</v>
      </c>
      <c r="AM308" s="147" t="str">
        <f t="shared" si="157"/>
        <v>0.902561887488608+0.995241585862557i</v>
      </c>
      <c r="AN308" s="147" t="str">
        <f t="shared" si="158"/>
        <v>1.47320336921924i</v>
      </c>
      <c r="AO308" s="147" t="str">
        <f t="shared" si="159"/>
        <v>0.675562930859987-0.612652608829521i</v>
      </c>
      <c r="AP308" s="147" t="str">
        <f t="shared" si="160"/>
        <v>0.0162396854185654-0.16587359764376i</v>
      </c>
      <c r="AQ308" s="147" t="str">
        <f t="shared" si="161"/>
        <v>0.983760314581435+0.16587359764376i</v>
      </c>
      <c r="AR308" s="147" t="str">
        <f t="shared" si="162"/>
        <v>0.823343367508477-0.138825407409189i</v>
      </c>
    </row>
    <row r="309" spans="7:44">
      <c r="G309" s="585">
        <v>21380</v>
      </c>
      <c r="H309" s="573">
        <f t="shared" si="154"/>
        <v>21.38</v>
      </c>
      <c r="I309" s="574">
        <f t="shared" si="134"/>
        <v>186.11718069555218</v>
      </c>
      <c r="J309" s="575">
        <f t="shared" si="135"/>
        <v>1.565423341841151</v>
      </c>
      <c r="K309" s="575">
        <f t="shared" si="136"/>
        <v>1.0009821092728863</v>
      </c>
      <c r="L309" s="576">
        <f t="shared" si="137"/>
        <v>4.4301380649982278E-2</v>
      </c>
      <c r="M309" s="575">
        <f t="shared" si="138"/>
        <v>1.0461999568537366</v>
      </c>
      <c r="N309" s="576">
        <f t="shared" si="139"/>
        <v>-0.2982907102820187</v>
      </c>
      <c r="O309" s="574">
        <f t="shared" si="140"/>
        <v>403003.50514324068</v>
      </c>
      <c r="P309" s="577">
        <f t="shared" si="141"/>
        <v>1.5707938454269004</v>
      </c>
      <c r="Q309" s="586">
        <f t="shared" si="163"/>
        <v>75.233967187665854</v>
      </c>
      <c r="R309" s="587">
        <f t="shared" si="164"/>
        <v>1.5575040668576414</v>
      </c>
      <c r="S309" s="574">
        <f t="shared" si="142"/>
        <v>1.0851133297114197</v>
      </c>
      <c r="T309" s="577">
        <f t="shared" si="143"/>
        <v>0.39870961221283824</v>
      </c>
      <c r="U309" s="578">
        <f t="shared" si="155"/>
        <v>0.75959240918432291</v>
      </c>
      <c r="V309" s="579">
        <f t="shared" si="156"/>
        <v>-0.90775738635307834</v>
      </c>
      <c r="W309" s="580">
        <f t="shared" si="144"/>
        <v>-15.380622152626607</v>
      </c>
      <c r="X309" s="581">
        <f t="shared" si="145"/>
        <v>-179.8611607871903</v>
      </c>
      <c r="Y309" s="584">
        <f t="shared" si="146"/>
        <v>0.13883921280969957</v>
      </c>
      <c r="AA309" s="147">
        <f t="shared" si="147"/>
        <v>21380</v>
      </c>
      <c r="AB309" s="147">
        <f t="shared" si="148"/>
        <v>457104400</v>
      </c>
      <c r="AD309" s="583">
        <f t="shared" si="149"/>
        <v>29.818050930801796</v>
      </c>
      <c r="AE309" s="584">
        <f t="shared" si="150"/>
        <v>-23.605826280748865</v>
      </c>
      <c r="AG309" s="583">
        <f t="shared" si="151"/>
        <v>14.680347601970391</v>
      </c>
      <c r="AH309" s="584">
        <f t="shared" si="152"/>
        <v>-52.234000267864005</v>
      </c>
      <c r="AJ309" s="147">
        <f t="shared" si="153"/>
        <v>0</v>
      </c>
      <c r="AK309" s="147">
        <f t="shared" si="165"/>
        <v>0</v>
      </c>
      <c r="AM309" s="147" t="str">
        <f t="shared" si="157"/>
        <v>0.910962420885884+0.996028267422917i</v>
      </c>
      <c r="AN309" s="147" t="str">
        <f t="shared" si="158"/>
        <v>1.48164068227193i</v>
      </c>
      <c r="AO309" s="147" t="str">
        <f t="shared" si="159"/>
        <v>0.672246840506309-0.614833563755164i</v>
      </c>
      <c r="AP309" s="147" t="str">
        <f t="shared" si="160"/>
        <v>0.0148395965190194-0.166004711237153i</v>
      </c>
      <c r="AQ309" s="147" t="str">
        <f t="shared" si="161"/>
        <v>0.985160403480981+0.166004711237153i</v>
      </c>
      <c r="AR309" s="147" t="str">
        <f t="shared" si="162"/>
        <v>0.822201963459996-0.138545356716047i</v>
      </c>
    </row>
    <row r="310" spans="7:44">
      <c r="G310" s="585">
        <v>21504.5</v>
      </c>
      <c r="H310" s="573">
        <f t="shared" si="154"/>
        <v>21.5045</v>
      </c>
      <c r="I310" s="574">
        <f t="shared" si="134"/>
        <v>187.20094692565146</v>
      </c>
      <c r="J310" s="575">
        <f t="shared" si="135"/>
        <v>1.5654544480684085</v>
      </c>
      <c r="K310" s="575">
        <f t="shared" si="136"/>
        <v>1.00099357491864</v>
      </c>
      <c r="L310" s="576">
        <f t="shared" si="137"/>
        <v>4.4559016063274913E-2</v>
      </c>
      <c r="M310" s="575">
        <f t="shared" si="138"/>
        <v>1.0467275385966128</v>
      </c>
      <c r="N310" s="576">
        <f t="shared" si="139"/>
        <v>-0.29992567474175202</v>
      </c>
      <c r="O310" s="574">
        <f t="shared" si="140"/>
        <v>405350.27485278354</v>
      </c>
      <c r="P310" s="577">
        <f t="shared" si="141"/>
        <v>1.5707938597927456</v>
      </c>
      <c r="Q310" s="586">
        <f t="shared" si="163"/>
        <v>75.671992391909185</v>
      </c>
      <c r="R310" s="587">
        <f t="shared" si="164"/>
        <v>1.5575810132237582</v>
      </c>
      <c r="S310" s="574">
        <f t="shared" si="142"/>
        <v>1.0860680704104684</v>
      </c>
      <c r="T310" s="577">
        <f t="shared" si="143"/>
        <v>0.40079119382343442</v>
      </c>
      <c r="U310" s="578">
        <f t="shared" si="155"/>
        <v>0.75766293848267485</v>
      </c>
      <c r="V310" s="579">
        <f t="shared" si="156"/>
        <v>-0.91195346895509533</v>
      </c>
      <c r="W310" s="580">
        <f t="shared" si="144"/>
        <v>-15.456314381387042</v>
      </c>
      <c r="X310" s="581">
        <f t="shared" si="145"/>
        <v>-180.29713397024673</v>
      </c>
      <c r="Y310" s="584">
        <f t="shared" si="146"/>
        <v>-0.29713397024673327</v>
      </c>
      <c r="AA310" s="147">
        <f t="shared" si="147"/>
        <v>21504.5</v>
      </c>
      <c r="AB310" s="147">
        <f t="shared" si="148"/>
        <v>462443520.25</v>
      </c>
      <c r="AD310" s="583">
        <f t="shared" si="149"/>
        <v>29.810403122329369</v>
      </c>
      <c r="AE310" s="584">
        <f t="shared" si="150"/>
        <v>-23.720684242954263</v>
      </c>
      <c r="AG310" s="583">
        <f t="shared" si="151"/>
        <v>14.656486063975427</v>
      </c>
      <c r="AH310" s="584">
        <f t="shared" si="152"/>
        <v>-52.074279840997924</v>
      </c>
      <c r="AJ310" s="147">
        <f t="shared" si="153"/>
        <v>0</v>
      </c>
      <c r="AK310" s="147">
        <f t="shared" si="165"/>
        <v>0</v>
      </c>
      <c r="AM310" s="147" t="str">
        <f t="shared" si="157"/>
        <v>0.919559249491084+0.996759392058867i</v>
      </c>
      <c r="AN310" s="147" t="str">
        <f t="shared" si="158"/>
        <v>1.49026857118413i</v>
      </c>
      <c r="AO310" s="147" t="str">
        <f t="shared" si="159"/>
        <v>0.668845476132444-0.617042637328401i</v>
      </c>
      <c r="AP310" s="147" t="str">
        <f t="shared" si="160"/>
        <v>0.013406791751486-0.166126565343144i</v>
      </c>
      <c r="AQ310" s="147" t="str">
        <f t="shared" si="161"/>
        <v>0.986593208248514+0.166126565343144i</v>
      </c>
      <c r="AR310" s="147" t="str">
        <f t="shared" si="162"/>
        <v>0.821040499921604-0.138250128948016i</v>
      </c>
    </row>
    <row r="311" spans="7:44">
      <c r="G311" s="585">
        <v>21629</v>
      </c>
      <c r="H311" s="573">
        <f t="shared" si="154"/>
        <v>21.629000000000001</v>
      </c>
      <c r="I311" s="574">
        <f t="shared" si="134"/>
        <v>188.28471333480067</v>
      </c>
      <c r="J311" s="575">
        <f t="shared" si="135"/>
        <v>1.56548519620094</v>
      </c>
      <c r="K311" s="575">
        <f t="shared" si="136"/>
        <v>1.0010051070048247</v>
      </c>
      <c r="L311" s="576">
        <f t="shared" si="137"/>
        <v>4.4816645557486552E-2</v>
      </c>
      <c r="M311" s="575">
        <f t="shared" si="138"/>
        <v>1.0472579155325685</v>
      </c>
      <c r="N311" s="576">
        <f t="shared" si="139"/>
        <v>-0.30155898752967364</v>
      </c>
      <c r="O311" s="574">
        <f t="shared" si="140"/>
        <v>407697.04456232639</v>
      </c>
      <c r="P311" s="577">
        <f t="shared" si="141"/>
        <v>1.5707938739932064</v>
      </c>
      <c r="Q311" s="586">
        <f t="shared" si="163"/>
        <v>76.11001803902991</v>
      </c>
      <c r="R311" s="587">
        <f t="shared" si="164"/>
        <v>1.5576570739123861</v>
      </c>
      <c r="S311" s="574">
        <f t="shared" si="142"/>
        <v>1.08702750874459</v>
      </c>
      <c r="T311" s="577">
        <f t="shared" si="143"/>
        <v>0.40286910990985342</v>
      </c>
      <c r="U311" s="578">
        <f t="shared" si="155"/>
        <v>0.75573545610725867</v>
      </c>
      <c r="V311" s="579">
        <f t="shared" si="156"/>
        <v>-0.91613755172173905</v>
      </c>
      <c r="W311" s="580">
        <f t="shared" si="144"/>
        <v>-15.531758092609829</v>
      </c>
      <c r="X311" s="581">
        <f t="shared" si="145"/>
        <v>-180.73214551841951</v>
      </c>
      <c r="Y311" s="584">
        <f t="shared" si="146"/>
        <v>-0.73214551841951447</v>
      </c>
      <c r="AA311" s="147">
        <f t="shared" si="147"/>
        <v>21629</v>
      </c>
      <c r="AB311" s="147">
        <f t="shared" si="148"/>
        <v>467813641</v>
      </c>
      <c r="AD311" s="583">
        <f t="shared" si="149"/>
        <v>29.802724642154278</v>
      </c>
      <c r="AE311" s="584">
        <f t="shared" si="150"/>
        <v>-23.835382922200704</v>
      </c>
      <c r="AG311" s="583">
        <f t="shared" si="151"/>
        <v>14.632970670391055</v>
      </c>
      <c r="AH311" s="584">
        <f t="shared" si="152"/>
        <v>-51.915132142052165</v>
      </c>
      <c r="AJ311" s="147">
        <f t="shared" si="153"/>
        <v>0</v>
      </c>
      <c r="AK311" s="147">
        <f t="shared" si="165"/>
        <v>0</v>
      </c>
      <c r="AM311" s="147" t="str">
        <f t="shared" si="157"/>
        <v>0.928162066106178+0.997416317920389i</v>
      </c>
      <c r="AN311" s="147" t="str">
        <f t="shared" si="158"/>
        <v>1.49889646009633i</v>
      </c>
      <c r="AO311" s="147" t="str">
        <f t="shared" si="159"/>
        <v>0.665433767090415-0.619230274282273i</v>
      </c>
      <c r="AP311" s="147" t="str">
        <f t="shared" si="160"/>
        <v>0.0119729889823036-0.166236052986731i</v>
      </c>
      <c r="AQ311" s="147" t="str">
        <f t="shared" si="161"/>
        <v>0.988027011017696+0.166236052986731i</v>
      </c>
      <c r="AR311" s="147" t="str">
        <f t="shared" si="162"/>
        <v>0.819884865503285-0.137946050487462i</v>
      </c>
    </row>
    <row r="312" spans="7:44">
      <c r="G312" s="585">
        <v>21753.5</v>
      </c>
      <c r="H312" s="573">
        <f t="shared" si="154"/>
        <v>21.753499999999999</v>
      </c>
      <c r="I312" s="574">
        <f t="shared" si="134"/>
        <v>189.36847991992568</v>
      </c>
      <c r="J312" s="575">
        <f t="shared" si="135"/>
        <v>1.5655155923868758</v>
      </c>
      <c r="K312" s="575">
        <f t="shared" si="136"/>
        <v>1.0010167055291443</v>
      </c>
      <c r="L312" s="576">
        <f t="shared" si="137"/>
        <v>4.5074269098623096E-2</v>
      </c>
      <c r="M312" s="575">
        <f t="shared" si="138"/>
        <v>1.047791083416943</v>
      </c>
      <c r="N312" s="576">
        <f t="shared" si="139"/>
        <v>-0.30319064244616889</v>
      </c>
      <c r="O312" s="574">
        <f t="shared" si="140"/>
        <v>410043.81427186943</v>
      </c>
      <c r="P312" s="577">
        <f t="shared" si="141"/>
        <v>1.5707938880311225</v>
      </c>
      <c r="Q312" s="586">
        <f t="shared" si="163"/>
        <v>76.548044121425306</v>
      </c>
      <c r="R312" s="587">
        <f t="shared" si="164"/>
        <v>1.5577322641268074</v>
      </c>
      <c r="S312" s="574">
        <f t="shared" si="142"/>
        <v>1.0879916322860483</v>
      </c>
      <c r="T312" s="577">
        <f t="shared" si="143"/>
        <v>0.40494335224935801</v>
      </c>
      <c r="U312" s="578">
        <f t="shared" si="155"/>
        <v>0.75381003331425012</v>
      </c>
      <c r="V312" s="579">
        <f t="shared" si="156"/>
        <v>-0.92030969524937212</v>
      </c>
      <c r="W312" s="580">
        <f t="shared" si="144"/>
        <v>-15.606955804426303</v>
      </c>
      <c r="X312" s="581">
        <f t="shared" si="145"/>
        <v>-181.16619756057295</v>
      </c>
      <c r="Y312" s="584">
        <f t="shared" si="146"/>
        <v>-1.1661975605729538</v>
      </c>
      <c r="AA312" s="147">
        <f t="shared" si="147"/>
        <v>21753.5</v>
      </c>
      <c r="AB312" s="147">
        <f t="shared" si="148"/>
        <v>473214762.25</v>
      </c>
      <c r="AD312" s="583">
        <f t="shared" si="149"/>
        <v>29.795015673530138</v>
      </c>
      <c r="AE312" s="584">
        <f t="shared" si="150"/>
        <v>-23.949920976438857</v>
      </c>
      <c r="AG312" s="583">
        <f t="shared" si="151"/>
        <v>14.609797303113659</v>
      </c>
      <c r="AH312" s="584">
        <f t="shared" si="152"/>
        <v>-51.756553698108782</v>
      </c>
      <c r="AJ312" s="147">
        <f t="shared" si="153"/>
        <v>0</v>
      </c>
      <c r="AK312" s="147">
        <f t="shared" si="165"/>
        <v>0</v>
      </c>
      <c r="AM312" s="147" t="str">
        <f t="shared" si="157"/>
        <v>0.936770230337463+0.997998996105919i</v>
      </c>
      <c r="AN312" s="147" t="str">
        <f t="shared" si="158"/>
        <v>1.50752434900854i</v>
      </c>
      <c r="AO312" s="147" t="str">
        <f t="shared" si="159"/>
        <v>0.662011858556233-0.621396417877796i</v>
      </c>
      <c r="AP312" s="147" t="str">
        <f t="shared" si="160"/>
        <v>0.0105382949437562-0.166333166017653i</v>
      </c>
      <c r="AQ312" s="147" t="str">
        <f t="shared" si="161"/>
        <v>0.989461705056244+0.166333166017653i</v>
      </c>
      <c r="AR312" s="147" t="str">
        <f t="shared" si="162"/>
        <v>0.818735102557259-0.137633221217385i</v>
      </c>
    </row>
    <row r="313" spans="7:44">
      <c r="G313" s="585">
        <v>21878</v>
      </c>
      <c r="H313" s="573">
        <f t="shared" si="154"/>
        <v>21.878</v>
      </c>
      <c r="I313" s="574">
        <f t="shared" si="134"/>
        <v>190.45224667802225</v>
      </c>
      <c r="J313" s="575">
        <f t="shared" si="135"/>
        <v>1.5655456426344061</v>
      </c>
      <c r="K313" s="575">
        <f t="shared" si="136"/>
        <v>1.0010283704892893</v>
      </c>
      <c r="L313" s="576">
        <f t="shared" si="137"/>
        <v>4.5331886652695191E-2</v>
      </c>
      <c r="M313" s="575">
        <f t="shared" si="138"/>
        <v>1.0483270379913971</v>
      </c>
      <c r="N313" s="576">
        <f t="shared" si="139"/>
        <v>-0.30482063333951231</v>
      </c>
      <c r="O313" s="574">
        <f t="shared" si="140"/>
        <v>412390.58398141246</v>
      </c>
      <c r="P313" s="577">
        <f t="shared" si="141"/>
        <v>1.5707939019092692</v>
      </c>
      <c r="Q313" s="586">
        <f t="shared" si="163"/>
        <v>76.986070631665669</v>
      </c>
      <c r="R313" s="587">
        <f t="shared" si="164"/>
        <v>1.5578065987243379</v>
      </c>
      <c r="S313" s="574">
        <f t="shared" si="142"/>
        <v>1.0889604285905379</v>
      </c>
      <c r="T313" s="577">
        <f t="shared" si="143"/>
        <v>0.40701391277470961</v>
      </c>
      <c r="U313" s="578">
        <f t="shared" si="155"/>
        <v>0.75188673985109855</v>
      </c>
      <c r="V313" s="579">
        <f t="shared" si="156"/>
        <v>-0.92446996056540087</v>
      </c>
      <c r="W313" s="580">
        <f t="shared" si="144"/>
        <v>-15.68190998750609</v>
      </c>
      <c r="X313" s="581">
        <f t="shared" si="145"/>
        <v>-181.59929227372226</v>
      </c>
      <c r="Y313" s="584">
        <f t="shared" si="146"/>
        <v>-1.5992922737222557</v>
      </c>
      <c r="AA313" s="147">
        <f t="shared" si="147"/>
        <v>21878</v>
      </c>
      <c r="AB313" s="147">
        <f t="shared" si="148"/>
        <v>478646884</v>
      </c>
      <c r="AD313" s="583">
        <f t="shared" si="149"/>
        <v>29.787276399754386</v>
      </c>
      <c r="AE313" s="584">
        <f t="shared" si="150"/>
        <v>-24.064297092347523</v>
      </c>
      <c r="AG313" s="583">
        <f t="shared" si="151"/>
        <v>14.586961910710784</v>
      </c>
      <c r="AH313" s="584">
        <f t="shared" si="152"/>
        <v>-51.598541006278452</v>
      </c>
      <c r="AJ313" s="147">
        <f t="shared" si="153"/>
        <v>0</v>
      </c>
      <c r="AK313" s="147">
        <f t="shared" si="165"/>
        <v>0</v>
      </c>
      <c r="AM313" s="147" t="str">
        <f t="shared" si="157"/>
        <v>0.945383101393126+0.998507383240888i</v>
      </c>
      <c r="AN313" s="147" t="str">
        <f t="shared" si="158"/>
        <v>1.51615223792074i</v>
      </c>
      <c r="AO313" s="147" t="str">
        <f t="shared" si="159"/>
        <v>0.65857989604675-0.623541012404948i</v>
      </c>
      <c r="AP313" s="147" t="str">
        <f t="shared" si="160"/>
        <v>0.00910281643447903-0.166417897206815i</v>
      </c>
      <c r="AQ313" s="147" t="str">
        <f t="shared" si="161"/>
        <v>0.990897183565521+0.166417897206815i</v>
      </c>
      <c r="AR313" s="147" t="str">
        <f t="shared" si="162"/>
        <v>0.817591251970038-0.137311740495571i</v>
      </c>
    </row>
    <row r="314" spans="7:44">
      <c r="G314" s="585">
        <v>22005.25</v>
      </c>
      <c r="H314" s="573">
        <f t="shared" si="154"/>
        <v>22.00525</v>
      </c>
      <c r="I314" s="574">
        <f t="shared" si="134"/>
        <v>191.55995223497834</v>
      </c>
      <c r="J314" s="575">
        <f t="shared" si="135"/>
        <v>1.5655760052699297</v>
      </c>
      <c r="K314" s="575">
        <f t="shared" si="136"/>
        <v>1.0010403617599981</v>
      </c>
      <c r="L314" s="576">
        <f t="shared" si="137"/>
        <v>4.5595188332078158E-2</v>
      </c>
      <c r="M314" s="575">
        <f t="shared" si="138"/>
        <v>1.0488777061728554</v>
      </c>
      <c r="N314" s="576">
        <f t="shared" si="139"/>
        <v>-0.30648490213167973</v>
      </c>
      <c r="O314" s="574">
        <f t="shared" si="140"/>
        <v>414789.18996968045</v>
      </c>
      <c r="P314" s="577">
        <f t="shared" si="141"/>
        <v>1.5707939159316817</v>
      </c>
      <c r="Q314" s="586">
        <f t="shared" si="163"/>
        <v>77.433772860835433</v>
      </c>
      <c r="R314" s="587">
        <f t="shared" si="164"/>
        <v>1.5578817061907528</v>
      </c>
      <c r="S314" s="574">
        <f t="shared" si="142"/>
        <v>1.0899554397625499</v>
      </c>
      <c r="T314" s="577">
        <f t="shared" si="143"/>
        <v>0.40912639563681957</v>
      </c>
      <c r="U314" s="578">
        <f t="shared" si="155"/>
        <v>0.74992323544538342</v>
      </c>
      <c r="V314" s="579">
        <f t="shared" si="156"/>
        <v>-0.92870990859156</v>
      </c>
      <c r="W314" s="580">
        <f t="shared" si="144"/>
        <v>-15.758270651784084</v>
      </c>
      <c r="X314" s="581">
        <f t="shared" si="145"/>
        <v>-182.04096637003241</v>
      </c>
      <c r="Y314" s="584">
        <f t="shared" si="146"/>
        <v>-2.0409663700324074</v>
      </c>
      <c r="AA314" s="147">
        <f t="shared" si="147"/>
        <v>22005.25</v>
      </c>
      <c r="AB314" s="147">
        <f t="shared" si="148"/>
        <v>484231027.5625</v>
      </c>
      <c r="AD314" s="583">
        <f t="shared" si="149"/>
        <v>29.779335052374126</v>
      </c>
      <c r="AE314" s="584">
        <f t="shared" si="150"/>
        <v>-24.181030907363091</v>
      </c>
      <c r="AG314" s="583">
        <f t="shared" si="151"/>
        <v>14.563967228274233</v>
      </c>
      <c r="AH314" s="584">
        <f t="shared" si="152"/>
        <v>-51.437619032510405</v>
      </c>
      <c r="AJ314" s="147">
        <f t="shared" si="153"/>
        <v>0</v>
      </c>
      <c r="AK314" s="147">
        <f t="shared" si="165"/>
        <v>0</v>
      </c>
      <c r="AM314" s="147" t="str">
        <f t="shared" si="157"/>
        <v>0.954190413088999+0.998950189822818i</v>
      </c>
      <c r="AN314" s="147" t="str">
        <f t="shared" si="158"/>
        <v>1.52497070269244i</v>
      </c>
      <c r="AO314" s="147" t="str">
        <f t="shared" si="159"/>
        <v>0.655061889424566-0.625710652279621i</v>
      </c>
      <c r="AP314" s="147" t="str">
        <f t="shared" si="160"/>
        <v>0.00763493115183355-0.166491698303803i</v>
      </c>
      <c r="AQ314" s="147" t="str">
        <f t="shared" si="161"/>
        <v>0.992365068848166+0.166491698303803i</v>
      </c>
      <c r="AR314" s="147" t="str">
        <f t="shared" si="162"/>
        <v>0.816428286354132-0.13697432145222i</v>
      </c>
    </row>
    <row r="315" spans="7:44">
      <c r="G315" s="585">
        <v>22132.5</v>
      </c>
      <c r="H315" s="573">
        <f t="shared" si="154"/>
        <v>22.1325</v>
      </c>
      <c r="I315" s="574">
        <f t="shared" si="134"/>
        <v>192.66765796650094</v>
      </c>
      <c r="J315" s="575">
        <f t="shared" si="135"/>
        <v>1.5656060187771863</v>
      </c>
      <c r="K315" s="575">
        <f t="shared" si="136"/>
        <v>1.0010524224289417</v>
      </c>
      <c r="L315" s="576">
        <f t="shared" si="137"/>
        <v>4.5858483685202775E-2</v>
      </c>
      <c r="M315" s="575">
        <f t="shared" si="138"/>
        <v>1.0494312764723848</v>
      </c>
      <c r="N315" s="576">
        <f t="shared" si="139"/>
        <v>-0.30814741973596255</v>
      </c>
      <c r="O315" s="574">
        <f t="shared" si="140"/>
        <v>417187.79595794855</v>
      </c>
      <c r="P315" s="577">
        <f t="shared" si="141"/>
        <v>1.5707939297928517</v>
      </c>
      <c r="Q315" s="586">
        <f t="shared" si="163"/>
        <v>77.881475521797199</v>
      </c>
      <c r="R315" s="587">
        <f t="shared" si="164"/>
        <v>1.5579559501451143</v>
      </c>
      <c r="S315" s="574">
        <f t="shared" si="142"/>
        <v>1.0909553060669461</v>
      </c>
      <c r="T315" s="577">
        <f t="shared" si="143"/>
        <v>0.41123501569106846</v>
      </c>
      <c r="U315" s="578">
        <f t="shared" si="155"/>
        <v>0.7479620980577264</v>
      </c>
      <c r="V315" s="579">
        <f t="shared" si="156"/>
        <v>-0.93293757809838285</v>
      </c>
      <c r="W315" s="580">
        <f t="shared" si="144"/>
        <v>-15.834381982972943</v>
      </c>
      <c r="X315" s="581">
        <f t="shared" si="145"/>
        <v>-182.4816451259918</v>
      </c>
      <c r="Y315" s="584">
        <f t="shared" si="146"/>
        <v>-2.481645125991804</v>
      </c>
      <c r="AA315" s="147">
        <f t="shared" si="147"/>
        <v>22132.5</v>
      </c>
      <c r="AB315" s="147">
        <f t="shared" si="148"/>
        <v>489847556.25</v>
      </c>
      <c r="AD315" s="583">
        <f t="shared" si="149"/>
        <v>29.771362433551705</v>
      </c>
      <c r="AE315" s="584">
        <f t="shared" si="150"/>
        <v>-24.297592866148651</v>
      </c>
      <c r="AG315" s="583">
        <f t="shared" si="151"/>
        <v>14.541317265324256</v>
      </c>
      <c r="AH315" s="584">
        <f t="shared" si="152"/>
        <v>-51.277280589296439</v>
      </c>
      <c r="AJ315" s="147">
        <f t="shared" si="153"/>
        <v>0</v>
      </c>
      <c r="AK315" s="147">
        <f t="shared" si="165"/>
        <v>0</v>
      </c>
      <c r="AM315" s="147" t="str">
        <f t="shared" si="157"/>
        <v>0.963001287159023+0.999315313226066i</v>
      </c>
      <c r="AN315" s="147" t="str">
        <f t="shared" si="158"/>
        <v>1.53378916746415i</v>
      </c>
      <c r="AO315" s="147" t="str">
        <f t="shared" si="159"/>
        <v>0.651533688217565-0.627857666220955i</v>
      </c>
      <c r="AP315" s="147" t="str">
        <f t="shared" si="160"/>
        <v>0.00616645214016275-0.166552552204344i</v>
      </c>
      <c r="AQ315" s="147" t="str">
        <f t="shared" si="161"/>
        <v>0.993833547859837+0.166552552204344i</v>
      </c>
      <c r="AR315" s="147" t="str">
        <f t="shared" si="162"/>
        <v>0.815271578964076-0.136628072687362i</v>
      </c>
    </row>
    <row r="316" spans="7:44">
      <c r="G316" s="585">
        <v>22259.75</v>
      </c>
      <c r="H316" s="573">
        <f t="shared" si="154"/>
        <v>22.25975</v>
      </c>
      <c r="I316" s="574">
        <f t="shared" si="134"/>
        <v>193.77536386959633</v>
      </c>
      <c r="J316" s="575">
        <f t="shared" si="135"/>
        <v>1.5656356891434375</v>
      </c>
      <c r="K316" s="575">
        <f t="shared" si="136"/>
        <v>1.0010645524936121</v>
      </c>
      <c r="L316" s="576">
        <f t="shared" si="137"/>
        <v>4.6121772675792753E-2</v>
      </c>
      <c r="M316" s="575">
        <f t="shared" si="138"/>
        <v>1.0499877442998566</v>
      </c>
      <c r="N316" s="576">
        <f t="shared" si="139"/>
        <v>-0.3098081797391351</v>
      </c>
      <c r="O316" s="574">
        <f t="shared" si="140"/>
        <v>419586.40194621665</v>
      </c>
      <c r="P316" s="577">
        <f t="shared" si="141"/>
        <v>1.5707939434955442</v>
      </c>
      <c r="Q316" s="586">
        <f t="shared" si="163"/>
        <v>78.329178607147114</v>
      </c>
      <c r="R316" s="587">
        <f t="shared" si="164"/>
        <v>1.5580293453932255</v>
      </c>
      <c r="S316" s="574">
        <f t="shared" si="142"/>
        <v>1.0919600141667452</v>
      </c>
      <c r="T316" s="577">
        <f t="shared" si="143"/>
        <v>0.41333976482332246</v>
      </c>
      <c r="U316" s="578">
        <f t="shared" si="155"/>
        <v>0.74600339737997157</v>
      </c>
      <c r="V316" s="579">
        <f t="shared" si="156"/>
        <v>-0.93715303554605633</v>
      </c>
      <c r="W316" s="580">
        <f t="shared" si="144"/>
        <v>-15.910246473498788</v>
      </c>
      <c r="X316" s="581">
        <f t="shared" si="145"/>
        <v>-182.92133101410391</v>
      </c>
      <c r="Y316" s="584">
        <f t="shared" si="146"/>
        <v>-2.921331014103913</v>
      </c>
      <c r="AA316" s="147">
        <f t="shared" si="147"/>
        <v>22259.75</v>
      </c>
      <c r="AB316" s="147">
        <f t="shared" si="148"/>
        <v>495496470.0625</v>
      </c>
      <c r="AD316" s="583">
        <f t="shared" si="149"/>
        <v>29.763358739050332</v>
      </c>
      <c r="AE316" s="584">
        <f t="shared" si="150"/>
        <v>-24.413981655646985</v>
      </c>
      <c r="AG316" s="583">
        <f t="shared" si="151"/>
        <v>14.519007903308022</v>
      </c>
      <c r="AH316" s="584">
        <f t="shared" si="152"/>
        <v>-51.117521846420864</v>
      </c>
      <c r="AJ316" s="147">
        <f t="shared" si="153"/>
        <v>0</v>
      </c>
      <c r="AK316" s="147">
        <f t="shared" si="165"/>
        <v>0</v>
      </c>
      <c r="AM316" s="147" t="str">
        <f t="shared" si="157"/>
        <v>0.971815038427181+0.999602725056879i</v>
      </c>
      <c r="AN316" s="147" t="str">
        <f t="shared" si="158"/>
        <v>1.54260763223586i</v>
      </c>
      <c r="AO316" s="147" t="str">
        <f t="shared" si="159"/>
        <v>0.647995448854387-0.629981998091523i</v>
      </c>
      <c r="AP316" s="147" t="str">
        <f t="shared" si="160"/>
        <v>0.00469749359546988-0.166600454176146i</v>
      </c>
      <c r="AQ316" s="147" t="str">
        <f t="shared" si="161"/>
        <v>0.99530250640453+0.166600454176146i</v>
      </c>
      <c r="AR316" s="147" t="str">
        <f t="shared" si="162"/>
        <v>0.814121168875229-0.13627309849645i</v>
      </c>
    </row>
    <row r="317" spans="7:44">
      <c r="G317" s="585">
        <v>22387</v>
      </c>
      <c r="H317" s="573">
        <f t="shared" si="154"/>
        <v>22.387</v>
      </c>
      <c r="I317" s="574">
        <f t="shared" si="134"/>
        <v>194.8830699413389</v>
      </c>
      <c r="J317" s="575">
        <f t="shared" si="135"/>
        <v>1.5656650222198221</v>
      </c>
      <c r="K317" s="575">
        <f t="shared" si="136"/>
        <v>1.0010767519514863</v>
      </c>
      <c r="L317" s="576">
        <f t="shared" si="137"/>
        <v>4.6385055267577073E-2</v>
      </c>
      <c r="M317" s="575">
        <f t="shared" si="138"/>
        <v>1.0505471050508666</v>
      </c>
      <c r="N317" s="576">
        <f t="shared" si="139"/>
        <v>-0.31146717578030575</v>
      </c>
      <c r="O317" s="574">
        <f t="shared" si="140"/>
        <v>421985.00793448492</v>
      </c>
      <c r="P317" s="577">
        <f t="shared" si="141"/>
        <v>1.5707939570424618</v>
      </c>
      <c r="Q317" s="586">
        <f t="shared" si="163"/>
        <v>78.776882109649506</v>
      </c>
      <c r="R317" s="587">
        <f t="shared" si="164"/>
        <v>1.5581019064043495</v>
      </c>
      <c r="S317" s="574">
        <f t="shared" si="142"/>
        <v>1.0929695507095412</v>
      </c>
      <c r="T317" s="577">
        <f t="shared" si="143"/>
        <v>0.41544063508639495</v>
      </c>
      <c r="U317" s="578">
        <f t="shared" si="155"/>
        <v>0.74404720152919779</v>
      </c>
      <c r="V317" s="579">
        <f t="shared" si="156"/>
        <v>-0.94135634780054034</v>
      </c>
      <c r="W317" s="580">
        <f t="shared" si="144"/>
        <v>-15.985866569326097</v>
      </c>
      <c r="X317" s="581">
        <f t="shared" si="145"/>
        <v>-183.36002655416436</v>
      </c>
      <c r="Y317" s="584">
        <f t="shared" si="146"/>
        <v>-3.3600265541643637</v>
      </c>
      <c r="AA317" s="147">
        <f t="shared" si="147"/>
        <v>22387</v>
      </c>
      <c r="AB317" s="147">
        <f t="shared" si="148"/>
        <v>501177769</v>
      </c>
      <c r="AD317" s="583">
        <f t="shared" si="149"/>
        <v>29.755324164619374</v>
      </c>
      <c r="AE317" s="584">
        <f t="shared" si="150"/>
        <v>-24.530195991644963</v>
      </c>
      <c r="AG317" s="583">
        <f t="shared" si="151"/>
        <v>14.497035090753831</v>
      </c>
      <c r="AH317" s="584">
        <f t="shared" si="152"/>
        <v>-50.958338945617868</v>
      </c>
      <c r="AJ317" s="147">
        <f t="shared" si="153"/>
        <v>0</v>
      </c>
      <c r="AK317" s="147">
        <f t="shared" si="165"/>
        <v>0</v>
      </c>
      <c r="AM317" s="147" t="str">
        <f t="shared" si="157"/>
        <v>0.980630981493716+0.999812402964728i</v>
      </c>
      <c r="AN317" s="147" t="str">
        <f t="shared" si="158"/>
        <v>1.55142609700757i</v>
      </c>
      <c r="AO317" s="147" t="str">
        <f t="shared" si="159"/>
        <v>0.644447328102313-0.632083592886043i</v>
      </c>
      <c r="AP317" s="147" t="str">
        <f t="shared" si="160"/>
        <v>0.0032281697510473-0.166635400494121i</v>
      </c>
      <c r="AQ317" s="147" t="str">
        <f t="shared" si="161"/>
        <v>0.996771830248953+0.166635400494121i</v>
      </c>
      <c r="AR317" s="147" t="str">
        <f t="shared" si="162"/>
        <v>0.812977093675041-0.135909502542073i</v>
      </c>
    </row>
    <row r="318" spans="7:44">
      <c r="G318" s="585">
        <v>22517.5</v>
      </c>
      <c r="H318" s="573">
        <f t="shared" si="154"/>
        <v>22.517499999999998</v>
      </c>
      <c r="I318" s="574">
        <f t="shared" si="134"/>
        <v>196.01906730299569</v>
      </c>
      <c r="J318" s="575">
        <f t="shared" si="135"/>
        <v>1.5656947601389797</v>
      </c>
      <c r="K318" s="575">
        <f t="shared" si="136"/>
        <v>1.0010893350585317</v>
      </c>
      <c r="L318" s="576">
        <f t="shared" si="137"/>
        <v>4.6655055485150164E-2</v>
      </c>
      <c r="M318" s="575">
        <f t="shared" si="138"/>
        <v>1.0511237518875871</v>
      </c>
      <c r="N318" s="576">
        <f t="shared" si="139"/>
        <v>-0.31316670431351756</v>
      </c>
      <c r="O318" s="574">
        <f t="shared" si="140"/>
        <v>424444.87497942802</v>
      </c>
      <c r="P318" s="577">
        <f t="shared" si="141"/>
        <v>1.5707939707763441</v>
      </c>
      <c r="Q318" s="586">
        <f t="shared" si="163"/>
        <v>79.236020508609315</v>
      </c>
      <c r="R318" s="587">
        <f t="shared" si="164"/>
        <v>1.558175468986168</v>
      </c>
      <c r="S318" s="574">
        <f t="shared" si="142"/>
        <v>1.0940098720888392</v>
      </c>
      <c r="T318" s="577">
        <f t="shared" si="143"/>
        <v>0.41759112526917735</v>
      </c>
      <c r="U318" s="578">
        <f t="shared" si="155"/>
        <v>0.74204371521377421</v>
      </c>
      <c r="V318" s="579">
        <f t="shared" si="156"/>
        <v>-0.94565446981627599</v>
      </c>
      <c r="W318" s="580">
        <f t="shared" si="144"/>
        <v>-16.063166700369361</v>
      </c>
      <c r="X318" s="581">
        <f t="shared" si="145"/>
        <v>-183.80890057523393</v>
      </c>
      <c r="Y318" s="584">
        <f t="shared" si="146"/>
        <v>-3.8089005752339347</v>
      </c>
      <c r="AA318" s="147">
        <f t="shared" si="147"/>
        <v>22517.5</v>
      </c>
      <c r="AB318" s="147">
        <f t="shared" si="148"/>
        <v>507037806.25</v>
      </c>
      <c r="AD318" s="583">
        <f t="shared" si="149"/>
        <v>29.747052516936478</v>
      </c>
      <c r="AE318" s="584">
        <f t="shared" si="150"/>
        <v>-24.649195964563898</v>
      </c>
      <c r="AG318" s="583">
        <f t="shared" si="151"/>
        <v>14.474846464562429</v>
      </c>
      <c r="AH318" s="584">
        <f t="shared" si="152"/>
        <v>-50.795684490537873</v>
      </c>
      <c r="AJ318" s="147">
        <f t="shared" si="153"/>
        <v>0</v>
      </c>
      <c r="AK318" s="147">
        <f t="shared" si="165"/>
        <v>0</v>
      </c>
      <c r="AM318" s="147" t="str">
        <f t="shared" si="157"/>
        <v>0.989673644531733+0.999946681769955i</v>
      </c>
      <c r="AN318" s="147" t="str">
        <f t="shared" si="158"/>
        <v>1.56046978779505i</v>
      </c>
      <c r="AO318" s="147" t="str">
        <f t="shared" si="159"/>
        <v>0.640798488756955-0.634215191009975i</v>
      </c>
      <c r="AP318" s="147" t="str">
        <f t="shared" si="160"/>
        <v>0.00172105924471117-0.166657780294993i</v>
      </c>
      <c r="AQ318" s="147" t="str">
        <f t="shared" si="161"/>
        <v>0.998278940755289+0.166657780294993i</v>
      </c>
      <c r="AR318" s="147" t="str">
        <f t="shared" si="162"/>
        <v>0.811810415959624-0.13552777327129i</v>
      </c>
    </row>
    <row r="319" spans="7:44">
      <c r="G319" s="585">
        <v>22648</v>
      </c>
      <c r="H319" s="573">
        <f t="shared" si="154"/>
        <v>22.648</v>
      </c>
      <c r="I319" s="574">
        <f t="shared" si="134"/>
        <v>197.15506483600305</v>
      </c>
      <c r="J319" s="575">
        <f t="shared" si="135"/>
        <v>1.5657241553613845</v>
      </c>
      <c r="K319" s="575">
        <f t="shared" si="136"/>
        <v>1.0011019911432697</v>
      </c>
      <c r="L319" s="576">
        <f t="shared" si="137"/>
        <v>4.6925048895637159E-2</v>
      </c>
      <c r="M319" s="575">
        <f t="shared" si="138"/>
        <v>1.0517034314527998</v>
      </c>
      <c r="N319" s="576">
        <f t="shared" si="139"/>
        <v>-0.31486436424808834</v>
      </c>
      <c r="O319" s="574">
        <f t="shared" si="140"/>
        <v>426904.74202437123</v>
      </c>
      <c r="P319" s="577">
        <f t="shared" si="141"/>
        <v>1.5707939843519543</v>
      </c>
      <c r="Q319" s="586">
        <f t="shared" si="163"/>
        <v>79.695159331410579</v>
      </c>
      <c r="R319" s="587">
        <f t="shared" si="164"/>
        <v>1.558248183952599</v>
      </c>
      <c r="S319" s="574">
        <f t="shared" si="142"/>
        <v>1.0950552432083669</v>
      </c>
      <c r="T319" s="577">
        <f t="shared" si="143"/>
        <v>0.41973751952331573</v>
      </c>
      <c r="U319" s="578">
        <f t="shared" si="155"/>
        <v>0.74004300341615792</v>
      </c>
      <c r="V319" s="579">
        <f t="shared" si="156"/>
        <v>-0.94993996202180997</v>
      </c>
      <c r="W319" s="580">
        <f t="shared" si="144"/>
        <v>-16.140214859611032</v>
      </c>
      <c r="X319" s="581">
        <f t="shared" si="145"/>
        <v>-184.25673852989723</v>
      </c>
      <c r="Y319" s="584">
        <f t="shared" si="146"/>
        <v>-4.256738529897234</v>
      </c>
      <c r="AA319" s="147">
        <f t="shared" si="147"/>
        <v>22648</v>
      </c>
      <c r="AB319" s="147">
        <f t="shared" si="148"/>
        <v>512931904</v>
      </c>
      <c r="AD319" s="583">
        <f t="shared" si="149"/>
        <v>29.73874880871815</v>
      </c>
      <c r="AE319" s="584">
        <f t="shared" si="150"/>
        <v>-24.76800981377416</v>
      </c>
      <c r="AG319" s="583">
        <f t="shared" si="151"/>
        <v>14.453003378241277</v>
      </c>
      <c r="AH319" s="584">
        <f t="shared" si="152"/>
        <v>-50.633627362403146</v>
      </c>
      <c r="AJ319" s="147">
        <f t="shared" si="153"/>
        <v>0</v>
      </c>
      <c r="AK319" s="147">
        <f t="shared" si="165"/>
        <v>0</v>
      </c>
      <c r="AM319" s="147" t="str">
        <f t="shared" si="157"/>
        <v>0.998717152139507+0.999999177150345i</v>
      </c>
      <c r="AN319" s="147" t="str">
        <f t="shared" si="158"/>
        <v>1.56951347858254i</v>
      </c>
      <c r="AO319" s="147" t="str">
        <f t="shared" si="159"/>
        <v>0.637139591852034-0.636322762287756i</v>
      </c>
      <c r="AP319" s="147" t="str">
        <f t="shared" si="160"/>
        <v>0.000213807976748815-0.166666529525058i</v>
      </c>
      <c r="AQ319" s="147" t="str">
        <f t="shared" si="161"/>
        <v>0.999786192023251+0.166666529525058i</v>
      </c>
      <c r="AR319" s="147" t="str">
        <f t="shared" si="162"/>
        <v>0.810650476247081-0.135137194944171i</v>
      </c>
    </row>
    <row r="320" spans="7:44">
      <c r="G320" s="585">
        <v>22778.5</v>
      </c>
      <c r="H320" s="573">
        <f t="shared" si="154"/>
        <v>22.778500000000001</v>
      </c>
      <c r="I320" s="574">
        <f t="shared" si="134"/>
        <v>198.29106253741605</v>
      </c>
      <c r="J320" s="575">
        <f t="shared" si="135"/>
        <v>1.5657532137768535</v>
      </c>
      <c r="K320" s="575">
        <f t="shared" si="136"/>
        <v>1.001114720202932</v>
      </c>
      <c r="L320" s="576">
        <f t="shared" si="137"/>
        <v>4.7195035459933872E-2</v>
      </c>
      <c r="M320" s="575">
        <f t="shared" si="138"/>
        <v>1.0522861387345297</v>
      </c>
      <c r="N320" s="576">
        <f t="shared" si="139"/>
        <v>-0.3165601488947517</v>
      </c>
      <c r="O320" s="574">
        <f t="shared" si="140"/>
        <v>429364.60906931455</v>
      </c>
      <c r="P320" s="577">
        <f t="shared" si="141"/>
        <v>1.5707939977720129</v>
      </c>
      <c r="Q320" s="586">
        <f t="shared" si="163"/>
        <v>80.154298570769768</v>
      </c>
      <c r="R320" s="587">
        <f t="shared" si="164"/>
        <v>1.5583200658687784</v>
      </c>
      <c r="S320" s="574">
        <f t="shared" si="142"/>
        <v>1.0961056496201036</v>
      </c>
      <c r="T320" s="577">
        <f t="shared" si="143"/>
        <v>0.42187980981928097</v>
      </c>
      <c r="U320" s="578">
        <f t="shared" si="155"/>
        <v>0.73804513456775533</v>
      </c>
      <c r="V320" s="579">
        <f t="shared" si="156"/>
        <v>-0.95421289776609919</v>
      </c>
      <c r="W320" s="580">
        <f t="shared" si="144"/>
        <v>-16.217013541090946</v>
      </c>
      <c r="X320" s="581">
        <f t="shared" si="145"/>
        <v>-184.70354328275229</v>
      </c>
      <c r="Y320" s="584">
        <f t="shared" si="146"/>
        <v>-4.7035432827522925</v>
      </c>
      <c r="AA320" s="147">
        <f t="shared" si="147"/>
        <v>22778.5</v>
      </c>
      <c r="AB320" s="147">
        <f t="shared" si="148"/>
        <v>518860062.25</v>
      </c>
      <c r="AD320" s="583">
        <f t="shared" si="149"/>
        <v>29.730413250955415</v>
      </c>
      <c r="AE320" s="584">
        <f t="shared" si="150"/>
        <v>-24.886636244852674</v>
      </c>
      <c r="AG320" s="583">
        <f t="shared" si="151"/>
        <v>14.43150167299606</v>
      </c>
      <c r="AH320" s="584">
        <f t="shared" si="152"/>
        <v>-50.472163315063447</v>
      </c>
      <c r="AJ320" s="147">
        <f t="shared" si="153"/>
        <v>0</v>
      </c>
      <c r="AK320" s="147">
        <f t="shared" si="165"/>
        <v>0</v>
      </c>
      <c r="AM320" s="147" t="str">
        <f t="shared" si="157"/>
        <v>1.00776076466857+0.999969884812417i</v>
      </c>
      <c r="AN320" s="147" t="str">
        <f t="shared" si="158"/>
        <v>1.57855716937003i</v>
      </c>
      <c r="AO320" s="147" t="str">
        <f t="shared" si="159"/>
        <v>0.633470807529565-0.638406251115217i</v>
      </c>
      <c r="AP320" s="147" t="str">
        <f t="shared" si="160"/>
        <v>-0.0012934607780945-0.166661647468736i</v>
      </c>
      <c r="AQ320" s="147" t="str">
        <f t="shared" si="161"/>
        <v>1.00129346077809+0.166661647468736i</v>
      </c>
      <c r="AR320" s="147" t="str">
        <f t="shared" si="162"/>
        <v>0.809497310386612-0.134737877211048i</v>
      </c>
    </row>
    <row r="321" spans="7:44">
      <c r="G321" s="585">
        <v>22909</v>
      </c>
      <c r="H321" s="573">
        <f t="shared" si="154"/>
        <v>22.908999999999999</v>
      </c>
      <c r="I321" s="574">
        <f t="shared" si="134"/>
        <v>199.42706040435681</v>
      </c>
      <c r="J321" s="575">
        <f t="shared" si="135"/>
        <v>1.5657819411410041</v>
      </c>
      <c r="K321" s="575">
        <f t="shared" si="136"/>
        <v>1.0011275222347358</v>
      </c>
      <c r="L321" s="576">
        <f t="shared" si="137"/>
        <v>4.7465015138942059E-2</v>
      </c>
      <c r="M321" s="575">
        <f t="shared" si="138"/>
        <v>1.0528718687057479</v>
      </c>
      <c r="N321" s="576">
        <f t="shared" si="139"/>
        <v>-0.31825405162215287</v>
      </c>
      <c r="O321" s="574">
        <f t="shared" si="140"/>
        <v>431824.47611425788</v>
      </c>
      <c r="P321" s="577">
        <f t="shared" si="141"/>
        <v>1.570794011039178</v>
      </c>
      <c r="Q321" s="586">
        <f t="shared" si="163"/>
        <v>80.613438219569261</v>
      </c>
      <c r="R321" s="587">
        <f t="shared" si="164"/>
        <v>1.5583911289680503</v>
      </c>
      <c r="S321" s="574">
        <f t="shared" si="142"/>
        <v>1.0971610768618976</v>
      </c>
      <c r="T321" s="577">
        <f t="shared" si="143"/>
        <v>0.42401798830889664</v>
      </c>
      <c r="U321" s="578">
        <f t="shared" si="155"/>
        <v>0.73605017544025897</v>
      </c>
      <c r="V321" s="579">
        <f t="shared" si="156"/>
        <v>-0.95847335077900364</v>
      </c>
      <c r="W321" s="580">
        <f t="shared" si="144"/>
        <v>-16.293565192794851</v>
      </c>
      <c r="X321" s="581">
        <f t="shared" si="145"/>
        <v>-185.14931774524737</v>
      </c>
      <c r="Y321" s="584">
        <f t="shared" si="146"/>
        <v>-5.1493177452473731</v>
      </c>
      <c r="AA321" s="147">
        <f t="shared" si="147"/>
        <v>22909</v>
      </c>
      <c r="AB321" s="147">
        <f t="shared" si="148"/>
        <v>524822281</v>
      </c>
      <c r="AD321" s="583">
        <f t="shared" si="149"/>
        <v>29.722046054558739</v>
      </c>
      <c r="AE321" s="584">
        <f t="shared" si="150"/>
        <v>-25.005073992773813</v>
      </c>
      <c r="AG321" s="583">
        <f t="shared" si="151"/>
        <v>14.410337258456165</v>
      </c>
      <c r="AH321" s="584">
        <f t="shared" si="152"/>
        <v>-50.311288076173085</v>
      </c>
      <c r="AJ321" s="147">
        <f t="shared" si="153"/>
        <v>0</v>
      </c>
      <c r="AK321" s="147">
        <f t="shared" si="165"/>
        <v>0</v>
      </c>
      <c r="AM321" s="147" t="str">
        <f t="shared" si="157"/>
        <v>1.01680374246187+0.999858807151927i</v>
      </c>
      <c r="AN321" s="147" t="str">
        <f t="shared" si="158"/>
        <v>1.58760086015752i</v>
      </c>
      <c r="AO321" s="147" t="str">
        <f t="shared" si="159"/>
        <v>0.629792306268165-0.640465603149764i</v>
      </c>
      <c r="AP321" s="147" t="str">
        <f t="shared" si="160"/>
        <v>-0.00280062374364498-0.166643134525321i</v>
      </c>
      <c r="AQ321" s="147" t="str">
        <f t="shared" si="161"/>
        <v>1.00280062374364+0.166643134525321i</v>
      </c>
      <c r="AR321" s="147" t="str">
        <f t="shared" si="162"/>
        <v>0.808350952705076-0.134329928966758i</v>
      </c>
    </row>
    <row r="322" spans="7:44">
      <c r="G322" s="585">
        <v>23042.25</v>
      </c>
      <c r="H322" s="573">
        <f t="shared" si="154"/>
        <v>23.042249999999999</v>
      </c>
      <c r="I322" s="574">
        <f t="shared" si="134"/>
        <v>200.58699709154058</v>
      </c>
      <c r="J322" s="575">
        <f t="shared" si="135"/>
        <v>1.5658109381263297</v>
      </c>
      <c r="K322" s="575">
        <f t="shared" si="136"/>
        <v>1.001140669333181</v>
      </c>
      <c r="L322" s="576">
        <f t="shared" si="137"/>
        <v>4.7740676899826959E-2</v>
      </c>
      <c r="M322" s="575">
        <f t="shared" si="138"/>
        <v>1.0534730553121008</v>
      </c>
      <c r="N322" s="576">
        <f t="shared" si="139"/>
        <v>-0.31998170096468131</v>
      </c>
      <c r="O322" s="574">
        <f t="shared" si="140"/>
        <v>434336.17943792621</v>
      </c>
      <c r="P322" s="577">
        <f t="shared" si="141"/>
        <v>1.5707940244308585</v>
      </c>
      <c r="Q322" s="586">
        <f t="shared" si="163"/>
        <v>81.082253640198616</v>
      </c>
      <c r="R322" s="587">
        <f t="shared" si="164"/>
        <v>1.5584628591375767</v>
      </c>
      <c r="S322" s="574">
        <f t="shared" si="142"/>
        <v>1.0982439105155617</v>
      </c>
      <c r="T322" s="577">
        <f t="shared" si="143"/>
        <v>0.42619697354308894</v>
      </c>
      <c r="U322" s="578">
        <f t="shared" si="155"/>
        <v>0.73401624695438994</v>
      </c>
      <c r="V322" s="579">
        <f t="shared" si="156"/>
        <v>-0.96281078037295365</v>
      </c>
      <c r="W322" s="580">
        <f t="shared" si="144"/>
        <v>-16.371477605729304</v>
      </c>
      <c r="X322" s="581">
        <f t="shared" si="145"/>
        <v>-185.60342590949574</v>
      </c>
      <c r="Y322" s="584">
        <f t="shared" si="146"/>
        <v>-5.6034259094957406</v>
      </c>
      <c r="AA322" s="147">
        <f t="shared" si="147"/>
        <v>23042.25</v>
      </c>
      <c r="AB322" s="147">
        <f t="shared" si="148"/>
        <v>530945285.0625</v>
      </c>
      <c r="AD322" s="583">
        <f t="shared" si="149"/>
        <v>29.713470111252875</v>
      </c>
      <c r="AE322" s="584">
        <f t="shared" si="150"/>
        <v>-25.125811581761468</v>
      </c>
      <c r="AG322" s="583">
        <f t="shared" si="151"/>
        <v>14.389070697407259</v>
      </c>
      <c r="AH322" s="584">
        <f t="shared" si="152"/>
        <v>-50.147625831528941</v>
      </c>
      <c r="AJ322" s="147">
        <f t="shared" si="153"/>
        <v>0</v>
      </c>
      <c r="AK322" s="147">
        <f t="shared" si="165"/>
        <v>0</v>
      </c>
      <c r="AM322" s="147" t="str">
        <f t="shared" si="157"/>
        <v>1.02603585764205+0.999661009601176i</v>
      </c>
      <c r="AN322" s="147" t="str">
        <f t="shared" si="158"/>
        <v>1.59683512680451i</v>
      </c>
      <c r="AO322" s="147" t="str">
        <f t="shared" si="159"/>
        <v>0.626026439937877-0.64254339124872i</v>
      </c>
      <c r="AP322" s="147" t="str">
        <f t="shared" si="160"/>
        <v>-0.00433930960700787-0.166610168266863i</v>
      </c>
      <c r="AQ322" s="147" t="str">
        <f t="shared" si="161"/>
        <v>1.00433930960701+0.166610168266863i</v>
      </c>
      <c r="AR322" s="147" t="str">
        <f t="shared" si="162"/>
        <v>0.807187497062899-0.133904591229413i</v>
      </c>
    </row>
    <row r="323" spans="7:44">
      <c r="G323" s="585">
        <v>23175.5</v>
      </c>
      <c r="H323" s="573">
        <f t="shared" si="154"/>
        <v>23.1755</v>
      </c>
      <c r="I323" s="574">
        <f t="shared" si="134"/>
        <v>201.74693394544349</v>
      </c>
      <c r="J323" s="575">
        <f t="shared" si="135"/>
        <v>1.5658396016773979</v>
      </c>
      <c r="K323" s="575">
        <f t="shared" si="136"/>
        <v>1.00115389250571</v>
      </c>
      <c r="L323" s="576">
        <f t="shared" si="137"/>
        <v>4.8016331399814628E-2</v>
      </c>
      <c r="M323" s="575">
        <f t="shared" si="138"/>
        <v>1.0540773827033725</v>
      </c>
      <c r="N323" s="576">
        <f t="shared" si="139"/>
        <v>-0.32170737444892072</v>
      </c>
      <c r="O323" s="574">
        <f t="shared" si="140"/>
        <v>436847.88276159455</v>
      </c>
      <c r="P323" s="577">
        <f t="shared" si="141"/>
        <v>1.5707940376685452</v>
      </c>
      <c r="Q323" s="586">
        <f t="shared" si="163"/>
        <v>81.551069473217211</v>
      </c>
      <c r="R323" s="587">
        <f t="shared" si="164"/>
        <v>1.5585337645913839</v>
      </c>
      <c r="S323" s="574">
        <f t="shared" si="142"/>
        <v>1.099331948318883</v>
      </c>
      <c r="T323" s="577">
        <f t="shared" si="143"/>
        <v>0.42837165588740195</v>
      </c>
      <c r="U323" s="578">
        <f t="shared" si="155"/>
        <v>0.73198548761182713</v>
      </c>
      <c r="V323" s="579">
        <f t="shared" si="156"/>
        <v>-0.96713535210435719</v>
      </c>
      <c r="W323" s="580">
        <f t="shared" si="144"/>
        <v>-16.449137484794878</v>
      </c>
      <c r="X323" s="581">
        <f t="shared" si="145"/>
        <v>-186.0564661822647</v>
      </c>
      <c r="Y323" s="584">
        <f t="shared" si="146"/>
        <v>-6.0564661822646997</v>
      </c>
      <c r="AA323" s="147">
        <f t="shared" si="147"/>
        <v>23175.5</v>
      </c>
      <c r="AB323" s="147">
        <f t="shared" si="148"/>
        <v>537103800.25</v>
      </c>
      <c r="AD323" s="583">
        <f t="shared" si="149"/>
        <v>29.704861625930153</v>
      </c>
      <c r="AE323" s="584">
        <f t="shared" si="150"/>
        <v>-25.246349877225928</v>
      </c>
      <c r="AG323" s="583">
        <f t="shared" si="151"/>
        <v>14.368147385364253</v>
      </c>
      <c r="AH323" s="584">
        <f t="shared" si="152"/>
        <v>-49.984568391445144</v>
      </c>
      <c r="AJ323" s="147">
        <f t="shared" si="153"/>
        <v>0</v>
      </c>
      <c r="AK323" s="147">
        <f t="shared" si="165"/>
        <v>0</v>
      </c>
      <c r="AM323" s="147" t="str">
        <f t="shared" si="157"/>
        <v>1.03526575271667+0.99937796988193i</v>
      </c>
      <c r="AN323" s="147" t="str">
        <f t="shared" si="158"/>
        <v>1.6060693934515i</v>
      </c>
      <c r="AO323" s="147" t="str">
        <f t="shared" si="159"/>
        <v>0.622250803082818-0.64459590409842i</v>
      </c>
      <c r="AP323" s="147" t="str">
        <f t="shared" si="160"/>
        <v>-0.00587762545277767-0.166562994980322i</v>
      </c>
      <c r="AQ323" s="147" t="str">
        <f t="shared" si="161"/>
        <v>1.00587762545278+0.166562994980322i</v>
      </c>
      <c r="AR323" s="147" t="str">
        <f t="shared" si="162"/>
        <v>0.80603120716947-0.133470482409148i</v>
      </c>
    </row>
    <row r="324" spans="7:44">
      <c r="G324" s="585">
        <v>23308.75</v>
      </c>
      <c r="H324" s="573">
        <f t="shared" si="154"/>
        <v>23.30875</v>
      </c>
      <c r="I324" s="574">
        <f t="shared" si="134"/>
        <v>202.90687096320642</v>
      </c>
      <c r="J324" s="575">
        <f t="shared" si="135"/>
        <v>1.5658679375124904</v>
      </c>
      <c r="K324" s="575">
        <f t="shared" si="136"/>
        <v>1.0011671917493083</v>
      </c>
      <c r="L324" s="576">
        <f t="shared" si="137"/>
        <v>4.8291978597302179E-2</v>
      </c>
      <c r="M324" s="575">
        <f t="shared" si="138"/>
        <v>1.0546848454806161</v>
      </c>
      <c r="N324" s="576">
        <f t="shared" si="139"/>
        <v>-0.32343106520225856</v>
      </c>
      <c r="O324" s="574">
        <f t="shared" si="140"/>
        <v>439359.58608526306</v>
      </c>
      <c r="P324" s="577">
        <f t="shared" si="141"/>
        <v>1.5707940507548792</v>
      </c>
      <c r="Q324" s="586">
        <f t="shared" si="163"/>
        <v>82.019885711553499</v>
      </c>
      <c r="R324" s="587">
        <f t="shared" si="164"/>
        <v>1.5586038594706941</v>
      </c>
      <c r="S324" s="574">
        <f t="shared" si="142"/>
        <v>1.1004251748351608</v>
      </c>
      <c r="T324" s="577">
        <f t="shared" si="143"/>
        <v>0.43054202756655741</v>
      </c>
      <c r="U324" s="578">
        <f t="shared" si="155"/>
        <v>0.72995796327451157</v>
      </c>
      <c r="V324" s="579">
        <f t="shared" si="156"/>
        <v>-0.97144714558735334</v>
      </c>
      <c r="W324" s="580">
        <f t="shared" si="144"/>
        <v>-16.52654729536096</v>
      </c>
      <c r="X324" s="581">
        <f t="shared" si="145"/>
        <v>-186.50844180578204</v>
      </c>
      <c r="Y324" s="584">
        <f t="shared" si="146"/>
        <v>-6.5084418057820415</v>
      </c>
      <c r="AA324" s="147">
        <f t="shared" si="147"/>
        <v>23308.75</v>
      </c>
      <c r="AB324" s="147">
        <f t="shared" si="148"/>
        <v>543297826.5625</v>
      </c>
      <c r="AD324" s="583">
        <f t="shared" si="149"/>
        <v>29.696220822755318</v>
      </c>
      <c r="AE324" s="584">
        <f t="shared" si="150"/>
        <v>-25.366687623595517</v>
      </c>
      <c r="AG324" s="583">
        <f t="shared" si="151"/>
        <v>14.347563179957492</v>
      </c>
      <c r="AH324" s="584">
        <f t="shared" si="152"/>
        <v>-49.822111130612946</v>
      </c>
      <c r="AJ324" s="147">
        <f t="shared" si="153"/>
        <v>0</v>
      </c>
      <c r="AK324" s="147">
        <f t="shared" si="165"/>
        <v>0</v>
      </c>
      <c r="AM324" s="147" t="str">
        <f t="shared" si="157"/>
        <v>1.04449264064266+0.999009712129288i</v>
      </c>
      <c r="AN324" s="147" t="str">
        <f t="shared" si="158"/>
        <v>1.6153036600985i</v>
      </c>
      <c r="AO324" s="147" t="str">
        <f t="shared" si="159"/>
        <v>0.618465578211077-0.64662308793318i</v>
      </c>
      <c r="AP324" s="147" t="str">
        <f t="shared" si="160"/>
        <v>-0.00741544010711083-0.166501618688215i</v>
      </c>
      <c r="AQ324" s="147" t="str">
        <f t="shared" si="161"/>
        <v>1.00741544010711+0.166501618688215i</v>
      </c>
      <c r="AR324" s="147" t="str">
        <f t="shared" si="162"/>
        <v>0.804882114853552-0.133027715916347i</v>
      </c>
    </row>
    <row r="325" spans="7:44">
      <c r="G325" s="585">
        <v>23442</v>
      </c>
      <c r="H325" s="573">
        <f t="shared" si="154"/>
        <v>23.442</v>
      </c>
      <c r="I325" s="574">
        <f t="shared" si="134"/>
        <v>204.06680814203517</v>
      </c>
      <c r="J325" s="575">
        <f t="shared" si="135"/>
        <v>1.5658959512198776</v>
      </c>
      <c r="K325" s="575">
        <f t="shared" si="136"/>
        <v>1.001180567060945</v>
      </c>
      <c r="L325" s="576">
        <f t="shared" si="137"/>
        <v>4.8567618450693344E-2</v>
      </c>
      <c r="M325" s="575">
        <f t="shared" si="138"/>
        <v>1.055295438229338</v>
      </c>
      <c r="N325" s="576">
        <f t="shared" si="139"/>
        <v>-0.32515276641499308</v>
      </c>
      <c r="O325" s="574">
        <f t="shared" si="140"/>
        <v>441871.28940893163</v>
      </c>
      <c r="P325" s="577">
        <f t="shared" si="141"/>
        <v>1.5707940636924413</v>
      </c>
      <c r="Q325" s="586">
        <f t="shared" si="163"/>
        <v>82.488702348296783</v>
      </c>
      <c r="R325" s="587">
        <f t="shared" si="164"/>
        <v>1.5586731575952795</v>
      </c>
      <c r="S325" s="574">
        <f t="shared" si="142"/>
        <v>1.1015235746155054</v>
      </c>
      <c r="T325" s="577">
        <f t="shared" si="143"/>
        <v>0.43270808099851266</v>
      </c>
      <c r="U325" s="578">
        <f t="shared" si="155"/>
        <v>0.72793373809196749</v>
      </c>
      <c r="V325" s="579">
        <f t="shared" si="156"/>
        <v>-0.97574624078045191</v>
      </c>
      <c r="W325" s="580">
        <f t="shared" si="144"/>
        <v>-16.603709457980322</v>
      </c>
      <c r="X325" s="581">
        <f t="shared" si="145"/>
        <v>-186.9593560676476</v>
      </c>
      <c r="Y325" s="584">
        <f t="shared" si="146"/>
        <v>-6.9593560676476045</v>
      </c>
      <c r="AA325" s="147">
        <f t="shared" si="147"/>
        <v>23442</v>
      </c>
      <c r="AB325" s="147">
        <f t="shared" si="148"/>
        <v>549527364</v>
      </c>
      <c r="AD325" s="583">
        <f t="shared" si="149"/>
        <v>29.687547925737647</v>
      </c>
      <c r="AE325" s="584">
        <f t="shared" si="150"/>
        <v>-25.48682359478445</v>
      </c>
      <c r="AG325" s="583">
        <f t="shared" si="151"/>
        <v>14.327314007416639</v>
      </c>
      <c r="AH325" s="584">
        <f t="shared" si="152"/>
        <v>-49.660249400147578</v>
      </c>
      <c r="AJ325" s="147">
        <f t="shared" si="153"/>
        <v>0</v>
      </c>
      <c r="AK325" s="147">
        <f t="shared" si="165"/>
        <v>0</v>
      </c>
      <c r="AM325" s="147" t="str">
        <f t="shared" si="157"/>
        <v>1.05371573463338+0.998556267744986i</v>
      </c>
      <c r="AN325" s="147" t="str">
        <f t="shared" si="158"/>
        <v>1.62453792674549i</v>
      </c>
      <c r="AO325" s="147" t="str">
        <f t="shared" si="159"/>
        <v>0.614670948154124-0.648624890367648i</v>
      </c>
      <c r="AP325" s="147" t="str">
        <f t="shared" si="160"/>
        <v>-0.00895262243889598-0.166426044624164i</v>
      </c>
      <c r="AQ325" s="147" t="str">
        <f t="shared" si="161"/>
        <v>1.0089526224389+0.166426044624164i</v>
      </c>
      <c r="AR325" s="147" t="str">
        <f t="shared" si="162"/>
        <v>0.803740250422359-0.132576404291103i</v>
      </c>
    </row>
    <row r="326" spans="7:44">
      <c r="G326" s="585">
        <v>23578.5</v>
      </c>
      <c r="H326" s="573">
        <f t="shared" si="154"/>
        <v>23.578499999999998</v>
      </c>
      <c r="I326" s="574">
        <f t="shared" si="134"/>
        <v>205.25503663571902</v>
      </c>
      <c r="J326" s="575">
        <f t="shared" si="135"/>
        <v>1.5659243198883819</v>
      </c>
      <c r="K326" s="575">
        <f t="shared" si="136"/>
        <v>1.0011943474701483</v>
      </c>
      <c r="L326" s="576">
        <f t="shared" si="137"/>
        <v>4.8849973568896601E-2</v>
      </c>
      <c r="M326" s="575">
        <f t="shared" si="138"/>
        <v>1.0559241632217673</v>
      </c>
      <c r="N326" s="576">
        <f t="shared" si="139"/>
        <v>-0.32691439036765896</v>
      </c>
      <c r="O326" s="574">
        <f t="shared" si="140"/>
        <v>444444.25378927501</v>
      </c>
      <c r="P326" s="577">
        <f t="shared" si="141"/>
        <v>1.5707940767939315</v>
      </c>
      <c r="Q326" s="586">
        <f t="shared" si="163"/>
        <v>82.968953943197477</v>
      </c>
      <c r="R326" s="587">
        <f t="shared" si="164"/>
        <v>1.5587433338942671</v>
      </c>
      <c r="S326" s="574">
        <f t="shared" si="142"/>
        <v>1.1026541125420588</v>
      </c>
      <c r="T326" s="577">
        <f t="shared" si="143"/>
        <v>0.4349224797622433</v>
      </c>
      <c r="U326" s="578">
        <f t="shared" si="155"/>
        <v>0.72586362768014545</v>
      </c>
      <c r="V326" s="579">
        <f t="shared" si="156"/>
        <v>-0.98013710924158282</v>
      </c>
      <c r="W326" s="580">
        <f t="shared" si="144"/>
        <v>-16.682499327063944</v>
      </c>
      <c r="X326" s="581">
        <f t="shared" si="145"/>
        <v>-187.42017121357671</v>
      </c>
      <c r="Y326" s="584">
        <f t="shared" si="146"/>
        <v>-7.4201712135767082</v>
      </c>
      <c r="AA326" s="147">
        <f t="shared" si="147"/>
        <v>23578.5</v>
      </c>
      <c r="AB326" s="147">
        <f t="shared" si="148"/>
        <v>555945662.25</v>
      </c>
      <c r="AD326" s="583">
        <f t="shared" si="149"/>
        <v>29.678630451071342</v>
      </c>
      <c r="AE326" s="584">
        <f t="shared" si="150"/>
        <v>-25.609679243151849</v>
      </c>
      <c r="AG326" s="583">
        <f t="shared" si="151"/>
        <v>14.306914154775916</v>
      </c>
      <c r="AH326" s="584">
        <f t="shared" si="152"/>
        <v>-49.495052434694564</v>
      </c>
      <c r="AJ326" s="147">
        <f t="shared" si="153"/>
        <v>0</v>
      </c>
      <c r="AK326" s="147">
        <f t="shared" si="165"/>
        <v>0</v>
      </c>
      <c r="AM326" s="147" t="str">
        <f t="shared" si="157"/>
        <v>1.06315902617226+0.998003475651749i</v>
      </c>
      <c r="AN326" s="147" t="str">
        <f t="shared" si="158"/>
        <v>1.63399741940827i</v>
      </c>
      <c r="AO326" s="147" t="str">
        <f t="shared" si="159"/>
        <v>0.610774205514451-0.650649146408853i</v>
      </c>
      <c r="AP326" s="147" t="str">
        <f t="shared" si="160"/>
        <v>-0.0105265043620442-0.166333912608625i</v>
      </c>
      <c r="AQ326" s="147" t="str">
        <f t="shared" si="161"/>
        <v>1.01052650436204+0.166333912608625i</v>
      </c>
      <c r="AR326" s="147" t="str">
        <f t="shared" si="162"/>
        <v>0.80257806022372-0.13210534147754i</v>
      </c>
    </row>
    <row r="327" spans="7:44">
      <c r="G327" s="585">
        <v>23715</v>
      </c>
      <c r="H327" s="573">
        <f t="shared" si="154"/>
        <v>23.715</v>
      </c>
      <c r="I327" s="574">
        <f t="shared" si="134"/>
        <v>206.44326529268682</v>
      </c>
      <c r="J327" s="575">
        <f t="shared" si="135"/>
        <v>1.5659523619929507</v>
      </c>
      <c r="K327" s="575">
        <f t="shared" si="136"/>
        <v>1.0012082076967823</v>
      </c>
      <c r="L327" s="576">
        <f t="shared" si="137"/>
        <v>4.9132320892042704E-2</v>
      </c>
      <c r="M327" s="575">
        <f t="shared" si="138"/>
        <v>1.0565561611778007</v>
      </c>
      <c r="N327" s="576">
        <f t="shared" si="139"/>
        <v>-0.32867391228153264</v>
      </c>
      <c r="O327" s="574">
        <f t="shared" si="140"/>
        <v>447017.21816961857</v>
      </c>
      <c r="P327" s="577">
        <f t="shared" si="141"/>
        <v>1.5707940897446011</v>
      </c>
      <c r="Q327" s="586">
        <f t="shared" si="163"/>
        <v>83.449205941993455</v>
      </c>
      <c r="R327" s="587">
        <f t="shared" si="164"/>
        <v>1.558812702461333</v>
      </c>
      <c r="S327" s="574">
        <f t="shared" si="142"/>
        <v>1.1037900463099275</v>
      </c>
      <c r="T327" s="577">
        <f t="shared" si="143"/>
        <v>0.43713233157403031</v>
      </c>
      <c r="U327" s="578">
        <f t="shared" si="155"/>
        <v>0.72379711018713211</v>
      </c>
      <c r="V327" s="579">
        <f t="shared" si="156"/>
        <v>-0.9845148233255735</v>
      </c>
      <c r="W327" s="580">
        <f t="shared" si="144"/>
        <v>-16.761034323671165</v>
      </c>
      <c r="X327" s="581">
        <f t="shared" si="145"/>
        <v>-187.87987971698249</v>
      </c>
      <c r="Y327" s="584">
        <f t="shared" si="146"/>
        <v>-7.8798797169824866</v>
      </c>
      <c r="AA327" s="147">
        <f t="shared" si="147"/>
        <v>23715</v>
      </c>
      <c r="AB327" s="147">
        <f t="shared" si="148"/>
        <v>562401225</v>
      </c>
      <c r="AD327" s="583">
        <f t="shared" si="149"/>
        <v>29.669679773218888</v>
      </c>
      <c r="AE327" s="584">
        <f t="shared" si="150"/>
        <v>-25.732320641351677</v>
      </c>
      <c r="AG327" s="583">
        <f t="shared" si="151"/>
        <v>14.286857438084235</v>
      </c>
      <c r="AH327" s="584">
        <f t="shared" si="152"/>
        <v>-49.330470457471968</v>
      </c>
      <c r="AJ327" s="147">
        <f t="shared" si="153"/>
        <v>0</v>
      </c>
      <c r="AK327" s="147">
        <f t="shared" si="165"/>
        <v>0</v>
      </c>
      <c r="AM327" s="147" t="str">
        <f t="shared" si="157"/>
        <v>1.07259666615722+0.997361380875988i</v>
      </c>
      <c r="AN327" s="147" t="str">
        <f t="shared" si="158"/>
        <v>1.64345691207104i</v>
      </c>
      <c r="AO327" s="147" t="str">
        <f t="shared" si="159"/>
        <v>0.60686798269578-0.652646660997983i</v>
      </c>
      <c r="AP327" s="147" t="str">
        <f t="shared" si="160"/>
        <v>-0.012099444359536-0.166226896812665i</v>
      </c>
      <c r="AQ327" s="147" t="str">
        <f t="shared" si="161"/>
        <v>1.01209944435954+0.166226896812665i</v>
      </c>
      <c r="AR327" s="147" t="str">
        <f t="shared" si="162"/>
        <v>0.801423514419761-0.131625547842285i</v>
      </c>
    </row>
    <row r="328" spans="7:44">
      <c r="G328" s="585">
        <v>23851.5</v>
      </c>
      <c r="H328" s="573">
        <f t="shared" si="154"/>
        <v>23.851500000000001</v>
      </c>
      <c r="I328" s="574">
        <f t="shared" si="134"/>
        <v>207.63149411013518</v>
      </c>
      <c r="J328" s="575">
        <f t="shared" si="135"/>
        <v>1.5659800831400981</v>
      </c>
      <c r="K328" s="575">
        <f t="shared" si="136"/>
        <v>1.0012221477375318</v>
      </c>
      <c r="L328" s="576">
        <f t="shared" si="137"/>
        <v>4.9414660375438853E-2</v>
      </c>
      <c r="M328" s="575">
        <f t="shared" si="138"/>
        <v>1.0571914262276223</v>
      </c>
      <c r="N328" s="576">
        <f t="shared" si="139"/>
        <v>-0.33043132504159456</v>
      </c>
      <c r="O328" s="574">
        <f t="shared" si="140"/>
        <v>449590.18254996213</v>
      </c>
      <c r="P328" s="577">
        <f t="shared" si="141"/>
        <v>1.5707941025470398</v>
      </c>
      <c r="Q328" s="586">
        <f t="shared" si="163"/>
        <v>83.92945833775137</v>
      </c>
      <c r="R328" s="587">
        <f t="shared" si="164"/>
        <v>1.5588812771615619</v>
      </c>
      <c r="S328" s="574">
        <f t="shared" si="142"/>
        <v>1.1049313592773948</v>
      </c>
      <c r="T328" s="577">
        <f t="shared" si="143"/>
        <v>0.43933762890743444</v>
      </c>
      <c r="U328" s="578">
        <f t="shared" si="155"/>
        <v>0.72173424913403994</v>
      </c>
      <c r="V328" s="579">
        <f t="shared" si="156"/>
        <v>-0.98887947000113507</v>
      </c>
      <c r="W328" s="580">
        <f t="shared" si="144"/>
        <v>-16.839316911442626</v>
      </c>
      <c r="X328" s="581">
        <f t="shared" si="145"/>
        <v>-188.33848525143901</v>
      </c>
      <c r="Y328" s="584">
        <f t="shared" si="146"/>
        <v>-8.3384852514390104</v>
      </c>
      <c r="AA328" s="147">
        <f t="shared" si="147"/>
        <v>23851.5</v>
      </c>
      <c r="AB328" s="147">
        <f t="shared" si="148"/>
        <v>568894052.25</v>
      </c>
      <c r="AD328" s="583">
        <f t="shared" si="149"/>
        <v>29.660696132368756</v>
      </c>
      <c r="AE328" s="584">
        <f t="shared" si="150"/>
        <v>-25.854746563888291</v>
      </c>
      <c r="AG328" s="583">
        <f t="shared" si="151"/>
        <v>14.267139693240598</v>
      </c>
      <c r="AH328" s="584">
        <f t="shared" si="152"/>
        <v>-49.166498401669401</v>
      </c>
      <c r="AJ328" s="147">
        <f t="shared" si="153"/>
        <v>0</v>
      </c>
      <c r="AK328" s="147">
        <f t="shared" si="165"/>
        <v>0</v>
      </c>
      <c r="AM328" s="147" t="str">
        <f t="shared" si="157"/>
        <v>1.08202781009563+0.996630040873199i</v>
      </c>
      <c r="AN328" s="147" t="str">
        <f t="shared" si="158"/>
        <v>1.65291640473382i</v>
      </c>
      <c r="AO328" s="147" t="str">
        <f t="shared" si="159"/>
        <v>0.602952477220826-0.654617382341169i</v>
      </c>
      <c r="AP328" s="147" t="str">
        <f t="shared" si="160"/>
        <v>-0.0136713016826053-0.1661050068122i</v>
      </c>
      <c r="AQ328" s="147" t="str">
        <f t="shared" si="161"/>
        <v>1.01367130168261+0.1661050068122i</v>
      </c>
      <c r="AR328" s="147" t="str">
        <f t="shared" si="162"/>
        <v>0.800276640838745-0.131137141455531i</v>
      </c>
    </row>
    <row r="329" spans="7:44">
      <c r="G329" s="585">
        <v>23988</v>
      </c>
      <c r="H329" s="573">
        <f t="shared" si="154"/>
        <v>23.988</v>
      </c>
      <c r="I329" s="574">
        <f t="shared" si="134"/>
        <v>208.81972308532465</v>
      </c>
      <c r="J329" s="575">
        <f t="shared" si="135"/>
        <v>1.5660074888087301</v>
      </c>
      <c r="K329" s="575">
        <f t="shared" si="136"/>
        <v>1.0012361675890635</v>
      </c>
      <c r="L329" s="576">
        <f t="shared" si="137"/>
        <v>4.969699197439973E-2</v>
      </c>
      <c r="M329" s="575">
        <f t="shared" si="138"/>
        <v>1.0578299524852091</v>
      </c>
      <c r="N329" s="576">
        <f t="shared" si="139"/>
        <v>-0.3321866216019852</v>
      </c>
      <c r="O329" s="574">
        <f t="shared" si="140"/>
        <v>452163.14693030587</v>
      </c>
      <c r="P329" s="577">
        <f t="shared" si="141"/>
        <v>1.5707941152037779</v>
      </c>
      <c r="Q329" s="586">
        <f t="shared" si="163"/>
        <v>84.409711123695615</v>
      </c>
      <c r="R329" s="587">
        <f t="shared" si="164"/>
        <v>1.5589490715445249</v>
      </c>
      <c r="S329" s="574">
        <f t="shared" si="142"/>
        <v>1.1060780347927865</v>
      </c>
      <c r="T329" s="577">
        <f t="shared" si="143"/>
        <v>0.44153836444420602</v>
      </c>
      <c r="U329" s="578">
        <f t="shared" si="155"/>
        <v>0.71967510625889297</v>
      </c>
      <c r="V329" s="579">
        <f t="shared" si="156"/>
        <v>-0.99323113654426776</v>
      </c>
      <c r="W329" s="580">
        <f t="shared" si="144"/>
        <v>-16.91734950987901</v>
      </c>
      <c r="X329" s="581">
        <f t="shared" si="145"/>
        <v>-188.79599153478011</v>
      </c>
      <c r="Y329" s="584">
        <f t="shared" si="146"/>
        <v>-8.7959915347801143</v>
      </c>
      <c r="AA329" s="147">
        <f t="shared" si="147"/>
        <v>23988</v>
      </c>
      <c r="AB329" s="147">
        <f t="shared" si="148"/>
        <v>575424144</v>
      </c>
      <c r="AD329" s="583">
        <f t="shared" si="149"/>
        <v>29.651679768466764</v>
      </c>
      <c r="AE329" s="584">
        <f t="shared" si="150"/>
        <v>-25.9769558152686</v>
      </c>
      <c r="AG329" s="583">
        <f t="shared" si="151"/>
        <v>14.247756825833937</v>
      </c>
      <c r="AH329" s="584">
        <f t="shared" si="152"/>
        <v>-49.003131179520871</v>
      </c>
      <c r="AJ329" s="147">
        <f t="shared" si="153"/>
        <v>0</v>
      </c>
      <c r="AK329" s="147">
        <f t="shared" si="165"/>
        <v>0</v>
      </c>
      <c r="AM329" s="147" t="str">
        <f t="shared" si="157"/>
        <v>1.09145161407615+0.995809521084663i</v>
      </c>
      <c r="AN329" s="147" t="str">
        <f t="shared" si="158"/>
        <v>1.66237589739659i</v>
      </c>
      <c r="AO329" s="147" t="str">
        <f t="shared" si="159"/>
        <v>0.599027886920268-0.656561260173134i</v>
      </c>
      <c r="AP329" s="147" t="str">
        <f t="shared" si="160"/>
        <v>-0.0152419356793583-0.165968253514111i</v>
      </c>
      <c r="AQ329" s="147" t="str">
        <f t="shared" si="161"/>
        <v>1.01524193567936+0.165968253514111i</v>
      </c>
      <c r="AR329" s="147" t="str">
        <f t="shared" si="162"/>
        <v>0.799137465777923-0.130640239386982i</v>
      </c>
    </row>
    <row r="330" spans="7:44">
      <c r="G330" s="585">
        <v>24127.75</v>
      </c>
      <c r="H330" s="573">
        <f t="shared" si="154"/>
        <v>24.127749999999999</v>
      </c>
      <c r="I330" s="574">
        <f t="shared" si="134"/>
        <v>210.03624338721391</v>
      </c>
      <c r="J330" s="575">
        <f t="shared" si="135"/>
        <v>1.5660352257492056</v>
      </c>
      <c r="K330" s="575">
        <f t="shared" si="136"/>
        <v>1.001250603926872</v>
      </c>
      <c r="L330" s="576">
        <f t="shared" si="137"/>
        <v>4.9986037539377796E-2</v>
      </c>
      <c r="M330" s="575">
        <f t="shared" si="138"/>
        <v>1.0584870541896942</v>
      </c>
      <c r="N330" s="576">
        <f t="shared" si="139"/>
        <v>-0.33398151127474029</v>
      </c>
      <c r="O330" s="574">
        <f t="shared" si="140"/>
        <v>454797.37236732448</v>
      </c>
      <c r="P330" s="577">
        <f t="shared" si="141"/>
        <v>1.5707941280135036</v>
      </c>
      <c r="Q330" s="586">
        <f t="shared" si="163"/>
        <v>84.901398897099369</v>
      </c>
      <c r="R330" s="587">
        <f t="shared" si="164"/>
        <v>1.5590176854992674</v>
      </c>
      <c r="S330" s="574">
        <f t="shared" si="142"/>
        <v>1.1072575502960917</v>
      </c>
      <c r="T330" s="577">
        <f t="shared" si="143"/>
        <v>0.44378676501073794</v>
      </c>
      <c r="U330" s="578">
        <f t="shared" si="155"/>
        <v>0.71757085081857785</v>
      </c>
      <c r="V330" s="579">
        <f t="shared" si="156"/>
        <v>-0.99767305824780039</v>
      </c>
      <c r="W330" s="580">
        <f t="shared" si="144"/>
        <v>-16.99698352035249</v>
      </c>
      <c r="X330" s="581">
        <f t="shared" si="145"/>
        <v>-189.26325593049808</v>
      </c>
      <c r="Y330" s="584">
        <f t="shared" si="146"/>
        <v>-9.2632559304980759</v>
      </c>
      <c r="AA330" s="147">
        <f t="shared" si="147"/>
        <v>24127.75</v>
      </c>
      <c r="AB330" s="147">
        <f t="shared" si="148"/>
        <v>582148320.0625</v>
      </c>
      <c r="AD330" s="583">
        <f t="shared" si="149"/>
        <v>29.642415078509284</v>
      </c>
      <c r="AE330" s="584">
        <f t="shared" si="150"/>
        <v>-26.101849122449199</v>
      </c>
      <c r="AG330" s="583">
        <f t="shared" si="151"/>
        <v>14.228255190126873</v>
      </c>
      <c r="AH330" s="584">
        <f t="shared" si="152"/>
        <v>-48.836495534396597</v>
      </c>
      <c r="AJ330" s="147">
        <f t="shared" si="153"/>
        <v>0</v>
      </c>
      <c r="AK330" s="147">
        <f t="shared" si="165"/>
        <v>0</v>
      </c>
      <c r="AM330" s="147" t="str">
        <f t="shared" si="157"/>
        <v>1.10109130962344+0.994877151772327i</v>
      </c>
      <c r="AN330" s="147" t="str">
        <f t="shared" si="158"/>
        <v>1.67206061607515i</v>
      </c>
      <c r="AO330" s="147" t="str">
        <f t="shared" si="159"/>
        <v>0.595000649024086-0.658523560113536i</v>
      </c>
      <c r="AP330" s="147" t="str">
        <f t="shared" si="160"/>
        <v>-0.0168485516039073-0.165812858628721i</v>
      </c>
      <c r="AQ330" s="147" t="str">
        <f t="shared" si="161"/>
        <v>1.01684855160391+0.165812858628721i</v>
      </c>
      <c r="AR330" s="147" t="str">
        <f t="shared" si="162"/>
        <v>0.797979169040317-0.130122825996104i</v>
      </c>
    </row>
    <row r="331" spans="7:44">
      <c r="G331" s="585">
        <v>24267.5</v>
      </c>
      <c r="H331" s="573">
        <f t="shared" si="154"/>
        <v>24.267499999999998</v>
      </c>
      <c r="I331" s="574">
        <f t="shared" si="134"/>
        <v>211.25276384883099</v>
      </c>
      <c r="J331" s="575">
        <f t="shared" si="135"/>
        <v>1.5660626432377336</v>
      </c>
      <c r="K331" s="575">
        <f t="shared" si="136"/>
        <v>1.0012651239140875</v>
      </c>
      <c r="L331" s="576">
        <f t="shared" si="137"/>
        <v>5.0275074745233628E-2</v>
      </c>
      <c r="M331" s="575">
        <f t="shared" si="138"/>
        <v>1.0591475617090635</v>
      </c>
      <c r="N331" s="576">
        <f t="shared" si="139"/>
        <v>-0.33577416805209059</v>
      </c>
      <c r="O331" s="574">
        <f t="shared" si="140"/>
        <v>457431.5978043431</v>
      </c>
      <c r="P331" s="577">
        <f t="shared" si="141"/>
        <v>1.5707941406756936</v>
      </c>
      <c r="Q331" s="586">
        <f t="shared" si="163"/>
        <v>85.393087065605314</v>
      </c>
      <c r="R331" s="587">
        <f t="shared" si="164"/>
        <v>1.5590855093044229</v>
      </c>
      <c r="S331" s="574">
        <f t="shared" si="142"/>
        <v>1.1084426513947889</v>
      </c>
      <c r="T331" s="577">
        <f t="shared" si="143"/>
        <v>0.44603036910518246</v>
      </c>
      <c r="U331" s="578">
        <f t="shared" si="155"/>
        <v>0.71547061807148682</v>
      </c>
      <c r="V331" s="579">
        <f t="shared" si="156"/>
        <v>-1.0021015604132513</v>
      </c>
      <c r="W331" s="580">
        <f t="shared" si="144"/>
        <v>-17.076360491538264</v>
      </c>
      <c r="X331" s="581">
        <f t="shared" si="145"/>
        <v>-189.72937612970702</v>
      </c>
      <c r="Y331" s="584">
        <f t="shared" si="146"/>
        <v>-9.7293761297070205</v>
      </c>
      <c r="AA331" s="147">
        <f t="shared" si="147"/>
        <v>24267.5</v>
      </c>
      <c r="AB331" s="147">
        <f t="shared" si="148"/>
        <v>588911556.25</v>
      </c>
      <c r="AD331" s="583">
        <f t="shared" si="149"/>
        <v>29.633116596859157</v>
      </c>
      <c r="AE331" s="584">
        <f t="shared" si="150"/>
        <v>-26.226512875805692</v>
      </c>
      <c r="AG331" s="583">
        <f t="shared" si="151"/>
        <v>14.209096100518071</v>
      </c>
      <c r="AH331" s="584">
        <f t="shared" si="152"/>
        <v>-48.670483012379421</v>
      </c>
      <c r="AJ331" s="147">
        <f t="shared" si="153"/>
        <v>0</v>
      </c>
      <c r="AK331" s="147">
        <f t="shared" si="165"/>
        <v>0</v>
      </c>
      <c r="AM331" s="147" t="str">
        <f t="shared" si="157"/>
        <v>1.1107215235092+0.993851469904735i</v>
      </c>
      <c r="AN331" s="147" t="str">
        <f t="shared" si="158"/>
        <v>1.6817453347537i</v>
      </c>
      <c r="AO331" s="147" t="str">
        <f t="shared" si="159"/>
        <v>0.590964309141544-0.66045762135078i</v>
      </c>
      <c r="AP331" s="147" t="str">
        <f t="shared" si="160"/>
        <v>-0.0184535872515333-0.165641911650789i</v>
      </c>
      <c r="AQ331" s="147" t="str">
        <f t="shared" si="161"/>
        <v>1.01845358725153+0.165641911650789i</v>
      </c>
      <c r="AR331" s="147" t="str">
        <f t="shared" si="162"/>
        <v>0.796828992804948-0.129596752644543i</v>
      </c>
    </row>
    <row r="332" spans="7:44">
      <c r="G332" s="585">
        <v>24407.25</v>
      </c>
      <c r="H332" s="573">
        <f t="shared" si="154"/>
        <v>24.407250000000001</v>
      </c>
      <c r="I332" s="574">
        <f t="shared" si="134"/>
        <v>212.4692844674322</v>
      </c>
      <c r="J332" s="575">
        <f t="shared" si="135"/>
        <v>1.5660897467614638</v>
      </c>
      <c r="K332" s="575">
        <f t="shared" si="136"/>
        <v>1.0012797275470708</v>
      </c>
      <c r="L332" s="576">
        <f t="shared" si="137"/>
        <v>5.0564103544038154E-2</v>
      </c>
      <c r="M332" s="575">
        <f t="shared" si="138"/>
        <v>1.0598114686754876</v>
      </c>
      <c r="N332" s="576">
        <f t="shared" si="139"/>
        <v>-0.33756458459784061</v>
      </c>
      <c r="O332" s="574">
        <f t="shared" si="140"/>
        <v>460065.82324136182</v>
      </c>
      <c r="P332" s="577">
        <f t="shared" si="141"/>
        <v>1.5707941531928826</v>
      </c>
      <c r="Q332" s="586">
        <f t="shared" si="163"/>
        <v>85.884775622427611</v>
      </c>
      <c r="R332" s="587">
        <f t="shared" si="164"/>
        <v>1.5591525565301319</v>
      </c>
      <c r="S332" s="574">
        <f t="shared" si="142"/>
        <v>1.1096333201924382</v>
      </c>
      <c r="T332" s="577">
        <f t="shared" si="143"/>
        <v>0.44826916954432472</v>
      </c>
      <c r="U332" s="578">
        <f t="shared" si="155"/>
        <v>0.7133744686315534</v>
      </c>
      <c r="V332" s="579">
        <f t="shared" si="156"/>
        <v>-1.0065167375900277</v>
      </c>
      <c r="W332" s="580">
        <f t="shared" si="144"/>
        <v>-17.155482883960481</v>
      </c>
      <c r="X332" s="581">
        <f t="shared" si="145"/>
        <v>-190.19435625755824</v>
      </c>
      <c r="Y332" s="584">
        <f t="shared" si="146"/>
        <v>-10.19435625755824</v>
      </c>
      <c r="AA332" s="147">
        <f t="shared" si="147"/>
        <v>24407.25</v>
      </c>
      <c r="AB332" s="147">
        <f t="shared" si="148"/>
        <v>595713852.5625</v>
      </c>
      <c r="AD332" s="583">
        <f t="shared" si="149"/>
        <v>29.623784580109366</v>
      </c>
      <c r="AE332" s="584">
        <f t="shared" si="150"/>
        <v>-26.350945886403686</v>
      </c>
      <c r="AG332" s="583">
        <f t="shared" si="151"/>
        <v>14.190275381195367</v>
      </c>
      <c r="AH332" s="584">
        <f t="shared" si="152"/>
        <v>-48.505088092990967</v>
      </c>
      <c r="AJ332" s="147">
        <f t="shared" si="153"/>
        <v>0</v>
      </c>
      <c r="AK332" s="147">
        <f t="shared" si="165"/>
        <v>0</v>
      </c>
      <c r="AM332" s="147" t="str">
        <f t="shared" si="157"/>
        <v>1.12034135248638+0.992732571683709i</v>
      </c>
      <c r="AN332" s="147" t="str">
        <f t="shared" si="158"/>
        <v>1.69143005343226i</v>
      </c>
      <c r="AO332" s="147" t="str">
        <f t="shared" si="159"/>
        <v>0.586919080495969-0.662363394934941i</v>
      </c>
      <c r="AP332" s="147" t="str">
        <f t="shared" si="160"/>
        <v>-0.0200568920810625-0.165455428613951i</v>
      </c>
      <c r="AQ332" s="147" t="str">
        <f t="shared" si="161"/>
        <v>1.02005689208106+0.165455428613951i</v>
      </c>
      <c r="AR332" s="147" t="str">
        <f t="shared" si="162"/>
        <v>0.795686960537427-0.129062141651399i</v>
      </c>
    </row>
    <row r="333" spans="7:44">
      <c r="G333" s="585">
        <v>24547</v>
      </c>
      <c r="H333" s="573">
        <f t="shared" si="154"/>
        <v>24.547000000000001</v>
      </c>
      <c r="I333" s="574">
        <f t="shared" ref="I333:I396" si="166">SQRT(1+(G333/pole1)^2)</f>
        <v>213.68580524033641</v>
      </c>
      <c r="J333" s="575">
        <f t="shared" ref="J333:J396" si="167">ATAN(G333/pole1)</f>
        <v>1.5661165416825942</v>
      </c>
      <c r="K333" s="575">
        <f t="shared" ref="K333:K396" si="168">SQRT(1+(G333/Zero1)^2)</f>
        <v>1.0012944148221623</v>
      </c>
      <c r="L333" s="576">
        <f t="shared" ref="L333:L396" si="169">ATAN(G333/Zero1)</f>
        <v>5.0853123887870701E-2</v>
      </c>
      <c r="M333" s="575">
        <f t="shared" ref="M333:M396" si="170">SQRT(1+(G333/z_RHP)^2)</f>
        <v>1.0604787687043504</v>
      </c>
      <c r="N333" s="576">
        <f t="shared" ref="N333:N396" si="171">-ATAN(G333/z_RHP)</f>
        <v>-0.33935275365156864</v>
      </c>
      <c r="O333" s="574">
        <f t="shared" ref="O333:O396" si="172">SQRT(1+(G333/Pole2)^2)</f>
        <v>462700.04867838067</v>
      </c>
      <c r="P333" s="577">
        <f t="shared" ref="P333:P396" si="173">ATAN(G333/Pole2)</f>
        <v>1.5707941655675468</v>
      </c>
      <c r="Q333" s="586">
        <f t="shared" si="163"/>
        <v>86.37646456093492</v>
      </c>
      <c r="R333" s="587">
        <f t="shared" si="164"/>
        <v>1.5592188404375769</v>
      </c>
      <c r="S333" s="574">
        <f t="shared" ref="S333:S396" si="174">SQRT(1+(G333/pole4)^2)</f>
        <v>1.1108295387854323</v>
      </c>
      <c r="T333" s="577">
        <f t="shared" ref="T333:T396" si="175">ATAN(G333/pole4)</f>
        <v>0.45050315936829061</v>
      </c>
      <c r="U333" s="578">
        <f t="shared" si="155"/>
        <v>0.7112824612675519</v>
      </c>
      <c r="V333" s="579">
        <f t="shared" si="156"/>
        <v>-1.0109186845914364</v>
      </c>
      <c r="W333" s="580">
        <f t="shared" ref="W333:W396" si="176">20*LOG10(((K333*Q333*M333*U333)/(I333*O333*S333))*Adc)</f>
        <v>-17.2343531148165</v>
      </c>
      <c r="X333" s="581">
        <f t="shared" ref="X333:X396" si="177">((L333+R333+N333+V333)-(J333+P333+T333))*radconv</f>
        <v>-190.6582004820001</v>
      </c>
      <c r="Y333" s="584">
        <f t="shared" ref="Y333:Y396" si="178">IF(X333&gt;0,X333,X333+180)</f>
        <v>-10.658200482000098</v>
      </c>
      <c r="AA333" s="147">
        <f t="shared" ref="AA333:AA396" si="179">IF(W333&lt;0,G333,1000000000)</f>
        <v>24547</v>
      </c>
      <c r="AB333" s="147">
        <f t="shared" ref="AB333:AB396" si="180">G333^2</f>
        <v>602555209</v>
      </c>
      <c r="AD333" s="583">
        <f t="shared" ref="AD333:AD396" si="181">20*LOG10((Q333/(O333*S333))*Aea)</f>
        <v>29.614419284511293</v>
      </c>
      <c r="AE333" s="584">
        <f t="shared" ref="AE333:AE396" si="182">(R333-(P333+T333))*radconv</f>
        <v>-26.475146995803833</v>
      </c>
      <c r="AG333" s="583">
        <f t="shared" ref="AG333:AG396" si="183">20*LOG10((K333*M333/(I333*U333))*Acs*Am)</f>
        <v>14.171788926990567</v>
      </c>
      <c r="AH333" s="584">
        <f t="shared" ref="AH333:AH396" si="184">(L333+N333-(J333+V333))*radconv</f>
        <v>-48.340305237814334</v>
      </c>
      <c r="AJ333" s="147">
        <f t="shared" ref="AJ333:AJ396" si="185">SUM((W334&lt;0)*(W333&gt;0))*G333</f>
        <v>0</v>
      </c>
      <c r="AK333" s="147">
        <f t="shared" si="165"/>
        <v>0</v>
      </c>
      <c r="AM333" s="147" t="str">
        <f t="shared" si="157"/>
        <v>1.12994989428192+0.99152056205412i</v>
      </c>
      <c r="AN333" s="147" t="str">
        <f t="shared" si="158"/>
        <v>1.70111477211081i</v>
      </c>
      <c r="AO333" s="147" t="str">
        <f t="shared" si="159"/>
        <v>0.582865176594641-0.664240833603387i</v>
      </c>
      <c r="AP333" s="147" t="str">
        <f t="shared" si="160"/>
        <v>-0.021658315713653-0.16525342700902i</v>
      </c>
      <c r="AQ333" s="147" t="str">
        <f t="shared" si="161"/>
        <v>1.02165831571365+0.16525342700902i</v>
      </c>
      <c r="AR333" s="147" t="str">
        <f t="shared" si="162"/>
        <v>0.794553094176897-0.128519114202712i</v>
      </c>
    </row>
    <row r="334" spans="7:44">
      <c r="G334" s="585">
        <v>24690</v>
      </c>
      <c r="H334" s="573">
        <f t="shared" ref="H334:H397" si="186">G334/1000</f>
        <v>24.69</v>
      </c>
      <c r="I334" s="574">
        <f t="shared" si="166"/>
        <v>214.93061735100005</v>
      </c>
      <c r="J334" s="575">
        <f t="shared" si="167"/>
        <v>1.5661436457565183</v>
      </c>
      <c r="K334" s="575">
        <f t="shared" si="168"/>
        <v>1.0013095302404251</v>
      </c>
      <c r="L334" s="576">
        <f t="shared" si="169"/>
        <v>5.1148856832868038E-2</v>
      </c>
      <c r="M334" s="575">
        <f t="shared" si="170"/>
        <v>1.0611650930035201</v>
      </c>
      <c r="N334" s="576">
        <f t="shared" si="171"/>
        <v>-0.34118017403698125</v>
      </c>
      <c r="O334" s="574">
        <f t="shared" si="172"/>
        <v>465395.53517207445</v>
      </c>
      <c r="P334" s="577">
        <f t="shared" si="173"/>
        <v>1.5707941780849835</v>
      </c>
      <c r="Q334" s="586">
        <f t="shared" si="163"/>
        <v>86.879588514261783</v>
      </c>
      <c r="R334" s="587">
        <f t="shared" si="164"/>
        <v>1.5592858891980061</v>
      </c>
      <c r="S334" s="574">
        <f t="shared" si="174"/>
        <v>1.1120593026258885</v>
      </c>
      <c r="T334" s="577">
        <f t="shared" si="175"/>
        <v>0.45278411568824734</v>
      </c>
      <c r="U334" s="578">
        <f t="shared" ref="U334:U397" si="187">IMABS(IMPRODUCT(AO334, AR334))</f>
        <v>0.70914614965682743</v>
      </c>
      <c r="V334" s="579">
        <f t="shared" ref="V334:V397" si="188">IMARGUMENT(IMPRODUCT(AO334, AR334))</f>
        <v>-1.0154094063482346</v>
      </c>
      <c r="W334" s="580">
        <f t="shared" si="176"/>
        <v>-17.314798988380687</v>
      </c>
      <c r="X334" s="581">
        <f t="shared" si="177"/>
        <v>-191.13166033767499</v>
      </c>
      <c r="Y334" s="584">
        <f t="shared" si="178"/>
        <v>-11.131660337674987</v>
      </c>
      <c r="AA334" s="147">
        <f t="shared" si="179"/>
        <v>24690</v>
      </c>
      <c r="AB334" s="147">
        <f t="shared" si="180"/>
        <v>609596100</v>
      </c>
      <c r="AD334" s="583">
        <f t="shared" si="181"/>
        <v>29.604802009542084</v>
      </c>
      <c r="AE334" s="584">
        <f t="shared" si="182"/>
        <v>-26.60199527253809</v>
      </c>
      <c r="AG334" s="583">
        <f t="shared" si="183"/>
        <v>14.153214361386915</v>
      </c>
      <c r="AH334" s="584">
        <f t="shared" si="184"/>
        <v>-48.172318008902721</v>
      </c>
      <c r="AJ334" s="147">
        <f t="shared" si="185"/>
        <v>0</v>
      </c>
      <c r="AK334" s="147">
        <f t="shared" si="165"/>
        <v>0</v>
      </c>
      <c r="AM334" s="147" t="str">
        <f t="shared" ref="AM334:AM397" si="189">IMSUB(1,IMEXP(COMPLEX(0,-2*Pi*G334*Tsw)))</f>
        <v>1.13976926644438+0.990184100133708i</v>
      </c>
      <c r="AN334" s="147" t="str">
        <f t="shared" ref="AN334:AN397" si="190">COMPLEX(0, 2*Pi*G334*Tsw)</f>
        <v>1.71102471680515i</v>
      </c>
      <c r="AO334" s="147" t="str">
        <f t="shared" ref="AO334:AO397" si="191">IMDIV(AM334, AN334)</f>
        <v>0.578708238641107-0.666132555099831i</v>
      </c>
      <c r="AP334" s="147" t="str">
        <f t="shared" ref="AP334:AP397" si="192">IMDIV(IMEXP(COMPLEX(0,-2*Pi*G334*Tsw)),6)</f>
        <v>-0.0232948777407292-0.165030683355618i</v>
      </c>
      <c r="AQ334" s="147" t="str">
        <f t="shared" ref="AQ334:AQ397" si="193">IMSUB(1, AP334)</f>
        <v>1.02329487774073+0.165030683355618i</v>
      </c>
      <c r="AR334" s="147" t="str">
        <f t="shared" ref="AR334:AR397" si="194">IMDIV(0.833, AQ334)</f>
        <v>0.793401333128659-0.12795487110281i</v>
      </c>
    </row>
    <row r="335" spans="7:44">
      <c r="G335" s="585">
        <v>24833</v>
      </c>
      <c r="H335" s="573">
        <f t="shared" si="186"/>
        <v>24.832999999999998</v>
      </c>
      <c r="I335" s="574">
        <f t="shared" si="166"/>
        <v>216.17542961773989</v>
      </c>
      <c r="J335" s="575">
        <f t="shared" si="167"/>
        <v>1.5661704376813548</v>
      </c>
      <c r="K335" s="575">
        <f t="shared" si="168"/>
        <v>1.0013247332285433</v>
      </c>
      <c r="L335" s="576">
        <f t="shared" si="169"/>
        <v>5.1444580823575552E-2</v>
      </c>
      <c r="M335" s="575">
        <f t="shared" si="170"/>
        <v>1.0618549564388262</v>
      </c>
      <c r="N335" s="576">
        <f t="shared" si="171"/>
        <v>-0.34300522604213735</v>
      </c>
      <c r="O335" s="574">
        <f t="shared" si="172"/>
        <v>468091.02166576823</v>
      </c>
      <c r="P335" s="577">
        <f t="shared" si="173"/>
        <v>1.5707941904582576</v>
      </c>
      <c r="Q335" s="586">
        <f t="shared" si="163"/>
        <v>87.382712853661417</v>
      </c>
      <c r="R335" s="587">
        <f t="shared" si="164"/>
        <v>1.5593521658640632</v>
      </c>
      <c r="S335" s="574">
        <f t="shared" si="174"/>
        <v>1.1132948394462574</v>
      </c>
      <c r="T335" s="577">
        <f t="shared" si="175"/>
        <v>0.4550600210076573</v>
      </c>
      <c r="U335" s="578">
        <f t="shared" si="187"/>
        <v>0.70701429372190605</v>
      </c>
      <c r="V335" s="579">
        <f t="shared" si="188"/>
        <v>-1.0198864770463036</v>
      </c>
      <c r="W335" s="580">
        <f t="shared" si="176"/>
        <v>-17.394985822517132</v>
      </c>
      <c r="X335" s="581">
        <f t="shared" si="177"/>
        <v>-191.60393980379757</v>
      </c>
      <c r="Y335" s="584">
        <f t="shared" si="178"/>
        <v>-11.603939803797573</v>
      </c>
      <c r="AA335" s="147">
        <f t="shared" si="179"/>
        <v>24833</v>
      </c>
      <c r="AB335" s="147">
        <f t="shared" si="180"/>
        <v>616677889</v>
      </c>
      <c r="AD335" s="583">
        <f t="shared" si="181"/>
        <v>29.595150431556796</v>
      </c>
      <c r="AE335" s="584">
        <f t="shared" si="182"/>
        <v>-26.728598377747439</v>
      </c>
      <c r="AG335" s="583">
        <f t="shared" si="183"/>
        <v>14.134981312797411</v>
      </c>
      <c r="AH335" s="584">
        <f t="shared" si="184"/>
        <v>-48.004959858067629</v>
      </c>
      <c r="AJ335" s="147">
        <f t="shared" si="185"/>
        <v>0</v>
      </c>
      <c r="AK335" s="147">
        <f t="shared" si="165"/>
        <v>0</v>
      </c>
      <c r="AM335" s="147" t="str">
        <f t="shared" si="189"/>
        <v>1.14957491239827+0.988750395995395i</v>
      </c>
      <c r="AN335" s="147" t="str">
        <f t="shared" si="190"/>
        <v>1.72093466149948i</v>
      </c>
      <c r="AO335" s="147" t="str">
        <f t="shared" si="191"/>
        <v>0.57454267039626-0.667994513746748i</v>
      </c>
      <c r="AP335" s="147" t="str">
        <f t="shared" si="192"/>
        <v>-0.0249291520663782-0.164791732665899i</v>
      </c>
      <c r="AQ335" s="147" t="str">
        <f t="shared" si="193"/>
        <v>1.02492915206638+0.164791732665899i</v>
      </c>
      <c r="AR335" s="147" t="str">
        <f t="shared" si="194"/>
        <v>0.792258163959818-0.127382068599008i</v>
      </c>
    </row>
    <row r="336" spans="7:44">
      <c r="G336" s="585">
        <v>24976</v>
      </c>
      <c r="H336" s="573">
        <f t="shared" si="186"/>
        <v>24.975999999999999</v>
      </c>
      <c r="I336" s="574">
        <f t="shared" si="166"/>
        <v>217.4202420378752</v>
      </c>
      <c r="J336" s="575">
        <f t="shared" si="167"/>
        <v>1.5661969228185764</v>
      </c>
      <c r="K336" s="575">
        <f t="shared" si="168"/>
        <v>1.0013400237825281</v>
      </c>
      <c r="L336" s="576">
        <f t="shared" si="169"/>
        <v>5.1740295808678567E-2</v>
      </c>
      <c r="M336" s="575">
        <f t="shared" si="170"/>
        <v>1.0625483521168766</v>
      </c>
      <c r="N336" s="576">
        <f t="shared" si="171"/>
        <v>-0.34482790213413061</v>
      </c>
      <c r="O336" s="574">
        <f t="shared" si="172"/>
        <v>470786.50815946207</v>
      </c>
      <c r="P336" s="577">
        <f t="shared" si="173"/>
        <v>1.5707942026898454</v>
      </c>
      <c r="Q336" s="586">
        <f t="shared" si="163"/>
        <v>87.885837572503291</v>
      </c>
      <c r="R336" s="587">
        <f t="shared" si="164"/>
        <v>1.55941768369531</v>
      </c>
      <c r="S336" s="574">
        <f t="shared" si="174"/>
        <v>1.1145361300473524</v>
      </c>
      <c r="T336" s="577">
        <f t="shared" si="175"/>
        <v>0.45733086858667454</v>
      </c>
      <c r="U336" s="578">
        <f t="shared" si="187"/>
        <v>0.70488695061424289</v>
      </c>
      <c r="V336" s="579">
        <f t="shared" si="188"/>
        <v>-1.0243499990138896</v>
      </c>
      <c r="W336" s="580">
        <f t="shared" si="176"/>
        <v>-17.474916073901355</v>
      </c>
      <c r="X336" s="581">
        <f t="shared" si="177"/>
        <v>-192.07504347613076</v>
      </c>
      <c r="Y336" s="584">
        <f t="shared" si="178"/>
        <v>-12.075043476130759</v>
      </c>
      <c r="AA336" s="147">
        <f t="shared" si="179"/>
        <v>24976</v>
      </c>
      <c r="AB336" s="147">
        <f t="shared" si="180"/>
        <v>623800576</v>
      </c>
      <c r="AD336" s="583">
        <f t="shared" si="181"/>
        <v>29.585464823875377</v>
      </c>
      <c r="AE336" s="584">
        <f t="shared" si="182"/>
        <v>-26.854955165692086</v>
      </c>
      <c r="AG336" s="583">
        <f t="shared" si="183"/>
        <v>14.117085603589842</v>
      </c>
      <c r="AH336" s="584">
        <f t="shared" si="184"/>
        <v>-47.838224800858562</v>
      </c>
      <c r="AJ336" s="147">
        <f t="shared" si="185"/>
        <v>0</v>
      </c>
      <c r="AK336" s="147">
        <f t="shared" si="165"/>
        <v>0</v>
      </c>
      <c r="AM336" s="147" t="str">
        <f t="shared" si="189"/>
        <v>1.15936586916839+0.987219590437813i</v>
      </c>
      <c r="AN336" s="147" t="str">
        <f t="shared" si="190"/>
        <v>1.73084460619382i</v>
      </c>
      <c r="AO336" s="147" t="str">
        <f t="shared" si="191"/>
        <v>0.570368701444978-0.669826664403959i</v>
      </c>
      <c r="AP336" s="147" t="str">
        <f t="shared" si="192"/>
        <v>-0.026560978194732-0.164536598406302i</v>
      </c>
      <c r="AQ336" s="147" t="str">
        <f t="shared" si="193"/>
        <v>1.02656097819473+0.164536598406302i</v>
      </c>
      <c r="AR336" s="147" t="str">
        <f t="shared" si="194"/>
        <v>0.791123605460989-0.12680083280624i</v>
      </c>
    </row>
    <row r="337" spans="7:44">
      <c r="G337" s="585">
        <v>25119</v>
      </c>
      <c r="H337" s="573">
        <f t="shared" si="186"/>
        <v>25.119</v>
      </c>
      <c r="I337" s="574">
        <f t="shared" si="166"/>
        <v>218.66505460878622</v>
      </c>
      <c r="J337" s="575">
        <f t="shared" si="167"/>
        <v>1.5662231064075707</v>
      </c>
      <c r="K337" s="575">
        <f t="shared" si="168"/>
        <v>1.0013554018983684</v>
      </c>
      <c r="L337" s="576">
        <f t="shared" si="169"/>
        <v>5.2036001736871826E-2</v>
      </c>
      <c r="M337" s="575">
        <f t="shared" si="170"/>
        <v>1.063245273127013</v>
      </c>
      <c r="N337" s="576">
        <f t="shared" si="171"/>
        <v>-0.34664819486279969</v>
      </c>
      <c r="O337" s="574">
        <f t="shared" si="172"/>
        <v>473481.99465315603</v>
      </c>
      <c r="P337" s="577">
        <f t="shared" si="173"/>
        <v>1.570794214782167</v>
      </c>
      <c r="Q337" s="586">
        <f t="shared" si="163"/>
        <v>88.388962664307897</v>
      </c>
      <c r="R337" s="587">
        <f t="shared" si="164"/>
        <v>1.5594824556494313</v>
      </c>
      <c r="S337" s="574">
        <f t="shared" si="174"/>
        <v>1.115783155226211</v>
      </c>
      <c r="T337" s="577">
        <f t="shared" si="175"/>
        <v>0.45959665192402555</v>
      </c>
      <c r="U337" s="578">
        <f t="shared" si="187"/>
        <v>0.70276417558755844</v>
      </c>
      <c r="V337" s="579">
        <f t="shared" si="188"/>
        <v>-1.0288000747937565</v>
      </c>
      <c r="W337" s="580">
        <f t="shared" si="176"/>
        <v>-17.554592156818853</v>
      </c>
      <c r="X337" s="581">
        <f t="shared" si="177"/>
        <v>-192.54497599143633</v>
      </c>
      <c r="Y337" s="584">
        <f t="shared" si="178"/>
        <v>-12.544975991436331</v>
      </c>
      <c r="AA337" s="147">
        <f t="shared" si="179"/>
        <v>25119</v>
      </c>
      <c r="AB337" s="147">
        <f t="shared" si="180"/>
        <v>630964161</v>
      </c>
      <c r="AD337" s="583">
        <f t="shared" si="181"/>
        <v>29.575745459364953</v>
      </c>
      <c r="AE337" s="584">
        <f t="shared" si="182"/>
        <v>-26.981064521594497</v>
      </c>
      <c r="AG337" s="583">
        <f t="shared" si="183"/>
        <v>14.099523127597141</v>
      </c>
      <c r="AH337" s="584">
        <f t="shared" si="184"/>
        <v>-47.672106838279475</v>
      </c>
      <c r="AJ337" s="147">
        <f t="shared" si="185"/>
        <v>0</v>
      </c>
      <c r="AK337" s="147">
        <f t="shared" si="165"/>
        <v>0</v>
      </c>
      <c r="AM337" s="147" t="str">
        <f t="shared" si="189"/>
        <v>1.16914117522206+0.985591833795562i</v>
      </c>
      <c r="AN337" s="147" t="str">
        <f t="shared" si="190"/>
        <v>1.74075455088815i</v>
      </c>
      <c r="AO337" s="147" t="str">
        <f t="shared" si="191"/>
        <v>0.566186561622202-0.671628963787889i</v>
      </c>
      <c r="AP337" s="147" t="str">
        <f t="shared" si="192"/>
        <v>-0.028190195870344-0.164265305632594i</v>
      </c>
      <c r="AQ337" s="147" t="str">
        <f t="shared" si="193"/>
        <v>1.02819019587034+0.164265305632594i</v>
      </c>
      <c r="AR337" s="147" t="str">
        <f t="shared" si="194"/>
        <v>0.789997674915285-0.126211288573075i</v>
      </c>
    </row>
    <row r="338" spans="7:44">
      <c r="G338" s="585">
        <v>25265.25</v>
      </c>
      <c r="H338" s="573">
        <f t="shared" si="186"/>
        <v>25.265250000000002</v>
      </c>
      <c r="I338" s="574">
        <f t="shared" si="166"/>
        <v>219.93815852777729</v>
      </c>
      <c r="J338" s="575">
        <f t="shared" si="167"/>
        <v>1.5662495785080655</v>
      </c>
      <c r="K338" s="575">
        <f t="shared" si="168"/>
        <v>1.0013712200821694</v>
      </c>
      <c r="L338" s="576">
        <f t="shared" si="169"/>
        <v>5.2338418832875454E-2</v>
      </c>
      <c r="M338" s="575">
        <f t="shared" si="170"/>
        <v>1.0639616724553613</v>
      </c>
      <c r="N338" s="576">
        <f t="shared" si="171"/>
        <v>-0.34850738497304806</v>
      </c>
      <c r="O338" s="574">
        <f t="shared" si="172"/>
        <v>476238.74220352492</v>
      </c>
      <c r="P338" s="577">
        <f t="shared" si="173"/>
        <v>1.5707942270077282</v>
      </c>
      <c r="Q338" s="586">
        <f t="shared" si="163"/>
        <v>88.903522796464372</v>
      </c>
      <c r="R338" s="587">
        <f t="shared" si="164"/>
        <v>1.5595479413929321</v>
      </c>
      <c r="S338" s="574">
        <f t="shared" si="174"/>
        <v>1.1170644334262412</v>
      </c>
      <c r="T338" s="577">
        <f t="shared" si="175"/>
        <v>0.46190868561585607</v>
      </c>
      <c r="U338" s="578">
        <f t="shared" si="187"/>
        <v>0.70059793629304679</v>
      </c>
      <c r="V338" s="579">
        <f t="shared" si="188"/>
        <v>-1.0333374876811703</v>
      </c>
      <c r="W338" s="580">
        <f t="shared" si="176"/>
        <v>-17.635818633818346</v>
      </c>
      <c r="X338" s="581">
        <f t="shared" si="177"/>
        <v>-193.02438227973661</v>
      </c>
      <c r="Y338" s="584">
        <f t="shared" si="178"/>
        <v>-13.024382279736614</v>
      </c>
      <c r="AA338" s="147">
        <f t="shared" si="179"/>
        <v>25265.25</v>
      </c>
      <c r="AB338" s="147">
        <f t="shared" si="180"/>
        <v>638332857.5625</v>
      </c>
      <c r="AD338" s="583">
        <f t="shared" si="181"/>
        <v>29.565770567741939</v>
      </c>
      <c r="AE338" s="584">
        <f t="shared" si="182"/>
        <v>-27.109782938127701</v>
      </c>
      <c r="AG338" s="583">
        <f t="shared" si="183"/>
        <v>14.081901977948416</v>
      </c>
      <c r="AH338" s="584">
        <f t="shared" si="184"/>
        <v>-47.502845492738274</v>
      </c>
      <c r="AJ338" s="147">
        <f t="shared" si="185"/>
        <v>0</v>
      </c>
      <c r="AK338" s="147">
        <f t="shared" si="165"/>
        <v>0</v>
      </c>
      <c r="AM338" s="147" t="str">
        <f t="shared" si="189"/>
        <v>1.17912145853313+0.983826968065505i</v>
      </c>
      <c r="AN338" s="147" t="str">
        <f t="shared" si="190"/>
        <v>1.75088972159827i</v>
      </c>
      <c r="AO338" s="147" t="str">
        <f t="shared" si="191"/>
        <v>0.561901161409204-0.673441304719517i</v>
      </c>
      <c r="AP338" s="147" t="str">
        <f t="shared" si="192"/>
        <v>-0.029853576422188-0.163971161344251i</v>
      </c>
      <c r="AQ338" s="147" t="str">
        <f t="shared" si="193"/>
        <v>1.02985357642219+0.163971161344251i</v>
      </c>
      <c r="AR338" s="147" t="str">
        <f t="shared" si="194"/>
        <v>0.788855095830056-0.125599880562591i</v>
      </c>
    </row>
    <row r="339" spans="7:44">
      <c r="G339" s="585">
        <v>25411.5</v>
      </c>
      <c r="H339" s="573">
        <f t="shared" si="186"/>
        <v>25.4115</v>
      </c>
      <c r="I339" s="574">
        <f t="shared" si="166"/>
        <v>221.21126259912083</v>
      </c>
      <c r="J339" s="575">
        <f t="shared" si="167"/>
        <v>1.5662757459067425</v>
      </c>
      <c r="K339" s="575">
        <f t="shared" si="168"/>
        <v>1.0013871298445789</v>
      </c>
      <c r="L339" s="576">
        <f t="shared" si="169"/>
        <v>5.264082634709661E-2</v>
      </c>
      <c r="M339" s="575">
        <f t="shared" si="170"/>
        <v>1.0646817445040619</v>
      </c>
      <c r="N339" s="576">
        <f t="shared" si="171"/>
        <v>-0.35036406665628289</v>
      </c>
      <c r="O339" s="574">
        <f t="shared" si="172"/>
        <v>478995.48975389387</v>
      </c>
      <c r="P339" s="577">
        <f t="shared" si="173"/>
        <v>1.5707942390925667</v>
      </c>
      <c r="Q339" s="586">
        <f t="shared" si="163"/>
        <v>89.418083305485297</v>
      </c>
      <c r="R339" s="587">
        <f t="shared" si="164"/>
        <v>1.5596126734552089</v>
      </c>
      <c r="S339" s="574">
        <f t="shared" si="174"/>
        <v>1.1183516691929949</v>
      </c>
      <c r="T339" s="577">
        <f t="shared" si="175"/>
        <v>0.4642154092593917</v>
      </c>
      <c r="U339" s="578">
        <f t="shared" si="187"/>
        <v>0.69843658603800174</v>
      </c>
      <c r="V339" s="579">
        <f t="shared" si="188"/>
        <v>-1.0378610538076951</v>
      </c>
      <c r="W339" s="580">
        <f t="shared" si="176"/>
        <v>-17.716784235263042</v>
      </c>
      <c r="X339" s="581">
        <f t="shared" si="177"/>
        <v>-193.50257350699718</v>
      </c>
      <c r="Y339" s="584">
        <f t="shared" si="178"/>
        <v>-13.50257350699718</v>
      </c>
      <c r="AA339" s="147">
        <f t="shared" si="179"/>
        <v>25411.5</v>
      </c>
      <c r="AB339" s="147">
        <f t="shared" si="180"/>
        <v>645744332.25</v>
      </c>
      <c r="AD339" s="583">
        <f t="shared" si="181"/>
        <v>29.555760943230418</v>
      </c>
      <c r="AE339" s="584">
        <f t="shared" si="182"/>
        <v>-27.238240285994717</v>
      </c>
      <c r="AG339" s="583">
        <f t="shared" si="183"/>
        <v>14.064620915880081</v>
      </c>
      <c r="AH339" s="584">
        <f t="shared" si="184"/>
        <v>-47.334216876743085</v>
      </c>
      <c r="AJ339" s="147">
        <f t="shared" si="185"/>
        <v>0</v>
      </c>
      <c r="AK339" s="147">
        <f t="shared" si="165"/>
        <v>0</v>
      </c>
      <c r="AM339" s="147" t="str">
        <f t="shared" si="189"/>
        <v>1.18908334234359+0.981961042836312i</v>
      </c>
      <c r="AN339" s="147" t="str">
        <f t="shared" si="190"/>
        <v>1.76102489230838i</v>
      </c>
      <c r="AO339" s="147" t="str">
        <f t="shared" si="191"/>
        <v>0.557607701699856-0.675222336457107i</v>
      </c>
      <c r="AP339" s="147" t="str">
        <f t="shared" si="192"/>
        <v>-0.0315138903905978-0.163660173806052i</v>
      </c>
      <c r="AQ339" s="147" t="str">
        <f t="shared" si="193"/>
        <v>1.0315138903906+0.163660173806052i</v>
      </c>
      <c r="AR339" s="147" t="str">
        <f t="shared" si="194"/>
        <v>0.787721573247659-0.124980042236437i</v>
      </c>
    </row>
    <row r="340" spans="7:44">
      <c r="G340" s="585">
        <v>25557.75</v>
      </c>
      <c r="H340" s="573">
        <f t="shared" si="186"/>
        <v>25.557749999999999</v>
      </c>
      <c r="I340" s="574">
        <f t="shared" si="166"/>
        <v>222.4843668202015</v>
      </c>
      <c r="J340" s="575">
        <f t="shared" si="167"/>
        <v>1.5663016138342769</v>
      </c>
      <c r="K340" s="575">
        <f t="shared" si="168"/>
        <v>1.0014031311812315</v>
      </c>
      <c r="L340" s="576">
        <f t="shared" si="169"/>
        <v>5.294322422468279E-2</v>
      </c>
      <c r="M340" s="575">
        <f t="shared" si="170"/>
        <v>1.0654054818263075</v>
      </c>
      <c r="N340" s="576">
        <f t="shared" si="171"/>
        <v>-0.35221823221065129</v>
      </c>
      <c r="O340" s="574">
        <f t="shared" si="172"/>
        <v>481752.23730426293</v>
      </c>
      <c r="P340" s="577">
        <f t="shared" si="173"/>
        <v>1.5707942510390982</v>
      </c>
      <c r="Q340" s="586">
        <f t="shared" si="163"/>
        <v>89.932644184901861</v>
      </c>
      <c r="R340" s="587">
        <f t="shared" si="164"/>
        <v>1.5596766647725597</v>
      </c>
      <c r="S340" s="574">
        <f t="shared" si="174"/>
        <v>1.1196448419785465</v>
      </c>
      <c r="T340" s="577">
        <f t="shared" si="175"/>
        <v>0.46651681666360267</v>
      </c>
      <c r="U340" s="578">
        <f t="shared" si="187"/>
        <v>0.69628017797327124</v>
      </c>
      <c r="V340" s="579">
        <f t="shared" si="188"/>
        <v>-1.0423708834502854</v>
      </c>
      <c r="W340" s="580">
        <f t="shared" si="176"/>
        <v>-17.797491413885172</v>
      </c>
      <c r="X340" s="581">
        <f t="shared" si="177"/>
        <v>-193.97955475740017</v>
      </c>
      <c r="Y340" s="584">
        <f t="shared" si="178"/>
        <v>-13.979554757400166</v>
      </c>
      <c r="AA340" s="147">
        <f t="shared" si="179"/>
        <v>25557.75</v>
      </c>
      <c r="AB340" s="147">
        <f t="shared" si="180"/>
        <v>653198585.0625</v>
      </c>
      <c r="AD340" s="583">
        <f t="shared" si="181"/>
        <v>29.545716876136048</v>
      </c>
      <c r="AE340" s="584">
        <f t="shared" si="182"/>
        <v>-27.366435469418811</v>
      </c>
      <c r="AG340" s="583">
        <f t="shared" si="183"/>
        <v>14.047675771679293</v>
      </c>
      <c r="AH340" s="584">
        <f t="shared" si="184"/>
        <v>-47.166214533444617</v>
      </c>
      <c r="AJ340" s="147">
        <f t="shared" si="185"/>
        <v>0</v>
      </c>
      <c r="AK340" s="147">
        <f t="shared" si="165"/>
        <v>0</v>
      </c>
      <c r="AM340" s="147" t="str">
        <f t="shared" si="189"/>
        <v>1.19902580336073+0.979994249777323i</v>
      </c>
      <c r="AN340" s="147" t="str">
        <f t="shared" si="190"/>
        <v>1.7711600630185i</v>
      </c>
      <c r="AO340" s="147" t="str">
        <f t="shared" si="191"/>
        <v>0.553306429068397-0.676972018732903i</v>
      </c>
      <c r="AP340" s="147" t="str">
        <f t="shared" si="192"/>
        <v>-0.0331709672267878-0.163332374962887i</v>
      </c>
      <c r="AQ340" s="147" t="str">
        <f t="shared" si="193"/>
        <v>1.03317096722679+0.163332374962887i</v>
      </c>
      <c r="AR340" s="147" t="str">
        <f t="shared" si="194"/>
        <v>0.786597121026854-0.124351903016729i</v>
      </c>
    </row>
    <row r="341" spans="7:44">
      <c r="G341" s="585">
        <v>25704</v>
      </c>
      <c r="H341" s="573">
        <f t="shared" si="186"/>
        <v>25.704000000000001</v>
      </c>
      <c r="I341" s="574">
        <f t="shared" si="166"/>
        <v>223.7574711884634</v>
      </c>
      <c r="J341" s="575">
        <f t="shared" si="167"/>
        <v>1.5663271874023026</v>
      </c>
      <c r="K341" s="575">
        <f t="shared" si="168"/>
        <v>1.0014192240877378</v>
      </c>
      <c r="L341" s="576">
        <f t="shared" si="169"/>
        <v>5.3245612410792044E-2</v>
      </c>
      <c r="M341" s="575">
        <f t="shared" si="170"/>
        <v>1.0661328769576566</v>
      </c>
      <c r="N341" s="576">
        <f t="shared" si="171"/>
        <v>-0.35406987402436269</v>
      </c>
      <c r="O341" s="574">
        <f t="shared" si="172"/>
        <v>484508.984854632</v>
      </c>
      <c r="P341" s="577">
        <f t="shared" si="173"/>
        <v>1.5707942628496836</v>
      </c>
      <c r="Q341" s="586">
        <f t="shared" si="163"/>
        <v>90.447205428392422</v>
      </c>
      <c r="R341" s="587">
        <f t="shared" si="164"/>
        <v>1.5597399279869231</v>
      </c>
      <c r="S341" s="574">
        <f t="shared" si="174"/>
        <v>1.1209439312352383</v>
      </c>
      <c r="T341" s="577">
        <f t="shared" si="175"/>
        <v>0.46881290189121994</v>
      </c>
      <c r="U341" s="578">
        <f t="shared" si="187"/>
        <v>0.69412876330973372</v>
      </c>
      <c r="V341" s="579">
        <f t="shared" si="188"/>
        <v>-1.0468670870454875</v>
      </c>
      <c r="W341" s="580">
        <f t="shared" si="176"/>
        <v>-17.877942581073768</v>
      </c>
      <c r="X341" s="581">
        <f t="shared" si="177"/>
        <v>-194.45533115401241</v>
      </c>
      <c r="Y341" s="584">
        <f t="shared" si="178"/>
        <v>-14.455331154012413</v>
      </c>
      <c r="AA341" s="147">
        <f t="shared" si="179"/>
        <v>25704</v>
      </c>
      <c r="AB341" s="147">
        <f t="shared" si="180"/>
        <v>660695616</v>
      </c>
      <c r="AD341" s="583">
        <f t="shared" si="181"/>
        <v>29.53563865618775</v>
      </c>
      <c r="AE341" s="584">
        <f t="shared" si="182"/>
        <v>-27.494367424025043</v>
      </c>
      <c r="AG341" s="583">
        <f t="shared" si="183"/>
        <v>14.03106244778982</v>
      </c>
      <c r="AH341" s="584">
        <f t="shared" si="184"/>
        <v>-46.998831995188617</v>
      </c>
      <c r="AJ341" s="147">
        <f t="shared" si="185"/>
        <v>0</v>
      </c>
      <c r="AK341" s="147">
        <f t="shared" si="165"/>
        <v>0</v>
      </c>
      <c r="AM341" s="147" t="str">
        <f t="shared" si="189"/>
        <v>1.20894782028692+0.977926790919109i</v>
      </c>
      <c r="AN341" s="147" t="str">
        <f t="shared" si="190"/>
        <v>1.78129523372861i</v>
      </c>
      <c r="AO341" s="147" t="str">
        <f t="shared" si="191"/>
        <v>0.548997590293952-0.678690313315636i</v>
      </c>
      <c r="AP341" s="147" t="str">
        <f t="shared" si="192"/>
        <v>-0.0348246367144863-0.162987798486518i</v>
      </c>
      <c r="AQ341" s="147" t="str">
        <f t="shared" si="193"/>
        <v>1.03482463671449+0.162987798486518i</v>
      </c>
      <c r="AR341" s="147" t="str">
        <f t="shared" si="194"/>
        <v>0.785481751552674-0.123715590926955i</v>
      </c>
    </row>
    <row r="342" spans="7:44">
      <c r="G342" s="585">
        <v>25853.75</v>
      </c>
      <c r="H342" s="573">
        <f t="shared" si="186"/>
        <v>25.853750000000002</v>
      </c>
      <c r="I342" s="574">
        <f t="shared" si="166"/>
        <v>225.06104316159036</v>
      </c>
      <c r="J342" s="575">
        <f t="shared" si="167"/>
        <v>1.5663530731941093</v>
      </c>
      <c r="K342" s="575">
        <f t="shared" si="168"/>
        <v>1.0014357970022183</v>
      </c>
      <c r="L342" s="576">
        <f t="shared" si="169"/>
        <v>5.3555227137832728E-2</v>
      </c>
      <c r="M342" s="575">
        <f t="shared" si="170"/>
        <v>1.0668814621838394</v>
      </c>
      <c r="N342" s="576">
        <f t="shared" si="171"/>
        <v>-0.3559632057187942</v>
      </c>
      <c r="O342" s="574">
        <f t="shared" si="172"/>
        <v>487331.70585065108</v>
      </c>
      <c r="P342" s="577">
        <f t="shared" si="173"/>
        <v>1.5707942748044597</v>
      </c>
      <c r="Q342" s="586">
        <f t="shared" si="163"/>
        <v>90.974081328847234</v>
      </c>
      <c r="R342" s="587">
        <f t="shared" si="164"/>
        <v>1.5598039636475989</v>
      </c>
      <c r="S342" s="574">
        <f t="shared" si="174"/>
        <v>1.1222802188994356</v>
      </c>
      <c r="T342" s="577">
        <f t="shared" si="175"/>
        <v>0.47115841547734483</v>
      </c>
      <c r="U342" s="578">
        <f t="shared" si="187"/>
        <v>0.69193108736545195</v>
      </c>
      <c r="V342" s="579">
        <f t="shared" si="188"/>
        <v>-1.051456888499215</v>
      </c>
      <c r="W342" s="580">
        <f t="shared" si="176"/>
        <v>-17.960056276815724</v>
      </c>
      <c r="X342" s="581">
        <f t="shared" si="177"/>
        <v>-194.94125059260259</v>
      </c>
      <c r="Y342" s="584">
        <f t="shared" si="178"/>
        <v>-14.941250592602586</v>
      </c>
      <c r="AA342" s="147">
        <f t="shared" si="179"/>
        <v>25853.75</v>
      </c>
      <c r="AB342" s="147">
        <f t="shared" si="180"/>
        <v>668416389.0625</v>
      </c>
      <c r="AD342" s="583">
        <f t="shared" si="181"/>
        <v>29.525284161416447</v>
      </c>
      <c r="AE342" s="584">
        <f t="shared" si="182"/>
        <v>-27.625087165313104</v>
      </c>
      <c r="AG342" s="583">
        <f t="shared" si="183"/>
        <v>14.014391161527339</v>
      </c>
      <c r="AH342" s="584">
        <f t="shared" si="184"/>
        <v>-46.828079187686541</v>
      </c>
      <c r="AJ342" s="147">
        <f t="shared" si="185"/>
        <v>0</v>
      </c>
      <c r="AK342" s="147">
        <f t="shared" si="165"/>
        <v>0</v>
      </c>
      <c r="AM342" s="147" t="str">
        <f t="shared" si="189"/>
        <v>1.21908503886816+0.975705768018278i</v>
      </c>
      <c r="AN342" s="147" t="str">
        <f t="shared" si="190"/>
        <v>1.79167295553265i</v>
      </c>
      <c r="AO342" s="147" t="str">
        <f t="shared" si="191"/>
        <v>0.54457805204087-0.68041716826927i</v>
      </c>
      <c r="AP342" s="147" t="str">
        <f t="shared" si="192"/>
        <v>-0.0365141731446933-0.162617628003046i</v>
      </c>
      <c r="AQ342" s="147" t="str">
        <f t="shared" si="193"/>
        <v>1.03651417314469+0.162617628003046i</v>
      </c>
      <c r="AR342" s="147" t="str">
        <f t="shared" si="194"/>
        <v>0.784349112302769-0.123055714503159i</v>
      </c>
    </row>
    <row r="343" spans="7:44">
      <c r="G343" s="585">
        <v>26003.5</v>
      </c>
      <c r="H343" s="573">
        <f t="shared" si="186"/>
        <v>26.003499999999999</v>
      </c>
      <c r="I343" s="574">
        <f t="shared" si="166"/>
        <v>226.364615283788</v>
      </c>
      <c r="J343" s="575">
        <f t="shared" si="167"/>
        <v>1.5663786608474937</v>
      </c>
      <c r="K343" s="575">
        <f t="shared" si="168"/>
        <v>1.0014524659124326</v>
      </c>
      <c r="L343" s="576">
        <f t="shared" si="169"/>
        <v>5.3864831587641944E-2</v>
      </c>
      <c r="M343" s="575">
        <f t="shared" si="170"/>
        <v>1.0676338664941103</v>
      </c>
      <c r="N343" s="576">
        <f t="shared" si="171"/>
        <v>-0.35785387556955428</v>
      </c>
      <c r="O343" s="574">
        <f t="shared" si="172"/>
        <v>490154.42684667016</v>
      </c>
      <c r="P343" s="577">
        <f t="shared" si="173"/>
        <v>1.5707942866215447</v>
      </c>
      <c r="Q343" s="586">
        <f t="shared" ref="Q343:Q406" si="195">SQRT(1+(G343/Zero2)^2)</f>
        <v>91.500957598051144</v>
      </c>
      <c r="R343" s="587">
        <f t="shared" ref="R343:R406" si="196">ATAN(G343/Zero2)</f>
        <v>1.5598672618546101</v>
      </c>
      <c r="S343" s="574">
        <f t="shared" si="174"/>
        <v>1.1236226660089501</v>
      </c>
      <c r="T343" s="577">
        <f t="shared" si="175"/>
        <v>0.47349833731058316</v>
      </c>
      <c r="U343" s="578">
        <f t="shared" si="187"/>
        <v>0.68973874926322265</v>
      </c>
      <c r="V343" s="579">
        <f t="shared" si="188"/>
        <v>-1.0560326386940493</v>
      </c>
      <c r="W343" s="580">
        <f t="shared" si="176"/>
        <v>-18.041906550049013</v>
      </c>
      <c r="X343" s="581">
        <f t="shared" si="177"/>
        <v>-195.42591780897345</v>
      </c>
      <c r="Y343" s="584">
        <f t="shared" si="178"/>
        <v>-15.425917808973452</v>
      </c>
      <c r="AA343" s="147">
        <f t="shared" si="179"/>
        <v>26003.5</v>
      </c>
      <c r="AB343" s="147">
        <f t="shared" si="180"/>
        <v>676182012.25</v>
      </c>
      <c r="AD343" s="583">
        <f t="shared" si="181"/>
        <v>29.514894472421489</v>
      </c>
      <c r="AE343" s="584">
        <f t="shared" si="182"/>
        <v>-27.755528767853836</v>
      </c>
      <c r="AG343" s="583">
        <f t="shared" si="183"/>
        <v>13.998059298439623</v>
      </c>
      <c r="AH343" s="584">
        <f t="shared" si="184"/>
        <v>-46.657962452377205</v>
      </c>
      <c r="AJ343" s="147">
        <f t="shared" si="185"/>
        <v>0</v>
      </c>
      <c r="AK343" s="147">
        <f t="shared" ref="AK343:AK406" si="197">IF(AJ343&gt;0,Y343,0)</f>
        <v>0</v>
      </c>
      <c r="AM343" s="147" t="str">
        <f t="shared" si="189"/>
        <v>1.22919866283565+0.973379665369248i</v>
      </c>
      <c r="AN343" s="147" t="str">
        <f t="shared" si="190"/>
        <v>1.80205067733668i</v>
      </c>
      <c r="AO343" s="147" t="str">
        <f t="shared" si="191"/>
        <v>0.540151105410556-0.682111040657486i</v>
      </c>
      <c r="AP343" s="147" t="str">
        <f t="shared" si="192"/>
        <v>-0.0381997771392757-0.162229944228208i</v>
      </c>
      <c r="AQ343" s="147" t="str">
        <f t="shared" si="193"/>
        <v>1.03819977713928+0.162229944228208i</v>
      </c>
      <c r="AR343" s="147" t="str">
        <f t="shared" si="194"/>
        <v>0.783226017460839-0.122387536511393i</v>
      </c>
    </row>
    <row r="344" spans="7:44">
      <c r="G344" s="585">
        <v>26153.25</v>
      </c>
      <c r="H344" s="573">
        <f t="shared" si="186"/>
        <v>26.15325</v>
      </c>
      <c r="I344" s="574">
        <f t="shared" si="166"/>
        <v>227.66818755249571</v>
      </c>
      <c r="J344" s="575">
        <f t="shared" si="167"/>
        <v>1.5664039554836247</v>
      </c>
      <c r="K344" s="575">
        <f t="shared" si="168"/>
        <v>1.0014692308135875</v>
      </c>
      <c r="L344" s="576">
        <f t="shared" si="169"/>
        <v>5.4174425701380126E-2</v>
      </c>
      <c r="M344" s="575">
        <f t="shared" si="170"/>
        <v>1.0683900818198</v>
      </c>
      <c r="N344" s="576">
        <f t="shared" si="171"/>
        <v>-0.35974187569780197</v>
      </c>
      <c r="O344" s="574">
        <f t="shared" si="172"/>
        <v>492977.1478426893</v>
      </c>
      <c r="P344" s="577">
        <f t="shared" si="173"/>
        <v>1.5707942983033034</v>
      </c>
      <c r="Q344" s="586">
        <f t="shared" si="195"/>
        <v>92.027834229670702</v>
      </c>
      <c r="R344" s="587">
        <f t="shared" si="196"/>
        <v>1.5599298352736277</v>
      </c>
      <c r="S344" s="574">
        <f t="shared" si="174"/>
        <v>1.1249712505132732</v>
      </c>
      <c r="T344" s="577">
        <f t="shared" si="175"/>
        <v>0.47583266183182332</v>
      </c>
      <c r="U344" s="578">
        <f t="shared" si="187"/>
        <v>0.68755179787756349</v>
      </c>
      <c r="V344" s="579">
        <f t="shared" si="188"/>
        <v>-1.0605944565927616</v>
      </c>
      <c r="W344" s="580">
        <f t="shared" si="176"/>
        <v>-18.123495862288305</v>
      </c>
      <c r="X344" s="581">
        <f t="shared" si="177"/>
        <v>-195.90933842049037</v>
      </c>
      <c r="Y344" s="584">
        <f t="shared" si="178"/>
        <v>-15.909338420490371</v>
      </c>
      <c r="AA344" s="147">
        <f t="shared" si="179"/>
        <v>26153.25</v>
      </c>
      <c r="AB344" s="147">
        <f t="shared" si="180"/>
        <v>683992485.5625</v>
      </c>
      <c r="AD344" s="583">
        <f t="shared" si="181"/>
        <v>29.504469898227544</v>
      </c>
      <c r="AE344" s="584">
        <f t="shared" si="182"/>
        <v>-27.885691187579592</v>
      </c>
      <c r="AG344" s="583">
        <f t="shared" si="183"/>
        <v>13.982062685620292</v>
      </c>
      <c r="AH344" s="584">
        <f t="shared" si="184"/>
        <v>-46.488474818564164</v>
      </c>
      <c r="AJ344" s="147">
        <f t="shared" si="185"/>
        <v>0</v>
      </c>
      <c r="AK344" s="147">
        <f t="shared" si="197"/>
        <v>0</v>
      </c>
      <c r="AM344" s="147" t="str">
        <f t="shared" si="189"/>
        <v>1.23928760299111+0.970948733484301i</v>
      </c>
      <c r="AN344" s="147" t="str">
        <f t="shared" si="190"/>
        <v>1.81242839914071i</v>
      </c>
      <c r="AO344" s="147" t="str">
        <f t="shared" si="191"/>
        <v>0.535717015880262-0.683771896080788i</v>
      </c>
      <c r="AP344" s="147" t="str">
        <f t="shared" si="192"/>
        <v>-0.0398812671651855-0.16182478891405i</v>
      </c>
      <c r="AQ344" s="147" t="str">
        <f t="shared" si="193"/>
        <v>1.03988126716519+0.16182478891405i</v>
      </c>
      <c r="AR344" s="147" t="str">
        <f t="shared" si="194"/>
        <v>0.782112475797641-0.12171118982461i</v>
      </c>
    </row>
    <row r="345" spans="7:44">
      <c r="G345" s="585">
        <v>26303</v>
      </c>
      <c r="H345" s="573">
        <f t="shared" si="186"/>
        <v>26.303000000000001</v>
      </c>
      <c r="I345" s="574">
        <f t="shared" si="166"/>
        <v>228.97175996521116</v>
      </c>
      <c r="J345" s="575">
        <f t="shared" si="167"/>
        <v>1.5664289621070502</v>
      </c>
      <c r="K345" s="575">
        <f t="shared" si="168"/>
        <v>1.0014860917008623</v>
      </c>
      <c r="L345" s="576">
        <f t="shared" si="169"/>
        <v>5.4484009420219574E-2</v>
      </c>
      <c r="M345" s="575">
        <f t="shared" si="170"/>
        <v>1.0691501000742567</v>
      </c>
      <c r="N345" s="576">
        <f t="shared" si="171"/>
        <v>-0.36162719832306139</v>
      </c>
      <c r="O345" s="574">
        <f t="shared" si="172"/>
        <v>495799.8688387085</v>
      </c>
      <c r="P345" s="577">
        <f t="shared" si="173"/>
        <v>1.5707943098520476</v>
      </c>
      <c r="Q345" s="586">
        <f t="shared" si="195"/>
        <v>92.55471121751664</v>
      </c>
      <c r="R345" s="587">
        <f t="shared" si="196"/>
        <v>1.5599916962819427</v>
      </c>
      <c r="S345" s="574">
        <f t="shared" si="174"/>
        <v>1.1263259503669334</v>
      </c>
      <c r="T345" s="577">
        <f t="shared" si="175"/>
        <v>0.47816138375251666</v>
      </c>
      <c r="U345" s="578">
        <f t="shared" si="187"/>
        <v>0.68537028009862866</v>
      </c>
      <c r="V345" s="579">
        <f t="shared" si="188"/>
        <v>-1.0651424612584002</v>
      </c>
      <c r="W345" s="580">
        <f t="shared" si="176"/>
        <v>-18.204826634583732</v>
      </c>
      <c r="X345" s="581">
        <f t="shared" si="177"/>
        <v>-196.39151808123958</v>
      </c>
      <c r="Y345" s="584">
        <f t="shared" si="178"/>
        <v>-16.391518081239582</v>
      </c>
      <c r="AA345" s="147">
        <f t="shared" si="179"/>
        <v>26303</v>
      </c>
      <c r="AB345" s="147">
        <f t="shared" si="180"/>
        <v>691847809</v>
      </c>
      <c r="AD345" s="583">
        <f t="shared" si="181"/>
        <v>29.494010747140674</v>
      </c>
      <c r="AE345" s="584">
        <f t="shared" si="182"/>
        <v>-28.015573412444763</v>
      </c>
      <c r="AG345" s="583">
        <f t="shared" si="183"/>
        <v>13.966397223369304</v>
      </c>
      <c r="AH345" s="584">
        <f t="shared" si="184"/>
        <v>-46.319609308758885</v>
      </c>
      <c r="AJ345" s="147">
        <f t="shared" si="185"/>
        <v>0</v>
      </c>
      <c r="AK345" s="147">
        <f t="shared" si="197"/>
        <v>0</v>
      </c>
      <c r="AM345" s="147" t="str">
        <f t="shared" si="189"/>
        <v>1.24935077279459+0.968413234165426i</v>
      </c>
      <c r="AN345" s="147" t="str">
        <f t="shared" si="190"/>
        <v>1.82280612094474i</v>
      </c>
      <c r="AO345" s="147" t="str">
        <f t="shared" si="191"/>
        <v>0.531276049075098-0.685399702381439i</v>
      </c>
      <c r="AP345" s="147" t="str">
        <f t="shared" si="192"/>
        <v>-0.0415584621324322-0.161402205694238i</v>
      </c>
      <c r="AQ345" s="147" t="str">
        <f t="shared" si="193"/>
        <v>1.04155846213243+0.161402205694238i</v>
      </c>
      <c r="AR345" s="147" t="str">
        <f t="shared" si="194"/>
        <v>0.7810084946494-0.121026805777439i</v>
      </c>
    </row>
    <row r="346" spans="7:44">
      <c r="G346" s="585">
        <v>26456</v>
      </c>
      <c r="H346" s="573">
        <f t="shared" si="186"/>
        <v>26.456</v>
      </c>
      <c r="I346" s="574">
        <f t="shared" si="166"/>
        <v>230.30362374508965</v>
      </c>
      <c r="J346" s="575">
        <f t="shared" si="167"/>
        <v>1.5664542190761299</v>
      </c>
      <c r="K346" s="575">
        <f t="shared" si="168"/>
        <v>1.0015034176456816</v>
      </c>
      <c r="L346" s="576">
        <f t="shared" si="169"/>
        <v>5.4800301187447373E-2</v>
      </c>
      <c r="M346" s="575">
        <f t="shared" si="170"/>
        <v>1.0699305320770474</v>
      </c>
      <c r="N346" s="576">
        <f t="shared" si="171"/>
        <v>-0.36355066451124229</v>
      </c>
      <c r="O346" s="574">
        <f t="shared" si="172"/>
        <v>498683.85089140269</v>
      </c>
      <c r="P346" s="577">
        <f t="shared" si="173"/>
        <v>1.5707943215164055</v>
      </c>
      <c r="Q346" s="586">
        <f t="shared" si="195"/>
        <v>93.093023292924215</v>
      </c>
      <c r="R346" s="587">
        <f t="shared" si="196"/>
        <v>1.5600541766617924</v>
      </c>
      <c r="S346" s="574">
        <f t="shared" si="174"/>
        <v>1.1277163439957847</v>
      </c>
      <c r="T346" s="577">
        <f t="shared" si="175"/>
        <v>0.48053485401870893</v>
      </c>
      <c r="U346" s="578">
        <f t="shared" si="187"/>
        <v>0.68314707570698419</v>
      </c>
      <c r="V346" s="579">
        <f t="shared" si="188"/>
        <v>-1.0697750283101755</v>
      </c>
      <c r="W346" s="580">
        <f t="shared" si="176"/>
        <v>-18.287657975475241</v>
      </c>
      <c r="X346" s="581">
        <f t="shared" si="177"/>
        <v>-196.88288668647604</v>
      </c>
      <c r="Y346" s="584">
        <f t="shared" si="178"/>
        <v>-16.882886686476041</v>
      </c>
      <c r="AA346" s="147">
        <f t="shared" si="179"/>
        <v>26456</v>
      </c>
      <c r="AB346" s="147">
        <f t="shared" si="180"/>
        <v>699919936</v>
      </c>
      <c r="AD346" s="583">
        <f t="shared" si="181"/>
        <v>29.48328921207623</v>
      </c>
      <c r="AE346" s="584">
        <f t="shared" si="182"/>
        <v>-28.147984047899385</v>
      </c>
      <c r="AG346" s="583">
        <f t="shared" si="183"/>
        <v>13.950729595332195</v>
      </c>
      <c r="AH346" s="584">
        <f t="shared" si="184"/>
        <v>-46.14771419717794</v>
      </c>
      <c r="AJ346" s="147">
        <f t="shared" si="185"/>
        <v>0</v>
      </c>
      <c r="AK346" s="147">
        <f t="shared" si="197"/>
        <v>0</v>
      </c>
      <c r="AM346" s="147" t="str">
        <f t="shared" si="189"/>
        <v>1.2596045992049+0.96571499526085i</v>
      </c>
      <c r="AN346" s="147" t="str">
        <f t="shared" si="190"/>
        <v>1.83340906876456i</v>
      </c>
      <c r="AO346" s="147" t="str">
        <f t="shared" si="191"/>
        <v>0.526731874361021-0.687028672795691i</v>
      </c>
      <c r="AP346" s="147" t="str">
        <f t="shared" si="192"/>
        <v>-0.0432674332008165-0.160952499210142i</v>
      </c>
      <c r="AQ346" s="147" t="str">
        <f t="shared" si="193"/>
        <v>1.04326743320082+0.160952499210142i</v>
      </c>
      <c r="AR346" s="147" t="str">
        <f t="shared" si="194"/>
        <v>0.779890434157504-0.120319402765801i</v>
      </c>
    </row>
    <row r="347" spans="7:44">
      <c r="G347" s="585">
        <v>26609</v>
      </c>
      <c r="H347" s="573">
        <f t="shared" si="186"/>
        <v>26.609000000000002</v>
      </c>
      <c r="I347" s="574">
        <f t="shared" si="166"/>
        <v>231.6354876701927</v>
      </c>
      <c r="J347" s="575">
        <f t="shared" si="167"/>
        <v>1.5664791855988323</v>
      </c>
      <c r="K347" s="575">
        <f t="shared" si="168"/>
        <v>1.0015208437779133</v>
      </c>
      <c r="L347" s="576">
        <f t="shared" si="169"/>
        <v>5.511658197957036E-2</v>
      </c>
      <c r="M347" s="575">
        <f t="shared" si="170"/>
        <v>1.0707149167464871</v>
      </c>
      <c r="N347" s="576">
        <f t="shared" si="171"/>
        <v>-0.36547131960973317</v>
      </c>
      <c r="O347" s="574">
        <f t="shared" si="172"/>
        <v>501567.83294409688</v>
      </c>
      <c r="P347" s="577">
        <f t="shared" si="173"/>
        <v>1.570794333046625</v>
      </c>
      <c r="Q347" s="586">
        <f t="shared" si="195"/>
        <v>93.631335727569379</v>
      </c>
      <c r="R347" s="587">
        <f t="shared" si="196"/>
        <v>1.5601159386079262</v>
      </c>
      <c r="S347" s="574">
        <f t="shared" si="174"/>
        <v>1.1291130747913778</v>
      </c>
      <c r="T347" s="577">
        <f t="shared" si="175"/>
        <v>0.48290246555429817</v>
      </c>
      <c r="U347" s="578">
        <f t="shared" si="187"/>
        <v>0.680929636109742</v>
      </c>
      <c r="V347" s="579">
        <f t="shared" si="188"/>
        <v>-1.0743934275669622</v>
      </c>
      <c r="W347" s="580">
        <f t="shared" si="176"/>
        <v>-18.370224417713523</v>
      </c>
      <c r="X347" s="581">
        <f t="shared" si="177"/>
        <v>-197.37297193575102</v>
      </c>
      <c r="Y347" s="584">
        <f t="shared" si="178"/>
        <v>-17.372971935751025</v>
      </c>
      <c r="AA347" s="147">
        <f t="shared" si="179"/>
        <v>26609</v>
      </c>
      <c r="AB347" s="147">
        <f t="shared" si="180"/>
        <v>708038881</v>
      </c>
      <c r="AD347" s="583">
        <f t="shared" si="181"/>
        <v>29.472532231270069</v>
      </c>
      <c r="AE347" s="584">
        <f t="shared" si="182"/>
        <v>-28.280100158351033</v>
      </c>
      <c r="AG347" s="583">
        <f t="shared" si="183"/>
        <v>13.935399223146485</v>
      </c>
      <c r="AH347" s="584">
        <f t="shared" si="184"/>
        <v>-45.97645376435608</v>
      </c>
      <c r="AJ347" s="147">
        <f t="shared" si="185"/>
        <v>0</v>
      </c>
      <c r="AK347" s="147">
        <f t="shared" si="197"/>
        <v>0</v>
      </c>
      <c r="AM347" s="147" t="str">
        <f t="shared" si="189"/>
        <v>1.26982924048992+0.962908189276959i</v>
      </c>
      <c r="AN347" s="147" t="str">
        <f t="shared" si="190"/>
        <v>1.84401201658437i</v>
      </c>
      <c r="AO347" s="147" t="str">
        <f t="shared" si="191"/>
        <v>0.522181081585648-0.688623083293135i</v>
      </c>
      <c r="AP347" s="147" t="str">
        <f t="shared" si="192"/>
        <v>-0.0449715400816538-0.160484698212826i</v>
      </c>
      <c r="AQ347" s="147" t="str">
        <f t="shared" si="193"/>
        <v>1.04497154008165+0.160484698212826i</v>
      </c>
      <c r="AR347" s="147" t="str">
        <f t="shared" si="194"/>
        <v>0.778782364759182-0.119603882008196i</v>
      </c>
    </row>
    <row r="348" spans="7:44">
      <c r="G348" s="585">
        <v>26762</v>
      </c>
      <c r="H348" s="573">
        <f t="shared" si="186"/>
        <v>26.762</v>
      </c>
      <c r="I348" s="574">
        <f t="shared" si="166"/>
        <v>232.96735173802958</v>
      </c>
      <c r="J348" s="575">
        <f t="shared" si="167"/>
        <v>1.5665038666565332</v>
      </c>
      <c r="K348" s="575">
        <f t="shared" si="168"/>
        <v>1.0015383700923275</v>
      </c>
      <c r="L348" s="576">
        <f t="shared" si="169"/>
        <v>5.54328517338857E-2</v>
      </c>
      <c r="M348" s="575">
        <f t="shared" si="170"/>
        <v>1.0715032454020295</v>
      </c>
      <c r="N348" s="576">
        <f t="shared" si="171"/>
        <v>-0.36738915563736707</v>
      </c>
      <c r="O348" s="574">
        <f t="shared" si="172"/>
        <v>504451.81499679119</v>
      </c>
      <c r="P348" s="577">
        <f t="shared" si="173"/>
        <v>1.5707943444450065</v>
      </c>
      <c r="Q348" s="586">
        <f t="shared" si="195"/>
        <v>94.169648515291485</v>
      </c>
      <c r="R348" s="587">
        <f t="shared" si="196"/>
        <v>1.5601769944404651</v>
      </c>
      <c r="S348" s="574">
        <f t="shared" si="174"/>
        <v>1.1305161192653723</v>
      </c>
      <c r="T348" s="577">
        <f t="shared" si="175"/>
        <v>0.48526421357989186</v>
      </c>
      <c r="U348" s="578">
        <f t="shared" si="187"/>
        <v>0.67871800513569813</v>
      </c>
      <c r="V348" s="579">
        <f t="shared" si="188"/>
        <v>-1.0789977862252813</v>
      </c>
      <c r="W348" s="580">
        <f t="shared" si="176"/>
        <v>-18.452528419973035</v>
      </c>
      <c r="X348" s="581">
        <f t="shared" si="177"/>
        <v>-197.8617799690075</v>
      </c>
      <c r="Y348" s="584">
        <f t="shared" si="178"/>
        <v>-17.8617799690075</v>
      </c>
      <c r="AA348" s="147">
        <f t="shared" si="179"/>
        <v>26762</v>
      </c>
      <c r="AB348" s="147">
        <f t="shared" si="180"/>
        <v>716204644</v>
      </c>
      <c r="AD348" s="583">
        <f t="shared" si="181"/>
        <v>29.461740131085079</v>
      </c>
      <c r="AE348" s="584">
        <f t="shared" si="182"/>
        <v>-28.411920764201557</v>
      </c>
      <c r="AG348" s="583">
        <f t="shared" si="183"/>
        <v>13.92040196183766</v>
      </c>
      <c r="AH348" s="584">
        <f t="shared" si="184"/>
        <v>-45.805820554186731</v>
      </c>
      <c r="AJ348" s="147">
        <f t="shared" si="185"/>
        <v>0</v>
      </c>
      <c r="AK348" s="147">
        <f t="shared" si="197"/>
        <v>0</v>
      </c>
      <c r="AM348" s="147" t="str">
        <f t="shared" si="189"/>
        <v>1.28002354718069+0.959993131758945i</v>
      </c>
      <c r="AN348" s="147" t="str">
        <f t="shared" si="190"/>
        <v>1.85461496440418i</v>
      </c>
      <c r="AO348" s="147" t="str">
        <f t="shared" si="191"/>
        <v>0.517623954397109-0.690182906828812i</v>
      </c>
      <c r="AP348" s="147" t="str">
        <f t="shared" si="192"/>
        <v>-0.0466705911967808-0.159998855293157i</v>
      </c>
      <c r="AQ348" s="147" t="str">
        <f t="shared" si="193"/>
        <v>1.04667059119678+0.159998855293157i</v>
      </c>
      <c r="AR348" s="147" t="str">
        <f t="shared" si="194"/>
        <v>0.777684289929118-0.118880378616406i</v>
      </c>
    </row>
    <row r="349" spans="7:44">
      <c r="G349" s="585">
        <v>26915</v>
      </c>
      <c r="H349" s="573">
        <f t="shared" si="186"/>
        <v>26.914999999999999</v>
      </c>
      <c r="I349" s="574">
        <f t="shared" si="166"/>
        <v>234.29921594616621</v>
      </c>
      <c r="J349" s="575">
        <f t="shared" si="167"/>
        <v>1.5665282671173439</v>
      </c>
      <c r="K349" s="575">
        <f t="shared" si="168"/>
        <v>1.0015559965836651</v>
      </c>
      <c r="L349" s="576">
        <f t="shared" si="169"/>
        <v>5.5749110387703762E-2</v>
      </c>
      <c r="M349" s="575">
        <f t="shared" si="170"/>
        <v>1.072295509345073</v>
      </c>
      <c r="N349" s="576">
        <f t="shared" si="171"/>
        <v>-0.36930416471933875</v>
      </c>
      <c r="O349" s="574">
        <f t="shared" si="172"/>
        <v>507335.79704948555</v>
      </c>
      <c r="P349" s="577">
        <f t="shared" si="173"/>
        <v>1.5707943557137984</v>
      </c>
      <c r="Q349" s="586">
        <f t="shared" si="195"/>
        <v>94.707961650069919</v>
      </c>
      <c r="R349" s="587">
        <f t="shared" si="196"/>
        <v>1.5602373561994436</v>
      </c>
      <c r="S349" s="574">
        <f t="shared" si="174"/>
        <v>1.1319254539399723</v>
      </c>
      <c r="T349" s="577">
        <f t="shared" si="175"/>
        <v>0.4876200936013852</v>
      </c>
      <c r="U349" s="578">
        <f t="shared" si="187"/>
        <v>0.67651222460986549</v>
      </c>
      <c r="V349" s="579">
        <f t="shared" si="188"/>
        <v>-1.0835882315171026</v>
      </c>
      <c r="W349" s="580">
        <f t="shared" si="176"/>
        <v>-18.534572401714023</v>
      </c>
      <c r="X349" s="581">
        <f t="shared" si="177"/>
        <v>-198.34931696021374</v>
      </c>
      <c r="Y349" s="584">
        <f t="shared" si="178"/>
        <v>-18.349316960213741</v>
      </c>
      <c r="AA349" s="147">
        <f t="shared" si="179"/>
        <v>26915</v>
      </c>
      <c r="AB349" s="147">
        <f t="shared" si="180"/>
        <v>724417225</v>
      </c>
      <c r="AD349" s="583">
        <f t="shared" si="181"/>
        <v>29.450913237014174</v>
      </c>
      <c r="AE349" s="584">
        <f t="shared" si="182"/>
        <v>-28.543444918243367</v>
      </c>
      <c r="AG349" s="583">
        <f t="shared" si="183"/>
        <v>13.905733740067614</v>
      </c>
      <c r="AH349" s="584">
        <f t="shared" si="184"/>
        <v>-45.635807108135971</v>
      </c>
      <c r="AJ349" s="147">
        <f t="shared" si="185"/>
        <v>0</v>
      </c>
      <c r="AK349" s="147">
        <f t="shared" si="197"/>
        <v>0</v>
      </c>
      <c r="AM349" s="147" t="str">
        <f t="shared" si="189"/>
        <v>1.29018637321846+0.956970150421797i</v>
      </c>
      <c r="AN349" s="147" t="str">
        <f t="shared" si="190"/>
        <v>1.865217912224i</v>
      </c>
      <c r="AO349" s="147" t="str">
        <f t="shared" si="191"/>
        <v>0.513060776518466-0.691708118801037i</v>
      </c>
      <c r="AP349" s="147" t="str">
        <f t="shared" si="192"/>
        <v>-0.0483643955364102-0.1594950250703i</v>
      </c>
      <c r="AQ349" s="147" t="str">
        <f t="shared" si="193"/>
        <v>1.04836439553641+0.1594950250703i</v>
      </c>
      <c r="AR349" s="147" t="str">
        <f t="shared" si="194"/>
        <v>0.776596211771756-0.11814902603847i</v>
      </c>
    </row>
    <row r="350" spans="7:44">
      <c r="G350" s="585">
        <v>27071.75</v>
      </c>
      <c r="H350" s="573">
        <f t="shared" si="186"/>
        <v>27.071750000000002</v>
      </c>
      <c r="I350" s="574">
        <f t="shared" si="166"/>
        <v>235.66372402790731</v>
      </c>
      <c r="J350" s="575">
        <f t="shared" si="167"/>
        <v>1.566552979605462</v>
      </c>
      <c r="K350" s="575">
        <f t="shared" si="168"/>
        <v>1.0015741589813076</v>
      </c>
      <c r="L350" s="576">
        <f t="shared" si="169"/>
        <v>5.6073108901647011E-2</v>
      </c>
      <c r="M350" s="575">
        <f t="shared" si="170"/>
        <v>1.0731112635579232</v>
      </c>
      <c r="N350" s="576">
        <f t="shared" si="171"/>
        <v>-0.37126317045005269</v>
      </c>
      <c r="O350" s="574">
        <f t="shared" si="172"/>
        <v>510290.46493680484</v>
      </c>
      <c r="P350" s="577">
        <f t="shared" si="173"/>
        <v>1.5707943671266906</v>
      </c>
      <c r="Q350" s="586">
        <f t="shared" si="195"/>
        <v>95.25946908799861</v>
      </c>
      <c r="R350" s="587">
        <f t="shared" si="196"/>
        <v>1.560298489915896</v>
      </c>
      <c r="S350" s="574">
        <f t="shared" si="174"/>
        <v>1.1333758299439256</v>
      </c>
      <c r="T350" s="577">
        <f t="shared" si="175"/>
        <v>0.49002762587695109</v>
      </c>
      <c r="U350" s="578">
        <f t="shared" si="187"/>
        <v>0.67425848979427594</v>
      </c>
      <c r="V350" s="579">
        <f t="shared" si="188"/>
        <v>-1.0882768917015351</v>
      </c>
      <c r="W350" s="580">
        <f t="shared" si="176"/>
        <v>-18.618360096750457</v>
      </c>
      <c r="X350" s="581">
        <f t="shared" si="177"/>
        <v>-198.84749172359014</v>
      </c>
      <c r="Y350" s="584">
        <f t="shared" si="178"/>
        <v>-18.847491723590139</v>
      </c>
      <c r="AA350" s="147">
        <f t="shared" si="179"/>
        <v>27071.75</v>
      </c>
      <c r="AB350" s="147">
        <f t="shared" si="180"/>
        <v>732879648.0625</v>
      </c>
      <c r="AD350" s="583">
        <f t="shared" si="181"/>
        <v>29.43978523374669</v>
      </c>
      <c r="AE350" s="584">
        <f t="shared" si="182"/>
        <v>-28.677884306800316</v>
      </c>
      <c r="AG350" s="583">
        <f t="shared" si="183"/>
        <v>13.891043057659243</v>
      </c>
      <c r="AH350" s="584">
        <f t="shared" si="184"/>
        <v>-45.462261602063478</v>
      </c>
      <c r="AJ350" s="147">
        <f t="shared" si="185"/>
        <v>0</v>
      </c>
      <c r="AK350" s="147">
        <f t="shared" si="197"/>
        <v>0</v>
      </c>
      <c r="AM350" s="147" t="str">
        <f t="shared" si="189"/>
        <v>1.30056444611991+0.953761507783069i</v>
      </c>
      <c r="AN350" s="147" t="str">
        <f t="shared" si="190"/>
        <v>1.87608073621586i</v>
      </c>
      <c r="AO350" s="147" t="str">
        <f t="shared" si="191"/>
        <v>0.50837977778443-0.693234795823983i</v>
      </c>
      <c r="AP350" s="147" t="str">
        <f t="shared" si="192"/>
        <v>-0.0500940743533178-0.158960251297178i</v>
      </c>
      <c r="AQ350" s="147" t="str">
        <f t="shared" si="193"/>
        <v>1.05009407435332+0.158960251297178i</v>
      </c>
      <c r="AR350" s="147" t="str">
        <f t="shared" si="194"/>
        <v>0.775491833040224-0.117391745815629i</v>
      </c>
    </row>
    <row r="351" spans="7:44">
      <c r="G351" s="585">
        <v>27228.5</v>
      </c>
      <c r="H351" s="573">
        <f t="shared" si="186"/>
        <v>27.2285</v>
      </c>
      <c r="I351" s="574">
        <f t="shared" si="166"/>
        <v>237.0282322519129</v>
      </c>
      <c r="J351" s="575">
        <f t="shared" si="167"/>
        <v>1.5665774075672076</v>
      </c>
      <c r="K351" s="575">
        <f t="shared" si="168"/>
        <v>1.0015924265154148</v>
      </c>
      <c r="L351" s="576">
        <f t="shared" si="169"/>
        <v>5.6397095631112011E-2</v>
      </c>
      <c r="M351" s="575">
        <f t="shared" si="170"/>
        <v>1.073931129787898</v>
      </c>
      <c r="N351" s="576">
        <f t="shared" si="171"/>
        <v>-0.37321919256866959</v>
      </c>
      <c r="O351" s="574">
        <f t="shared" si="172"/>
        <v>513245.13282412424</v>
      </c>
      <c r="P351" s="577">
        <f t="shared" si="173"/>
        <v>1.5707943784081784</v>
      </c>
      <c r="Q351" s="586">
        <f t="shared" si="195"/>
        <v>95.810976877844894</v>
      </c>
      <c r="R351" s="587">
        <f t="shared" si="196"/>
        <v>1.560358919835952</v>
      </c>
      <c r="S351" s="574">
        <f t="shared" si="174"/>
        <v>1.134832758420111</v>
      </c>
      <c r="T351" s="577">
        <f t="shared" si="175"/>
        <v>0.4924289903336993</v>
      </c>
      <c r="U351" s="578">
        <f t="shared" si="187"/>
        <v>0.67201097832488388</v>
      </c>
      <c r="V351" s="579">
        <f t="shared" si="188"/>
        <v>-1.0929512185378383</v>
      </c>
      <c r="W351" s="580">
        <f t="shared" si="176"/>
        <v>-18.701879888925859</v>
      </c>
      <c r="X351" s="581">
        <f t="shared" si="177"/>
        <v>-199.34434559831783</v>
      </c>
      <c r="Y351" s="584">
        <f t="shared" si="178"/>
        <v>-19.34434559831783</v>
      </c>
      <c r="AA351" s="147">
        <f t="shared" si="179"/>
        <v>27228.5</v>
      </c>
      <c r="AB351" s="147">
        <f t="shared" si="180"/>
        <v>741391212.25</v>
      </c>
      <c r="AD351" s="583">
        <f t="shared" si="181"/>
        <v>29.428621398881489</v>
      </c>
      <c r="AE351" s="584">
        <f t="shared" si="182"/>
        <v>-28.812010622404092</v>
      </c>
      <c r="AG351" s="583">
        <f t="shared" si="183"/>
        <v>13.876689321097462</v>
      </c>
      <c r="AH351" s="584">
        <f t="shared" si="184"/>
        <v>-45.289350761005515</v>
      </c>
      <c r="AJ351" s="147">
        <f t="shared" si="185"/>
        <v>0</v>
      </c>
      <c r="AK351" s="147">
        <f t="shared" si="197"/>
        <v>0</v>
      </c>
      <c r="AM351" s="147" t="str">
        <f t="shared" si="189"/>
        <v>1.31090705248142+0.950440321491736i</v>
      </c>
      <c r="AN351" s="147" t="str">
        <f t="shared" si="190"/>
        <v>1.88694356020773i</v>
      </c>
      <c r="AO351" s="147" t="str">
        <f t="shared" si="191"/>
        <v>0.503693031172116-0.694725099428573i</v>
      </c>
      <c r="AP351" s="147" t="str">
        <f t="shared" si="192"/>
        <v>-0.051817842080237-0.158406720248623i</v>
      </c>
      <c r="AQ351" s="147" t="str">
        <f t="shared" si="193"/>
        <v>1.05181784208024+0.158406720248623i</v>
      </c>
      <c r="AR351" s="147" t="str">
        <f t="shared" si="194"/>
        <v>0.774397947282558-0.116626505169075i</v>
      </c>
    </row>
    <row r="352" spans="7:44">
      <c r="G352" s="585">
        <v>27385.25</v>
      </c>
      <c r="H352" s="573">
        <f t="shared" si="186"/>
        <v>27.385249999999999</v>
      </c>
      <c r="I352" s="574">
        <f t="shared" si="166"/>
        <v>238.39274061574002</v>
      </c>
      <c r="J352" s="575">
        <f t="shared" si="167"/>
        <v>1.5666015558882533</v>
      </c>
      <c r="K352" s="575">
        <f t="shared" si="168"/>
        <v>1.0016107991802343</v>
      </c>
      <c r="L352" s="576">
        <f t="shared" si="169"/>
        <v>5.6721070508729328E-2</v>
      </c>
      <c r="M352" s="575">
        <f t="shared" si="170"/>
        <v>1.0747550986245638</v>
      </c>
      <c r="N352" s="576">
        <f t="shared" si="171"/>
        <v>-0.37517222295284847</v>
      </c>
      <c r="O352" s="574">
        <f t="shared" si="172"/>
        <v>516199.80071144371</v>
      </c>
      <c r="P352" s="577">
        <f t="shared" si="173"/>
        <v>1.5707943895605183</v>
      </c>
      <c r="Q352" s="586">
        <f t="shared" si="195"/>
        <v>96.362485013566427</v>
      </c>
      <c r="R352" s="587">
        <f t="shared" si="196"/>
        <v>1.5604186580432085</v>
      </c>
      <c r="S352" s="574">
        <f t="shared" si="174"/>
        <v>1.1362962141643176</v>
      </c>
      <c r="T352" s="577">
        <f t="shared" si="175"/>
        <v>0.49482418305440928</v>
      </c>
      <c r="U352" s="578">
        <f t="shared" si="187"/>
        <v>0.66976972888937059</v>
      </c>
      <c r="V352" s="579">
        <f t="shared" si="188"/>
        <v>-1.0976113488497365</v>
      </c>
      <c r="W352" s="580">
        <f t="shared" si="176"/>
        <v>-18.785134259282007</v>
      </c>
      <c r="X352" s="581">
        <f t="shared" si="177"/>
        <v>-199.83988532558126</v>
      </c>
      <c r="Y352" s="584">
        <f t="shared" si="178"/>
        <v>-19.839885325581264</v>
      </c>
      <c r="AA352" s="147">
        <f t="shared" si="179"/>
        <v>27385.25</v>
      </c>
      <c r="AB352" s="147">
        <f t="shared" si="180"/>
        <v>749951917.5625</v>
      </c>
      <c r="AD352" s="583">
        <f t="shared" si="181"/>
        <v>29.417422079459836</v>
      </c>
      <c r="AE352" s="584">
        <f t="shared" si="182"/>
        <v>-28.945822948404672</v>
      </c>
      <c r="AG352" s="583">
        <f t="shared" si="183"/>
        <v>13.862668383334192</v>
      </c>
      <c r="AH352" s="584">
        <f t="shared" si="184"/>
        <v>-45.117066563952669</v>
      </c>
      <c r="AJ352" s="147">
        <f t="shared" si="185"/>
        <v>0</v>
      </c>
      <c r="AK352" s="147">
        <f t="shared" si="197"/>
        <v>0</v>
      </c>
      <c r="AM352" s="147" t="str">
        <f t="shared" si="189"/>
        <v>1.32121297187767+0.947006983447067i</v>
      </c>
      <c r="AN352" s="147" t="str">
        <f t="shared" si="190"/>
        <v>1.8978063841996i</v>
      </c>
      <c r="AO352" s="147" t="str">
        <f t="shared" si="191"/>
        <v>0.499000841883282-0.696179011134949i</v>
      </c>
      <c r="AP352" s="147" t="str">
        <f t="shared" si="192"/>
        <v>-0.0535354953129455-0.157834497241178i</v>
      </c>
      <c r="AQ352" s="147" t="str">
        <f t="shared" si="193"/>
        <v>1.05353549531295+0.157834497241178i</v>
      </c>
      <c r="AR352" s="147" t="str">
        <f t="shared" si="194"/>
        <v>0.773314552590251-0.115853442205203i</v>
      </c>
    </row>
    <row r="353" spans="7:44">
      <c r="G353" s="585">
        <v>27542</v>
      </c>
      <c r="H353" s="573">
        <f t="shared" si="186"/>
        <v>27.542000000000002</v>
      </c>
      <c r="I353" s="574">
        <f t="shared" si="166"/>
        <v>239.75724911700155</v>
      </c>
      <c r="J353" s="575">
        <f t="shared" si="167"/>
        <v>1.5666254293430515</v>
      </c>
      <c r="K353" s="575">
        <f t="shared" si="168"/>
        <v>1.0016292769699813</v>
      </c>
      <c r="L353" s="576">
        <f t="shared" si="169"/>
        <v>5.7045033467144395E-2</v>
      </c>
      <c r="M353" s="575">
        <f t="shared" si="170"/>
        <v>1.0755831606393045</v>
      </c>
      <c r="N353" s="576">
        <f t="shared" si="171"/>
        <v>-0.37712225359636631</v>
      </c>
      <c r="O353" s="574">
        <f t="shared" si="172"/>
        <v>519154.46859876317</v>
      </c>
      <c r="P353" s="577">
        <f t="shared" si="173"/>
        <v>1.5707944005859156</v>
      </c>
      <c r="Q353" s="586">
        <f t="shared" si="195"/>
        <v>96.913993489258374</v>
      </c>
      <c r="R353" s="587">
        <f t="shared" si="196"/>
        <v>1.5604777163462256</v>
      </c>
      <c r="S353" s="574">
        <f t="shared" si="174"/>
        <v>1.137766171989381</v>
      </c>
      <c r="T353" s="577">
        <f t="shared" si="175"/>
        <v>0.49721320042522305</v>
      </c>
      <c r="U353" s="578">
        <f t="shared" si="187"/>
        <v>0.66753477813834594</v>
      </c>
      <c r="V353" s="579">
        <f t="shared" si="188"/>
        <v>-1.1022574194275017</v>
      </c>
      <c r="W353" s="580">
        <f t="shared" si="176"/>
        <v>-18.868125650490907</v>
      </c>
      <c r="X353" s="581">
        <f t="shared" si="177"/>
        <v>-200.3341176780649</v>
      </c>
      <c r="Y353" s="584">
        <f t="shared" si="178"/>
        <v>-20.334117678064899</v>
      </c>
      <c r="AA353" s="147">
        <f t="shared" si="179"/>
        <v>27542</v>
      </c>
      <c r="AB353" s="147">
        <f t="shared" si="180"/>
        <v>758561764</v>
      </c>
      <c r="AD353" s="583">
        <f t="shared" si="181"/>
        <v>29.406187621474729</v>
      </c>
      <c r="AE353" s="584">
        <f t="shared" si="182"/>
        <v>-29.079320401288935</v>
      </c>
      <c r="AG353" s="583">
        <f t="shared" si="183"/>
        <v>13.848976172217224</v>
      </c>
      <c r="AH353" s="584">
        <f t="shared" si="184"/>
        <v>-44.94540099209199</v>
      </c>
      <c r="AJ353" s="147">
        <f t="shared" si="185"/>
        <v>0</v>
      </c>
      <c r="AK353" s="147">
        <f t="shared" si="197"/>
        <v>0</v>
      </c>
      <c r="AM353" s="147" t="str">
        <f t="shared" si="189"/>
        <v>1.33148098821239+0.943461898782213i</v>
      </c>
      <c r="AN353" s="147" t="str">
        <f t="shared" si="190"/>
        <v>1.90866920819147i</v>
      </c>
      <c r="AO353" s="147" t="str">
        <f t="shared" si="191"/>
        <v>0.494303515105258-0.697596515152049i</v>
      </c>
      <c r="AP353" s="147" t="str">
        <f t="shared" si="192"/>
        <v>-0.0552468313687315-0.157243649797036i</v>
      </c>
      <c r="AQ353" s="147" t="str">
        <f t="shared" si="193"/>
        <v>1.05524683136873+0.157243649797036i</v>
      </c>
      <c r="AR353" s="147" t="str">
        <f t="shared" si="194"/>
        <v>0.772241645746874-0.115072693224774i</v>
      </c>
    </row>
    <row r="354" spans="7:44">
      <c r="G354" s="585">
        <v>27702.5</v>
      </c>
      <c r="H354" s="573">
        <f t="shared" si="186"/>
        <v>27.702500000000001</v>
      </c>
      <c r="I354" s="574">
        <f t="shared" si="166"/>
        <v>241.1544015022813</v>
      </c>
      <c r="J354" s="575">
        <f t="shared" si="167"/>
        <v>1.5666495939976721</v>
      </c>
      <c r="K354" s="575">
        <f t="shared" si="168"/>
        <v>1.0016483057334737</v>
      </c>
      <c r="L354" s="576">
        <f t="shared" si="169"/>
        <v>5.7376734314902034E-2</v>
      </c>
      <c r="M354" s="575">
        <f t="shared" si="170"/>
        <v>1.0764352641176544</v>
      </c>
      <c r="N354" s="576">
        <f t="shared" si="171"/>
        <v>-0.37911581920513115</v>
      </c>
      <c r="O354" s="574">
        <f t="shared" si="172"/>
        <v>522179.82232070755</v>
      </c>
      <c r="P354" s="577">
        <f t="shared" si="173"/>
        <v>1.5707944117457944</v>
      </c>
      <c r="Q354" s="586">
        <f t="shared" si="195"/>
        <v>97.478696293863194</v>
      </c>
      <c r="R354" s="587">
        <f t="shared" si="196"/>
        <v>1.5605374950825257</v>
      </c>
      <c r="S354" s="574">
        <f t="shared" si="174"/>
        <v>1.1392780072523572</v>
      </c>
      <c r="T354" s="577">
        <f t="shared" si="175"/>
        <v>0.4996529691424722</v>
      </c>
      <c r="U354" s="578">
        <f t="shared" si="187"/>
        <v>0.66525292236525124</v>
      </c>
      <c r="V354" s="579">
        <f t="shared" si="188"/>
        <v>-1.1070002145412186</v>
      </c>
      <c r="W354" s="580">
        <f t="shared" si="176"/>
        <v>-18.952832502313225</v>
      </c>
      <c r="X354" s="581">
        <f t="shared" si="177"/>
        <v>-200.838826212009</v>
      </c>
      <c r="Y354" s="584">
        <f t="shared" si="178"/>
        <v>-20.838826212008996</v>
      </c>
      <c r="AA354" s="147">
        <f t="shared" si="179"/>
        <v>27702.5</v>
      </c>
      <c r="AB354" s="147">
        <f t="shared" si="180"/>
        <v>767428506.25</v>
      </c>
      <c r="AD354" s="583">
        <f t="shared" si="181"/>
        <v>29.394648347222905</v>
      </c>
      <c r="AE354" s="584">
        <f t="shared" si="182"/>
        <v>-29.21568442205049</v>
      </c>
      <c r="AG354" s="583">
        <f t="shared" si="183"/>
        <v>13.835292837406287</v>
      </c>
      <c r="AH354" s="584">
        <f t="shared" si="184"/>
        <v>-44.770261218430996</v>
      </c>
      <c r="AJ354" s="147">
        <f t="shared" si="185"/>
        <v>0</v>
      </c>
      <c r="AK354" s="147">
        <f t="shared" si="197"/>
        <v>0</v>
      </c>
      <c r="AM354" s="147" t="str">
        <f t="shared" si="189"/>
        <v>1.34195411137243+0.939716651824095i</v>
      </c>
      <c r="AN354" s="147" t="str">
        <f t="shared" si="190"/>
        <v>1.91979190835539i</v>
      </c>
      <c r="AO354" s="147" t="str">
        <f t="shared" si="191"/>
        <v>0.489488807476594-0.699010192475511i</v>
      </c>
      <c r="AP354" s="147" t="str">
        <f t="shared" si="192"/>
        <v>-0.0569923518954058-0.156619441970683i</v>
      </c>
      <c r="AQ354" s="147" t="str">
        <f t="shared" si="193"/>
        <v>1.05699235189541+0.156619441970683i</v>
      </c>
      <c r="AR354" s="147" t="str">
        <f t="shared" si="194"/>
        <v>0.771153933801753-0.114265442478319i</v>
      </c>
    </row>
    <row r="355" spans="7:44">
      <c r="G355" s="585">
        <v>27863</v>
      </c>
      <c r="H355" s="573">
        <f t="shared" si="186"/>
        <v>27.863</v>
      </c>
      <c r="I355" s="574">
        <f t="shared" si="166"/>
        <v>242.55155402675624</v>
      </c>
      <c r="J355" s="575">
        <f t="shared" si="167"/>
        <v>1.566673480264412</v>
      </c>
      <c r="K355" s="575">
        <f t="shared" si="168"/>
        <v>1.0016674446995799</v>
      </c>
      <c r="L355" s="576">
        <f t="shared" si="169"/>
        <v>5.7708422523466099E-2</v>
      </c>
      <c r="M355" s="575">
        <f t="shared" si="170"/>
        <v>1.0772916388992428</v>
      </c>
      <c r="N355" s="576">
        <f t="shared" si="171"/>
        <v>-0.3811062232113358</v>
      </c>
      <c r="O355" s="574">
        <f t="shared" si="172"/>
        <v>525205.17604265211</v>
      </c>
      <c r="P355" s="577">
        <f t="shared" si="173"/>
        <v>1.570794422777104</v>
      </c>
      <c r="Q355" s="586">
        <f t="shared" si="195"/>
        <v>98.043399442795192</v>
      </c>
      <c r="R355" s="587">
        <f t="shared" si="196"/>
        <v>1.5605965852007124</v>
      </c>
      <c r="S355" s="574">
        <f t="shared" si="174"/>
        <v>1.1407966060372166</v>
      </c>
      <c r="T355" s="577">
        <f t="shared" si="175"/>
        <v>0.50208625679836305</v>
      </c>
      <c r="U355" s="578">
        <f t="shared" si="187"/>
        <v>0.66297774165938939</v>
      </c>
      <c r="V355" s="579">
        <f t="shared" si="188"/>
        <v>-1.1117285592383805</v>
      </c>
      <c r="W355" s="580">
        <f t="shared" si="176"/>
        <v>-19.037268706460232</v>
      </c>
      <c r="X355" s="581">
        <f t="shared" si="177"/>
        <v>-201.34217853539192</v>
      </c>
      <c r="Y355" s="584">
        <f t="shared" si="178"/>
        <v>-21.342178535391923</v>
      </c>
      <c r="AA355" s="147">
        <f t="shared" si="179"/>
        <v>27863</v>
      </c>
      <c r="AB355" s="147">
        <f t="shared" si="180"/>
        <v>776346769</v>
      </c>
      <c r="AD355" s="583">
        <f t="shared" si="181"/>
        <v>29.383072963735589</v>
      </c>
      <c r="AE355" s="584">
        <f t="shared" si="182"/>
        <v>-29.351716552894221</v>
      </c>
      <c r="AG355" s="583">
        <f t="shared" si="183"/>
        <v>13.821945739419517</v>
      </c>
      <c r="AH355" s="584">
        <f t="shared" si="184"/>
        <v>-44.595753019890147</v>
      </c>
      <c r="AJ355" s="147">
        <f t="shared" si="185"/>
        <v>0</v>
      </c>
      <c r="AK355" s="147">
        <f t="shared" si="197"/>
        <v>0</v>
      </c>
      <c r="AM355" s="147" t="str">
        <f t="shared" si="189"/>
        <v>1.35238493030075+0.935855149527391i</v>
      </c>
      <c r="AN355" s="147" t="str">
        <f t="shared" si="190"/>
        <v>1.93091460851931i</v>
      </c>
      <c r="AO355" s="147" t="str">
        <f t="shared" si="191"/>
        <v>0.484669361036652-0.700385674402145i</v>
      </c>
      <c r="AP355" s="147" t="str">
        <f t="shared" si="192"/>
        <v>-0.058730821716792-0.155975858254565i</v>
      </c>
      <c r="AQ355" s="147" t="str">
        <f t="shared" si="193"/>
        <v>1.05873082171679+0.155975858254565i</v>
      </c>
      <c r="AR355" s="147" t="str">
        <f t="shared" si="194"/>
        <v>0.770077206700803-0.113450417021642i</v>
      </c>
    </row>
    <row r="356" spans="7:44">
      <c r="G356" s="585">
        <v>28023.5</v>
      </c>
      <c r="H356" s="573">
        <f t="shared" si="186"/>
        <v>28.023499999999999</v>
      </c>
      <c r="I356" s="574">
        <f t="shared" si="166"/>
        <v>243.94870668803463</v>
      </c>
      <c r="J356" s="575">
        <f t="shared" si="167"/>
        <v>1.5666970929264259</v>
      </c>
      <c r="K356" s="575">
        <f t="shared" si="168"/>
        <v>1.0016866938619831</v>
      </c>
      <c r="L356" s="576">
        <f t="shared" si="169"/>
        <v>5.8040098020580438E-2</v>
      </c>
      <c r="M356" s="575">
        <f t="shared" si="170"/>
        <v>1.0781522748060006</v>
      </c>
      <c r="N356" s="576">
        <f t="shared" si="171"/>
        <v>-0.3830934573967878</v>
      </c>
      <c r="O356" s="574">
        <f t="shared" si="172"/>
        <v>528230.52976459661</v>
      </c>
      <c r="P356" s="577">
        <f t="shared" si="173"/>
        <v>1.5707944336820536</v>
      </c>
      <c r="Q356" s="586">
        <f t="shared" si="195"/>
        <v>98.60810293013877</v>
      </c>
      <c r="R356" s="587">
        <f t="shared" si="196"/>
        <v>1.5606549985309912</v>
      </c>
      <c r="S356" s="574">
        <f t="shared" si="174"/>
        <v>1.1423219413697521</v>
      </c>
      <c r="T356" s="577">
        <f t="shared" si="175"/>
        <v>0.50451306048366296</v>
      </c>
      <c r="U356" s="578">
        <f t="shared" si="187"/>
        <v>0.66070926899893023</v>
      </c>
      <c r="V356" s="579">
        <f t="shared" si="188"/>
        <v>-1.1164426001470003</v>
      </c>
      <c r="W356" s="580">
        <f t="shared" si="176"/>
        <v>-19.121436767356055</v>
      </c>
      <c r="X356" s="581">
        <f t="shared" si="177"/>
        <v>-201.84418201232566</v>
      </c>
      <c r="Y356" s="584">
        <f t="shared" si="178"/>
        <v>-21.84418201232566</v>
      </c>
      <c r="AA356" s="147">
        <f t="shared" si="179"/>
        <v>28023.5</v>
      </c>
      <c r="AB356" s="147">
        <f t="shared" si="180"/>
        <v>785316552.25</v>
      </c>
      <c r="AD356" s="583">
        <f t="shared" si="181"/>
        <v>29.371461838881178</v>
      </c>
      <c r="AE356" s="584">
        <f t="shared" si="182"/>
        <v>-29.487415949439082</v>
      </c>
      <c r="AG356" s="583">
        <f t="shared" si="183"/>
        <v>13.8089307413338</v>
      </c>
      <c r="AH356" s="584">
        <f t="shared" si="184"/>
        <v>-44.421867802629961</v>
      </c>
      <c r="AJ356" s="147">
        <f t="shared" si="185"/>
        <v>0</v>
      </c>
      <c r="AK356" s="147">
        <f t="shared" si="197"/>
        <v>0</v>
      </c>
      <c r="AM356" s="147" t="str">
        <f t="shared" si="189"/>
        <v>1.36277215456752+0.93187786961084i</v>
      </c>
      <c r="AN356" s="147" t="str">
        <f t="shared" si="190"/>
        <v>1.94203730868323i</v>
      </c>
      <c r="AO356" s="147" t="str">
        <f t="shared" si="191"/>
        <v>0.47984550319617-0.701722952733348i</v>
      </c>
      <c r="AP356" s="147" t="str">
        <f t="shared" si="192"/>
        <v>-0.0604620257612537-0.155312978268473i</v>
      </c>
      <c r="AQ356" s="147" t="str">
        <f t="shared" si="193"/>
        <v>1.06046202576125+0.155312978268473i</v>
      </c>
      <c r="AR356" s="147" t="str">
        <f t="shared" si="194"/>
        <v>0.769011457043832-0.112627757349743i</v>
      </c>
    </row>
    <row r="357" spans="7:44">
      <c r="G357" s="585">
        <v>28184</v>
      </c>
      <c r="H357" s="573">
        <f t="shared" si="186"/>
        <v>28.184000000000001</v>
      </c>
      <c r="I357" s="574">
        <f t="shared" si="166"/>
        <v>245.34585948377946</v>
      </c>
      <c r="J357" s="575">
        <f t="shared" si="167"/>
        <v>1.5667204366579168</v>
      </c>
      <c r="K357" s="575">
        <f t="shared" si="168"/>
        <v>1.0017060532143303</v>
      </c>
      <c r="L357" s="576">
        <f t="shared" si="169"/>
        <v>5.837176073400565E-2</v>
      </c>
      <c r="M357" s="575">
        <f t="shared" si="170"/>
        <v>1.0790171616417668</v>
      </c>
      <c r="N357" s="576">
        <f t="shared" si="171"/>
        <v>-0.38507751366959236</v>
      </c>
      <c r="O357" s="574">
        <f t="shared" si="172"/>
        <v>531255.88348654122</v>
      </c>
      <c r="P357" s="577">
        <f t="shared" si="173"/>
        <v>1.5707944444628019</v>
      </c>
      <c r="Q357" s="586">
        <f t="shared" si="195"/>
        <v>99.172806750112997</v>
      </c>
      <c r="R357" s="587">
        <f t="shared" si="196"/>
        <v>1.5607127466341348</v>
      </c>
      <c r="S357" s="574">
        <f t="shared" si="174"/>
        <v>1.1438539863002986</v>
      </c>
      <c r="T357" s="577">
        <f t="shared" si="175"/>
        <v>0.5069333776101137</v>
      </c>
      <c r="U357" s="578">
        <f t="shared" si="187"/>
        <v>0.65844753530506728</v>
      </c>
      <c r="V357" s="579">
        <f t="shared" si="188"/>
        <v>-1.1211424837880242</v>
      </c>
      <c r="W357" s="580">
        <f t="shared" si="176"/>
        <v>-19.205339152027246</v>
      </c>
      <c r="X357" s="581">
        <f t="shared" si="177"/>
        <v>-202.3448440356058</v>
      </c>
      <c r="Y357" s="584">
        <f t="shared" si="178"/>
        <v>-22.344844035605803</v>
      </c>
      <c r="AA357" s="147">
        <f t="shared" si="179"/>
        <v>28184</v>
      </c>
      <c r="AB357" s="147">
        <f t="shared" si="180"/>
        <v>794337856</v>
      </c>
      <c r="AD357" s="583">
        <f t="shared" si="181"/>
        <v>29.359815339283632</v>
      </c>
      <c r="AE357" s="584">
        <f t="shared" si="182"/>
        <v>-29.62278180112898</v>
      </c>
      <c r="AG357" s="583">
        <f t="shared" si="183"/>
        <v>13.796243782232416</v>
      </c>
      <c r="AH357" s="584">
        <f t="shared" si="184"/>
        <v>-44.248596979938277</v>
      </c>
      <c r="AJ357" s="147">
        <f t="shared" si="185"/>
        <v>0</v>
      </c>
      <c r="AK357" s="147">
        <f t="shared" si="197"/>
        <v>0</v>
      </c>
      <c r="AM357" s="147" t="str">
        <f t="shared" si="189"/>
        <v>1.37311449913617+0.927785304116404i</v>
      </c>
      <c r="AN357" s="147" t="str">
        <f t="shared" si="190"/>
        <v>1.95316000884715i</v>
      </c>
      <c r="AO357" s="147" t="str">
        <f t="shared" si="191"/>
        <v>0.475017561241195-0.703022022218573i</v>
      </c>
      <c r="AP357" s="147" t="str">
        <f t="shared" si="192"/>
        <v>-0.0621857498560275-0.154630884019401i</v>
      </c>
      <c r="AQ357" s="147" t="str">
        <f t="shared" si="193"/>
        <v>1.06218574985603+0.154630884019401i</v>
      </c>
      <c r="AR357" s="147" t="str">
        <f t="shared" si="194"/>
        <v>0.767956676202383-0.111797602016287i</v>
      </c>
    </row>
    <row r="358" spans="7:44">
      <c r="G358" s="585">
        <v>28348</v>
      </c>
      <c r="H358" s="573">
        <f t="shared" si="186"/>
        <v>28.347999999999999</v>
      </c>
      <c r="I358" s="574">
        <f t="shared" si="166"/>
        <v>246.77347992249403</v>
      </c>
      <c r="J358" s="575">
        <f t="shared" si="167"/>
        <v>1.5667440164040505</v>
      </c>
      <c r="K358" s="575">
        <f t="shared" si="168"/>
        <v>1.0017259485470802</v>
      </c>
      <c r="L358" s="576">
        <f t="shared" si="169"/>
        <v>5.8710642687630162E-2</v>
      </c>
      <c r="M358" s="575">
        <f t="shared" si="170"/>
        <v>1.0799052892998671</v>
      </c>
      <c r="N358" s="576">
        <f t="shared" si="171"/>
        <v>-0.38710154506084621</v>
      </c>
      <c r="O358" s="574">
        <f t="shared" si="172"/>
        <v>534347.21065413579</v>
      </c>
      <c r="P358" s="577">
        <f t="shared" si="173"/>
        <v>1.5707944553525459</v>
      </c>
      <c r="Q358" s="586">
        <f t="shared" si="195"/>
        <v>99.749825321319321</v>
      </c>
      <c r="R358" s="587">
        <f t="shared" si="196"/>
        <v>1.5607710786512683</v>
      </c>
      <c r="S358" s="574">
        <f t="shared" si="174"/>
        <v>1.1454263429637164</v>
      </c>
      <c r="T358" s="577">
        <f t="shared" si="175"/>
        <v>0.50939977159892369</v>
      </c>
      <c r="U358" s="578">
        <f t="shared" si="187"/>
        <v>0.65614347138508244</v>
      </c>
      <c r="V358" s="579">
        <f t="shared" si="188"/>
        <v>-1.1259303857012912</v>
      </c>
      <c r="W358" s="580">
        <f t="shared" si="176"/>
        <v>-19.290799282859652</v>
      </c>
      <c r="X358" s="581">
        <f t="shared" si="177"/>
        <v>-202.85504599082142</v>
      </c>
      <c r="Y358" s="584">
        <f t="shared" si="178"/>
        <v>-22.855045990821424</v>
      </c>
      <c r="AA358" s="147">
        <f t="shared" si="179"/>
        <v>28348</v>
      </c>
      <c r="AB358" s="147">
        <f t="shared" si="180"/>
        <v>803609104</v>
      </c>
      <c r="AD358" s="583">
        <f t="shared" si="181"/>
        <v>29.347878706034138</v>
      </c>
      <c r="AE358" s="584">
        <f t="shared" si="182"/>
        <v>-29.76075421300602</v>
      </c>
      <c r="AG358" s="583">
        <f t="shared" si="183"/>
        <v>13.783614860433893</v>
      </c>
      <c r="AH358" s="584">
        <f t="shared" si="184"/>
        <v>-44.072173377944317</v>
      </c>
      <c r="AJ358" s="147">
        <f t="shared" si="185"/>
        <v>0</v>
      </c>
      <c r="AK358" s="147">
        <f t="shared" si="197"/>
        <v>0</v>
      </c>
      <c r="AM358" s="147" t="str">
        <f t="shared" si="189"/>
        <v>1.38363468808625+0.923484935500827i</v>
      </c>
      <c r="AN358" s="147" t="str">
        <f t="shared" si="190"/>
        <v>1.96452526010499i</v>
      </c>
      <c r="AO358" s="147" t="str">
        <f t="shared" si="191"/>
        <v>0.470080458752398-0.704309950187306i</v>
      </c>
      <c r="AP358" s="147" t="str">
        <f t="shared" si="192"/>
        <v>-0.0639391146810415-0.153914155916804i</v>
      </c>
      <c r="AQ358" s="147" t="str">
        <f t="shared" si="193"/>
        <v>1.06393911468104+0.153914155916804i</v>
      </c>
      <c r="AR358" s="147" t="str">
        <f t="shared" si="194"/>
        <v>0.766890213916442-0.11094174311957i</v>
      </c>
    </row>
    <row r="359" spans="7:44">
      <c r="G359" s="585">
        <v>28512</v>
      </c>
      <c r="H359" s="573">
        <f t="shared" si="186"/>
        <v>28.512</v>
      </c>
      <c r="I359" s="574">
        <f t="shared" si="166"/>
        <v>248.20110049683737</v>
      </c>
      <c r="J359" s="575">
        <f t="shared" si="167"/>
        <v>1.5667673248949074</v>
      </c>
      <c r="K359" s="575">
        <f t="shared" si="168"/>
        <v>1.0017459589144411</v>
      </c>
      <c r="L359" s="576">
        <f t="shared" si="169"/>
        <v>5.9049511141502566E-2</v>
      </c>
      <c r="M359" s="575">
        <f t="shared" si="170"/>
        <v>1.0807978337279409</v>
      </c>
      <c r="N359" s="576">
        <f t="shared" si="171"/>
        <v>-0.38912224174786864</v>
      </c>
      <c r="O359" s="574">
        <f t="shared" si="172"/>
        <v>537438.53782173048</v>
      </c>
      <c r="P359" s="577">
        <f t="shared" si="173"/>
        <v>1.570794466117015</v>
      </c>
      <c r="Q359" s="586">
        <f t="shared" si="195"/>
        <v>100.32684422803263</v>
      </c>
      <c r="R359" s="587">
        <f t="shared" si="196"/>
        <v>1.560828739688122</v>
      </c>
      <c r="S359" s="574">
        <f t="shared" si="174"/>
        <v>1.1470056482413789</v>
      </c>
      <c r="T359" s="577">
        <f t="shared" si="175"/>
        <v>0.51185938858905444</v>
      </c>
      <c r="U359" s="578">
        <f t="shared" si="187"/>
        <v>0.65384650244194031</v>
      </c>
      <c r="V359" s="579">
        <f t="shared" si="188"/>
        <v>-1.1307038150515842</v>
      </c>
      <c r="W359" s="580">
        <f t="shared" si="176"/>
        <v>-19.37598711708166</v>
      </c>
      <c r="X359" s="581">
        <f t="shared" si="177"/>
        <v>-203.3638630402146</v>
      </c>
      <c r="Y359" s="584">
        <f t="shared" si="178"/>
        <v>-23.363863040214596</v>
      </c>
      <c r="AA359" s="147">
        <f t="shared" si="179"/>
        <v>28512</v>
      </c>
      <c r="AB359" s="147">
        <f t="shared" si="180"/>
        <v>812934144</v>
      </c>
      <c r="AD359" s="583">
        <f t="shared" si="181"/>
        <v>29.335905908252322</v>
      </c>
      <c r="AE359" s="584">
        <f t="shared" si="182"/>
        <v>-29.898376768621024</v>
      </c>
      <c r="AG359" s="583">
        <f t="shared" si="183"/>
        <v>13.771320104568412</v>
      </c>
      <c r="AH359" s="584">
        <f t="shared" si="184"/>
        <v>-43.89637315994613</v>
      </c>
      <c r="AJ359" s="147">
        <f t="shared" si="185"/>
        <v>0</v>
      </c>
      <c r="AK359" s="147">
        <f t="shared" si="197"/>
        <v>0</v>
      </c>
      <c r="AM359" s="147" t="str">
        <f t="shared" si="189"/>
        <v>1.3941053238852+0.91906528260257i</v>
      </c>
      <c r="AN359" s="147" t="str">
        <f t="shared" si="190"/>
        <v>1.97589051136283i</v>
      </c>
      <c r="AO359" s="147" t="str">
        <f t="shared" si="191"/>
        <v>0.465139782451136-0.705557983029963i</v>
      </c>
      <c r="AP359" s="147" t="str">
        <f t="shared" si="192"/>
        <v>-0.065684220647533-0.153177547100428i</v>
      </c>
      <c r="AQ359" s="147" t="str">
        <f t="shared" si="193"/>
        <v>1.06568422064753+0.153177547100428i</v>
      </c>
      <c r="AR359" s="147" t="str">
        <f t="shared" si="194"/>
        <v>0.765835182130384-0.110078344418633i</v>
      </c>
    </row>
    <row r="360" spans="7:44">
      <c r="G360" s="585">
        <v>28676</v>
      </c>
      <c r="H360" s="573">
        <f t="shared" si="186"/>
        <v>28.675999999999998</v>
      </c>
      <c r="I360" s="574">
        <f t="shared" si="166"/>
        <v>249.62872120448245</v>
      </c>
      <c r="J360" s="575">
        <f t="shared" si="167"/>
        <v>1.5667903667843692</v>
      </c>
      <c r="K360" s="575">
        <f t="shared" si="168"/>
        <v>1.0017660843095193</v>
      </c>
      <c r="L360" s="576">
        <f t="shared" si="169"/>
        <v>5.9388366018608391E-2</v>
      </c>
      <c r="M360" s="575">
        <f t="shared" si="170"/>
        <v>1.0816947839926909</v>
      </c>
      <c r="N360" s="576">
        <f t="shared" si="171"/>
        <v>-0.39113959550400124</v>
      </c>
      <c r="O360" s="574">
        <f t="shared" si="172"/>
        <v>540529.86498932505</v>
      </c>
      <c r="P360" s="577">
        <f t="shared" si="173"/>
        <v>1.5707944767583588</v>
      </c>
      <c r="Q360" s="586">
        <f t="shared" si="195"/>
        <v>100.90386346449715</v>
      </c>
      <c r="R360" s="587">
        <f t="shared" si="196"/>
        <v>1.5608857412553212</v>
      </c>
      <c r="S360" s="574">
        <f t="shared" si="174"/>
        <v>1.1485918734704075</v>
      </c>
      <c r="T360" s="577">
        <f t="shared" si="175"/>
        <v>0.51431222683694178</v>
      </c>
      <c r="U360" s="578">
        <f t="shared" si="187"/>
        <v>0.65155665509611893</v>
      </c>
      <c r="V360" s="579">
        <f t="shared" si="188"/>
        <v>-1.135462927707491</v>
      </c>
      <c r="W360" s="580">
        <f t="shared" si="176"/>
        <v>-19.460905172779281</v>
      </c>
      <c r="X360" s="581">
        <f t="shared" si="177"/>
        <v>-203.8713031548192</v>
      </c>
      <c r="Y360" s="584">
        <f t="shared" si="178"/>
        <v>-23.871303154819202</v>
      </c>
      <c r="AA360" s="147">
        <f t="shared" si="179"/>
        <v>28676</v>
      </c>
      <c r="AB360" s="147">
        <f t="shared" si="180"/>
        <v>822312976</v>
      </c>
      <c r="AD360" s="583">
        <f t="shared" si="181"/>
        <v>29.323897332906725</v>
      </c>
      <c r="AE360" s="584">
        <f t="shared" si="182"/>
        <v>-30.035648708688033</v>
      </c>
      <c r="AG360" s="583">
        <f t="shared" si="183"/>
        <v>13.759355418531262</v>
      </c>
      <c r="AH360" s="584">
        <f t="shared" si="184"/>
        <v>-43.721187195039043</v>
      </c>
      <c r="AJ360" s="147">
        <f t="shared" si="185"/>
        <v>0</v>
      </c>
      <c r="AK360" s="147">
        <f t="shared" si="197"/>
        <v>0</v>
      </c>
      <c r="AM360" s="147" t="str">
        <f t="shared" si="189"/>
        <v>1.40452505406668+0.914526916297353i</v>
      </c>
      <c r="AN360" s="147" t="str">
        <f t="shared" si="190"/>
        <v>1.98725576262067i</v>
      </c>
      <c r="AO360" s="147" t="str">
        <f t="shared" si="191"/>
        <v>0.460195880922409-0.706766124665543i</v>
      </c>
      <c r="AP360" s="147" t="str">
        <f t="shared" si="192"/>
        <v>-0.0674208423444475-0.152421152716225i</v>
      </c>
      <c r="AQ360" s="147" t="str">
        <f t="shared" si="193"/>
        <v>1.06742084234445+0.152421152716225i</v>
      </c>
      <c r="AR360" s="147" t="str">
        <f t="shared" si="194"/>
        <v>0.764791567987717-0.109207547535146i</v>
      </c>
    </row>
    <row r="361" spans="7:44">
      <c r="G361" s="585">
        <v>28840</v>
      </c>
      <c r="H361" s="573">
        <f t="shared" si="186"/>
        <v>28.84</v>
      </c>
      <c r="I361" s="574">
        <f t="shared" si="166"/>
        <v>251.05634204315527</v>
      </c>
      <c r="J361" s="575">
        <f t="shared" si="167"/>
        <v>1.5668131466204624</v>
      </c>
      <c r="K361" s="575">
        <f t="shared" si="168"/>
        <v>1.0017863247253824</v>
      </c>
      <c r="L361" s="576">
        <f t="shared" si="169"/>
        <v>5.9727207241951852E-2</v>
      </c>
      <c r="M361" s="575">
        <f t="shared" si="170"/>
        <v>1.082596129143174</v>
      </c>
      <c r="N361" s="576">
        <f t="shared" si="171"/>
        <v>-0.39315359823861989</v>
      </c>
      <c r="O361" s="574">
        <f t="shared" si="172"/>
        <v>543621.19215691974</v>
      </c>
      <c r="P361" s="577">
        <f t="shared" si="173"/>
        <v>1.5707944872786777</v>
      </c>
      <c r="Q361" s="586">
        <f t="shared" si="195"/>
        <v>101.48088302508799</v>
      </c>
      <c r="R361" s="587">
        <f t="shared" si="196"/>
        <v>1.5609420946017112</v>
      </c>
      <c r="S361" s="574">
        <f t="shared" si="174"/>
        <v>1.1501849900207957</v>
      </c>
      <c r="T361" s="577">
        <f t="shared" si="175"/>
        <v>0.51675828493488607</v>
      </c>
      <c r="U361" s="578">
        <f t="shared" si="187"/>
        <v>0.64927395391724829</v>
      </c>
      <c r="V361" s="579">
        <f t="shared" si="188"/>
        <v>-1.1402078793544617</v>
      </c>
      <c r="W361" s="580">
        <f t="shared" si="176"/>
        <v>-19.545555931948833</v>
      </c>
      <c r="X361" s="581">
        <f t="shared" si="177"/>
        <v>-204.37737433114378</v>
      </c>
      <c r="Y361" s="584">
        <f t="shared" si="178"/>
        <v>-24.377374331143784</v>
      </c>
      <c r="AA361" s="147">
        <f t="shared" si="179"/>
        <v>28840</v>
      </c>
      <c r="AB361" s="147">
        <f t="shared" si="180"/>
        <v>831745600</v>
      </c>
      <c r="AD361" s="583">
        <f t="shared" si="181"/>
        <v>29.311853365516306</v>
      </c>
      <c r="AE361" s="584">
        <f t="shared" si="182"/>
        <v>-30.172569308160771</v>
      </c>
      <c r="AG361" s="583">
        <f t="shared" si="183"/>
        <v>13.747716782730668</v>
      </c>
      <c r="AH361" s="584">
        <f t="shared" si="184"/>
        <v>-43.546606364539457</v>
      </c>
      <c r="AJ361" s="147">
        <f t="shared" si="185"/>
        <v>0</v>
      </c>
      <c r="AK361" s="147">
        <f t="shared" si="197"/>
        <v>0</v>
      </c>
      <c r="AM361" s="147" t="str">
        <f t="shared" si="189"/>
        <v>1.41489253273973+0.909870422794812i</v>
      </c>
      <c r="AN361" s="147" t="str">
        <f t="shared" si="190"/>
        <v>1.99862101387851i</v>
      </c>
      <c r="AO361" s="147" t="str">
        <f t="shared" si="191"/>
        <v>0.455249102494486-0.707934382213864i</v>
      </c>
      <c r="AP361" s="147" t="str">
        <f t="shared" si="192"/>
        <v>-0.0691487554566222-0.151645070465802i</v>
      </c>
      <c r="AQ361" s="147" t="str">
        <f t="shared" si="193"/>
        <v>1.06914875545662+0.151645070465802i</v>
      </c>
      <c r="AR361" s="147" t="str">
        <f t="shared" si="194"/>
        <v>0.763759357506934-0.108329492034613i</v>
      </c>
    </row>
    <row r="362" spans="7:44">
      <c r="G362" s="585">
        <v>29008</v>
      </c>
      <c r="H362" s="573">
        <f t="shared" si="186"/>
        <v>29.007999999999999</v>
      </c>
      <c r="I362" s="574">
        <f t="shared" si="166"/>
        <v>252.51878303582095</v>
      </c>
      <c r="J362" s="575">
        <f t="shared" si="167"/>
        <v>1.5668362149896273</v>
      </c>
      <c r="K362" s="575">
        <f t="shared" si="168"/>
        <v>1.0018071780657118</v>
      </c>
      <c r="L362" s="576">
        <f t="shared" si="169"/>
        <v>6.0074298647560392E-2</v>
      </c>
      <c r="M362" s="575">
        <f t="shared" si="170"/>
        <v>1.0835240038380043</v>
      </c>
      <c r="N362" s="576">
        <f t="shared" si="171"/>
        <v>-0.39521324005992781</v>
      </c>
      <c r="O362" s="574">
        <f t="shared" si="172"/>
        <v>546787.91754811443</v>
      </c>
      <c r="P362" s="577">
        <f t="shared" si="173"/>
        <v>1.5707944979322463</v>
      </c>
      <c r="Q362" s="586">
        <f t="shared" si="195"/>
        <v>102.07197656383313</v>
      </c>
      <c r="R362" s="587">
        <f t="shared" si="196"/>
        <v>1.5609991617820216</v>
      </c>
      <c r="S362" s="574">
        <f t="shared" si="174"/>
        <v>1.1518240786738885</v>
      </c>
      <c r="T362" s="577">
        <f t="shared" si="175"/>
        <v>0.51925697164350515</v>
      </c>
      <c r="U362" s="578">
        <f t="shared" si="187"/>
        <v>0.64694301041274349</v>
      </c>
      <c r="V362" s="579">
        <f t="shared" si="188"/>
        <v>-1.1450540407542162</v>
      </c>
      <c r="W362" s="580">
        <f t="shared" si="176"/>
        <v>-19.63199674626582</v>
      </c>
      <c r="X362" s="581">
        <f t="shared" si="177"/>
        <v>-204.89437766254937</v>
      </c>
      <c r="Y362" s="584">
        <f t="shared" si="178"/>
        <v>-24.894377662549374</v>
      </c>
      <c r="AA362" s="147">
        <f t="shared" si="179"/>
        <v>29008</v>
      </c>
      <c r="AB362" s="147">
        <f t="shared" si="180"/>
        <v>841464064</v>
      </c>
      <c r="AD362" s="583">
        <f t="shared" si="181"/>
        <v>29.299479346861013</v>
      </c>
      <c r="AE362" s="584">
        <f t="shared" si="182"/>
        <v>-30.31246441287395</v>
      </c>
      <c r="AG362" s="583">
        <f t="shared" si="183"/>
        <v>13.736128230800734</v>
      </c>
      <c r="AH362" s="584">
        <f t="shared" si="184"/>
        <v>-43.368385400507009</v>
      </c>
      <c r="AJ362" s="147">
        <f t="shared" si="185"/>
        <v>0</v>
      </c>
      <c r="AK362" s="147">
        <f t="shared" si="197"/>
        <v>0</v>
      </c>
      <c r="AM362" s="147" t="str">
        <f t="shared" si="189"/>
        <v>1.42545729827742+0.904978501038825i</v>
      </c>
      <c r="AN362" s="147" t="str">
        <f t="shared" si="190"/>
        <v>2.01026346638654i</v>
      </c>
      <c r="AO362" s="147" t="str">
        <f t="shared" si="191"/>
        <v>0.4501790517367-0.709089789528776i</v>
      </c>
      <c r="AP362" s="147" t="str">
        <f t="shared" si="192"/>
        <v>-0.0709095497129033-0.150829750173138i</v>
      </c>
      <c r="AQ362" s="147" t="str">
        <f t="shared" si="193"/>
        <v>1.0709095497129+0.150829750173138i</v>
      </c>
      <c r="AR362" s="147" t="str">
        <f t="shared" si="194"/>
        <v>0.762713779677418-0.107422637955928i</v>
      </c>
    </row>
    <row r="363" spans="7:44">
      <c r="G363" s="585">
        <v>29176</v>
      </c>
      <c r="H363" s="573">
        <f t="shared" si="186"/>
        <v>29.175999999999998</v>
      </c>
      <c r="I363" s="574">
        <f t="shared" si="166"/>
        <v>253.98122416131687</v>
      </c>
      <c r="J363" s="575">
        <f t="shared" si="167"/>
        <v>1.5668590177003341</v>
      </c>
      <c r="K363" s="575">
        <f t="shared" si="168"/>
        <v>1.0018281520911674</v>
      </c>
      <c r="L363" s="576">
        <f t="shared" si="169"/>
        <v>6.0421375561741708E-2</v>
      </c>
      <c r="M363" s="575">
        <f t="shared" si="170"/>
        <v>1.08445646709957</v>
      </c>
      <c r="N363" s="576">
        <f t="shared" si="171"/>
        <v>-0.39726934865018665</v>
      </c>
      <c r="O363" s="574">
        <f t="shared" si="172"/>
        <v>549954.64293930912</v>
      </c>
      <c r="P363" s="577">
        <f t="shared" si="173"/>
        <v>1.5707945084631254</v>
      </c>
      <c r="Q363" s="586">
        <f t="shared" si="195"/>
        <v>102.66307043116448</v>
      </c>
      <c r="R363" s="587">
        <f t="shared" si="196"/>
        <v>1.5610555718214374</v>
      </c>
      <c r="S363" s="574">
        <f t="shared" si="174"/>
        <v>1.1534703382020315</v>
      </c>
      <c r="T363" s="577">
        <f t="shared" si="175"/>
        <v>0.52174854150431882</v>
      </c>
      <c r="U363" s="578">
        <f t="shared" si="187"/>
        <v>0.64461961171733606</v>
      </c>
      <c r="V363" s="579">
        <f t="shared" si="188"/>
        <v>-1.1498856720163877</v>
      </c>
      <c r="W363" s="580">
        <f t="shared" si="176"/>
        <v>-19.718162227387623</v>
      </c>
      <c r="X363" s="581">
        <f t="shared" si="177"/>
        <v>-205.40996152738364</v>
      </c>
      <c r="Y363" s="584">
        <f t="shared" si="178"/>
        <v>-25.409961527383643</v>
      </c>
      <c r="AA363" s="147">
        <f t="shared" si="179"/>
        <v>29176</v>
      </c>
      <c r="AB363" s="147">
        <f t="shared" si="180"/>
        <v>851238976</v>
      </c>
      <c r="AD363" s="583">
        <f t="shared" si="181"/>
        <v>29.287069002883538</v>
      </c>
      <c r="AE363" s="584">
        <f t="shared" si="182"/>
        <v>-30.451989396614248</v>
      </c>
      <c r="AG363" s="583">
        <f t="shared" si="183"/>
        <v>13.724873528638133</v>
      </c>
      <c r="AH363" s="584">
        <f t="shared" si="184"/>
        <v>-43.190780121996539</v>
      </c>
      <c r="AJ363" s="147">
        <f t="shared" si="185"/>
        <v>0</v>
      </c>
      <c r="AK363" s="147">
        <f t="shared" si="197"/>
        <v>0</v>
      </c>
      <c r="AM363" s="147" t="str">
        <f t="shared" si="189"/>
        <v>1.43596439513357+0.899963913818672i</v>
      </c>
      <c r="AN363" s="147" t="str">
        <f t="shared" si="190"/>
        <v>2.02190591889457i</v>
      </c>
      <c r="AO363" s="147" t="str">
        <f t="shared" si="191"/>
        <v>0.445106721044027-0.710203368868246i</v>
      </c>
      <c r="AP363" s="147" t="str">
        <f t="shared" si="192"/>
        <v>-0.0726607325222612-0.149993985636445i</v>
      </c>
      <c r="AQ363" s="147" t="str">
        <f t="shared" si="193"/>
        <v>1.07266073252226+0.149993985636445i</v>
      </c>
      <c r="AR363" s="147" t="str">
        <f t="shared" si="194"/>
        <v>0.761680135468637-0.106508456807593i</v>
      </c>
    </row>
    <row r="364" spans="7:44">
      <c r="G364" s="585">
        <v>29344</v>
      </c>
      <c r="H364" s="573">
        <f t="shared" si="186"/>
        <v>29.344000000000001</v>
      </c>
      <c r="I364" s="574">
        <f t="shared" si="166"/>
        <v>255.4436654173617</v>
      </c>
      <c r="J364" s="575">
        <f t="shared" si="167"/>
        <v>1.5668815593153242</v>
      </c>
      <c r="K364" s="575">
        <f t="shared" si="168"/>
        <v>1.0018492467941691</v>
      </c>
      <c r="L364" s="576">
        <f t="shared" si="169"/>
        <v>6.0768437901789152E-2</v>
      </c>
      <c r="M364" s="575">
        <f t="shared" si="170"/>
        <v>1.0853935071017367</v>
      </c>
      <c r="N364" s="576">
        <f t="shared" si="171"/>
        <v>-0.39932191575332793</v>
      </c>
      <c r="O364" s="574">
        <f t="shared" si="172"/>
        <v>553121.36833050405</v>
      </c>
      <c r="P364" s="577">
        <f t="shared" si="173"/>
        <v>1.5707945188734218</v>
      </c>
      <c r="Q364" s="586">
        <f t="shared" si="195"/>
        <v>103.25416462143895</v>
      </c>
      <c r="R364" s="587">
        <f t="shared" si="196"/>
        <v>1.5611113360053059</v>
      </c>
      <c r="S364" s="574">
        <f t="shared" si="174"/>
        <v>1.1551237379458572</v>
      </c>
      <c r="T364" s="577">
        <f t="shared" si="175"/>
        <v>0.52423299407694723</v>
      </c>
      <c r="U364" s="578">
        <f t="shared" si="187"/>
        <v>0.64230377785155723</v>
      </c>
      <c r="V364" s="579">
        <f t="shared" si="188"/>
        <v>-1.154702939804465</v>
      </c>
      <c r="W364" s="580">
        <f t="shared" si="176"/>
        <v>-19.804054932613198</v>
      </c>
      <c r="X364" s="581">
        <f t="shared" si="177"/>
        <v>-205.92413459617381</v>
      </c>
      <c r="Y364" s="584">
        <f t="shared" si="178"/>
        <v>-25.924134596173815</v>
      </c>
      <c r="AA364" s="147">
        <f t="shared" si="179"/>
        <v>29344</v>
      </c>
      <c r="AB364" s="147">
        <f t="shared" si="180"/>
        <v>861070336</v>
      </c>
      <c r="AD364" s="583">
        <f t="shared" si="181"/>
        <v>29.274622743130902</v>
      </c>
      <c r="AE364" s="584">
        <f t="shared" si="182"/>
        <v>-30.59114358766767</v>
      </c>
      <c r="AG364" s="583">
        <f t="shared" si="183"/>
        <v>13.713948595335491</v>
      </c>
      <c r="AH364" s="584">
        <f t="shared" si="184"/>
        <v>-43.013780773020216</v>
      </c>
      <c r="AJ364" s="147">
        <f t="shared" si="185"/>
        <v>0</v>
      </c>
      <c r="AK364" s="147">
        <f t="shared" si="197"/>
        <v>0</v>
      </c>
      <c r="AM364" s="147" t="str">
        <f t="shared" si="189"/>
        <v>1.44641239912195+0.894827340837428i</v>
      </c>
      <c r="AN364" s="147" t="str">
        <f t="shared" si="190"/>
        <v>2.0335483714026i</v>
      </c>
      <c r="AO364" s="147" t="str">
        <f t="shared" si="191"/>
        <v>0.440032483820505-0.711275138306307i</v>
      </c>
      <c r="AP364" s="147" t="str">
        <f t="shared" si="192"/>
        <v>-0.0744020665203255-0.149137890139571i</v>
      </c>
      <c r="AQ364" s="147" t="str">
        <f t="shared" si="193"/>
        <v>1.07440206652033+0.149137890139571i</v>
      </c>
      <c r="AR364" s="147" t="str">
        <f t="shared" si="194"/>
        <v>0.760658406509822-0.105587092019667i</v>
      </c>
    </row>
    <row r="365" spans="7:44">
      <c r="G365" s="585">
        <v>29512</v>
      </c>
      <c r="H365" s="573">
        <f t="shared" si="186"/>
        <v>29.512</v>
      </c>
      <c r="I365" s="574">
        <f t="shared" si="166"/>
        <v>256.90610680172597</v>
      </c>
      <c r="J365" s="575">
        <f t="shared" si="167"/>
        <v>1.5669038442934475</v>
      </c>
      <c r="K365" s="575">
        <f t="shared" si="168"/>
        <v>1.0018704621670946</v>
      </c>
      <c r="L365" s="576">
        <f t="shared" si="169"/>
        <v>6.1115485585017074E-2</v>
      </c>
      <c r="M365" s="575">
        <f t="shared" si="170"/>
        <v>1.0863351120012279</v>
      </c>
      <c r="N365" s="576">
        <f t="shared" si="171"/>
        <v>-0.40137093326106144</v>
      </c>
      <c r="O365" s="574">
        <f t="shared" si="172"/>
        <v>556288.09372169885</v>
      </c>
      <c r="P365" s="577">
        <f t="shared" si="173"/>
        <v>1.5707945291651948</v>
      </c>
      <c r="Q365" s="586">
        <f t="shared" si="195"/>
        <v>103.84525912914187</v>
      </c>
      <c r="R365" s="587">
        <f t="shared" si="196"/>
        <v>1.561166465362043</v>
      </c>
      <c r="S365" s="574">
        <f t="shared" si="174"/>
        <v>1.1567842472886865</v>
      </c>
      <c r="T365" s="577">
        <f t="shared" si="175"/>
        <v>0.5267103292749723</v>
      </c>
      <c r="U365" s="578">
        <f t="shared" si="187"/>
        <v>0.63999552677988647</v>
      </c>
      <c r="V365" s="579">
        <f t="shared" si="188"/>
        <v>-1.1595060105180057</v>
      </c>
      <c r="W365" s="580">
        <f t="shared" si="176"/>
        <v>-19.88967738412839</v>
      </c>
      <c r="X365" s="581">
        <f t="shared" si="177"/>
        <v>-206.43690556183716</v>
      </c>
      <c r="Y365" s="584">
        <f t="shared" si="178"/>
        <v>-26.436905561837165</v>
      </c>
      <c r="AA365" s="147">
        <f t="shared" si="179"/>
        <v>29512</v>
      </c>
      <c r="AB365" s="147">
        <f t="shared" si="180"/>
        <v>870958144</v>
      </c>
      <c r="AD365" s="583">
        <f t="shared" si="181"/>
        <v>29.262140975459758</v>
      </c>
      <c r="AE365" s="584">
        <f t="shared" si="182"/>
        <v>-30.729926349319143</v>
      </c>
      <c r="AG365" s="583">
        <f t="shared" si="183"/>
        <v>13.703349427807845</v>
      </c>
      <c r="AH365" s="584">
        <f t="shared" si="184"/>
        <v>-42.837377615225677</v>
      </c>
      <c r="AJ365" s="147">
        <f t="shared" si="185"/>
        <v>0</v>
      </c>
      <c r="AK365" s="147">
        <f t="shared" si="197"/>
        <v>0</v>
      </c>
      <c r="AM365" s="147" t="str">
        <f t="shared" si="189"/>
        <v>1.45679989406611+0.889569478332745i</v>
      </c>
      <c r="AN365" s="147" t="str">
        <f t="shared" si="190"/>
        <v>2.04519082391063i</v>
      </c>
      <c r="AO365" s="147" t="str">
        <f t="shared" si="191"/>
        <v>0.434956713052228-0.712305119421839i</v>
      </c>
      <c r="AP365" s="147" t="str">
        <f t="shared" si="192"/>
        <v>-0.0761333156776847-0.148261579722124i</v>
      </c>
      <c r="AQ365" s="147" t="str">
        <f t="shared" si="193"/>
        <v>1.07613331567768+0.148261579722124i</v>
      </c>
      <c r="AR365" s="147" t="str">
        <f t="shared" si="194"/>
        <v>0.75964857341091-0.104658684836492i</v>
      </c>
    </row>
    <row r="366" spans="7:44">
      <c r="G366" s="585">
        <v>29684</v>
      </c>
      <c r="H366" s="573">
        <f t="shared" si="186"/>
        <v>29.684000000000001</v>
      </c>
      <c r="I366" s="574">
        <f t="shared" si="166"/>
        <v>258.40336834971481</v>
      </c>
      <c r="J366" s="575">
        <f t="shared" si="167"/>
        <v>1.5669263985410651</v>
      </c>
      <c r="K366" s="575">
        <f t="shared" si="168"/>
        <v>1.0018923076737094</v>
      </c>
      <c r="L366" s="576">
        <f t="shared" si="169"/>
        <v>6.147078103757022E-2</v>
      </c>
      <c r="M366" s="575">
        <f t="shared" si="170"/>
        <v>1.0873038529038817</v>
      </c>
      <c r="N366" s="576">
        <f t="shared" si="171"/>
        <v>-0.40346505121496495</v>
      </c>
      <c r="O366" s="574">
        <f t="shared" si="172"/>
        <v>559530.21733649366</v>
      </c>
      <c r="P366" s="577">
        <f t="shared" si="173"/>
        <v>1.5707945395813216</v>
      </c>
      <c r="Q366" s="586">
        <f t="shared" si="195"/>
        <v>104.45042763882738</v>
      </c>
      <c r="R366" s="587">
        <f t="shared" si="196"/>
        <v>1.5612222608969164</v>
      </c>
      <c r="S366" s="574">
        <f t="shared" si="174"/>
        <v>1.1584916261726572</v>
      </c>
      <c r="T366" s="577">
        <f t="shared" si="175"/>
        <v>0.52923927533775694</v>
      </c>
      <c r="U366" s="578">
        <f t="shared" si="187"/>
        <v>0.6376401897576679</v>
      </c>
      <c r="V366" s="579">
        <f t="shared" si="188"/>
        <v>-1.1644089053868345</v>
      </c>
      <c r="W366" s="580">
        <f t="shared" si="176"/>
        <v>-19.977061081183422</v>
      </c>
      <c r="X366" s="581">
        <f t="shared" si="177"/>
        <v>-206.96044188381396</v>
      </c>
      <c r="Y366" s="584">
        <f t="shared" si="178"/>
        <v>-26.960441883813957</v>
      </c>
      <c r="AA366" s="147">
        <f t="shared" si="179"/>
        <v>29684</v>
      </c>
      <c r="AB366" s="147">
        <f t="shared" si="180"/>
        <v>881139856</v>
      </c>
      <c r="AD366" s="583">
        <f t="shared" si="181"/>
        <v>29.249325660814002</v>
      </c>
      <c r="AE366" s="584">
        <f t="shared" si="182"/>
        <v>-30.871628033631033</v>
      </c>
      <c r="AG366" s="583">
        <f t="shared" si="183"/>
        <v>13.692831291792466</v>
      </c>
      <c r="AH366" s="584">
        <f t="shared" si="184"/>
        <v>-42.6573818854881</v>
      </c>
      <c r="AJ366" s="147">
        <f t="shared" si="185"/>
        <v>0</v>
      </c>
      <c r="AK366" s="147">
        <f t="shared" si="197"/>
        <v>0</v>
      </c>
      <c r="AM366" s="147" t="str">
        <f t="shared" si="189"/>
        <v>1.46737055290246+0.88406151724846i</v>
      </c>
      <c r="AN366" s="147" t="str">
        <f t="shared" si="190"/>
        <v>2.05711047766885i</v>
      </c>
      <c r="AO366" s="147" t="str">
        <f t="shared" si="191"/>
        <v>0.429758890854658-0.713316357498362i</v>
      </c>
      <c r="AP366" s="147" t="str">
        <f t="shared" si="192"/>
        <v>-0.0778950921504098-0.147343586208077i</v>
      </c>
      <c r="AQ366" s="147" t="str">
        <f t="shared" si="193"/>
        <v>1.07789509215041+0.147343586208077i</v>
      </c>
      <c r="AR366" s="147" t="str">
        <f t="shared" si="194"/>
        <v>0.758626999487559-0.103701022031532i</v>
      </c>
    </row>
    <row r="367" spans="7:44">
      <c r="G367" s="585">
        <v>29856</v>
      </c>
      <c r="H367" s="573">
        <f t="shared" si="186"/>
        <v>29.856000000000002</v>
      </c>
      <c r="I367" s="574">
        <f t="shared" si="166"/>
        <v>259.90063002763748</v>
      </c>
      <c r="J367" s="575">
        <f t="shared" si="167"/>
        <v>1.5669486929231395</v>
      </c>
      <c r="K367" s="575">
        <f t="shared" si="168"/>
        <v>1.0019142796485334</v>
      </c>
      <c r="L367" s="576">
        <f t="shared" si="169"/>
        <v>6.1826060951715688E-2</v>
      </c>
      <c r="M367" s="575">
        <f t="shared" si="170"/>
        <v>1.0882773534916641</v>
      </c>
      <c r="N367" s="576">
        <f t="shared" si="171"/>
        <v>-0.40555543180477421</v>
      </c>
      <c r="O367" s="574">
        <f t="shared" si="172"/>
        <v>562772.34095128858</v>
      </c>
      <c r="P367" s="577">
        <f t="shared" si="173"/>
        <v>1.5707945498774343</v>
      </c>
      <c r="Q367" s="586">
        <f t="shared" si="195"/>
        <v>105.05559646993564</v>
      </c>
      <c r="R367" s="587">
        <f t="shared" si="196"/>
        <v>1.5612774136157797</v>
      </c>
      <c r="S367" s="574">
        <f t="shared" si="174"/>
        <v>1.1602063924341859</v>
      </c>
      <c r="T367" s="577">
        <f t="shared" si="175"/>
        <v>0.53176076200459532</v>
      </c>
      <c r="U367" s="578">
        <f t="shared" si="187"/>
        <v>0.63529283262975278</v>
      </c>
      <c r="V367" s="579">
        <f t="shared" si="188"/>
        <v>-1.1692972711631229</v>
      </c>
      <c r="W367" s="580">
        <f t="shared" si="176"/>
        <v>-20.064166744341406</v>
      </c>
      <c r="X367" s="581">
        <f t="shared" si="177"/>
        <v>-207.4825270478662</v>
      </c>
      <c r="Y367" s="584">
        <f t="shared" si="178"/>
        <v>-27.482527047866199</v>
      </c>
      <c r="AA367" s="147">
        <f t="shared" si="179"/>
        <v>29856</v>
      </c>
      <c r="AB367" s="147">
        <f t="shared" si="180"/>
        <v>891380736</v>
      </c>
      <c r="AD367" s="583">
        <f t="shared" si="181"/>
        <v>29.23647398694176</v>
      </c>
      <c r="AE367" s="584">
        <f t="shared" si="182"/>
        <v>-31.012939149805113</v>
      </c>
      <c r="AG367" s="583">
        <f t="shared" si="183"/>
        <v>13.682646370420567</v>
      </c>
      <c r="AH367" s="584">
        <f t="shared" si="184"/>
        <v>-42.477990477331147</v>
      </c>
      <c r="AJ367" s="147">
        <f t="shared" si="185"/>
        <v>0</v>
      </c>
      <c r="AK367" s="147">
        <f t="shared" si="197"/>
        <v>0</v>
      </c>
      <c r="AM367" s="147" t="str">
        <f t="shared" si="189"/>
        <v>1.47787480938349+0.878427951830252i</v>
      </c>
      <c r="AN367" s="147" t="str">
        <f t="shared" si="190"/>
        <v>2.06903013142707i</v>
      </c>
      <c r="AO367" s="147" t="str">
        <f t="shared" si="191"/>
        <v>0.424560250954091-0.714283850648495i</v>
      </c>
      <c r="AP367" s="147" t="str">
        <f t="shared" si="192"/>
        <v>-0.0796458015639152-0.146404658638375i</v>
      </c>
      <c r="AQ367" s="147" t="str">
        <f t="shared" si="193"/>
        <v>1.07964580156392+0.146404658638375i</v>
      </c>
      <c r="AR367" s="147" t="str">
        <f t="shared" si="194"/>
        <v>0.75761785045507-0.102736270185595i</v>
      </c>
    </row>
    <row r="368" spans="7:44">
      <c r="G368" s="585">
        <v>30028</v>
      </c>
      <c r="H368" s="573">
        <f t="shared" si="186"/>
        <v>30.027999999999999</v>
      </c>
      <c r="I368" s="574">
        <f t="shared" si="166"/>
        <v>261.3978918332611</v>
      </c>
      <c r="J368" s="575">
        <f t="shared" si="167"/>
        <v>1.5669707319051027</v>
      </c>
      <c r="K368" s="575">
        <f t="shared" si="168"/>
        <v>1.0019363780832464</v>
      </c>
      <c r="L368" s="576">
        <f t="shared" si="169"/>
        <v>6.2181325238789088E-2</v>
      </c>
      <c r="M368" s="575">
        <f t="shared" si="170"/>
        <v>1.0892556010029528</v>
      </c>
      <c r="N368" s="576">
        <f t="shared" si="171"/>
        <v>-0.40764206680698645</v>
      </c>
      <c r="O368" s="574">
        <f t="shared" si="172"/>
        <v>566014.46456608339</v>
      </c>
      <c r="P368" s="577">
        <f t="shared" si="173"/>
        <v>1.5707945600555948</v>
      </c>
      <c r="Q368" s="586">
        <f t="shared" si="195"/>
        <v>105.66076561694382</v>
      </c>
      <c r="R368" s="587">
        <f t="shared" si="196"/>
        <v>1.5613319345634276</v>
      </c>
      <c r="S368" s="574">
        <f t="shared" si="174"/>
        <v>1.1619285133665469</v>
      </c>
      <c r="T368" s="577">
        <f t="shared" si="175"/>
        <v>0.53427479030939173</v>
      </c>
      <c r="U368" s="578">
        <f t="shared" si="187"/>
        <v>0.63295346829519061</v>
      </c>
      <c r="V368" s="579">
        <f t="shared" si="188"/>
        <v>-1.1741712854693513</v>
      </c>
      <c r="W368" s="580">
        <f t="shared" si="176"/>
        <v>-20.150996972831344</v>
      </c>
      <c r="X368" s="581">
        <f t="shared" si="177"/>
        <v>-208.00317044730727</v>
      </c>
      <c r="Y368" s="584">
        <f t="shared" si="178"/>
        <v>-28.003170447307269</v>
      </c>
      <c r="AA368" s="147">
        <f t="shared" si="179"/>
        <v>30028</v>
      </c>
      <c r="AB368" s="147">
        <f t="shared" si="180"/>
        <v>901680784</v>
      </c>
      <c r="AD368" s="583">
        <f t="shared" si="181"/>
        <v>29.223586385881632</v>
      </c>
      <c r="AE368" s="584">
        <f t="shared" si="182"/>
        <v>-31.153859124377767</v>
      </c>
      <c r="AG368" s="583">
        <f t="shared" si="183"/>
        <v>13.672790611491321</v>
      </c>
      <c r="AH368" s="584">
        <f t="shared" si="184"/>
        <v>-42.299193003494821</v>
      </c>
      <c r="AJ368" s="147">
        <f t="shared" si="185"/>
        <v>0</v>
      </c>
      <c r="AK368" s="147">
        <f t="shared" si="197"/>
        <v>0</v>
      </c>
      <c r="AM368" s="147" t="str">
        <f t="shared" si="189"/>
        <v>1.48831117110159+0.872669582475173i</v>
      </c>
      <c r="AN368" s="147" t="str">
        <f t="shared" si="190"/>
        <v>2.08094978518529i</v>
      </c>
      <c r="AO368" s="147" t="str">
        <f t="shared" si="191"/>
        <v>0.419361192032546-0.715207633407199i</v>
      </c>
      <c r="AP368" s="147" t="str">
        <f t="shared" si="192"/>
        <v>-0.0813851951835983-0.145444930412529i</v>
      </c>
      <c r="AQ368" s="147" t="str">
        <f t="shared" si="193"/>
        <v>1.0813851951836+0.145444930412529i</v>
      </c>
      <c r="AR368" s="147" t="str">
        <f t="shared" si="194"/>
        <v>0.756621102522452-0.101764573895748i</v>
      </c>
    </row>
    <row r="369" spans="7:44">
      <c r="G369" s="585">
        <v>30200</v>
      </c>
      <c r="H369" s="573">
        <f t="shared" si="186"/>
        <v>30.2</v>
      </c>
      <c r="I369" s="574">
        <f t="shared" si="166"/>
        <v>262.89515376440374</v>
      </c>
      <c r="J369" s="575">
        <f t="shared" si="167"/>
        <v>1.5669925198506596</v>
      </c>
      <c r="K369" s="575">
        <f t="shared" si="168"/>
        <v>1.0019586029694814</v>
      </c>
      <c r="L369" s="576">
        <f t="shared" si="169"/>
        <v>6.2536573810149654E-2</v>
      </c>
      <c r="M369" s="575">
        <f t="shared" si="170"/>
        <v>1.0902385826598124</v>
      </c>
      <c r="N369" s="576">
        <f t="shared" si="171"/>
        <v>-0.40972494815800875</v>
      </c>
      <c r="O369" s="574">
        <f t="shared" si="172"/>
        <v>569256.58818087843</v>
      </c>
      <c r="P369" s="577">
        <f t="shared" si="173"/>
        <v>1.5707945701178185</v>
      </c>
      <c r="Q369" s="586">
        <f t="shared" si="195"/>
        <v>106.26593507445492</v>
      </c>
      <c r="R369" s="587">
        <f t="shared" si="196"/>
        <v>1.5613858345330762</v>
      </c>
      <c r="S369" s="574">
        <f t="shared" si="174"/>
        <v>1.1636579563167631</v>
      </c>
      <c r="T369" s="577">
        <f t="shared" si="175"/>
        <v>0.53678136165705626</v>
      </c>
      <c r="U369" s="578">
        <f t="shared" si="187"/>
        <v>0.6306221076062416</v>
      </c>
      <c r="V369" s="579">
        <f t="shared" si="188"/>
        <v>-1.1790311255810872</v>
      </c>
      <c r="W369" s="580">
        <f t="shared" si="176"/>
        <v>-20.237554331879192</v>
      </c>
      <c r="X369" s="581">
        <f t="shared" si="177"/>
        <v>-208.52238149457497</v>
      </c>
      <c r="Y369" s="584">
        <f t="shared" si="178"/>
        <v>-28.522381494574972</v>
      </c>
      <c r="AA369" s="147">
        <f t="shared" si="179"/>
        <v>30200</v>
      </c>
      <c r="AB369" s="147">
        <f t="shared" si="180"/>
        <v>912040000</v>
      </c>
      <c r="AD369" s="583">
        <f t="shared" si="181"/>
        <v>29.210663287720774</v>
      </c>
      <c r="AE369" s="584">
        <f t="shared" si="182"/>
        <v>-31.294387419554134</v>
      </c>
      <c r="AG369" s="583">
        <f t="shared" si="183"/>
        <v>13.663260041797296</v>
      </c>
      <c r="AH369" s="584">
        <f t="shared" si="184"/>
        <v>-42.120979099928071</v>
      </c>
      <c r="AJ369" s="147">
        <f t="shared" si="185"/>
        <v>0</v>
      </c>
      <c r="AK369" s="147">
        <f t="shared" si="197"/>
        <v>0</v>
      </c>
      <c r="AM369" s="147" t="str">
        <f t="shared" si="189"/>
        <v>1.4986781552954+0.866787227311972i</v>
      </c>
      <c r="AN369" s="147" t="str">
        <f t="shared" si="190"/>
        <v>2.09286943894352i</v>
      </c>
      <c r="AO369" s="147" t="str">
        <f t="shared" si="191"/>
        <v>0.414162112161916-0.716087744131776i</v>
      </c>
      <c r="AP369" s="147" t="str">
        <f t="shared" si="192"/>
        <v>-0.0831130258825668-0.144464537885329i</v>
      </c>
      <c r="AQ369" s="147" t="str">
        <f t="shared" si="193"/>
        <v>1.08311302588257+0.144464537885329i</v>
      </c>
      <c r="AR369" s="147" t="str">
        <f t="shared" si="194"/>
        <v>0.755636731002419-0.100786075455509i</v>
      </c>
    </row>
    <row r="370" spans="7:44">
      <c r="G370" s="585">
        <v>30375.75</v>
      </c>
      <c r="H370" s="573">
        <f t="shared" si="186"/>
        <v>30.37575</v>
      </c>
      <c r="I370" s="574">
        <f t="shared" si="166"/>
        <v>264.42505961508539</v>
      </c>
      <c r="J370" s="575">
        <f t="shared" si="167"/>
        <v>1.5670145279550789</v>
      </c>
      <c r="K370" s="575">
        <f t="shared" si="168"/>
        <v>1.0019814430181484</v>
      </c>
      <c r="L370" s="576">
        <f t="shared" si="169"/>
        <v>6.2899551300917386E-2</v>
      </c>
      <c r="M370" s="575">
        <f t="shared" si="170"/>
        <v>1.091247872385426</v>
      </c>
      <c r="N370" s="576">
        <f t="shared" si="171"/>
        <v>-0.41184935564243808</v>
      </c>
      <c r="O370" s="574">
        <f t="shared" si="172"/>
        <v>572569.39763029828</v>
      </c>
      <c r="P370" s="577">
        <f t="shared" si="173"/>
        <v>1.5707945802817156</v>
      </c>
      <c r="Q370" s="586">
        <f t="shared" si="195"/>
        <v>106.88429894875435</v>
      </c>
      <c r="R370" s="587">
        <f t="shared" si="196"/>
        <v>1.5614402791877584</v>
      </c>
      <c r="S370" s="574">
        <f t="shared" si="174"/>
        <v>1.1654326344431083</v>
      </c>
      <c r="T370" s="577">
        <f t="shared" si="175"/>
        <v>0.53933488133649599</v>
      </c>
      <c r="U370" s="578">
        <f t="shared" si="187"/>
        <v>0.62824819433137635</v>
      </c>
      <c r="V370" s="579">
        <f t="shared" si="188"/>
        <v>-1.1839824644703441</v>
      </c>
      <c r="W370" s="580">
        <f t="shared" si="176"/>
        <v>-20.325719619106238</v>
      </c>
      <c r="X370" s="581">
        <f t="shared" si="177"/>
        <v>-209.05144282646933</v>
      </c>
      <c r="Y370" s="584">
        <f t="shared" si="178"/>
        <v>-29.051442826469327</v>
      </c>
      <c r="AA370" s="147">
        <f t="shared" si="179"/>
        <v>30375.75</v>
      </c>
      <c r="AB370" s="147">
        <f t="shared" si="180"/>
        <v>922686188.0625</v>
      </c>
      <c r="AD370" s="583">
        <f t="shared" si="181"/>
        <v>29.197422214968714</v>
      </c>
      <c r="AE370" s="584">
        <f t="shared" si="182"/>
        <v>-31.437574453671324</v>
      </c>
      <c r="AG370" s="583">
        <f t="shared" si="183"/>
        <v>13.653853531967524</v>
      </c>
      <c r="AH370" s="584">
        <f t="shared" si="184"/>
        <v>-41.939471754470134</v>
      </c>
      <c r="AJ370" s="147">
        <f t="shared" si="185"/>
        <v>0</v>
      </c>
      <c r="AK370" s="147">
        <f t="shared" si="197"/>
        <v>0</v>
      </c>
      <c r="AM370" s="147" t="str">
        <f t="shared" si="189"/>
        <v>1.50919796852989+0.860649422729737i</v>
      </c>
      <c r="AN370" s="147" t="str">
        <f t="shared" si="190"/>
        <v>2.10504896887379i</v>
      </c>
      <c r="AO370" s="147" t="str">
        <f t="shared" si="191"/>
        <v>0.408850072115039-0.716941976574216i</v>
      </c>
      <c r="AP370" s="147" t="str">
        <f t="shared" si="192"/>
        <v>-0.0848663280883157-0.143441570454956i</v>
      </c>
      <c r="AQ370" s="147" t="str">
        <f t="shared" si="193"/>
        <v>1.08486632808832+0.143441570454956i</v>
      </c>
      <c r="AR370" s="147" t="str">
        <f t="shared" si="194"/>
        <v>0.754643655432207-0.0997793629191263i</v>
      </c>
    </row>
    <row r="371" spans="7:44">
      <c r="G371" s="585">
        <v>30551.5</v>
      </c>
      <c r="H371" s="573">
        <f t="shared" si="186"/>
        <v>30.551500000000001</v>
      </c>
      <c r="I371" s="574">
        <f t="shared" si="166"/>
        <v>265.95496559236949</v>
      </c>
      <c r="J371" s="575">
        <f t="shared" si="167"/>
        <v>1.567036282856261</v>
      </c>
      <c r="K371" s="575">
        <f t="shared" si="168"/>
        <v>1.002004415074506</v>
      </c>
      <c r="L371" s="576">
        <f t="shared" si="169"/>
        <v>6.3262512196185741E-2</v>
      </c>
      <c r="M371" s="575">
        <f t="shared" si="170"/>
        <v>1.0922620779150676</v>
      </c>
      <c r="N371" s="576">
        <f t="shared" si="171"/>
        <v>-0.41396982750097616</v>
      </c>
      <c r="O371" s="574">
        <f t="shared" si="172"/>
        <v>575882.20707971824</v>
      </c>
      <c r="P371" s="577">
        <f t="shared" si="173"/>
        <v>1.5707945903286753</v>
      </c>
      <c r="Q371" s="586">
        <f t="shared" si="195"/>
        <v>107.50266313623757</v>
      </c>
      <c r="R371" s="587">
        <f t="shared" si="196"/>
        <v>1.5614940975023077</v>
      </c>
      <c r="S371" s="574">
        <f t="shared" si="174"/>
        <v>1.1672148885925773</v>
      </c>
      <c r="T371" s="577">
        <f t="shared" si="175"/>
        <v>0.54188061948718325</v>
      </c>
      <c r="U371" s="578">
        <f t="shared" si="187"/>
        <v>0.62588265409386079</v>
      </c>
      <c r="V371" s="579">
        <f t="shared" si="188"/>
        <v>-1.1889193774215754</v>
      </c>
      <c r="W371" s="580">
        <f t="shared" si="176"/>
        <v>-20.413605319760791</v>
      </c>
      <c r="X371" s="581">
        <f t="shared" si="177"/>
        <v>-209.57902859281003</v>
      </c>
      <c r="Y371" s="584">
        <f t="shared" si="178"/>
        <v>-29.579028592810033</v>
      </c>
      <c r="AA371" s="147">
        <f t="shared" si="179"/>
        <v>30551.5</v>
      </c>
      <c r="AB371" s="147">
        <f t="shared" si="180"/>
        <v>933394152.25</v>
      </c>
      <c r="AD371" s="583">
        <f t="shared" si="181"/>
        <v>29.184144981960078</v>
      </c>
      <c r="AE371" s="584">
        <f t="shared" si="182"/>
        <v>-31.580351518978471</v>
      </c>
      <c r="AG371" s="583">
        <f t="shared" si="183"/>
        <v>13.644778404260116</v>
      </c>
      <c r="AH371" s="584">
        <f t="shared" si="184"/>
        <v>-41.758551902999152</v>
      </c>
      <c r="AJ371" s="147">
        <f t="shared" si="185"/>
        <v>0</v>
      </c>
      <c r="AK371" s="147">
        <f t="shared" si="197"/>
        <v>0</v>
      </c>
      <c r="AM371" s="147" t="str">
        <f t="shared" si="189"/>
        <v>1.51964224778809+0.854383950173306i</v>
      </c>
      <c r="AN371" s="147" t="str">
        <f t="shared" si="190"/>
        <v>2.11722849880407i</v>
      </c>
      <c r="AO371" s="147" t="str">
        <f t="shared" si="191"/>
        <v>0.40353884838406-0.717750705059218i</v>
      </c>
      <c r="AP371" s="147" t="str">
        <f t="shared" si="192"/>
        <v>-0.0866070412980147-0.142397325028884i</v>
      </c>
      <c r="AQ371" s="147" t="str">
        <f t="shared" si="193"/>
        <v>1.08660704129801+0.142397325028884i</v>
      </c>
      <c r="AR371" s="147" t="str">
        <f t="shared" si="194"/>
        <v>0.753663447077422-0.0987658415204763i</v>
      </c>
    </row>
    <row r="372" spans="7:44">
      <c r="G372" s="585">
        <v>30727.25</v>
      </c>
      <c r="H372" s="573">
        <f t="shared" si="186"/>
        <v>30.727250000000002</v>
      </c>
      <c r="I372" s="574">
        <f t="shared" si="166"/>
        <v>267.48487169408378</v>
      </c>
      <c r="J372" s="575">
        <f t="shared" si="167"/>
        <v>1.5670577888988479</v>
      </c>
      <c r="K372" s="575">
        <f t="shared" si="168"/>
        <v>1.0020275191294754</v>
      </c>
      <c r="L372" s="576">
        <f t="shared" si="169"/>
        <v>6.362545640146601E-2</v>
      </c>
      <c r="M372" s="575">
        <f t="shared" si="170"/>
        <v>1.0932811855679869</v>
      </c>
      <c r="N372" s="576">
        <f t="shared" si="171"/>
        <v>-0.41608635564413304</v>
      </c>
      <c r="O372" s="574">
        <f t="shared" si="172"/>
        <v>579195.01652913832</v>
      </c>
      <c r="P372" s="577">
        <f t="shared" si="173"/>
        <v>1.5707946002607045</v>
      </c>
      <c r="Q372" s="586">
        <f t="shared" si="195"/>
        <v>108.12102763153111</v>
      </c>
      <c r="R372" s="587">
        <f t="shared" si="196"/>
        <v>1.5615473002228806</v>
      </c>
      <c r="S372" s="574">
        <f t="shared" si="174"/>
        <v>1.1690046841141584</v>
      </c>
      <c r="T372" s="577">
        <f t="shared" si="175"/>
        <v>0.54441857877881061</v>
      </c>
      <c r="U372" s="578">
        <f t="shared" si="187"/>
        <v>0.6235254921794271</v>
      </c>
      <c r="V372" s="579">
        <f t="shared" si="188"/>
        <v>-1.1938420523596718</v>
      </c>
      <c r="W372" s="580">
        <f t="shared" si="176"/>
        <v>-20.501214067342541</v>
      </c>
      <c r="X372" s="581">
        <f t="shared" si="177"/>
        <v>-210.10514888911766</v>
      </c>
      <c r="Y372" s="584">
        <f t="shared" si="178"/>
        <v>-30.105148889117658</v>
      </c>
      <c r="AA372" s="147">
        <f t="shared" si="179"/>
        <v>30727.25</v>
      </c>
      <c r="AB372" s="147">
        <f t="shared" si="180"/>
        <v>944163892.5625</v>
      </c>
      <c r="AD372" s="583">
        <f t="shared" si="181"/>
        <v>29.170832041076181</v>
      </c>
      <c r="AE372" s="584">
        <f t="shared" si="182"/>
        <v>-31.722718152843331</v>
      </c>
      <c r="AG372" s="583">
        <f t="shared" si="183"/>
        <v>13.636030665582625</v>
      </c>
      <c r="AH372" s="584">
        <f t="shared" si="184"/>
        <v>-41.578208569061857</v>
      </c>
      <c r="AJ372" s="147">
        <f t="shared" si="185"/>
        <v>0</v>
      </c>
      <c r="AK372" s="147">
        <f t="shared" si="197"/>
        <v>0</v>
      </c>
      <c r="AM372" s="147" t="str">
        <f t="shared" si="189"/>
        <v>1.53000944377482+0.847991739057348i</v>
      </c>
      <c r="AN372" s="147" t="str">
        <f t="shared" si="190"/>
        <v>2.12940802873434i</v>
      </c>
      <c r="AO372" s="147" t="str">
        <f t="shared" si="191"/>
        <v>0.398228863428007-0.718513982820011i</v>
      </c>
      <c r="AP372" s="147" t="str">
        <f t="shared" si="192"/>
        <v>-0.0883349072958035-0.141331956509558i</v>
      </c>
      <c r="AQ372" s="147" t="str">
        <f t="shared" si="193"/>
        <v>1.0883349072958+0.141331956509558i</v>
      </c>
      <c r="AR372" s="147" t="str">
        <f t="shared" si="194"/>
        <v>0.75269607704058-0.0977456557830511i</v>
      </c>
    </row>
    <row r="373" spans="7:44">
      <c r="G373" s="585">
        <v>30903</v>
      </c>
      <c r="H373" s="573">
        <f t="shared" si="186"/>
        <v>30.902999999999999</v>
      </c>
      <c r="I373" s="574">
        <f t="shared" si="166"/>
        <v>269.01477791810532</v>
      </c>
      <c r="J373" s="575">
        <f t="shared" si="167"/>
        <v>1.5670790503286491</v>
      </c>
      <c r="K373" s="575">
        <f t="shared" si="168"/>
        <v>1.0020507551739262</v>
      </c>
      <c r="L373" s="576">
        <f t="shared" si="169"/>
        <v>6.3988383822295769E-2</v>
      </c>
      <c r="M373" s="575">
        <f t="shared" si="170"/>
        <v>1.094305181648394</v>
      </c>
      <c r="N373" s="576">
        <f t="shared" si="171"/>
        <v>-0.41819893215381276</v>
      </c>
      <c r="O373" s="574">
        <f t="shared" si="172"/>
        <v>582507.82597855839</v>
      </c>
      <c r="P373" s="577">
        <f t="shared" si="173"/>
        <v>1.5707946100797636</v>
      </c>
      <c r="Q373" s="586">
        <f t="shared" si="195"/>
        <v>108.73939242938368</v>
      </c>
      <c r="R373" s="587">
        <f t="shared" si="196"/>
        <v>1.5615998978512087</v>
      </c>
      <c r="S373" s="574">
        <f t="shared" si="174"/>
        <v>1.1708019864225483</v>
      </c>
      <c r="T373" s="577">
        <f t="shared" si="175"/>
        <v>0.54694876226562184</v>
      </c>
      <c r="U373" s="578">
        <f t="shared" si="187"/>
        <v>0.621176711861953</v>
      </c>
      <c r="V373" s="579">
        <f t="shared" si="188"/>
        <v>-1.1987506767814684</v>
      </c>
      <c r="W373" s="580">
        <f t="shared" si="176"/>
        <v>-20.588548462767978</v>
      </c>
      <c r="X373" s="581">
        <f t="shared" si="177"/>
        <v>-210.62981382657804</v>
      </c>
      <c r="Y373" s="584">
        <f t="shared" si="178"/>
        <v>-30.629813826578044</v>
      </c>
      <c r="AA373" s="147">
        <f t="shared" si="179"/>
        <v>30903</v>
      </c>
      <c r="AB373" s="147">
        <f t="shared" si="180"/>
        <v>954995409</v>
      </c>
      <c r="AD373" s="583">
        <f t="shared" si="181"/>
        <v>29.157483842478729</v>
      </c>
      <c r="AE373" s="584">
        <f t="shared" si="182"/>
        <v>-31.864673928668577</v>
      </c>
      <c r="AG373" s="583">
        <f t="shared" si="183"/>
        <v>13.627606402430732</v>
      </c>
      <c r="AH373" s="584">
        <f t="shared" si="184"/>
        <v>-41.398430804886679</v>
      </c>
      <c r="AJ373" s="147">
        <f t="shared" si="185"/>
        <v>0</v>
      </c>
      <c r="AK373" s="147">
        <f t="shared" si="197"/>
        <v>0</v>
      </c>
      <c r="AM373" s="147" t="str">
        <f t="shared" si="189"/>
        <v>1.54029801862942+0.841473737596794i</v>
      </c>
      <c r="AN373" s="147" t="str">
        <f t="shared" si="190"/>
        <v>2.14158755866462i</v>
      </c>
      <c r="AO373" s="147" t="str">
        <f t="shared" si="191"/>
        <v>0.392920538874204-0.719231867218106i</v>
      </c>
      <c r="AP373" s="147" t="str">
        <f t="shared" si="192"/>
        <v>-0.0900496697715707-0.140245622932799i</v>
      </c>
      <c r="AQ373" s="147" t="str">
        <f t="shared" si="193"/>
        <v>1.09004966977157+0.140245622932799i</v>
      </c>
      <c r="AR373" s="147" t="str">
        <f t="shared" si="194"/>
        <v>0.751741515671474-0.096718947836465i</v>
      </c>
    </row>
    <row r="374" spans="7:44">
      <c r="G374" s="585">
        <v>31083</v>
      </c>
      <c r="H374" s="573">
        <f t="shared" si="186"/>
        <v>31.082999999999998</v>
      </c>
      <c r="I374" s="574">
        <f t="shared" si="166"/>
        <v>270.58168057656547</v>
      </c>
      <c r="J374" s="575">
        <f t="shared" si="167"/>
        <v>1.5671005766823949</v>
      </c>
      <c r="K374" s="575">
        <f t="shared" si="168"/>
        <v>1.002074689920337</v>
      </c>
      <c r="L374" s="576">
        <f t="shared" si="169"/>
        <v>6.4360070085033499E-2</v>
      </c>
      <c r="M374" s="575">
        <f t="shared" si="170"/>
        <v>1.0953589929298579</v>
      </c>
      <c r="N374" s="576">
        <f t="shared" si="171"/>
        <v>-0.42035849092956717</v>
      </c>
      <c r="O374" s="574">
        <f t="shared" si="172"/>
        <v>585900.74604055332</v>
      </c>
      <c r="P374" s="577">
        <f t="shared" si="173"/>
        <v>1.5707946200211695</v>
      </c>
      <c r="Q374" s="586">
        <f t="shared" si="195"/>
        <v>109.37271088053681</v>
      </c>
      <c r="R374" s="587">
        <f t="shared" si="196"/>
        <v>1.5616531509055069</v>
      </c>
      <c r="S374" s="574">
        <f t="shared" si="174"/>
        <v>1.1726504964416342</v>
      </c>
      <c r="T374" s="577">
        <f t="shared" si="175"/>
        <v>0.5495320743032559</v>
      </c>
      <c r="U374" s="578">
        <f t="shared" si="187"/>
        <v>0.61877982259436448</v>
      </c>
      <c r="V374" s="579">
        <f t="shared" si="188"/>
        <v>-1.2037636331137183</v>
      </c>
      <c r="W374" s="580">
        <f t="shared" si="176"/>
        <v>-20.677713085875318</v>
      </c>
      <c r="X374" s="581">
        <f t="shared" si="177"/>
        <v>-211.16566825769777</v>
      </c>
      <c r="Y374" s="584">
        <f t="shared" si="178"/>
        <v>-31.165668257697774</v>
      </c>
      <c r="AA374" s="147">
        <f t="shared" si="179"/>
        <v>31083</v>
      </c>
      <c r="AB374" s="147">
        <f t="shared" si="180"/>
        <v>966152889</v>
      </c>
      <c r="AD374" s="583">
        <f t="shared" si="181"/>
        <v>29.143776777815404</v>
      </c>
      <c r="AE374" s="584">
        <f t="shared" si="182"/>
        <v>-32.009636200099116</v>
      </c>
      <c r="AG374" s="583">
        <f t="shared" si="183"/>
        <v>13.619309719406944</v>
      </c>
      <c r="AH374" s="584">
        <f t="shared" si="184"/>
        <v>-41.214880482476886</v>
      </c>
      <c r="AJ374" s="147">
        <f t="shared" si="185"/>
        <v>0</v>
      </c>
      <c r="AK374" s="147">
        <f t="shared" si="197"/>
        <v>0</v>
      </c>
      <c r="AM374" s="147" t="str">
        <f t="shared" si="189"/>
        <v>1.55075230195667+0.834668737817245i</v>
      </c>
      <c r="AN374" s="147" t="str">
        <f t="shared" si="190"/>
        <v>2.15406161492322i</v>
      </c>
      <c r="AO374" s="147" t="str">
        <f t="shared" si="191"/>
        <v>0.387486008772779-0.719920122624694i</v>
      </c>
      <c r="AP374" s="147" t="str">
        <f t="shared" si="192"/>
        <v>-0.091792050326111-0.139111456302874i</v>
      </c>
      <c r="AQ374" s="147" t="str">
        <f t="shared" si="193"/>
        <v>1.09179205032611+0.139111456302874i</v>
      </c>
      <c r="AR374" s="147" t="str">
        <f t="shared" si="194"/>
        <v>0.750777116331555-0.0956607972924505i</v>
      </c>
    </row>
    <row r="375" spans="7:44">
      <c r="G375" s="585">
        <v>31263</v>
      </c>
      <c r="H375" s="573">
        <f t="shared" si="186"/>
        <v>31.263000000000002</v>
      </c>
      <c r="I375" s="574">
        <f t="shared" si="166"/>
        <v>272.14858335896508</v>
      </c>
      <c r="J375" s="575">
        <f t="shared" si="167"/>
        <v>1.5671218551590298</v>
      </c>
      <c r="K375" s="575">
        <f t="shared" si="168"/>
        <v>1.0020987630974212</v>
      </c>
      <c r="L375" s="576">
        <f t="shared" si="169"/>
        <v>6.4731738541256398E-2</v>
      </c>
      <c r="M375" s="575">
        <f t="shared" si="170"/>
        <v>1.0964179027969052</v>
      </c>
      <c r="N375" s="576">
        <f t="shared" si="171"/>
        <v>-0.42251388837909948</v>
      </c>
      <c r="O375" s="574">
        <f t="shared" si="172"/>
        <v>589293.6661025486</v>
      </c>
      <c r="P375" s="577">
        <f t="shared" si="173"/>
        <v>1.5707946298480981</v>
      </c>
      <c r="Q375" s="586">
        <f t="shared" si="195"/>
        <v>110.0060296382873</v>
      </c>
      <c r="R375" s="587">
        <f t="shared" si="196"/>
        <v>1.5617057907906877</v>
      </c>
      <c r="S375" s="574">
        <f t="shared" si="174"/>
        <v>1.1745068074815967</v>
      </c>
      <c r="T375" s="577">
        <f t="shared" si="175"/>
        <v>0.55210723761840685</v>
      </c>
      <c r="U375" s="578">
        <f t="shared" si="187"/>
        <v>0.61639172590386526</v>
      </c>
      <c r="V375" s="579">
        <f t="shared" si="188"/>
        <v>-1.2087622478559077</v>
      </c>
      <c r="W375" s="580">
        <f t="shared" si="176"/>
        <v>-20.766595349745273</v>
      </c>
      <c r="X375" s="581">
        <f t="shared" si="177"/>
        <v>-211.70001760576679</v>
      </c>
      <c r="Y375" s="584">
        <f t="shared" si="178"/>
        <v>-31.700017605766789</v>
      </c>
      <c r="AA375" s="147">
        <f t="shared" si="179"/>
        <v>31263</v>
      </c>
      <c r="AB375" s="147">
        <f t="shared" si="180"/>
        <v>977375169</v>
      </c>
      <c r="AD375" s="583">
        <f t="shared" si="181"/>
        <v>29.130033678196021</v>
      </c>
      <c r="AE375" s="584">
        <f t="shared" si="182"/>
        <v>-32.154166709565956</v>
      </c>
      <c r="AG375" s="583">
        <f t="shared" si="183"/>
        <v>13.611344285542359</v>
      </c>
      <c r="AH375" s="584">
        <f t="shared" si="184"/>
        <v>-41.031900264145868</v>
      </c>
      <c r="AJ375" s="147">
        <f t="shared" si="185"/>
        <v>0</v>
      </c>
      <c r="AK375" s="147">
        <f t="shared" si="197"/>
        <v>0</v>
      </c>
      <c r="AM375" s="147" t="str">
        <f t="shared" si="189"/>
        <v>1.56112088819165+0.827733863530432i</v>
      </c>
      <c r="AN375" s="147" t="str">
        <f t="shared" si="190"/>
        <v>2.16653567118183i</v>
      </c>
      <c r="AO375" s="147" t="str">
        <f t="shared" si="191"/>
        <v>0.382054112720382-0.72056089773037i</v>
      </c>
      <c r="AP375" s="147" t="str">
        <f t="shared" si="192"/>
        <v>-0.0935201480319415-0.137955643921739i</v>
      </c>
      <c r="AQ375" s="147" t="str">
        <f t="shared" si="193"/>
        <v>1.09352014803194+0.137955643921739i</v>
      </c>
      <c r="AR375" s="147" t="str">
        <f t="shared" si="194"/>
        <v>0.749826087481586-0.0945960994994113i</v>
      </c>
    </row>
    <row r="376" spans="7:44">
      <c r="G376" s="585">
        <v>31443</v>
      </c>
      <c r="H376" s="573">
        <f t="shared" si="186"/>
        <v>31.443000000000001</v>
      </c>
      <c r="I376" s="574">
        <f t="shared" si="166"/>
        <v>273.71548626317553</v>
      </c>
      <c r="J376" s="575">
        <f t="shared" si="167"/>
        <v>1.5671428900155029</v>
      </c>
      <c r="K376" s="575">
        <f t="shared" si="168"/>
        <v>1.002122974695203</v>
      </c>
      <c r="L376" s="576">
        <f t="shared" si="169"/>
        <v>6.5103389089568781E-2</v>
      </c>
      <c r="M376" s="575">
        <f t="shared" si="170"/>
        <v>1.0974818964913626</v>
      </c>
      <c r="N376" s="576">
        <f t="shared" si="171"/>
        <v>-0.42466511654984734</v>
      </c>
      <c r="O376" s="574">
        <f t="shared" si="172"/>
        <v>592686.58616454375</v>
      </c>
      <c r="P376" s="577">
        <f t="shared" si="173"/>
        <v>1.5707946395625156</v>
      </c>
      <c r="Q376" s="586">
        <f t="shared" si="195"/>
        <v>110.63934869737012</v>
      </c>
      <c r="R376" s="587">
        <f t="shared" si="196"/>
        <v>1.5617578280361197</v>
      </c>
      <c r="S376" s="574">
        <f t="shared" si="174"/>
        <v>1.1763708826124482</v>
      </c>
      <c r="T376" s="577">
        <f t="shared" si="175"/>
        <v>0.5546742567137336</v>
      </c>
      <c r="U376" s="578">
        <f t="shared" si="187"/>
        <v>0.61401241908763182</v>
      </c>
      <c r="V376" s="579">
        <f t="shared" si="188"/>
        <v>-1.2137467209756698</v>
      </c>
      <c r="W376" s="580">
        <f t="shared" si="176"/>
        <v>-20.855197949043365</v>
      </c>
      <c r="X376" s="581">
        <f t="shared" si="177"/>
        <v>-212.23287277696059</v>
      </c>
      <c r="Y376" s="584">
        <f t="shared" si="178"/>
        <v>-32.23287277696059</v>
      </c>
      <c r="AA376" s="147">
        <f t="shared" si="179"/>
        <v>31443</v>
      </c>
      <c r="AB376" s="147">
        <f t="shared" si="180"/>
        <v>988662249</v>
      </c>
      <c r="AD376" s="583">
        <f t="shared" si="181"/>
        <v>29.116255019858208</v>
      </c>
      <c r="AE376" s="584">
        <f t="shared" si="182"/>
        <v>-32.298265111876717</v>
      </c>
      <c r="AG376" s="583">
        <f t="shared" si="183"/>
        <v>13.60370614614251</v>
      </c>
      <c r="AH376" s="584">
        <f t="shared" si="184"/>
        <v>-40.849478486658697</v>
      </c>
      <c r="AJ376" s="147">
        <f t="shared" si="185"/>
        <v>0</v>
      </c>
      <c r="AK376" s="147">
        <f t="shared" si="197"/>
        <v>0</v>
      </c>
      <c r="AM376" s="147" t="str">
        <f t="shared" si="189"/>
        <v>1.57140216398169+0.820670193803234i</v>
      </c>
      <c r="AN376" s="147" t="str">
        <f t="shared" si="190"/>
        <v>2.17900972744043i</v>
      </c>
      <c r="AO376" s="147" t="str">
        <f t="shared" si="191"/>
        <v>0.376625300689792-0.721154267552323i</v>
      </c>
      <c r="AP376" s="147" t="str">
        <f t="shared" si="192"/>
        <v>-0.095233693996949-0.136778365633872i</v>
      </c>
      <c r="AQ376" s="147" t="str">
        <f t="shared" si="193"/>
        <v>1.09523369399695+0.136778365633872i</v>
      </c>
      <c r="AR376" s="147" t="str">
        <f t="shared" si="194"/>
        <v>0.748888395154483-0.0935249995437858i</v>
      </c>
    </row>
    <row r="377" spans="7:44">
      <c r="G377" s="585">
        <v>31623</v>
      </c>
      <c r="H377" s="573">
        <f t="shared" si="186"/>
        <v>31.623000000000001</v>
      </c>
      <c r="I377" s="574">
        <f t="shared" si="166"/>
        <v>275.28238928711681</v>
      </c>
      <c r="J377" s="575">
        <f t="shared" si="167"/>
        <v>1.5671636854118416</v>
      </c>
      <c r="K377" s="575">
        <f t="shared" si="168"/>
        <v>1.0021473247036492</v>
      </c>
      <c r="L377" s="576">
        <f t="shared" si="169"/>
        <v>6.5475021628604524E-2</v>
      </c>
      <c r="M377" s="575">
        <f t="shared" si="170"/>
        <v>1.0985509592415164</v>
      </c>
      <c r="N377" s="576">
        <f t="shared" si="171"/>
        <v>-0.42681216767433916</v>
      </c>
      <c r="O377" s="574">
        <f t="shared" si="172"/>
        <v>596079.5062265388</v>
      </c>
      <c r="P377" s="577">
        <f t="shared" si="173"/>
        <v>1.5707946491663427</v>
      </c>
      <c r="Q377" s="586">
        <f t="shared" si="195"/>
        <v>111.27266805264007</v>
      </c>
      <c r="R377" s="587">
        <f t="shared" si="196"/>
        <v>1.561809272931469</v>
      </c>
      <c r="S377" s="574">
        <f t="shared" si="174"/>
        <v>1.1782426849839309</v>
      </c>
      <c r="T377" s="577">
        <f t="shared" si="175"/>
        <v>0.55723313649279438</v>
      </c>
      <c r="U377" s="578">
        <f t="shared" si="187"/>
        <v>0.61164189745671604</v>
      </c>
      <c r="V377" s="579">
        <f t="shared" si="188"/>
        <v>-1.2187172519274216</v>
      </c>
      <c r="W377" s="580">
        <f t="shared" si="176"/>
        <v>-20.943523547026714</v>
      </c>
      <c r="X377" s="581">
        <f t="shared" si="177"/>
        <v>-212.76424468980079</v>
      </c>
      <c r="Y377" s="584">
        <f t="shared" si="178"/>
        <v>-32.76424468980079</v>
      </c>
      <c r="AA377" s="147">
        <f t="shared" si="179"/>
        <v>31623</v>
      </c>
      <c r="AB377" s="147">
        <f t="shared" si="180"/>
        <v>1000014129</v>
      </c>
      <c r="AD377" s="583">
        <f t="shared" si="181"/>
        <v>29.102441276507239</v>
      </c>
      <c r="AE377" s="584">
        <f t="shared" si="182"/>
        <v>-32.441931098540181</v>
      </c>
      <c r="AG377" s="583">
        <f t="shared" si="183"/>
        <v>13.596391427494158</v>
      </c>
      <c r="AH377" s="584">
        <f t="shared" si="184"/>
        <v>-40.667603521235577</v>
      </c>
      <c r="AJ377" s="147">
        <f t="shared" si="185"/>
        <v>0</v>
      </c>
      <c r="AK377" s="147">
        <f t="shared" si="197"/>
        <v>0</v>
      </c>
      <c r="AM377" s="147" t="str">
        <f t="shared" si="189"/>
        <v>1.58159452955966+0.813478827743092i</v>
      </c>
      <c r="AN377" s="147" t="str">
        <f t="shared" si="190"/>
        <v>2.19148378369903i</v>
      </c>
      <c r="AO377" s="147" t="str">
        <f t="shared" si="191"/>
        <v>0.371200021553439-0.721700311598961i</v>
      </c>
      <c r="AP377" s="147" t="str">
        <f t="shared" si="192"/>
        <v>-0.0969324215932772-0.135579804623849i</v>
      </c>
      <c r="AQ377" s="147" t="str">
        <f t="shared" si="193"/>
        <v>1.09693242159328+0.135579804623849i</v>
      </c>
      <c r="AR377" s="147" t="str">
        <f t="shared" si="194"/>
        <v>0.747964004780639-0.0924476400164521i</v>
      </c>
    </row>
    <row r="378" spans="7:44">
      <c r="G378" s="585">
        <v>31807</v>
      </c>
      <c r="H378" s="573">
        <f t="shared" si="186"/>
        <v>31.806999999999999</v>
      </c>
      <c r="I378" s="574">
        <f t="shared" si="166"/>
        <v>276.88411249989178</v>
      </c>
      <c r="J378" s="575">
        <f t="shared" si="167"/>
        <v>1.567184699659812</v>
      </c>
      <c r="K378" s="575">
        <f t="shared" si="168"/>
        <v>1.0021723588714182</v>
      </c>
      <c r="L378" s="576">
        <f t="shared" si="169"/>
        <v>6.585489394896013E-2</v>
      </c>
      <c r="M378" s="575">
        <f t="shared" si="170"/>
        <v>1.0996490028232733</v>
      </c>
      <c r="N378" s="576">
        <f t="shared" si="171"/>
        <v>-0.42900260583860023</v>
      </c>
      <c r="O378" s="574">
        <f t="shared" si="172"/>
        <v>599547.82451213407</v>
      </c>
      <c r="P378" s="577">
        <f t="shared" si="173"/>
        <v>1.5707946588712396</v>
      </c>
      <c r="Q378" s="586">
        <f t="shared" si="195"/>
        <v>111.92006147225824</v>
      </c>
      <c r="R378" s="587">
        <f t="shared" si="196"/>
        <v>1.5618612592755041</v>
      </c>
      <c r="S378" s="574">
        <f t="shared" si="174"/>
        <v>1.1801640314024824</v>
      </c>
      <c r="T378" s="577">
        <f t="shared" si="175"/>
        <v>0.55984047315006824</v>
      </c>
      <c r="U378" s="578">
        <f t="shared" si="187"/>
        <v>0.60922777085688373</v>
      </c>
      <c r="V378" s="579">
        <f t="shared" si="188"/>
        <v>-1.2237840359058552</v>
      </c>
      <c r="W378" s="580">
        <f t="shared" si="176"/>
        <v>-21.033528374275793</v>
      </c>
      <c r="X378" s="581">
        <f t="shared" si="177"/>
        <v>-213.30590318136885</v>
      </c>
      <c r="Y378" s="584">
        <f t="shared" si="178"/>
        <v>-33.305903181368848</v>
      </c>
      <c r="AA378" s="147">
        <f t="shared" si="179"/>
        <v>31807</v>
      </c>
      <c r="AB378" s="147">
        <f t="shared" si="180"/>
        <v>1011685249</v>
      </c>
      <c r="AD378" s="583">
        <f t="shared" si="181"/>
        <v>29.088284788471199</v>
      </c>
      <c r="AE378" s="584">
        <f t="shared" si="182"/>
        <v>-32.588342442883125</v>
      </c>
      <c r="AG378" s="583">
        <f t="shared" si="183"/>
        <v>13.58924449054356</v>
      </c>
      <c r="AH378" s="584">
        <f t="shared" si="184"/>
        <v>-40.482239992459697</v>
      </c>
      <c r="AJ378" s="147">
        <f t="shared" si="185"/>
        <v>0</v>
      </c>
      <c r="AK378" s="147">
        <f t="shared" si="197"/>
        <v>0</v>
      </c>
      <c r="AM378" s="147" t="str">
        <f t="shared" si="189"/>
        <v>1.59191984506184+0.805996834374655i</v>
      </c>
      <c r="AN378" s="147" t="str">
        <f t="shared" si="190"/>
        <v>2.20423504120783i</v>
      </c>
      <c r="AO378" s="147" t="str">
        <f t="shared" si="191"/>
        <v>0.365658298369579-0.722209662445768i</v>
      </c>
      <c r="AP378" s="147" t="str">
        <f t="shared" si="192"/>
        <v>-0.098653307510307-0.134332805729109i</v>
      </c>
      <c r="AQ378" s="147" t="str">
        <f t="shared" si="193"/>
        <v>1.09865330751031+0.134332805729109i</v>
      </c>
      <c r="AR378" s="147" t="str">
        <f t="shared" si="194"/>
        <v>0.747032784464418-0.0913400152921237i</v>
      </c>
    </row>
    <row r="379" spans="7:44">
      <c r="G379" s="585">
        <v>31991</v>
      </c>
      <c r="H379" s="573">
        <f t="shared" si="186"/>
        <v>31.991</v>
      </c>
      <c r="I379" s="574">
        <f t="shared" si="166"/>
        <v>278.48583583353195</v>
      </c>
      <c r="J379" s="575">
        <f t="shared" si="167"/>
        <v>1.5672054721790789</v>
      </c>
      <c r="K379" s="575">
        <f t="shared" si="168"/>
        <v>1.0021975376484076</v>
      </c>
      <c r="L379" s="576">
        <f t="shared" si="169"/>
        <v>6.6234747236632016E-2</v>
      </c>
      <c r="M379" s="575">
        <f t="shared" si="170"/>
        <v>1.1007523120011677</v>
      </c>
      <c r="N379" s="576">
        <f t="shared" si="171"/>
        <v>-0.43118866342174966</v>
      </c>
      <c r="O379" s="574">
        <f t="shared" si="172"/>
        <v>603016.14279772923</v>
      </c>
      <c r="P379" s="577">
        <f t="shared" si="173"/>
        <v>1.5707946684644987</v>
      </c>
      <c r="Q379" s="586">
        <f t="shared" si="195"/>
        <v>112.56745519087016</v>
      </c>
      <c r="R379" s="587">
        <f t="shared" si="196"/>
        <v>1.5619126476558596</v>
      </c>
      <c r="S379" s="574">
        <f t="shared" si="174"/>
        <v>1.1820933747048661</v>
      </c>
      <c r="T379" s="577">
        <f t="shared" si="175"/>
        <v>0.56243931634369493</v>
      </c>
      <c r="U379" s="578">
        <f t="shared" si="187"/>
        <v>0.60682280820833667</v>
      </c>
      <c r="V379" s="579">
        <f t="shared" si="188"/>
        <v>-1.2288366709689598</v>
      </c>
      <c r="W379" s="580">
        <f t="shared" si="176"/>
        <v>-21.123249283979227</v>
      </c>
      <c r="X379" s="581">
        <f t="shared" si="177"/>
        <v>-213.84603486622879</v>
      </c>
      <c r="Y379" s="584">
        <f t="shared" si="178"/>
        <v>-33.846034866228791</v>
      </c>
      <c r="AA379" s="147">
        <f t="shared" si="179"/>
        <v>31991</v>
      </c>
      <c r="AB379" s="147">
        <f t="shared" si="180"/>
        <v>1023424081</v>
      </c>
      <c r="AD379" s="583">
        <f t="shared" si="181"/>
        <v>29.074092631563566</v>
      </c>
      <c r="AE379" s="584">
        <f t="shared" si="182"/>
        <v>-32.734301402003901</v>
      </c>
      <c r="AG379" s="583">
        <f t="shared" si="183"/>
        <v>13.582427575044132</v>
      </c>
      <c r="AH379" s="584">
        <f t="shared" si="184"/>
        <v>-40.297423388465909</v>
      </c>
      <c r="AJ379" s="147">
        <f t="shared" si="185"/>
        <v>0</v>
      </c>
      <c r="AK379" s="147">
        <f t="shared" si="197"/>
        <v>0</v>
      </c>
      <c r="AM379" s="147" t="str">
        <f t="shared" si="189"/>
        <v>1.60214891891652+0.798383792074753i</v>
      </c>
      <c r="AN379" s="147" t="str">
        <f t="shared" si="190"/>
        <v>2.21698629871662i</v>
      </c>
      <c r="AO379" s="147" t="str">
        <f t="shared" si="191"/>
        <v>0.360121211636231-0.722669743085007i</v>
      </c>
      <c r="AP379" s="147" t="str">
        <f t="shared" si="192"/>
        <v>-0.100358153152754-0.133063965345792i</v>
      </c>
      <c r="AQ379" s="147" t="str">
        <f t="shared" si="193"/>
        <v>1.10035815315275+0.133063965345792i</v>
      </c>
      <c r="AR379" s="147" t="str">
        <f t="shared" si="194"/>
        <v>0.746115389119046-0.090226143185506i</v>
      </c>
    </row>
    <row r="380" spans="7:44">
      <c r="G380" s="585">
        <v>32175</v>
      </c>
      <c r="H380" s="573">
        <f t="shared" si="186"/>
        <v>32.174999999999997</v>
      </c>
      <c r="I380" s="574">
        <f t="shared" si="166"/>
        <v>280.08755928596366</v>
      </c>
      <c r="J380" s="575">
        <f t="shared" si="167"/>
        <v>1.5672260071167112</v>
      </c>
      <c r="K380" s="575">
        <f t="shared" si="168"/>
        <v>1.0022228610237185</v>
      </c>
      <c r="L380" s="576">
        <f t="shared" si="169"/>
        <v>6.6614581383441868E-2</v>
      </c>
      <c r="M380" s="575">
        <f t="shared" si="170"/>
        <v>1.1018608709576485</v>
      </c>
      <c r="N380" s="576">
        <f t="shared" si="171"/>
        <v>-0.43337033272057518</v>
      </c>
      <c r="O380" s="574">
        <f t="shared" si="172"/>
        <v>606484.46108332451</v>
      </c>
      <c r="P380" s="577">
        <f t="shared" si="173"/>
        <v>1.5707946779480355</v>
      </c>
      <c r="Q380" s="586">
        <f t="shared" si="195"/>
        <v>113.21484920334667</v>
      </c>
      <c r="R380" s="587">
        <f t="shared" si="196"/>
        <v>1.5619634483302303</v>
      </c>
      <c r="S380" s="574">
        <f t="shared" si="174"/>
        <v>1.1840306757990189</v>
      </c>
      <c r="T380" s="577">
        <f t="shared" si="175"/>
        <v>0.56502967257394299</v>
      </c>
      <c r="U380" s="578">
        <f t="shared" si="187"/>
        <v>0.60442699841875602</v>
      </c>
      <c r="V380" s="579">
        <f t="shared" si="188"/>
        <v>-1.2338753684499322</v>
      </c>
      <c r="W380" s="580">
        <f t="shared" si="176"/>
        <v>-21.21268902580336</v>
      </c>
      <c r="X380" s="581">
        <f t="shared" si="177"/>
        <v>-214.38465144015231</v>
      </c>
      <c r="Y380" s="584">
        <f t="shared" si="178"/>
        <v>-34.384651440152311</v>
      </c>
      <c r="AA380" s="147">
        <f t="shared" si="179"/>
        <v>32175</v>
      </c>
      <c r="AB380" s="147">
        <f t="shared" si="180"/>
        <v>1035230625</v>
      </c>
      <c r="AD380" s="583">
        <f t="shared" si="181"/>
        <v>29.059865303440276</v>
      </c>
      <c r="AE380" s="584">
        <f t="shared" si="182"/>
        <v>-32.879807760727566</v>
      </c>
      <c r="AG380" s="583">
        <f t="shared" si="183"/>
        <v>13.575936795643987</v>
      </c>
      <c r="AH380" s="584">
        <f t="shared" si="184"/>
        <v>-40.113141403200132</v>
      </c>
      <c r="AJ380" s="147">
        <f t="shared" si="185"/>
        <v>0</v>
      </c>
      <c r="AK380" s="147">
        <f t="shared" si="197"/>
        <v>0</v>
      </c>
      <c r="AM380" s="147" t="str">
        <f t="shared" si="189"/>
        <v>1.61228008795441+0.790640938665926i</v>
      </c>
      <c r="AN380" s="147" t="str">
        <f t="shared" si="190"/>
        <v>2.22973755622542i</v>
      </c>
      <c r="AO380" s="147" t="str">
        <f t="shared" si="191"/>
        <v>0.354589236952331-0.723080652901472i</v>
      </c>
      <c r="AP380" s="147" t="str">
        <f t="shared" si="192"/>
        <v>-0.102046681325736-0.131773489777654i</v>
      </c>
      <c r="AQ380" s="147" t="str">
        <f t="shared" si="193"/>
        <v>1.10204668132574+0.131773489777654i</v>
      </c>
      <c r="AR380" s="147" t="str">
        <f t="shared" si="194"/>
        <v>0.745211780206534-0.0891061681553285i</v>
      </c>
    </row>
    <row r="381" spans="7:44">
      <c r="G381" s="585">
        <v>32359</v>
      </c>
      <c r="H381" s="573">
        <f t="shared" si="186"/>
        <v>32.359000000000002</v>
      </c>
      <c r="I381" s="574">
        <f t="shared" si="166"/>
        <v>281.68928285516051</v>
      </c>
      <c r="J381" s="575">
        <f t="shared" si="167"/>
        <v>1.5672463085254562</v>
      </c>
      <c r="K381" s="575">
        <f t="shared" si="168"/>
        <v>1.0022483289863906</v>
      </c>
      <c r="L381" s="576">
        <f t="shared" si="169"/>
        <v>6.6994396281244387E-2</v>
      </c>
      <c r="M381" s="575">
        <f t="shared" si="170"/>
        <v>1.1029746638636415</v>
      </c>
      <c r="N381" s="576">
        <f t="shared" si="171"/>
        <v>-0.43554760622985306</v>
      </c>
      <c r="O381" s="574">
        <f t="shared" si="172"/>
        <v>609952.77936891979</v>
      </c>
      <c r="P381" s="577">
        <f t="shared" si="173"/>
        <v>1.5707946873237215</v>
      </c>
      <c r="Q381" s="586">
        <f t="shared" si="195"/>
        <v>113.86224350467526</v>
      </c>
      <c r="R381" s="587">
        <f t="shared" si="196"/>
        <v>1.5620136713230313</v>
      </c>
      <c r="S381" s="574">
        <f t="shared" si="174"/>
        <v>1.1859758956875925</v>
      </c>
      <c r="T381" s="577">
        <f t="shared" si="175"/>
        <v>0.56761154875426989</v>
      </c>
      <c r="U381" s="578">
        <f t="shared" si="187"/>
        <v>0.60204032846011435</v>
      </c>
      <c r="V381" s="579">
        <f t="shared" si="188"/>
        <v>-1.2389003390886488</v>
      </c>
      <c r="W381" s="580">
        <f t="shared" si="176"/>
        <v>-21.301850319495585</v>
      </c>
      <c r="X381" s="581">
        <f t="shared" si="177"/>
        <v>-214.92176460789122</v>
      </c>
      <c r="Y381" s="584">
        <f t="shared" si="178"/>
        <v>-34.92176460789122</v>
      </c>
      <c r="AA381" s="147">
        <f t="shared" si="179"/>
        <v>32359</v>
      </c>
      <c r="AB381" s="147">
        <f t="shared" si="180"/>
        <v>1047104881</v>
      </c>
      <c r="AD381" s="583">
        <f t="shared" si="181"/>
        <v>29.045603298906414</v>
      </c>
      <c r="AE381" s="584">
        <f t="shared" si="182"/>
        <v>-33.024861340916637</v>
      </c>
      <c r="AG381" s="583">
        <f t="shared" si="183"/>
        <v>13.569768348816689</v>
      </c>
      <c r="AH381" s="584">
        <f t="shared" si="184"/>
        <v>-39.929381770540772</v>
      </c>
      <c r="AJ381" s="147">
        <f t="shared" si="185"/>
        <v>0</v>
      </c>
      <c r="AK381" s="147">
        <f t="shared" si="197"/>
        <v>0</v>
      </c>
      <c r="AM381" s="147" t="str">
        <f t="shared" si="189"/>
        <v>1.62231170492476+0.782769533077034i</v>
      </c>
      <c r="AN381" s="147" t="str">
        <f t="shared" si="190"/>
        <v>2.24248881373421i</v>
      </c>
      <c r="AO381" s="147" t="str">
        <f t="shared" si="191"/>
        <v>0.349062848511409-0.723442496118085i</v>
      </c>
      <c r="AP381" s="147" t="str">
        <f t="shared" si="192"/>
        <v>-0.10371861748746-0.130461588846172i</v>
      </c>
      <c r="AQ381" s="147" t="str">
        <f t="shared" si="193"/>
        <v>1.10371861748746+0.130461588846172i</v>
      </c>
      <c r="AR381" s="147" t="str">
        <f t="shared" si="194"/>
        <v>0.744321918754987-0.0879802320947171i</v>
      </c>
    </row>
    <row r="382" spans="7:44">
      <c r="G382" s="585">
        <v>32547.5</v>
      </c>
      <c r="H382" s="573">
        <f t="shared" si="186"/>
        <v>32.547499999999999</v>
      </c>
      <c r="I382" s="574">
        <f t="shared" si="166"/>
        <v>283.33017913066089</v>
      </c>
      <c r="J382" s="575">
        <f t="shared" si="167"/>
        <v>1.567266868410863</v>
      </c>
      <c r="K382" s="575">
        <f t="shared" si="168"/>
        <v>1.0022745697300797</v>
      </c>
      <c r="L382" s="576">
        <f t="shared" si="169"/>
        <v>6.7383480056417935E-2</v>
      </c>
      <c r="M382" s="575">
        <f t="shared" si="170"/>
        <v>1.1041211072315633</v>
      </c>
      <c r="N382" s="576">
        <f t="shared" si="171"/>
        <v>-0.43777356227418007</v>
      </c>
      <c r="O382" s="574">
        <f t="shared" si="172"/>
        <v>613505.92065606511</v>
      </c>
      <c r="P382" s="577">
        <f t="shared" si="173"/>
        <v>1.5707946968187769</v>
      </c>
      <c r="Q382" s="586">
        <f t="shared" si="195"/>
        <v>114.52547111322191</v>
      </c>
      <c r="R382" s="587">
        <f t="shared" si="196"/>
        <v>1.5620645337905912</v>
      </c>
      <c r="S382" s="574">
        <f t="shared" si="174"/>
        <v>1.1879768598828018</v>
      </c>
      <c r="T382" s="577">
        <f t="shared" si="175"/>
        <v>0.57024778262646025</v>
      </c>
      <c r="U382" s="578">
        <f t="shared" si="187"/>
        <v>0.59960475111540923</v>
      </c>
      <c r="V382" s="579">
        <f t="shared" si="188"/>
        <v>-1.2440341882021091</v>
      </c>
      <c r="W382" s="580">
        <f t="shared" si="176"/>
        <v>-21.392906255029907</v>
      </c>
      <c r="X382" s="581">
        <f t="shared" si="177"/>
        <v>-215.47046693255041</v>
      </c>
      <c r="Y382" s="584">
        <f t="shared" si="178"/>
        <v>-35.470466932550409</v>
      </c>
      <c r="AA382" s="147">
        <f t="shared" si="179"/>
        <v>32547.5</v>
      </c>
      <c r="AB382" s="147">
        <f t="shared" si="180"/>
        <v>1059339756.25</v>
      </c>
      <c r="AD382" s="583">
        <f t="shared" si="181"/>
        <v>29.030957050739744</v>
      </c>
      <c r="AE382" s="584">
        <f t="shared" si="182"/>
        <v>-33.172992755071611</v>
      </c>
      <c r="AG382" s="583">
        <f t="shared" si="183"/>
        <v>13.563779404980018</v>
      </c>
      <c r="AH382" s="584">
        <f t="shared" si="184"/>
        <v>-39.74165690665621</v>
      </c>
      <c r="AJ382" s="147">
        <f t="shared" si="185"/>
        <v>0</v>
      </c>
      <c r="AK382" s="147">
        <f t="shared" si="197"/>
        <v>0</v>
      </c>
      <c r="AM382" s="147" t="str">
        <f t="shared" si="189"/>
        <v>1.63248372139701+0.774573651867778i</v>
      </c>
      <c r="AN382" s="147" t="str">
        <f t="shared" si="190"/>
        <v>2.25555192264947i</v>
      </c>
      <c r="AO382" s="147" t="str">
        <f t="shared" si="191"/>
        <v>0.343407590882647-0.723762421518288i</v>
      </c>
      <c r="AP382" s="147" t="str">
        <f t="shared" si="192"/>
        <v>-0.105413953566169-0.12909560864463i</v>
      </c>
      <c r="AQ382" s="147" t="str">
        <f t="shared" si="193"/>
        <v>1.10541395356617+0.12909560864463i</v>
      </c>
      <c r="AR382" s="147" t="str">
        <f t="shared" si="194"/>
        <v>0.743424509138629-0.0868207237469448i</v>
      </c>
    </row>
    <row r="383" spans="7:44">
      <c r="G383" s="585">
        <v>32736</v>
      </c>
      <c r="H383" s="573">
        <f t="shared" si="186"/>
        <v>32.735999999999997</v>
      </c>
      <c r="I383" s="574">
        <f t="shared" si="166"/>
        <v>284.97107552454821</v>
      </c>
      <c r="J383" s="575">
        <f t="shared" si="167"/>
        <v>1.5672871915238848</v>
      </c>
      <c r="K383" s="575">
        <f t="shared" si="168"/>
        <v>1.0023009621963332</v>
      </c>
      <c r="L383" s="576">
        <f t="shared" si="169"/>
        <v>6.7772543399875027E-2</v>
      </c>
      <c r="M383" s="575">
        <f t="shared" si="170"/>
        <v>1.1052730100224877</v>
      </c>
      <c r="N383" s="576">
        <f t="shared" si="171"/>
        <v>-0.43999488957438571</v>
      </c>
      <c r="O383" s="574">
        <f t="shared" si="172"/>
        <v>617059.06194321043</v>
      </c>
      <c r="P383" s="577">
        <f t="shared" si="173"/>
        <v>1.5707947062044836</v>
      </c>
      <c r="Q383" s="586">
        <f t="shared" si="195"/>
        <v>115.18869901463307</v>
      </c>
      <c r="R383" s="587">
        <f t="shared" si="196"/>
        <v>1.5621148105513851</v>
      </c>
      <c r="S383" s="574">
        <f t="shared" si="174"/>
        <v>1.1899860523965153</v>
      </c>
      <c r="T383" s="577">
        <f t="shared" si="175"/>
        <v>0.57287513258333578</v>
      </c>
      <c r="U383" s="578">
        <f t="shared" si="187"/>
        <v>0.59717873245564201</v>
      </c>
      <c r="V383" s="579">
        <f t="shared" si="188"/>
        <v>-1.2491540766632234</v>
      </c>
      <c r="W383" s="580">
        <f t="shared" si="176"/>
        <v>-21.483675642892024</v>
      </c>
      <c r="X383" s="581">
        <f t="shared" si="177"/>
        <v>-216.01761630924668</v>
      </c>
      <c r="Y383" s="584">
        <f t="shared" si="178"/>
        <v>-36.017616309246677</v>
      </c>
      <c r="AA383" s="147">
        <f t="shared" si="179"/>
        <v>32736</v>
      </c>
      <c r="AB383" s="147">
        <f t="shared" si="180"/>
        <v>1071645696</v>
      </c>
      <c r="AD383" s="583">
        <f t="shared" si="181"/>
        <v>29.016275451345098</v>
      </c>
      <c r="AE383" s="584">
        <f t="shared" si="182"/>
        <v>-33.320648710633485</v>
      </c>
      <c r="AG383" s="583">
        <f t="shared" si="183"/>
        <v>13.558120928050188</v>
      </c>
      <c r="AH383" s="584">
        <f t="shared" si="184"/>
        <v>-39.554454326321064</v>
      </c>
      <c r="AJ383" s="147">
        <f t="shared" si="185"/>
        <v>0</v>
      </c>
      <c r="AK383" s="147">
        <f t="shared" si="197"/>
        <v>0</v>
      </c>
      <c r="AM383" s="147" t="str">
        <f t="shared" si="189"/>
        <v>1.64254780933673+0.766245595560956i</v>
      </c>
      <c r="AN383" s="147" t="str">
        <f t="shared" si="190"/>
        <v>2.26861503156473i</v>
      </c>
      <c r="AO383" s="147" t="str">
        <f t="shared" si="191"/>
        <v>0.337759198850258-0.724031087902921i</v>
      </c>
      <c r="AP383" s="147" t="str">
        <f t="shared" si="192"/>
        <v>-0.107091301556122-0.127707599260159i</v>
      </c>
      <c r="AQ383" s="147" t="str">
        <f t="shared" si="193"/>
        <v>1.10709130155612+0.127707599260159i</v>
      </c>
      <c r="AR383" s="147" t="str">
        <f t="shared" si="194"/>
        <v>0.74254144366133-0.0856552526317126i</v>
      </c>
    </row>
    <row r="384" spans="7:44">
      <c r="G384" s="585">
        <v>32924.5</v>
      </c>
      <c r="H384" s="573">
        <f t="shared" si="186"/>
        <v>32.924500000000002</v>
      </c>
      <c r="I384" s="574">
        <f t="shared" si="166"/>
        <v>286.61197203478912</v>
      </c>
      <c r="J384" s="575">
        <f t="shared" si="167"/>
        <v>1.5673072819311769</v>
      </c>
      <c r="K384" s="575">
        <f t="shared" si="168"/>
        <v>1.002327506373166</v>
      </c>
      <c r="L384" s="576">
        <f t="shared" si="169"/>
        <v>6.816158619544907E-2</v>
      </c>
      <c r="M384" s="575">
        <f t="shared" si="170"/>
        <v>1.106430355185027</v>
      </c>
      <c r="N384" s="576">
        <f t="shared" si="171"/>
        <v>-0.44221158070033195</v>
      </c>
      <c r="O384" s="574">
        <f t="shared" si="172"/>
        <v>620612.20323035575</v>
      </c>
      <c r="P384" s="577">
        <f t="shared" si="173"/>
        <v>1.57079471548272</v>
      </c>
      <c r="Q384" s="586">
        <f t="shared" si="195"/>
        <v>115.85192720387906</v>
      </c>
      <c r="R384" s="587">
        <f t="shared" si="196"/>
        <v>1.5621645116643046</v>
      </c>
      <c r="S384" s="574">
        <f t="shared" si="174"/>
        <v>1.1920034316207764</v>
      </c>
      <c r="T384" s="577">
        <f t="shared" si="175"/>
        <v>0.57549360736668309</v>
      </c>
      <c r="U384" s="578">
        <f t="shared" si="187"/>
        <v>0.59476225251398174</v>
      </c>
      <c r="V384" s="579">
        <f t="shared" si="188"/>
        <v>-1.2542602290801887</v>
      </c>
      <c r="W384" s="580">
        <f t="shared" si="176"/>
        <v>-21.574161316226117</v>
      </c>
      <c r="X384" s="581">
        <f t="shared" si="177"/>
        <v>-216.56322534566741</v>
      </c>
      <c r="Y384" s="584">
        <f t="shared" si="178"/>
        <v>-36.563225345667405</v>
      </c>
      <c r="AA384" s="147">
        <f t="shared" si="179"/>
        <v>32924.5</v>
      </c>
      <c r="AB384" s="147">
        <f t="shared" si="180"/>
        <v>1084022700.25</v>
      </c>
      <c r="AD384" s="583">
        <f t="shared" si="181"/>
        <v>29.001559023294231</v>
      </c>
      <c r="AE384" s="584">
        <f t="shared" si="182"/>
        <v>-33.467829132245292</v>
      </c>
      <c r="AG384" s="583">
        <f t="shared" si="183"/>
        <v>13.55278908564819</v>
      </c>
      <c r="AH384" s="584">
        <f t="shared" si="184"/>
        <v>-39.36776097437609</v>
      </c>
      <c r="AJ384" s="147">
        <f t="shared" si="185"/>
        <v>0</v>
      </c>
      <c r="AK384" s="147">
        <f t="shared" si="197"/>
        <v>0</v>
      </c>
      <c r="AM384" s="147" t="str">
        <f t="shared" si="189"/>
        <v>1.65250225138392+0.757786785275984i</v>
      </c>
      <c r="AN384" s="147" t="str">
        <f t="shared" si="190"/>
        <v>2.28167814047999i</v>
      </c>
      <c r="AO384" s="147" t="str">
        <f t="shared" si="191"/>
        <v>0.332118177332659-0.724248623005297i</v>
      </c>
      <c r="AP384" s="147" t="str">
        <f t="shared" si="192"/>
        <v>-0.108750375230654-0.126297797545997i</v>
      </c>
      <c r="AQ384" s="147" t="str">
        <f t="shared" si="193"/>
        <v>1.10875037523065+0.126297797545997i</v>
      </c>
      <c r="AR384" s="147" t="str">
        <f t="shared" si="194"/>
        <v>0.741672679342797-0.0844839632018591i</v>
      </c>
    </row>
    <row r="385" spans="7:44">
      <c r="G385" s="585">
        <v>33113</v>
      </c>
      <c r="H385" s="573">
        <f t="shared" si="186"/>
        <v>33.113</v>
      </c>
      <c r="I385" s="574">
        <f t="shared" si="166"/>
        <v>288.25286865939648</v>
      </c>
      <c r="J385" s="575">
        <f t="shared" si="167"/>
        <v>1.5673271436067966</v>
      </c>
      <c r="K385" s="575">
        <f t="shared" si="168"/>
        <v>1.0023542022485252</v>
      </c>
      <c r="L385" s="576">
        <f t="shared" si="169"/>
        <v>6.8550608327010584E-2</v>
      </c>
      <c r="M385" s="575">
        <f t="shared" si="170"/>
        <v>1.1075931256586673</v>
      </c>
      <c r="N385" s="576">
        <f t="shared" si="171"/>
        <v>-0.44442362843510858</v>
      </c>
      <c r="O385" s="574">
        <f t="shared" si="172"/>
        <v>624165.34451750107</v>
      </c>
      <c r="P385" s="577">
        <f t="shared" si="173"/>
        <v>1.5707947246553213</v>
      </c>
      <c r="Q385" s="586">
        <f t="shared" si="195"/>
        <v>116.51515567604457</v>
      </c>
      <c r="R385" s="587">
        <f t="shared" si="196"/>
        <v>1.562213646959224</v>
      </c>
      <c r="S385" s="574">
        <f t="shared" si="174"/>
        <v>1.1940289560598589</v>
      </c>
      <c r="T385" s="577">
        <f t="shared" si="175"/>
        <v>0.57810321614614335</v>
      </c>
      <c r="U385" s="578">
        <f t="shared" si="187"/>
        <v>0.59235528943054272</v>
      </c>
      <c r="V385" s="579">
        <f t="shared" si="188"/>
        <v>-1.2593528693851208</v>
      </c>
      <c r="W385" s="580">
        <f t="shared" si="176"/>
        <v>-21.664366079581892</v>
      </c>
      <c r="X385" s="581">
        <f t="shared" si="177"/>
        <v>-217.10730665530622</v>
      </c>
      <c r="Y385" s="584">
        <f t="shared" si="178"/>
        <v>-37.107306655306218</v>
      </c>
      <c r="AA385" s="147">
        <f t="shared" si="179"/>
        <v>33113</v>
      </c>
      <c r="AB385" s="147">
        <f t="shared" si="180"/>
        <v>1096470769</v>
      </c>
      <c r="AD385" s="583">
        <f t="shared" si="181"/>
        <v>28.986808285938181</v>
      </c>
      <c r="AE385" s="584">
        <f t="shared" si="182"/>
        <v>-33.614533982183616</v>
      </c>
      <c r="AG385" s="583">
        <f t="shared" si="183"/>
        <v>13.547780128873084</v>
      </c>
      <c r="AH385" s="584">
        <f t="shared" si="184"/>
        <v>-39.18156384130809</v>
      </c>
      <c r="AJ385" s="147">
        <f t="shared" si="185"/>
        <v>0</v>
      </c>
      <c r="AK385" s="147">
        <f t="shared" si="197"/>
        <v>0</v>
      </c>
      <c r="AM385" s="147" t="str">
        <f t="shared" si="189"/>
        <v>1.66234534888882+0.749198664444447i</v>
      </c>
      <c r="AN385" s="147" t="str">
        <f t="shared" si="190"/>
        <v>2.29474124939525i</v>
      </c>
      <c r="AO385" s="147" t="str">
        <f t="shared" si="191"/>
        <v>0.32648502947419-0.724415159803708i</v>
      </c>
      <c r="AP385" s="147" t="str">
        <f t="shared" si="192"/>
        <v>-0.110390891481471-0.124866444074075i</v>
      </c>
      <c r="AQ385" s="147" t="str">
        <f t="shared" si="193"/>
        <v>1.11039089148147+0.124866444074075i</v>
      </c>
      <c r="AR385" s="147" t="str">
        <f t="shared" si="194"/>
        <v>0.740818172947494-0.0833069972665121i</v>
      </c>
    </row>
    <row r="386" spans="7:44">
      <c r="G386" s="585">
        <v>33305.75</v>
      </c>
      <c r="H386" s="573">
        <f t="shared" si="186"/>
        <v>33.305750000000003</v>
      </c>
      <c r="I386" s="574">
        <f t="shared" si="166"/>
        <v>289.93076174323943</v>
      </c>
      <c r="J386" s="575">
        <f t="shared" si="167"/>
        <v>1.5673472206127435</v>
      </c>
      <c r="K386" s="575">
        <f t="shared" si="168"/>
        <v>1.0023816568751223</v>
      </c>
      <c r="L386" s="576">
        <f t="shared" si="169"/>
        <v>6.8948380025525002E-2</v>
      </c>
      <c r="M386" s="575">
        <f t="shared" si="170"/>
        <v>1.1087877048317365</v>
      </c>
      <c r="N386" s="576">
        <f t="shared" si="171"/>
        <v>-0.44668074101920363</v>
      </c>
      <c r="O386" s="574">
        <f t="shared" si="172"/>
        <v>627798.59641722147</v>
      </c>
      <c r="P386" s="577">
        <f t="shared" si="173"/>
        <v>1.570794733927366</v>
      </c>
      <c r="Q386" s="586">
        <f t="shared" si="195"/>
        <v>117.19333786285669</v>
      </c>
      <c r="R386" s="587">
        <f t="shared" si="196"/>
        <v>1.5622633149896088</v>
      </c>
      <c r="S386" s="574">
        <f t="shared" si="174"/>
        <v>1.1961085284625161</v>
      </c>
      <c r="T386" s="577">
        <f t="shared" si="175"/>
        <v>0.58076250415094344</v>
      </c>
      <c r="U386" s="578">
        <f t="shared" si="187"/>
        <v>0.58990387438427161</v>
      </c>
      <c r="V386" s="579">
        <f t="shared" si="188"/>
        <v>-1.2645465905621596</v>
      </c>
      <c r="W386" s="580">
        <f t="shared" si="176"/>
        <v>-21.756317048712582</v>
      </c>
      <c r="X386" s="581">
        <f t="shared" si="177"/>
        <v>-217.66208841439411</v>
      </c>
      <c r="Y386" s="584">
        <f t="shared" si="178"/>
        <v>-37.662088414394105</v>
      </c>
      <c r="AA386" s="147">
        <f t="shared" si="179"/>
        <v>33305.75</v>
      </c>
      <c r="AB386" s="147">
        <f t="shared" si="180"/>
        <v>1109272983.0625</v>
      </c>
      <c r="AD386" s="583">
        <f t="shared" si="181"/>
        <v>28.97169003161239</v>
      </c>
      <c r="AE386" s="584">
        <f t="shared" si="182"/>
        <v>-33.764054724270537</v>
      </c>
      <c r="AG386" s="583">
        <f t="shared" si="183"/>
        <v>13.542988305663275</v>
      </c>
      <c r="AH386" s="584">
        <f t="shared" si="184"/>
        <v>-38.99166825080497</v>
      </c>
      <c r="AJ386" s="147">
        <f t="shared" si="185"/>
        <v>0</v>
      </c>
      <c r="AK386" s="147">
        <f t="shared" si="197"/>
        <v>0</v>
      </c>
      <c r="AM386" s="147" t="str">
        <f t="shared" si="189"/>
        <v>1.67229348469917+0.740284722543325i</v>
      </c>
      <c r="AN386" s="147" t="str">
        <f t="shared" si="190"/>
        <v>2.30809888463884i</v>
      </c>
      <c r="AO386" s="147" t="str">
        <f t="shared" si="191"/>
        <v>0.320733538528251-0.724532859414662i</v>
      </c>
      <c r="AP386" s="147" t="str">
        <f t="shared" si="192"/>
        <v>-0.112048914116528-0.123380787090554i</v>
      </c>
      <c r="AQ386" s="147" t="str">
        <f t="shared" si="193"/>
        <v>1.11204891411653+0.123380787090554i</v>
      </c>
      <c r="AR386" s="147" t="str">
        <f t="shared" si="194"/>
        <v>0.739959098980198-0.0820977700603439i</v>
      </c>
    </row>
    <row r="387" spans="7:44">
      <c r="G387" s="585">
        <v>33498.5</v>
      </c>
      <c r="H387" s="573">
        <f t="shared" si="186"/>
        <v>33.4985</v>
      </c>
      <c r="I387" s="574">
        <f t="shared" si="166"/>
        <v>291.60865494260452</v>
      </c>
      <c r="J387" s="575">
        <f t="shared" si="167"/>
        <v>1.5673670665756811</v>
      </c>
      <c r="K387" s="575">
        <f t="shared" si="168"/>
        <v>1.0024092700921725</v>
      </c>
      <c r="L387" s="576">
        <f t="shared" si="169"/>
        <v>6.9346129872255413E-2</v>
      </c>
      <c r="M387" s="575">
        <f t="shared" si="170"/>
        <v>1.1099879206119005</v>
      </c>
      <c r="N387" s="576">
        <f t="shared" si="171"/>
        <v>-0.44893298388275987</v>
      </c>
      <c r="O387" s="574">
        <f t="shared" si="172"/>
        <v>631431.84831694188</v>
      </c>
      <c r="P387" s="577">
        <f t="shared" si="173"/>
        <v>1.5707947430927083</v>
      </c>
      <c r="Q387" s="586">
        <f t="shared" si="195"/>
        <v>117.87152033544781</v>
      </c>
      <c r="R387" s="587">
        <f t="shared" si="196"/>
        <v>1.5623124114827727</v>
      </c>
      <c r="S387" s="574">
        <f t="shared" si="174"/>
        <v>1.1981965301243844</v>
      </c>
      <c r="T387" s="577">
        <f t="shared" si="175"/>
        <v>0.58341254258321573</v>
      </c>
      <c r="U387" s="578">
        <f t="shared" si="187"/>
        <v>0.58746235813257897</v>
      </c>
      <c r="V387" s="579">
        <f t="shared" si="188"/>
        <v>-1.2697266548473556</v>
      </c>
      <c r="W387" s="580">
        <f t="shared" si="176"/>
        <v>-21.847980141895139</v>
      </c>
      <c r="X387" s="581">
        <f t="shared" si="177"/>
        <v>-218.21529947009665</v>
      </c>
      <c r="Y387" s="584">
        <f t="shared" si="178"/>
        <v>-38.215299470096653</v>
      </c>
      <c r="AA387" s="147">
        <f t="shared" si="179"/>
        <v>33498.5</v>
      </c>
      <c r="AB387" s="147">
        <f t="shared" si="180"/>
        <v>1122149502.25</v>
      </c>
      <c r="AD387" s="583">
        <f t="shared" si="181"/>
        <v>28.956536991366217</v>
      </c>
      <c r="AE387" s="584">
        <f t="shared" si="182"/>
        <v>-33.913078245445753</v>
      </c>
      <c r="AG387" s="583">
        <f t="shared" si="183"/>
        <v>13.538526424398178</v>
      </c>
      <c r="AH387" s="584">
        <f t="shared" si="184"/>
        <v>-38.802264142357664</v>
      </c>
      <c r="AJ387" s="147">
        <f t="shared" si="185"/>
        <v>0</v>
      </c>
      <c r="AK387" s="147">
        <f t="shared" si="197"/>
        <v>0</v>
      </c>
      <c r="AM387" s="147" t="str">
        <f t="shared" si="189"/>
        <v>1.6821216673739+0.731238696253861i</v>
      </c>
      <c r="AN387" s="147" t="str">
        <f t="shared" si="190"/>
        <v>2.32145651988243i</v>
      </c>
      <c r="AO387" s="147" t="str">
        <f t="shared" si="191"/>
        <v>0.31499133840805-0.724597533043217i</v>
      </c>
      <c r="AP387" s="147" t="str">
        <f t="shared" si="192"/>
        <v>-0.113686944562317-0.12187311604231i</v>
      </c>
      <c r="AQ387" s="147" t="str">
        <f t="shared" si="193"/>
        <v>1.11368694456232+0.12187311604231i</v>
      </c>
      <c r="AR387" s="147" t="str">
        <f t="shared" si="194"/>
        <v>0.739114841085206-0.0808828991270717i</v>
      </c>
    </row>
    <row r="388" spans="7:44">
      <c r="G388" s="585">
        <v>33691.25</v>
      </c>
      <c r="H388" s="573">
        <f t="shared" si="186"/>
        <v>33.691249999999997</v>
      </c>
      <c r="I388" s="574">
        <f t="shared" si="166"/>
        <v>293.2865482555091</v>
      </c>
      <c r="J388" s="575">
        <f t="shared" si="167"/>
        <v>1.567386685460987</v>
      </c>
      <c r="K388" s="575">
        <f t="shared" si="168"/>
        <v>1.0024370418865702</v>
      </c>
      <c r="L388" s="576">
        <f t="shared" si="169"/>
        <v>6.9743857743160859E-2</v>
      </c>
      <c r="M388" s="575">
        <f t="shared" si="170"/>
        <v>1.1111937547346273</v>
      </c>
      <c r="N388" s="576">
        <f t="shared" si="171"/>
        <v>-0.45118034999297479</v>
      </c>
      <c r="O388" s="574">
        <f t="shared" si="172"/>
        <v>635065.10021666239</v>
      </c>
      <c r="P388" s="577">
        <f t="shared" si="173"/>
        <v>1.5707947521531793</v>
      </c>
      <c r="Q388" s="586">
        <f t="shared" si="195"/>
        <v>118.54970308891342</v>
      </c>
      <c r="R388" s="587">
        <f t="shared" si="196"/>
        <v>1.5623609462471899</v>
      </c>
      <c r="S388" s="574">
        <f t="shared" si="174"/>
        <v>1.2002929170554346</v>
      </c>
      <c r="T388" s="577">
        <f t="shared" si="175"/>
        <v>0.58605334259022401</v>
      </c>
      <c r="U388" s="578">
        <f t="shared" si="187"/>
        <v>0.58503071152921582</v>
      </c>
      <c r="V388" s="579">
        <f t="shared" si="188"/>
        <v>-1.2748932994504878</v>
      </c>
      <c r="W388" s="580">
        <f t="shared" si="176"/>
        <v>-21.939358271498676</v>
      </c>
      <c r="X388" s="581">
        <f t="shared" si="177"/>
        <v>-218.76695332170144</v>
      </c>
      <c r="Y388" s="584">
        <f t="shared" si="178"/>
        <v>-38.766953321701436</v>
      </c>
      <c r="AA388" s="147">
        <f t="shared" si="179"/>
        <v>33691.25</v>
      </c>
      <c r="AB388" s="147">
        <f t="shared" si="180"/>
        <v>1135100326.5625</v>
      </c>
      <c r="AD388" s="583">
        <f t="shared" si="181"/>
        <v>28.941349709917287</v>
      </c>
      <c r="AE388" s="584">
        <f t="shared" si="182"/>
        <v>-34.061604622521138</v>
      </c>
      <c r="AG388" s="583">
        <f t="shared" si="183"/>
        <v>13.534390737552153</v>
      </c>
      <c r="AH388" s="584">
        <f t="shared" si="184"/>
        <v>-38.613337756203485</v>
      </c>
      <c r="AJ388" s="147">
        <f t="shared" si="185"/>
        <v>0</v>
      </c>
      <c r="AK388" s="147">
        <f t="shared" si="197"/>
        <v>0</v>
      </c>
      <c r="AM388" s="147" t="str">
        <f t="shared" si="189"/>
        <v>1.69182814333166+0.722062199602132i</v>
      </c>
      <c r="AN388" s="147" t="str">
        <f t="shared" si="190"/>
        <v>2.33481415512602i</v>
      </c>
      <c r="AO388" s="147" t="str">
        <f t="shared" si="191"/>
        <v>0.309258960939938-0.724609339727232i</v>
      </c>
      <c r="AP388" s="147" t="str">
        <f t="shared" si="192"/>
        <v>-0.115304690555276-0.120343699933689i</v>
      </c>
      <c r="AQ388" s="147" t="str">
        <f t="shared" si="193"/>
        <v>1.11530469055528+0.120343699933689i</v>
      </c>
      <c r="AR388" s="147" t="str">
        <f t="shared" si="194"/>
        <v>0.738285352540685-0.0796625278132373i</v>
      </c>
    </row>
    <row r="389" spans="7:44">
      <c r="G389" s="585">
        <v>33884</v>
      </c>
      <c r="H389" s="573">
        <f t="shared" si="186"/>
        <v>33.884</v>
      </c>
      <c r="I389" s="574">
        <f t="shared" si="166"/>
        <v>294.96444168001557</v>
      </c>
      <c r="J389" s="575">
        <f t="shared" si="167"/>
        <v>1.5674060811438124</v>
      </c>
      <c r="K389" s="575">
        <f t="shared" si="168"/>
        <v>1.0024649722451362</v>
      </c>
      <c r="L389" s="576">
        <f t="shared" si="169"/>
        <v>7.0141563514241889E-2</v>
      </c>
      <c r="M389" s="575">
        <f t="shared" si="170"/>
        <v>1.1124051889292652</v>
      </c>
      <c r="N389" s="576">
        <f t="shared" si="171"/>
        <v>-0.45342283254451354</v>
      </c>
      <c r="O389" s="574">
        <f t="shared" si="172"/>
        <v>638698.35211638291</v>
      </c>
      <c r="P389" s="577">
        <f t="shared" si="173"/>
        <v>1.570794761110569</v>
      </c>
      <c r="Q389" s="586">
        <f t="shared" si="195"/>
        <v>119.22788611846056</v>
      </c>
      <c r="R389" s="587">
        <f t="shared" si="196"/>
        <v>1.5624089288681791</v>
      </c>
      <c r="S389" s="574">
        <f t="shared" si="174"/>
        <v>1.2023976453963781</v>
      </c>
      <c r="T389" s="577">
        <f t="shared" si="175"/>
        <v>0.5886849157570625</v>
      </c>
      <c r="U389" s="578">
        <f t="shared" si="187"/>
        <v>0.58260890360046524</v>
      </c>
      <c r="V389" s="579">
        <f t="shared" si="188"/>
        <v>-1.280046760831556</v>
      </c>
      <c r="W389" s="580">
        <f t="shared" si="176"/>
        <v>-22.030454322956892</v>
      </c>
      <c r="X389" s="581">
        <f t="shared" si="177"/>
        <v>-219.3170634712672</v>
      </c>
      <c r="Y389" s="584">
        <f t="shared" si="178"/>
        <v>-39.317063471267204</v>
      </c>
      <c r="AA389" s="147">
        <f t="shared" si="179"/>
        <v>33884</v>
      </c>
      <c r="AB389" s="147">
        <f t="shared" si="180"/>
        <v>1148125456</v>
      </c>
      <c r="AD389" s="583">
        <f t="shared" si="181"/>
        <v>28.926128728389365</v>
      </c>
      <c r="AE389" s="584">
        <f t="shared" si="182"/>
        <v>-34.209633970177961</v>
      </c>
      <c r="AG389" s="583">
        <f t="shared" si="183"/>
        <v>13.530577582225011</v>
      </c>
      <c r="AH389" s="584">
        <f t="shared" si="184"/>
        <v>-38.424875383399893</v>
      </c>
      <c r="AJ389" s="147">
        <f t="shared" si="185"/>
        <v>0</v>
      </c>
      <c r="AK389" s="147">
        <f t="shared" si="197"/>
        <v>0</v>
      </c>
      <c r="AM389" s="147" t="str">
        <f t="shared" si="189"/>
        <v>1.70141118070644+0.712756869893236i</v>
      </c>
      <c r="AN389" s="147" t="str">
        <f t="shared" si="190"/>
        <v>2.34817179036961i</v>
      </c>
      <c r="AO389" s="147" t="str">
        <f t="shared" si="191"/>
        <v>0.303536935762713-0.724568444133567i</v>
      </c>
      <c r="AP389" s="147" t="str">
        <f t="shared" si="192"/>
        <v>-0.116901863451073-0.118792811648873i</v>
      </c>
      <c r="AQ389" s="147" t="str">
        <f t="shared" si="193"/>
        <v>1.11690186345107+0.118792811648873i</v>
      </c>
      <c r="AR389" s="147" t="str">
        <f t="shared" si="194"/>
        <v>0.737470586564118-0.0784367967796242i</v>
      </c>
    </row>
    <row r="390" spans="7:44">
      <c r="G390" s="585">
        <v>34081.5</v>
      </c>
      <c r="H390" s="573">
        <f t="shared" si="186"/>
        <v>34.081499999999998</v>
      </c>
      <c r="I390" s="574">
        <f t="shared" si="166"/>
        <v>296.68368408349835</v>
      </c>
      <c r="J390" s="575">
        <f t="shared" si="167"/>
        <v>1.5674257272400816</v>
      </c>
      <c r="K390" s="575">
        <f t="shared" si="168"/>
        <v>1.0024937553602524</v>
      </c>
      <c r="L390" s="576">
        <f t="shared" si="169"/>
        <v>7.0549047022962053E-2</v>
      </c>
      <c r="M390" s="575">
        <f t="shared" si="170"/>
        <v>1.1136522665510835</v>
      </c>
      <c r="N390" s="576">
        <f t="shared" si="171"/>
        <v>-0.45571550487063323</v>
      </c>
      <c r="O390" s="574">
        <f t="shared" si="172"/>
        <v>642421.13940662844</v>
      </c>
      <c r="P390" s="577">
        <f t="shared" si="173"/>
        <v>1.5707947701836042</v>
      </c>
      <c r="Q390" s="586">
        <f t="shared" si="195"/>
        <v>119.92278211114208</v>
      </c>
      <c r="R390" s="587">
        <f t="shared" si="196"/>
        <v>1.5624575310152946</v>
      </c>
      <c r="S390" s="574">
        <f t="shared" si="174"/>
        <v>1.2045628477869097</v>
      </c>
      <c r="T390" s="577">
        <f t="shared" si="175"/>
        <v>0.59137178148104663</v>
      </c>
      <c r="U390" s="578">
        <f t="shared" si="187"/>
        <v>0.58013758537730553</v>
      </c>
      <c r="V390" s="579">
        <f t="shared" si="188"/>
        <v>-1.2853137925675593</v>
      </c>
      <c r="W390" s="580">
        <f t="shared" si="176"/>
        <v>-22.123505683072004</v>
      </c>
      <c r="X390" s="581">
        <f t="shared" si="177"/>
        <v>-219.87914305021059</v>
      </c>
      <c r="Y390" s="584">
        <f t="shared" si="178"/>
        <v>-39.879143050210587</v>
      </c>
      <c r="AA390" s="147">
        <f t="shared" si="179"/>
        <v>34081.5</v>
      </c>
      <c r="AB390" s="147">
        <f t="shared" si="180"/>
        <v>1161548642.25</v>
      </c>
      <c r="AD390" s="583">
        <f t="shared" si="181"/>
        <v>28.910498257405848</v>
      </c>
      <c r="AE390" s="584">
        <f t="shared" si="182"/>
        <v>-34.36079585839498</v>
      </c>
      <c r="AG390" s="583">
        <f t="shared" si="183"/>
        <v>13.527001266689727</v>
      </c>
      <c r="AH390" s="584">
        <f t="shared" si="184"/>
        <v>-38.232235695367706</v>
      </c>
      <c r="AJ390" s="147">
        <f t="shared" si="185"/>
        <v>0</v>
      </c>
      <c r="AK390" s="147">
        <f t="shared" si="197"/>
        <v>0</v>
      </c>
      <c r="AM390" s="147" t="str">
        <f t="shared" si="189"/>
        <v>1.71110054898136+0.703090327936896i</v>
      </c>
      <c r="AN390" s="147" t="str">
        <f t="shared" si="190"/>
        <v>2.3618586020978i</v>
      </c>
      <c r="AO390" s="147" t="str">
        <f t="shared" si="191"/>
        <v>0.297685190515813-0.724472052417347i</v>
      </c>
      <c r="AP390" s="147" t="str">
        <f t="shared" si="192"/>
        <v>-0.11851675816356-0.117181721322816i</v>
      </c>
      <c r="AQ390" s="147" t="str">
        <f t="shared" si="193"/>
        <v>1.11851675816356+0.117181721322816i</v>
      </c>
      <c r="AR390" s="147" t="str">
        <f t="shared" si="194"/>
        <v>0.736650964371427-0.077175444524304i</v>
      </c>
    </row>
    <row r="391" spans="7:44">
      <c r="G391" s="585">
        <v>34279</v>
      </c>
      <c r="H391" s="573">
        <f t="shared" si="186"/>
        <v>34.279000000000003</v>
      </c>
      <c r="I391" s="574">
        <f t="shared" si="166"/>
        <v>298.40292660017235</v>
      </c>
      <c r="J391" s="575">
        <f t="shared" si="167"/>
        <v>1.5674451469551736</v>
      </c>
      <c r="K391" s="575">
        <f t="shared" si="168"/>
        <v>1.0025227049226744</v>
      </c>
      <c r="L391" s="576">
        <f t="shared" si="169"/>
        <v>7.0956507065764493E-2</v>
      </c>
      <c r="M391" s="575">
        <f t="shared" si="170"/>
        <v>1.1149051848016418</v>
      </c>
      <c r="N391" s="576">
        <f t="shared" si="171"/>
        <v>-0.45800303623818628</v>
      </c>
      <c r="O391" s="574">
        <f t="shared" si="172"/>
        <v>646143.92669687385</v>
      </c>
      <c r="P391" s="577">
        <f t="shared" si="173"/>
        <v>1.5707947791520902</v>
      </c>
      <c r="Q391" s="586">
        <f t="shared" si="195"/>
        <v>120.61767838383743</v>
      </c>
      <c r="R391" s="587">
        <f t="shared" si="196"/>
        <v>1.5625055731542163</v>
      </c>
      <c r="S391" s="574">
        <f t="shared" si="174"/>
        <v>1.2067367149721793</v>
      </c>
      <c r="T391" s="577">
        <f t="shared" si="175"/>
        <v>0.59404898600464062</v>
      </c>
      <c r="U391" s="578">
        <f t="shared" si="187"/>
        <v>0.57767652524301583</v>
      </c>
      <c r="V391" s="579">
        <f t="shared" si="188"/>
        <v>-1.290567483537348</v>
      </c>
      <c r="W391" s="580">
        <f t="shared" si="176"/>
        <v>-22.216266942163635</v>
      </c>
      <c r="X391" s="581">
        <f t="shared" si="177"/>
        <v>-220.43963061224449</v>
      </c>
      <c r="Y391" s="584">
        <f t="shared" si="178"/>
        <v>-40.439630612244486</v>
      </c>
      <c r="AA391" s="147">
        <f t="shared" si="179"/>
        <v>34279</v>
      </c>
      <c r="AB391" s="147">
        <f t="shared" si="180"/>
        <v>1175049841</v>
      </c>
      <c r="AD391" s="583">
        <f t="shared" si="181"/>
        <v>28.894833543523465</v>
      </c>
      <c r="AE391" s="584">
        <f t="shared" si="182"/>
        <v>-34.511436280719771</v>
      </c>
      <c r="AG391" s="583">
        <f t="shared" si="183"/>
        <v>13.52375605466986</v>
      </c>
      <c r="AH391" s="584">
        <f t="shared" si="184"/>
        <v>-38.040054195519112</v>
      </c>
      <c r="AJ391" s="147">
        <f t="shared" si="185"/>
        <v>0</v>
      </c>
      <c r="AK391" s="147">
        <f t="shared" si="197"/>
        <v>0</v>
      </c>
      <c r="AM391" s="147" t="str">
        <f t="shared" si="189"/>
        <v>1.72065670971238+0.693292078958448i</v>
      </c>
      <c r="AN391" s="147" t="str">
        <f t="shared" si="190"/>
        <v>2.37554541382599i</v>
      </c>
      <c r="AO391" s="147" t="str">
        <f t="shared" si="191"/>
        <v>0.291845432599771-0.724320696922033i</v>
      </c>
      <c r="AP391" s="147" t="str">
        <f t="shared" si="192"/>
        <v>-0.12010945161873-0.115548679826408i</v>
      </c>
      <c r="AQ391" s="147" t="str">
        <f t="shared" si="193"/>
        <v>1.12010945161873+0.115548679826408i</v>
      </c>
      <c r="AR391" s="147" t="str">
        <f t="shared" si="194"/>
        <v>0.735846699891472-0.0759087557061525i</v>
      </c>
    </row>
    <row r="392" spans="7:44">
      <c r="G392" s="585">
        <v>34476.5</v>
      </c>
      <c r="H392" s="573">
        <f t="shared" si="186"/>
        <v>34.476500000000001</v>
      </c>
      <c r="I392" s="574">
        <f t="shared" si="166"/>
        <v>300.12216922809239</v>
      </c>
      <c r="J392" s="575">
        <f t="shared" si="167"/>
        <v>1.5674643441795313</v>
      </c>
      <c r="K392" s="575">
        <f t="shared" si="168"/>
        <v>1.0025518209179831</v>
      </c>
      <c r="L392" s="576">
        <f t="shared" si="169"/>
        <v>7.1363943509391847E-2</v>
      </c>
      <c r="M392" s="575">
        <f t="shared" si="170"/>
        <v>1.1161639240122423</v>
      </c>
      <c r="N392" s="576">
        <f t="shared" si="171"/>
        <v>-0.46028542005967438</v>
      </c>
      <c r="O392" s="574">
        <f t="shared" si="172"/>
        <v>649866.7139871195</v>
      </c>
      <c r="P392" s="577">
        <f t="shared" si="173"/>
        <v>1.5707947880178237</v>
      </c>
      <c r="Q392" s="586">
        <f t="shared" si="195"/>
        <v>121.31257493173474</v>
      </c>
      <c r="R392" s="587">
        <f t="shared" si="196"/>
        <v>1.5625530649081527</v>
      </c>
      <c r="S392" s="574">
        <f t="shared" si="174"/>
        <v>1.2089192002093294</v>
      </c>
      <c r="T392" s="577">
        <f t="shared" si="175"/>
        <v>0.59671654317204792</v>
      </c>
      <c r="U392" s="578">
        <f t="shared" si="187"/>
        <v>0.57522568427844201</v>
      </c>
      <c r="V392" s="579">
        <f t="shared" si="188"/>
        <v>-1.2958080856670355</v>
      </c>
      <c r="W392" s="580">
        <f t="shared" si="176"/>
        <v>-22.308741122866174</v>
      </c>
      <c r="X392" s="581">
        <f t="shared" si="177"/>
        <v>-220.99854068672533</v>
      </c>
      <c r="Y392" s="584">
        <f t="shared" si="178"/>
        <v>-40.998540686725335</v>
      </c>
      <c r="AA392" s="147">
        <f t="shared" si="179"/>
        <v>34476.5</v>
      </c>
      <c r="AB392" s="147">
        <f t="shared" si="180"/>
        <v>1188629052.25</v>
      </c>
      <c r="AD392" s="583">
        <f t="shared" si="181"/>
        <v>28.879135157024322</v>
      </c>
      <c r="AE392" s="584">
        <f t="shared" si="182"/>
        <v>-34.661555479100514</v>
      </c>
      <c r="AG392" s="583">
        <f t="shared" si="183"/>
        <v>13.520838272116226</v>
      </c>
      <c r="AH392" s="584">
        <f t="shared" si="184"/>
        <v>-37.848316302656258</v>
      </c>
      <c r="AJ392" s="147">
        <f t="shared" si="185"/>
        <v>0</v>
      </c>
      <c r="AK392" s="147">
        <f t="shared" si="197"/>
        <v>0</v>
      </c>
      <c r="AM392" s="147" t="str">
        <f t="shared" si="189"/>
        <v>1.73007787278318+0.683363958423614i</v>
      </c>
      <c r="AN392" s="147" t="str">
        <f t="shared" si="190"/>
        <v>2.38923222555418i</v>
      </c>
      <c r="AO392" s="147" t="str">
        <f t="shared" si="191"/>
        <v>0.286018224228961-0.724114572990865i</v>
      </c>
      <c r="AP392" s="147" t="str">
        <f t="shared" si="192"/>
        <v>-0.121679645463863-0.113893993070602i</v>
      </c>
      <c r="AQ392" s="147" t="str">
        <f t="shared" si="193"/>
        <v>1.12167964546386+0.113893993070602i</v>
      </c>
      <c r="AR392" s="147" t="str">
        <f t="shared" si="194"/>
        <v>0.73505774292534-0.0746368732086691i</v>
      </c>
    </row>
    <row r="393" spans="7:44">
      <c r="G393" s="585">
        <v>34674</v>
      </c>
      <c r="H393" s="573">
        <f t="shared" si="186"/>
        <v>34.673999999999999</v>
      </c>
      <c r="I393" s="574">
        <f t="shared" si="166"/>
        <v>301.84141196535745</v>
      </c>
      <c r="J393" s="575">
        <f t="shared" si="167"/>
        <v>1.56748332271496</v>
      </c>
      <c r="K393" s="575">
        <f t="shared" si="168"/>
        <v>1.0025811033316785</v>
      </c>
      <c r="L393" s="576">
        <f t="shared" si="169"/>
        <v>7.1771356220633548E-2</v>
      </c>
      <c r="M393" s="575">
        <f t="shared" si="170"/>
        <v>1.1174284645116377</v>
      </c>
      <c r="N393" s="576">
        <f t="shared" si="171"/>
        <v>-0.46256264999173113</v>
      </c>
      <c r="O393" s="574">
        <f t="shared" si="172"/>
        <v>653589.50127736514</v>
      </c>
      <c r="P393" s="577">
        <f t="shared" si="173"/>
        <v>1.57079479678256</v>
      </c>
      <c r="Q393" s="586">
        <f t="shared" si="195"/>
        <v>122.00747175013174</v>
      </c>
      <c r="R393" s="587">
        <f t="shared" si="196"/>
        <v>1.5626000156810844</v>
      </c>
      <c r="S393" s="574">
        <f t="shared" si="174"/>
        <v>1.2111102569077947</v>
      </c>
      <c r="T393" s="577">
        <f t="shared" si="175"/>
        <v>0.59937446727706978</v>
      </c>
      <c r="U393" s="578">
        <f t="shared" si="187"/>
        <v>0.57278502179582635</v>
      </c>
      <c r="V393" s="579">
        <f t="shared" si="188"/>
        <v>-1.30103585005907</v>
      </c>
      <c r="W393" s="580">
        <f t="shared" si="176"/>
        <v>-22.400931222470181</v>
      </c>
      <c r="X393" s="581">
        <f t="shared" si="177"/>
        <v>-221.55588780304188</v>
      </c>
      <c r="Y393" s="584">
        <f t="shared" si="178"/>
        <v>-41.555887803041884</v>
      </c>
      <c r="AA393" s="147">
        <f t="shared" si="179"/>
        <v>34674</v>
      </c>
      <c r="AB393" s="147">
        <f t="shared" si="180"/>
        <v>1202286276</v>
      </c>
      <c r="AD393" s="583">
        <f t="shared" si="181"/>
        <v>28.863403664165702</v>
      </c>
      <c r="AE393" s="584">
        <f t="shared" si="182"/>
        <v>-34.81115373380382</v>
      </c>
      <c r="AG393" s="583">
        <f t="shared" si="183"/>
        <v>13.518244331597057</v>
      </c>
      <c r="AH393" s="584">
        <f t="shared" si="184"/>
        <v>-37.657007491680297</v>
      </c>
      <c r="AJ393" s="147">
        <f t="shared" si="185"/>
        <v>0</v>
      </c>
      <c r="AK393" s="147">
        <f t="shared" si="197"/>
        <v>0</v>
      </c>
      <c r="AM393" s="147" t="str">
        <f t="shared" si="189"/>
        <v>1.73936227336599+0.673307826126418i</v>
      </c>
      <c r="AN393" s="147" t="str">
        <f t="shared" si="190"/>
        <v>2.40291903728237i</v>
      </c>
      <c r="AO393" s="147" t="str">
        <f t="shared" si="191"/>
        <v>0.280204124932944-0.723853882040552i</v>
      </c>
      <c r="AP393" s="147" t="str">
        <f t="shared" si="192"/>
        <v>-0.123227045560998-0.11221797102107i</v>
      </c>
      <c r="AQ393" s="147" t="str">
        <f t="shared" si="193"/>
        <v>1.123227045561+0.11221797102107i</v>
      </c>
      <c r="AR393" s="147" t="str">
        <f t="shared" si="194"/>
        <v>0.734284043421538-0.0733599371841669i</v>
      </c>
    </row>
    <row r="394" spans="7:44">
      <c r="G394" s="585">
        <v>34875.75</v>
      </c>
      <c r="H394" s="573">
        <f t="shared" si="186"/>
        <v>34.875749999999996</v>
      </c>
      <c r="I394" s="574">
        <f t="shared" si="166"/>
        <v>303.59765117629127</v>
      </c>
      <c r="J394" s="575">
        <f t="shared" si="167"/>
        <v>1.5675024877142678</v>
      </c>
      <c r="K394" s="575">
        <f t="shared" si="168"/>
        <v>1.0026111876867505</v>
      </c>
      <c r="L394" s="576">
        <f t="shared" si="169"/>
        <v>7.2187511398446813E-2</v>
      </c>
      <c r="M394" s="575">
        <f t="shared" si="170"/>
        <v>1.1187261860727833</v>
      </c>
      <c r="N394" s="576">
        <f t="shared" si="171"/>
        <v>-0.46488355582030383</v>
      </c>
      <c r="O394" s="574">
        <f t="shared" si="172"/>
        <v>657392.39918018563</v>
      </c>
      <c r="P394" s="577">
        <f t="shared" si="173"/>
        <v>1.5707948056334089</v>
      </c>
      <c r="Q394" s="586">
        <f t="shared" si="195"/>
        <v>122.71732231888271</v>
      </c>
      <c r="R394" s="587">
        <f t="shared" si="196"/>
        <v>1.5626474277754649</v>
      </c>
      <c r="S394" s="574">
        <f t="shared" si="174"/>
        <v>1.2133572647582307</v>
      </c>
      <c r="T394" s="577">
        <f t="shared" si="175"/>
        <v>0.60207965630966476</v>
      </c>
      <c r="U394" s="578">
        <f t="shared" si="187"/>
        <v>0.57030230401267001</v>
      </c>
      <c r="V394" s="579">
        <f t="shared" si="188"/>
        <v>-1.3063631158215241</v>
      </c>
      <c r="W394" s="580">
        <f t="shared" si="176"/>
        <v>-22.494814934591304</v>
      </c>
      <c r="X394" s="581">
        <f t="shared" si="177"/>
        <v>-222.12362980367499</v>
      </c>
      <c r="Y394" s="584">
        <f t="shared" si="178"/>
        <v>-42.123629803674987</v>
      </c>
      <c r="AA394" s="147">
        <f t="shared" si="179"/>
        <v>34875.75</v>
      </c>
      <c r="AB394" s="147">
        <f t="shared" si="180"/>
        <v>1216317938.0625</v>
      </c>
      <c r="AD394" s="583">
        <f t="shared" si="181"/>
        <v>28.847300047501925</v>
      </c>
      <c r="AE394" s="584">
        <f t="shared" si="182"/>
        <v>-34.963433642541013</v>
      </c>
      <c r="AG394" s="583">
        <f t="shared" si="183"/>
        <v>13.515925300537063</v>
      </c>
      <c r="AH394" s="584">
        <f t="shared" si="184"/>
        <v>-37.462009893812336</v>
      </c>
      <c r="AJ394" s="147">
        <f t="shared" si="185"/>
        <v>0</v>
      </c>
      <c r="AK394" s="147">
        <f t="shared" si="197"/>
        <v>0</v>
      </c>
      <c r="AM394" s="147" t="str">
        <f t="shared" si="189"/>
        <v>1.74870344772254+0.662905081718633i</v>
      </c>
      <c r="AN394" s="147" t="str">
        <f t="shared" si="190"/>
        <v>2.41690037533888i</v>
      </c>
      <c r="AO394" s="147" t="str">
        <f t="shared" si="191"/>
        <v>0.274279026344098-0.723531456060678i</v>
      </c>
      <c r="AP394" s="147" t="str">
        <f t="shared" si="192"/>
        <v>-0.124783907953756-0.110484180286439i</v>
      </c>
      <c r="AQ394" s="147" t="str">
        <f t="shared" si="193"/>
        <v>1.12478390795376+0.110484180286439i</v>
      </c>
      <c r="AR394" s="147" t="str">
        <f t="shared" si="194"/>
        <v>0.733509396327333-0.0720504479238671i</v>
      </c>
    </row>
    <row r="395" spans="7:44">
      <c r="G395" s="585">
        <v>35077.5</v>
      </c>
      <c r="H395" s="573">
        <f t="shared" si="186"/>
        <v>35.077500000000001</v>
      </c>
      <c r="I395" s="574">
        <f t="shared" si="166"/>
        <v>305.35389049745294</v>
      </c>
      <c r="J395" s="575">
        <f t="shared" si="167"/>
        <v>1.5675214322590445</v>
      </c>
      <c r="K395" s="575">
        <f t="shared" si="168"/>
        <v>1.0026414456687358</v>
      </c>
      <c r="L395" s="576">
        <f t="shared" si="169"/>
        <v>7.2603641530639265E-2</v>
      </c>
      <c r="M395" s="575">
        <f t="shared" si="170"/>
        <v>1.1200299197854666</v>
      </c>
      <c r="N395" s="576">
        <f t="shared" si="171"/>
        <v>-0.4671990709504637</v>
      </c>
      <c r="O395" s="574">
        <f t="shared" si="172"/>
        <v>661195.29708300624</v>
      </c>
      <c r="P395" s="577">
        <f t="shared" si="173"/>
        <v>1.5707948143824455</v>
      </c>
      <c r="Q395" s="586">
        <f t="shared" si="195"/>
        <v>123.42717316031778</v>
      </c>
      <c r="R395" s="587">
        <f t="shared" si="196"/>
        <v>1.5626942945197775</v>
      </c>
      <c r="S395" s="574">
        <f t="shared" si="174"/>
        <v>1.2156131191507946</v>
      </c>
      <c r="T395" s="577">
        <f t="shared" si="175"/>
        <v>0.60477482478315903</v>
      </c>
      <c r="U395" s="578">
        <f t="shared" si="187"/>
        <v>0.56783011626067237</v>
      </c>
      <c r="V395" s="579">
        <f t="shared" si="188"/>
        <v>-1.3116775124662055</v>
      </c>
      <c r="W395" s="580">
        <f t="shared" si="176"/>
        <v>-22.588408453943032</v>
      </c>
      <c r="X395" s="581">
        <f t="shared" si="177"/>
        <v>-222.6897715024773</v>
      </c>
      <c r="Y395" s="584">
        <f t="shared" si="178"/>
        <v>-42.689771502477299</v>
      </c>
      <c r="AA395" s="147">
        <f t="shared" si="179"/>
        <v>35077.5</v>
      </c>
      <c r="AB395" s="147">
        <f t="shared" si="180"/>
        <v>1230431006.25</v>
      </c>
      <c r="AD395" s="583">
        <f t="shared" si="181"/>
        <v>28.831163065915714</v>
      </c>
      <c r="AE395" s="584">
        <f t="shared" si="182"/>
        <v>-35.115170655956561</v>
      </c>
      <c r="AG395" s="583">
        <f t="shared" si="183"/>
        <v>13.513936901162605</v>
      </c>
      <c r="AH395" s="584">
        <f t="shared" si="184"/>
        <v>-37.267429581705763</v>
      </c>
      <c r="AJ395" s="147">
        <f t="shared" si="185"/>
        <v>0</v>
      </c>
      <c r="AK395" s="147">
        <f t="shared" si="197"/>
        <v>0</v>
      </c>
      <c r="AM395" s="147" t="str">
        <f t="shared" si="189"/>
        <v>1.75789826954999+0.652372756185549i</v>
      </c>
      <c r="AN395" s="147" t="str">
        <f t="shared" si="190"/>
        <v>2.4308817133954i</v>
      </c>
      <c r="AO395" s="147" t="str">
        <f t="shared" si="191"/>
        <v>0.268368778534407-0.723152533446228i</v>
      </c>
      <c r="AP395" s="147" t="str">
        <f t="shared" si="192"/>
        <v>-0.126316378258332-0.108728792697592i</v>
      </c>
      <c r="AQ395" s="147" t="str">
        <f t="shared" si="193"/>
        <v>1.12631637825833+0.108728792697592i</v>
      </c>
      <c r="AR395" s="147" t="str">
        <f t="shared" si="194"/>
        <v>0.732750565509983-0.0707359724801099i</v>
      </c>
    </row>
    <row r="396" spans="7:44">
      <c r="G396" s="585">
        <v>35279.25</v>
      </c>
      <c r="H396" s="573">
        <f t="shared" si="186"/>
        <v>35.279249999999998</v>
      </c>
      <c r="I396" s="574">
        <f t="shared" si="166"/>
        <v>307.11012992695146</v>
      </c>
      <c r="J396" s="575">
        <f t="shared" si="167"/>
        <v>1.5675401601313497</v>
      </c>
      <c r="K396" s="575">
        <f t="shared" si="168"/>
        <v>1.0026718772619156</v>
      </c>
      <c r="L396" s="576">
        <f t="shared" si="169"/>
        <v>7.3019746475367159E-2</v>
      </c>
      <c r="M396" s="575">
        <f t="shared" si="170"/>
        <v>1.1213396446794723</v>
      </c>
      <c r="N396" s="576">
        <f t="shared" si="171"/>
        <v>-0.46950918939840336</v>
      </c>
      <c r="O396" s="574">
        <f t="shared" si="172"/>
        <v>664998.19498582697</v>
      </c>
      <c r="P396" s="577">
        <f t="shared" si="173"/>
        <v>1.5707948230314164</v>
      </c>
      <c r="Q396" s="586">
        <f t="shared" si="195"/>
        <v>124.13702426975905</v>
      </c>
      <c r="R396" s="587">
        <f t="shared" si="196"/>
        <v>1.5627406252692182</v>
      </c>
      <c r="S396" s="574">
        <f t="shared" si="174"/>
        <v>1.2178777709265867</v>
      </c>
      <c r="T396" s="577">
        <f t="shared" si="175"/>
        <v>0.60745998933398038</v>
      </c>
      <c r="U396" s="578">
        <f t="shared" si="187"/>
        <v>0.56536840982308245</v>
      </c>
      <c r="V396" s="579">
        <f t="shared" si="188"/>
        <v>-1.316979305016974</v>
      </c>
      <c r="W396" s="580">
        <f t="shared" si="176"/>
        <v>-22.681714900153285</v>
      </c>
      <c r="X396" s="581">
        <f t="shared" si="177"/>
        <v>-223.25432838345759</v>
      </c>
      <c r="Y396" s="584">
        <f t="shared" si="178"/>
        <v>-43.25432838345759</v>
      </c>
      <c r="AA396" s="147">
        <f t="shared" si="179"/>
        <v>35279.25</v>
      </c>
      <c r="AB396" s="147">
        <f t="shared" si="180"/>
        <v>1244625480.5625</v>
      </c>
      <c r="AD396" s="583">
        <f t="shared" si="181"/>
        <v>28.814993309921782</v>
      </c>
      <c r="AE396" s="584">
        <f t="shared" si="182"/>
        <v>-35.266365191334437</v>
      </c>
      <c r="AG396" s="583">
        <f t="shared" si="183"/>
        <v>13.512275579404758</v>
      </c>
      <c r="AH396" s="584">
        <f t="shared" si="184"/>
        <v>-37.073251252588115</v>
      </c>
      <c r="AJ396" s="147">
        <f t="shared" si="185"/>
        <v>0</v>
      </c>
      <c r="AK396" s="147">
        <f t="shared" si="197"/>
        <v>0</v>
      </c>
      <c r="AM396" s="147" t="str">
        <f t="shared" si="189"/>
        <v>1.76694494149395+0.641712908329607i</v>
      </c>
      <c r="AN396" s="147" t="str">
        <f t="shared" si="190"/>
        <v>2.44486305145192i</v>
      </c>
      <c r="AO396" s="147" t="str">
        <f t="shared" si="191"/>
        <v>0.262473968817401-0.722717348296716i</v>
      </c>
      <c r="AP396" s="147" t="str">
        <f t="shared" si="192"/>
        <v>-0.127824156915658-0.106952151388268i</v>
      </c>
      <c r="AQ396" s="147" t="str">
        <f t="shared" si="193"/>
        <v>1.12782415691566+0.106952151388268i</v>
      </c>
      <c r="AR396" s="147" t="str">
        <f t="shared" si="194"/>
        <v>0.732007498408321-0.0694166517954525i</v>
      </c>
    </row>
    <row r="397" spans="7:44">
      <c r="G397" s="585">
        <v>35481</v>
      </c>
      <c r="H397" s="573">
        <f t="shared" si="186"/>
        <v>35.481000000000002</v>
      </c>
      <c r="I397" s="574">
        <f t="shared" ref="I397:I460" si="198">SQRT(1+(G397/pole1)^2)</f>
        <v>308.86636946293874</v>
      </c>
      <c r="J397" s="575">
        <f t="shared" ref="J397:J460" si="199">ATAN(G397/pole1)</f>
        <v>1.5675586750272219</v>
      </c>
      <c r="K397" s="575">
        <f t="shared" ref="K397:K460" si="200">SQRT(1+(G397/Zero1)^2)</f>
        <v>1.0027024824504831</v>
      </c>
      <c r="L397" s="576">
        <f t="shared" ref="L397:L460" si="201">ATAN(G397/Zero1)</f>
        <v>7.3435826090838749E-2</v>
      </c>
      <c r="M397" s="575">
        <f t="shared" ref="M397:M460" si="202">SQRT(1+(G397/z_RHP)^2)</f>
        <v>1.1226553397863011</v>
      </c>
      <c r="N397" s="576">
        <f t="shared" ref="N397:N460" si="203">-ATAN(G397/z_RHP)</f>
        <v>-0.47181390543857465</v>
      </c>
      <c r="O397" s="574">
        <f t="shared" ref="O397:O460" si="204">SQRT(1+(G397/Pole2)^2)</f>
        <v>668801.09288864769</v>
      </c>
      <c r="P397" s="577">
        <f t="shared" ref="P397:P460" si="205">ATAN(G397/Pole2)</f>
        <v>1.570794831582029</v>
      </c>
      <c r="Q397" s="586">
        <f t="shared" si="195"/>
        <v>124.8468756426351</v>
      </c>
      <c r="R397" s="587">
        <f t="shared" si="196"/>
        <v>1.5627864291662275</v>
      </c>
      <c r="S397" s="574">
        <f t="shared" ref="S397:S460" si="206">SQRT(1+(G397/pole4)^2)</f>
        <v>1.2201511711006703</v>
      </c>
      <c r="T397" s="577">
        <f t="shared" ref="T397:T460" si="207">ATAN(G397/pole4)</f>
        <v>0.61013516705231963</v>
      </c>
      <c r="U397" s="578">
        <f t="shared" si="187"/>
        <v>0.56291713430196599</v>
      </c>
      <c r="V397" s="579">
        <f t="shared" si="188"/>
        <v>-1.3222687576184988</v>
      </c>
      <c r="W397" s="580">
        <f t="shared" ref="W397:W460" si="208">20*LOG10(((K397*Q397*M397*U397)/(I397*O397*S397))*Adc)</f>
        <v>-22.774737369587434</v>
      </c>
      <c r="X397" s="581">
        <f t="shared" ref="X397:X460" si="209">((L397+R397+N397+V397)-(J397+P397+T397))*radconv</f>
        <v>-223.81731592830275</v>
      </c>
      <c r="Y397" s="584">
        <f t="shared" ref="Y397:Y460" si="210">IF(X397&gt;0,X397,X397+180)</f>
        <v>-43.817315928302747</v>
      </c>
      <c r="AA397" s="147">
        <f t="shared" ref="AA397:AA460" si="211">IF(W397&lt;0,G397,1000000000)</f>
        <v>35481</v>
      </c>
      <c r="AB397" s="147">
        <f t="shared" ref="AB397:AB460" si="212">G397^2</f>
        <v>1258901361</v>
      </c>
      <c r="AD397" s="583">
        <f t="shared" ref="AD397:AD460" si="213">20*LOG10((Q397/(O397*S397))*Aea)</f>
        <v>28.798791365601346</v>
      </c>
      <c r="AE397" s="584">
        <f t="shared" ref="AE397:AE460" si="214">(R397-(P397+T397))*radconv</f>
        <v>-35.417017704144989</v>
      </c>
      <c r="AG397" s="583">
        <f t="shared" ref="AG397:AG460" si="215">20*LOG10((K397*M397/(I397*U397))*Acs*Am)</f>
        <v>13.51093786893431</v>
      </c>
      <c r="AH397" s="584">
        <f t="shared" ref="AH397:AH460" si="216">(L397+N397-(J397+V397))*radconv</f>
        <v>-36.879459663926383</v>
      </c>
      <c r="AJ397" s="147">
        <f t="shared" ref="AJ397:AJ460" si="217">SUM((W398&lt;0)*(W397&gt;0))*G397</f>
        <v>0</v>
      </c>
      <c r="AK397" s="147">
        <f t="shared" si="197"/>
        <v>0</v>
      </c>
      <c r="AM397" s="147" t="str">
        <f t="shared" si="189"/>
        <v>1.77584169515957+0.630927621880615i</v>
      </c>
      <c r="AN397" s="147" t="str">
        <f t="shared" si="190"/>
        <v>2.45884438950844i</v>
      </c>
      <c r="AO397" s="147" t="str">
        <f t="shared" si="191"/>
        <v>0.256595181286257-0.722226141164869i</v>
      </c>
      <c r="AP397" s="147" t="str">
        <f t="shared" si="192"/>
        <v>-0.129306949193261-0.105154603646769i</v>
      </c>
      <c r="AQ397" s="147" t="str">
        <f t="shared" si="193"/>
        <v>1.12930694919326+0.105154603646769i</v>
      </c>
      <c r="AR397" s="147" t="str">
        <f t="shared" si="194"/>
        <v>0.731280142827851-0.068092624090154i</v>
      </c>
    </row>
    <row r="398" spans="7:44">
      <c r="G398" s="585">
        <v>35687.75</v>
      </c>
      <c r="H398" s="573">
        <f t="shared" ref="H398:H461" si="218">G398/1000</f>
        <v>35.687750000000001</v>
      </c>
      <c r="I398" s="574">
        <f t="shared" si="198"/>
        <v>310.66613425091202</v>
      </c>
      <c r="J398" s="575">
        <f t="shared" si="199"/>
        <v>1.5675774315995952</v>
      </c>
      <c r="K398" s="575">
        <f t="shared" si="200"/>
        <v>1.0027340262173829</v>
      </c>
      <c r="L398" s="576">
        <f t="shared" si="201"/>
        <v>7.3862191041866074E-2</v>
      </c>
      <c r="M398" s="575">
        <f t="shared" si="202"/>
        <v>1.1240098140150843</v>
      </c>
      <c r="N398" s="576">
        <f t="shared" si="203"/>
        <v>-0.47417012897690591</v>
      </c>
      <c r="O398" s="574">
        <f t="shared" si="204"/>
        <v>672698.23857096839</v>
      </c>
      <c r="P398" s="577">
        <f t="shared" si="205"/>
        <v>1.5707948402442522</v>
      </c>
      <c r="Q398" s="586">
        <f t="shared" si="195"/>
        <v>125.57431963539521</v>
      </c>
      <c r="R398" s="587">
        <f t="shared" si="196"/>
        <v>1.5628328309740471</v>
      </c>
      <c r="S398" s="574">
        <f t="shared" si="206"/>
        <v>1.2224899385350154</v>
      </c>
      <c r="T398" s="577">
        <f t="shared" si="207"/>
        <v>0.61286630128280639</v>
      </c>
      <c r="U398" s="578">
        <f t="shared" ref="U398:U461" si="219">IMABS(IMPRODUCT(AO398, AR398))</f>
        <v>0.56041587591667463</v>
      </c>
      <c r="V398" s="579">
        <f t="shared" ref="V398:V461" si="220">IMARGUMENT(IMPRODUCT(AO398, AR398))</f>
        <v>-1.327676772421531</v>
      </c>
      <c r="W398" s="580">
        <f t="shared" si="208"/>
        <v>-22.869773823415827</v>
      </c>
      <c r="X398" s="581">
        <f t="shared" si="209"/>
        <v>-224.39264411051249</v>
      </c>
      <c r="Y398" s="584">
        <f t="shared" si="210"/>
        <v>-44.392644110512492</v>
      </c>
      <c r="AA398" s="147">
        <f t="shared" si="211"/>
        <v>35687.75</v>
      </c>
      <c r="AB398" s="147">
        <f t="shared" si="212"/>
        <v>1273615500.0625</v>
      </c>
      <c r="AD398" s="583">
        <f t="shared" si="213"/>
        <v>28.782155099696922</v>
      </c>
      <c r="AE398" s="584">
        <f t="shared" si="214"/>
        <v>-35.570842037570344</v>
      </c>
      <c r="AG398" s="583">
        <f t="shared" si="215"/>
        <v>13.509899211378029</v>
      </c>
      <c r="AH398" s="584">
        <f t="shared" si="216"/>
        <v>-36.681250664486591</v>
      </c>
      <c r="AJ398" s="147">
        <f t="shared" si="217"/>
        <v>0</v>
      </c>
      <c r="AK398" s="147">
        <f t="shared" si="197"/>
        <v>0</v>
      </c>
      <c r="AM398" s="147" t="str">
        <f t="shared" ref="AM398:AM461" si="221">IMSUB(1,IMEXP(COMPLEX(0,-2*Pi*G398*Tsw)))</f>
        <v>1.78480158190706+0.619747107323771i</v>
      </c>
      <c r="AN398" s="147" t="str">
        <f t="shared" ref="AN398:AN461" si="222">COMPLEX(0, 2*Pi*G398*Tsw)</f>
        <v>2.4731722291277i</v>
      </c>
      <c r="AO398" s="147" t="str">
        <f t="shared" ref="AO398:AO461" si="223">IMDIV(AM398, AN398)</f>
        <v>0.250587929148128-0.721664896963754i</v>
      </c>
      <c r="AP398" s="147" t="str">
        <f t="shared" ref="AP398:AP461" si="224">IMDIV(IMEXP(COMPLEX(0,-2*Pi*G398*Tsw)),6)</f>
        <v>-0.130800263651176-0.103291184553962i</v>
      </c>
      <c r="AQ398" s="147" t="str">
        <f t="shared" ref="AQ398:AQ461" si="225">IMSUB(1, AP398)</f>
        <v>1.13080026365118+0.103291184553962i</v>
      </c>
      <c r="AR398" s="147" t="str">
        <f t="shared" ref="AR398:AR461" si="226">IMDIV(0.833, AQ398)</f>
        <v>0.730551007342168-0.0667310411494031i</v>
      </c>
    </row>
    <row r="399" spans="7:44">
      <c r="G399" s="585">
        <v>35894.5</v>
      </c>
      <c r="H399" s="573">
        <f t="shared" si="218"/>
        <v>35.894500000000001</v>
      </c>
      <c r="I399" s="574">
        <f t="shared" si="198"/>
        <v>312.4658991469214</v>
      </c>
      <c r="J399" s="575">
        <f t="shared" si="199"/>
        <v>1.5675959721009054</v>
      </c>
      <c r="K399" s="575">
        <f t="shared" si="200"/>
        <v>1.0027657522568776</v>
      </c>
      <c r="L399" s="576">
        <f t="shared" si="201"/>
        <v>7.4288529091267097E-2</v>
      </c>
      <c r="M399" s="575">
        <f t="shared" si="202"/>
        <v>1.1253705134680883</v>
      </c>
      <c r="N399" s="576">
        <f t="shared" si="203"/>
        <v>-0.47652066766046297</v>
      </c>
      <c r="O399" s="574">
        <f t="shared" si="204"/>
        <v>676595.38425328908</v>
      </c>
      <c r="P399" s="577">
        <f t="shared" si="205"/>
        <v>1.5707948488066878</v>
      </c>
      <c r="Q399" s="586">
        <f t="shared" si="195"/>
        <v>126.30176389541835</v>
      </c>
      <c r="R399" s="587">
        <f t="shared" si="196"/>
        <v>1.5628786982727432</v>
      </c>
      <c r="S399" s="574">
        <f t="shared" si="206"/>
        <v>1.2248377897740697</v>
      </c>
      <c r="T399" s="577">
        <f t="shared" si="207"/>
        <v>0.61558698529985778</v>
      </c>
      <c r="U399" s="578">
        <f t="shared" si="219"/>
        <v>0.55792545954338979</v>
      </c>
      <c r="V399" s="579">
        <f t="shared" si="220"/>
        <v>-1.3330723869224397</v>
      </c>
      <c r="W399" s="580">
        <f t="shared" si="208"/>
        <v>-22.96451856393994</v>
      </c>
      <c r="X399" s="581">
        <f t="shared" si="209"/>
        <v>-224.96635711722257</v>
      </c>
      <c r="Y399" s="584">
        <f t="shared" si="210"/>
        <v>-44.966357117222572</v>
      </c>
      <c r="AA399" s="147">
        <f t="shared" si="211"/>
        <v>35894.5</v>
      </c>
      <c r="AB399" s="147">
        <f t="shared" si="212"/>
        <v>1288415130.25</v>
      </c>
      <c r="AD399" s="583">
        <f t="shared" si="213"/>
        <v>28.765486262156976</v>
      </c>
      <c r="AE399" s="584">
        <f t="shared" si="214"/>
        <v>-35.724098237269686</v>
      </c>
      <c r="AG399" s="583">
        <f t="shared" si="215"/>
        <v>13.509193309277592</v>
      </c>
      <c r="AH399" s="584">
        <f t="shared" si="216"/>
        <v>-36.483415593227548</v>
      </c>
      <c r="AJ399" s="147">
        <f t="shared" si="217"/>
        <v>0</v>
      </c>
      <c r="AK399" s="147">
        <f t="shared" si="197"/>
        <v>0</v>
      </c>
      <c r="AM399" s="147" t="str">
        <f t="shared" si="221"/>
        <v>1.79360036185761+0.608439368926326i</v>
      </c>
      <c r="AN399" s="147" t="str">
        <f t="shared" si="222"/>
        <v>2.48750006874695i</v>
      </c>
      <c r="AO399" s="147" t="str">
        <f t="shared" si="223"/>
        <v>0.244598734516948-0.721045351673544i</v>
      </c>
      <c r="AP399" s="147" t="str">
        <f t="shared" si="224"/>
        <v>-0.132266726976269-0.101406561487721i</v>
      </c>
      <c r="AQ399" s="147" t="str">
        <f t="shared" si="225"/>
        <v>1.13226672697627+0.101406561487721i</v>
      </c>
      <c r="AR399" s="147" t="str">
        <f t="shared" si="226"/>
        <v>0.729838262187337-0.0653648004019664i</v>
      </c>
    </row>
    <row r="400" spans="7:44">
      <c r="G400" s="585">
        <v>36101.25</v>
      </c>
      <c r="H400" s="573">
        <f t="shared" si="218"/>
        <v>36.10125</v>
      </c>
      <c r="I400" s="574">
        <f t="shared" si="198"/>
        <v>314.26566414911065</v>
      </c>
      <c r="J400" s="575">
        <f t="shared" si="199"/>
        <v>1.5676143002433853</v>
      </c>
      <c r="K400" s="575">
        <f t="shared" si="200"/>
        <v>1.0027976605516666</v>
      </c>
      <c r="L400" s="576">
        <f t="shared" si="201"/>
        <v>7.4714840086616566E-2</v>
      </c>
      <c r="M400" s="575">
        <f t="shared" si="202"/>
        <v>1.1267374155917198</v>
      </c>
      <c r="N400" s="576">
        <f t="shared" si="203"/>
        <v>-0.47886551615862699</v>
      </c>
      <c r="O400" s="574">
        <f t="shared" si="204"/>
        <v>680492.5299356099</v>
      </c>
      <c r="P400" s="577">
        <f t="shared" si="205"/>
        <v>1.5707948572710502</v>
      </c>
      <c r="Q400" s="586">
        <f t="shared" si="195"/>
        <v>127.029208418113</v>
      </c>
      <c r="R400" s="587">
        <f t="shared" si="196"/>
        <v>1.5629240402448688</v>
      </c>
      <c r="S400" s="574">
        <f t="shared" si="206"/>
        <v>1.2271946726808196</v>
      </c>
      <c r="T400" s="577">
        <f t="shared" si="207"/>
        <v>0.61829723892091637</v>
      </c>
      <c r="U400" s="578">
        <f t="shared" si="219"/>
        <v>0.55544582581973501</v>
      </c>
      <c r="V400" s="579">
        <f t="shared" si="220"/>
        <v>-1.3384558825686412</v>
      </c>
      <c r="W400" s="580">
        <f t="shared" si="208"/>
        <v>-23.058974854109628</v>
      </c>
      <c r="X400" s="581">
        <f t="shared" si="209"/>
        <v>-225.53847159962135</v>
      </c>
      <c r="Y400" s="584">
        <f t="shared" si="210"/>
        <v>-45.538471599621346</v>
      </c>
      <c r="AA400" s="147">
        <f t="shared" si="211"/>
        <v>36101.25</v>
      </c>
      <c r="AB400" s="147">
        <f t="shared" si="212"/>
        <v>1303300251.5625</v>
      </c>
      <c r="AD400" s="583">
        <f t="shared" si="213"/>
        <v>28.748785469174969</v>
      </c>
      <c r="AE400" s="584">
        <f t="shared" si="214"/>
        <v>-35.876786912675506</v>
      </c>
      <c r="AG400" s="583">
        <f t="shared" si="215"/>
        <v>13.508816708995344</v>
      </c>
      <c r="AH400" s="584">
        <f t="shared" si="216"/>
        <v>-36.285938240406757</v>
      </c>
      <c r="AJ400" s="147">
        <f t="shared" si="217"/>
        <v>0</v>
      </c>
      <c r="AK400" s="147">
        <f t="shared" si="197"/>
        <v>0</v>
      </c>
      <c r="AM400" s="147" t="str">
        <f t="shared" si="221"/>
        <v>1.80223622876711+0.597006727980113i</v>
      </c>
      <c r="AN400" s="147" t="str">
        <f t="shared" si="222"/>
        <v>2.50182790836621i</v>
      </c>
      <c r="AO400" s="147" t="str">
        <f t="shared" si="223"/>
        <v>0.238628214987809-0.720367784986474i</v>
      </c>
      <c r="AP400" s="147" t="str">
        <f t="shared" si="224"/>
        <v>-0.133706038127852-0.0995011213300188i</v>
      </c>
      <c r="AQ400" s="147" t="str">
        <f t="shared" si="225"/>
        <v>1.13370603812785+0.0995011213300188i</v>
      </c>
      <c r="AR400" s="147" t="str">
        <f t="shared" si="226"/>
        <v>0.729141852694045-0.0639940421165184i</v>
      </c>
    </row>
    <row r="401" spans="7:44">
      <c r="G401" s="585">
        <v>36308</v>
      </c>
      <c r="H401" s="573">
        <f t="shared" si="218"/>
        <v>36.308</v>
      </c>
      <c r="I401" s="574">
        <f t="shared" si="198"/>
        <v>316.06542925566606</v>
      </c>
      <c r="J401" s="575">
        <f t="shared" si="199"/>
        <v>1.5676324196547147</v>
      </c>
      <c r="K401" s="575">
        <f t="shared" si="200"/>
        <v>1.0028297510843533</v>
      </c>
      <c r="L401" s="576">
        <f t="shared" si="201"/>
        <v>7.5141123875547958E-2</v>
      </c>
      <c r="M401" s="575">
        <f t="shared" si="202"/>
        <v>1.1281104978391356</v>
      </c>
      <c r="N401" s="576">
        <f t="shared" si="203"/>
        <v>-0.48120466941684581</v>
      </c>
      <c r="O401" s="574">
        <f t="shared" si="204"/>
        <v>684389.67561793071</v>
      </c>
      <c r="P401" s="577">
        <f t="shared" si="205"/>
        <v>1.5707948656390147</v>
      </c>
      <c r="Q401" s="586">
        <f t="shared" si="195"/>
        <v>127.75665319899224</v>
      </c>
      <c r="R401" s="587">
        <f t="shared" si="196"/>
        <v>1.5629688658638443</v>
      </c>
      <c r="S401" s="574">
        <f t="shared" si="206"/>
        <v>1.2295605353182144</v>
      </c>
      <c r="T401" s="577">
        <f t="shared" si="207"/>
        <v>0.62099708242469753</v>
      </c>
      <c r="U401" s="578">
        <f t="shared" si="219"/>
        <v>0.55297691377405189</v>
      </c>
      <c r="V401" s="579">
        <f t="shared" si="220"/>
        <v>-1.3438275398723367</v>
      </c>
      <c r="W401" s="580">
        <f t="shared" si="208"/>
        <v>-23.153145935626775</v>
      </c>
      <c r="X401" s="581">
        <f t="shared" si="209"/>
        <v>-226.10900420469184</v>
      </c>
      <c r="Y401" s="584">
        <f t="shared" si="210"/>
        <v>-46.109004204691843</v>
      </c>
      <c r="AA401" s="147">
        <f t="shared" si="211"/>
        <v>36308</v>
      </c>
      <c r="AB401" s="147">
        <f t="shared" si="212"/>
        <v>1318270864</v>
      </c>
      <c r="AD401" s="583">
        <f t="shared" si="213"/>
        <v>28.732053332018435</v>
      </c>
      <c r="AE401" s="584">
        <f t="shared" si="214"/>
        <v>-36.028908711629505</v>
      </c>
      <c r="AG401" s="583">
        <f t="shared" si="215"/>
        <v>13.508766047115415</v>
      </c>
      <c r="AH401" s="584">
        <f t="shared" si="216"/>
        <v>-36.088802460835154</v>
      </c>
      <c r="AJ401" s="147">
        <f t="shared" si="217"/>
        <v>0</v>
      </c>
      <c r="AK401" s="147">
        <f t="shared" si="197"/>
        <v>0</v>
      </c>
      <c r="AM401" s="147" t="str">
        <f t="shared" si="221"/>
        <v>1.81070740983477+0.585451531417415i</v>
      </c>
      <c r="AN401" s="147" t="str">
        <f t="shared" si="222"/>
        <v>2.51615574798547i</v>
      </c>
      <c r="AO401" s="147" t="str">
        <f t="shared" si="223"/>
        <v>0.232676984278954-0.719632483515574i</v>
      </c>
      <c r="AP401" s="147" t="str">
        <f t="shared" si="224"/>
        <v>-0.135117901639128-0.0975752552362358i</v>
      </c>
      <c r="AQ401" s="147" t="str">
        <f t="shared" si="225"/>
        <v>1.13511790163913+0.0975752552362358i</v>
      </c>
      <c r="AR401" s="147" t="str">
        <f t="shared" si="226"/>
        <v>0.728461724796525-0.0626189038373978i</v>
      </c>
    </row>
    <row r="402" spans="7:44">
      <c r="G402" s="585">
        <v>36519.5</v>
      </c>
      <c r="H402" s="573">
        <f t="shared" si="218"/>
        <v>36.519500000000001</v>
      </c>
      <c r="I402" s="574">
        <f t="shared" si="198"/>
        <v>317.90654336440303</v>
      </c>
      <c r="J402" s="575">
        <f t="shared" si="199"/>
        <v>1.5676507430691418</v>
      </c>
      <c r="K402" s="575">
        <f t="shared" si="200"/>
        <v>1.0028627674324355</v>
      </c>
      <c r="L402" s="576">
        <f t="shared" si="201"/>
        <v>7.5577173057019567E-2</v>
      </c>
      <c r="M402" s="575">
        <f t="shared" si="202"/>
        <v>1.1295214973451464</v>
      </c>
      <c r="N402" s="576">
        <f t="shared" si="203"/>
        <v>-0.48359166580705337</v>
      </c>
      <c r="O402" s="574">
        <f t="shared" si="204"/>
        <v>688376.35669077642</v>
      </c>
      <c r="P402" s="577">
        <f t="shared" si="205"/>
        <v>1.5707948741011917</v>
      </c>
      <c r="Q402" s="586">
        <f t="shared" si="195"/>
        <v>128.50081100041453</v>
      </c>
      <c r="R402" s="587">
        <f t="shared" si="196"/>
        <v>1.563014196192928</v>
      </c>
      <c r="S402" s="574">
        <f t="shared" si="206"/>
        <v>1.2319899903386744</v>
      </c>
      <c r="T402" s="577">
        <f t="shared" si="207"/>
        <v>0.62374820377185458</v>
      </c>
      <c r="U402" s="578">
        <f t="shared" si="219"/>
        <v>0.55046230824217046</v>
      </c>
      <c r="V402" s="579">
        <f t="shared" si="220"/>
        <v>-1.3493106509595645</v>
      </c>
      <c r="W402" s="580">
        <f t="shared" si="208"/>
        <v>-23.249188806758397</v>
      </c>
      <c r="X402" s="581">
        <f t="shared" si="209"/>
        <v>-226.6910251151098</v>
      </c>
      <c r="Y402" s="584">
        <f t="shared" si="210"/>
        <v>-46.691025115109795</v>
      </c>
      <c r="AA402" s="147">
        <f t="shared" si="211"/>
        <v>36519.5</v>
      </c>
      <c r="AB402" s="147">
        <f t="shared" si="212"/>
        <v>1333673880.25</v>
      </c>
      <c r="AD402" s="583">
        <f t="shared" si="213"/>
        <v>28.714904980125585</v>
      </c>
      <c r="AE402" s="584">
        <f t="shared" si="214"/>
        <v>-36.183939602233679</v>
      </c>
      <c r="AG402" s="583">
        <f t="shared" si="215"/>
        <v>13.509048064318133</v>
      </c>
      <c r="AH402" s="584">
        <f t="shared" si="216"/>
        <v>-35.8874742321319</v>
      </c>
      <c r="AJ402" s="147">
        <f t="shared" si="217"/>
        <v>0</v>
      </c>
      <c r="AK402" s="147">
        <f t="shared" si="197"/>
        <v>0</v>
      </c>
      <c r="AM402" s="147" t="str">
        <f t="shared" si="221"/>
        <v>1.81920099530721+0.573506520701973i</v>
      </c>
      <c r="AN402" s="147" t="str">
        <f t="shared" si="222"/>
        <v>2.53081276408933i</v>
      </c>
      <c r="AO402" s="147" t="str">
        <f t="shared" si="223"/>
        <v>0.226609620766766-0.718820855149993i</v>
      </c>
      <c r="AP402" s="147" t="str">
        <f t="shared" si="224"/>
        <v>-0.136533499217868-0.0955844201169955i</v>
      </c>
      <c r="AQ402" s="147" t="str">
        <f t="shared" si="225"/>
        <v>1.13653349921787+0.0955844201169955i</v>
      </c>
      <c r="AR402" s="147" t="str">
        <f t="shared" si="226"/>
        <v>0.727782762524689-0.0612077808308685i</v>
      </c>
    </row>
    <row r="403" spans="7:44">
      <c r="G403" s="585">
        <v>36731</v>
      </c>
      <c r="H403" s="573">
        <f t="shared" si="218"/>
        <v>36.731000000000002</v>
      </c>
      <c r="I403" s="574">
        <f t="shared" si="198"/>
        <v>319.74765757864714</v>
      </c>
      <c r="J403" s="575">
        <f t="shared" si="199"/>
        <v>1.5676688554703089</v>
      </c>
      <c r="K403" s="575">
        <f t="shared" si="200"/>
        <v>1.0028959744511539</v>
      </c>
      <c r="L403" s="576">
        <f t="shared" si="201"/>
        <v>7.6013193445229027E-2</v>
      </c>
      <c r="M403" s="575">
        <f t="shared" si="202"/>
        <v>1.1309389165040071</v>
      </c>
      <c r="N403" s="576">
        <f t="shared" si="203"/>
        <v>-0.48597269243371388</v>
      </c>
      <c r="O403" s="574">
        <f t="shared" si="204"/>
        <v>692363.03776362224</v>
      </c>
      <c r="P403" s="577">
        <f t="shared" si="205"/>
        <v>1.5707948824659168</v>
      </c>
      <c r="Q403" s="586">
        <f t="shared" si="195"/>
        <v>129.2449690628446</v>
      </c>
      <c r="R403" s="587">
        <f t="shared" si="196"/>
        <v>1.5630590045222124</v>
      </c>
      <c r="S403" s="574">
        <f t="shared" si="206"/>
        <v>1.2344287331392712</v>
      </c>
      <c r="T403" s="577">
        <f t="shared" si="207"/>
        <v>0.62648847553638465</v>
      </c>
      <c r="U403" s="578">
        <f t="shared" si="219"/>
        <v>0.54795878871197368</v>
      </c>
      <c r="V403" s="579">
        <f t="shared" si="220"/>
        <v>-1.3547819643873991</v>
      </c>
      <c r="W403" s="580">
        <f t="shared" si="208"/>
        <v>-23.34494001266329</v>
      </c>
      <c r="X403" s="581">
        <f t="shared" si="209"/>
        <v>-227.27142585424963</v>
      </c>
      <c r="Y403" s="584">
        <f t="shared" si="210"/>
        <v>-47.271425854249628</v>
      </c>
      <c r="AA403" s="147">
        <f t="shared" si="211"/>
        <v>36731</v>
      </c>
      <c r="AB403" s="147">
        <f t="shared" si="212"/>
        <v>1349166361</v>
      </c>
      <c r="AD403" s="583">
        <f t="shared" si="213"/>
        <v>28.697725105518273</v>
      </c>
      <c r="AE403" s="584">
        <f t="shared" si="214"/>
        <v>-36.338378760345009</v>
      </c>
      <c r="AG403" s="583">
        <f t="shared" si="215"/>
        <v>13.509664330783194</v>
      </c>
      <c r="AH403" s="584">
        <f t="shared" si="216"/>
        <v>-35.686469476827625</v>
      </c>
      <c r="AJ403" s="147">
        <f t="shared" si="217"/>
        <v>0</v>
      </c>
      <c r="AK403" s="147">
        <f t="shared" si="197"/>
        <v>0</v>
      </c>
      <c r="AM403" s="147" t="str">
        <f t="shared" si="221"/>
        <v>1.82751859651961+0.561438306863918i</v>
      </c>
      <c r="AN403" s="147" t="str">
        <f t="shared" si="222"/>
        <v>2.54546978019319i</v>
      </c>
      <c r="AO403" s="147" t="str">
        <f t="shared" si="223"/>
        <v>0.220563729034452-0.717949437365118i</v>
      </c>
      <c r="AP403" s="147" t="str">
        <f t="shared" si="224"/>
        <v>-0.137919766086601-0.0935730511439863i</v>
      </c>
      <c r="AQ403" s="147" t="str">
        <f t="shared" si="225"/>
        <v>1.1379197660866+0.0935730511439863i</v>
      </c>
      <c r="AR403" s="147" t="str">
        <f t="shared" si="226"/>
        <v>0.727120726239653-0.059792357011485i</v>
      </c>
    </row>
    <row r="404" spans="7:44">
      <c r="G404" s="585">
        <v>36942.5</v>
      </c>
      <c r="H404" s="573">
        <f t="shared" si="218"/>
        <v>36.942500000000003</v>
      </c>
      <c r="I404" s="574">
        <f t="shared" si="198"/>
        <v>321.58877189658625</v>
      </c>
      <c r="J404" s="575">
        <f t="shared" si="199"/>
        <v>1.5676867604823934</v>
      </c>
      <c r="K404" s="575">
        <f t="shared" si="200"/>
        <v>1.0029293721215686</v>
      </c>
      <c r="L404" s="576">
        <f t="shared" si="201"/>
        <v>7.6449184877257673E-2</v>
      </c>
      <c r="M404" s="575">
        <f t="shared" si="202"/>
        <v>1.1323627312085869</v>
      </c>
      <c r="N404" s="576">
        <f t="shared" si="203"/>
        <v>-0.48834774476783432</v>
      </c>
      <c r="O404" s="574">
        <f t="shared" si="204"/>
        <v>696349.71883646806</v>
      </c>
      <c r="P404" s="577">
        <f t="shared" si="205"/>
        <v>1.5707948907348639</v>
      </c>
      <c r="Q404" s="586">
        <f t="shared" si="195"/>
        <v>129.98912738179988</v>
      </c>
      <c r="R404" s="587">
        <f t="shared" si="196"/>
        <v>1.5631032998165075</v>
      </c>
      <c r="S404" s="574">
        <f t="shared" si="206"/>
        <v>1.2368767087820149</v>
      </c>
      <c r="T404" s="577">
        <f t="shared" si="207"/>
        <v>0.62921792086219519</v>
      </c>
      <c r="U404" s="578">
        <f t="shared" si="219"/>
        <v>0.54546628505211048</v>
      </c>
      <c r="V404" s="579">
        <f t="shared" si="220"/>
        <v>-1.360241777485711</v>
      </c>
      <c r="W404" s="580">
        <f t="shared" si="208"/>
        <v>-23.440402961395463</v>
      </c>
      <c r="X404" s="581">
        <f t="shared" si="209"/>
        <v>-227.85022422784883</v>
      </c>
      <c r="Y404" s="584">
        <f t="shared" si="210"/>
        <v>-47.850224227848827</v>
      </c>
      <c r="AA404" s="147">
        <f t="shared" si="211"/>
        <v>36942.5</v>
      </c>
      <c r="AB404" s="147">
        <f t="shared" si="212"/>
        <v>1364748306.25</v>
      </c>
      <c r="AD404" s="583">
        <f t="shared" si="213"/>
        <v>28.680514346534633</v>
      </c>
      <c r="AE404" s="584">
        <f t="shared" si="214"/>
        <v>-36.492226998461831</v>
      </c>
      <c r="AG404" s="583">
        <f t="shared" si="215"/>
        <v>13.510611529198922</v>
      </c>
      <c r="AH404" s="584">
        <f t="shared" si="216"/>
        <v>-35.485771116668047</v>
      </c>
      <c r="AJ404" s="147">
        <f t="shared" si="217"/>
        <v>0</v>
      </c>
      <c r="AK404" s="147">
        <f t="shared" si="197"/>
        <v>0</v>
      </c>
      <c r="AM404" s="147" t="str">
        <f t="shared" si="221"/>
        <v>1.83565842664932+0.549249482448537i</v>
      </c>
      <c r="AN404" s="147" t="str">
        <f t="shared" si="222"/>
        <v>2.56012679629705i</v>
      </c>
      <c r="AO404" s="147" t="str">
        <f t="shared" si="223"/>
        <v>0.214539952959739-0.717018559121526i</v>
      </c>
      <c r="AP404" s="147" t="str">
        <f t="shared" si="224"/>
        <v>-0.139276404441553-0.0915415804080895i</v>
      </c>
      <c r="AQ404" s="147" t="str">
        <f t="shared" si="225"/>
        <v>1.13927640444155+0.0915415804080895i</v>
      </c>
      <c r="AR404" s="147" t="str">
        <f t="shared" si="226"/>
        <v>0.726475560314026-0.0583727712254311i</v>
      </c>
    </row>
    <row r="405" spans="7:44">
      <c r="G405" s="585">
        <v>37154</v>
      </c>
      <c r="H405" s="573">
        <f t="shared" si="218"/>
        <v>37.154000000000003</v>
      </c>
      <c r="I405" s="574">
        <f t="shared" si="198"/>
        <v>323.42988631644965</v>
      </c>
      <c r="J405" s="575">
        <f t="shared" si="199"/>
        <v>1.5677044616470512</v>
      </c>
      <c r="K405" s="575">
        <f t="shared" si="200"/>
        <v>1.0029629604246344</v>
      </c>
      <c r="L405" s="576">
        <f t="shared" si="201"/>
        <v>7.6885147190252495E-2</v>
      </c>
      <c r="M405" s="575">
        <f t="shared" si="202"/>
        <v>1.133792917364348</v>
      </c>
      <c r="N405" s="576">
        <f t="shared" si="203"/>
        <v>-0.49071681857272031</v>
      </c>
      <c r="O405" s="574">
        <f t="shared" si="204"/>
        <v>700336.399909314</v>
      </c>
      <c r="P405" s="577">
        <f t="shared" si="205"/>
        <v>1.5707948989096687</v>
      </c>
      <c r="Q405" s="586">
        <f t="shared" si="195"/>
        <v>130.73328595289979</v>
      </c>
      <c r="R405" s="587">
        <f t="shared" si="196"/>
        <v>1.5631470908365146</v>
      </c>
      <c r="S405" s="574">
        <f t="shared" si="206"/>
        <v>1.2393338625558077</v>
      </c>
      <c r="T405" s="577">
        <f t="shared" si="207"/>
        <v>0.63193656335592574</v>
      </c>
      <c r="U405" s="578">
        <f t="shared" si="219"/>
        <v>0.54298472561061339</v>
      </c>
      <c r="V405" s="579">
        <f t="shared" si="220"/>
        <v>-1.3656903866130019</v>
      </c>
      <c r="W405" s="580">
        <f t="shared" si="208"/>
        <v>-23.535581042228756</v>
      </c>
      <c r="X405" s="581">
        <f t="shared" si="209"/>
        <v>-228.42743803621011</v>
      </c>
      <c r="Y405" s="584">
        <f t="shared" si="210"/>
        <v>-48.427438036210106</v>
      </c>
      <c r="AA405" s="147">
        <f t="shared" si="211"/>
        <v>37154</v>
      </c>
      <c r="AB405" s="147">
        <f t="shared" si="212"/>
        <v>1380419716</v>
      </c>
      <c r="AD405" s="583">
        <f t="shared" si="213"/>
        <v>28.663273336099834</v>
      </c>
      <c r="AE405" s="584">
        <f t="shared" si="214"/>
        <v>-36.64548516728749</v>
      </c>
      <c r="AG405" s="583">
        <f t="shared" si="215"/>
        <v>13.511886434624991</v>
      </c>
      <c r="AH405" s="584">
        <f t="shared" si="216"/>
        <v>-35.285362141069776</v>
      </c>
      <c r="AJ405" s="147">
        <f t="shared" si="217"/>
        <v>0</v>
      </c>
      <c r="AK405" s="147">
        <f t="shared" si="197"/>
        <v>0</v>
      </c>
      <c r="AM405" s="147" t="str">
        <f t="shared" si="221"/>
        <v>1.84361873706324+0.536942665911203i</v>
      </c>
      <c r="AN405" s="147" t="str">
        <f t="shared" si="222"/>
        <v>2.57478381240091i</v>
      </c>
      <c r="AO405" s="147" t="str">
        <f t="shared" si="223"/>
        <v>0.20853893182221-0.716028556721475i</v>
      </c>
      <c r="AP405" s="147" t="str">
        <f t="shared" si="224"/>
        <v>-0.140603122843873-0.0894904443185338i</v>
      </c>
      <c r="AQ405" s="147" t="str">
        <f t="shared" si="225"/>
        <v>1.14060312284387+0.0894904443185338i</v>
      </c>
      <c r="AR405" s="147" t="str">
        <f t="shared" si="226"/>
        <v>0.725847209970912-0.0569491596390767i</v>
      </c>
    </row>
    <row r="406" spans="7:44">
      <c r="G406" s="585">
        <v>37370.25</v>
      </c>
      <c r="H406" s="573">
        <f t="shared" si="218"/>
        <v>37.370249999999999</v>
      </c>
      <c r="I406" s="574">
        <f t="shared" si="198"/>
        <v>325.31234974530446</v>
      </c>
      <c r="J406" s="575">
        <f t="shared" si="199"/>
        <v>1.5677223531948465</v>
      </c>
      <c r="K406" s="575">
        <f t="shared" si="200"/>
        <v>1.0029975001577314</v>
      </c>
      <c r="L406" s="576">
        <f t="shared" si="201"/>
        <v>7.7330870342114361E-2</v>
      </c>
      <c r="M406" s="575">
        <f t="shared" si="202"/>
        <v>1.1352617861549978</v>
      </c>
      <c r="N406" s="576">
        <f t="shared" si="203"/>
        <v>-0.49313291297575956</v>
      </c>
      <c r="O406" s="574">
        <f t="shared" si="204"/>
        <v>704412.61637268483</v>
      </c>
      <c r="P406" s="577">
        <f t="shared" si="205"/>
        <v>1.5707949071723959</v>
      </c>
      <c r="Q406" s="586">
        <f t="shared" si="195"/>
        <v>131.49415756139044</v>
      </c>
      <c r="R406" s="587">
        <f t="shared" si="196"/>
        <v>1.5631913528714767</v>
      </c>
      <c r="S406" s="574">
        <f t="shared" si="206"/>
        <v>1.2418556335204078</v>
      </c>
      <c r="T406" s="577">
        <f t="shared" si="207"/>
        <v>0.63470511841496147</v>
      </c>
      <c r="U406" s="578">
        <f t="shared" si="219"/>
        <v>0.54045867324109764</v>
      </c>
      <c r="V406" s="579">
        <f t="shared" si="220"/>
        <v>-1.3712500875044997</v>
      </c>
      <c r="W406" s="580">
        <f t="shared" si="208"/>
        <v>-23.632605667895458</v>
      </c>
      <c r="X406" s="581">
        <f t="shared" si="209"/>
        <v>-229.01599546612033</v>
      </c>
      <c r="Y406" s="584">
        <f t="shared" si="210"/>
        <v>-49.01599546612033</v>
      </c>
      <c r="AA406" s="147">
        <f t="shared" si="211"/>
        <v>37370.25</v>
      </c>
      <c r="AB406" s="147">
        <f t="shared" si="212"/>
        <v>1396535585.0625</v>
      </c>
      <c r="AD406" s="583">
        <f t="shared" si="213"/>
        <v>28.645614491655248</v>
      </c>
      <c r="AE406" s="584">
        <f t="shared" si="214"/>
        <v>-36.801576133321582</v>
      </c>
      <c r="AG406" s="583">
        <f t="shared" si="215"/>
        <v>13.513525537945712</v>
      </c>
      <c r="AH406" s="584">
        <f t="shared" si="216"/>
        <v>-35.080733811342007</v>
      </c>
      <c r="AJ406" s="147">
        <f t="shared" si="217"/>
        <v>0</v>
      </c>
      <c r="AK406" s="147">
        <f t="shared" si="197"/>
        <v>0</v>
      </c>
      <c r="AM406" s="147" t="str">
        <f t="shared" si="221"/>
        <v>1.85157043137744+0.524240212501518i</v>
      </c>
      <c r="AN406" s="147" t="str">
        <f t="shared" si="222"/>
        <v>2.58977000498937i</v>
      </c>
      <c r="AO406" s="147" t="str">
        <f t="shared" si="223"/>
        <v>0.202427324237879-0.714955547330559i</v>
      </c>
      <c r="AP406" s="147" t="str">
        <f t="shared" si="224"/>
        <v>-0.141928405229574-0.087373368750253i</v>
      </c>
      <c r="AQ406" s="147" t="str">
        <f t="shared" si="225"/>
        <v>1.14192840522957+0.087373368750253i</v>
      </c>
      <c r="AR406" s="147" t="str">
        <f t="shared" si="226"/>
        <v>0.725222077922525-0.0554895523659478i</v>
      </c>
    </row>
    <row r="407" spans="7:44">
      <c r="G407" s="585">
        <v>37586.5</v>
      </c>
      <c r="H407" s="573">
        <f t="shared" si="218"/>
        <v>37.586500000000001</v>
      </c>
      <c r="I407" s="574">
        <f t="shared" si="198"/>
        <v>327.19481327709605</v>
      </c>
      <c r="J407" s="575">
        <f t="shared" si="199"/>
        <v>1.5677400388702749</v>
      </c>
      <c r="K407" s="575">
        <f t="shared" si="200"/>
        <v>1.0030322391417208</v>
      </c>
      <c r="L407" s="576">
        <f t="shared" si="201"/>
        <v>7.7776562708195884E-2</v>
      </c>
      <c r="M407" s="575">
        <f t="shared" si="202"/>
        <v>1.1367372649007816</v>
      </c>
      <c r="N407" s="576">
        <f t="shared" si="203"/>
        <v>-0.49554274926127961</v>
      </c>
      <c r="O407" s="574">
        <f t="shared" si="204"/>
        <v>708488.83283605578</v>
      </c>
      <c r="P407" s="577">
        <f t="shared" si="205"/>
        <v>1.5707949153400456</v>
      </c>
      <c r="Q407" s="586">
        <f t="shared" ref="Q407:Q470" si="227">SQRT(1+(G407/Zero2)^2)</f>
        <v>132.25502942453082</v>
      </c>
      <c r="R407" s="587">
        <f t="shared" ref="R407:R470" si="228">ATAN(G407/Zero2)</f>
        <v>1.5632351056217404</v>
      </c>
      <c r="S407" s="574">
        <f t="shared" si="206"/>
        <v>1.2443868845586163</v>
      </c>
      <c r="T407" s="577">
        <f t="shared" si="207"/>
        <v>0.6374624313070083</v>
      </c>
      <c r="U407" s="578">
        <f t="shared" si="219"/>
        <v>0.53794390607364562</v>
      </c>
      <c r="V407" s="579">
        <f t="shared" si="220"/>
        <v>-1.3767986990786136</v>
      </c>
      <c r="W407" s="580">
        <f t="shared" si="208"/>
        <v>-23.729339597015912</v>
      </c>
      <c r="X407" s="581">
        <f t="shared" si="209"/>
        <v>-229.60293397519607</v>
      </c>
      <c r="Y407" s="584">
        <f t="shared" si="210"/>
        <v>-49.602933975196066</v>
      </c>
      <c r="AA407" s="147">
        <f t="shared" si="211"/>
        <v>37586.5</v>
      </c>
      <c r="AB407" s="147">
        <f t="shared" si="212"/>
        <v>1412744982.25</v>
      </c>
      <c r="AD407" s="583">
        <f t="shared" si="213"/>
        <v>28.627925342574692</v>
      </c>
      <c r="AE407" s="584">
        <f t="shared" si="214"/>
        <v>-36.957052145050191</v>
      </c>
      <c r="AG407" s="583">
        <f t="shared" si="215"/>
        <v>13.515500703868808</v>
      </c>
      <c r="AH407" s="584">
        <f t="shared" si="216"/>
        <v>-34.876372257254324</v>
      </c>
      <c r="AJ407" s="147">
        <f t="shared" si="217"/>
        <v>0</v>
      </c>
      <c r="AK407" s="147">
        <f t="shared" ref="AK407:AK470" si="229">IF(AJ407&gt;0,Y407,0)</f>
        <v>0</v>
      </c>
      <c r="AM407" s="147" t="str">
        <f t="shared" si="221"/>
        <v>1.85933087850107+0.511420024299577i</v>
      </c>
      <c r="AN407" s="147" t="str">
        <f t="shared" si="222"/>
        <v>2.60475619757783i</v>
      </c>
      <c r="AO407" s="147" t="str">
        <f t="shared" si="223"/>
        <v>0.196340841716836-0.7138214625346i</v>
      </c>
      <c r="AP407" s="147" t="str">
        <f t="shared" si="224"/>
        <v>-0.143221813083512-0.0852366707165962i</v>
      </c>
      <c r="AQ407" s="147" t="str">
        <f t="shared" si="225"/>
        <v>1.14322181308351+0.0852366707165962i</v>
      </c>
      <c r="AR407" s="147" t="str">
        <f t="shared" si="226"/>
        <v>0.724614412335781-0.0540260160835937i</v>
      </c>
    </row>
    <row r="408" spans="7:44">
      <c r="G408" s="585">
        <v>37802.75</v>
      </c>
      <c r="H408" s="573">
        <f t="shared" si="218"/>
        <v>37.802750000000003</v>
      </c>
      <c r="I408" s="574">
        <f t="shared" si="198"/>
        <v>329.07727691005772</v>
      </c>
      <c r="J408" s="575">
        <f t="shared" si="199"/>
        <v>1.5677575222063607</v>
      </c>
      <c r="K408" s="575">
        <f t="shared" si="200"/>
        <v>1.0030671773559003</v>
      </c>
      <c r="L408" s="576">
        <f t="shared" si="201"/>
        <v>7.8222224114638764E-2</v>
      </c>
      <c r="M408" s="575">
        <f t="shared" si="202"/>
        <v>1.1382193278961574</v>
      </c>
      <c r="N408" s="576">
        <f t="shared" si="203"/>
        <v>-0.49794632383170495</v>
      </c>
      <c r="O408" s="574">
        <f t="shared" si="204"/>
        <v>712565.04929942684</v>
      </c>
      <c r="P408" s="577">
        <f t="shared" si="205"/>
        <v>1.5707949234142495</v>
      </c>
      <c r="Q408" s="586">
        <f t="shared" si="227"/>
        <v>133.01590153795098</v>
      </c>
      <c r="R408" s="587">
        <f t="shared" si="228"/>
        <v>1.5632783578267049</v>
      </c>
      <c r="S408" s="574">
        <f t="shared" si="206"/>
        <v>1.2469275579370573</v>
      </c>
      <c r="T408" s="577">
        <f t="shared" si="207"/>
        <v>0.6402085286976269</v>
      </c>
      <c r="U408" s="578">
        <f t="shared" si="219"/>
        <v>0.53544034294801246</v>
      </c>
      <c r="V408" s="579">
        <f t="shared" si="220"/>
        <v>-1.3823365350668981</v>
      </c>
      <c r="W408" s="580">
        <f t="shared" si="208"/>
        <v>-23.825786398416497</v>
      </c>
      <c r="X408" s="581">
        <f t="shared" si="209"/>
        <v>-230.18827257238115</v>
      </c>
      <c r="Y408" s="584">
        <f t="shared" si="210"/>
        <v>-50.188272572381152</v>
      </c>
      <c r="AA408" s="147">
        <f t="shared" si="211"/>
        <v>37802.75</v>
      </c>
      <c r="AB408" s="147">
        <f t="shared" si="212"/>
        <v>1429047907.5625</v>
      </c>
      <c r="AD408" s="583">
        <f t="shared" si="213"/>
        <v>28.610206547835983</v>
      </c>
      <c r="AE408" s="584">
        <f t="shared" si="214"/>
        <v>-37.111914229660201</v>
      </c>
      <c r="AG408" s="583">
        <f t="shared" si="215"/>
        <v>13.517808775252556</v>
      </c>
      <c r="AH408" s="584">
        <f t="shared" si="216"/>
        <v>-34.672259509575547</v>
      </c>
      <c r="AJ408" s="147">
        <f t="shared" si="217"/>
        <v>0</v>
      </c>
      <c r="AK408" s="147">
        <f t="shared" si="229"/>
        <v>0</v>
      </c>
      <c r="AM408" s="147" t="str">
        <f t="shared" si="221"/>
        <v>1.8668983355792+0.498484980485877i</v>
      </c>
      <c r="AN408" s="147" t="str">
        <f t="shared" si="222"/>
        <v>2.61974239016629i</v>
      </c>
      <c r="AO408" s="147" t="str">
        <f t="shared" si="223"/>
        <v>0.190280152108481-0.712626685198882i</v>
      </c>
      <c r="AP408" s="147" t="str">
        <f t="shared" si="224"/>
        <v>-0.144483055929867-0.0830808300809795i</v>
      </c>
      <c r="AQ408" s="147" t="str">
        <f t="shared" si="225"/>
        <v>1.14448305592987+0.0830808300809795i</v>
      </c>
      <c r="AR408" s="147" t="str">
        <f t="shared" si="226"/>
        <v>0.724024157691005-0.0525586881413268i</v>
      </c>
    </row>
    <row r="409" spans="7:44">
      <c r="G409" s="585">
        <v>38019</v>
      </c>
      <c r="H409" s="573">
        <f t="shared" si="218"/>
        <v>38.018999999999998</v>
      </c>
      <c r="I409" s="574">
        <f t="shared" si="198"/>
        <v>330.9597406424632</v>
      </c>
      <c r="J409" s="575">
        <f t="shared" si="199"/>
        <v>1.5677748066557469</v>
      </c>
      <c r="K409" s="575">
        <f t="shared" si="200"/>
        <v>1.0031023147794529</v>
      </c>
      <c r="L409" s="576">
        <f t="shared" si="201"/>
        <v>7.8667854387657957E-2</v>
      </c>
      <c r="M409" s="575">
        <f t="shared" si="202"/>
        <v>1.1397079494548801</v>
      </c>
      <c r="N409" s="576">
        <f t="shared" si="203"/>
        <v>-0.50034363339752896</v>
      </c>
      <c r="O409" s="574">
        <f t="shared" si="204"/>
        <v>716641.26576279779</v>
      </c>
      <c r="P409" s="577">
        <f t="shared" si="205"/>
        <v>1.5707949313966021</v>
      </c>
      <c r="Q409" s="586">
        <f t="shared" si="227"/>
        <v>133.77677389738045</v>
      </c>
      <c r="R409" s="587">
        <f t="shared" si="228"/>
        <v>1.5633211180269517</v>
      </c>
      <c r="S409" s="574">
        <f t="shared" si="206"/>
        <v>1.2494775961778977</v>
      </c>
      <c r="T409" s="577">
        <f t="shared" si="207"/>
        <v>0.64294343771250939</v>
      </c>
      <c r="U409" s="578">
        <f t="shared" si="219"/>
        <v>0.532947901277953</v>
      </c>
      <c r="V409" s="579">
        <f t="shared" si="220"/>
        <v>-1.3878639082119826</v>
      </c>
      <c r="W409" s="580">
        <f t="shared" si="208"/>
        <v>-23.921949624999463</v>
      </c>
      <c r="X409" s="581">
        <f t="shared" si="209"/>
        <v>-230.77203026075219</v>
      </c>
      <c r="Y409" s="584">
        <f t="shared" si="210"/>
        <v>-50.772030260752189</v>
      </c>
      <c r="AA409" s="147">
        <f t="shared" si="211"/>
        <v>38019</v>
      </c>
      <c r="AB409" s="147">
        <f t="shared" si="212"/>
        <v>1445444361</v>
      </c>
      <c r="AD409" s="583">
        <f t="shared" si="213"/>
        <v>28.592458760503391</v>
      </c>
      <c r="AE409" s="584">
        <f t="shared" si="214"/>
        <v>-37.266163452091327</v>
      </c>
      <c r="AG409" s="583">
        <f t="shared" si="215"/>
        <v>13.520446689657117</v>
      </c>
      <c r="AH409" s="584">
        <f t="shared" si="216"/>
        <v>-34.468377668777123</v>
      </c>
      <c r="AJ409" s="147">
        <f t="shared" si="217"/>
        <v>0</v>
      </c>
      <c r="AK409" s="147">
        <f t="shared" si="229"/>
        <v>0</v>
      </c>
      <c r="AM409" s="147" t="str">
        <f t="shared" si="221"/>
        <v>1.87427110309898+0.485437986035386i</v>
      </c>
      <c r="AN409" s="147" t="str">
        <f t="shared" si="222"/>
        <v>2.63472858275475i</v>
      </c>
      <c r="AO409" s="147" t="str">
        <f t="shared" si="223"/>
        <v>0.184245917857632-0.711371605928125i</v>
      </c>
      <c r="AP409" s="147" t="str">
        <f t="shared" si="224"/>
        <v>-0.145711850516497-0.0809063310058977i</v>
      </c>
      <c r="AQ409" s="147" t="str">
        <f t="shared" si="225"/>
        <v>1.1457118505165+0.0809063310058977i</v>
      </c>
      <c r="AR409" s="147" t="str">
        <f t="shared" si="226"/>
        <v>0.723451259576049-0.0510877032890134i</v>
      </c>
    </row>
    <row r="410" spans="7:44">
      <c r="G410" s="585">
        <v>38240.5</v>
      </c>
      <c r="H410" s="573">
        <f t="shared" si="218"/>
        <v>38.240499999999997</v>
      </c>
      <c r="I410" s="574">
        <f t="shared" si="198"/>
        <v>332.88790590785379</v>
      </c>
      <c r="J410" s="575">
        <f t="shared" si="199"/>
        <v>1.5677923080658418</v>
      </c>
      <c r="K410" s="575">
        <f t="shared" si="200"/>
        <v>1.0031385117509288</v>
      </c>
      <c r="L410" s="576">
        <f t="shared" si="201"/>
        <v>7.9124270972406818E-2</v>
      </c>
      <c r="M410" s="575">
        <f t="shared" si="202"/>
        <v>1.1412394834699673</v>
      </c>
      <c r="N410" s="576">
        <f t="shared" si="203"/>
        <v>-0.50279264542694679</v>
      </c>
      <c r="O410" s="574">
        <f t="shared" si="204"/>
        <v>720816.44239464379</v>
      </c>
      <c r="P410" s="577">
        <f t="shared" si="205"/>
        <v>1.5707949394791514</v>
      </c>
      <c r="Q410" s="586">
        <f t="shared" si="227"/>
        <v>134.55611855320922</v>
      </c>
      <c r="R410" s="587">
        <f t="shared" si="228"/>
        <v>1.5633644149921193</v>
      </c>
      <c r="S410" s="574">
        <f t="shared" si="206"/>
        <v>1.2520991917167354</v>
      </c>
      <c r="T410" s="577">
        <f t="shared" si="207"/>
        <v>0.64573317307256928</v>
      </c>
      <c r="U410" s="578">
        <f t="shared" si="219"/>
        <v>0.53040639144461743</v>
      </c>
      <c r="V410" s="579">
        <f t="shared" si="220"/>
        <v>-1.3935149508046509</v>
      </c>
      <c r="W410" s="580">
        <f t="shared" si="208"/>
        <v>-24.020157162614062</v>
      </c>
      <c r="X410" s="581">
        <f t="shared" si="209"/>
        <v>-231.36834100984862</v>
      </c>
      <c r="Y410" s="584">
        <f t="shared" si="210"/>
        <v>-51.368341009848621</v>
      </c>
      <c r="AA410" s="147">
        <f t="shared" si="211"/>
        <v>38240.5</v>
      </c>
      <c r="AB410" s="147">
        <f t="shared" si="212"/>
        <v>1462335840.25</v>
      </c>
      <c r="AD410" s="583">
        <f t="shared" si="213"/>
        <v>28.574250721399942</v>
      </c>
      <c r="AE410" s="584">
        <f t="shared" si="214"/>
        <v>-37.423523244087114</v>
      </c>
      <c r="AG410" s="583">
        <f t="shared" si="215"/>
        <v>13.523487495258234</v>
      </c>
      <c r="AH410" s="584">
        <f t="shared" si="216"/>
        <v>-34.25976684432068</v>
      </c>
      <c r="AJ410" s="147">
        <f t="shared" si="217"/>
        <v>0</v>
      </c>
      <c r="AK410" s="147">
        <f t="shared" si="229"/>
        <v>0</v>
      </c>
      <c r="AM410" s="147" t="str">
        <f t="shared" si="221"/>
        <v>1.88161929569202+0.471961245722053i</v>
      </c>
      <c r="AN410" s="147" t="str">
        <f t="shared" si="222"/>
        <v>2.65007860198409i</v>
      </c>
      <c r="AO410" s="147" t="str">
        <f t="shared" si="223"/>
        <v>0.178093300843492-0.710023957132165i</v>
      </c>
      <c r="AP410" s="147" t="str">
        <f t="shared" si="224"/>
        <v>-0.146936549282003-0.0786602076203422i</v>
      </c>
      <c r="AQ410" s="147" t="str">
        <f t="shared" si="225"/>
        <v>1.146936549282+0.0786602076203422i</v>
      </c>
      <c r="AR410" s="147" t="str">
        <f t="shared" si="226"/>
        <v>0.722882390996003-0.0495773536874655i</v>
      </c>
    </row>
    <row r="411" spans="7:44">
      <c r="G411" s="585">
        <v>38462</v>
      </c>
      <c r="H411" s="573">
        <f t="shared" si="218"/>
        <v>38.462000000000003</v>
      </c>
      <c r="I411" s="574">
        <f t="shared" si="198"/>
        <v>334.81607127403339</v>
      </c>
      <c r="J411" s="575">
        <f t="shared" si="199"/>
        <v>1.567809607898923</v>
      </c>
      <c r="K411" s="575">
        <f t="shared" si="200"/>
        <v>1.0031749176772002</v>
      </c>
      <c r="L411" s="576">
        <f t="shared" si="201"/>
        <v>7.9580654524861558E-2</v>
      </c>
      <c r="M411" s="575">
        <f t="shared" si="202"/>
        <v>1.1427778438809437</v>
      </c>
      <c r="N411" s="576">
        <f t="shared" si="203"/>
        <v>-0.50523507855444705</v>
      </c>
      <c r="O411" s="574">
        <f t="shared" si="204"/>
        <v>724991.61902648967</v>
      </c>
      <c r="P411" s="577">
        <f t="shared" si="205"/>
        <v>1.5707949474686069</v>
      </c>
      <c r="Q411" s="586">
        <f t="shared" si="227"/>
        <v>135.33546345837536</v>
      </c>
      <c r="R411" s="587">
        <f t="shared" si="228"/>
        <v>1.563407213296212</v>
      </c>
      <c r="S411" s="574">
        <f t="shared" si="206"/>
        <v>1.2547304911076755</v>
      </c>
      <c r="T411" s="577">
        <f t="shared" si="207"/>
        <v>0.64851122925163385</v>
      </c>
      <c r="U411" s="578">
        <f t="shared" si="219"/>
        <v>0.5278763698775164</v>
      </c>
      <c r="V411" s="579">
        <f t="shared" si="220"/>
        <v>-1.3991556774632641</v>
      </c>
      <c r="W411" s="580">
        <f t="shared" si="208"/>
        <v>-24.118074688387541</v>
      </c>
      <c r="X411" s="581">
        <f t="shared" si="209"/>
        <v>-231.96303349730718</v>
      </c>
      <c r="Y411" s="584">
        <f t="shared" si="210"/>
        <v>-51.96303349730718</v>
      </c>
      <c r="AA411" s="147">
        <f t="shared" si="211"/>
        <v>38462</v>
      </c>
      <c r="AB411" s="147">
        <f t="shared" si="212"/>
        <v>1479325444</v>
      </c>
      <c r="AD411" s="583">
        <f t="shared" si="213"/>
        <v>28.55601363283548</v>
      </c>
      <c r="AE411" s="584">
        <f t="shared" si="214"/>
        <v>-37.580242434144076</v>
      </c>
      <c r="AG411" s="583">
        <f t="shared" si="215"/>
        <v>13.526868148272513</v>
      </c>
      <c r="AH411" s="584">
        <f t="shared" si="216"/>
        <v>-34.051360479132761</v>
      </c>
      <c r="AJ411" s="147">
        <f t="shared" si="217"/>
        <v>0</v>
      </c>
      <c r="AK411" s="147">
        <f t="shared" si="229"/>
        <v>0</v>
      </c>
      <c r="AM411" s="147" t="str">
        <f t="shared" si="221"/>
        <v>1.8887597625009+0.458373302625002i</v>
      </c>
      <c r="AN411" s="147" t="str">
        <f t="shared" si="222"/>
        <v>2.66542862121343i</v>
      </c>
      <c r="AO411" s="147" t="str">
        <f t="shared" si="223"/>
        <v>0.171969828408434-0.708613897017826i</v>
      </c>
      <c r="AP411" s="147" t="str">
        <f t="shared" si="224"/>
        <v>-0.148126627083483-0.0763955504375003i</v>
      </c>
      <c r="AQ411" s="147" t="str">
        <f t="shared" si="225"/>
        <v>1.14812662708348+0.0763955504375003i</v>
      </c>
      <c r="AR411" s="147" t="str">
        <f t="shared" si="226"/>
        <v>0.722331620094881-0.048063445628587i</v>
      </c>
    </row>
    <row r="412" spans="7:44">
      <c r="G412" s="585">
        <v>38683.5</v>
      </c>
      <c r="H412" s="573">
        <f t="shared" si="218"/>
        <v>38.683500000000002</v>
      </c>
      <c r="I412" s="574">
        <f t="shared" si="198"/>
        <v>336.7442367392706</v>
      </c>
      <c r="J412" s="575">
        <f t="shared" si="199"/>
        <v>1.5678267096176119</v>
      </c>
      <c r="K412" s="575">
        <f t="shared" si="200"/>
        <v>1.0032115325355189</v>
      </c>
      <c r="L412" s="576">
        <f t="shared" si="201"/>
        <v>8.0037004858512173E-2</v>
      </c>
      <c r="M412" s="575">
        <f t="shared" si="202"/>
        <v>1.1443230031567968</v>
      </c>
      <c r="N412" s="576">
        <f t="shared" si="203"/>
        <v>-0.50767093023114451</v>
      </c>
      <c r="O412" s="574">
        <f t="shared" si="204"/>
        <v>729166.79565833579</v>
      </c>
      <c r="P412" s="577">
        <f t="shared" si="205"/>
        <v>1.5707949553665679</v>
      </c>
      <c r="Q412" s="586">
        <f t="shared" si="227"/>
        <v>136.11480860859609</v>
      </c>
      <c r="R412" s="587">
        <f t="shared" si="228"/>
        <v>1.5634495215045414</v>
      </c>
      <c r="S412" s="574">
        <f t="shared" si="206"/>
        <v>1.2573714334290074</v>
      </c>
      <c r="T412" s="577">
        <f t="shared" si="207"/>
        <v>0.65127763682733497</v>
      </c>
      <c r="U412" s="578">
        <f t="shared" si="219"/>
        <v>0.52535774352584397</v>
      </c>
      <c r="V412" s="579">
        <f t="shared" si="220"/>
        <v>-1.404786421175694</v>
      </c>
      <c r="W412" s="580">
        <f t="shared" si="208"/>
        <v>-24.215705975574025</v>
      </c>
      <c r="X412" s="581">
        <f t="shared" si="209"/>
        <v>-232.5561281262718</v>
      </c>
      <c r="Y412" s="584">
        <f t="shared" si="210"/>
        <v>-52.556128126271801</v>
      </c>
      <c r="AA412" s="147">
        <f t="shared" si="211"/>
        <v>38683.5</v>
      </c>
      <c r="AB412" s="147">
        <f t="shared" si="212"/>
        <v>1496413172.25</v>
      </c>
      <c r="AD412" s="583">
        <f t="shared" si="213"/>
        <v>28.537748177339225</v>
      </c>
      <c r="AE412" s="584">
        <f t="shared" si="214"/>
        <v>-37.736322283566906</v>
      </c>
      <c r="AG412" s="583">
        <f t="shared" si="215"/>
        <v>13.530585657509967</v>
      </c>
      <c r="AH412" s="584">
        <f t="shared" si="216"/>
        <v>-33.843139557453142</v>
      </c>
      <c r="AJ412" s="147">
        <f t="shared" si="217"/>
        <v>0</v>
      </c>
      <c r="AK412" s="147">
        <f t="shared" si="229"/>
        <v>0</v>
      </c>
      <c r="AM412" s="147" t="str">
        <f t="shared" si="221"/>
        <v>1.89569082109979+0.444677358314523i</v>
      </c>
      <c r="AN412" s="147" t="str">
        <f t="shared" si="222"/>
        <v>2.68077864044276i</v>
      </c>
      <c r="AO412" s="147" t="str">
        <f t="shared" si="223"/>
        <v>0.165876194179569-0.707141870089914i</v>
      </c>
      <c r="AP412" s="147" t="str">
        <f t="shared" si="224"/>
        <v>-0.149281803516632-0.0741128930524205i</v>
      </c>
      <c r="AQ412" s="147" t="str">
        <f t="shared" si="225"/>
        <v>1.14928180351663+0.0741128930524205i</v>
      </c>
      <c r="AR412" s="147" t="str">
        <f t="shared" si="226"/>
        <v>0.72179889227067-0.0465461159695788i</v>
      </c>
    </row>
    <row r="413" spans="7:44">
      <c r="G413" s="585">
        <v>38905</v>
      </c>
      <c r="H413" s="573">
        <f t="shared" si="218"/>
        <v>38.905000000000001</v>
      </c>
      <c r="I413" s="574">
        <f t="shared" si="198"/>
        <v>338.67240230187355</v>
      </c>
      <c r="J413" s="575">
        <f t="shared" si="199"/>
        <v>1.5678436166056766</v>
      </c>
      <c r="K413" s="575">
        <f t="shared" si="200"/>
        <v>1.003248356303009</v>
      </c>
      <c r="L413" s="576">
        <f t="shared" si="201"/>
        <v>8.0493321786931166E-2</v>
      </c>
      <c r="M413" s="575">
        <f t="shared" si="202"/>
        <v>1.1458749337936636</v>
      </c>
      <c r="N413" s="576">
        <f t="shared" si="203"/>
        <v>-0.51010019823427122</v>
      </c>
      <c r="O413" s="574">
        <f t="shared" si="204"/>
        <v>733341.9722901819</v>
      </c>
      <c r="P413" s="577">
        <f t="shared" si="205"/>
        <v>1.570794963174597</v>
      </c>
      <c r="Q413" s="586">
        <f t="shared" si="227"/>
        <v>136.8941539996861</v>
      </c>
      <c r="R413" s="587">
        <f t="shared" si="228"/>
        <v>1.5634913479873753</v>
      </c>
      <c r="S413" s="574">
        <f t="shared" si="206"/>
        <v>1.260021958047449</v>
      </c>
      <c r="T413" s="577">
        <f t="shared" si="207"/>
        <v>0.65403242683459373</v>
      </c>
      <c r="U413" s="578">
        <f t="shared" si="219"/>
        <v>0.52285041799901577</v>
      </c>
      <c r="V413" s="579">
        <f t="shared" si="220"/>
        <v>-1.4104075139363619</v>
      </c>
      <c r="W413" s="580">
        <f t="shared" si="208"/>
        <v>-24.313054784705979</v>
      </c>
      <c r="X413" s="581">
        <f t="shared" si="209"/>
        <v>-233.14764529450213</v>
      </c>
      <c r="Y413" s="584">
        <f t="shared" si="210"/>
        <v>-53.147645294502126</v>
      </c>
      <c r="AA413" s="147">
        <f t="shared" si="211"/>
        <v>38905</v>
      </c>
      <c r="AB413" s="147">
        <f t="shared" si="212"/>
        <v>1513599025</v>
      </c>
      <c r="AD413" s="583">
        <f t="shared" si="213"/>
        <v>28.519455030958003</v>
      </c>
      <c r="AE413" s="584">
        <f t="shared" si="214"/>
        <v>-37.891764091034126</v>
      </c>
      <c r="AG413" s="583">
        <f t="shared" si="215"/>
        <v>13.53463712995924</v>
      </c>
      <c r="AH413" s="584">
        <f t="shared" si="216"/>
        <v>-33.63508513460453</v>
      </c>
      <c r="AJ413" s="147">
        <f t="shared" si="217"/>
        <v>0</v>
      </c>
      <c r="AK413" s="147">
        <f t="shared" si="229"/>
        <v>0</v>
      </c>
      <c r="AM413" s="147" t="str">
        <f t="shared" si="221"/>
        <v>1.90241083840333+0.430876639807956i</v>
      </c>
      <c r="AN413" s="147" t="str">
        <f t="shared" si="222"/>
        <v>2.6961286596721i</v>
      </c>
      <c r="AO413" s="147" t="str">
        <f t="shared" si="223"/>
        <v>0.159813085426108-0.705608329030818i</v>
      </c>
      <c r="AP413" s="147" t="str">
        <f t="shared" si="224"/>
        <v>-0.150401806400555-0.071812773301326i</v>
      </c>
      <c r="AQ413" s="147" t="str">
        <f t="shared" si="225"/>
        <v>1.15040180640056+0.071812773301326i</v>
      </c>
      <c r="AR413" s="147" t="str">
        <f t="shared" si="226"/>
        <v>0.72128415430696-0.0450254990655404i</v>
      </c>
    </row>
    <row r="414" spans="7:44">
      <c r="G414" s="585">
        <v>39131.5</v>
      </c>
      <c r="H414" s="573">
        <f t="shared" si="218"/>
        <v>39.131500000000003</v>
      </c>
      <c r="I414" s="574">
        <f t="shared" si="198"/>
        <v>340.64409314544127</v>
      </c>
      <c r="J414" s="575">
        <f t="shared" si="199"/>
        <v>1.5678607073127624</v>
      </c>
      <c r="K414" s="575">
        <f t="shared" si="200"/>
        <v>1.0032862273188894</v>
      </c>
      <c r="L414" s="576">
        <f t="shared" si="201"/>
        <v>8.0959904584218798E-2</v>
      </c>
      <c r="M414" s="575">
        <f t="shared" si="202"/>
        <v>1.1474688704634184</v>
      </c>
      <c r="N414" s="576">
        <f t="shared" si="203"/>
        <v>-0.51257749273480302</v>
      </c>
      <c r="O414" s="574">
        <f t="shared" si="204"/>
        <v>737611.39670152799</v>
      </c>
      <c r="P414" s="577">
        <f t="shared" si="205"/>
        <v>1.5707949710674709</v>
      </c>
      <c r="Q414" s="586">
        <f t="shared" si="227"/>
        <v>137.69109208235261</v>
      </c>
      <c r="R414" s="587">
        <f t="shared" si="228"/>
        <v>1.5635336289975266</v>
      </c>
      <c r="S414" s="574">
        <f t="shared" si="206"/>
        <v>1.2627421602471889</v>
      </c>
      <c r="T414" s="577">
        <f t="shared" si="207"/>
        <v>0.6568374206196993</v>
      </c>
      <c r="U414" s="578">
        <f t="shared" si="219"/>
        <v>0.5202980803589845</v>
      </c>
      <c r="V414" s="579">
        <f t="shared" si="220"/>
        <v>-1.4161458583644648</v>
      </c>
      <c r="W414" s="580">
        <f t="shared" si="208"/>
        <v>-24.412312875124055</v>
      </c>
      <c r="X414" s="581">
        <f t="shared" si="209"/>
        <v>-233.75090496635261</v>
      </c>
      <c r="Y414" s="584">
        <f t="shared" si="210"/>
        <v>-53.750904966352607</v>
      </c>
      <c r="AA414" s="147">
        <f t="shared" si="211"/>
        <v>39131.5</v>
      </c>
      <c r="AB414" s="147">
        <f t="shared" si="212"/>
        <v>1531274292.25</v>
      </c>
      <c r="AD414" s="583">
        <f t="shared" si="213"/>
        <v>28.500721008769865</v>
      </c>
      <c r="AE414" s="584">
        <f t="shared" si="214"/>
        <v>-38.050056325455124</v>
      </c>
      <c r="AG414" s="583">
        <f t="shared" si="215"/>
        <v>13.539122501269107</v>
      </c>
      <c r="AH414" s="584">
        <f t="shared" si="216"/>
        <v>-33.422486737037246</v>
      </c>
      <c r="AJ414" s="147">
        <f t="shared" si="217"/>
        <v>0</v>
      </c>
      <c r="AK414" s="147">
        <f t="shared" si="229"/>
        <v>0</v>
      </c>
      <c r="AM414" s="147" t="str">
        <f t="shared" si="221"/>
        <v>1.9090626587654+0.416659432196578i</v>
      </c>
      <c r="AN414" s="147" t="str">
        <f t="shared" si="222"/>
        <v>2.71182518046418i</v>
      </c>
      <c r="AO414" s="147" t="str">
        <f t="shared" si="223"/>
        <v>0.153645388057522-0.703977038239105i</v>
      </c>
      <c r="AP414" s="147" t="str">
        <f t="shared" si="224"/>
        <v>-0.151510443127567-0.0694432386994297i</v>
      </c>
      <c r="AQ414" s="147" t="str">
        <f t="shared" si="225"/>
        <v>1.15151044312757+0.0694432386994297i</v>
      </c>
      <c r="AR414" s="147" t="str">
        <f t="shared" si="226"/>
        <v>0.720776346602598-0.0434672947907273i</v>
      </c>
    </row>
    <row r="415" spans="7:44">
      <c r="G415" s="585">
        <v>39358</v>
      </c>
      <c r="H415" s="573">
        <f t="shared" si="218"/>
        <v>39.357999999999997</v>
      </c>
      <c r="I415" s="574">
        <f t="shared" si="198"/>
        <v>342.61578408736329</v>
      </c>
      <c r="J415" s="575">
        <f t="shared" si="199"/>
        <v>1.5678776013120892</v>
      </c>
      <c r="K415" s="575">
        <f t="shared" si="200"/>
        <v>1.0033243167331702</v>
      </c>
      <c r="L415" s="576">
        <f t="shared" si="201"/>
        <v>8.1426452057103346E-2</v>
      </c>
      <c r="M415" s="575">
        <f t="shared" si="202"/>
        <v>1.1490698295740578</v>
      </c>
      <c r="N415" s="576">
        <f t="shared" si="203"/>
        <v>-0.51504789930418726</v>
      </c>
      <c r="O415" s="574">
        <f t="shared" si="204"/>
        <v>741880.82111287396</v>
      </c>
      <c r="P415" s="577">
        <f t="shared" si="205"/>
        <v>1.5707949788695001</v>
      </c>
      <c r="Q415" s="586">
        <f t="shared" si="227"/>
        <v>138.48803040833431</v>
      </c>
      <c r="R415" s="587">
        <f t="shared" si="228"/>
        <v>1.563575423390138</v>
      </c>
      <c r="S415" s="574">
        <f t="shared" si="206"/>
        <v>1.2654722549316</v>
      </c>
      <c r="T415" s="577">
        <f t="shared" si="207"/>
        <v>0.65963033346927702</v>
      </c>
      <c r="U415" s="578">
        <f t="shared" si="219"/>
        <v>0.51775735580650084</v>
      </c>
      <c r="V415" s="579">
        <f t="shared" si="220"/>
        <v>-1.421874810287334</v>
      </c>
      <c r="W415" s="580">
        <f t="shared" si="208"/>
        <v>-24.511283508083451</v>
      </c>
      <c r="X415" s="581">
        <f t="shared" si="209"/>
        <v>-234.35255828063077</v>
      </c>
      <c r="Y415" s="584">
        <f t="shared" si="210"/>
        <v>-54.352558280630774</v>
      </c>
      <c r="AA415" s="147">
        <f t="shared" si="211"/>
        <v>39358</v>
      </c>
      <c r="AB415" s="147">
        <f t="shared" si="212"/>
        <v>1549052164</v>
      </c>
      <c r="AD415" s="583">
        <f t="shared" si="213"/>
        <v>28.481959440517286</v>
      </c>
      <c r="AE415" s="584">
        <f t="shared" si="214"/>
        <v>-38.207684249183316</v>
      </c>
      <c r="AG415" s="583">
        <f t="shared" si="215"/>
        <v>13.543951273128759</v>
      </c>
      <c r="AH415" s="584">
        <f t="shared" si="216"/>
        <v>-33.210022594409565</v>
      </c>
      <c r="AJ415" s="147">
        <f t="shared" si="217"/>
        <v>0</v>
      </c>
      <c r="AK415" s="147">
        <f t="shared" si="229"/>
        <v>0</v>
      </c>
      <c r="AM415" s="147" t="str">
        <f t="shared" si="221"/>
        <v>1.91549050817276+0.402339569823276i</v>
      </c>
      <c r="AN415" s="147" t="str">
        <f t="shared" si="222"/>
        <v>2.72752170125625i</v>
      </c>
      <c r="AO415" s="147" t="str">
        <f t="shared" si="223"/>
        <v>0.147511042584176-0.702282407978832i</v>
      </c>
      <c r="AP415" s="147" t="str">
        <f t="shared" si="224"/>
        <v>-0.152581751362127-0.067056594970546i</v>
      </c>
      <c r="AQ415" s="147" t="str">
        <f t="shared" si="225"/>
        <v>1.15258175136213+0.067056594970546i</v>
      </c>
      <c r="AR415" s="147" t="str">
        <f t="shared" si="226"/>
        <v>0.720287242152964-0.0419059297116422i</v>
      </c>
    </row>
    <row r="416" spans="7:44">
      <c r="G416" s="585">
        <v>39584.5</v>
      </c>
      <c r="H416" s="573">
        <f t="shared" si="218"/>
        <v>39.584499999999998</v>
      </c>
      <c r="I416" s="574">
        <f t="shared" si="198"/>
        <v>344.5874751259513</v>
      </c>
      <c r="J416" s="575">
        <f t="shared" si="199"/>
        <v>1.5678943019802671</v>
      </c>
      <c r="K416" s="575">
        <f t="shared" si="200"/>
        <v>1.0033626245209792</v>
      </c>
      <c r="L416" s="576">
        <f t="shared" si="201"/>
        <v>8.1892964006515856E-2</v>
      </c>
      <c r="M416" s="575">
        <f t="shared" si="202"/>
        <v>1.1506777818142297</v>
      </c>
      <c r="N416" s="576">
        <f t="shared" si="203"/>
        <v>-0.51751141660199074</v>
      </c>
      <c r="O416" s="574">
        <f t="shared" si="204"/>
        <v>746150.24552422017</v>
      </c>
      <c r="P416" s="577">
        <f t="shared" si="205"/>
        <v>1.5707949865822437</v>
      </c>
      <c r="Q416" s="586">
        <f t="shared" si="227"/>
        <v>139.28496897345474</v>
      </c>
      <c r="R416" s="587">
        <f t="shared" si="228"/>
        <v>1.5636167395178147</v>
      </c>
      <c r="S416" s="574">
        <f t="shared" si="206"/>
        <v>1.2682121782136935</v>
      </c>
      <c r="T416" s="577">
        <f t="shared" si="207"/>
        <v>0.66241119997267184</v>
      </c>
      <c r="U416" s="578">
        <f t="shared" si="219"/>
        <v>0.51522813940424461</v>
      </c>
      <c r="V416" s="579">
        <f t="shared" si="220"/>
        <v>-1.4275947216430462</v>
      </c>
      <c r="W416" s="580">
        <f t="shared" si="208"/>
        <v>-24.609970670867504</v>
      </c>
      <c r="X416" s="581">
        <f t="shared" si="209"/>
        <v>-234.95262703331701</v>
      </c>
      <c r="Y416" s="584">
        <f t="shared" si="210"/>
        <v>-54.952627033317015</v>
      </c>
      <c r="AA416" s="147">
        <f t="shared" si="211"/>
        <v>39584.5</v>
      </c>
      <c r="AB416" s="147">
        <f t="shared" si="212"/>
        <v>1566932640.25</v>
      </c>
      <c r="AD416" s="583">
        <f t="shared" si="213"/>
        <v>28.463171028115045</v>
      </c>
      <c r="AE416" s="584">
        <f t="shared" si="214"/>
        <v>-38.36464936556245</v>
      </c>
      <c r="AG416" s="583">
        <f t="shared" si="215"/>
        <v>13.549120661816069</v>
      </c>
      <c r="AH416" s="584">
        <f t="shared" si="216"/>
        <v>-32.997672670225157</v>
      </c>
      <c r="AJ416" s="147">
        <f t="shared" si="217"/>
        <v>0</v>
      </c>
      <c r="AK416" s="147">
        <f t="shared" si="229"/>
        <v>0</v>
      </c>
      <c r="AM416" s="147" t="str">
        <f t="shared" si="221"/>
        <v>1.92169280295948+0.387920580754239i</v>
      </c>
      <c r="AN416" s="147" t="str">
        <f t="shared" si="222"/>
        <v>2.74321822204833i</v>
      </c>
      <c r="AO416" s="147" t="str">
        <f t="shared" si="223"/>
        <v>0.141410762598603-0.700524948221062i</v>
      </c>
      <c r="AP416" s="147" t="str">
        <f t="shared" si="224"/>
        <v>-0.153615467159913-0.0646534301257065i</v>
      </c>
      <c r="AQ416" s="147" t="str">
        <f t="shared" si="225"/>
        <v>1.15361546715991+0.0646534301257065i</v>
      </c>
      <c r="AR416" s="147" t="str">
        <f t="shared" si="226"/>
        <v>0.719816788786584-0.0403415399515208i</v>
      </c>
    </row>
    <row r="417" spans="7:44">
      <c r="G417" s="585">
        <v>39811</v>
      </c>
      <c r="H417" s="573">
        <f t="shared" si="218"/>
        <v>39.811</v>
      </c>
      <c r="I417" s="574">
        <f t="shared" si="198"/>
        <v>346.55916625955541</v>
      </c>
      <c r="J417" s="575">
        <f t="shared" si="199"/>
        <v>1.5679108126170633</v>
      </c>
      <c r="K417" s="575">
        <f t="shared" si="200"/>
        <v>1.0034011506573057</v>
      </c>
      <c r="L417" s="576">
        <f t="shared" si="201"/>
        <v>8.2359440233479464E-2</v>
      </c>
      <c r="M417" s="575">
        <f t="shared" si="202"/>
        <v>1.1522926979085129</v>
      </c>
      <c r="N417" s="576">
        <f t="shared" si="203"/>
        <v>-0.51996804362972726</v>
      </c>
      <c r="O417" s="574">
        <f t="shared" si="204"/>
        <v>750419.66993556626</v>
      </c>
      <c r="P417" s="577">
        <f t="shared" si="205"/>
        <v>1.5707949942072259</v>
      </c>
      <c r="Q417" s="586">
        <f t="shared" si="227"/>
        <v>140.08190777363239</v>
      </c>
      <c r="R417" s="587">
        <f t="shared" si="228"/>
        <v>1.5636575855430932</v>
      </c>
      <c r="S417" s="574">
        <f t="shared" si="206"/>
        <v>1.2709618665283764</v>
      </c>
      <c r="T417" s="577">
        <f t="shared" si="207"/>
        <v>0.66518005516675427</v>
      </c>
      <c r="U417" s="578">
        <f t="shared" si="219"/>
        <v>0.51271032497014291</v>
      </c>
      <c r="V417" s="579">
        <f t="shared" si="220"/>
        <v>-1.4333059434022384</v>
      </c>
      <c r="W417" s="580">
        <f t="shared" si="208"/>
        <v>-24.708378341899842</v>
      </c>
      <c r="X417" s="581">
        <f t="shared" si="209"/>
        <v>-235.55113301667492</v>
      </c>
      <c r="Y417" s="584">
        <f t="shared" si="210"/>
        <v>-55.551133016674925</v>
      </c>
      <c r="AA417" s="147">
        <f t="shared" si="211"/>
        <v>39811</v>
      </c>
      <c r="AB417" s="147">
        <f t="shared" si="212"/>
        <v>1584915721</v>
      </c>
      <c r="AD417" s="583">
        <f t="shared" si="213"/>
        <v>28.44435646644466</v>
      </c>
      <c r="AE417" s="584">
        <f t="shared" si="214"/>
        <v>-38.520953214465813</v>
      </c>
      <c r="AG417" s="583">
        <f t="shared" si="215"/>
        <v>13.554627985201471</v>
      </c>
      <c r="AH417" s="584">
        <f t="shared" si="216"/>
        <v>-32.785416998601995</v>
      </c>
      <c r="AJ417" s="147">
        <f t="shared" si="217"/>
        <v>0</v>
      </c>
      <c r="AK417" s="147">
        <f t="shared" si="229"/>
        <v>0</v>
      </c>
      <c r="AM417" s="147" t="str">
        <f t="shared" si="221"/>
        <v>1.92766801503078+0.373406017478094i</v>
      </c>
      <c r="AN417" s="147" t="str">
        <f t="shared" si="222"/>
        <v>2.75891474284041i</v>
      </c>
      <c r="AO417" s="147" t="str">
        <f t="shared" si="223"/>
        <v>0.135345254305922-0.698705177473578i</v>
      </c>
      <c r="AP417" s="147" t="str">
        <f t="shared" si="224"/>
        <v>-0.154611335838464-0.062234336246349i</v>
      </c>
      <c r="AQ417" s="147" t="str">
        <f t="shared" si="225"/>
        <v>1.15461133583846+0.062234336246349i</v>
      </c>
      <c r="AR417" s="147" t="str">
        <f t="shared" si="226"/>
        <v>0.719364935999617-0.0387742592864142i</v>
      </c>
    </row>
    <row r="418" spans="7:44">
      <c r="G418" s="585">
        <v>40042.75</v>
      </c>
      <c r="H418" s="573">
        <f t="shared" si="218"/>
        <v>40.042749999999998</v>
      </c>
      <c r="I418" s="574">
        <f t="shared" si="198"/>
        <v>348.57655893993956</v>
      </c>
      <c r="J418" s="575">
        <f t="shared" si="199"/>
        <v>1.5679275126247043</v>
      </c>
      <c r="K418" s="575">
        <f t="shared" si="200"/>
        <v>1.0034407957560731</v>
      </c>
      <c r="L418" s="576">
        <f t="shared" si="201"/>
        <v>8.2836691641826693E-2</v>
      </c>
      <c r="M418" s="575">
        <f t="shared" si="202"/>
        <v>1.1539522231823942</v>
      </c>
      <c r="N418" s="576">
        <f t="shared" si="203"/>
        <v>-0.52247447997354246</v>
      </c>
      <c r="O418" s="574">
        <f t="shared" si="204"/>
        <v>754788.05451538751</v>
      </c>
      <c r="P418" s="577">
        <f t="shared" si="205"/>
        <v>1.570795001919663</v>
      </c>
      <c r="Q418" s="586">
        <f t="shared" si="227"/>
        <v>140.89731890433762</v>
      </c>
      <c r="R418" s="587">
        <f t="shared" si="228"/>
        <v>1.5636989000773167</v>
      </c>
      <c r="S418" s="574">
        <f t="shared" si="206"/>
        <v>1.2737853305475551</v>
      </c>
      <c r="T418" s="577">
        <f t="shared" si="207"/>
        <v>0.66800069397656126</v>
      </c>
      <c r="U418" s="578">
        <f t="shared" si="219"/>
        <v>0.51014584005151331</v>
      </c>
      <c r="V418" s="579">
        <f t="shared" si="220"/>
        <v>-1.4391409155140005</v>
      </c>
      <c r="W418" s="580">
        <f t="shared" si="208"/>
        <v>-24.80878184281719</v>
      </c>
      <c r="X418" s="581">
        <f t="shared" si="209"/>
        <v>-236.16191685834224</v>
      </c>
      <c r="Y418" s="584">
        <f t="shared" si="210"/>
        <v>-56.161916858342238</v>
      </c>
      <c r="AA418" s="147">
        <f t="shared" si="211"/>
        <v>40042.75</v>
      </c>
      <c r="AB418" s="147">
        <f t="shared" si="212"/>
        <v>1603421827.5625</v>
      </c>
      <c r="AD418" s="583">
        <f t="shared" si="213"/>
        <v>28.425079457631618</v>
      </c>
      <c r="AE418" s="584">
        <f t="shared" si="214"/>
        <v>-38.680197207427049</v>
      </c>
      <c r="AG418" s="583">
        <f t="shared" si="215"/>
        <v>13.560610044295105</v>
      </c>
      <c r="AH418" s="584">
        <f t="shared" si="216"/>
        <v>-32.568318295382923</v>
      </c>
      <c r="AJ418" s="147">
        <f t="shared" si="217"/>
        <v>0</v>
      </c>
      <c r="AK418" s="147">
        <f t="shared" si="229"/>
        <v>0</v>
      </c>
      <c r="AM418" s="147" t="str">
        <f t="shared" si="221"/>
        <v>1.93354515125957+0.358459831166263i</v>
      </c>
      <c r="AN418" s="147" t="str">
        <f t="shared" si="222"/>
        <v>2.77497509027336i</v>
      </c>
      <c r="AO418" s="147" t="str">
        <f t="shared" si="223"/>
        <v>0.129175873478184-0.696779282104871i</v>
      </c>
      <c r="AP418" s="147" t="str">
        <f t="shared" si="224"/>
        <v>-0.155590858543262-0.0597433051943772i</v>
      </c>
      <c r="AQ418" s="147" t="str">
        <f t="shared" si="225"/>
        <v>1.15559085854326+0.0597433051943772i</v>
      </c>
      <c r="AR418" s="147" t="str">
        <f t="shared" si="226"/>
        <v>0.718921811196458-0.0371677959025639i</v>
      </c>
    </row>
    <row r="419" spans="7:44">
      <c r="G419" s="585">
        <v>40274.5</v>
      </c>
      <c r="H419" s="573">
        <f t="shared" si="218"/>
        <v>40.274500000000003</v>
      </c>
      <c r="I419" s="574">
        <f t="shared" si="198"/>
        <v>350.59395171641961</v>
      </c>
      <c r="J419" s="575">
        <f t="shared" si="199"/>
        <v>1.5679440204414998</v>
      </c>
      <c r="K419" s="575">
        <f t="shared" si="200"/>
        <v>1.0034806693893643</v>
      </c>
      <c r="L419" s="576">
        <f t="shared" si="201"/>
        <v>8.3313905231378924E-2</v>
      </c>
      <c r="M419" s="575">
        <f t="shared" si="202"/>
        <v>1.1556189769941758</v>
      </c>
      <c r="N419" s="576">
        <f t="shared" si="203"/>
        <v>-0.52497370189431769</v>
      </c>
      <c r="O419" s="574">
        <f t="shared" si="204"/>
        <v>759156.43909520865</v>
      </c>
      <c r="P419" s="577">
        <f t="shared" si="205"/>
        <v>1.5707950095433414</v>
      </c>
      <c r="Q419" s="586">
        <f t="shared" si="227"/>
        <v>141.71273027277155</v>
      </c>
      <c r="R419" s="587">
        <f t="shared" si="228"/>
        <v>1.5637397391660961</v>
      </c>
      <c r="S419" s="574">
        <f t="shared" si="206"/>
        <v>1.2766188839328492</v>
      </c>
      <c r="T419" s="577">
        <f t="shared" si="207"/>
        <v>0.67080883379777001</v>
      </c>
      <c r="U419" s="578">
        <f t="shared" si="219"/>
        <v>0.50759306311890751</v>
      </c>
      <c r="V419" s="579">
        <f t="shared" si="220"/>
        <v>-1.4449675309430965</v>
      </c>
      <c r="W419" s="580">
        <f t="shared" si="208"/>
        <v>-24.908901148676257</v>
      </c>
      <c r="X419" s="581">
        <f t="shared" si="209"/>
        <v>-236.77111079313829</v>
      </c>
      <c r="Y419" s="584">
        <f t="shared" si="210"/>
        <v>-56.771110793138291</v>
      </c>
      <c r="AA419" s="147">
        <f t="shared" si="211"/>
        <v>40274.5</v>
      </c>
      <c r="AB419" s="147">
        <f t="shared" si="212"/>
        <v>1622035350.25</v>
      </c>
      <c r="AD419" s="583">
        <f t="shared" si="213"/>
        <v>28.40577652261117</v>
      </c>
      <c r="AE419" s="584">
        <f t="shared" si="214"/>
        <v>-38.83875229702447</v>
      </c>
      <c r="AG419" s="583">
        <f t="shared" si="215"/>
        <v>13.566940524732198</v>
      </c>
      <c r="AH419" s="584">
        <f t="shared" si="216"/>
        <v>-32.351276193952636</v>
      </c>
      <c r="AJ419" s="147">
        <f t="shared" si="217"/>
        <v>0</v>
      </c>
      <c r="AK419" s="147">
        <f t="shared" si="229"/>
        <v>0</v>
      </c>
      <c r="AM419" s="147" t="str">
        <f t="shared" si="221"/>
        <v>1.93918149891984+0.343421187591384i</v>
      </c>
      <c r="AN419" s="147" t="str">
        <f t="shared" si="222"/>
        <v>2.79103543770631i</v>
      </c>
      <c r="AO419" s="147" t="str">
        <f t="shared" si="223"/>
        <v>0.123044366600236-0.69478927881814i</v>
      </c>
      <c r="AP419" s="147" t="str">
        <f t="shared" si="224"/>
        <v>-0.156530249819974-0.057236864598564i</v>
      </c>
      <c r="AQ419" s="147" t="str">
        <f t="shared" si="225"/>
        <v>1.15653024981997+0.057236864598564i</v>
      </c>
      <c r="AR419" s="147" t="str">
        <f t="shared" si="226"/>
        <v>0.718498057763834-0.0355585822791591i</v>
      </c>
    </row>
    <row r="420" spans="7:44">
      <c r="G420" s="585">
        <v>40506.25</v>
      </c>
      <c r="H420" s="573">
        <f t="shared" si="218"/>
        <v>40.506250000000001</v>
      </c>
      <c r="I420" s="574">
        <f t="shared" si="198"/>
        <v>352.61134458734603</v>
      </c>
      <c r="J420" s="575">
        <f t="shared" si="199"/>
        <v>1.5679603393661816</v>
      </c>
      <c r="K420" s="575">
        <f t="shared" si="200"/>
        <v>1.0035207715299372</v>
      </c>
      <c r="L420" s="576">
        <f t="shared" si="201"/>
        <v>8.379108078930278E-2</v>
      </c>
      <c r="M420" s="575">
        <f t="shared" si="202"/>
        <v>1.1572929281118525</v>
      </c>
      <c r="N420" s="576">
        <f t="shared" si="203"/>
        <v>-0.52746570940973725</v>
      </c>
      <c r="O420" s="574">
        <f t="shared" si="204"/>
        <v>763524.82367502991</v>
      </c>
      <c r="P420" s="577">
        <f t="shared" si="205"/>
        <v>1.5707950170797846</v>
      </c>
      <c r="Q420" s="586">
        <f t="shared" si="227"/>
        <v>142.52814187485404</v>
      </c>
      <c r="R420" s="587">
        <f t="shared" si="228"/>
        <v>1.5637801109694451</v>
      </c>
      <c r="S420" s="574">
        <f t="shared" si="206"/>
        <v>1.279462459651209</v>
      </c>
      <c r="T420" s="577">
        <f t="shared" si="207"/>
        <v>0.67360451353168804</v>
      </c>
      <c r="U420" s="578">
        <f t="shared" si="219"/>
        <v>0.5050518767081803</v>
      </c>
      <c r="V420" s="579">
        <f t="shared" si="220"/>
        <v>-1.4507861627017284</v>
      </c>
      <c r="W420" s="580">
        <f t="shared" si="208"/>
        <v>-25.008740500256351</v>
      </c>
      <c r="X420" s="581">
        <f t="shared" si="209"/>
        <v>-237.37873815673299</v>
      </c>
      <c r="Y420" s="584">
        <f t="shared" si="210"/>
        <v>-57.378738156732993</v>
      </c>
      <c r="AA420" s="147">
        <f t="shared" si="211"/>
        <v>40506.25</v>
      </c>
      <c r="AB420" s="147">
        <f t="shared" si="212"/>
        <v>1640756289.0625</v>
      </c>
      <c r="AD420" s="583">
        <f t="shared" si="213"/>
        <v>28.386448382970087</v>
      </c>
      <c r="AE420" s="584">
        <f t="shared" si="214"/>
        <v>-38.99662024469179</v>
      </c>
      <c r="AG420" s="583">
        <f t="shared" si="215"/>
        <v>13.573616875494231</v>
      </c>
      <c r="AH420" s="584">
        <f t="shared" si="216"/>
        <v>-32.13426952449732</v>
      </c>
      <c r="AJ420" s="147">
        <f t="shared" si="217"/>
        <v>0</v>
      </c>
      <c r="AK420" s="147">
        <f t="shared" si="229"/>
        <v>0</v>
      </c>
      <c r="AM420" s="147" t="str">
        <f t="shared" si="221"/>
        <v>1.94457560423287+0.328293965658996i</v>
      </c>
      <c r="AN420" s="147" t="str">
        <f t="shared" si="222"/>
        <v>2.80709578513926i</v>
      </c>
      <c r="AO420" s="147" t="str">
        <f t="shared" si="223"/>
        <v>0.116951465424508-0.692735750068607i</v>
      </c>
      <c r="AP420" s="147" t="str">
        <f t="shared" si="224"/>
        <v>-0.157429267372145-0.054715660943166i</v>
      </c>
      <c r="AQ420" s="147" t="str">
        <f t="shared" si="225"/>
        <v>1.15742926737214+0.054715660943166i</v>
      </c>
      <c r="AR420" s="147" t="str">
        <f t="shared" si="226"/>
        <v>0.718093627238429-0.0339467547098005i</v>
      </c>
    </row>
    <row r="421" spans="7:44">
      <c r="G421" s="585">
        <v>40738</v>
      </c>
      <c r="H421" s="573">
        <f t="shared" si="218"/>
        <v>40.738</v>
      </c>
      <c r="I421" s="574">
        <f t="shared" si="198"/>
        <v>354.62873755110706</v>
      </c>
      <c r="J421" s="575">
        <f t="shared" si="199"/>
        <v>1.5679764726224183</v>
      </c>
      <c r="K421" s="575">
        <f t="shared" si="200"/>
        <v>1.003561102150399</v>
      </c>
      <c r="L421" s="576">
        <f t="shared" si="201"/>
        <v>8.4268218102868178E-2</v>
      </c>
      <c r="M421" s="575">
        <f t="shared" si="202"/>
        <v>1.1589740453493813</v>
      </c>
      <c r="N421" s="576">
        <f t="shared" si="203"/>
        <v>-0.52995050289579881</v>
      </c>
      <c r="O421" s="574">
        <f t="shared" si="204"/>
        <v>767893.20825485117</v>
      </c>
      <c r="P421" s="577">
        <f t="shared" si="205"/>
        <v>1.5707950245304811</v>
      </c>
      <c r="Q421" s="586">
        <f t="shared" si="227"/>
        <v>143.3435537065977</v>
      </c>
      <c r="R421" s="587">
        <f t="shared" si="228"/>
        <v>1.5638200234617103</v>
      </c>
      <c r="S421" s="574">
        <f t="shared" si="206"/>
        <v>1.2823159910281277</v>
      </c>
      <c r="T421" s="577">
        <f t="shared" si="207"/>
        <v>0.67638777251426341</v>
      </c>
      <c r="U421" s="578">
        <f t="shared" si="219"/>
        <v>0.50252216219968393</v>
      </c>
      <c r="V421" s="579">
        <f t="shared" si="220"/>
        <v>-1.4565971828866133</v>
      </c>
      <c r="W421" s="580">
        <f t="shared" si="208"/>
        <v>-25.10830413401866</v>
      </c>
      <c r="X421" s="581">
        <f t="shared" si="209"/>
        <v>-237.98482228410461</v>
      </c>
      <c r="Y421" s="584">
        <f t="shared" si="210"/>
        <v>-57.984822284104609</v>
      </c>
      <c r="AA421" s="147">
        <f t="shared" si="211"/>
        <v>40738</v>
      </c>
      <c r="AB421" s="147">
        <f t="shared" si="212"/>
        <v>1659584644</v>
      </c>
      <c r="AD421" s="583">
        <f t="shared" si="213"/>
        <v>28.367095752672991</v>
      </c>
      <c r="AE421" s="584">
        <f t="shared" si="214"/>
        <v>-39.153802847401657</v>
      </c>
      <c r="AG421" s="583">
        <f t="shared" si="215"/>
        <v>13.580636651535574</v>
      </c>
      <c r="AH421" s="584">
        <f t="shared" si="216"/>
        <v>-31.917277185879723</v>
      </c>
      <c r="AJ421" s="147">
        <f t="shared" si="217"/>
        <v>0</v>
      </c>
      <c r="AK421" s="147">
        <f t="shared" si="229"/>
        <v>0</v>
      </c>
      <c r="AM421" s="147" t="str">
        <f t="shared" si="221"/>
        <v>1.9497260759013+0.313082067121578i</v>
      </c>
      <c r="AN421" s="147" t="str">
        <f t="shared" si="222"/>
        <v>2.82315613257222i</v>
      </c>
      <c r="AO421" s="147" t="str">
        <f t="shared" si="223"/>
        <v>0.110897893144976-0.690619287189361i</v>
      </c>
      <c r="AP421" s="147" t="str">
        <f t="shared" si="224"/>
        <v>-0.158287679316883-0.052180344520263i</v>
      </c>
      <c r="AQ421" s="147" t="str">
        <f t="shared" si="225"/>
        <v>1.15828767931688+0.052180344520263i</v>
      </c>
      <c r="AR421" s="147" t="str">
        <f t="shared" si="226"/>
        <v>0.717708473122197-0.0323324473370166i</v>
      </c>
    </row>
    <row r="422" spans="7:44">
      <c r="G422" s="585">
        <v>40975.25</v>
      </c>
      <c r="H422" s="573">
        <f t="shared" si="218"/>
        <v>40.975250000000003</v>
      </c>
      <c r="I422" s="574">
        <f t="shared" si="198"/>
        <v>356.69400832805434</v>
      </c>
      <c r="J422" s="575">
        <f t="shared" si="199"/>
        <v>1.5679927997195493</v>
      </c>
      <c r="K422" s="575">
        <f t="shared" si="200"/>
        <v>1.0036026265651745</v>
      </c>
      <c r="L422" s="576">
        <f t="shared" si="201"/>
        <v>8.4756639224997682E-2</v>
      </c>
      <c r="M422" s="575">
        <f t="shared" si="202"/>
        <v>1.1607024503838006</v>
      </c>
      <c r="N422" s="576">
        <f t="shared" si="203"/>
        <v>-0.53248679456301484</v>
      </c>
      <c r="O422" s="574">
        <f t="shared" si="204"/>
        <v>772365.26539212244</v>
      </c>
      <c r="P422" s="577">
        <f t="shared" si="205"/>
        <v>1.5707950320706972</v>
      </c>
      <c r="Q422" s="586">
        <f t="shared" si="227"/>
        <v>144.1783175092817</v>
      </c>
      <c r="R422" s="587">
        <f t="shared" si="228"/>
        <v>1.5638604155210569</v>
      </c>
      <c r="S422" s="574">
        <f t="shared" si="206"/>
        <v>1.2852474873892403</v>
      </c>
      <c r="T422" s="577">
        <f t="shared" si="207"/>
        <v>0.67922426020796955</v>
      </c>
      <c r="U422" s="578">
        <f t="shared" si="219"/>
        <v>0.49994416982282841</v>
      </c>
      <c r="V422" s="579">
        <f t="shared" si="220"/>
        <v>-1.4625386158318538</v>
      </c>
      <c r="W422" s="580">
        <f t="shared" si="208"/>
        <v>-25.209949468157301</v>
      </c>
      <c r="X422" s="581">
        <f t="shared" si="209"/>
        <v>-238.60371604080032</v>
      </c>
      <c r="Y422" s="584">
        <f t="shared" si="210"/>
        <v>-58.603716040800322</v>
      </c>
      <c r="AA422" s="147">
        <f t="shared" si="211"/>
        <v>40975.25</v>
      </c>
      <c r="AB422" s="147">
        <f t="shared" si="212"/>
        <v>1678971112.5625</v>
      </c>
      <c r="AD422" s="583">
        <f t="shared" si="213"/>
        <v>28.347259204717016</v>
      </c>
      <c r="AE422" s="584">
        <f t="shared" si="214"/>
        <v>-39.31400775857103</v>
      </c>
      <c r="AG422" s="583">
        <f t="shared" si="215"/>
        <v>13.588176328919936</v>
      </c>
      <c r="AH422" s="584">
        <f t="shared" si="216"/>
        <v>-31.695127966583531</v>
      </c>
      <c r="AJ422" s="147">
        <f t="shared" si="217"/>
        <v>0</v>
      </c>
      <c r="AK422" s="147">
        <f t="shared" si="229"/>
        <v>0</v>
      </c>
      <c r="AM422" s="147" t="str">
        <f t="shared" si="221"/>
        <v>1.95474501907008+0.297425534480268i</v>
      </c>
      <c r="AN422" s="147" t="str">
        <f t="shared" si="222"/>
        <v>2.83959763172418i</v>
      </c>
      <c r="AO422" s="147" t="str">
        <f t="shared" si="223"/>
        <v>0.104742140631972-0.68838802977983i</v>
      </c>
      <c r="AP422" s="147" t="str">
        <f t="shared" si="224"/>
        <v>-0.159124169845013-0.049570922413378i</v>
      </c>
      <c r="AQ422" s="147" t="str">
        <f t="shared" si="225"/>
        <v>1.15912416984501+0.049570922413378i</v>
      </c>
      <c r="AR422" s="147" t="str">
        <f t="shared" si="226"/>
        <v>0.717334099948468-0.0306773975887075i</v>
      </c>
    </row>
    <row r="423" spans="7:44">
      <c r="G423" s="585">
        <v>41212.5</v>
      </c>
      <c r="H423" s="573">
        <f t="shared" si="218"/>
        <v>41.212499999999999</v>
      </c>
      <c r="I423" s="574">
        <f t="shared" si="198"/>
        <v>358.75927919899232</v>
      </c>
      <c r="J423" s="575">
        <f t="shared" si="199"/>
        <v>1.5680089388361633</v>
      </c>
      <c r="K423" s="575">
        <f t="shared" si="200"/>
        <v>1.0036443903747239</v>
      </c>
      <c r="L423" s="576">
        <f t="shared" si="201"/>
        <v>8.5245019815110429E-2</v>
      </c>
      <c r="M423" s="575">
        <f t="shared" si="202"/>
        <v>1.1624382997247671</v>
      </c>
      <c r="N423" s="576">
        <f t="shared" si="203"/>
        <v>-0.53501552765420701</v>
      </c>
      <c r="O423" s="574">
        <f t="shared" si="204"/>
        <v>776837.32252939371</v>
      </c>
      <c r="P423" s="577">
        <f t="shared" si="205"/>
        <v>1.5707950395240988</v>
      </c>
      <c r="Q423" s="586">
        <f t="shared" si="227"/>
        <v>145.01308154448711</v>
      </c>
      <c r="R423" s="587">
        <f t="shared" si="228"/>
        <v>1.5639003425487881</v>
      </c>
      <c r="S423" s="574">
        <f t="shared" si="206"/>
        <v>1.2881892773054433</v>
      </c>
      <c r="T423" s="577">
        <f t="shared" si="207"/>
        <v>0.68204781537000925</v>
      </c>
      <c r="U423" s="578">
        <f t="shared" si="219"/>
        <v>0.49737794523002932</v>
      </c>
      <c r="V423" s="579">
        <f t="shared" si="220"/>
        <v>-1.4684728580498974</v>
      </c>
      <c r="W423" s="580">
        <f t="shared" si="208"/>
        <v>-25.311314819357328</v>
      </c>
      <c r="X423" s="581">
        <f t="shared" si="209"/>
        <v>-239.22104193638404</v>
      </c>
      <c r="Y423" s="584">
        <f t="shared" si="210"/>
        <v>-59.22104193638404</v>
      </c>
      <c r="AA423" s="147">
        <f t="shared" si="211"/>
        <v>41212.5</v>
      </c>
      <c r="AB423" s="147">
        <f t="shared" si="212"/>
        <v>1698470156.25</v>
      </c>
      <c r="AD423" s="583">
        <f t="shared" si="213"/>
        <v>28.327398479770064</v>
      </c>
      <c r="AE423" s="584">
        <f t="shared" si="214"/>
        <v>-39.473498329631504</v>
      </c>
      <c r="AG423" s="583">
        <f t="shared" si="215"/>
        <v>13.596071075072738</v>
      </c>
      <c r="AH423" s="584">
        <f t="shared" si="216"/>
        <v>-31.472949222925269</v>
      </c>
      <c r="AJ423" s="147">
        <f t="shared" si="217"/>
        <v>0</v>
      </c>
      <c r="AK423" s="147">
        <f t="shared" si="229"/>
        <v>0</v>
      </c>
      <c r="AM423" s="147" t="str">
        <f t="shared" si="221"/>
        <v>1.95950587861583+0.281688602718779i</v>
      </c>
      <c r="AN423" s="147" t="str">
        <f t="shared" si="222"/>
        <v>2.85603913087615i</v>
      </c>
      <c r="AO423" s="147" t="str">
        <f t="shared" si="223"/>
        <v>0.0986291117910437-0.686092097769932i</v>
      </c>
      <c r="AP423" s="147" t="str">
        <f t="shared" si="224"/>
        <v>-0.159917646435972-0.0469481004531298i</v>
      </c>
      <c r="AQ423" s="147" t="str">
        <f t="shared" si="225"/>
        <v>1.15991764643597+0.0469481004531298i</v>
      </c>
      <c r="AR423" s="147" t="str">
        <f t="shared" si="226"/>
        <v>0.71697983681275-0.0290200269863829i</v>
      </c>
    </row>
    <row r="424" spans="7:44">
      <c r="G424" s="585">
        <v>41449.75</v>
      </c>
      <c r="H424" s="573">
        <f t="shared" si="218"/>
        <v>41.449750000000002</v>
      </c>
      <c r="I424" s="574">
        <f t="shared" si="198"/>
        <v>360.82455016230688</v>
      </c>
      <c r="J424" s="575">
        <f t="shared" si="199"/>
        <v>1.5680248932001148</v>
      </c>
      <c r="K424" s="575">
        <f t="shared" si="200"/>
        <v>1.0036863935491627</v>
      </c>
      <c r="L424" s="576">
        <f t="shared" si="201"/>
        <v>8.5733359645307969E-2</v>
      </c>
      <c r="M424" s="575">
        <f t="shared" si="202"/>
        <v>1.1641815600728505</v>
      </c>
      <c r="N424" s="576">
        <f t="shared" si="203"/>
        <v>-0.53753670371239948</v>
      </c>
      <c r="O424" s="574">
        <f t="shared" si="204"/>
        <v>781309.37966666499</v>
      </c>
      <c r="P424" s="577">
        <f t="shared" si="205"/>
        <v>1.570795046892177</v>
      </c>
      <c r="Q424" s="586">
        <f t="shared" si="227"/>
        <v>145.84784580822142</v>
      </c>
      <c r="R424" s="587">
        <f t="shared" si="228"/>
        <v>1.5639398125296404</v>
      </c>
      <c r="S424" s="574">
        <f t="shared" si="206"/>
        <v>1.291141290416949</v>
      </c>
      <c r="T424" s="577">
        <f t="shared" si="207"/>
        <v>0.6848584815306602</v>
      </c>
      <c r="U424" s="578">
        <f t="shared" si="219"/>
        <v>0.49482335769179769</v>
      </c>
      <c r="V424" s="579">
        <f t="shared" si="220"/>
        <v>-1.4744003060354849</v>
      </c>
      <c r="W424" s="580">
        <f t="shared" si="208"/>
        <v>-25.412404727576224</v>
      </c>
      <c r="X424" s="581">
        <f t="shared" si="209"/>
        <v>-239.8368250114348</v>
      </c>
      <c r="Y424" s="584">
        <f t="shared" si="210"/>
        <v>-59.836825011434797</v>
      </c>
      <c r="AA424" s="147">
        <f t="shared" si="211"/>
        <v>41449.75</v>
      </c>
      <c r="AB424" s="147">
        <f t="shared" si="212"/>
        <v>1718081775.0625</v>
      </c>
      <c r="AD424" s="583">
        <f t="shared" si="213"/>
        <v>28.307514319194095</v>
      </c>
      <c r="AE424" s="584">
        <f t="shared" si="214"/>
        <v>-39.632276597277944</v>
      </c>
      <c r="AG424" s="583">
        <f t="shared" si="215"/>
        <v>13.604318604267988</v>
      </c>
      <c r="AH424" s="584">
        <f t="shared" si="216"/>
        <v>-31.250718523838486</v>
      </c>
      <c r="AJ424" s="147">
        <f t="shared" si="217"/>
        <v>0</v>
      </c>
      <c r="AK424" s="147">
        <f t="shared" si="229"/>
        <v>0</v>
      </c>
      <c r="AM424" s="147" t="str">
        <f t="shared" si="221"/>
        <v>1.96400736759821+0.265875525794241i</v>
      </c>
      <c r="AN424" s="147" t="str">
        <f t="shared" si="222"/>
        <v>2.87248063002811i</v>
      </c>
      <c r="AO424" s="147" t="str">
        <f t="shared" si="223"/>
        <v>0.0925595539321841-0.683732153688706i</v>
      </c>
      <c r="AP424" s="147" t="str">
        <f t="shared" si="224"/>
        <v>-0.160667894599702-0.0443125876323735i</v>
      </c>
      <c r="AQ424" s="147" t="str">
        <f t="shared" si="225"/>
        <v>1.1606678945997+0.0443125876323735i</v>
      </c>
      <c r="AR424" s="147" t="str">
        <f t="shared" si="226"/>
        <v>0.716645640416946-0.0273604731293845i</v>
      </c>
    </row>
    <row r="425" spans="7:44">
      <c r="G425" s="585">
        <v>41687</v>
      </c>
      <c r="H425" s="573">
        <f t="shared" si="218"/>
        <v>41.686999999999998</v>
      </c>
      <c r="I425" s="574">
        <f t="shared" si="198"/>
        <v>362.88982121642101</v>
      </c>
      <c r="J425" s="575">
        <f t="shared" si="199"/>
        <v>1.5680406659657773</v>
      </c>
      <c r="K425" s="575">
        <f t="shared" si="200"/>
        <v>1.003728636058441</v>
      </c>
      <c r="L425" s="576">
        <f t="shared" si="201"/>
        <v>8.6221658487807551E-2</v>
      </c>
      <c r="M425" s="575">
        <f t="shared" si="202"/>
        <v>1.1659321981860282</v>
      </c>
      <c r="N425" s="576">
        <f t="shared" si="203"/>
        <v>-0.54005032465568581</v>
      </c>
      <c r="O425" s="574">
        <f t="shared" si="204"/>
        <v>785781.43680393638</v>
      </c>
      <c r="P425" s="577">
        <f t="shared" si="205"/>
        <v>1.5707950541763882</v>
      </c>
      <c r="Q425" s="586">
        <f t="shared" si="227"/>
        <v>146.68261029658294</v>
      </c>
      <c r="R425" s="587">
        <f t="shared" si="228"/>
        <v>1.5639788332665927</v>
      </c>
      <c r="S425" s="574">
        <f t="shared" si="206"/>
        <v>1.2941034567625678</v>
      </c>
      <c r="T425" s="577">
        <f t="shared" si="207"/>
        <v>0.68765630263827138</v>
      </c>
      <c r="U425" s="578">
        <f t="shared" si="219"/>
        <v>0.49228027540506336</v>
      </c>
      <c r="V425" s="579">
        <f t="shared" si="220"/>
        <v>-1.4803213554512211</v>
      </c>
      <c r="W425" s="580">
        <f t="shared" si="208"/>
        <v>-25.513223733891039</v>
      </c>
      <c r="X425" s="581">
        <f t="shared" si="209"/>
        <v>-240.45109031049262</v>
      </c>
      <c r="Y425" s="584">
        <f t="shared" si="210"/>
        <v>-60.451090310492617</v>
      </c>
      <c r="AA425" s="147">
        <f t="shared" si="211"/>
        <v>41687</v>
      </c>
      <c r="AB425" s="147">
        <f t="shared" si="212"/>
        <v>1737805969</v>
      </c>
      <c r="AD425" s="583">
        <f t="shared" si="213"/>
        <v>28.287607456101419</v>
      </c>
      <c r="AE425" s="584">
        <f t="shared" si="214"/>
        <v>-39.790344632571006</v>
      </c>
      <c r="AG425" s="583">
        <f t="shared" si="215"/>
        <v>13.612916742290436</v>
      </c>
      <c r="AH425" s="584">
        <f t="shared" si="216"/>
        <v>-31.028413503207741</v>
      </c>
      <c r="AJ425" s="147">
        <f t="shared" si="217"/>
        <v>0</v>
      </c>
      <c r="AK425" s="147">
        <f t="shared" si="229"/>
        <v>0</v>
      </c>
      <c r="AM425" s="147" t="str">
        <f t="shared" si="221"/>
        <v>1.96824826918911+0.249990578247065i</v>
      </c>
      <c r="AN425" s="147" t="str">
        <f t="shared" si="222"/>
        <v>2.88892212918008i</v>
      </c>
      <c r="AO425" s="147" t="str">
        <f t="shared" si="223"/>
        <v>0.0865342044778535-0.681308869252121i</v>
      </c>
      <c r="AP425" s="147" t="str">
        <f t="shared" si="224"/>
        <v>-0.161374711531518-0.0416650963745108i</v>
      </c>
      <c r="AQ425" s="147" t="str">
        <f t="shared" si="225"/>
        <v>1.16137471153152+0.0416650963745108i</v>
      </c>
      <c r="AR425" s="147" t="str">
        <f t="shared" si="226"/>
        <v>0.716331469742669-0.0256988717134756i</v>
      </c>
    </row>
    <row r="426" spans="7:44">
      <c r="G426" s="585">
        <v>41929.75</v>
      </c>
      <c r="H426" s="573">
        <f t="shared" si="218"/>
        <v>41.929749999999999</v>
      </c>
      <c r="I426" s="574">
        <f t="shared" si="198"/>
        <v>365.00297009019062</v>
      </c>
      <c r="J426" s="575">
        <f t="shared" si="199"/>
        <v>1.5680566196337378</v>
      </c>
      <c r="K426" s="575">
        <f t="shared" si="200"/>
        <v>1.0037721055362521</v>
      </c>
      <c r="L426" s="576">
        <f t="shared" si="201"/>
        <v>8.672123455771473E-2</v>
      </c>
      <c r="M426" s="575">
        <f t="shared" si="202"/>
        <v>1.167731021799262</v>
      </c>
      <c r="N426" s="576">
        <f t="shared" si="203"/>
        <v>-0.54261439963340896</v>
      </c>
      <c r="O426" s="574">
        <f t="shared" si="204"/>
        <v>790357.16649865767</v>
      </c>
      <c r="P426" s="577">
        <f t="shared" si="205"/>
        <v>1.5707950615441437</v>
      </c>
      <c r="Q426" s="586">
        <f t="shared" si="227"/>
        <v>147.5367267718897</v>
      </c>
      <c r="R426" s="587">
        <f t="shared" si="228"/>
        <v>1.5640183015610518</v>
      </c>
      <c r="S426" s="574">
        <f t="shared" si="206"/>
        <v>1.2971447294007803</v>
      </c>
      <c r="T426" s="577">
        <f t="shared" si="207"/>
        <v>0.69050573475806742</v>
      </c>
      <c r="U426" s="578">
        <f t="shared" si="219"/>
        <v>0.48969000849329131</v>
      </c>
      <c r="V426" s="579">
        <f t="shared" si="220"/>
        <v>-1.486373457471208</v>
      </c>
      <c r="W426" s="580">
        <f t="shared" si="208"/>
        <v>-25.616104300721521</v>
      </c>
      <c r="X426" s="581">
        <f t="shared" si="209"/>
        <v>-241.0780508561235</v>
      </c>
      <c r="Y426" s="584">
        <f t="shared" si="210"/>
        <v>-61.078050856123497</v>
      </c>
      <c r="AA426" s="147">
        <f t="shared" si="211"/>
        <v>41929.75</v>
      </c>
      <c r="AB426" s="147">
        <f t="shared" si="212"/>
        <v>1758103935.0625</v>
      </c>
      <c r="AD426" s="583">
        <f t="shared" si="213"/>
        <v>28.267216364178939</v>
      </c>
      <c r="AE426" s="584">
        <f t="shared" si="214"/>
        <v>-39.951344122672509</v>
      </c>
      <c r="AG426" s="583">
        <f t="shared" si="215"/>
        <v>13.622074947891818</v>
      </c>
      <c r="AH426" s="584">
        <f t="shared" si="216"/>
        <v>-30.800854752088981</v>
      </c>
      <c r="AJ426" s="147">
        <f t="shared" si="217"/>
        <v>0</v>
      </c>
      <c r="AK426" s="147">
        <f t="shared" si="229"/>
        <v>0</v>
      </c>
      <c r="AM426" s="147" t="str">
        <f t="shared" si="221"/>
        <v>1.97231657038503+0.233667470895497i</v>
      </c>
      <c r="AN426" s="147" t="str">
        <f t="shared" si="222"/>
        <v>2.90574478005105i</v>
      </c>
      <c r="AO426" s="147" t="str">
        <f t="shared" si="223"/>
        <v>0.0804156898085839-0.678764557687816i</v>
      </c>
      <c r="AP426" s="147" t="str">
        <f t="shared" si="224"/>
        <v>-0.162052761730838-0.0389445784825828i</v>
      </c>
      <c r="AQ426" s="147" t="str">
        <f t="shared" si="225"/>
        <v>1.16205276173084+0.0389445784825828i</v>
      </c>
      <c r="AR426" s="147" t="str">
        <f t="shared" si="226"/>
        <v>0.716030702971402-0.0239967709093296i</v>
      </c>
    </row>
    <row r="427" spans="7:44">
      <c r="G427" s="585">
        <v>42172.5</v>
      </c>
      <c r="H427" s="573">
        <f t="shared" si="218"/>
        <v>42.172499999999999</v>
      </c>
      <c r="I427" s="574">
        <f t="shared" si="198"/>
        <v>367.11611905579116</v>
      </c>
      <c r="J427" s="575">
        <f t="shared" si="199"/>
        <v>1.5680723896405926</v>
      </c>
      <c r="K427" s="575">
        <f t="shared" si="200"/>
        <v>1.0038158255100074</v>
      </c>
      <c r="L427" s="576">
        <f t="shared" si="201"/>
        <v>8.7220767235431734E-2</v>
      </c>
      <c r="M427" s="575">
        <f t="shared" si="202"/>
        <v>1.1695374989917999</v>
      </c>
      <c r="N427" s="576">
        <f t="shared" si="203"/>
        <v>-0.54517057039108252</v>
      </c>
      <c r="O427" s="574">
        <f t="shared" si="204"/>
        <v>794932.89619337907</v>
      </c>
      <c r="P427" s="577">
        <f t="shared" si="205"/>
        <v>1.5707950688270798</v>
      </c>
      <c r="Q427" s="586">
        <f t="shared" si="227"/>
        <v>148.39084347437563</v>
      </c>
      <c r="R427" s="587">
        <f t="shared" si="228"/>
        <v>1.5640573155077324</v>
      </c>
      <c r="S427" s="574">
        <f t="shared" si="206"/>
        <v>1.3001964845791074</v>
      </c>
      <c r="T427" s="577">
        <f t="shared" si="207"/>
        <v>0.69334181373006509</v>
      </c>
      <c r="U427" s="578">
        <f t="shared" si="219"/>
        <v>0.48711150402825398</v>
      </c>
      <c r="V427" s="579">
        <f t="shared" si="220"/>
        <v>-1.4924196963857848</v>
      </c>
      <c r="W427" s="580">
        <f t="shared" si="208"/>
        <v>-25.718710888022475</v>
      </c>
      <c r="X427" s="581">
        <f t="shared" si="209"/>
        <v>-241.70347550363002</v>
      </c>
      <c r="Y427" s="584">
        <f t="shared" si="210"/>
        <v>-61.703475503630017</v>
      </c>
      <c r="AA427" s="147">
        <f t="shared" si="211"/>
        <v>42172.5</v>
      </c>
      <c r="AB427" s="147">
        <f t="shared" si="212"/>
        <v>1778519756.25</v>
      </c>
      <c r="AD427" s="583">
        <f t="shared" si="213"/>
        <v>28.246803031436052</v>
      </c>
      <c r="AE427" s="584">
        <f t="shared" si="214"/>
        <v>-40.111604561111456</v>
      </c>
      <c r="AG427" s="583">
        <f t="shared" si="215"/>
        <v>13.631595954416815</v>
      </c>
      <c r="AH427" s="584">
        <f t="shared" si="216"/>
        <v>-30.573171016898879</v>
      </c>
      <c r="AJ427" s="147">
        <f t="shared" si="217"/>
        <v>0</v>
      </c>
      <c r="AK427" s="147">
        <f t="shared" si="229"/>
        <v>0</v>
      </c>
      <c r="AM427" s="147" t="str">
        <f t="shared" si="221"/>
        <v>1.97610971094234+0.217278236839437i</v>
      </c>
      <c r="AN427" s="147" t="str">
        <f t="shared" si="222"/>
        <v>2.92256743092203i</v>
      </c>
      <c r="AO427" s="147" t="str">
        <f t="shared" si="223"/>
        <v>0.074344986719738-0.676155386539329i</v>
      </c>
      <c r="AP427" s="147" t="str">
        <f t="shared" si="224"/>
        <v>-0.162684951823724-0.0362130394732395i</v>
      </c>
      <c r="AQ427" s="147" t="str">
        <f t="shared" si="225"/>
        <v>1.16268495182372+0.0362130394732395i</v>
      </c>
      <c r="AR427" s="147" t="str">
        <f t="shared" si="226"/>
        <v>0.715750821705624-0.0222928083130116i</v>
      </c>
    </row>
    <row r="428" spans="7:44">
      <c r="G428" s="585">
        <v>42415.25</v>
      </c>
      <c r="H428" s="573">
        <f t="shared" si="218"/>
        <v>42.41525</v>
      </c>
      <c r="I428" s="574">
        <f t="shared" si="198"/>
        <v>369.22926811164598</v>
      </c>
      <c r="J428" s="575">
        <f t="shared" si="199"/>
        <v>1.5680879791396853</v>
      </c>
      <c r="K428" s="575">
        <f t="shared" si="200"/>
        <v>1.0038597959469782</v>
      </c>
      <c r="L428" s="576">
        <f t="shared" si="201"/>
        <v>8.7720256277344727E-2</v>
      </c>
      <c r="M428" s="575">
        <f t="shared" si="202"/>
        <v>1.1713515943532242</v>
      </c>
      <c r="N428" s="576">
        <f t="shared" si="203"/>
        <v>-0.54771884017197259</v>
      </c>
      <c r="O428" s="574">
        <f t="shared" si="204"/>
        <v>799508.62588810048</v>
      </c>
      <c r="P428" s="577">
        <f t="shared" si="205"/>
        <v>1.5707950760266527</v>
      </c>
      <c r="Q428" s="586">
        <f t="shared" si="227"/>
        <v>149.24496040014026</v>
      </c>
      <c r="R428" s="587">
        <f t="shared" si="228"/>
        <v>1.5640958829071021</v>
      </c>
      <c r="S428" s="574">
        <f t="shared" si="206"/>
        <v>1.3032586486587245</v>
      </c>
      <c r="T428" s="577">
        <f t="shared" si="207"/>
        <v>0.69616458789566493</v>
      </c>
      <c r="U428" s="578">
        <f t="shared" si="219"/>
        <v>0.48454461761389916</v>
      </c>
      <c r="V428" s="579">
        <f t="shared" si="220"/>
        <v>-1.4984604936115786</v>
      </c>
      <c r="W428" s="580">
        <f t="shared" si="208"/>
        <v>-25.821048373291319</v>
      </c>
      <c r="X428" s="581">
        <f t="shared" si="209"/>
        <v>-242.32739110177101</v>
      </c>
      <c r="Y428" s="584">
        <f t="shared" si="210"/>
        <v>-62.327391101771013</v>
      </c>
      <c r="AA428" s="147">
        <f t="shared" si="211"/>
        <v>42415.25</v>
      </c>
      <c r="AB428" s="147">
        <f t="shared" si="212"/>
        <v>1799053432.5625</v>
      </c>
      <c r="AD428" s="583">
        <f t="shared" si="213"/>
        <v>28.226368216577317</v>
      </c>
      <c r="AE428" s="584">
        <f t="shared" si="214"/>
        <v>-40.271128270795629</v>
      </c>
      <c r="AG428" s="583">
        <f t="shared" si="215"/>
        <v>13.641477788745586</v>
      </c>
      <c r="AH428" s="584">
        <f t="shared" si="216"/>
        <v>-30.345338532700037</v>
      </c>
      <c r="AJ428" s="147">
        <f t="shared" si="217"/>
        <v>0</v>
      </c>
      <c r="AK428" s="147">
        <f t="shared" si="229"/>
        <v>0</v>
      </c>
      <c r="AM428" s="147" t="str">
        <f t="shared" si="221"/>
        <v>1.97962661742159+0.200827514148682i</v>
      </c>
      <c r="AN428" s="147" t="str">
        <f t="shared" si="222"/>
        <v>2.93939008179301i</v>
      </c>
      <c r="AO428" s="147" t="str">
        <f t="shared" si="223"/>
        <v>0.068322852210952-0.673482104224163i</v>
      </c>
      <c r="AP428" s="147" t="str">
        <f t="shared" si="224"/>
        <v>-0.163271102903598-0.0334712523581137i</v>
      </c>
      <c r="AQ428" s="147" t="str">
        <f t="shared" si="225"/>
        <v>1.1632711029036+0.0334712523581137i</v>
      </c>
      <c r="AR428" s="147" t="str">
        <f t="shared" si="226"/>
        <v>0.71549178957965-0.0205871238350218i</v>
      </c>
    </row>
    <row r="429" spans="7:44">
      <c r="G429" s="585">
        <v>42658</v>
      </c>
      <c r="H429" s="573">
        <f t="shared" si="218"/>
        <v>42.658000000000001</v>
      </c>
      <c r="I429" s="574">
        <f t="shared" si="198"/>
        <v>371.34241725621416</v>
      </c>
      <c r="J429" s="575">
        <f t="shared" si="199"/>
        <v>1.5681033912125837</v>
      </c>
      <c r="K429" s="575">
        <f t="shared" si="200"/>
        <v>1.0039040168142539</v>
      </c>
      <c r="L429" s="576">
        <f t="shared" si="201"/>
        <v>8.8219701439969489E-2</v>
      </c>
      <c r="M429" s="575">
        <f t="shared" si="202"/>
        <v>1.1731732725432704</v>
      </c>
      <c r="N429" s="576">
        <f t="shared" si="203"/>
        <v>-0.5502592126097765</v>
      </c>
      <c r="O429" s="574">
        <f t="shared" si="204"/>
        <v>804084.35558282188</v>
      </c>
      <c r="P429" s="577">
        <f t="shared" si="205"/>
        <v>1.5707950831442858</v>
      </c>
      <c r="Q429" s="586">
        <f t="shared" si="227"/>
        <v>150.09907754537201</v>
      </c>
      <c r="R429" s="587">
        <f t="shared" si="228"/>
        <v>1.5641340113820845</v>
      </c>
      <c r="S429" s="574">
        <f t="shared" si="206"/>
        <v>1.3063311484412783</v>
      </c>
      <c r="T429" s="577">
        <f t="shared" si="207"/>
        <v>0.69897410599188614</v>
      </c>
      <c r="U429" s="578">
        <f t="shared" si="219"/>
        <v>0.48198920385719535</v>
      </c>
      <c r="V429" s="579">
        <f t="shared" si="220"/>
        <v>-1.504496269857031</v>
      </c>
      <c r="W429" s="580">
        <f t="shared" si="208"/>
        <v>-25.923121641716481</v>
      </c>
      <c r="X429" s="581">
        <f t="shared" si="209"/>
        <v>-242.9498245098172</v>
      </c>
      <c r="Y429" s="584">
        <f t="shared" si="210"/>
        <v>-62.949824509817205</v>
      </c>
      <c r="AA429" s="147">
        <f t="shared" si="211"/>
        <v>42658</v>
      </c>
      <c r="AB429" s="147">
        <f t="shared" si="212"/>
        <v>1819704964</v>
      </c>
      <c r="AD429" s="583">
        <f t="shared" si="213"/>
        <v>28.205912669428042</v>
      </c>
      <c r="AE429" s="584">
        <f t="shared" si="214"/>
        <v>-40.429917607470749</v>
      </c>
      <c r="AG429" s="583">
        <f t="shared" si="215"/>
        <v>13.651718595730468</v>
      </c>
      <c r="AH429" s="584">
        <f t="shared" si="216"/>
        <v>-30.117333593381286</v>
      </c>
      <c r="AJ429" s="147">
        <f t="shared" si="217"/>
        <v>0</v>
      </c>
      <c r="AK429" s="147">
        <f t="shared" si="229"/>
        <v>0</v>
      </c>
      <c r="AM429" s="147" t="str">
        <f t="shared" si="221"/>
        <v>1.98286629455613+0.184319958293989i</v>
      </c>
      <c r="AN429" s="147" t="str">
        <f t="shared" si="222"/>
        <v>2.95621273266399i</v>
      </c>
      <c r="AO429" s="147" t="str">
        <f t="shared" si="223"/>
        <v>0.0623500319369402-0.670745468567572i</v>
      </c>
      <c r="AP429" s="147" t="str">
        <f t="shared" si="224"/>
        <v>-0.163811049092689-0.0307199930489982i</v>
      </c>
      <c r="AQ429" s="147" t="str">
        <f t="shared" si="225"/>
        <v>1.16381104909269+0.0307199930489982i</v>
      </c>
      <c r="AR429" s="147" t="str">
        <f t="shared" si="226"/>
        <v>0.715253572828689-0.0188798558002163i</v>
      </c>
    </row>
    <row r="430" spans="7:44">
      <c r="G430" s="585">
        <v>42906.5</v>
      </c>
      <c r="H430" s="573">
        <f t="shared" si="218"/>
        <v>42.906500000000001</v>
      </c>
      <c r="I430" s="574">
        <f t="shared" si="198"/>
        <v>373.50562048731604</v>
      </c>
      <c r="J430" s="575">
        <f t="shared" si="199"/>
        <v>1.568118987713929</v>
      </c>
      <c r="K430" s="575">
        <f t="shared" si="200"/>
        <v>1.0039495445016009</v>
      </c>
      <c r="L430" s="576">
        <f t="shared" si="201"/>
        <v>8.8730931215851683E-2</v>
      </c>
      <c r="M430" s="575">
        <f t="shared" si="202"/>
        <v>1.1750459182374622</v>
      </c>
      <c r="N430" s="576">
        <f t="shared" si="203"/>
        <v>-0.55285158269196399</v>
      </c>
      <c r="O430" s="574">
        <f t="shared" si="204"/>
        <v>808768.47022396838</v>
      </c>
      <c r="P430" s="577">
        <f t="shared" si="205"/>
        <v>1.5707950903470913</v>
      </c>
      <c r="Q430" s="586">
        <f t="shared" si="227"/>
        <v>150.97342631912935</v>
      </c>
      <c r="R430" s="587">
        <f t="shared" si="228"/>
        <v>1.5641725961376556</v>
      </c>
      <c r="S430" s="574">
        <f t="shared" si="206"/>
        <v>1.3094870561614189</v>
      </c>
      <c r="T430" s="577">
        <f t="shared" si="207"/>
        <v>0.70183649341945087</v>
      </c>
      <c r="U430" s="578">
        <f t="shared" si="219"/>
        <v>0.47938499092755832</v>
      </c>
      <c r="V430" s="579">
        <f t="shared" si="220"/>
        <v>-1.5106702527965719</v>
      </c>
      <c r="W430" s="580">
        <f t="shared" si="208"/>
        <v>-26.027344142746756</v>
      </c>
      <c r="X430" s="581">
        <f t="shared" si="209"/>
        <v>-243.58549423356649</v>
      </c>
      <c r="Y430" s="584">
        <f t="shared" si="210"/>
        <v>-63.585494233566493</v>
      </c>
      <c r="AA430" s="147">
        <f t="shared" si="211"/>
        <v>42906.5</v>
      </c>
      <c r="AB430" s="147">
        <f t="shared" si="212"/>
        <v>1840967742.25</v>
      </c>
      <c r="AD430" s="583">
        <f t="shared" si="213"/>
        <v>28.184951892154668</v>
      </c>
      <c r="AE430" s="584">
        <f t="shared" si="214"/>
        <v>-40.591709995628996</v>
      </c>
      <c r="AG430" s="583">
        <f t="shared" si="215"/>
        <v>13.662571989898979</v>
      </c>
      <c r="AH430" s="584">
        <f t="shared" si="216"/>
        <v>-29.883724597720992</v>
      </c>
      <c r="AJ430" s="147">
        <f t="shared" si="217"/>
        <v>0</v>
      </c>
      <c r="AK430" s="147">
        <f t="shared" si="229"/>
        <v>0</v>
      </c>
      <c r="AM430" s="147" t="str">
        <f t="shared" si="221"/>
        <v>1.98589459582881+0.16736739800675i</v>
      </c>
      <c r="AN430" s="147" t="str">
        <f t="shared" si="222"/>
        <v>2.97343386033212i</v>
      </c>
      <c r="AO430" s="147" t="str">
        <f t="shared" si="223"/>
        <v>0.0562875805779839-0.667879189216939i</v>
      </c>
      <c r="AP430" s="147" t="str">
        <f t="shared" si="224"/>
        <v>-0.164315765971468-0.0278945663344583i</v>
      </c>
      <c r="AQ430" s="147" t="str">
        <f t="shared" si="225"/>
        <v>1.16431576597147+0.0278945663344583i</v>
      </c>
      <c r="AR430" s="147" t="str">
        <f t="shared" si="226"/>
        <v>0.715031241752484-0.0171306504534299i</v>
      </c>
    </row>
    <row r="431" spans="7:44">
      <c r="G431" s="585">
        <v>43155</v>
      </c>
      <c r="H431" s="573">
        <f t="shared" si="218"/>
        <v>43.155000000000001</v>
      </c>
      <c r="I431" s="574">
        <f t="shared" si="198"/>
        <v>375.6688238082271</v>
      </c>
      <c r="J431" s="575">
        <f t="shared" si="199"/>
        <v>1.5681344045974797</v>
      </c>
      <c r="K431" s="575">
        <f t="shared" si="200"/>
        <v>1.0039953345532315</v>
      </c>
      <c r="L431" s="576">
        <f t="shared" si="201"/>
        <v>8.9242114493159927E-2</v>
      </c>
      <c r="M431" s="575">
        <f t="shared" si="202"/>
        <v>1.1769264355293727</v>
      </c>
      <c r="N431" s="576">
        <f t="shared" si="203"/>
        <v>-0.55543568580959313</v>
      </c>
      <c r="O431" s="574">
        <f t="shared" si="204"/>
        <v>813452.58486511477</v>
      </c>
      <c r="P431" s="577">
        <f t="shared" si="205"/>
        <v>1.5707950974669449</v>
      </c>
      <c r="Q431" s="586">
        <f t="shared" si="227"/>
        <v>151.84777531506501</v>
      </c>
      <c r="R431" s="587">
        <f t="shared" si="228"/>
        <v>1.5642107365464071</v>
      </c>
      <c r="S431" s="574">
        <f t="shared" si="206"/>
        <v>1.3126536412110763</v>
      </c>
      <c r="T431" s="577">
        <f t="shared" si="207"/>
        <v>0.70468509391014489</v>
      </c>
      <c r="U431" s="578">
        <f t="shared" si="219"/>
        <v>0.47679248923041989</v>
      </c>
      <c r="V431" s="579">
        <f t="shared" si="220"/>
        <v>-1.5168398642230032</v>
      </c>
      <c r="W431" s="580">
        <f t="shared" si="208"/>
        <v>-26.131300153425393</v>
      </c>
      <c r="X431" s="581">
        <f t="shared" si="209"/>
        <v>-244.21966771986422</v>
      </c>
      <c r="Y431" s="584">
        <f t="shared" si="210"/>
        <v>-64.219667719864219</v>
      </c>
      <c r="AA431" s="147">
        <f t="shared" si="211"/>
        <v>43155</v>
      </c>
      <c r="AB431" s="147">
        <f t="shared" si="212"/>
        <v>1862354025</v>
      </c>
      <c r="AD431" s="583">
        <f t="shared" si="213"/>
        <v>28.163970950627487</v>
      </c>
      <c r="AE431" s="584">
        <f t="shared" si="214"/>
        <v>-40.752737904935849</v>
      </c>
      <c r="AG431" s="583">
        <f t="shared" si="215"/>
        <v>13.673798004852886</v>
      </c>
      <c r="AH431" s="584">
        <f t="shared" si="216"/>
        <v>-29.649884781963603</v>
      </c>
      <c r="AJ431" s="147">
        <f t="shared" si="217"/>
        <v>0</v>
      </c>
      <c r="AK431" s="147">
        <f t="shared" si="229"/>
        <v>0</v>
      </c>
      <c r="AM431" s="147" t="str">
        <f t="shared" si="221"/>
        <v>1.98863052028997+0.150365203259216i</v>
      </c>
      <c r="AN431" s="147" t="str">
        <f t="shared" si="222"/>
        <v>2.99065498800024i</v>
      </c>
      <c r="AO431" s="147" t="str">
        <f t="shared" si="223"/>
        <v>0.050278351686351-0.664948156263156i</v>
      </c>
      <c r="AP431" s="147" t="str">
        <f t="shared" si="224"/>
        <v>-0.164771753381662-0.0250608672098693i</v>
      </c>
      <c r="AQ431" s="147" t="str">
        <f t="shared" si="225"/>
        <v>1.16477175338166+0.0250608672098693i</v>
      </c>
      <c r="AR431" s="147" t="str">
        <f t="shared" si="226"/>
        <v>0.714830660667758-0.0153800744330618i</v>
      </c>
    </row>
    <row r="432" spans="7:44">
      <c r="G432" s="585">
        <v>43403.5</v>
      </c>
      <c r="H432" s="573">
        <f t="shared" si="218"/>
        <v>43.403500000000001</v>
      </c>
      <c r="I432" s="574">
        <f t="shared" si="198"/>
        <v>377.83202721740486</v>
      </c>
      <c r="J432" s="575">
        <f t="shared" si="199"/>
        <v>1.5681496449483283</v>
      </c>
      <c r="K432" s="575">
        <f t="shared" si="200"/>
        <v>1.0040413869332496</v>
      </c>
      <c r="L432" s="576">
        <f t="shared" si="201"/>
        <v>8.9753251011121499E-2</v>
      </c>
      <c r="M432" s="575">
        <f t="shared" si="202"/>
        <v>1.1788147867472434</v>
      </c>
      <c r="N432" s="576">
        <f t="shared" si="203"/>
        <v>-0.55801152709801072</v>
      </c>
      <c r="O432" s="574">
        <f t="shared" si="204"/>
        <v>818136.69950626127</v>
      </c>
      <c r="P432" s="577">
        <f t="shared" si="205"/>
        <v>1.5707951045052713</v>
      </c>
      <c r="Q432" s="586">
        <f t="shared" si="227"/>
        <v>152.72212452936296</v>
      </c>
      <c r="R432" s="587">
        <f t="shared" si="228"/>
        <v>1.5642484402400147</v>
      </c>
      <c r="S432" s="574">
        <f t="shared" si="206"/>
        <v>1.3158308265043437</v>
      </c>
      <c r="T432" s="577">
        <f t="shared" si="207"/>
        <v>0.70751996093641967</v>
      </c>
      <c r="U432" s="578">
        <f t="shared" si="219"/>
        <v>0.47421153979879938</v>
      </c>
      <c r="V432" s="579">
        <f t="shared" si="220"/>
        <v>-1.5230055534968758</v>
      </c>
      <c r="W432" s="580">
        <f t="shared" si="208"/>
        <v>-26.234994950147659</v>
      </c>
      <c r="X432" s="581">
        <f t="shared" si="209"/>
        <v>-244.85237382767573</v>
      </c>
      <c r="Y432" s="584">
        <f t="shared" si="210"/>
        <v>-64.852373827675734</v>
      </c>
      <c r="AA432" s="147">
        <f t="shared" si="211"/>
        <v>43403.5</v>
      </c>
      <c r="AB432" s="147">
        <f t="shared" si="212"/>
        <v>1883863812.25</v>
      </c>
      <c r="AD432" s="583">
        <f t="shared" si="213"/>
        <v>28.142970620612275</v>
      </c>
      <c r="AE432" s="584">
        <f t="shared" si="214"/>
        <v>-40.913003961955944</v>
      </c>
      <c r="AG432" s="583">
        <f t="shared" si="215"/>
        <v>13.685395029155135</v>
      </c>
      <c r="AH432" s="584">
        <f t="shared" si="216"/>
        <v>-29.415788885583716</v>
      </c>
      <c r="AJ432" s="147">
        <f t="shared" si="217"/>
        <v>0</v>
      </c>
      <c r="AK432" s="147">
        <f t="shared" si="229"/>
        <v>0</v>
      </c>
      <c r="AM432" s="147" t="str">
        <f t="shared" si="221"/>
        <v>1.99107325657411+0.133318416220693i</v>
      </c>
      <c r="AN432" s="147" t="str">
        <f t="shared" si="222"/>
        <v>3.00787611566837i</v>
      </c>
      <c r="AO432" s="147" t="str">
        <f t="shared" si="223"/>
        <v>0.0443231074332557-0.661953212169338i</v>
      </c>
      <c r="AP432" s="147" t="str">
        <f t="shared" si="224"/>
        <v>-0.165178876095685-0.0222197360367822i</v>
      </c>
      <c r="AQ432" s="147" t="str">
        <f t="shared" si="225"/>
        <v>1.16517887609568+0.0222197360367822i</v>
      </c>
      <c r="AR432" s="147" t="str">
        <f t="shared" si="226"/>
        <v>0.714651801952165-0.01362827178158i</v>
      </c>
    </row>
    <row r="433" spans="7:44">
      <c r="G433" s="585">
        <v>43652</v>
      </c>
      <c r="H433" s="573">
        <f t="shared" si="218"/>
        <v>43.652000000000001</v>
      </c>
      <c r="I433" s="574">
        <f t="shared" si="198"/>
        <v>379.99523071334187</v>
      </c>
      <c r="J433" s="575">
        <f t="shared" si="199"/>
        <v>1.5681647117813171</v>
      </c>
      <c r="K433" s="575">
        <f t="shared" si="200"/>
        <v>1.0040877016055609</v>
      </c>
      <c r="L433" s="576">
        <f t="shared" si="201"/>
        <v>9.0264340509109087E-2</v>
      </c>
      <c r="M433" s="575">
        <f t="shared" si="202"/>
        <v>1.1807109343038813</v>
      </c>
      <c r="N433" s="576">
        <f t="shared" si="203"/>
        <v>-0.56057911209831202</v>
      </c>
      <c r="O433" s="574">
        <f t="shared" si="204"/>
        <v>822820.81414740777</v>
      </c>
      <c r="P433" s="577">
        <f t="shared" si="205"/>
        <v>1.5707951114634626</v>
      </c>
      <c r="Q433" s="586">
        <f t="shared" si="227"/>
        <v>153.59647395829415</v>
      </c>
      <c r="R433" s="587">
        <f t="shared" si="228"/>
        <v>1.5642857146763864</v>
      </c>
      <c r="S433" s="574">
        <f t="shared" si="206"/>
        <v>1.3190185354412274</v>
      </c>
      <c r="T433" s="577">
        <f t="shared" si="207"/>
        <v>0.71034114833933748</v>
      </c>
      <c r="U433" s="578">
        <f t="shared" si="219"/>
        <v>0.47164198273254354</v>
      </c>
      <c r="V433" s="579">
        <f t="shared" si="220"/>
        <v>-1.5291677694380068</v>
      </c>
      <c r="W433" s="580">
        <f t="shared" si="208"/>
        <v>-26.338433825017553</v>
      </c>
      <c r="X433" s="581">
        <f t="shared" si="209"/>
        <v>-245.48364143527303</v>
      </c>
      <c r="Y433" s="584">
        <f t="shared" si="210"/>
        <v>-65.483641435273029</v>
      </c>
      <c r="AA433" s="147">
        <f t="shared" si="211"/>
        <v>43652</v>
      </c>
      <c r="AB433" s="147">
        <f t="shared" si="212"/>
        <v>1905497104</v>
      </c>
      <c r="AD433" s="583">
        <f t="shared" si="213"/>
        <v>28.121951668331132</v>
      </c>
      <c r="AE433" s="584">
        <f t="shared" si="214"/>
        <v>-41.072510824328056</v>
      </c>
      <c r="AG433" s="583">
        <f t="shared" si="215"/>
        <v>13.697361577497968</v>
      </c>
      <c r="AH433" s="584">
        <f t="shared" si="216"/>
        <v>-29.181411698251956</v>
      </c>
      <c r="AJ433" s="147">
        <f t="shared" si="217"/>
        <v>0</v>
      </c>
      <c r="AK433" s="147">
        <f t="shared" si="229"/>
        <v>0</v>
      </c>
      <c r="AM433" s="147" t="str">
        <f t="shared" si="221"/>
        <v>1.99322208026357+0.116232092284803i</v>
      </c>
      <c r="AN433" s="147" t="str">
        <f t="shared" si="222"/>
        <v>3.0250972433365i</v>
      </c>
      <c r="AO433" s="147" t="str">
        <f t="shared" si="223"/>
        <v>0.0384225970060407-0.65889520895704i</v>
      </c>
      <c r="AP433" s="147" t="str">
        <f t="shared" si="224"/>
        <v>-0.165537013377262-0.0193720153808005i</v>
      </c>
      <c r="AQ433" s="147" t="str">
        <f t="shared" si="225"/>
        <v>1.16553701337726+0.0193720153808005i</v>
      </c>
      <c r="AR433" s="147" t="str">
        <f t="shared" si="226"/>
        <v>0.714494640920338-0.0118753853498844i</v>
      </c>
    </row>
    <row r="434" spans="7:44">
      <c r="G434" s="585">
        <v>43906</v>
      </c>
      <c r="H434" s="573">
        <f t="shared" si="218"/>
        <v>43.905999999999999</v>
      </c>
      <c r="I434" s="574">
        <f t="shared" si="198"/>
        <v>382.20631204077688</v>
      </c>
      <c r="J434" s="575">
        <f t="shared" si="199"/>
        <v>1.5681799358316537</v>
      </c>
      <c r="K434" s="575">
        <f t="shared" si="200"/>
        <v>1.0041353123777457</v>
      </c>
      <c r="L434" s="576">
        <f t="shared" si="201"/>
        <v>9.0786692983398656E-2</v>
      </c>
      <c r="M434" s="575">
        <f t="shared" si="202"/>
        <v>1.182657066949141</v>
      </c>
      <c r="N434" s="576">
        <f t="shared" si="203"/>
        <v>-0.56319499871052292</v>
      </c>
      <c r="O434" s="574">
        <f t="shared" si="204"/>
        <v>827608.60134600429</v>
      </c>
      <c r="P434" s="577">
        <f t="shared" si="205"/>
        <v>1.5707951184942599</v>
      </c>
      <c r="Q434" s="586">
        <f t="shared" si="227"/>
        <v>154.49017540346875</v>
      </c>
      <c r="R434" s="587">
        <f t="shared" si="228"/>
        <v>1.5643233780743711</v>
      </c>
      <c r="S434" s="574">
        <f t="shared" si="206"/>
        <v>1.3222875936530074</v>
      </c>
      <c r="T434" s="577">
        <f t="shared" si="207"/>
        <v>0.71321069580467122</v>
      </c>
      <c r="U434" s="578">
        <f t="shared" si="219"/>
        <v>0.46902716014798462</v>
      </c>
      <c r="V434" s="579">
        <f t="shared" si="220"/>
        <v>-1.5354632497070941</v>
      </c>
      <c r="W434" s="580">
        <f t="shared" si="208"/>
        <v>-26.443903138382133</v>
      </c>
      <c r="X434" s="581">
        <f t="shared" si="209"/>
        <v>-246.12742423760054</v>
      </c>
      <c r="Y434" s="584">
        <f t="shared" si="210"/>
        <v>-66.127424237600536</v>
      </c>
      <c r="AA434" s="147">
        <f t="shared" si="211"/>
        <v>43906</v>
      </c>
      <c r="AB434" s="147">
        <f t="shared" si="212"/>
        <v>1927736836</v>
      </c>
      <c r="AD434" s="583">
        <f t="shared" si="213"/>
        <v>28.100449050537087</v>
      </c>
      <c r="AE434" s="584">
        <f t="shared" si="214"/>
        <v>-41.234766232477902</v>
      </c>
      <c r="AG434" s="583">
        <f t="shared" si="215"/>
        <v>13.709973446509592</v>
      </c>
      <c r="AH434" s="584">
        <f t="shared" si="216"/>
        <v>-28.941530192752097</v>
      </c>
      <c r="AJ434" s="147">
        <f t="shared" si="217"/>
        <v>0</v>
      </c>
      <c r="AK434" s="147">
        <f t="shared" si="229"/>
        <v>0</v>
      </c>
      <c r="AM434" s="147" t="str">
        <f t="shared" si="221"/>
        <v>1.99511405826364+0.0987320163172066i</v>
      </c>
      <c r="AN434" s="147" t="str">
        <f t="shared" si="222"/>
        <v>3.04269952272364i</v>
      </c>
      <c r="AO434" s="147" t="str">
        <f t="shared" si="223"/>
        <v>0.0324488223631191-0.655705252314147i</v>
      </c>
      <c r="AP434" s="147" t="str">
        <f t="shared" si="224"/>
        <v>-0.165852343043941-0.0164553360528678i</v>
      </c>
      <c r="AQ434" s="147" t="str">
        <f t="shared" si="225"/>
        <v>1.16585234304394+0.0164553360528678i</v>
      </c>
      <c r="AR434" s="147" t="str">
        <f t="shared" si="226"/>
        <v>0.714356402210695-0.0100827302274003i</v>
      </c>
    </row>
    <row r="435" spans="7:44">
      <c r="G435" s="585">
        <v>44160</v>
      </c>
      <c r="H435" s="573">
        <f t="shared" si="218"/>
        <v>44.16</v>
      </c>
      <c r="I435" s="574">
        <f t="shared" si="198"/>
        <v>384.41739345577753</v>
      </c>
      <c r="J435" s="575">
        <f t="shared" si="199"/>
        <v>1.568194984751444</v>
      </c>
      <c r="K435" s="575">
        <f t="shared" si="200"/>
        <v>1.0041831971043427</v>
      </c>
      <c r="L435" s="576">
        <f t="shared" si="201"/>
        <v>9.1308995783171906E-2</v>
      </c>
      <c r="M435" s="575">
        <f t="shared" si="202"/>
        <v>1.1846112657318693</v>
      </c>
      <c r="N435" s="576">
        <f t="shared" si="203"/>
        <v>-0.56580227249908599</v>
      </c>
      <c r="O435" s="574">
        <f t="shared" si="204"/>
        <v>832396.38854460081</v>
      </c>
      <c r="P435" s="577">
        <f t="shared" si="205"/>
        <v>1.5707951254441774</v>
      </c>
      <c r="Q435" s="586">
        <f t="shared" si="227"/>
        <v>155.38387706527166</v>
      </c>
      <c r="R435" s="587">
        <f t="shared" si="228"/>
        <v>1.5643606082248662</v>
      </c>
      <c r="S435" s="574">
        <f t="shared" si="206"/>
        <v>1.3255674862252618</v>
      </c>
      <c r="T435" s="577">
        <f t="shared" si="207"/>
        <v>0.71606606626542557</v>
      </c>
      <c r="U435" s="578">
        <f t="shared" si="219"/>
        <v>0.46642389915418625</v>
      </c>
      <c r="V435" s="579">
        <f t="shared" si="220"/>
        <v>-1.541756047918329</v>
      </c>
      <c r="W435" s="580">
        <f t="shared" si="208"/>
        <v>-26.549116314438592</v>
      </c>
      <c r="X435" s="581">
        <f t="shared" si="209"/>
        <v>-246.76976523887529</v>
      </c>
      <c r="Y435" s="584">
        <f t="shared" si="210"/>
        <v>-66.769765238875294</v>
      </c>
      <c r="AA435" s="147">
        <f t="shared" si="211"/>
        <v>44160</v>
      </c>
      <c r="AB435" s="147">
        <f t="shared" si="212"/>
        <v>1950105600</v>
      </c>
      <c r="AD435" s="583">
        <f t="shared" si="213"/>
        <v>28.078928565513678</v>
      </c>
      <c r="AE435" s="584">
        <f t="shared" si="214"/>
        <v>-41.396234176716888</v>
      </c>
      <c r="AG435" s="583">
        <f t="shared" si="215"/>
        <v>13.722968640272056</v>
      </c>
      <c r="AH435" s="584">
        <f t="shared" si="216"/>
        <v>-28.701301691301456</v>
      </c>
      <c r="AJ435" s="147">
        <f t="shared" si="217"/>
        <v>0</v>
      </c>
      <c r="AK435" s="147">
        <f t="shared" si="229"/>
        <v>0</v>
      </c>
      <c r="AM435" s="147" t="str">
        <f t="shared" si="221"/>
        <v>1.99669771784636+0.0812013499878728i</v>
      </c>
      <c r="AN435" s="147" t="str">
        <f t="shared" si="222"/>
        <v>3.06030180211078i</v>
      </c>
      <c r="AO435" s="147" t="str">
        <f t="shared" si="223"/>
        <v>0.0265337719083346-0.652451244014293i</v>
      </c>
      <c r="AP435" s="147" t="str">
        <f t="shared" si="224"/>
        <v>-0.166116286307727-0.0135335583313121i</v>
      </c>
      <c r="AQ435" s="147" t="str">
        <f t="shared" si="225"/>
        <v>1.16611628630773+0.0135335583313121i</v>
      </c>
      <c r="AR435" s="147" t="str">
        <f t="shared" si="226"/>
        <v>0.714240789574485-0.00828924139196686i</v>
      </c>
    </row>
    <row r="436" spans="7:44">
      <c r="G436" s="585">
        <v>44414</v>
      </c>
      <c r="H436" s="573">
        <f t="shared" si="218"/>
        <v>44.414000000000001</v>
      </c>
      <c r="I436" s="574">
        <f t="shared" si="198"/>
        <v>386.62847495684139</v>
      </c>
      <c r="J436" s="575">
        <f t="shared" si="199"/>
        <v>1.5682098615453322</v>
      </c>
      <c r="K436" s="575">
        <f t="shared" si="200"/>
        <v>1.0042313557461633</v>
      </c>
      <c r="L436" s="576">
        <f t="shared" si="201"/>
        <v>9.1831248630586573E-2</v>
      </c>
      <c r="M436" s="575">
        <f t="shared" si="202"/>
        <v>1.1865734907990706</v>
      </c>
      <c r="N436" s="576">
        <f t="shared" si="203"/>
        <v>-0.56840094065778124</v>
      </c>
      <c r="O436" s="574">
        <f t="shared" si="204"/>
        <v>837184.17574319732</v>
      </c>
      <c r="P436" s="577">
        <f t="shared" si="205"/>
        <v>1.570795132314603</v>
      </c>
      <c r="Q436" s="586">
        <f t="shared" si="227"/>
        <v>156.27757893998634</v>
      </c>
      <c r="R436" s="587">
        <f t="shared" si="228"/>
        <v>1.5643974125605828</v>
      </c>
      <c r="S436" s="574">
        <f t="shared" si="206"/>
        <v>1.328858132933767</v>
      </c>
      <c r="T436" s="577">
        <f t="shared" si="207"/>
        <v>0.71890731830832999</v>
      </c>
      <c r="U436" s="578">
        <f t="shared" si="219"/>
        <v>0.46383202619411285</v>
      </c>
      <c r="V436" s="579">
        <f t="shared" si="220"/>
        <v>-1.5480466420047481</v>
      </c>
      <c r="W436" s="580">
        <f t="shared" si="208"/>
        <v>-26.654079067540522</v>
      </c>
      <c r="X436" s="581">
        <f t="shared" si="209"/>
        <v>-247.41069535387805</v>
      </c>
      <c r="Y436" s="584">
        <f t="shared" si="210"/>
        <v>-67.410695353878054</v>
      </c>
      <c r="AA436" s="147">
        <f t="shared" si="211"/>
        <v>44414</v>
      </c>
      <c r="AB436" s="147">
        <f t="shared" si="212"/>
        <v>1972603396</v>
      </c>
      <c r="AD436" s="583">
        <f t="shared" si="213"/>
        <v>28.057391000951412</v>
      </c>
      <c r="AE436" s="584">
        <f t="shared" si="214"/>
        <v>-41.55691758803389</v>
      </c>
      <c r="AG436" s="583">
        <f t="shared" si="215"/>
        <v>13.73634597726708</v>
      </c>
      <c r="AH436" s="584">
        <f t="shared" si="216"/>
        <v>-28.460699410599961</v>
      </c>
      <c r="AJ436" s="147">
        <f t="shared" si="217"/>
        <v>0</v>
      </c>
      <c r="AK436" s="147">
        <f t="shared" si="229"/>
        <v>0</v>
      </c>
      <c r="AM436" s="147" t="str">
        <f t="shared" si="221"/>
        <v>1.99797256834293+0.0636455248624112i</v>
      </c>
      <c r="AN436" s="147" t="str">
        <f t="shared" si="222"/>
        <v>3.07790408149792i</v>
      </c>
      <c r="AO436" s="147" t="str">
        <f t="shared" si="223"/>
        <v>0.0206782028215242-0.64913412355936i</v>
      </c>
      <c r="AP436" s="147" t="str">
        <f t="shared" si="224"/>
        <v>-0.166328761390489-0.0106075874770685i</v>
      </c>
      <c r="AQ436" s="147" t="str">
        <f t="shared" si="225"/>
        <v>1.16632876139049+0.0106075874770685i</v>
      </c>
      <c r="AR436" s="147" t="str">
        <f t="shared" si="226"/>
        <v>0.714147786255798-0.00649506842756057i</v>
      </c>
    </row>
    <row r="437" spans="7:44">
      <c r="G437" s="585">
        <v>44668</v>
      </c>
      <c r="H437" s="573">
        <f t="shared" si="218"/>
        <v>44.667999999999999</v>
      </c>
      <c r="I437" s="574">
        <f t="shared" si="198"/>
        <v>388.8395565425003</v>
      </c>
      <c r="J437" s="575">
        <f t="shared" si="199"/>
        <v>1.5682245691496211</v>
      </c>
      <c r="K437" s="575">
        <f t="shared" si="200"/>
        <v>1.0042797882638017</v>
      </c>
      <c r="L437" s="576">
        <f t="shared" si="201"/>
        <v>9.2353451247962529E-2</v>
      </c>
      <c r="M437" s="575">
        <f t="shared" si="202"/>
        <v>1.1885437023977865</v>
      </c>
      <c r="N437" s="576">
        <f t="shared" si="203"/>
        <v>-0.57099101079789416</v>
      </c>
      <c r="O437" s="574">
        <f t="shared" si="204"/>
        <v>841971.96294179396</v>
      </c>
      <c r="P437" s="577">
        <f t="shared" si="205"/>
        <v>1.5707951391068928</v>
      </c>
      <c r="Q437" s="586">
        <f t="shared" si="227"/>
        <v>157.17128102398084</v>
      </c>
      <c r="R437" s="587">
        <f t="shared" si="228"/>
        <v>1.5644337983451815</v>
      </c>
      <c r="S437" s="574">
        <f t="shared" si="206"/>
        <v>1.3321594540852206</v>
      </c>
      <c r="T437" s="577">
        <f t="shared" si="207"/>
        <v>0.72173451085398932</v>
      </c>
      <c r="U437" s="578">
        <f t="shared" si="219"/>
        <v>0.46125136683250439</v>
      </c>
      <c r="V437" s="579">
        <f t="shared" si="220"/>
        <v>-1.5543355095797489</v>
      </c>
      <c r="W437" s="580">
        <f t="shared" si="208"/>
        <v>-26.758797137431557</v>
      </c>
      <c r="X437" s="581">
        <f t="shared" si="209"/>
        <v>-248.05024552788547</v>
      </c>
      <c r="Y437" s="584">
        <f t="shared" si="210"/>
        <v>-68.050245527885465</v>
      </c>
      <c r="AA437" s="147">
        <f t="shared" si="211"/>
        <v>44668</v>
      </c>
      <c r="AB437" s="147">
        <f t="shared" si="212"/>
        <v>1995230224</v>
      </c>
      <c r="AD437" s="583">
        <f t="shared" si="213"/>
        <v>28.035837134378756</v>
      </c>
      <c r="AE437" s="584">
        <f t="shared" si="214"/>
        <v>-41.716819426231496</v>
      </c>
      <c r="AG437" s="583">
        <f t="shared" si="215"/>
        <v>13.750104411298267</v>
      </c>
      <c r="AH437" s="584">
        <f t="shared" si="216"/>
        <v>-28.219696605657859</v>
      </c>
      <c r="AJ437" s="147">
        <f t="shared" si="217"/>
        <v>0</v>
      </c>
      <c r="AK437" s="147">
        <f t="shared" si="229"/>
        <v>0</v>
      </c>
      <c r="AM437" s="147" t="str">
        <f t="shared" si="221"/>
        <v>1.99893821476357+0.0460699803014399i</v>
      </c>
      <c r="AN437" s="147" t="str">
        <f t="shared" si="222"/>
        <v>3.09550636088506i</v>
      </c>
      <c r="AO437" s="147" t="str">
        <f t="shared" si="223"/>
        <v>0.014882857578192-0.645754839990714i</v>
      </c>
      <c r="AP437" s="147" t="str">
        <f t="shared" si="224"/>
        <v>-0.166489702460595-0.00767833005023998i</v>
      </c>
      <c r="AQ437" s="147" t="str">
        <f t="shared" si="225"/>
        <v>1.16648970246059+0.00767833005023998i</v>
      </c>
      <c r="AR437" s="147" t="str">
        <f t="shared" si="226"/>
        <v>0.714077378759381-0.00470036022089102i</v>
      </c>
    </row>
    <row r="438" spans="7:44">
      <c r="G438" s="585">
        <v>44928.25</v>
      </c>
      <c r="H438" s="573">
        <f t="shared" si="218"/>
        <v>44.928249999999998</v>
      </c>
      <c r="I438" s="574">
        <f t="shared" si="198"/>
        <v>391.1050447494822</v>
      </c>
      <c r="J438" s="575">
        <f t="shared" si="199"/>
        <v>1.5682394661687935</v>
      </c>
      <c r="K438" s="575">
        <f t="shared" si="200"/>
        <v>1.0043296965523614</v>
      </c>
      <c r="L438" s="576">
        <f t="shared" si="201"/>
        <v>9.2888450949779044E-2</v>
      </c>
      <c r="M438" s="575">
        <f t="shared" si="202"/>
        <v>1.1905706358771693</v>
      </c>
      <c r="N438" s="576">
        <f t="shared" si="203"/>
        <v>-0.57363590340105752</v>
      </c>
      <c r="O438" s="574">
        <f t="shared" si="204"/>
        <v>846877.5598647655</v>
      </c>
      <c r="P438" s="577">
        <f t="shared" si="205"/>
        <v>1.5707951459866578</v>
      </c>
      <c r="Q438" s="586">
        <f t="shared" si="227"/>
        <v>158.08697402221708</v>
      </c>
      <c r="R438" s="587">
        <f t="shared" si="228"/>
        <v>1.5644706527459016</v>
      </c>
      <c r="S438" s="574">
        <f t="shared" si="206"/>
        <v>1.3355529974166191</v>
      </c>
      <c r="T438" s="577">
        <f t="shared" si="207"/>
        <v>0.72461674941177423</v>
      </c>
      <c r="U438" s="578">
        <f t="shared" si="219"/>
        <v>0.45861865457242623</v>
      </c>
      <c r="V438" s="579">
        <f t="shared" si="220"/>
        <v>-1.5607778313396203</v>
      </c>
      <c r="W438" s="580">
        <f t="shared" si="208"/>
        <v>-26.865844174195018</v>
      </c>
      <c r="X438" s="581">
        <f t="shared" si="209"/>
        <v>-248.70413376801093</v>
      </c>
      <c r="Y438" s="584">
        <f t="shared" si="210"/>
        <v>-68.704133768010934</v>
      </c>
      <c r="AA438" s="147">
        <f t="shared" si="211"/>
        <v>44928.25</v>
      </c>
      <c r="AB438" s="147">
        <f t="shared" si="212"/>
        <v>2018547648.0625</v>
      </c>
      <c r="AD438" s="583">
        <f t="shared" si="213"/>
        <v>28.013736800728598</v>
      </c>
      <c r="AE438" s="584">
        <f t="shared" si="214"/>
        <v>-41.879848323892482</v>
      </c>
      <c r="AG438" s="583">
        <f t="shared" si="215"/>
        <v>13.764595715930415</v>
      </c>
      <c r="AH438" s="584">
        <f t="shared" si="216"/>
        <v>-27.972320253066954</v>
      </c>
      <c r="AJ438" s="147">
        <f t="shared" si="217"/>
        <v>0</v>
      </c>
      <c r="AK438" s="147">
        <f t="shared" si="229"/>
        <v>0</v>
      </c>
      <c r="AM438" s="147" t="str">
        <f t="shared" si="221"/>
        <v>1.99960659968377+0.0280472078584931i</v>
      </c>
      <c r="AN438" s="147" t="str">
        <f t="shared" si="222"/>
        <v>3.11354176722563i</v>
      </c>
      <c r="AO438" s="147" t="str">
        <f t="shared" si="223"/>
        <v>0.00900813605705537-0.642228930644971i</v>
      </c>
      <c r="AP438" s="147" t="str">
        <f t="shared" si="224"/>
        <v>-0.166601099947294-0.00467453464308218i</v>
      </c>
      <c r="AQ438" s="147" t="str">
        <f t="shared" si="225"/>
        <v>1.16660109994729+0.00467453464308218i</v>
      </c>
      <c r="AR438" s="147" t="str">
        <f t="shared" si="226"/>
        <v>0.714028664784692-0.00286109084745468i</v>
      </c>
    </row>
    <row r="439" spans="7:44">
      <c r="G439" s="585">
        <v>45188.5</v>
      </c>
      <c r="H439" s="573">
        <f t="shared" si="218"/>
        <v>45.188499999999998</v>
      </c>
      <c r="I439" s="574">
        <f t="shared" si="198"/>
        <v>393.37053304225878</v>
      </c>
      <c r="J439" s="575">
        <f t="shared" si="199"/>
        <v>1.5682541915989983</v>
      </c>
      <c r="K439" s="575">
        <f t="shared" si="200"/>
        <v>1.0043798922762512</v>
      </c>
      <c r="L439" s="576">
        <f t="shared" si="201"/>
        <v>9.3423397329518598E-2</v>
      </c>
      <c r="M439" s="575">
        <f t="shared" si="202"/>
        <v>1.1926058695979245</v>
      </c>
      <c r="N439" s="576">
        <f t="shared" si="203"/>
        <v>-0.57627178714288652</v>
      </c>
      <c r="O439" s="574">
        <f t="shared" si="204"/>
        <v>851783.15678773704</v>
      </c>
      <c r="P439" s="577">
        <f t="shared" si="205"/>
        <v>1.5707951527871788</v>
      </c>
      <c r="Q439" s="586">
        <f t="shared" si="227"/>
        <v>159.0026672327013</v>
      </c>
      <c r="R439" s="587">
        <f t="shared" si="228"/>
        <v>1.5645070826591434</v>
      </c>
      <c r="S439" s="574">
        <f t="shared" si="206"/>
        <v>1.3389575792936339</v>
      </c>
      <c r="T439" s="577">
        <f t="shared" si="207"/>
        <v>0.72748435429277636</v>
      </c>
      <c r="U439" s="578">
        <f t="shared" si="219"/>
        <v>0.45599734109325052</v>
      </c>
      <c r="V439" s="579">
        <f t="shared" si="220"/>
        <v>-1.5672193549985141</v>
      </c>
      <c r="W439" s="580">
        <f t="shared" si="208"/>
        <v>-26.97264662866661</v>
      </c>
      <c r="X439" s="581">
        <f t="shared" si="209"/>
        <v>-249.35663920327309</v>
      </c>
      <c r="Y439" s="584">
        <f t="shared" si="210"/>
        <v>-69.35663920327309</v>
      </c>
      <c r="AA439" s="147">
        <f t="shared" si="211"/>
        <v>45188.5</v>
      </c>
      <c r="AB439" s="147">
        <f t="shared" si="212"/>
        <v>2042000532.25</v>
      </c>
      <c r="AD439" s="583">
        <f t="shared" si="213"/>
        <v>27.991620973131248</v>
      </c>
      <c r="AE439" s="584">
        <f t="shared" si="214"/>
        <v>-42.042063090434759</v>
      </c>
      <c r="AG439" s="583">
        <f t="shared" si="215"/>
        <v>13.779485313552124</v>
      </c>
      <c r="AH439" s="584">
        <f t="shared" si="216"/>
        <v>-27.724466682366785</v>
      </c>
      <c r="AJ439" s="147">
        <f t="shared" si="217"/>
        <v>0</v>
      </c>
      <c r="AK439" s="147">
        <f t="shared" si="229"/>
        <v>0</v>
      </c>
      <c r="AM439" s="147" t="str">
        <f t="shared" si="221"/>
        <v>1.9999498454992+0.0100153125825765i</v>
      </c>
      <c r="AN439" s="147" t="str">
        <f t="shared" si="222"/>
        <v>3.13157717356619i</v>
      </c>
      <c r="AO439" s="147" t="str">
        <f t="shared" si="223"/>
        <v>0.00319816885469606-0.638639808202999i</v>
      </c>
      <c r="AP439" s="147" t="str">
        <f t="shared" si="224"/>
        <v>-0.1666583075832-0.00166921876376275i</v>
      </c>
      <c r="AQ439" s="147" t="str">
        <f t="shared" si="225"/>
        <v>1.1666583075832+0.00166921876376275i</v>
      </c>
      <c r="AR439" s="147" t="str">
        <f t="shared" si="226"/>
        <v>0.714003654158513-0.00102157443115071i</v>
      </c>
    </row>
    <row r="440" spans="7:44">
      <c r="G440" s="585">
        <v>45448.75</v>
      </c>
      <c r="H440" s="573">
        <f t="shared" si="218"/>
        <v>45.448749999999997</v>
      </c>
      <c r="I440" s="574">
        <f t="shared" si="198"/>
        <v>395.63602141935627</v>
      </c>
      <c r="J440" s="575">
        <f t="shared" si="199"/>
        <v>1.5682687483878832</v>
      </c>
      <c r="K440" s="575">
        <f t="shared" si="200"/>
        <v>1.0044303753923784</v>
      </c>
      <c r="L440" s="576">
        <f t="shared" si="201"/>
        <v>9.395829008902977E-2</v>
      </c>
      <c r="M440" s="575">
        <f t="shared" si="202"/>
        <v>1.1946493611385736</v>
      </c>
      <c r="N440" s="576">
        <f t="shared" si="203"/>
        <v>-0.57889867153249941</v>
      </c>
      <c r="O440" s="574">
        <f t="shared" si="204"/>
        <v>856688.7537107087</v>
      </c>
      <c r="P440" s="577">
        <f t="shared" si="205"/>
        <v>1.5707951595098171</v>
      </c>
      <c r="Q440" s="586">
        <f t="shared" si="227"/>
        <v>159.91836065178748</v>
      </c>
      <c r="R440" s="587">
        <f t="shared" si="228"/>
        <v>1.5645430953766624</v>
      </c>
      <c r="S440" s="574">
        <f t="shared" si="206"/>
        <v>1.3423731157270284</v>
      </c>
      <c r="T440" s="577">
        <f t="shared" si="207"/>
        <v>0.73033738985804431</v>
      </c>
      <c r="U440" s="578">
        <f t="shared" si="219"/>
        <v>0.45338723608109466</v>
      </c>
      <c r="V440" s="579">
        <f t="shared" si="220"/>
        <v>-1.5736605937132908</v>
      </c>
      <c r="W440" s="580">
        <f t="shared" si="208"/>
        <v>-27.079210771835722</v>
      </c>
      <c r="X440" s="581">
        <f t="shared" si="209"/>
        <v>-250.00779523610473</v>
      </c>
      <c r="Y440" s="584">
        <f t="shared" si="210"/>
        <v>-70.007795236104727</v>
      </c>
      <c r="AA440" s="147">
        <f t="shared" si="211"/>
        <v>45448.75</v>
      </c>
      <c r="AB440" s="147">
        <f t="shared" si="212"/>
        <v>2065588876.5625</v>
      </c>
      <c r="AD440" s="583">
        <f t="shared" si="213"/>
        <v>27.96949045519192</v>
      </c>
      <c r="AE440" s="584">
        <f t="shared" si="214"/>
        <v>-42.203466995765922</v>
      </c>
      <c r="AG440" s="583">
        <f t="shared" si="215"/>
        <v>13.79477251888558</v>
      </c>
      <c r="AH440" s="584">
        <f t="shared" si="216"/>
        <v>-27.476107222637904</v>
      </c>
      <c r="AJ440" s="147">
        <f t="shared" si="217"/>
        <v>0</v>
      </c>
      <c r="AK440" s="147">
        <f t="shared" si="229"/>
        <v>0</v>
      </c>
      <c r="AM440" s="147" t="str">
        <f t="shared" si="221"/>
        <v>1.99996784056331-0.00801984034467802i</v>
      </c>
      <c r="AN440" s="147" t="str">
        <f t="shared" si="222"/>
        <v>3.14961257990676i</v>
      </c>
      <c r="AO440" s="147" t="str">
        <f t="shared" si="223"/>
        <v>-0.00254629423181801-0.634988523135286i</v>
      </c>
      <c r="AP440" s="147" t="str">
        <f t="shared" si="224"/>
        <v>-0.166661306760551+0.00133664005744634i</v>
      </c>
      <c r="AQ440" s="147" t="str">
        <f t="shared" si="225"/>
        <v>1.16666130676055-0.00133664005744634i</v>
      </c>
      <c r="AR440" s="147" t="str">
        <f t="shared" si="226"/>
        <v>0.714002343063127+0.000818030157783057i</v>
      </c>
    </row>
    <row r="441" spans="7:44">
      <c r="G441" s="585">
        <v>45709</v>
      </c>
      <c r="H441" s="573">
        <f t="shared" si="218"/>
        <v>45.709000000000003</v>
      </c>
      <c r="I441" s="574">
        <f t="shared" si="198"/>
        <v>397.90150987933447</v>
      </c>
      <c r="J441" s="575">
        <f t="shared" si="199"/>
        <v>1.5682831394159666</v>
      </c>
      <c r="K441" s="575">
        <f t="shared" si="200"/>
        <v>1.0044811458574117</v>
      </c>
      <c r="L441" s="576">
        <f t="shared" si="201"/>
        <v>9.4493128930343659E-2</v>
      </c>
      <c r="M441" s="575">
        <f t="shared" si="202"/>
        <v>1.1967010681958583</v>
      </c>
      <c r="N441" s="576">
        <f t="shared" si="203"/>
        <v>-0.5815165665109947</v>
      </c>
      <c r="O441" s="574">
        <f t="shared" si="204"/>
        <v>861594.35063368035</v>
      </c>
      <c r="P441" s="577">
        <f t="shared" si="205"/>
        <v>1.570795166155903</v>
      </c>
      <c r="Q441" s="586">
        <f t="shared" si="227"/>
        <v>160.83405427591271</v>
      </c>
      <c r="R441" s="587">
        <f t="shared" si="228"/>
        <v>1.5645786980241589</v>
      </c>
      <c r="S441" s="574">
        <f t="shared" si="206"/>
        <v>1.3457995233113222</v>
      </c>
      <c r="T441" s="577">
        <f t="shared" si="207"/>
        <v>0.73317592076504712</v>
      </c>
      <c r="U441" s="578">
        <f t="shared" si="219"/>
        <v>0.45078814837225123</v>
      </c>
      <c r="V441" s="579">
        <f t="shared" si="220"/>
        <v>-1.5801020605972993</v>
      </c>
      <c r="W441" s="580">
        <f t="shared" si="208"/>
        <v>-27.185542912285776</v>
      </c>
      <c r="X441" s="581">
        <f t="shared" si="209"/>
        <v>-250.65763531383593</v>
      </c>
      <c r="Y441" s="584">
        <f t="shared" si="210"/>
        <v>-70.657635313835925</v>
      </c>
      <c r="AA441" s="147">
        <f t="shared" si="211"/>
        <v>45709</v>
      </c>
      <c r="AB441" s="147">
        <f t="shared" si="212"/>
        <v>2089312681</v>
      </c>
      <c r="AD441" s="583">
        <f t="shared" si="213"/>
        <v>27.947346039626176</v>
      </c>
      <c r="AE441" s="584">
        <f t="shared" si="214"/>
        <v>-42.364063336289767</v>
      </c>
      <c r="AG441" s="583">
        <f t="shared" si="215"/>
        <v>13.810456794797183</v>
      </c>
      <c r="AH441" s="584">
        <f t="shared" si="216"/>
        <v>-27.227213226347885</v>
      </c>
      <c r="AJ441" s="147">
        <f t="shared" si="217"/>
        <v>0</v>
      </c>
      <c r="AK441" s="147">
        <f t="shared" si="229"/>
        <v>0</v>
      </c>
      <c r="AM441" s="147" t="str">
        <f t="shared" si="221"/>
        <v>1.99966057902289-0.0260523846819926i</v>
      </c>
      <c r="AN441" s="147" t="str">
        <f t="shared" si="222"/>
        <v>3.16764798624732i</v>
      </c>
      <c r="AO441" s="147" t="str">
        <f t="shared" si="223"/>
        <v>-0.00822452014715707-0.631276135386454i</v>
      </c>
      <c r="AP441" s="147" t="str">
        <f t="shared" si="224"/>
        <v>-0.166610096503815+0.00434206411366543i</v>
      </c>
      <c r="AQ441" s="147" t="str">
        <f t="shared" si="225"/>
        <v>1.16661009650382-0.00434206411366543i</v>
      </c>
      <c r="AR441" s="147" t="str">
        <f t="shared" si="226"/>
        <v>0.714024731298367+0.00265756414360853i</v>
      </c>
    </row>
    <row r="442" spans="7:44">
      <c r="G442" s="585">
        <v>45975.25</v>
      </c>
      <c r="H442" s="573">
        <f t="shared" si="218"/>
        <v>45.975250000000003</v>
      </c>
      <c r="I442" s="574">
        <f t="shared" si="198"/>
        <v>400.2192287051119</v>
      </c>
      <c r="J442" s="575">
        <f t="shared" si="199"/>
        <v>1.5682976936238615</v>
      </c>
      <c r="K442" s="575">
        <f t="shared" si="200"/>
        <v>1.0045333841400546</v>
      </c>
      <c r="L442" s="576">
        <f t="shared" si="201"/>
        <v>9.5040242242468986E-2</v>
      </c>
      <c r="M442" s="575">
        <f t="shared" si="202"/>
        <v>1.1988085346789805</v>
      </c>
      <c r="N442" s="576">
        <f t="shared" si="203"/>
        <v>-0.58418552455602102</v>
      </c>
      <c r="O442" s="574">
        <f t="shared" si="204"/>
        <v>866613.04489205207</v>
      </c>
      <c r="P442" s="577">
        <f t="shared" si="205"/>
        <v>1.5707951728773484</v>
      </c>
      <c r="Q442" s="586">
        <f t="shared" si="227"/>
        <v>161.77085920079011</v>
      </c>
      <c r="R442" s="587">
        <f t="shared" si="228"/>
        <v>1.5646147043833485</v>
      </c>
      <c r="S442" s="574">
        <f t="shared" si="206"/>
        <v>1.3493160895070435</v>
      </c>
      <c r="T442" s="577">
        <f t="shared" si="207"/>
        <v>0.73606495090934232</v>
      </c>
      <c r="U442" s="578">
        <f t="shared" si="219"/>
        <v>0.44814034035455852</v>
      </c>
      <c r="V442" s="579">
        <f t="shared" si="220"/>
        <v>-1.5866928051547244</v>
      </c>
      <c r="W442" s="580">
        <f t="shared" si="208"/>
        <v>-27.294093047320867</v>
      </c>
      <c r="X442" s="581">
        <f t="shared" si="209"/>
        <v>-251.3211304110946</v>
      </c>
      <c r="Y442" s="584">
        <f t="shared" si="210"/>
        <v>-71.3211304110946</v>
      </c>
      <c r="AA442" s="147">
        <f t="shared" si="211"/>
        <v>45975.25</v>
      </c>
      <c r="AB442" s="147">
        <f t="shared" si="212"/>
        <v>2113723612.5625</v>
      </c>
      <c r="AD442" s="583">
        <f t="shared" si="213"/>
        <v>27.924677523363471</v>
      </c>
      <c r="AE442" s="584">
        <f t="shared" si="214"/>
        <v>-42.527529943323991</v>
      </c>
      <c r="AG442" s="583">
        <f t="shared" si="215"/>
        <v>13.826913170762179</v>
      </c>
      <c r="AH442" s="584">
        <f t="shared" si="216"/>
        <v>-26.971998021730801</v>
      </c>
      <c r="AJ442" s="147">
        <f t="shared" si="217"/>
        <v>0</v>
      </c>
      <c r="AK442" s="147">
        <f t="shared" si="229"/>
        <v>0</v>
      </c>
      <c r="AM442" s="147" t="str">
        <f t="shared" si="221"/>
        <v>1.99900974738629-0.0444918489971585i</v>
      </c>
      <c r="AN442" s="147" t="str">
        <f t="shared" si="222"/>
        <v>3.18609919446317i</v>
      </c>
      <c r="AO442" s="147" t="str">
        <f t="shared" si="223"/>
        <v>-0.0139643640331339-0.627416042432133i</v>
      </c>
      <c r="AP442" s="147" t="str">
        <f t="shared" si="224"/>
        <v>-0.166501624564381+0.00741530816619308i</v>
      </c>
      <c r="AQ442" s="147" t="str">
        <f t="shared" si="225"/>
        <v>1.16650162456438-0.00741530816619308i</v>
      </c>
      <c r="AR442" s="147" t="str">
        <f t="shared" si="226"/>
        <v>0.714072164476811+0.0045392694197691i</v>
      </c>
    </row>
    <row r="443" spans="7:44">
      <c r="G443" s="585">
        <v>46241.5</v>
      </c>
      <c r="H443" s="573">
        <f t="shared" si="218"/>
        <v>46.241500000000002</v>
      </c>
      <c r="I443" s="574">
        <f t="shared" si="198"/>
        <v>402.53694761468955</v>
      </c>
      <c r="J443" s="575">
        <f t="shared" si="199"/>
        <v>1.568312080231925</v>
      </c>
      <c r="K443" s="575">
        <f t="shared" si="200"/>
        <v>1.004585923081341</v>
      </c>
      <c r="L443" s="576">
        <f t="shared" si="201"/>
        <v>9.5587298491262615E-2</v>
      </c>
      <c r="M443" s="575">
        <f t="shared" si="202"/>
        <v>1.2009245106724504</v>
      </c>
      <c r="N443" s="576">
        <f t="shared" si="203"/>
        <v>-0.58684509631797988</v>
      </c>
      <c r="O443" s="574">
        <f t="shared" si="204"/>
        <v>871631.73915042379</v>
      </c>
      <c r="P443" s="577">
        <f t="shared" si="205"/>
        <v>1.5707951795213921</v>
      </c>
      <c r="Q443" s="586">
        <f t="shared" si="227"/>
        <v>162.70766433298158</v>
      </c>
      <c r="R443" s="587">
        <f t="shared" si="228"/>
        <v>1.5646502961223849</v>
      </c>
      <c r="S443" s="574">
        <f t="shared" si="206"/>
        <v>1.352843859159397</v>
      </c>
      <c r="T443" s="577">
        <f t="shared" si="207"/>
        <v>0.73893893766584873</v>
      </c>
      <c r="U443" s="578">
        <f t="shared" si="219"/>
        <v>0.44550365610436959</v>
      </c>
      <c r="V443" s="579">
        <f t="shared" si="220"/>
        <v>-1.5932848751936057</v>
      </c>
      <c r="W443" s="580">
        <f t="shared" si="208"/>
        <v>-27.402413847937005</v>
      </c>
      <c r="X443" s="581">
        <f t="shared" si="209"/>
        <v>-251.98331915408531</v>
      </c>
      <c r="Y443" s="584">
        <f t="shared" si="210"/>
        <v>-71.983319154085308</v>
      </c>
      <c r="AA443" s="147">
        <f t="shared" si="211"/>
        <v>46241.5</v>
      </c>
      <c r="AB443" s="147">
        <f t="shared" si="212"/>
        <v>2138276322.25</v>
      </c>
      <c r="AD443" s="583">
        <f t="shared" si="213"/>
        <v>27.901996105235149</v>
      </c>
      <c r="AE443" s="584">
        <f t="shared" si="214"/>
        <v>-42.690158379277491</v>
      </c>
      <c r="AG443" s="583">
        <f t="shared" si="215"/>
        <v>13.843784474656397</v>
      </c>
      <c r="AH443" s="584">
        <f t="shared" si="216"/>
        <v>-26.716162744939759</v>
      </c>
      <c r="AJ443" s="147">
        <f t="shared" si="217"/>
        <v>0</v>
      </c>
      <c r="AK443" s="147">
        <f t="shared" si="229"/>
        <v>0</v>
      </c>
      <c r="AM443" s="147" t="str">
        <f t="shared" si="221"/>
        <v>1.99801881544269-0.0629161666217812i</v>
      </c>
      <c r="AN443" s="147" t="str">
        <f t="shared" si="222"/>
        <v>3.20455040267903i</v>
      </c>
      <c r="AO443" s="147" t="str">
        <f t="shared" si="223"/>
        <v>-0.0196333833817008-0.623494270451271i</v>
      </c>
      <c r="AP443" s="147" t="str">
        <f t="shared" si="224"/>
        <v>-0.166336469240448+0.0104860277702969i</v>
      </c>
      <c r="AQ443" s="147" t="str">
        <f t="shared" si="225"/>
        <v>1.16633646924045-0.0104860277702969i</v>
      </c>
      <c r="AR443" s="147" t="str">
        <f t="shared" si="226"/>
        <v>0.714144413514029+0.00642056417646551i</v>
      </c>
    </row>
    <row r="444" spans="7:44">
      <c r="G444" s="585">
        <v>46507.75</v>
      </c>
      <c r="H444" s="573">
        <f t="shared" si="218"/>
        <v>46.507750000000001</v>
      </c>
      <c r="I444" s="574">
        <f t="shared" si="198"/>
        <v>404.85466660662809</v>
      </c>
      <c r="J444" s="575">
        <f t="shared" si="199"/>
        <v>1.5683263021185865</v>
      </c>
      <c r="K444" s="575">
        <f t="shared" si="200"/>
        <v>1.0046387626341009</v>
      </c>
      <c r="L444" s="576">
        <f t="shared" si="201"/>
        <v>9.6134297358267354E-2</v>
      </c>
      <c r="M444" s="575">
        <f t="shared" si="202"/>
        <v>1.2030489512755531</v>
      </c>
      <c r="N444" s="576">
        <f t="shared" si="203"/>
        <v>-0.58949529379913546</v>
      </c>
      <c r="O444" s="574">
        <f t="shared" si="204"/>
        <v>876650.43340879539</v>
      </c>
      <c r="P444" s="577">
        <f t="shared" si="205"/>
        <v>1.5707951860893634</v>
      </c>
      <c r="Q444" s="586">
        <f t="shared" si="227"/>
        <v>163.64446966892669</v>
      </c>
      <c r="R444" s="587">
        <f t="shared" si="228"/>
        <v>1.5646854803618278</v>
      </c>
      <c r="S444" s="574">
        <f t="shared" si="206"/>
        <v>1.3563827448523196</v>
      </c>
      <c r="T444" s="577">
        <f t="shared" si="207"/>
        <v>0.74179795111969882</v>
      </c>
      <c r="U444" s="578">
        <f t="shared" si="219"/>
        <v>0.44287788831659619</v>
      </c>
      <c r="V444" s="579">
        <f t="shared" si="220"/>
        <v>-1.5998788205133097</v>
      </c>
      <c r="W444" s="580">
        <f t="shared" si="208"/>
        <v>-27.510512207899062</v>
      </c>
      <c r="X444" s="581">
        <f t="shared" si="209"/>
        <v>-252.64423752251892</v>
      </c>
      <c r="Y444" s="584">
        <f t="shared" si="210"/>
        <v>-72.644237522518921</v>
      </c>
      <c r="AA444" s="147">
        <f t="shared" si="211"/>
        <v>46507.75</v>
      </c>
      <c r="AB444" s="147">
        <f t="shared" si="212"/>
        <v>2162970810.0625</v>
      </c>
      <c r="AD444" s="583">
        <f t="shared" si="213"/>
        <v>27.879302599213169</v>
      </c>
      <c r="AE444" s="584">
        <f t="shared" si="214"/>
        <v>-42.851952251830689</v>
      </c>
      <c r="AG444" s="583">
        <f t="shared" si="215"/>
        <v>13.86107061324253</v>
      </c>
      <c r="AH444" s="584">
        <f t="shared" si="216"/>
        <v>-26.459676765638626</v>
      </c>
      <c r="AJ444" s="147">
        <f t="shared" si="217"/>
        <v>0</v>
      </c>
      <c r="AK444" s="147">
        <f t="shared" si="229"/>
        <v>0</v>
      </c>
      <c r="AM444" s="147" t="str">
        <f t="shared" si="221"/>
        <v>1.9966881205424-0.0813190652285727i</v>
      </c>
      <c r="AN444" s="147" t="str">
        <f t="shared" si="222"/>
        <v>3.22300161089488i</v>
      </c>
      <c r="AO444" s="147" t="str">
        <f t="shared" si="223"/>
        <v>-0.0252308484593013-0.619511983423431i</v>
      </c>
      <c r="AP444" s="147" t="str">
        <f t="shared" si="224"/>
        <v>-0.166114686757068+0.0135531775380954i</v>
      </c>
      <c r="AQ444" s="147" t="str">
        <f t="shared" si="225"/>
        <v>1.16611468675707-0.0135531775380954i</v>
      </c>
      <c r="AR444" s="147" t="str">
        <f t="shared" si="226"/>
        <v>0.714241489940621+0.00830127759145155i</v>
      </c>
    </row>
    <row r="445" spans="7:44">
      <c r="G445" s="585">
        <v>46774</v>
      </c>
      <c r="H445" s="573">
        <f t="shared" si="218"/>
        <v>46.774000000000001</v>
      </c>
      <c r="I445" s="574">
        <f t="shared" si="198"/>
        <v>407.17238567952114</v>
      </c>
      <c r="J445" s="575">
        <f t="shared" si="199"/>
        <v>1.5683403620967367</v>
      </c>
      <c r="K445" s="575">
        <f t="shared" si="200"/>
        <v>1.0046919027509045</v>
      </c>
      <c r="L445" s="576">
        <f t="shared" si="201"/>
        <v>9.6681238525230112E-2</v>
      </c>
      <c r="M445" s="575">
        <f t="shared" si="202"/>
        <v>1.2051818117251831</v>
      </c>
      <c r="N445" s="576">
        <f t="shared" si="203"/>
        <v>-0.59213612944401739</v>
      </c>
      <c r="O445" s="574">
        <f t="shared" si="204"/>
        <v>881669.12766716722</v>
      </c>
      <c r="P445" s="577">
        <f t="shared" si="205"/>
        <v>1.5707951925825616</v>
      </c>
      <c r="Q445" s="586">
        <f t="shared" si="227"/>
        <v>164.58127520514608</v>
      </c>
      <c r="R445" s="587">
        <f t="shared" si="228"/>
        <v>1.5647202640601185</v>
      </c>
      <c r="S445" s="574">
        <f t="shared" si="206"/>
        <v>1.359932659805642</v>
      </c>
      <c r="T445" s="577">
        <f t="shared" si="207"/>
        <v>0.74464206160680069</v>
      </c>
      <c r="U445" s="578">
        <f t="shared" si="219"/>
        <v>0.4402628288480408</v>
      </c>
      <c r="V445" s="579">
        <f t="shared" si="220"/>
        <v>-1.606475191212352</v>
      </c>
      <c r="W445" s="580">
        <f t="shared" si="208"/>
        <v>-27.618395073476208</v>
      </c>
      <c r="X445" s="581">
        <f t="shared" si="209"/>
        <v>-253.303921558475</v>
      </c>
      <c r="Y445" s="584">
        <f t="shared" si="210"/>
        <v>-73.303921558474997</v>
      </c>
      <c r="AA445" s="147">
        <f t="shared" si="211"/>
        <v>46774</v>
      </c>
      <c r="AB445" s="147">
        <f t="shared" si="212"/>
        <v>2187807076</v>
      </c>
      <c r="AD445" s="583">
        <f t="shared" si="213"/>
        <v>27.856597807708489</v>
      </c>
      <c r="AE445" s="584">
        <f t="shared" si="214"/>
        <v>-43.012915192319362</v>
      </c>
      <c r="AG445" s="583">
        <f t="shared" si="215"/>
        <v>13.878771656329754</v>
      </c>
      <c r="AH445" s="584">
        <f t="shared" si="216"/>
        <v>-26.202509457924446</v>
      </c>
      <c r="AJ445" s="147">
        <f t="shared" si="217"/>
        <v>0</v>
      </c>
      <c r="AK445" s="147">
        <f t="shared" si="229"/>
        <v>0</v>
      </c>
      <c r="AM445" s="147" t="str">
        <f t="shared" si="221"/>
        <v>1.99501811570379-0.0996942797821089i</v>
      </c>
      <c r="AN445" s="147" t="str">
        <f t="shared" si="222"/>
        <v>3.24145281911073i</v>
      </c>
      <c r="AO445" s="147" t="str">
        <f t="shared" si="223"/>
        <v>-0.0307560483972922-0.615470354509466i</v>
      </c>
      <c r="AP445" s="147" t="str">
        <f t="shared" si="224"/>
        <v>-0.165836352617299+0.0166157132970182i</v>
      </c>
      <c r="AQ445" s="147" t="str">
        <f t="shared" si="225"/>
        <v>1.1658363526173-0.0166157132970182i</v>
      </c>
      <c r="AR445" s="147" t="str">
        <f t="shared" si="226"/>
        <v>0.7143634092345+0.0101812381909979i</v>
      </c>
    </row>
    <row r="446" spans="7:44">
      <c r="G446" s="585">
        <v>47046.25</v>
      </c>
      <c r="H446" s="573">
        <f t="shared" si="218"/>
        <v>47.046250000000001</v>
      </c>
      <c r="I446" s="574">
        <f t="shared" si="198"/>
        <v>409.54233512366045</v>
      </c>
      <c r="J446" s="575">
        <f t="shared" si="199"/>
        <v>1.5683545743607039</v>
      </c>
      <c r="K446" s="575">
        <f t="shared" si="200"/>
        <v>1.0047465511420541</v>
      </c>
      <c r="L446" s="576">
        <f t="shared" si="201"/>
        <v>9.7240445130475583E-2</v>
      </c>
      <c r="M446" s="575">
        <f t="shared" si="202"/>
        <v>1.2073713967455597</v>
      </c>
      <c r="N446" s="576">
        <f t="shared" si="203"/>
        <v>-0.59482680962848389</v>
      </c>
      <c r="O446" s="574">
        <f t="shared" si="204"/>
        <v>886800.91926093888</v>
      </c>
      <c r="P446" s="577">
        <f t="shared" si="205"/>
        <v>1.570795199146088</v>
      </c>
      <c r="Q446" s="586">
        <f t="shared" si="227"/>
        <v>165.53919205559353</v>
      </c>
      <c r="R446" s="587">
        <f t="shared" si="228"/>
        <v>1.5647554245185737</v>
      </c>
      <c r="S446" s="574">
        <f t="shared" si="206"/>
        <v>1.3635738879786785</v>
      </c>
      <c r="T446" s="577">
        <f t="shared" si="207"/>
        <v>0.74753492773321617</v>
      </c>
      <c r="U446" s="578">
        <f t="shared" si="219"/>
        <v>0.43759969376356622</v>
      </c>
      <c r="V446" s="579">
        <f t="shared" si="220"/>
        <v>-1.6132232940098401</v>
      </c>
      <c r="W446" s="580">
        <f t="shared" si="208"/>
        <v>-27.728493563729725</v>
      </c>
      <c r="X446" s="581">
        <f t="shared" si="209"/>
        <v>-253.97723296216358</v>
      </c>
      <c r="Y446" s="584">
        <f t="shared" si="210"/>
        <v>-73.977232962163583</v>
      </c>
      <c r="AA446" s="147">
        <f t="shared" si="211"/>
        <v>47046.25</v>
      </c>
      <c r="AB446" s="147">
        <f t="shared" si="212"/>
        <v>2213349639.0625</v>
      </c>
      <c r="AD446" s="583">
        <f t="shared" si="213"/>
        <v>27.833370513060693</v>
      </c>
      <c r="AE446" s="584">
        <f t="shared" si="214"/>
        <v>-43.17665004243355</v>
      </c>
      <c r="AG446" s="583">
        <f t="shared" si="215"/>
        <v>13.89730087502838</v>
      </c>
      <c r="AH446" s="584">
        <f t="shared" si="216"/>
        <v>-25.938810390582297</v>
      </c>
      <c r="AJ446" s="147">
        <f t="shared" si="217"/>
        <v>0</v>
      </c>
      <c r="AK446" s="147">
        <f t="shared" si="229"/>
        <v>0</v>
      </c>
      <c r="AM446" s="147" t="str">
        <f t="shared" si="221"/>
        <v>1.99296020421414-0.118448439614094i</v>
      </c>
      <c r="AN446" s="147" t="str">
        <f t="shared" si="222"/>
        <v>3.26031982920187i</v>
      </c>
      <c r="AO446" s="147" t="str">
        <f t="shared" si="223"/>
        <v>-0.0363303129199721-0.611277515280462i</v>
      </c>
      <c r="AP446" s="147" t="str">
        <f t="shared" si="224"/>
        <v>-0.165493367369023+0.019741406602349i</v>
      </c>
      <c r="AQ446" s="147" t="str">
        <f t="shared" si="225"/>
        <v>1.16549336736902-0.019741406602349i</v>
      </c>
      <c r="AR446" s="147" t="str">
        <f t="shared" si="226"/>
        <v>0.71451378518917+0.012102606116279i</v>
      </c>
    </row>
    <row r="447" spans="7:44">
      <c r="G447" s="585">
        <v>47318.5</v>
      </c>
      <c r="H447" s="573">
        <f t="shared" si="218"/>
        <v>47.3185</v>
      </c>
      <c r="I447" s="574">
        <f t="shared" si="198"/>
        <v>411.91228464957067</v>
      </c>
      <c r="J447" s="575">
        <f t="shared" si="199"/>
        <v>1.5683686230833107</v>
      </c>
      <c r="K447" s="575">
        <f t="shared" si="200"/>
        <v>1.0048015136953012</v>
      </c>
      <c r="L447" s="576">
        <f t="shared" si="201"/>
        <v>9.7799590733453762E-2</v>
      </c>
      <c r="M447" s="575">
        <f t="shared" si="202"/>
        <v>1.2095696911615463</v>
      </c>
      <c r="N447" s="576">
        <f t="shared" si="203"/>
        <v>-0.5975077289792633</v>
      </c>
      <c r="O447" s="574">
        <f t="shared" si="204"/>
        <v>891932.71085471066</v>
      </c>
      <c r="P447" s="577">
        <f t="shared" si="205"/>
        <v>1.5707952056340873</v>
      </c>
      <c r="Q447" s="586">
        <f t="shared" si="227"/>
        <v>166.49710910833528</v>
      </c>
      <c r="R447" s="587">
        <f t="shared" si="228"/>
        <v>1.5647901803958397</v>
      </c>
      <c r="S447" s="574">
        <f t="shared" si="206"/>
        <v>1.3672264666204117</v>
      </c>
      <c r="T447" s="577">
        <f t="shared" si="207"/>
        <v>0.75041236110904364</v>
      </c>
      <c r="U447" s="578">
        <f t="shared" si="219"/>
        <v>0.43494731229315381</v>
      </c>
      <c r="V447" s="579">
        <f t="shared" si="220"/>
        <v>-1.6199750973670721</v>
      </c>
      <c r="W447" s="580">
        <f t="shared" si="208"/>
        <v>-27.838381607980821</v>
      </c>
      <c r="X447" s="581">
        <f t="shared" si="209"/>
        <v>-254.64933020766617</v>
      </c>
      <c r="Y447" s="584">
        <f t="shared" si="210"/>
        <v>-74.649330207666168</v>
      </c>
      <c r="AA447" s="147">
        <f t="shared" si="211"/>
        <v>47318.5</v>
      </c>
      <c r="AB447" s="147">
        <f t="shared" si="212"/>
        <v>2239040442.25</v>
      </c>
      <c r="AD447" s="583">
        <f t="shared" si="213"/>
        <v>27.810133078849859</v>
      </c>
      <c r="AE447" s="584">
        <f t="shared" si="214"/>
        <v>-43.339523837539026</v>
      </c>
      <c r="AG447" s="583">
        <f t="shared" si="215"/>
        <v>13.916264580467359</v>
      </c>
      <c r="AH447" s="584">
        <f t="shared" si="216"/>
        <v>-25.674334167152015</v>
      </c>
      <c r="AJ447" s="147">
        <f t="shared" si="217"/>
        <v>0</v>
      </c>
      <c r="AK447" s="147">
        <f t="shared" si="229"/>
        <v>0</v>
      </c>
      <c r="AM447" s="147" t="str">
        <f t="shared" si="221"/>
        <v>1.99054884505381-0.137160437308151i</v>
      </c>
      <c r="AN447" s="147" t="str">
        <f t="shared" si="222"/>
        <v>3.279186839293i</v>
      </c>
      <c r="AO447" s="147" t="str">
        <f t="shared" si="223"/>
        <v>-0.0418275761736477-0.607025138428214i</v>
      </c>
      <c r="AP447" s="147" t="str">
        <f t="shared" si="224"/>
        <v>-0.165091474175635+0.0228600728846918i</v>
      </c>
      <c r="AQ447" s="147" t="str">
        <f t="shared" si="225"/>
        <v>1.16509147417564-0.0228600728846918i</v>
      </c>
      <c r="AR447" s="147" t="str">
        <f t="shared" si="226"/>
        <v>0.714690181618751+0.0140228213869114i</v>
      </c>
    </row>
    <row r="448" spans="7:44">
      <c r="G448" s="585">
        <v>47590.75</v>
      </c>
      <c r="H448" s="573">
        <f t="shared" si="218"/>
        <v>47.59075</v>
      </c>
      <c r="I448" s="574">
        <f t="shared" si="198"/>
        <v>414.28223425584849</v>
      </c>
      <c r="J448" s="575">
        <f t="shared" si="199"/>
        <v>1.568382511071224</v>
      </c>
      <c r="K448" s="575">
        <f t="shared" si="200"/>
        <v>1.0048567903590944</v>
      </c>
      <c r="L448" s="576">
        <f t="shared" si="201"/>
        <v>9.8358674994576567E-2</v>
      </c>
      <c r="M448" s="575">
        <f t="shared" si="202"/>
        <v>1.2117766475737763</v>
      </c>
      <c r="N448" s="576">
        <f t="shared" si="203"/>
        <v>-0.60017890218552483</v>
      </c>
      <c r="O448" s="574">
        <f t="shared" si="204"/>
        <v>897064.50244848244</v>
      </c>
      <c r="P448" s="577">
        <f t="shared" si="205"/>
        <v>1.5707952120478552</v>
      </c>
      <c r="Q448" s="586">
        <f t="shared" si="227"/>
        <v>167.45502635989965</v>
      </c>
      <c r="R448" s="587">
        <f t="shared" si="228"/>
        <v>1.5648245386349853</v>
      </c>
      <c r="S448" s="574">
        <f t="shared" si="206"/>
        <v>1.3708903050048116</v>
      </c>
      <c r="T448" s="577">
        <f t="shared" si="207"/>
        <v>0.75327443763239077</v>
      </c>
      <c r="U448" s="578">
        <f t="shared" si="219"/>
        <v>0.43230545929190145</v>
      </c>
      <c r="V448" s="579">
        <f t="shared" si="220"/>
        <v>-1.6267311909574864</v>
      </c>
      <c r="W448" s="580">
        <f t="shared" si="208"/>
        <v>-27.948066822758406</v>
      </c>
      <c r="X448" s="581">
        <f t="shared" si="209"/>
        <v>-255.32025205358354</v>
      </c>
      <c r="Y448" s="584">
        <f t="shared" si="210"/>
        <v>-75.320252053583545</v>
      </c>
      <c r="AA448" s="147">
        <f t="shared" si="211"/>
        <v>47590.75</v>
      </c>
      <c r="AB448" s="147">
        <f t="shared" si="212"/>
        <v>2264879485.5625</v>
      </c>
      <c r="AD448" s="583">
        <f t="shared" si="213"/>
        <v>27.786886326098394</v>
      </c>
      <c r="AE448" s="584">
        <f t="shared" si="214"/>
        <v>-43.501540528542726</v>
      </c>
      <c r="AG448" s="583">
        <f t="shared" si="215"/>
        <v>13.935663379916702</v>
      </c>
      <c r="AH448" s="584">
        <f t="shared" si="216"/>
        <v>-25.409048023728801</v>
      </c>
      <c r="AJ448" s="147">
        <f t="shared" si="217"/>
        <v>0</v>
      </c>
      <c r="AK448" s="147">
        <f t="shared" si="229"/>
        <v>0</v>
      </c>
      <c r="AM448" s="147" t="str">
        <f t="shared" si="221"/>
        <v>1.98778489655456-0.155823612263029i</v>
      </c>
      <c r="AN448" s="147" t="str">
        <f t="shared" si="222"/>
        <v>3.29805384938414i</v>
      </c>
      <c r="AO448" s="147" t="str">
        <f t="shared" si="223"/>
        <v>-0.0472471400950978-0.602714505988357i</v>
      </c>
      <c r="AP448" s="147" t="str">
        <f t="shared" si="224"/>
        <v>-0.164630816092426+0.0259706020438382i</v>
      </c>
      <c r="AQ448" s="147" t="str">
        <f t="shared" si="225"/>
        <v>1.16463081609243-0.0259706020438382i</v>
      </c>
      <c r="AR448" s="147" t="str">
        <f t="shared" si="226"/>
        <v>0.71489262779163+0.0159416973034798i</v>
      </c>
    </row>
    <row r="449" spans="7:44">
      <c r="G449" s="585">
        <v>47863</v>
      </c>
      <c r="H449" s="573">
        <f t="shared" si="218"/>
        <v>47.863</v>
      </c>
      <c r="I449" s="574">
        <f t="shared" si="198"/>
        <v>416.65218394112247</v>
      </c>
      <c r="J449" s="575">
        <f t="shared" si="199"/>
        <v>1.5683962410672516</v>
      </c>
      <c r="K449" s="575">
        <f t="shared" si="200"/>
        <v>1.0049123810815992</v>
      </c>
      <c r="L449" s="576">
        <f t="shared" si="201"/>
        <v>9.8917697574483807E-2</v>
      </c>
      <c r="M449" s="575">
        <f t="shared" si="202"/>
        <v>1.2139922187414662</v>
      </c>
      <c r="N449" s="576">
        <f t="shared" si="203"/>
        <v>-0.6028403443861533</v>
      </c>
      <c r="O449" s="574">
        <f t="shared" si="204"/>
        <v>902196.29404225433</v>
      </c>
      <c r="P449" s="577">
        <f t="shared" si="205"/>
        <v>1.5707952183886589</v>
      </c>
      <c r="Q449" s="586">
        <f t="shared" si="227"/>
        <v>168.41294380689402</v>
      </c>
      <c r="R449" s="587">
        <f t="shared" si="228"/>
        <v>1.5648585060211162</v>
      </c>
      <c r="S449" s="574">
        <f t="shared" si="206"/>
        <v>1.3745653130949576</v>
      </c>
      <c r="T449" s="577">
        <f t="shared" si="207"/>
        <v>0.75612123339978021</v>
      </c>
      <c r="U449" s="578">
        <f t="shared" si="219"/>
        <v>0.42967390876412037</v>
      </c>
      <c r="V449" s="579">
        <f t="shared" si="220"/>
        <v>-1.633492165165582</v>
      </c>
      <c r="W449" s="580">
        <f t="shared" si="208"/>
        <v>-28.057556895489569</v>
      </c>
      <c r="X449" s="581">
        <f t="shared" si="209"/>
        <v>-255.99003734176947</v>
      </c>
      <c r="Y449" s="584">
        <f t="shared" si="210"/>
        <v>-75.990037341769465</v>
      </c>
      <c r="AA449" s="147">
        <f t="shared" si="211"/>
        <v>47863</v>
      </c>
      <c r="AB449" s="147">
        <f t="shared" si="212"/>
        <v>2290866769</v>
      </c>
      <c r="AD449" s="583">
        <f t="shared" si="213"/>
        <v>27.7636310636193</v>
      </c>
      <c r="AE449" s="584">
        <f t="shared" si="214"/>
        <v>-43.662704086768905</v>
      </c>
      <c r="AG449" s="583">
        <f t="shared" si="215"/>
        <v>13.955498061911007</v>
      </c>
      <c r="AH449" s="584">
        <f t="shared" si="216"/>
        <v>-25.142919177761964</v>
      </c>
      <c r="AJ449" s="147">
        <f t="shared" si="217"/>
        <v>0</v>
      </c>
      <c r="AK449" s="147">
        <f t="shared" si="229"/>
        <v>0</v>
      </c>
      <c r="AM449" s="147" t="str">
        <f t="shared" si="221"/>
        <v>1.98466934255356-0.174431321256071i</v>
      </c>
      <c r="AN449" s="147" t="str">
        <f t="shared" si="222"/>
        <v>3.31692085947528i</v>
      </c>
      <c r="AO449" s="147" t="str">
        <f t="shared" si="223"/>
        <v>-0.0525883277431181-0.598346908665021i</v>
      </c>
      <c r="AP449" s="147" t="str">
        <f t="shared" si="224"/>
        <v>-0.16411155709226+0.0290718868760118i</v>
      </c>
      <c r="AQ449" s="147" t="str">
        <f t="shared" si="225"/>
        <v>1.16411155709226-0.0290718868760118i</v>
      </c>
      <c r="AR449" s="147" t="str">
        <f t="shared" si="226"/>
        <v>0.715121157224736+0.0178590456033352i</v>
      </c>
    </row>
    <row r="450" spans="7:44">
      <c r="G450" s="585">
        <v>48141.75</v>
      </c>
      <c r="H450" s="573">
        <f t="shared" si="218"/>
        <v>48.141750000000002</v>
      </c>
      <c r="I450" s="574">
        <f t="shared" si="198"/>
        <v>419.07871652761321</v>
      </c>
      <c r="J450" s="575">
        <f t="shared" si="199"/>
        <v>1.5684101379727362</v>
      </c>
      <c r="K450" s="575">
        <f t="shared" si="200"/>
        <v>1.0049696243800581</v>
      </c>
      <c r="L450" s="576">
        <f t="shared" si="201"/>
        <v>9.9490002620720885E-2</v>
      </c>
      <c r="M450" s="575">
        <f t="shared" si="202"/>
        <v>1.2162695634862972</v>
      </c>
      <c r="N450" s="576">
        <f t="shared" si="203"/>
        <v>-0.6055552628262183</v>
      </c>
      <c r="O450" s="574">
        <f t="shared" si="204"/>
        <v>907450.6077493761</v>
      </c>
      <c r="P450" s="577">
        <f t="shared" si="205"/>
        <v>1.5707952248065444</v>
      </c>
      <c r="Q450" s="586">
        <f t="shared" si="227"/>
        <v>169.39373184191126</v>
      </c>
      <c r="R450" s="587">
        <f t="shared" si="228"/>
        <v>1.5648928863453306</v>
      </c>
      <c r="S450" s="574">
        <f t="shared" si="206"/>
        <v>1.3783395420238977</v>
      </c>
      <c r="T450" s="577">
        <f t="shared" si="207"/>
        <v>0.75902024404731516</v>
      </c>
      <c r="U450" s="578">
        <f t="shared" si="219"/>
        <v>0.42698996713524534</v>
      </c>
      <c r="V450" s="579">
        <f t="shared" si="220"/>
        <v>-1.6404202326180539</v>
      </c>
      <c r="W450" s="580">
        <f t="shared" si="208"/>
        <v>-28.16946697662295</v>
      </c>
      <c r="X450" s="581">
        <f t="shared" si="209"/>
        <v>-256.67467690149675</v>
      </c>
      <c r="Y450" s="584">
        <f t="shared" si="210"/>
        <v>-76.674676901496753</v>
      </c>
      <c r="AA450" s="147">
        <f t="shared" si="211"/>
        <v>48141.75</v>
      </c>
      <c r="AB450" s="147">
        <f t="shared" si="212"/>
        <v>2317628093.0625</v>
      </c>
      <c r="AD450" s="583">
        <f t="shared" si="213"/>
        <v>27.739812594138552</v>
      </c>
      <c r="AE450" s="584">
        <f t="shared" si="214"/>
        <v>-43.826835682065663</v>
      </c>
      <c r="AG450" s="583">
        <f t="shared" si="215"/>
        <v>13.976258931220034</v>
      </c>
      <c r="AH450" s="584">
        <f t="shared" si="216"/>
        <v>-24.869529090868074</v>
      </c>
      <c r="AJ450" s="147">
        <f t="shared" si="217"/>
        <v>0</v>
      </c>
      <c r="AK450" s="147">
        <f t="shared" si="229"/>
        <v>0</v>
      </c>
      <c r="AM450" s="147" t="str">
        <f t="shared" si="221"/>
        <v>1.98111626564459-0.193418906231074i</v>
      </c>
      <c r="AN450" s="147" t="str">
        <f t="shared" si="222"/>
        <v>3.33623832159798i</v>
      </c>
      <c r="AO450" s="147" t="str">
        <f t="shared" si="223"/>
        <v>-0.057975146733052-0.593817369946066i</v>
      </c>
      <c r="AP450" s="147" t="str">
        <f t="shared" si="224"/>
        <v>-0.163519377607431+0.0322364843718457i</v>
      </c>
      <c r="AQ450" s="147" t="str">
        <f t="shared" si="225"/>
        <v>1.16351937760743-0.0322364843718457i</v>
      </c>
      <c r="AR450" s="147" t="str">
        <f t="shared" si="226"/>
        <v>0.715382207069846+0.0198203895714442i</v>
      </c>
    </row>
    <row r="451" spans="7:44">
      <c r="G451" s="585">
        <v>48420.5</v>
      </c>
      <c r="H451" s="573">
        <f t="shared" si="218"/>
        <v>48.420499999999997</v>
      </c>
      <c r="I451" s="574">
        <f t="shared" si="198"/>
        <v>421.5052491941064</v>
      </c>
      <c r="J451" s="575">
        <f t="shared" si="199"/>
        <v>1.5684238748740711</v>
      </c>
      <c r="K451" s="575">
        <f t="shared" si="200"/>
        <v>1.0050271968017404</v>
      </c>
      <c r="L451" s="576">
        <f t="shared" si="201"/>
        <v>0.10006224228601762</v>
      </c>
      <c r="M451" s="575">
        <f t="shared" si="202"/>
        <v>1.2185558395420006</v>
      </c>
      <c r="N451" s="576">
        <f t="shared" si="203"/>
        <v>-0.60826001358407045</v>
      </c>
      <c r="O451" s="574">
        <f t="shared" si="204"/>
        <v>912704.92145649798</v>
      </c>
      <c r="P451" s="577">
        <f t="shared" si="205"/>
        <v>1.5707952311505362</v>
      </c>
      <c r="Q451" s="586">
        <f t="shared" si="227"/>
        <v>170.37452007484779</v>
      </c>
      <c r="R451" s="587">
        <f t="shared" si="228"/>
        <v>1.5649268708378909</v>
      </c>
      <c r="S451" s="574">
        <f t="shared" si="206"/>
        <v>1.3821252915584175</v>
      </c>
      <c r="T451" s="577">
        <f t="shared" si="207"/>
        <v>0.76190339758038361</v>
      </c>
      <c r="U451" s="578">
        <f t="shared" si="219"/>
        <v>0.42431634362327714</v>
      </c>
      <c r="V451" s="579">
        <f t="shared" si="220"/>
        <v>-1.6473546718189136</v>
      </c>
      <c r="W451" s="580">
        <f t="shared" si="208"/>
        <v>-28.281189039808844</v>
      </c>
      <c r="X451" s="581">
        <f t="shared" si="209"/>
        <v>-257.35820767823986</v>
      </c>
      <c r="Y451" s="584">
        <f t="shared" si="210"/>
        <v>-77.358207678239864</v>
      </c>
      <c r="AA451" s="147">
        <f t="shared" si="211"/>
        <v>48420.5</v>
      </c>
      <c r="AB451" s="147">
        <f t="shared" si="212"/>
        <v>2344544820.25</v>
      </c>
      <c r="AD451" s="583">
        <f t="shared" si="213"/>
        <v>27.715986881033274</v>
      </c>
      <c r="AE451" s="584">
        <f t="shared" si="214"/>
        <v>-43.990081406876605</v>
      </c>
      <c r="AG451" s="583">
        <f t="shared" si="215"/>
        <v>13.997479005241804</v>
      </c>
      <c r="AH451" s="584">
        <f t="shared" si="216"/>
        <v>-24.595185942893593</v>
      </c>
      <c r="AJ451" s="147">
        <f t="shared" si="217"/>
        <v>0</v>
      </c>
      <c r="AK451" s="147">
        <f t="shared" si="229"/>
        <v>0</v>
      </c>
      <c r="AM451" s="147" t="str">
        <f t="shared" si="221"/>
        <v>1.9771970825141-0.2123343164115i</v>
      </c>
      <c r="AN451" s="147" t="str">
        <f t="shared" si="222"/>
        <v>3.35555578372068i</v>
      </c>
      <c r="AO451" s="147" t="str">
        <f t="shared" si="223"/>
        <v>-0.0632784343629839-0.589230878564552i</v>
      </c>
      <c r="AP451" s="147" t="str">
        <f t="shared" si="224"/>
        <v>-0.162866180419016+0.03538905273525i</v>
      </c>
      <c r="AQ451" s="147" t="str">
        <f t="shared" si="225"/>
        <v>1.16286618041902-0.03538905273525i</v>
      </c>
      <c r="AR451" s="147" t="str">
        <f t="shared" si="226"/>
        <v>0.715670685170974+0.0217797267175334i</v>
      </c>
    </row>
    <row r="452" spans="7:44">
      <c r="G452" s="585">
        <v>48699.25</v>
      </c>
      <c r="H452" s="573">
        <f t="shared" si="218"/>
        <v>48.699249999999999</v>
      </c>
      <c r="I452" s="574">
        <f t="shared" si="198"/>
        <v>423.93178193922796</v>
      </c>
      <c r="J452" s="575">
        <f t="shared" si="199"/>
        <v>1.568437454518782</v>
      </c>
      <c r="K452" s="575">
        <f t="shared" si="200"/>
        <v>1.0050850982900883</v>
      </c>
      <c r="L452" s="576">
        <f t="shared" si="201"/>
        <v>0.10063441620687247</v>
      </c>
      <c r="M452" s="575">
        <f t="shared" si="202"/>
        <v>1.2208509967318348</v>
      </c>
      <c r="N452" s="576">
        <f t="shared" si="203"/>
        <v>-0.61095461431941855</v>
      </c>
      <c r="O452" s="574">
        <f t="shared" si="204"/>
        <v>917959.23516361974</v>
      </c>
      <c r="P452" s="577">
        <f t="shared" si="205"/>
        <v>1.570795237421903</v>
      </c>
      <c r="Q452" s="586">
        <f t="shared" si="227"/>
        <v>171.35530850230509</v>
      </c>
      <c r="R452" s="587">
        <f t="shared" si="228"/>
        <v>1.5649604662955974</v>
      </c>
      <c r="S452" s="574">
        <f t="shared" si="206"/>
        <v>1.3859224672903661</v>
      </c>
      <c r="T452" s="577">
        <f t="shared" si="207"/>
        <v>0.76477077620657852</v>
      </c>
      <c r="U452" s="578">
        <f t="shared" si="219"/>
        <v>0.42165279294885155</v>
      </c>
      <c r="V452" s="579">
        <f t="shared" si="220"/>
        <v>-1.654296119402503</v>
      </c>
      <c r="W452" s="580">
        <f t="shared" si="208"/>
        <v>-28.392731591216954</v>
      </c>
      <c r="X452" s="581">
        <f t="shared" si="209"/>
        <v>-258.04067165932815</v>
      </c>
      <c r="Y452" s="584">
        <f t="shared" si="210"/>
        <v>-78.040671659328154</v>
      </c>
      <c r="AA452" s="147">
        <f t="shared" si="211"/>
        <v>48699.25</v>
      </c>
      <c r="AB452" s="147">
        <f t="shared" si="212"/>
        <v>2371616950.5625</v>
      </c>
      <c r="AD452" s="583">
        <f t="shared" si="213"/>
        <v>27.69215475339027</v>
      </c>
      <c r="AE452" s="584">
        <f t="shared" si="214"/>
        <v>-44.15244558199457</v>
      </c>
      <c r="AG452" s="583">
        <f t="shared" si="215"/>
        <v>14.019159728987303</v>
      </c>
      <c r="AH452" s="584">
        <f t="shared" si="216"/>
        <v>-24.31985444745311</v>
      </c>
      <c r="AJ452" s="147">
        <f t="shared" si="217"/>
        <v>0</v>
      </c>
      <c r="AK452" s="147">
        <f t="shared" si="229"/>
        <v>0</v>
      </c>
      <c r="AM452" s="147" t="str">
        <f t="shared" si="221"/>
        <v>1.97291325561601-0.231170493460236i</v>
      </c>
      <c r="AN452" s="147" t="str">
        <f t="shared" si="222"/>
        <v>3.37487324584338i</v>
      </c>
      <c r="AO452" s="147" t="str">
        <f t="shared" si="223"/>
        <v>-0.0684975335725436-0.584588845831743i</v>
      </c>
      <c r="AP452" s="147" t="str">
        <f t="shared" si="224"/>
        <v>-0.162152209269336+0.038528415576706i</v>
      </c>
      <c r="AQ452" s="147" t="str">
        <f t="shared" si="225"/>
        <v>1.16215220926934-0.038528415576706i</v>
      </c>
      <c r="AR452" s="147" t="str">
        <f t="shared" si="226"/>
        <v>0.715986641166289+0.0237368484422262i</v>
      </c>
    </row>
    <row r="453" spans="7:44">
      <c r="G453" s="585">
        <v>48978</v>
      </c>
      <c r="H453" s="573">
        <f t="shared" si="218"/>
        <v>48.978000000000002</v>
      </c>
      <c r="I453" s="574">
        <f t="shared" si="198"/>
        <v>426.35831476163565</v>
      </c>
      <c r="J453" s="575">
        <f t="shared" si="199"/>
        <v>1.5684508795918477</v>
      </c>
      <c r="K453" s="575">
        <f t="shared" si="200"/>
        <v>1.0051433287882341</v>
      </c>
      <c r="L453" s="576">
        <f t="shared" si="201"/>
        <v>0.10120652402003959</v>
      </c>
      <c r="M453" s="575">
        <f t="shared" si="202"/>
        <v>1.2231549850614851</v>
      </c>
      <c r="N453" s="576">
        <f t="shared" si="203"/>
        <v>-0.61363908314926363</v>
      </c>
      <c r="O453" s="574">
        <f t="shared" si="204"/>
        <v>923213.54887074162</v>
      </c>
      <c r="P453" s="577">
        <f t="shared" si="205"/>
        <v>1.5707952436218851</v>
      </c>
      <c r="Q453" s="586">
        <f t="shared" si="227"/>
        <v>172.33609712096202</v>
      </c>
      <c r="R453" s="587">
        <f t="shared" si="228"/>
        <v>1.5649936793605268</v>
      </c>
      <c r="S453" s="574">
        <f t="shared" si="206"/>
        <v>1.3897309755600091</v>
      </c>
      <c r="T453" s="577">
        <f t="shared" si="207"/>
        <v>0.76762246227399322</v>
      </c>
      <c r="U453" s="578">
        <f t="shared" si="219"/>
        <v>0.41899906893468103</v>
      </c>
      <c r="V453" s="579">
        <f t="shared" si="220"/>
        <v>-1.6612452132069291</v>
      </c>
      <c r="W453" s="580">
        <f t="shared" si="208"/>
        <v>-28.504103231347507</v>
      </c>
      <c r="X453" s="581">
        <f t="shared" si="209"/>
        <v>-258.72211094057764</v>
      </c>
      <c r="Y453" s="584">
        <f t="shared" si="210"/>
        <v>-78.722110940577636</v>
      </c>
      <c r="AA453" s="147">
        <f t="shared" si="211"/>
        <v>48978</v>
      </c>
      <c r="AB453" s="147">
        <f t="shared" si="212"/>
        <v>2398844484</v>
      </c>
      <c r="AD453" s="583">
        <f t="shared" si="213"/>
        <v>27.668317027376069</v>
      </c>
      <c r="AE453" s="584">
        <f t="shared" si="214"/>
        <v>-44.31393254512588</v>
      </c>
      <c r="AG453" s="583">
        <f t="shared" si="215"/>
        <v>14.041302752624325</v>
      </c>
      <c r="AH453" s="584">
        <f t="shared" si="216"/>
        <v>-24.043499271793134</v>
      </c>
      <c r="AJ453" s="147">
        <f t="shared" si="217"/>
        <v>0</v>
      </c>
      <c r="AK453" s="147">
        <f t="shared" si="229"/>
        <v>0</v>
      </c>
      <c r="AM453" s="147" t="str">
        <f t="shared" si="221"/>
        <v>1.96826638347208-0.24992040860623i</v>
      </c>
      <c r="AN453" s="147" t="str">
        <f t="shared" si="222"/>
        <v>3.39419070796608i</v>
      </c>
      <c r="AO453" s="147" t="str">
        <f t="shared" si="223"/>
        <v>-0.0736318109703362-0.579892691018395i</v>
      </c>
      <c r="AP453" s="147" t="str">
        <f t="shared" si="224"/>
        <v>-0.16137773057868+0.0416534014343717i</v>
      </c>
      <c r="AQ453" s="147" t="str">
        <f t="shared" si="225"/>
        <v>1.16137773057868-0.0416534014343717i</v>
      </c>
      <c r="AR453" s="147" t="str">
        <f t="shared" si="226"/>
        <v>0.716330129227203+0.0256915434544873i</v>
      </c>
    </row>
    <row r="454" spans="7:44">
      <c r="G454" s="585">
        <v>49263.25</v>
      </c>
      <c r="H454" s="573">
        <f t="shared" si="218"/>
        <v>49.263249999999999</v>
      </c>
      <c r="I454" s="574">
        <f t="shared" si="198"/>
        <v>428.84143049083076</v>
      </c>
      <c r="J454" s="575">
        <f t="shared" si="199"/>
        <v>1.5684644604331908</v>
      </c>
      <c r="K454" s="575">
        <f t="shared" si="200"/>
        <v>1.0052032576751497</v>
      </c>
      <c r="L454" s="576">
        <f t="shared" si="201"/>
        <v>0.10179190364717687</v>
      </c>
      <c r="M454" s="575">
        <f t="shared" si="202"/>
        <v>1.2255217891467576</v>
      </c>
      <c r="N454" s="576">
        <f t="shared" si="203"/>
        <v>-0.6163756797805402</v>
      </c>
      <c r="O454" s="574">
        <f t="shared" si="204"/>
        <v>928590.38469121349</v>
      </c>
      <c r="P454" s="577">
        <f t="shared" si="205"/>
        <v>1.5707952498938038</v>
      </c>
      <c r="Q454" s="586">
        <f t="shared" si="227"/>
        <v>173.33975634142345</v>
      </c>
      <c r="R454" s="587">
        <f t="shared" si="228"/>
        <v>1.5650272778005068</v>
      </c>
      <c r="S454" s="574">
        <f t="shared" si="206"/>
        <v>1.3936399271655098</v>
      </c>
      <c r="T454" s="577">
        <f t="shared" si="207"/>
        <v>0.77052448538545459</v>
      </c>
      <c r="U454" s="578">
        <f t="shared" si="219"/>
        <v>0.41629337963169727</v>
      </c>
      <c r="V454" s="579">
        <f t="shared" si="220"/>
        <v>-1.6683649312341318</v>
      </c>
      <c r="W454" s="580">
        <f t="shared" si="208"/>
        <v>-28.617904019008279</v>
      </c>
      <c r="X454" s="581">
        <f t="shared" si="209"/>
        <v>-259.4184235025819</v>
      </c>
      <c r="Y454" s="584">
        <f t="shared" si="210"/>
        <v>-79.418423502581902</v>
      </c>
      <c r="AA454" s="147">
        <f t="shared" si="211"/>
        <v>49263.25</v>
      </c>
      <c r="AB454" s="147">
        <f t="shared" si="212"/>
        <v>2426867800.5625</v>
      </c>
      <c r="AD454" s="583">
        <f t="shared" si="213"/>
        <v>27.643918486442587</v>
      </c>
      <c r="AE454" s="584">
        <f t="shared" si="214"/>
        <v>-44.478281532195226</v>
      </c>
      <c r="AG454" s="583">
        <f t="shared" si="215"/>
        <v>14.064442650470614</v>
      </c>
      <c r="AH454" s="584">
        <f t="shared" si="216"/>
        <v>-23.759603257231969</v>
      </c>
      <c r="AJ454" s="147">
        <f t="shared" si="217"/>
        <v>0</v>
      </c>
      <c r="AK454" s="147">
        <f t="shared" si="229"/>
        <v>0</v>
      </c>
      <c r="AM454" s="147" t="str">
        <f t="shared" si="221"/>
        <v>1.96313712126883-0.269010939617674i</v>
      </c>
      <c r="AN454" s="147" t="str">
        <f t="shared" si="222"/>
        <v>3.41395862212034i</v>
      </c>
      <c r="AO454" s="147" t="str">
        <f t="shared" si="223"/>
        <v>-0.0787973638211809-0.575032488252469i</v>
      </c>
      <c r="AP454" s="147" t="str">
        <f t="shared" si="224"/>
        <v>-0.160522853544806+0.0448351566029457i</v>
      </c>
      <c r="AQ454" s="147" t="str">
        <f t="shared" si="225"/>
        <v>1.16052285354481-0.0448351566029457i</v>
      </c>
      <c r="AR454" s="147" t="str">
        <f t="shared" si="226"/>
        <v>0.716710190657648+0.0276890830188395i</v>
      </c>
    </row>
    <row r="455" spans="7:44">
      <c r="G455" s="585">
        <v>49548.5</v>
      </c>
      <c r="H455" s="573">
        <f t="shared" si="218"/>
        <v>49.548499999999997</v>
      </c>
      <c r="I455" s="574">
        <f t="shared" si="198"/>
        <v>431.32454629821041</v>
      </c>
      <c r="J455" s="575">
        <f t="shared" si="199"/>
        <v>1.5684778849059637</v>
      </c>
      <c r="K455" s="575">
        <f t="shared" si="200"/>
        <v>1.0052635309732323</v>
      </c>
      <c r="L455" s="576">
        <f t="shared" si="201"/>
        <v>0.10237721327881934</v>
      </c>
      <c r="M455" s="575">
        <f t="shared" si="202"/>
        <v>1.2278977356958456</v>
      </c>
      <c r="N455" s="576">
        <f t="shared" si="203"/>
        <v>-0.61910170629083361</v>
      </c>
      <c r="O455" s="574">
        <f t="shared" si="204"/>
        <v>933967.22051168547</v>
      </c>
      <c r="P455" s="577">
        <f t="shared" si="205"/>
        <v>1.5707952560935079</v>
      </c>
      <c r="Q455" s="586">
        <f t="shared" si="227"/>
        <v>174.34341575530743</v>
      </c>
      <c r="R455" s="587">
        <f t="shared" si="228"/>
        <v>1.5650604894018192</v>
      </c>
      <c r="S455" s="574">
        <f t="shared" si="206"/>
        <v>1.3975605499284349</v>
      </c>
      <c r="T455" s="577">
        <f t="shared" si="207"/>
        <v>0.77341025040418321</v>
      </c>
      <c r="U455" s="578">
        <f t="shared" si="219"/>
        <v>0.41359745615778643</v>
      </c>
      <c r="V455" s="579">
        <f t="shared" si="220"/>
        <v>-1.6754940119831252</v>
      </c>
      <c r="W455" s="580">
        <f t="shared" si="208"/>
        <v>-28.731544375796254</v>
      </c>
      <c r="X455" s="581">
        <f t="shared" si="209"/>
        <v>-260.11375257688343</v>
      </c>
      <c r="Y455" s="584">
        <f t="shared" si="210"/>
        <v>-80.113752576883428</v>
      </c>
      <c r="AA455" s="147">
        <f t="shared" si="211"/>
        <v>49548.5</v>
      </c>
      <c r="AB455" s="147">
        <f t="shared" si="212"/>
        <v>2455053852.25</v>
      </c>
      <c r="AD455" s="583">
        <f t="shared" si="213"/>
        <v>27.619515771395623</v>
      </c>
      <c r="AE455" s="584">
        <f t="shared" si="214"/>
        <v>-44.641721159252427</v>
      </c>
      <c r="AG455" s="583">
        <f t="shared" si="215"/>
        <v>14.088070822538478</v>
      </c>
      <c r="AH455" s="584">
        <f t="shared" si="216"/>
        <v>-23.474560226092169</v>
      </c>
      <c r="AJ455" s="147">
        <f t="shared" si="217"/>
        <v>0</v>
      </c>
      <c r="AK455" s="147">
        <f t="shared" si="229"/>
        <v>0</v>
      </c>
      <c r="AM455" s="147" t="str">
        <f t="shared" si="221"/>
        <v>1.95763150581444-0.28799635253172i</v>
      </c>
      <c r="AN455" s="147" t="str">
        <f t="shared" si="222"/>
        <v>3.4337265362746i</v>
      </c>
      <c r="AO455" s="147" t="str">
        <f t="shared" si="223"/>
        <v>-0.0838728272299109-0.570118640821747i</v>
      </c>
      <c r="AP455" s="147" t="str">
        <f t="shared" si="224"/>
        <v>-0.159605250969073+0.04799939208862i</v>
      </c>
      <c r="AQ455" s="147" t="str">
        <f t="shared" si="225"/>
        <v>1.15960525096907-0.04799939208862i</v>
      </c>
      <c r="AR455" s="147" t="str">
        <f t="shared" si="226"/>
        <v>0.717119212248051+0.0296836239868791i</v>
      </c>
    </row>
    <row r="456" spans="7:44">
      <c r="G456" s="585">
        <v>49833.75</v>
      </c>
      <c r="H456" s="573">
        <f t="shared" si="218"/>
        <v>49.833750000000002</v>
      </c>
      <c r="I456" s="574">
        <f t="shared" si="198"/>
        <v>433.8076621824319</v>
      </c>
      <c r="J456" s="575">
        <f t="shared" si="199"/>
        <v>1.5684911556953238</v>
      </c>
      <c r="K456" s="575">
        <f t="shared" si="200"/>
        <v>1.0053241486205349</v>
      </c>
      <c r="L456" s="576">
        <f t="shared" si="201"/>
        <v>0.10296245252655341</v>
      </c>
      <c r="M456" s="575">
        <f t="shared" si="202"/>
        <v>1.2302827717404261</v>
      </c>
      <c r="N456" s="576">
        <f t="shared" si="203"/>
        <v>-0.62181718352170423</v>
      </c>
      <c r="O456" s="574">
        <f t="shared" si="204"/>
        <v>939344.05633215734</v>
      </c>
      <c r="P456" s="577">
        <f t="shared" si="205"/>
        <v>1.5707952622222374</v>
      </c>
      <c r="Q456" s="586">
        <f t="shared" si="227"/>
        <v>175.34707535929257</v>
      </c>
      <c r="R456" s="587">
        <f t="shared" si="228"/>
        <v>1.5650933208070044</v>
      </c>
      <c r="S456" s="574">
        <f t="shared" si="206"/>
        <v>1.4014927458999284</v>
      </c>
      <c r="T456" s="577">
        <f t="shared" si="207"/>
        <v>0.77627984591219101</v>
      </c>
      <c r="U456" s="578">
        <f t="shared" si="219"/>
        <v>0.41091103181027538</v>
      </c>
      <c r="V456" s="579">
        <f t="shared" si="220"/>
        <v>-1.6826331435577078</v>
      </c>
      <c r="W456" s="580">
        <f t="shared" si="208"/>
        <v>-28.845033854061253</v>
      </c>
      <c r="X456" s="581">
        <f t="shared" si="209"/>
        <v>-260.80814365401864</v>
      </c>
      <c r="Y456" s="584">
        <f t="shared" si="210"/>
        <v>-80.808143654018636</v>
      </c>
      <c r="AA456" s="147">
        <f t="shared" si="211"/>
        <v>49833.75</v>
      </c>
      <c r="AB456" s="147">
        <f t="shared" si="212"/>
        <v>2483402639.0625</v>
      </c>
      <c r="AD456" s="583">
        <f t="shared" si="213"/>
        <v>27.595109715658047</v>
      </c>
      <c r="AE456" s="584">
        <f t="shared" si="214"/>
        <v>-44.804256121154438</v>
      </c>
      <c r="AG456" s="583">
        <f t="shared" si="215"/>
        <v>14.112189717830006</v>
      </c>
      <c r="AH456" s="584">
        <f t="shared" si="216"/>
        <v>-23.188332123166262</v>
      </c>
      <c r="AJ456" s="147">
        <f t="shared" si="217"/>
        <v>0</v>
      </c>
      <c r="AK456" s="147">
        <f t="shared" si="229"/>
        <v>0</v>
      </c>
      <c r="AM456" s="147" t="str">
        <f t="shared" si="221"/>
        <v>1.95175168847055-0.306869228651979i</v>
      </c>
      <c r="AN456" s="147" t="str">
        <f t="shared" si="222"/>
        <v>3.45349445042885i</v>
      </c>
      <c r="AO456" s="147" t="str">
        <f t="shared" si="223"/>
        <v>-0.0888576000502542-0.565152692869735i</v>
      </c>
      <c r="AP456" s="147" t="str">
        <f t="shared" si="224"/>
        <v>-0.158625281411758+0.0511448714419965i</v>
      </c>
      <c r="AQ456" s="147" t="str">
        <f t="shared" si="225"/>
        <v>1.15862528141176-0.0511448714419965i</v>
      </c>
      <c r="AR456" s="147" t="str">
        <f t="shared" si="226"/>
        <v>0.717557266477025+0.0316749295350439i</v>
      </c>
    </row>
    <row r="457" spans="7:44">
      <c r="G457" s="585">
        <v>50119</v>
      </c>
      <c r="H457" s="573">
        <f t="shared" si="218"/>
        <v>50.119</v>
      </c>
      <c r="I457" s="574">
        <f t="shared" si="198"/>
        <v>436.29077814218329</v>
      </c>
      <c r="J457" s="575">
        <f t="shared" si="199"/>
        <v>1.5685042754252987</v>
      </c>
      <c r="K457" s="575">
        <f t="shared" si="200"/>
        <v>1.0053851105547718</v>
      </c>
      <c r="L457" s="576">
        <f t="shared" si="201"/>
        <v>0.10354762100225173</v>
      </c>
      <c r="M457" s="575">
        <f t="shared" si="202"/>
        <v>1.2326768445202629</v>
      </c>
      <c r="N457" s="576">
        <f t="shared" si="203"/>
        <v>-0.62452213277602775</v>
      </c>
      <c r="O457" s="574">
        <f t="shared" si="204"/>
        <v>944720.89215262933</v>
      </c>
      <c r="P457" s="577">
        <f t="shared" si="205"/>
        <v>1.5707952682812041</v>
      </c>
      <c r="Q457" s="586">
        <f t="shared" si="227"/>
        <v>176.35073515013318</v>
      </c>
      <c r="R457" s="587">
        <f t="shared" si="228"/>
        <v>1.5651257785073882</v>
      </c>
      <c r="S457" s="574">
        <f t="shared" si="206"/>
        <v>1.4054364179397951</v>
      </c>
      <c r="T457" s="577">
        <f t="shared" si="207"/>
        <v>0.77913336056681137</v>
      </c>
      <c r="U457" s="578">
        <f t="shared" si="219"/>
        <v>0.40823383890977544</v>
      </c>
      <c r="V457" s="579">
        <f t="shared" si="220"/>
        <v>-1.6897830158380658</v>
      </c>
      <c r="W457" s="580">
        <f t="shared" si="208"/>
        <v>-28.95838212978337</v>
      </c>
      <c r="X457" s="581">
        <f t="shared" si="209"/>
        <v>-261.50164236219427</v>
      </c>
      <c r="Y457" s="584">
        <f t="shared" si="210"/>
        <v>-81.501642362194275</v>
      </c>
      <c r="AA457" s="147">
        <f t="shared" si="211"/>
        <v>50119</v>
      </c>
      <c r="AB457" s="147">
        <f t="shared" si="212"/>
        <v>2511914161</v>
      </c>
      <c r="AD457" s="583">
        <f t="shared" si="213"/>
        <v>27.570701139053742</v>
      </c>
      <c r="AE457" s="584">
        <f t="shared" si="214"/>
        <v>-44.965891125736157</v>
      </c>
      <c r="AG457" s="583">
        <f t="shared" si="215"/>
        <v>14.136802020081049</v>
      </c>
      <c r="AH457" s="584">
        <f t="shared" si="216"/>
        <v>-22.900880814379803</v>
      </c>
      <c r="AJ457" s="147">
        <f t="shared" si="217"/>
        <v>0</v>
      </c>
      <c r="AK457" s="147">
        <f t="shared" si="229"/>
        <v>0</v>
      </c>
      <c r="AM457" s="147" t="str">
        <f t="shared" si="221"/>
        <v>1.94549996682109-0.32562219325671i</v>
      </c>
      <c r="AN457" s="147" t="str">
        <f t="shared" si="222"/>
        <v>3.47326236458311i</v>
      </c>
      <c r="AO457" s="147" t="str">
        <f t="shared" si="223"/>
        <v>-0.09375110748243-0.560136195485654i</v>
      </c>
      <c r="AP457" s="147" t="str">
        <f t="shared" si="224"/>
        <v>-0.157583327803516+0.054270365542785i</v>
      </c>
      <c r="AQ457" s="147" t="str">
        <f t="shared" si="225"/>
        <v>1.15758332780352-0.054270365542785i</v>
      </c>
      <c r="AR457" s="147" t="str">
        <f t="shared" si="226"/>
        <v>0.718024430564077+0.0336627587659733i</v>
      </c>
    </row>
    <row r="458" spans="7:44">
      <c r="G458" s="585">
        <v>50410.75</v>
      </c>
      <c r="H458" s="573">
        <f t="shared" si="218"/>
        <v>50.41075</v>
      </c>
      <c r="I458" s="574">
        <f t="shared" si="198"/>
        <v>438.83047701392098</v>
      </c>
      <c r="J458" s="575">
        <f t="shared" si="199"/>
        <v>1.5685175405258047</v>
      </c>
      <c r="K458" s="575">
        <f t="shared" si="200"/>
        <v>1.0054478177093267</v>
      </c>
      <c r="L458" s="576">
        <f t="shared" si="201"/>
        <v>0.10414605011525106</v>
      </c>
      <c r="M458" s="575">
        <f t="shared" si="202"/>
        <v>1.2351347642959343</v>
      </c>
      <c r="N458" s="576">
        <f t="shared" si="203"/>
        <v>-0.62727785190245811</v>
      </c>
      <c r="O458" s="574">
        <f t="shared" si="204"/>
        <v>950220.2500864513</v>
      </c>
      <c r="P458" s="577">
        <f t="shared" si="205"/>
        <v>1.5707952744073055</v>
      </c>
      <c r="Q458" s="586">
        <f t="shared" si="227"/>
        <v>177.37726555564024</v>
      </c>
      <c r="R458" s="587">
        <f t="shared" si="228"/>
        <v>1.5651585958589613</v>
      </c>
      <c r="S458" s="574">
        <f t="shared" si="206"/>
        <v>1.409481725449762</v>
      </c>
      <c r="T458" s="577">
        <f t="shared" si="207"/>
        <v>0.7820353561283595</v>
      </c>
      <c r="U458" s="578">
        <f t="shared" si="219"/>
        <v>0.40550491008888256</v>
      </c>
      <c r="V458" s="579">
        <f t="shared" si="220"/>
        <v>-1.6971076441223254</v>
      </c>
      <c r="W458" s="580">
        <f t="shared" si="208"/>
        <v>-29.074177430925353</v>
      </c>
      <c r="X458" s="581">
        <f t="shared" si="209"/>
        <v>-262.21006845052534</v>
      </c>
      <c r="Y458" s="584">
        <f t="shared" si="210"/>
        <v>-82.210068450525341</v>
      </c>
      <c r="AA458" s="147">
        <f t="shared" si="211"/>
        <v>50410.75</v>
      </c>
      <c r="AB458" s="147">
        <f t="shared" si="212"/>
        <v>2541243715.5625</v>
      </c>
      <c r="AD458" s="583">
        <f t="shared" si="213"/>
        <v>27.545734596220683</v>
      </c>
      <c r="AE458" s="584">
        <f t="shared" si="214"/>
        <v>-45.130283279026209</v>
      </c>
      <c r="AG458" s="583">
        <f t="shared" si="215"/>
        <v>14.162488610005564</v>
      </c>
      <c r="AH458" s="584">
        <f t="shared" si="216"/>
        <v>-22.605574174081273</v>
      </c>
      <c r="AJ458" s="147">
        <f t="shared" si="217"/>
        <v>0</v>
      </c>
      <c r="AK458" s="147">
        <f t="shared" si="229"/>
        <v>0</v>
      </c>
      <c r="AM458" s="147" t="str">
        <f t="shared" si="221"/>
        <v>1.93872362135293-0.344670803396567i</v>
      </c>
      <c r="AN458" s="147" t="str">
        <f t="shared" si="222"/>
        <v>3.49348073076893i</v>
      </c>
      <c r="AO458" s="147" t="str">
        <f t="shared" si="223"/>
        <v>-0.0986611434151817-0.554954720167072i</v>
      </c>
      <c r="AP458" s="147" t="str">
        <f t="shared" si="224"/>
        <v>-0.156453936892156+0.0574451338994278i</v>
      </c>
      <c r="AQ458" s="147" t="str">
        <f t="shared" si="225"/>
        <v>1.15645393689216-0.0574451338994278i</v>
      </c>
      <c r="AR458" s="147" t="str">
        <f t="shared" si="226"/>
        <v>0.718532437718529+0.0356920330149494i</v>
      </c>
    </row>
    <row r="459" spans="7:44">
      <c r="G459" s="585">
        <v>50702.5</v>
      </c>
      <c r="H459" s="573">
        <f t="shared" si="218"/>
        <v>50.702500000000001</v>
      </c>
      <c r="I459" s="574">
        <f t="shared" si="198"/>
        <v>441.37017596198791</v>
      </c>
      <c r="J459" s="575">
        <f t="shared" si="199"/>
        <v>1.5685306529682335</v>
      </c>
      <c r="K459" s="575">
        <f t="shared" si="200"/>
        <v>1.0055108848872578</v>
      </c>
      <c r="L459" s="576">
        <f t="shared" si="201"/>
        <v>0.10474440437373379</v>
      </c>
      <c r="M459" s="575">
        <f t="shared" si="202"/>
        <v>1.2376020263722065</v>
      </c>
      <c r="N459" s="576">
        <f t="shared" si="203"/>
        <v>-0.6300226042950815</v>
      </c>
      <c r="O459" s="574">
        <f t="shared" si="204"/>
        <v>955719.60802027327</v>
      </c>
      <c r="P459" s="577">
        <f t="shared" si="205"/>
        <v>1.570795280462906</v>
      </c>
      <c r="Q459" s="586">
        <f t="shared" si="227"/>
        <v>178.40379614998045</v>
      </c>
      <c r="R459" s="587">
        <f t="shared" si="228"/>
        <v>1.5651910355502707</v>
      </c>
      <c r="S459" s="574">
        <f t="shared" si="206"/>
        <v>1.4135388350220512</v>
      </c>
      <c r="T459" s="577">
        <f t="shared" si="207"/>
        <v>0.78492071737943248</v>
      </c>
      <c r="U459" s="578">
        <f t="shared" si="219"/>
        <v>0.40278506866716829</v>
      </c>
      <c r="V459" s="579">
        <f t="shared" si="220"/>
        <v>-1.7044449741564955</v>
      </c>
      <c r="W459" s="580">
        <f t="shared" si="208"/>
        <v>-29.189845915050885</v>
      </c>
      <c r="X459" s="581">
        <f t="shared" si="209"/>
        <v>-262.9176580486544</v>
      </c>
      <c r="Y459" s="584">
        <f t="shared" si="210"/>
        <v>-82.917658048654403</v>
      </c>
      <c r="AA459" s="147">
        <f t="shared" si="211"/>
        <v>50702.5</v>
      </c>
      <c r="AB459" s="147">
        <f t="shared" si="212"/>
        <v>2570743506.25</v>
      </c>
      <c r="AD459" s="583">
        <f t="shared" si="213"/>
        <v>27.520767108170482</v>
      </c>
      <c r="AE459" s="584">
        <f t="shared" si="214"/>
        <v>-45.293743990829682</v>
      </c>
      <c r="AG459" s="583">
        <f t="shared" si="215"/>
        <v>14.188697793234862</v>
      </c>
      <c r="AH459" s="584">
        <f t="shared" si="216"/>
        <v>-22.308906971741038</v>
      </c>
      <c r="AJ459" s="147">
        <f t="shared" si="217"/>
        <v>0</v>
      </c>
      <c r="AK459" s="147">
        <f t="shared" si="229"/>
        <v>0</v>
      </c>
      <c r="AM459" s="147" t="str">
        <f t="shared" si="221"/>
        <v>1.93156355532624-0.363578523001468i</v>
      </c>
      <c r="AN459" s="147" t="str">
        <f t="shared" si="222"/>
        <v>3.51369909695475i</v>
      </c>
      <c r="AO459" s="147" t="str">
        <f t="shared" si="223"/>
        <v>-0.103474575644959-0.549723667857696i</v>
      </c>
      <c r="AP459" s="147" t="str">
        <f t="shared" si="224"/>
        <v>-0.155260592554374+0.0605964205002447i</v>
      </c>
      <c r="AQ459" s="147" t="str">
        <f t="shared" si="225"/>
        <v>1.15526059255437-0.0605964205002447i</v>
      </c>
      <c r="AR459" s="147" t="str">
        <f t="shared" si="226"/>
        <v>0.719071074763579+0.0377171466738887i</v>
      </c>
    </row>
    <row r="460" spans="7:44">
      <c r="G460" s="585">
        <v>50994.25</v>
      </c>
      <c r="H460" s="573">
        <f t="shared" si="218"/>
        <v>50.994250000000001</v>
      </c>
      <c r="I460" s="574">
        <f t="shared" si="198"/>
        <v>443.909874985074</v>
      </c>
      <c r="J460" s="575">
        <f t="shared" si="199"/>
        <v>1.5685436153727439</v>
      </c>
      <c r="K460" s="575">
        <f t="shared" si="200"/>
        <v>1.0055743120208258</v>
      </c>
      <c r="L460" s="576">
        <f t="shared" si="201"/>
        <v>0.10534268336336958</v>
      </c>
      <c r="M460" s="575">
        <f t="shared" si="202"/>
        <v>1.2400785749867174</v>
      </c>
      <c r="N460" s="576">
        <f t="shared" si="203"/>
        <v>-0.63275641417940853</v>
      </c>
      <c r="O460" s="574">
        <f t="shared" si="204"/>
        <v>961218.96595409524</v>
      </c>
      <c r="P460" s="577">
        <f t="shared" si="205"/>
        <v>1.5707952864492154</v>
      </c>
      <c r="Q460" s="586">
        <f t="shared" si="227"/>
        <v>179.43032692991281</v>
      </c>
      <c r="R460" s="587">
        <f t="shared" si="228"/>
        <v>1.5652231040630933</v>
      </c>
      <c r="S460" s="574">
        <f t="shared" si="206"/>
        <v>1.4176076453262449</v>
      </c>
      <c r="T460" s="577">
        <f t="shared" si="207"/>
        <v>0.78778953930178097</v>
      </c>
      <c r="U460" s="578">
        <f t="shared" si="219"/>
        <v>0.40007402505291151</v>
      </c>
      <c r="V460" s="579">
        <f t="shared" si="220"/>
        <v>-1.7117957505550752</v>
      </c>
      <c r="W460" s="580">
        <f t="shared" si="208"/>
        <v>-29.305398372405904</v>
      </c>
      <c r="X460" s="581">
        <f t="shared" si="209"/>
        <v>-263.62446045247685</v>
      </c>
      <c r="Y460" s="584">
        <f t="shared" si="210"/>
        <v>-83.624460452476853</v>
      </c>
      <c r="AA460" s="147">
        <f t="shared" si="211"/>
        <v>50994.25</v>
      </c>
      <c r="AB460" s="147">
        <f t="shared" si="212"/>
        <v>2600413533.0625</v>
      </c>
      <c r="AD460" s="583">
        <f t="shared" si="213"/>
        <v>27.495799508862085</v>
      </c>
      <c r="AE460" s="584">
        <f t="shared" si="214"/>
        <v>-45.45627833189085</v>
      </c>
      <c r="AG460" s="583">
        <f t="shared" si="215"/>
        <v>14.21543322375393</v>
      </c>
      <c r="AH460" s="584">
        <f t="shared" si="216"/>
        <v>-22.01083810597385</v>
      </c>
      <c r="AJ460" s="147">
        <f t="shared" si="217"/>
        <v>0</v>
      </c>
      <c r="AK460" s="147">
        <f t="shared" si="229"/>
        <v>0</v>
      </c>
      <c r="AM460" s="147" t="str">
        <f t="shared" si="221"/>
        <v>1.9240226955498-0.382337623193007i</v>
      </c>
      <c r="AN460" s="147" t="str">
        <f t="shared" si="222"/>
        <v>3.53391746314057i</v>
      </c>
      <c r="AO460" s="147" t="str">
        <f t="shared" si="223"/>
        <v>-0.108190875191869-0.544444717687304i</v>
      </c>
      <c r="AP460" s="147" t="str">
        <f t="shared" si="224"/>
        <v>-0.154003782591634+0.0637229371988345i</v>
      </c>
      <c r="AQ460" s="147" t="str">
        <f t="shared" si="225"/>
        <v>1.15400378259163-0.0637229371988345i</v>
      </c>
      <c r="AR460" s="147" t="str">
        <f t="shared" si="226"/>
        <v>0.71964043921005+0.0397378268644302i</v>
      </c>
    </row>
    <row r="461" spans="7:44">
      <c r="G461" s="585">
        <v>51286</v>
      </c>
      <c r="H461" s="573">
        <f t="shared" si="218"/>
        <v>51.286000000000001</v>
      </c>
      <c r="I461" s="574">
        <f t="shared" ref="I461:I524" si="230">SQRT(1+(G461/pole1)^2)</f>
        <v>446.44957408189896</v>
      </c>
      <c r="J461" s="575">
        <f t="shared" ref="J461:J524" si="231">ATAN(G461/pole1)</f>
        <v>1.5685564302998751</v>
      </c>
      <c r="K461" s="575">
        <f t="shared" ref="K461:K524" si="232">SQRT(1+(G461/Zero1)^2)</f>
        <v>1.0056380990419216</v>
      </c>
      <c r="L461" s="576">
        <f t="shared" ref="L461:L524" si="233">ATAN(G461/Zero1)</f>
        <v>0.1059408866701478</v>
      </c>
      <c r="M461" s="575">
        <f t="shared" ref="M461:M524" si="234">SQRT(1+(G461/z_RHP)^2)</f>
        <v>1.2425643546126139</v>
      </c>
      <c r="N461" s="576">
        <f t="shared" ref="N461:N524" si="235">-ATAN(G461/z_RHP)</f>
        <v>-0.63547930624242777</v>
      </c>
      <c r="O461" s="574">
        <f t="shared" ref="O461:O524" si="236">SQRT(1+(G461/Pole2)^2)</f>
        <v>966718.32388791733</v>
      </c>
      <c r="P461" s="577">
        <f t="shared" ref="P461:P524" si="237">ATAN(G461/Pole2)</f>
        <v>1.5707952923674162</v>
      </c>
      <c r="Q461" s="586">
        <f t="shared" si="227"/>
        <v>180.45685789227011</v>
      </c>
      <c r="R461" s="587">
        <f t="shared" si="228"/>
        <v>1.5652548077317221</v>
      </c>
      <c r="S461" s="574">
        <f t="shared" ref="S461:S524" si="238">SQRT(1+(G461/pole4)^2)</f>
        <v>1.4216880559013663</v>
      </c>
      <c r="T461" s="577">
        <f t="shared" ref="T461:T524" si="239">ATAN(G461/pole4)</f>
        <v>0.79064191688038044</v>
      </c>
      <c r="U461" s="578">
        <f t="shared" si="219"/>
        <v>0.39737148856514032</v>
      </c>
      <c r="V461" s="579">
        <f t="shared" si="220"/>
        <v>-1.7191607203581223</v>
      </c>
      <c r="W461" s="580">
        <f t="shared" ref="W461:W524" si="240">20*LOG10(((K461*Q461*M461*U461)/(I461*O461*S461))*Adc)</f>
        <v>-29.420845753595543</v>
      </c>
      <c r="X461" s="581">
        <f t="shared" ref="X461:X524" si="241">((L461+R461+N461+V461)-(J461+P461+T461))*radconv</f>
        <v>-264.33052512850236</v>
      </c>
      <c r="Y461" s="584">
        <f t="shared" ref="Y461:Y524" si="242">IF(X461&gt;0,X461,X461+180)</f>
        <v>-84.330525128502359</v>
      </c>
      <c r="AA461" s="147">
        <f t="shared" ref="AA461:AA524" si="243">IF(W461&lt;0,G461,1000000000)</f>
        <v>51286</v>
      </c>
      <c r="AB461" s="147">
        <f t="shared" ref="AB461:AB524" si="244">G461^2</f>
        <v>2630253796</v>
      </c>
      <c r="AD461" s="583">
        <f t="shared" ref="AD461:AD524" si="245">20*LOG10((Q461/(O461*S461))*Aea)</f>
        <v>27.470832618016278</v>
      </c>
      <c r="AE461" s="584">
        <f t="shared" ref="AE461:AE524" si="246">(R461-(P461+T461))*radconv</f>
        <v>-45.617891381587413</v>
      </c>
      <c r="AG461" s="583">
        <f t="shared" ref="AG461:AG524" si="247">20*LOG10((K461*M461/(I461*U461))*Acs*Am)</f>
        <v>14.242698827123125</v>
      </c>
      <c r="AH461" s="584">
        <f t="shared" ref="AH461:AH524" si="248">(L461+N461-(J461+V461))*radconv</f>
        <v>-21.711326359426611</v>
      </c>
      <c r="AJ461" s="147">
        <f t="shared" ref="AJ461:AJ524" si="249">SUM((W462&lt;0)*(W461&gt;0))*G461</f>
        <v>0</v>
      </c>
      <c r="AK461" s="147">
        <f t="shared" si="229"/>
        <v>0</v>
      </c>
      <c r="AM461" s="147" t="str">
        <f t="shared" si="221"/>
        <v>1.91610412448884-0.400940435843705i</v>
      </c>
      <c r="AN461" s="147" t="str">
        <f t="shared" si="222"/>
        <v>3.5541358293264i</v>
      </c>
      <c r="AO461" s="147" t="str">
        <f t="shared" si="223"/>
        <v>-0.112809542205846-0.53911955437336i</v>
      </c>
      <c r="AP461" s="147" t="str">
        <f t="shared" si="224"/>
        <v>-0.15268402074814+0.0668234059739508i</v>
      </c>
      <c r="AQ461" s="147" t="str">
        <f t="shared" si="225"/>
        <v>1.15268402074814-0.0668234059739508i</v>
      </c>
      <c r="AR461" s="147" t="str">
        <f t="shared" si="226"/>
        <v>0.720240633396018+0.0417537949499117i</v>
      </c>
    </row>
    <row r="462" spans="7:44">
      <c r="G462" s="585">
        <v>51584.75</v>
      </c>
      <c r="H462" s="573">
        <f t="shared" ref="H462:H525" si="250">G462/1000</f>
        <v>51.58475</v>
      </c>
      <c r="I462" s="574">
        <f t="shared" si="230"/>
        <v>449.05020862204958</v>
      </c>
      <c r="J462" s="575">
        <f t="shared" si="231"/>
        <v>1.5685694024836909</v>
      </c>
      <c r="K462" s="575">
        <f t="shared" si="232"/>
        <v>1.0057037893860867</v>
      </c>
      <c r="L462" s="576">
        <f t="shared" si="233"/>
        <v>0.10655336389492502</v>
      </c>
      <c r="M462" s="575">
        <f t="shared" si="234"/>
        <v>1.2451192840468785</v>
      </c>
      <c r="N462" s="576">
        <f t="shared" si="235"/>
        <v>-0.63825624141670734</v>
      </c>
      <c r="O462" s="574">
        <f t="shared" si="236"/>
        <v>972349.62871303933</v>
      </c>
      <c r="P462" s="577">
        <f t="shared" si="237"/>
        <v>1.5707952983582412</v>
      </c>
      <c r="Q462" s="586">
        <f t="shared" si="227"/>
        <v>181.50801874647487</v>
      </c>
      <c r="R462" s="587">
        <f t="shared" si="228"/>
        <v>1.5652869004572219</v>
      </c>
      <c r="S462" s="574">
        <f t="shared" si="238"/>
        <v>1.425878285429836</v>
      </c>
      <c r="T462" s="577">
        <f t="shared" si="239"/>
        <v>0.79354579026470851</v>
      </c>
      <c r="U462" s="578">
        <f t="shared" ref="U462:U525" si="251">IMABS(IMPRODUCT(AO462, AR462))</f>
        <v>0.39461262068314723</v>
      </c>
      <c r="V462" s="579">
        <f t="shared" ref="V462:V525" si="252">IMARGUMENT(IMPRODUCT(AO462, AR462))</f>
        <v>-1.72671789025801</v>
      </c>
      <c r="W462" s="580">
        <f t="shared" si="240"/>
        <v>-29.538965806755542</v>
      </c>
      <c r="X462" s="581">
        <f t="shared" si="241"/>
        <v>-265.05281788116542</v>
      </c>
      <c r="Y462" s="584">
        <f t="shared" si="242"/>
        <v>-85.052817881165424</v>
      </c>
      <c r="AA462" s="147">
        <f t="shared" si="243"/>
        <v>51584.75</v>
      </c>
      <c r="AB462" s="147">
        <f t="shared" si="244"/>
        <v>2660986432.5625</v>
      </c>
      <c r="AD462" s="583">
        <f t="shared" si="245"/>
        <v>27.445268268568842</v>
      </c>
      <c r="AE462" s="584">
        <f t="shared" si="246"/>
        <v>-45.782432636462573</v>
      </c>
      <c r="AG462" s="583">
        <f t="shared" si="247"/>
        <v>14.271172414774714</v>
      </c>
      <c r="AH462" s="584">
        <f t="shared" si="248"/>
        <v>-21.40308997557127</v>
      </c>
      <c r="AJ462" s="147">
        <f t="shared" si="249"/>
        <v>0</v>
      </c>
      <c r="AK462" s="147">
        <f t="shared" si="229"/>
        <v>0</v>
      </c>
      <c r="AM462" s="147" t="str">
        <f t="shared" ref="AM462:AM525" si="253">IMSUB(1,IMEXP(COMPLEX(0,-2*Pi*G462*Tsw)))</f>
        <v>1.90760753035461-0.419819688489716i</v>
      </c>
      <c r="AN462" s="147" t="str">
        <f t="shared" ref="AN462:AN525" si="254">COMPLEX(0, 2*Pi*G462*Tsw)</f>
        <v>3.57483929770005i</v>
      </c>
      <c r="AO462" s="147" t="str">
        <f t="shared" ref="AO462:AO525" si="255">IMDIV(AM462, AN462)</f>
        <v>-0.117437359704481-0.533620499131782i</v>
      </c>
      <c r="AP462" s="147" t="str">
        <f t="shared" ref="AP462:AP525" si="256">IMDIV(IMEXP(COMPLEX(0,-2*Pi*G462*Tsw)),6)</f>
        <v>-0.151267921725769+0.0699699480816193i</v>
      </c>
      <c r="AQ462" s="147" t="str">
        <f t="shared" ref="AQ462:AQ525" si="257">IMSUB(1, AP462)</f>
        <v>1.15126792172577-0.0699699480816193i</v>
      </c>
      <c r="AR462" s="147" t="str">
        <f t="shared" ref="AR462:AR525" si="258">IMDIV(0.833, AQ462)</f>
        <v>0.720887288150419+0.0438129519399559i</v>
      </c>
    </row>
    <row r="463" spans="7:44">
      <c r="G463" s="585">
        <v>51883.5</v>
      </c>
      <c r="H463" s="573">
        <f t="shared" si="250"/>
        <v>51.883499999999998</v>
      </c>
      <c r="I463" s="574">
        <f t="shared" si="230"/>
        <v>451.65084323689507</v>
      </c>
      <c r="J463" s="575">
        <f t="shared" si="231"/>
        <v>1.5685822252781707</v>
      </c>
      <c r="K463" s="575">
        <f t="shared" si="232"/>
        <v>1.005769856948892</v>
      </c>
      <c r="L463" s="576">
        <f t="shared" si="233"/>
        <v>0.10716576088392391</v>
      </c>
      <c r="M463" s="575">
        <f t="shared" si="234"/>
        <v>1.2476837756892396</v>
      </c>
      <c r="N463" s="576">
        <f t="shared" si="235"/>
        <v>-0.64102178240837859</v>
      </c>
      <c r="O463" s="574">
        <f t="shared" si="236"/>
        <v>977980.93353816133</v>
      </c>
      <c r="P463" s="577">
        <f t="shared" si="237"/>
        <v>1.5707953042800749</v>
      </c>
      <c r="Q463" s="586">
        <f t="shared" si="227"/>
        <v>182.55917978546975</v>
      </c>
      <c r="R463" s="587">
        <f t="shared" si="228"/>
        <v>1.5653186236081016</v>
      </c>
      <c r="S463" s="574">
        <f t="shared" si="238"/>
        <v>1.4300804681299817</v>
      </c>
      <c r="T463" s="577">
        <f t="shared" si="239"/>
        <v>0.79643262225105649</v>
      </c>
      <c r="U463" s="578">
        <f t="shared" si="251"/>
        <v>0.39186205260450863</v>
      </c>
      <c r="V463" s="579">
        <f t="shared" si="252"/>
        <v>-1.7342915365423892</v>
      </c>
      <c r="W463" s="580">
        <f t="shared" si="240"/>
        <v>-29.656999466121746</v>
      </c>
      <c r="X463" s="581">
        <f t="shared" si="241"/>
        <v>-265.77444263127109</v>
      </c>
      <c r="Y463" s="584">
        <f t="shared" si="242"/>
        <v>-85.774442631271086</v>
      </c>
      <c r="AA463" s="147">
        <f t="shared" si="243"/>
        <v>51883.5</v>
      </c>
      <c r="AB463" s="147">
        <f t="shared" si="244"/>
        <v>2691897572.25</v>
      </c>
      <c r="AD463" s="583">
        <f t="shared" si="245"/>
        <v>27.419706356621671</v>
      </c>
      <c r="AE463" s="584">
        <f t="shared" si="246"/>
        <v>-45.946018662268443</v>
      </c>
      <c r="AG463" s="583">
        <f t="shared" si="247"/>
        <v>14.300211144386131</v>
      </c>
      <c r="AH463" s="584">
        <f t="shared" si="248"/>
        <v>-21.093252763639647</v>
      </c>
      <c r="AJ463" s="147">
        <f t="shared" si="249"/>
        <v>0</v>
      </c>
      <c r="AK463" s="147">
        <f t="shared" si="229"/>
        <v>0</v>
      </c>
      <c r="AM463" s="147" t="str">
        <f t="shared" si="253"/>
        <v>1.8987219190306-0.438518998737751i</v>
      </c>
      <c r="AN463" s="147" t="str">
        <f t="shared" si="254"/>
        <v>3.5955427660737i</v>
      </c>
      <c r="AO463" s="147" t="str">
        <f t="shared" si="255"/>
        <v>-0.121961836436898-0.528076577741276i</v>
      </c>
      <c r="AP463" s="147" t="str">
        <f t="shared" si="256"/>
        <v>-0.1497869865051+0.0730864997896252i</v>
      </c>
      <c r="AQ463" s="147" t="str">
        <f t="shared" si="257"/>
        <v>1.1497869865051-0.0730864997896252i</v>
      </c>
      <c r="AR463" s="147" t="str">
        <f t="shared" si="258"/>
        <v>0.721566502014383+0.0458665566897516i</v>
      </c>
    </row>
    <row r="464" spans="7:44">
      <c r="G464" s="585">
        <v>52182.25</v>
      </c>
      <c r="H464" s="573">
        <f t="shared" si="250"/>
        <v>52.182250000000003</v>
      </c>
      <c r="I464" s="574">
        <f t="shared" si="230"/>
        <v>454.25147792515247</v>
      </c>
      <c r="J464" s="575">
        <f t="shared" si="231"/>
        <v>1.5685949012491163</v>
      </c>
      <c r="K464" s="575">
        <f t="shared" si="232"/>
        <v>1.005836301656005</v>
      </c>
      <c r="L464" s="576">
        <f t="shared" si="233"/>
        <v>0.10777807719366603</v>
      </c>
      <c r="M464" s="575">
        <f t="shared" si="234"/>
        <v>1.2502577706985458</v>
      </c>
      <c r="N464" s="576">
        <f t="shared" si="235"/>
        <v>-0.643775957158776</v>
      </c>
      <c r="O464" s="574">
        <f t="shared" si="236"/>
        <v>983612.23836328345</v>
      </c>
      <c r="P464" s="577">
        <f t="shared" si="237"/>
        <v>1.5707953101341019</v>
      </c>
      <c r="Q464" s="586">
        <f t="shared" si="227"/>
        <v>183.61034100608103</v>
      </c>
      <c r="R464" s="587">
        <f t="shared" si="228"/>
        <v>1.5653499835316933</v>
      </c>
      <c r="S464" s="574">
        <f t="shared" si="238"/>
        <v>1.4342944989409334</v>
      </c>
      <c r="T464" s="577">
        <f t="shared" si="239"/>
        <v>0.79930251471676483</v>
      </c>
      <c r="U464" s="578">
        <f t="shared" si="251"/>
        <v>0.38911946860608448</v>
      </c>
      <c r="V464" s="579">
        <f t="shared" si="252"/>
        <v>-1.7418824699803375</v>
      </c>
      <c r="W464" s="580">
        <f t="shared" si="240"/>
        <v>-29.774959057960867</v>
      </c>
      <c r="X464" s="581">
        <f t="shared" si="241"/>
        <v>-266.49545307933943</v>
      </c>
      <c r="Y464" s="584">
        <f t="shared" si="242"/>
        <v>-86.495453079339427</v>
      </c>
      <c r="AA464" s="147">
        <f t="shared" si="243"/>
        <v>52182.25</v>
      </c>
      <c r="AB464" s="147">
        <f t="shared" si="244"/>
        <v>2722987215.0625</v>
      </c>
      <c r="AD464" s="583">
        <f t="shared" si="245"/>
        <v>27.394147716984829</v>
      </c>
      <c r="AE464" s="584">
        <f t="shared" si="246"/>
        <v>-46.108654932539132</v>
      </c>
      <c r="AG464" s="583">
        <f t="shared" si="247"/>
        <v>14.329820146128633</v>
      </c>
      <c r="AH464" s="584">
        <f t="shared" si="248"/>
        <v>-20.78177004332499</v>
      </c>
      <c r="AJ464" s="147">
        <f t="shared" si="249"/>
        <v>0</v>
      </c>
      <c r="AK464" s="147">
        <f t="shared" si="229"/>
        <v>0</v>
      </c>
      <c r="AM464" s="147" t="str">
        <f t="shared" si="253"/>
        <v>1.88945109905234-0.457030351721391i</v>
      </c>
      <c r="AN464" s="147" t="str">
        <f t="shared" si="254"/>
        <v>3.61624623444736i</v>
      </c>
      <c r="AO464" s="147" t="str">
        <f t="shared" si="255"/>
        <v>-0.126382530970332-0.522489613968748i</v>
      </c>
      <c r="AP464" s="147" t="str">
        <f t="shared" si="256"/>
        <v>-0.148241849842057+0.0761717252868985i</v>
      </c>
      <c r="AQ464" s="147" t="str">
        <f t="shared" si="257"/>
        <v>1.14824184984206-0.0761717252868985i</v>
      </c>
      <c r="AR464" s="147" t="str">
        <f t="shared" si="258"/>
        <v>0.722278399845665+0.047914289016092i</v>
      </c>
    </row>
    <row r="465" spans="7:44">
      <c r="G465" s="585">
        <v>52481</v>
      </c>
      <c r="H465" s="573">
        <f t="shared" si="250"/>
        <v>52.481000000000002</v>
      </c>
      <c r="I465" s="574">
        <f t="shared" si="230"/>
        <v>456.8521126855681</v>
      </c>
      <c r="J465" s="575">
        <f t="shared" si="231"/>
        <v>1.5686074329039068</v>
      </c>
      <c r="K465" s="575">
        <f t="shared" si="232"/>
        <v>1.0059031234326898</v>
      </c>
      <c r="L465" s="576">
        <f t="shared" si="233"/>
        <v>0.10839031238103179</v>
      </c>
      <c r="M465" s="575">
        <f t="shared" si="234"/>
        <v>1.2528412105000515</v>
      </c>
      <c r="N465" s="576">
        <f t="shared" si="235"/>
        <v>-0.64651879406978219</v>
      </c>
      <c r="O465" s="574">
        <f t="shared" si="236"/>
        <v>989243.54318840557</v>
      </c>
      <c r="P465" s="577">
        <f t="shared" si="237"/>
        <v>1.5707953159214805</v>
      </c>
      <c r="Q465" s="586">
        <f t="shared" si="227"/>
        <v>184.66150240520716</v>
      </c>
      <c r="R465" s="587">
        <f t="shared" si="228"/>
        <v>1.5653809864308057</v>
      </c>
      <c r="S465" s="574">
        <f t="shared" si="238"/>
        <v>1.438520273738398</v>
      </c>
      <c r="T465" s="577">
        <f t="shared" si="239"/>
        <v>0.80215556946326694</v>
      </c>
      <c r="U465" s="578">
        <f t="shared" si="251"/>
        <v>0.38638455172134811</v>
      </c>
      <c r="V465" s="579">
        <f t="shared" si="252"/>
        <v>-1.749491504503643</v>
      </c>
      <c r="W465" s="580">
        <f t="shared" si="240"/>
        <v>-29.892857116494184</v>
      </c>
      <c r="X465" s="581">
        <f t="shared" si="241"/>
        <v>-267.21590313405</v>
      </c>
      <c r="Y465" s="584">
        <f t="shared" si="242"/>
        <v>-87.215903134049995</v>
      </c>
      <c r="AA465" s="147">
        <f t="shared" si="243"/>
        <v>52481</v>
      </c>
      <c r="AB465" s="147">
        <f t="shared" si="244"/>
        <v>2754255361</v>
      </c>
      <c r="AD465" s="583">
        <f t="shared" si="245"/>
        <v>27.368593169538439</v>
      </c>
      <c r="AE465" s="584">
        <f t="shared" si="246"/>
        <v>-46.270346924738782</v>
      </c>
      <c r="AG465" s="583">
        <f t="shared" si="247"/>
        <v>14.360004870049002</v>
      </c>
      <c r="AH465" s="584">
        <f t="shared" si="248"/>
        <v>-20.468596976130101</v>
      </c>
      <c r="AJ465" s="147">
        <f t="shared" si="249"/>
        <v>0</v>
      </c>
      <c r="AK465" s="147">
        <f t="shared" si="229"/>
        <v>0</v>
      </c>
      <c r="AM465" s="147" t="str">
        <f t="shared" si="253"/>
        <v>1.87979904406289-0.475345813136113i</v>
      </c>
      <c r="AN465" s="147" t="str">
        <f t="shared" si="254"/>
        <v>3.63694970282101i</v>
      </c>
      <c r="AO465" s="147" t="str">
        <f t="shared" si="255"/>
        <v>-0.130699034074463-0.516861435450927i</v>
      </c>
      <c r="AP465" s="147" t="str">
        <f t="shared" si="256"/>
        <v>-0.146633174010481+0.0792243021893522i</v>
      </c>
      <c r="AQ465" s="147" t="str">
        <f t="shared" si="257"/>
        <v>1.14663317401048-0.0792243021893522i</v>
      </c>
      <c r="AR465" s="147" t="str">
        <f t="shared" si="258"/>
        <v>0.723023111263013+0.0499558208805696i</v>
      </c>
    </row>
    <row r="466" spans="7:44">
      <c r="G466" s="585">
        <v>52786.5</v>
      </c>
      <c r="H466" s="573">
        <f t="shared" si="250"/>
        <v>52.786499999999997</v>
      </c>
      <c r="I466" s="574">
        <f t="shared" si="230"/>
        <v>459.51150663107109</v>
      </c>
      <c r="J466" s="575">
        <f t="shared" si="231"/>
        <v>1.5686201010096961</v>
      </c>
      <c r="K466" s="575">
        <f t="shared" si="232"/>
        <v>1.0059718448569719</v>
      </c>
      <c r="L466" s="576">
        <f t="shared" si="233"/>
        <v>0.10901629614357478</v>
      </c>
      <c r="M466" s="575">
        <f t="shared" si="234"/>
        <v>1.2554927274562233</v>
      </c>
      <c r="N466" s="576">
        <f t="shared" si="235"/>
        <v>-0.64931190810502004</v>
      </c>
      <c r="O466" s="574">
        <f t="shared" si="236"/>
        <v>995002.08251585264</v>
      </c>
      <c r="P466" s="577">
        <f t="shared" si="237"/>
        <v>1.5707953217718744</v>
      </c>
      <c r="Q466" s="586">
        <f t="shared" si="227"/>
        <v>185.73641407597532</v>
      </c>
      <c r="R466" s="587">
        <f t="shared" si="228"/>
        <v>1.5654123269140239</v>
      </c>
      <c r="S466" s="574">
        <f t="shared" si="238"/>
        <v>1.4428535637800657</v>
      </c>
      <c r="T466" s="577">
        <f t="shared" si="239"/>
        <v>0.80505577983819043</v>
      </c>
      <c r="U466" s="578">
        <f t="shared" si="251"/>
        <v>0.38359543907789856</v>
      </c>
      <c r="V466" s="579">
        <f t="shared" si="252"/>
        <v>-1.7572920293092111</v>
      </c>
      <c r="W466" s="580">
        <f t="shared" si="240"/>
        <v>-30.013368632918521</v>
      </c>
      <c r="X466" s="581">
        <f t="shared" si="241"/>
        <v>-267.95210800348372</v>
      </c>
      <c r="Y466" s="584">
        <f t="shared" si="242"/>
        <v>-87.952108003483715</v>
      </c>
      <c r="AA466" s="147">
        <f t="shared" si="243"/>
        <v>52786.5</v>
      </c>
      <c r="AB466" s="147">
        <f t="shared" si="244"/>
        <v>2786414582.25</v>
      </c>
      <c r="AD466" s="583">
        <f t="shared" si="245"/>
        <v>27.342466309746243</v>
      </c>
      <c r="AE466" s="584">
        <f t="shared" si="246"/>
        <v>-46.434721396896357</v>
      </c>
      <c r="AG466" s="583">
        <f t="shared" si="247"/>
        <v>14.391472993266255</v>
      </c>
      <c r="AH466" s="584">
        <f t="shared" si="248"/>
        <v>-20.146553073692552</v>
      </c>
      <c r="AJ466" s="147">
        <f t="shared" si="249"/>
        <v>0</v>
      </c>
      <c r="AK466" s="147">
        <f t="shared" si="229"/>
        <v>0</v>
      </c>
      <c r="AM466" s="147" t="str">
        <f t="shared" si="253"/>
        <v>1.86953896782005-0.493864337083011i</v>
      </c>
      <c r="AN466" s="147" t="str">
        <f t="shared" si="254"/>
        <v>3.65812094830437i</v>
      </c>
      <c r="AO466" s="147" t="str">
        <f t="shared" si="255"/>
        <v>-0.135004923036219-0.511065378712158i</v>
      </c>
      <c r="AP466" s="147" t="str">
        <f t="shared" si="256"/>
        <v>-0.144923161303342+0.0823107228471685i</v>
      </c>
      <c r="AQ466" s="147" t="str">
        <f t="shared" si="257"/>
        <v>1.14492316130334-0.0823107228471685i</v>
      </c>
      <c r="AR466" s="147" t="str">
        <f t="shared" si="258"/>
        <v>0.723818722720239+0.0520367167780898i</v>
      </c>
    </row>
    <row r="467" spans="7:44">
      <c r="G467" s="585">
        <v>53092</v>
      </c>
      <c r="H467" s="573">
        <f t="shared" si="250"/>
        <v>53.091999999999999</v>
      </c>
      <c r="I467" s="574">
        <f t="shared" si="230"/>
        <v>462.17090064946814</v>
      </c>
      <c r="J467" s="575">
        <f t="shared" si="231"/>
        <v>1.568632623327491</v>
      </c>
      <c r="K467" s="575">
        <f t="shared" si="232"/>
        <v>1.006040960423082</v>
      </c>
      <c r="L467" s="576">
        <f t="shared" si="233"/>
        <v>0.10964219414049535</v>
      </c>
      <c r="M467" s="575">
        <f t="shared" si="234"/>
        <v>1.2581539977928478</v>
      </c>
      <c r="N467" s="576">
        <f t="shared" si="235"/>
        <v>-0.65209322767064204</v>
      </c>
      <c r="O467" s="574">
        <f t="shared" si="236"/>
        <v>1000760.6218432997</v>
      </c>
      <c r="P467" s="577">
        <f t="shared" si="237"/>
        <v>1.5707953275549404</v>
      </c>
      <c r="Q467" s="586">
        <f t="shared" si="227"/>
        <v>186.81132592707914</v>
      </c>
      <c r="R467" s="587">
        <f t="shared" si="228"/>
        <v>1.5654433067311651</v>
      </c>
      <c r="S467" s="574">
        <f t="shared" si="238"/>
        <v>1.4471989172438262</v>
      </c>
      <c r="T467" s="577">
        <f t="shared" si="239"/>
        <v>0.8079385980208097</v>
      </c>
      <c r="U467" s="578">
        <f t="shared" si="251"/>
        <v>0.38081366949420969</v>
      </c>
      <c r="V467" s="579">
        <f t="shared" si="252"/>
        <v>-1.7651132145003783</v>
      </c>
      <c r="W467" s="580">
        <f t="shared" si="240"/>
        <v>-30.133843017191076</v>
      </c>
      <c r="X467" s="581">
        <f t="shared" si="241"/>
        <v>-268.68784157502665</v>
      </c>
      <c r="Y467" s="584">
        <f t="shared" si="242"/>
        <v>-88.687841575026653</v>
      </c>
      <c r="AA467" s="147">
        <f t="shared" si="243"/>
        <v>53092</v>
      </c>
      <c r="AB467" s="147">
        <f t="shared" si="244"/>
        <v>2818760464</v>
      </c>
      <c r="AD467" s="583">
        <f t="shared" si="245"/>
        <v>27.316345416222095</v>
      </c>
      <c r="AE467" s="584">
        <f t="shared" si="246"/>
        <v>-46.59812003062374</v>
      </c>
      <c r="AG467" s="583">
        <f t="shared" si="247"/>
        <v>14.423555726226491</v>
      </c>
      <c r="AH467" s="584">
        <f t="shared" si="248"/>
        <v>-19.822646205995763</v>
      </c>
      <c r="AJ467" s="147">
        <f t="shared" si="249"/>
        <v>0</v>
      </c>
      <c r="AK467" s="147">
        <f t="shared" si="229"/>
        <v>0</v>
      </c>
      <c r="AM467" s="147" t="str">
        <f t="shared" si="253"/>
        <v>1.8588891599566-0.512161508617205i</v>
      </c>
      <c r="AN467" s="147" t="str">
        <f t="shared" si="254"/>
        <v>3.67929219378772i</v>
      </c>
      <c r="AO467" s="147" t="str">
        <f t="shared" si="255"/>
        <v>-0.139201096744086-0.505230099173757i</v>
      </c>
      <c r="AP467" s="147" t="str">
        <f t="shared" si="256"/>
        <v>-0.143148193326099+0.0853602514362008i</v>
      </c>
      <c r="AQ467" s="147" t="str">
        <f t="shared" si="257"/>
        <v>1.1431481933261-0.0853602514362008i</v>
      </c>
      <c r="AR467" s="147" t="str">
        <f t="shared" si="258"/>
        <v>0.724648935970602+0.0541104082030251i</v>
      </c>
    </row>
    <row r="468" spans="7:44">
      <c r="G468" s="585">
        <v>53397.5</v>
      </c>
      <c r="H468" s="573">
        <f t="shared" si="250"/>
        <v>53.397500000000001</v>
      </c>
      <c r="I468" s="574">
        <f t="shared" si="230"/>
        <v>464.8302947395083</v>
      </c>
      <c r="J468" s="575">
        <f t="shared" si="231"/>
        <v>1.5686450023595413</v>
      </c>
      <c r="K468" s="575">
        <f t="shared" si="232"/>
        <v>1.0061104700497927</v>
      </c>
      <c r="L468" s="576">
        <f t="shared" si="233"/>
        <v>0.11026800589913056</v>
      </c>
      <c r="M468" s="575">
        <f t="shared" si="234"/>
        <v>1.2608249597494532</v>
      </c>
      <c r="N468" s="576">
        <f t="shared" si="235"/>
        <v>-0.65486278455668601</v>
      </c>
      <c r="O468" s="574">
        <f t="shared" si="236"/>
        <v>1006519.1611707468</v>
      </c>
      <c r="P468" s="577">
        <f t="shared" si="237"/>
        <v>1.5707953332718336</v>
      </c>
      <c r="Q468" s="586">
        <f t="shared" si="227"/>
        <v>187.8862379554235</v>
      </c>
      <c r="R468" s="587">
        <f t="shared" si="228"/>
        <v>1.5654739320723672</v>
      </c>
      <c r="S468" s="574">
        <f t="shared" si="238"/>
        <v>1.4515562257911325</v>
      </c>
      <c r="T468" s="577">
        <f t="shared" si="239"/>
        <v>0.81080413250424244</v>
      </c>
      <c r="U468" s="578">
        <f t="shared" si="251"/>
        <v>0.37803889990273837</v>
      </c>
      <c r="V468" s="579">
        <f t="shared" si="252"/>
        <v>-1.7729559414383624</v>
      </c>
      <c r="W468" s="580">
        <f t="shared" si="240"/>
        <v>-30.254294404946876</v>
      </c>
      <c r="X468" s="581">
        <f t="shared" si="241"/>
        <v>-269.42316220043682</v>
      </c>
      <c r="Y468" s="584">
        <f t="shared" si="242"/>
        <v>-89.423162200436821</v>
      </c>
      <c r="AA468" s="147">
        <f t="shared" si="243"/>
        <v>53397.5</v>
      </c>
      <c r="AB468" s="147">
        <f t="shared" si="244"/>
        <v>2851293006.25</v>
      </c>
      <c r="AD468" s="583">
        <f t="shared" si="245"/>
        <v>27.290231318443894</v>
      </c>
      <c r="AE468" s="584">
        <f t="shared" si="246"/>
        <v>-46.760548687516049</v>
      </c>
      <c r="AG468" s="583">
        <f t="shared" si="247"/>
        <v>14.456259976748013</v>
      </c>
      <c r="AH468" s="584">
        <f t="shared" si="248"/>
        <v>-19.496827866646608</v>
      </c>
      <c r="AJ468" s="147">
        <f t="shared" si="249"/>
        <v>0</v>
      </c>
      <c r="AK468" s="147">
        <f t="shared" si="229"/>
        <v>0</v>
      </c>
      <c r="AM468" s="147" t="str">
        <f t="shared" si="253"/>
        <v>1.84785439376852-0.530229126856883i</v>
      </c>
      <c r="AN468" s="147" t="str">
        <f t="shared" si="254"/>
        <v>3.70046343927107i</v>
      </c>
      <c r="AO468" s="147" t="str">
        <f t="shared" si="255"/>
        <v>-0.14328722214354-0.499357559963494i</v>
      </c>
      <c r="AP468" s="147" t="str">
        <f t="shared" si="256"/>
        <v>-0.141309065628087+0.0883715211428138i</v>
      </c>
      <c r="AQ468" s="147" t="str">
        <f t="shared" si="257"/>
        <v>1.14130906562809-0.0883715211428138i</v>
      </c>
      <c r="AR468" s="147" t="str">
        <f t="shared" si="258"/>
        <v>0.725513903938448+0.0561765162760869i</v>
      </c>
    </row>
    <row r="469" spans="7:44">
      <c r="G469" s="585">
        <v>53703</v>
      </c>
      <c r="H469" s="573">
        <f t="shared" si="250"/>
        <v>53.703000000000003</v>
      </c>
      <c r="I469" s="574">
        <f t="shared" si="230"/>
        <v>467.48968889996883</v>
      </c>
      <c r="J469" s="575">
        <f t="shared" si="231"/>
        <v>1.5686572405511583</v>
      </c>
      <c r="K469" s="575">
        <f t="shared" si="232"/>
        <v>1.0061803736554353</v>
      </c>
      <c r="L469" s="576">
        <f t="shared" si="233"/>
        <v>0.11089373094721784</v>
      </c>
      <c r="M469" s="575">
        <f t="shared" si="234"/>
        <v>1.2635055518638298</v>
      </c>
      <c r="N469" s="576">
        <f t="shared" si="235"/>
        <v>-0.65762061100667302</v>
      </c>
      <c r="O469" s="574">
        <f t="shared" si="236"/>
        <v>1012277.7004981941</v>
      </c>
      <c r="P469" s="577">
        <f t="shared" si="237"/>
        <v>1.5707953389236835</v>
      </c>
      <c r="Q469" s="586">
        <f t="shared" si="227"/>
        <v>188.96115015798358</v>
      </c>
      <c r="R469" s="587">
        <f t="shared" si="228"/>
        <v>1.5655042089869187</v>
      </c>
      <c r="S469" s="574">
        <f t="shared" si="238"/>
        <v>1.4559253820840952</v>
      </c>
      <c r="T469" s="577">
        <f t="shared" si="239"/>
        <v>0.81365249161999786</v>
      </c>
      <c r="U469" s="578">
        <f t="shared" si="251"/>
        <v>0.37527078581197182</v>
      </c>
      <c r="V469" s="579">
        <f t="shared" si="252"/>
        <v>-1.7808210954274606</v>
      </c>
      <c r="W469" s="580">
        <f t="shared" si="240"/>
        <v>-30.374737199363047</v>
      </c>
      <c r="X469" s="581">
        <f t="shared" si="241"/>
        <v>-270.15812847890084</v>
      </c>
      <c r="Y469" s="584">
        <f t="shared" si="242"/>
        <v>-90.158128478900835</v>
      </c>
      <c r="AA469" s="147">
        <f t="shared" si="243"/>
        <v>53703</v>
      </c>
      <c r="AB469" s="147">
        <f t="shared" si="244"/>
        <v>2884012209</v>
      </c>
      <c r="AD469" s="583">
        <f t="shared" si="245"/>
        <v>27.264124830369276</v>
      </c>
      <c r="AE469" s="584">
        <f t="shared" si="246"/>
        <v>-46.922013227977637</v>
      </c>
      <c r="AG469" s="583">
        <f t="shared" si="247"/>
        <v>14.489593032276609</v>
      </c>
      <c r="AH469" s="584">
        <f t="shared" si="248"/>
        <v>-19.169049346027563</v>
      </c>
      <c r="AJ469" s="147">
        <f t="shared" si="249"/>
        <v>0</v>
      </c>
      <c r="AK469" s="147">
        <f t="shared" si="229"/>
        <v>0</v>
      </c>
      <c r="AM469" s="147" t="str">
        <f t="shared" si="253"/>
        <v>1.83643961509203-0.548059093807131i</v>
      </c>
      <c r="AN469" s="147" t="str">
        <f t="shared" si="254"/>
        <v>3.72163468475442i</v>
      </c>
      <c r="AO469" s="147" t="str">
        <f t="shared" si="255"/>
        <v>-0.147263001404259-0.493449725900008i</v>
      </c>
      <c r="AP469" s="147" t="str">
        <f t="shared" si="256"/>
        <v>-0.139406602515339+0.0913431823011885i</v>
      </c>
      <c r="AQ469" s="147" t="str">
        <f t="shared" si="257"/>
        <v>1.13940660251534-0.0913431823011885i</v>
      </c>
      <c r="AR469" s="147" t="str">
        <f t="shared" si="258"/>
        <v>0.726413783948804+0.0582346517449098i</v>
      </c>
    </row>
    <row r="470" spans="7:44">
      <c r="G470" s="585">
        <v>54015.75</v>
      </c>
      <c r="H470" s="573">
        <f t="shared" si="250"/>
        <v>54.015749999999997</v>
      </c>
      <c r="I470" s="574">
        <f t="shared" si="230"/>
        <v>470.21219477750805</v>
      </c>
      <c r="J470" s="575">
        <f t="shared" si="231"/>
        <v>1.5686696257758319</v>
      </c>
      <c r="K470" s="575">
        <f t="shared" si="232"/>
        <v>1.0062523442133788</v>
      </c>
      <c r="L470" s="576">
        <f t="shared" si="233"/>
        <v>0.11153421512978559</v>
      </c>
      <c r="M470" s="575">
        <f t="shared" si="234"/>
        <v>1.2662596705064815</v>
      </c>
      <c r="N470" s="576">
        <f t="shared" si="235"/>
        <v>-0.66043176787235625</v>
      </c>
      <c r="O470" s="574">
        <f t="shared" si="236"/>
        <v>1018172.8991059161</v>
      </c>
      <c r="P470" s="577">
        <f t="shared" si="237"/>
        <v>1.570795344643436</v>
      </c>
      <c r="Q470" s="586">
        <f t="shared" si="227"/>
        <v>190.06157191097986</v>
      </c>
      <c r="R470" s="587">
        <f t="shared" si="228"/>
        <v>1.5655348496650525</v>
      </c>
      <c r="S470" s="574">
        <f t="shared" si="238"/>
        <v>1.4604103871986354</v>
      </c>
      <c r="T470" s="577">
        <f t="shared" si="239"/>
        <v>0.81655076813422367</v>
      </c>
      <c r="U470" s="578">
        <f t="shared" si="251"/>
        <v>0.37244351308494983</v>
      </c>
      <c r="V470" s="579">
        <f t="shared" si="252"/>
        <v>-1.7888970622965981</v>
      </c>
      <c r="W470" s="580">
        <f t="shared" si="240"/>
        <v>-30.498044721434844</v>
      </c>
      <c r="X470" s="581">
        <f t="shared" si="241"/>
        <v>-270.91023105970447</v>
      </c>
      <c r="Y470" s="584">
        <f t="shared" si="242"/>
        <v>-90.910231059704472</v>
      </c>
      <c r="AA470" s="147">
        <f t="shared" si="243"/>
        <v>54015.75</v>
      </c>
      <c r="AB470" s="147">
        <f t="shared" si="244"/>
        <v>2917701248.0625</v>
      </c>
      <c r="AD470" s="583">
        <f t="shared" si="245"/>
        <v>27.237407510363209</v>
      </c>
      <c r="AE470" s="584">
        <f t="shared" si="246"/>
        <v>-47.08631698647158</v>
      </c>
      <c r="AG470" s="583">
        <f t="shared" si="247"/>
        <v>14.524376516434572</v>
      </c>
      <c r="AH470" s="584">
        <f t="shared" si="248"/>
        <v>-18.831410533101675</v>
      </c>
      <c r="AJ470" s="147">
        <f t="shared" si="249"/>
        <v>0</v>
      </c>
      <c r="AK470" s="147">
        <f t="shared" si="229"/>
        <v>0</v>
      </c>
      <c r="AM470" s="147" t="str">
        <f t="shared" si="253"/>
        <v>1.82436564133823-0.566057673193291i</v>
      </c>
      <c r="AN470" s="147" t="str">
        <f t="shared" si="254"/>
        <v>3.74330835750375i</v>
      </c>
      <c r="AO470" s="147" t="str">
        <f t="shared" si="255"/>
        <v>-0.151218552983642-0.487367180873878i</v>
      </c>
      <c r="AP470" s="147" t="str">
        <f t="shared" si="256"/>
        <v>-0.137394273556372+0.0943429455322152i</v>
      </c>
      <c r="AQ470" s="147" t="str">
        <f t="shared" si="257"/>
        <v>1.13739427355637-0.0943429455322152i</v>
      </c>
      <c r="AR470" s="147" t="str">
        <f t="shared" si="258"/>
        <v>0.727371352819282+0.0603329535906286i</v>
      </c>
    </row>
    <row r="471" spans="7:44">
      <c r="G471" s="585">
        <v>54328.5</v>
      </c>
      <c r="H471" s="573">
        <f t="shared" si="250"/>
        <v>54.328499999999998</v>
      </c>
      <c r="I471" s="574">
        <f t="shared" si="230"/>
        <v>472.93470072634443</v>
      </c>
      <c r="J471" s="575">
        <f t="shared" si="231"/>
        <v>1.5686818684064123</v>
      </c>
      <c r="K471" s="575">
        <f t="shared" si="232"/>
        <v>1.0063247274970051</v>
      </c>
      <c r="L471" s="576">
        <f t="shared" si="233"/>
        <v>0.11217460743707459</v>
      </c>
      <c r="M471" s="575">
        <f t="shared" si="234"/>
        <v>1.2690237524158929</v>
      </c>
      <c r="N471" s="576">
        <f t="shared" si="235"/>
        <v>-0.66323070072100621</v>
      </c>
      <c r="O471" s="574">
        <f t="shared" si="236"/>
        <v>1024068.0977136383</v>
      </c>
      <c r="P471" s="577">
        <f t="shared" si="237"/>
        <v>1.5707953502973353</v>
      </c>
      <c r="Q471" s="586">
        <f t="shared" ref="Q471:Q534" si="259">SQRT(1+(G471/Zero2)^2)</f>
        <v>191.16199384036133</v>
      </c>
      <c r="R471" s="587">
        <f t="shared" ref="R471:R534" si="260">ATAN(G471/Zero2)</f>
        <v>1.5655651375777566</v>
      </c>
      <c r="S471" s="574">
        <f t="shared" si="238"/>
        <v>1.4649075845935609</v>
      </c>
      <c r="T471" s="577">
        <f t="shared" si="239"/>
        <v>0.81943127357601031</v>
      </c>
      <c r="U471" s="578">
        <f t="shared" si="251"/>
        <v>0.36962248021407673</v>
      </c>
      <c r="V471" s="579">
        <f t="shared" si="252"/>
        <v>-1.7969984240924519</v>
      </c>
      <c r="W471" s="580">
        <f t="shared" si="240"/>
        <v>-30.621374692474596</v>
      </c>
      <c r="X471" s="581">
        <f t="shared" si="241"/>
        <v>-271.66208737282005</v>
      </c>
      <c r="Y471" s="584">
        <f t="shared" si="242"/>
        <v>-91.662087372820054</v>
      </c>
      <c r="AA471" s="147">
        <f t="shared" si="243"/>
        <v>54328.5</v>
      </c>
      <c r="AB471" s="147">
        <f t="shared" si="244"/>
        <v>2951585912.25</v>
      </c>
      <c r="AD471" s="583">
        <f t="shared" si="245"/>
        <v>27.210699842908529</v>
      </c>
      <c r="AE471" s="584">
        <f t="shared" si="246"/>
        <v>-47.249622745713388</v>
      </c>
      <c r="AG471" s="583">
        <f t="shared" si="247"/>
        <v>14.559835717432264</v>
      </c>
      <c r="AH471" s="584">
        <f t="shared" si="248"/>
        <v>-18.491613407492707</v>
      </c>
      <c r="AJ471" s="147">
        <f t="shared" si="249"/>
        <v>0</v>
      </c>
      <c r="AK471" s="147">
        <f t="shared" ref="AK471:AK534" si="261">IF(AJ471&gt;0,Y471,0)</f>
        <v>0</v>
      </c>
      <c r="AM471" s="147" t="str">
        <f t="shared" si="253"/>
        <v>1.81190443855729-0.583790358477226i</v>
      </c>
      <c r="AN471" s="147" t="str">
        <f t="shared" si="254"/>
        <v>3.76498203025307i</v>
      </c>
      <c r="AO471" s="147" t="str">
        <f t="shared" si="255"/>
        <v>-0.155057940193671-0.481251815811588i</v>
      </c>
      <c r="AP471" s="147" t="str">
        <f t="shared" si="256"/>
        <v>-0.135317406426215+0.0972983930795377i</v>
      </c>
      <c r="AQ471" s="147" t="str">
        <f t="shared" si="257"/>
        <v>1.13531740642622-0.0972983930795377i</v>
      </c>
      <c r="AR471" s="147" t="str">
        <f t="shared" si="258"/>
        <v>0.728365857184126+0.0624220390499413i</v>
      </c>
    </row>
    <row r="472" spans="7:44">
      <c r="G472" s="585">
        <v>54641.25</v>
      </c>
      <c r="H472" s="573">
        <f t="shared" si="250"/>
        <v>54.641249999999999</v>
      </c>
      <c r="I472" s="574">
        <f t="shared" si="230"/>
        <v>475.6572067452538</v>
      </c>
      <c r="J472" s="575">
        <f t="shared" si="231"/>
        <v>1.5686939708913814</v>
      </c>
      <c r="K472" s="575">
        <f t="shared" si="232"/>
        <v>1.0063975234172602</v>
      </c>
      <c r="L472" s="576">
        <f t="shared" si="233"/>
        <v>0.11281490736371291</v>
      </c>
      <c r="M472" s="575">
        <f t="shared" si="234"/>
        <v>1.2717977326305916</v>
      </c>
      <c r="N472" s="576">
        <f t="shared" si="235"/>
        <v>-0.6660174455433584</v>
      </c>
      <c r="O472" s="574">
        <f t="shared" si="236"/>
        <v>1029963.2963213605</v>
      </c>
      <c r="P472" s="577">
        <f t="shared" si="237"/>
        <v>1.5707953558865122</v>
      </c>
      <c r="Q472" s="586">
        <f t="shared" si="259"/>
        <v>192.26241594309928</v>
      </c>
      <c r="R472" s="587">
        <f t="shared" si="260"/>
        <v>1.5655950787821789</v>
      </c>
      <c r="S472" s="574">
        <f t="shared" si="238"/>
        <v>1.4694168623242816</v>
      </c>
      <c r="T472" s="577">
        <f t="shared" si="239"/>
        <v>0.82229412352984754</v>
      </c>
      <c r="U472" s="578">
        <f t="shared" si="251"/>
        <v>0.36680731284930135</v>
      </c>
      <c r="V472" s="579">
        <f t="shared" si="252"/>
        <v>-1.8051261441854576</v>
      </c>
      <c r="W472" s="580">
        <f t="shared" si="240"/>
        <v>-30.744743511204295</v>
      </c>
      <c r="X472" s="581">
        <f t="shared" si="241"/>
        <v>-272.4137611221874</v>
      </c>
      <c r="Y472" s="584">
        <f t="shared" si="242"/>
        <v>-92.413761122187395</v>
      </c>
      <c r="AA472" s="147">
        <f t="shared" si="243"/>
        <v>54641.25</v>
      </c>
      <c r="AB472" s="147">
        <f t="shared" si="244"/>
        <v>2985666201.5625</v>
      </c>
      <c r="AD472" s="583">
        <f t="shared" si="245"/>
        <v>27.184002652076408</v>
      </c>
      <c r="AE472" s="584">
        <f t="shared" si="246"/>
        <v>-47.411936781222273</v>
      </c>
      <c r="AG472" s="583">
        <f t="shared" si="247"/>
        <v>14.595979748993653</v>
      </c>
      <c r="AH472" s="584">
        <f t="shared" si="248"/>
        <v>-18.149605003501161</v>
      </c>
      <c r="AJ472" s="147">
        <f t="shared" si="249"/>
        <v>0</v>
      </c>
      <c r="AK472" s="147">
        <f t="shared" si="261"/>
        <v>0</v>
      </c>
      <c r="AM472" s="147" t="str">
        <f t="shared" si="253"/>
        <v>1.79906186014627-0.601248820089977i</v>
      </c>
      <c r="AN472" s="147" t="str">
        <f t="shared" si="254"/>
        <v>3.7866557030024i</v>
      </c>
      <c r="AO472" s="147" t="str">
        <f t="shared" si="255"/>
        <v>-0.158780957987084-0.47510574006499i</v>
      </c>
      <c r="AP472" s="147" t="str">
        <f t="shared" si="256"/>
        <v>-0.133176976691044+0.100208136681663i</v>
      </c>
      <c r="AQ472" s="147" t="str">
        <f t="shared" si="257"/>
        <v>1.13317697669104-0.100208136681663i</v>
      </c>
      <c r="AR472" s="147" t="str">
        <f t="shared" si="258"/>
        <v>0.729397478522252+0.0645014536356456i</v>
      </c>
    </row>
    <row r="473" spans="7:44">
      <c r="G473" s="585">
        <v>54954</v>
      </c>
      <c r="H473" s="573">
        <f t="shared" si="250"/>
        <v>54.954000000000001</v>
      </c>
      <c r="I473" s="574">
        <f t="shared" si="230"/>
        <v>478.37971283303978</v>
      </c>
      <c r="J473" s="575">
        <f t="shared" si="231"/>
        <v>1.5687059356234829</v>
      </c>
      <c r="K473" s="575">
        <f t="shared" si="232"/>
        <v>1.0064707318846089</v>
      </c>
      <c r="L473" s="576">
        <f t="shared" si="233"/>
        <v>0.11345511440477744</v>
      </c>
      <c r="M473" s="575">
        <f t="shared" si="234"/>
        <v>1.2745815465230079</v>
      </c>
      <c r="N473" s="576">
        <f t="shared" si="235"/>
        <v>-0.66879203877460558</v>
      </c>
      <c r="O473" s="574">
        <f t="shared" si="236"/>
        <v>1035858.4949290827</v>
      </c>
      <c r="P473" s="577">
        <f t="shared" si="237"/>
        <v>1.5707953614120718</v>
      </c>
      <c r="Q473" s="586">
        <f t="shared" si="259"/>
        <v>193.36283821623405</v>
      </c>
      <c r="R473" s="587">
        <f t="shared" si="260"/>
        <v>1.5656246791975847</v>
      </c>
      <c r="S473" s="574">
        <f t="shared" si="238"/>
        <v>1.4739381095172401</v>
      </c>
      <c r="T473" s="577">
        <f t="shared" si="239"/>
        <v>0.82513943332533202</v>
      </c>
      <c r="U473" s="578">
        <f t="shared" si="251"/>
        <v>0.36399763500552601</v>
      </c>
      <c r="V473" s="579">
        <f t="shared" si="252"/>
        <v>-1.8132811907162196</v>
      </c>
      <c r="W473" s="580">
        <f t="shared" si="240"/>
        <v>-30.868167921889608</v>
      </c>
      <c r="X473" s="581">
        <f t="shared" si="241"/>
        <v>-273.16531630059768</v>
      </c>
      <c r="Y473" s="584">
        <f t="shared" si="242"/>
        <v>-93.165316300597681</v>
      </c>
      <c r="AA473" s="147">
        <f t="shared" si="243"/>
        <v>54954</v>
      </c>
      <c r="AB473" s="147">
        <f t="shared" si="244"/>
        <v>3019942116</v>
      </c>
      <c r="AD473" s="583">
        <f t="shared" si="245"/>
        <v>27.157316745783817</v>
      </c>
      <c r="AE473" s="584">
        <f t="shared" si="246"/>
        <v>-47.573265361811764</v>
      </c>
      <c r="AG473" s="583">
        <f t="shared" si="247"/>
        <v>14.632818183209329</v>
      </c>
      <c r="AH473" s="584">
        <f t="shared" si="248"/>
        <v>-17.805332104363199</v>
      </c>
      <c r="AJ473" s="147">
        <f t="shared" si="249"/>
        <v>0</v>
      </c>
      <c r="AK473" s="147">
        <f t="shared" si="261"/>
        <v>0</v>
      </c>
      <c r="AM473" s="147" t="str">
        <f t="shared" si="253"/>
        <v>1.7858439386457-0.618424857273555i</v>
      </c>
      <c r="AN473" s="147" t="str">
        <f t="shared" si="254"/>
        <v>3.80832937575172i</v>
      </c>
      <c r="AO473" s="147" t="str">
        <f t="shared" si="255"/>
        <v>-0.162387439807904-0.468931062007523i</v>
      </c>
      <c r="AP473" s="147" t="str">
        <f t="shared" si="256"/>
        <v>-0.130973989774283+0.103070809545593i</v>
      </c>
      <c r="AQ473" s="147" t="str">
        <f t="shared" si="257"/>
        <v>1.13097398977428-0.103070809545593i</v>
      </c>
      <c r="AR473" s="147" t="str">
        <f t="shared" si="258"/>
        <v>0.730466401969823+0.0665707293692162i</v>
      </c>
    </row>
    <row r="474" spans="7:44">
      <c r="G474" s="585">
        <v>55274</v>
      </c>
      <c r="H474" s="573">
        <f t="shared" si="250"/>
        <v>55.274000000000001</v>
      </c>
      <c r="I474" s="574">
        <f t="shared" si="230"/>
        <v>481.16533064281145</v>
      </c>
      <c r="J474" s="575">
        <f t="shared" si="231"/>
        <v>1.568718037574546</v>
      </c>
      <c r="K474" s="575">
        <f t="shared" si="232"/>
        <v>1.0065460643399471</v>
      </c>
      <c r="L474" s="576">
        <f t="shared" si="233"/>
        <v>0.11411006570990366</v>
      </c>
      <c r="M474" s="575">
        <f t="shared" si="234"/>
        <v>1.2774400044724767</v>
      </c>
      <c r="N474" s="576">
        <f t="shared" si="235"/>
        <v>-0.67161841217583174</v>
      </c>
      <c r="O474" s="574">
        <f t="shared" si="236"/>
        <v>1041890.35281708</v>
      </c>
      <c r="P474" s="577">
        <f t="shared" si="237"/>
        <v>1.5707953670010015</v>
      </c>
      <c r="Q474" s="586">
        <f t="shared" si="259"/>
        <v>194.48877005194504</v>
      </c>
      <c r="R474" s="587">
        <f t="shared" si="260"/>
        <v>1.565654619096609</v>
      </c>
      <c r="S474" s="574">
        <f t="shared" si="238"/>
        <v>1.4785764401509118</v>
      </c>
      <c r="T474" s="577">
        <f t="shared" si="239"/>
        <v>0.82803266676748299</v>
      </c>
      <c r="U474" s="578">
        <f t="shared" si="251"/>
        <v>0.36112811272156975</v>
      </c>
      <c r="V474" s="579">
        <f t="shared" si="252"/>
        <v>-1.8216545819778469</v>
      </c>
      <c r="W474" s="580">
        <f t="shared" si="240"/>
        <v>-30.994528872399862</v>
      </c>
      <c r="X474" s="581">
        <f t="shared" si="241"/>
        <v>-273.93423794909728</v>
      </c>
      <c r="Y474" s="584">
        <f t="shared" si="242"/>
        <v>-93.93423794909728</v>
      </c>
      <c r="AA474" s="147">
        <f t="shared" si="243"/>
        <v>55274</v>
      </c>
      <c r="AB474" s="147">
        <f t="shared" si="244"/>
        <v>3055215076</v>
      </c>
      <c r="AD474" s="583">
        <f t="shared" si="245"/>
        <v>27.130024727296185</v>
      </c>
      <c r="AE474" s="584">
        <f t="shared" si="246"/>
        <v>-47.737320317749521</v>
      </c>
      <c r="AG474" s="583">
        <f t="shared" si="247"/>
        <v>14.671239798486262</v>
      </c>
      <c r="AH474" s="584">
        <f t="shared" si="248"/>
        <v>-17.450678836822743</v>
      </c>
      <c r="AJ474" s="147">
        <f t="shared" si="249"/>
        <v>0</v>
      </c>
      <c r="AK474" s="147">
        <f t="shared" si="261"/>
        <v>0</v>
      </c>
      <c r="AM474" s="147" t="str">
        <f t="shared" si="253"/>
        <v>1.77193758817943-0.635698324644423i</v>
      </c>
      <c r="AN474" s="147" t="str">
        <f t="shared" si="254"/>
        <v>3.83050547576702i</v>
      </c>
      <c r="AO474" s="147" t="str">
        <f t="shared" si="255"/>
        <v>-0.165956772197834-0.462585838706997i</v>
      </c>
      <c r="AP474" s="147" t="str">
        <f t="shared" si="256"/>
        <v>-0.128656264696572+0.10594972077407i</v>
      </c>
      <c r="AQ474" s="147" t="str">
        <f t="shared" si="257"/>
        <v>1.12865626469657-0.10594972077407i</v>
      </c>
      <c r="AR474" s="147" t="str">
        <f t="shared" si="258"/>
        <v>0.73159891040031+0.0686769769504317i</v>
      </c>
    </row>
    <row r="475" spans="7:44">
      <c r="G475" s="585">
        <v>55594</v>
      </c>
      <c r="H475" s="573">
        <f t="shared" si="250"/>
        <v>55.594000000000001</v>
      </c>
      <c r="I475" s="574">
        <f t="shared" si="230"/>
        <v>483.95094852224207</v>
      </c>
      <c r="J475" s="575">
        <f t="shared" si="231"/>
        <v>1.5687300002081392</v>
      </c>
      <c r="K475" s="575">
        <f t="shared" si="232"/>
        <v>1.0066218284997723</v>
      </c>
      <c r="L475" s="576">
        <f t="shared" si="233"/>
        <v>0.11476491870508201</v>
      </c>
      <c r="M475" s="575">
        <f t="shared" si="234"/>
        <v>1.280308621492523</v>
      </c>
      <c r="N475" s="576">
        <f t="shared" si="235"/>
        <v>-0.67443214261355466</v>
      </c>
      <c r="O475" s="574">
        <f t="shared" si="236"/>
        <v>1047922.2107050772</v>
      </c>
      <c r="P475" s="577">
        <f t="shared" si="237"/>
        <v>1.5707953725255914</v>
      </c>
      <c r="Q475" s="586">
        <f t="shared" si="259"/>
        <v>195.61470205998828</v>
      </c>
      <c r="R475" s="587">
        <f t="shared" si="260"/>
        <v>1.5656842143355669</v>
      </c>
      <c r="S475" s="574">
        <f t="shared" si="238"/>
        <v>1.4832270701820691</v>
      </c>
      <c r="T475" s="577">
        <f t="shared" si="239"/>
        <v>0.83090778079524064</v>
      </c>
      <c r="U475" s="578">
        <f t="shared" si="251"/>
        <v>0.35826353574937975</v>
      </c>
      <c r="V475" s="579">
        <f t="shared" si="252"/>
        <v>-1.8300586475559792</v>
      </c>
      <c r="W475" s="580">
        <f t="shared" si="240"/>
        <v>-31.12098465747653</v>
      </c>
      <c r="X475" s="581">
        <f t="shared" si="241"/>
        <v>-274.7031719463738</v>
      </c>
      <c r="Y475" s="584">
        <f t="shared" si="242"/>
        <v>-94.7031719463738</v>
      </c>
      <c r="AA475" s="147">
        <f t="shared" si="243"/>
        <v>55594</v>
      </c>
      <c r="AB475" s="147">
        <f t="shared" si="244"/>
        <v>3090692836</v>
      </c>
      <c r="AD475" s="583">
        <f t="shared" si="245"/>
        <v>27.102746182993549</v>
      </c>
      <c r="AE475" s="584">
        <f t="shared" si="246"/>
        <v>-47.9003568515949</v>
      </c>
      <c r="AG475" s="583">
        <f t="shared" si="247"/>
        <v>14.710410179621791</v>
      </c>
      <c r="AH475" s="584">
        <f t="shared" si="248"/>
        <v>-17.093541322397058</v>
      </c>
      <c r="AJ475" s="147">
        <f t="shared" si="249"/>
        <v>0</v>
      </c>
      <c r="AK475" s="147">
        <f t="shared" si="261"/>
        <v>0</v>
      </c>
      <c r="AM475" s="147" t="str">
        <f t="shared" si="253"/>
        <v>1.75765163025735-0.652659181478652i</v>
      </c>
      <c r="AN475" s="147" t="str">
        <f t="shared" si="254"/>
        <v>3.85268157578231i</v>
      </c>
      <c r="AO475" s="147" t="str">
        <f t="shared" si="255"/>
        <v>-0.169403873286913-0.456215131119537i</v>
      </c>
      <c r="AP475" s="147" t="str">
        <f t="shared" si="256"/>
        <v>-0.126275271709558+0.108776530246442i</v>
      </c>
      <c r="AQ475" s="147" t="str">
        <f t="shared" si="257"/>
        <v>1.12627527170956-0.108776530246442i</v>
      </c>
      <c r="AR475" s="147" t="str">
        <f t="shared" si="258"/>
        <v>0.732770872753179+0.0707715733497013i</v>
      </c>
    </row>
    <row r="476" spans="7:44">
      <c r="G476" s="585">
        <v>55914</v>
      </c>
      <c r="H476" s="573">
        <f t="shared" si="250"/>
        <v>55.914000000000001</v>
      </c>
      <c r="I476" s="574">
        <f t="shared" si="230"/>
        <v>486.73656647013553</v>
      </c>
      <c r="J476" s="575">
        <f t="shared" si="231"/>
        <v>1.568741825916222</v>
      </c>
      <c r="K476" s="575">
        <f t="shared" si="232"/>
        <v>1.0066980242666146</v>
      </c>
      <c r="L476" s="576">
        <f t="shared" si="233"/>
        <v>0.11541967285092827</v>
      </c>
      <c r="M476" s="575">
        <f t="shared" si="234"/>
        <v>1.283187329450113</v>
      </c>
      <c r="N476" s="576">
        <f t="shared" si="235"/>
        <v>-0.67723327047545367</v>
      </c>
      <c r="O476" s="574">
        <f t="shared" si="236"/>
        <v>1053954.0685930743</v>
      </c>
      <c r="P476" s="577">
        <f t="shared" si="237"/>
        <v>1.5707953779869459</v>
      </c>
      <c r="Q476" s="586">
        <f t="shared" si="259"/>
        <v>196.74063423740515</v>
      </c>
      <c r="R476" s="587">
        <f t="shared" si="260"/>
        <v>1.5657134708317995</v>
      </c>
      <c r="S476" s="574">
        <f t="shared" si="238"/>
        <v>1.4878898842797066</v>
      </c>
      <c r="T476" s="577">
        <f t="shared" si="239"/>
        <v>0.83376489800264486</v>
      </c>
      <c r="U476" s="578">
        <f t="shared" si="251"/>
        <v>0.35540349593535786</v>
      </c>
      <c r="V476" s="579">
        <f t="shared" si="252"/>
        <v>-1.8384944405523098</v>
      </c>
      <c r="W476" s="580">
        <f t="shared" si="240"/>
        <v>-31.247554432513653</v>
      </c>
      <c r="X476" s="581">
        <f t="shared" si="241"/>
        <v>-275.47218779785237</v>
      </c>
      <c r="Y476" s="584">
        <f t="shared" si="242"/>
        <v>-95.472187797852371</v>
      </c>
      <c r="AA476" s="147">
        <f t="shared" si="243"/>
        <v>55914</v>
      </c>
      <c r="AB476" s="147">
        <f t="shared" si="244"/>
        <v>3126375396</v>
      </c>
      <c r="AD476" s="583">
        <f t="shared" si="245"/>
        <v>27.075481927237334</v>
      </c>
      <c r="AE476" s="584">
        <f t="shared" si="246"/>
        <v>-48.062381648493613</v>
      </c>
      <c r="AG476" s="583">
        <f t="shared" si="247"/>
        <v>14.750341150598285</v>
      </c>
      <c r="AH476" s="584">
        <f t="shared" si="248"/>
        <v>-16.733861704800834</v>
      </c>
      <c r="AJ476" s="147">
        <f t="shared" si="249"/>
        <v>0</v>
      </c>
      <c r="AK476" s="147">
        <f t="shared" si="261"/>
        <v>0</v>
      </c>
      <c r="AM476" s="147" t="str">
        <f t="shared" si="253"/>
        <v>1.74299309013151-0.66929908711788i</v>
      </c>
      <c r="AN476" s="147" t="str">
        <f t="shared" si="254"/>
        <v>3.87485767579761i</v>
      </c>
      <c r="AO476" s="147" t="str">
        <f t="shared" si="255"/>
        <v>-0.172728689184722-0.449821189825437i</v>
      </c>
      <c r="AP476" s="147" t="str">
        <f t="shared" si="256"/>
        <v>-0.123832181688585+0.11154984785298i</v>
      </c>
      <c r="AQ476" s="147" t="str">
        <f t="shared" si="257"/>
        <v>1.12383218168859-0.11154984785298i</v>
      </c>
      <c r="AR476" s="147" t="str">
        <f t="shared" si="258"/>
        <v>0.733982496845271+0.0728539698220956i</v>
      </c>
    </row>
    <row r="477" spans="7:44">
      <c r="G477" s="585">
        <v>56234</v>
      </c>
      <c r="H477" s="573">
        <f t="shared" si="250"/>
        <v>56.234000000000002</v>
      </c>
      <c r="I477" s="574">
        <f t="shared" si="230"/>
        <v>489.52218448532312</v>
      </c>
      <c r="J477" s="575">
        <f t="shared" si="231"/>
        <v>1.5687535170363078</v>
      </c>
      <c r="K477" s="575">
        <f t="shared" si="232"/>
        <v>1.0067746515424774</v>
      </c>
      <c r="L477" s="576">
        <f t="shared" si="233"/>
        <v>0.11607432760855996</v>
      </c>
      <c r="M477" s="575">
        <f t="shared" si="234"/>
        <v>1.286076060583637</v>
      </c>
      <c r="N477" s="576">
        <f t="shared" si="235"/>
        <v>-0.68002183657930848</v>
      </c>
      <c r="O477" s="574">
        <f t="shared" si="236"/>
        <v>1059985.9264810719</v>
      </c>
      <c r="P477" s="577">
        <f t="shared" si="237"/>
        <v>1.5707953833861446</v>
      </c>
      <c r="Q477" s="586">
        <f t="shared" si="259"/>
        <v>197.8665665813042</v>
      </c>
      <c r="R477" s="587">
        <f t="shared" si="260"/>
        <v>1.5657423943679618</v>
      </c>
      <c r="S477" s="574">
        <f t="shared" si="238"/>
        <v>1.4925647682537355</v>
      </c>
      <c r="T477" s="577">
        <f t="shared" si="239"/>
        <v>0.8366041406291127</v>
      </c>
      <c r="U477" s="578">
        <f t="shared" si="251"/>
        <v>0.35254758327699176</v>
      </c>
      <c r="V477" s="579">
        <f t="shared" si="252"/>
        <v>-1.8469630196328153</v>
      </c>
      <c r="W477" s="580">
        <f t="shared" si="240"/>
        <v>-31.374257798713575</v>
      </c>
      <c r="X477" s="581">
        <f t="shared" si="241"/>
        <v>-276.24135533666021</v>
      </c>
      <c r="Y477" s="584">
        <f t="shared" si="242"/>
        <v>-96.241355336660206</v>
      </c>
      <c r="AA477" s="147">
        <f t="shared" si="243"/>
        <v>56234</v>
      </c>
      <c r="AB477" s="147">
        <f t="shared" si="244"/>
        <v>3162262756</v>
      </c>
      <c r="AD477" s="583">
        <f t="shared" si="245"/>
        <v>27.048232757664902</v>
      </c>
      <c r="AE477" s="584">
        <f t="shared" si="246"/>
        <v>-48.223401380988449</v>
      </c>
      <c r="AG477" s="583">
        <f t="shared" si="247"/>
        <v>14.791045094598758</v>
      </c>
      <c r="AH477" s="584">
        <f t="shared" si="248"/>
        <v>-16.371581830433485</v>
      </c>
      <c r="AJ477" s="147">
        <f t="shared" si="249"/>
        <v>0</v>
      </c>
      <c r="AK477" s="147">
        <f t="shared" si="261"/>
        <v>0</v>
      </c>
      <c r="AM477" s="147" t="str">
        <f t="shared" si="253"/>
        <v>1.72796917627476-0.685609858734436i</v>
      </c>
      <c r="AN477" s="147" t="str">
        <f t="shared" si="254"/>
        <v>3.8970337758129i</v>
      </c>
      <c r="AO477" s="147" t="str">
        <f t="shared" si="255"/>
        <v>-0.175931207727709-0.443406261192672i</v>
      </c>
      <c r="AP477" s="147" t="str">
        <f t="shared" si="256"/>
        <v>-0.121328196045793+0.114268309789073i</v>
      </c>
      <c r="AQ477" s="147" t="str">
        <f t="shared" si="257"/>
        <v>1.12132819604579-0.114268309789073i</v>
      </c>
      <c r="AR477" s="147" t="str">
        <f t="shared" si="258"/>
        <v>0.735233992802788+0.0749236003815027i</v>
      </c>
    </row>
    <row r="478" spans="7:44">
      <c r="G478" s="585">
        <v>56561.5</v>
      </c>
      <c r="H478" s="573">
        <f t="shared" si="250"/>
        <v>56.561500000000002</v>
      </c>
      <c r="I478" s="574">
        <f t="shared" si="230"/>
        <v>492.37309049122825</v>
      </c>
      <c r="J478" s="575">
        <f t="shared" si="231"/>
        <v>1.5687653451941683</v>
      </c>
      <c r="K478" s="575">
        <f t="shared" si="232"/>
        <v>1.006853521465084</v>
      </c>
      <c r="L478" s="576">
        <f t="shared" si="233"/>
        <v>0.11674422236563903</v>
      </c>
      <c r="M478" s="575">
        <f t="shared" si="234"/>
        <v>1.2890428043397144</v>
      </c>
      <c r="N478" s="576">
        <f t="shared" si="235"/>
        <v>-0.68286279589963417</v>
      </c>
      <c r="O478" s="574">
        <f t="shared" si="236"/>
        <v>1066159.156038319</v>
      </c>
      <c r="P478" s="577">
        <f t="shared" si="237"/>
        <v>1.5707953888486301</v>
      </c>
      <c r="Q478" s="586">
        <f t="shared" si="259"/>
        <v>199.01888813394561</v>
      </c>
      <c r="R478" s="587">
        <f t="shared" si="260"/>
        <v>1.5657716569393205</v>
      </c>
      <c r="S478" s="574">
        <f t="shared" si="238"/>
        <v>1.4973615993728759</v>
      </c>
      <c r="T478" s="577">
        <f t="shared" si="239"/>
        <v>0.83949154727989972</v>
      </c>
      <c r="U478" s="578">
        <f t="shared" si="251"/>
        <v>0.34962857875527326</v>
      </c>
      <c r="V478" s="579">
        <f t="shared" si="252"/>
        <v>-1.855665139398128</v>
      </c>
      <c r="W478" s="580">
        <f t="shared" si="240"/>
        <v>-31.504090041335566</v>
      </c>
      <c r="X478" s="581">
        <f t="shared" si="241"/>
        <v>-277.02878051894794</v>
      </c>
      <c r="Y478" s="584">
        <f t="shared" si="242"/>
        <v>-97.02878051894794</v>
      </c>
      <c r="AA478" s="147">
        <f t="shared" si="243"/>
        <v>56561.5</v>
      </c>
      <c r="AB478" s="147">
        <f t="shared" si="244"/>
        <v>3199203282.25</v>
      </c>
      <c r="AD478" s="583">
        <f t="shared" si="245"/>
        <v>27.020361371435648</v>
      </c>
      <c r="AE478" s="584">
        <f t="shared" si="246"/>
        <v>-48.387161287144494</v>
      </c>
      <c r="AG478" s="583">
        <f t="shared" si="247"/>
        <v>14.833516923633645</v>
      </c>
      <c r="AH478" s="584">
        <f t="shared" si="248"/>
        <v>-15.998057634686139</v>
      </c>
      <c r="AJ478" s="147">
        <f t="shared" si="249"/>
        <v>0</v>
      </c>
      <c r="AK478" s="147">
        <f t="shared" si="261"/>
        <v>0</v>
      </c>
      <c r="AM478" s="147" t="str">
        <f t="shared" si="253"/>
        <v>1.71222253094626-0.701953749482472i</v>
      </c>
      <c r="AN478" s="147" t="str">
        <f t="shared" si="254"/>
        <v>3.91972962817231i</v>
      </c>
      <c r="AO478" s="147" t="str">
        <f t="shared" si="255"/>
        <v>-0.179082185780701-0.436821590611757i</v>
      </c>
      <c r="AP478" s="147" t="str">
        <f t="shared" si="256"/>
        <v>-0.11870375515771+0.116992291580412i</v>
      </c>
      <c r="AQ478" s="147" t="str">
        <f t="shared" si="257"/>
        <v>1.11870375515771-0.116992291580412i</v>
      </c>
      <c r="AR478" s="147" t="str">
        <f t="shared" si="258"/>
        <v>0.736556326426179+0.0770279103018659i</v>
      </c>
    </row>
    <row r="479" spans="7:44">
      <c r="G479" s="585">
        <v>56889</v>
      </c>
      <c r="H479" s="573">
        <f t="shared" si="250"/>
        <v>56.889000000000003</v>
      </c>
      <c r="I479" s="574">
        <f t="shared" si="230"/>
        <v>495.22399656522583</v>
      </c>
      <c r="J479" s="575">
        <f t="shared" si="231"/>
        <v>1.5687770371673249</v>
      </c>
      <c r="K479" s="575">
        <f t="shared" si="232"/>
        <v>1.0069328431513556</v>
      </c>
      <c r="L479" s="576">
        <f t="shared" si="233"/>
        <v>0.11741401188059995</v>
      </c>
      <c r="M479" s="575">
        <f t="shared" si="234"/>
        <v>1.2920199041965585</v>
      </c>
      <c r="N479" s="576">
        <f t="shared" si="235"/>
        <v>-0.68569068555828305</v>
      </c>
      <c r="O479" s="574">
        <f t="shared" si="236"/>
        <v>1072332.3855955661</v>
      </c>
      <c r="P479" s="577">
        <f t="shared" si="237"/>
        <v>1.5707953942482222</v>
      </c>
      <c r="Q479" s="586">
        <f t="shared" si="259"/>
        <v>200.17120985504445</v>
      </c>
      <c r="R479" s="587">
        <f t="shared" si="260"/>
        <v>1.5658005826001498</v>
      </c>
      <c r="S479" s="574">
        <f t="shared" si="238"/>
        <v>1.5021708343832068</v>
      </c>
      <c r="T479" s="577">
        <f t="shared" si="239"/>
        <v>0.84236048952241915</v>
      </c>
      <c r="U479" s="578">
        <f t="shared" si="251"/>
        <v>0.34671302219666594</v>
      </c>
      <c r="V479" s="579">
        <f t="shared" si="252"/>
        <v>-1.8644038619114489</v>
      </c>
      <c r="W479" s="580">
        <f t="shared" si="240"/>
        <v>-31.634105264723537</v>
      </c>
      <c r="X479" s="581">
        <f t="shared" si="241"/>
        <v>-277.81651364216509</v>
      </c>
      <c r="Y479" s="584">
        <f t="shared" si="242"/>
        <v>-97.816513642165091</v>
      </c>
      <c r="AA479" s="147">
        <f t="shared" si="243"/>
        <v>56889</v>
      </c>
      <c r="AB479" s="147">
        <f t="shared" si="244"/>
        <v>3236358321</v>
      </c>
      <c r="AD479" s="583">
        <f t="shared" si="245"/>
        <v>26.992507424751246</v>
      </c>
      <c r="AE479" s="584">
        <f t="shared" si="246"/>
        <v>-48.549882560582276</v>
      </c>
      <c r="AG479" s="583">
        <f t="shared" si="247"/>
        <v>14.87682649314614</v>
      </c>
      <c r="AH479" s="584">
        <f t="shared" si="248"/>
        <v>-15.62168564662278</v>
      </c>
      <c r="AJ479" s="147">
        <f t="shared" si="249"/>
        <v>0</v>
      </c>
      <c r="AK479" s="147">
        <f t="shared" si="261"/>
        <v>0</v>
      </c>
      <c r="AM479" s="147" t="str">
        <f t="shared" si="253"/>
        <v>1.69610903431866-0.717936078171271i</v>
      </c>
      <c r="AN479" s="147" t="str">
        <f t="shared" si="254"/>
        <v>3.94242548053171i</v>
      </c>
      <c r="AO479" s="147" t="str">
        <f t="shared" si="255"/>
        <v>-0.182105174014461-0.430219681435781i</v>
      </c>
      <c r="AP479" s="147" t="str">
        <f t="shared" si="256"/>
        <v>-0.116018172386443+0.119656013028545i</v>
      </c>
      <c r="AQ479" s="147" t="str">
        <f t="shared" si="257"/>
        <v>1.11601817238644-0.119656013028545i</v>
      </c>
      <c r="AR479" s="147" t="str">
        <f t="shared" si="258"/>
        <v>0.737920873371162+0.0791175912927346i</v>
      </c>
    </row>
    <row r="480" spans="7:44">
      <c r="G480" s="585">
        <v>57216.5</v>
      </c>
      <c r="H480" s="573">
        <f t="shared" si="250"/>
        <v>57.216500000000003</v>
      </c>
      <c r="I480" s="574">
        <f t="shared" si="230"/>
        <v>498.0749027061467</v>
      </c>
      <c r="J480" s="575">
        <f t="shared" si="231"/>
        <v>1.5687885952942768</v>
      </c>
      <c r="K480" s="575">
        <f t="shared" si="232"/>
        <v>1.007012616494537</v>
      </c>
      <c r="L480" s="576">
        <f t="shared" si="233"/>
        <v>0.11808369557742433</v>
      </c>
      <c r="M480" s="575">
        <f t="shared" si="234"/>
        <v>1.2950072887310686</v>
      </c>
      <c r="N480" s="576">
        <f t="shared" si="235"/>
        <v>-0.68850555061967467</v>
      </c>
      <c r="O480" s="574">
        <f t="shared" si="236"/>
        <v>1078505.6151528137</v>
      </c>
      <c r="P480" s="577">
        <f t="shared" si="237"/>
        <v>1.5707953995860013</v>
      </c>
      <c r="Q480" s="586">
        <f t="shared" si="259"/>
        <v>201.32353174170802</v>
      </c>
      <c r="R480" s="587">
        <f t="shared" si="260"/>
        <v>1.5658291771355575</v>
      </c>
      <c r="S480" s="574">
        <f t="shared" si="238"/>
        <v>1.5069923545318515</v>
      </c>
      <c r="T480" s="577">
        <f t="shared" si="239"/>
        <v>0.84521109712952969</v>
      </c>
      <c r="U480" s="578">
        <f t="shared" si="251"/>
        <v>0.34380046803781406</v>
      </c>
      <c r="V480" s="579">
        <f t="shared" si="252"/>
        <v>-1.8731803404368592</v>
      </c>
      <c r="W480" s="580">
        <f t="shared" si="240"/>
        <v>-31.764326057273493</v>
      </c>
      <c r="X480" s="581">
        <f t="shared" si="241"/>
        <v>-278.60463063650366</v>
      </c>
      <c r="Y480" s="584">
        <f t="shared" si="242"/>
        <v>-98.604630636503657</v>
      </c>
      <c r="AA480" s="147">
        <f t="shared" si="243"/>
        <v>57216.5</v>
      </c>
      <c r="AB480" s="147">
        <f t="shared" si="244"/>
        <v>3273727872.25</v>
      </c>
      <c r="AD480" s="583">
        <f t="shared" si="245"/>
        <v>26.964671719840887</v>
      </c>
      <c r="AE480" s="584">
        <f t="shared" si="246"/>
        <v>-48.711572305338585</v>
      </c>
      <c r="AG480" s="583">
        <f t="shared" si="247"/>
        <v>14.920989007402879</v>
      </c>
      <c r="AH480" s="584">
        <f t="shared" si="248"/>
        <v>-15.242402538069415</v>
      </c>
      <c r="AJ480" s="147">
        <f t="shared" si="249"/>
        <v>0</v>
      </c>
      <c r="AK480" s="147">
        <f t="shared" si="261"/>
        <v>0</v>
      </c>
      <c r="AM480" s="147" t="str">
        <f t="shared" si="253"/>
        <v>1.6796369861254-0.733548612629312i</v>
      </c>
      <c r="AN480" s="147" t="str">
        <f t="shared" si="254"/>
        <v>3.96512133289111i</v>
      </c>
      <c r="AO480" s="147" t="str">
        <f t="shared" si="255"/>
        <v>-0.185000294075353-0.423602922864587i</v>
      </c>
      <c r="AP480" s="147" t="str">
        <f t="shared" si="256"/>
        <v>-0.113272831020899+0.122258102104885i</v>
      </c>
      <c r="AQ480" s="147" t="str">
        <f t="shared" si="257"/>
        <v>1.1132728310209-0.122258102104885i</v>
      </c>
      <c r="AR480" s="147" t="str">
        <f t="shared" si="258"/>
        <v>0.739327862974323+0.0811919763438512i</v>
      </c>
    </row>
    <row r="481" spans="7:44">
      <c r="G481" s="585">
        <v>57544</v>
      </c>
      <c r="H481" s="573">
        <f t="shared" si="250"/>
        <v>57.543999999999997</v>
      </c>
      <c r="I481" s="574">
        <f t="shared" si="230"/>
        <v>500.9258089128482</v>
      </c>
      <c r="J481" s="575">
        <f t="shared" si="231"/>
        <v>1.5688000218602873</v>
      </c>
      <c r="K481" s="575">
        <f t="shared" si="232"/>
        <v>1.0070928413872986</v>
      </c>
      <c r="L481" s="576">
        <f t="shared" si="233"/>
        <v>0.11875327288065546</v>
      </c>
      <c r="M481" s="575">
        <f t="shared" si="234"/>
        <v>1.2980048869320648</v>
      </c>
      <c r="N481" s="576">
        <f t="shared" si="235"/>
        <v>-0.69130743655968319</v>
      </c>
      <c r="O481" s="574">
        <f t="shared" si="236"/>
        <v>1084678.8447100611</v>
      </c>
      <c r="P481" s="577">
        <f t="shared" si="237"/>
        <v>1.5707954048630226</v>
      </c>
      <c r="Q481" s="586">
        <f t="shared" si="259"/>
        <v>202.47585379110967</v>
      </c>
      <c r="R481" s="587">
        <f t="shared" si="260"/>
        <v>1.5658574461989574</v>
      </c>
      <c r="S481" s="574">
        <f t="shared" si="238"/>
        <v>1.5118260422794156</v>
      </c>
      <c r="T481" s="577">
        <f t="shared" si="239"/>
        <v>0.84804349941265067</v>
      </c>
      <c r="U481" s="578">
        <f t="shared" si="251"/>
        <v>0.34089046867744227</v>
      </c>
      <c r="V481" s="579">
        <f t="shared" si="252"/>
        <v>-1.8819957344898051</v>
      </c>
      <c r="W481" s="580">
        <f t="shared" si="240"/>
        <v>-31.894775584541041</v>
      </c>
      <c r="X481" s="581">
        <f t="shared" si="241"/>
        <v>-279.39320779193014</v>
      </c>
      <c r="Y481" s="584">
        <f t="shared" si="242"/>
        <v>-99.393207791930138</v>
      </c>
      <c r="AA481" s="147">
        <f t="shared" si="243"/>
        <v>57544</v>
      </c>
      <c r="AB481" s="147">
        <f t="shared" si="244"/>
        <v>3311311936</v>
      </c>
      <c r="AD481" s="583">
        <f t="shared" si="245"/>
        <v>26.93685504165807</v>
      </c>
      <c r="AE481" s="584">
        <f t="shared" si="246"/>
        <v>-48.872237606555643</v>
      </c>
      <c r="AG481" s="583">
        <f t="shared" si="247"/>
        <v>14.966020361981746</v>
      </c>
      <c r="AH481" s="584">
        <f t="shared" si="248"/>
        <v>-14.860144643167466</v>
      </c>
      <c r="AJ481" s="147">
        <f t="shared" si="249"/>
        <v>0</v>
      </c>
      <c r="AK481" s="147">
        <f t="shared" si="261"/>
        <v>0</v>
      </c>
      <c r="AM481" s="147" t="str">
        <f t="shared" si="253"/>
        <v>1.66281487078253-0.748783311158536i</v>
      </c>
      <c r="AN481" s="147" t="str">
        <f t="shared" si="254"/>
        <v>3.98781718525052i</v>
      </c>
      <c r="AO481" s="147" t="str">
        <f t="shared" si="255"/>
        <v>-0.187767712604282-0.416973696019134i</v>
      </c>
      <c r="AP481" s="147" t="str">
        <f t="shared" si="256"/>
        <v>-0.110469145130421+0.124797218526423i</v>
      </c>
      <c r="AQ481" s="147" t="str">
        <f t="shared" si="257"/>
        <v>1.11046914513042-0.124797218526423i</v>
      </c>
      <c r="AR481" s="147" t="str">
        <f t="shared" si="258"/>
        <v>0.740777524667067+0.0832503766815431i</v>
      </c>
    </row>
    <row r="482" spans="7:44">
      <c r="G482" s="585">
        <v>57879</v>
      </c>
      <c r="H482" s="573">
        <f t="shared" si="250"/>
        <v>57.878999999999998</v>
      </c>
      <c r="I482" s="574">
        <f t="shared" si="230"/>
        <v>503.84200311484085</v>
      </c>
      <c r="J482" s="575">
        <f t="shared" si="231"/>
        <v>1.5688115763168555</v>
      </c>
      <c r="K482" s="575">
        <f t="shared" si="232"/>
        <v>1.0071753705580839</v>
      </c>
      <c r="L482" s="576">
        <f t="shared" si="233"/>
        <v>0.11943807333969621</v>
      </c>
      <c r="M482" s="575">
        <f t="shared" si="234"/>
        <v>1.3010816260188371</v>
      </c>
      <c r="N482" s="576">
        <f t="shared" si="235"/>
        <v>-0.6941601072791066</v>
      </c>
      <c r="O482" s="574">
        <f t="shared" si="236"/>
        <v>1090993.4459365583</v>
      </c>
      <c r="P482" s="577">
        <f t="shared" si="237"/>
        <v>1.5707954101991062</v>
      </c>
      <c r="Q482" s="586">
        <f t="shared" si="259"/>
        <v>203.65456506056879</v>
      </c>
      <c r="R482" s="587">
        <f t="shared" si="260"/>
        <v>1.5658860316673919</v>
      </c>
      <c r="S482" s="574">
        <f t="shared" si="238"/>
        <v>1.5167828926525697</v>
      </c>
      <c r="T482" s="577">
        <f t="shared" si="239"/>
        <v>0.85092206470604614</v>
      </c>
      <c r="U482" s="578">
        <f t="shared" si="251"/>
        <v>0.33791600258372634</v>
      </c>
      <c r="V482" s="579">
        <f t="shared" si="252"/>
        <v>-1.8910544856755562</v>
      </c>
      <c r="W482" s="580">
        <f t="shared" si="240"/>
        <v>-32.02847393900624</v>
      </c>
      <c r="X482" s="581">
        <f t="shared" si="241"/>
        <v>-280.20039996290569</v>
      </c>
      <c r="Y482" s="584">
        <f t="shared" si="242"/>
        <v>-100.20039996290569</v>
      </c>
      <c r="AA482" s="147">
        <f t="shared" si="243"/>
        <v>57879</v>
      </c>
      <c r="AB482" s="147">
        <f t="shared" si="244"/>
        <v>3349978641</v>
      </c>
      <c r="AD482" s="583">
        <f t="shared" si="245"/>
        <v>26.908421826107155</v>
      </c>
      <c r="AE482" s="584">
        <f t="shared" si="246"/>
        <v>-49.035529728145001</v>
      </c>
      <c r="AG482" s="583">
        <f t="shared" si="247"/>
        <v>15.012999202328388</v>
      </c>
      <c r="AH482" s="584">
        <f t="shared" si="248"/>
        <v>-14.465988270162184</v>
      </c>
      <c r="AJ482" s="147">
        <f t="shared" si="249"/>
        <v>0</v>
      </c>
      <c r="AK482" s="147">
        <f t="shared" si="261"/>
        <v>0</v>
      </c>
      <c r="AM482" s="147" t="str">
        <f t="shared" si="253"/>
        <v>1.64525436613568-0.763967802320777i</v>
      </c>
      <c r="AN482" s="147" t="str">
        <f t="shared" si="254"/>
        <v>4.01103278995403i</v>
      </c>
      <c r="AO482" s="147" t="str">
        <f t="shared" si="255"/>
        <v>-0.190466606065699-0.410182227942977i</v>
      </c>
      <c r="AP482" s="147" t="str">
        <f t="shared" si="256"/>
        <v>-0.107542394355947+0.127327967053463i</v>
      </c>
      <c r="AQ482" s="147" t="str">
        <f t="shared" si="257"/>
        <v>1.10754239435595-0.127327967053463i</v>
      </c>
      <c r="AR482" s="147" t="str">
        <f t="shared" si="258"/>
        <v>0.742304772364522+0.0853386363184956i</v>
      </c>
    </row>
    <row r="483" spans="7:44">
      <c r="G483" s="585">
        <v>58214</v>
      </c>
      <c r="H483" s="573">
        <f t="shared" si="250"/>
        <v>58.213999999999999</v>
      </c>
      <c r="I483" s="574">
        <f t="shared" si="230"/>
        <v>506.75819738332495</v>
      </c>
      <c r="J483" s="575">
        <f t="shared" si="231"/>
        <v>1.568822997790712</v>
      </c>
      <c r="K483" s="575">
        <f t="shared" si="232"/>
        <v>1.0072583719679129</v>
      </c>
      <c r="L483" s="576">
        <f t="shared" si="233"/>
        <v>0.12012276126014859</v>
      </c>
      <c r="M483" s="575">
        <f t="shared" si="234"/>
        <v>1.3041689029499646</v>
      </c>
      <c r="N483" s="576">
        <f t="shared" si="235"/>
        <v>-0.69699929511657444</v>
      </c>
      <c r="O483" s="574">
        <f t="shared" si="236"/>
        <v>1097308.0471630557</v>
      </c>
      <c r="P483" s="577">
        <f t="shared" si="237"/>
        <v>1.5707954154737753</v>
      </c>
      <c r="Q483" s="586">
        <f t="shared" si="259"/>
        <v>204.83327649452474</v>
      </c>
      <c r="R483" s="587">
        <f t="shared" si="260"/>
        <v>1.5659142881461552</v>
      </c>
      <c r="S483" s="574">
        <f t="shared" si="238"/>
        <v>1.5217522293597499</v>
      </c>
      <c r="T483" s="577">
        <f t="shared" si="239"/>
        <v>0.85378185345012947</v>
      </c>
      <c r="U483" s="578">
        <f t="shared" si="251"/>
        <v>0.33494325576606016</v>
      </c>
      <c r="V483" s="579">
        <f t="shared" si="252"/>
        <v>-1.9001564294062763</v>
      </c>
      <c r="W483" s="580">
        <f t="shared" si="240"/>
        <v>-32.162462613009588</v>
      </c>
      <c r="X483" s="581">
        <f t="shared" si="241"/>
        <v>-281.00823622999286</v>
      </c>
      <c r="Y483" s="584">
        <f t="shared" si="242"/>
        <v>-101.00823622999286</v>
      </c>
      <c r="AA483" s="147">
        <f t="shared" si="243"/>
        <v>58214</v>
      </c>
      <c r="AB483" s="147">
        <f t="shared" si="244"/>
        <v>3388869796</v>
      </c>
      <c r="AD483" s="583">
        <f t="shared" si="245"/>
        <v>26.880010125963011</v>
      </c>
      <c r="AE483" s="584">
        <f t="shared" si="246"/>
        <v>-49.197764878904621</v>
      </c>
      <c r="AG483" s="583">
        <f t="shared" si="247"/>
        <v>15.060923088954997</v>
      </c>
      <c r="AH483" s="584">
        <f t="shared" si="248"/>
        <v>-14.068583463026338</v>
      </c>
      <c r="AJ483" s="147">
        <f t="shared" si="249"/>
        <v>0</v>
      </c>
      <c r="AK483" s="147">
        <f t="shared" si="261"/>
        <v>0</v>
      </c>
      <c r="AM483" s="147" t="str">
        <f t="shared" si="253"/>
        <v>1.62734610803926-0.778740560602822i</v>
      </c>
      <c r="AN483" s="147" t="str">
        <f t="shared" si="254"/>
        <v>4.03424839465754i</v>
      </c>
      <c r="AO483" s="147" t="str">
        <f t="shared" si="255"/>
        <v>-0.193032377885826-0.403382724324639i</v>
      </c>
      <c r="AP483" s="147" t="str">
        <f t="shared" si="256"/>
        <v>-0.10455768467321+0.129790093433804i</v>
      </c>
      <c r="AQ483" s="147" t="str">
        <f t="shared" si="257"/>
        <v>1.10455768467321-0.129790093433804i</v>
      </c>
      <c r="AR483" s="147" t="str">
        <f t="shared" si="258"/>
        <v>0.743877151775016+0.0874086400120566i</v>
      </c>
    </row>
    <row r="484" spans="7:44">
      <c r="G484" s="585">
        <v>58549</v>
      </c>
      <c r="H484" s="573">
        <f t="shared" si="250"/>
        <v>58.548999999999999</v>
      </c>
      <c r="I484" s="574">
        <f t="shared" si="230"/>
        <v>509.67439171715915</v>
      </c>
      <c r="J484" s="575">
        <f t="shared" si="231"/>
        <v>1.5688342885645077</v>
      </c>
      <c r="K484" s="575">
        <f t="shared" si="232"/>
        <v>1.0073418455000527</v>
      </c>
      <c r="L484" s="576">
        <f t="shared" si="233"/>
        <v>0.1208073360279506</v>
      </c>
      <c r="M484" s="575">
        <f t="shared" si="234"/>
        <v>1.3072666430660584</v>
      </c>
      <c r="N484" s="576">
        <f t="shared" si="235"/>
        <v>-0.69982504998524531</v>
      </c>
      <c r="O484" s="574">
        <f t="shared" si="236"/>
        <v>1103622.6483895532</v>
      </c>
      <c r="P484" s="577">
        <f t="shared" si="237"/>
        <v>1.5707954206880843</v>
      </c>
      <c r="Q484" s="586">
        <f t="shared" si="259"/>
        <v>206.01198809015395</v>
      </c>
      <c r="R484" s="587">
        <f t="shared" si="260"/>
        <v>1.5659422212822121</v>
      </c>
      <c r="S484" s="574">
        <f t="shared" si="238"/>
        <v>1.526733930476381</v>
      </c>
      <c r="T484" s="577">
        <f t="shared" si="239"/>
        <v>0.85662300244159073</v>
      </c>
      <c r="U484" s="578">
        <f t="shared" si="251"/>
        <v>0.33197174263950102</v>
      </c>
      <c r="V484" s="579">
        <f t="shared" si="252"/>
        <v>-1.9093028268618564</v>
      </c>
      <c r="W484" s="580">
        <f t="shared" si="240"/>
        <v>-32.296768441117052</v>
      </c>
      <c r="X484" s="581">
        <f t="shared" si="241"/>
        <v>-281.81679939364574</v>
      </c>
      <c r="Y484" s="584">
        <f t="shared" si="242"/>
        <v>-101.81679939364574</v>
      </c>
      <c r="AA484" s="147">
        <f t="shared" si="243"/>
        <v>58549</v>
      </c>
      <c r="AB484" s="147">
        <f t="shared" si="244"/>
        <v>3427985401</v>
      </c>
      <c r="AD484" s="583">
        <f t="shared" si="245"/>
        <v>26.851620726980563</v>
      </c>
      <c r="AE484" s="584">
        <f t="shared" si="246"/>
        <v>-49.358950573220667</v>
      </c>
      <c r="AG484" s="583">
        <f t="shared" si="247"/>
        <v>15.109811430680747</v>
      </c>
      <c r="AH484" s="584">
        <f t="shared" si="248"/>
        <v>-13.667860987257621</v>
      </c>
      <c r="AJ484" s="147">
        <f t="shared" si="249"/>
        <v>0</v>
      </c>
      <c r="AK484" s="147">
        <f t="shared" si="261"/>
        <v>0</v>
      </c>
      <c r="AM484" s="147" t="str">
        <f t="shared" si="253"/>
        <v>1.60909974797156-0.793093624372921i</v>
      </c>
      <c r="AN484" s="147" t="str">
        <f t="shared" si="254"/>
        <v>4.05746399936106i</v>
      </c>
      <c r="AO484" s="147" t="str">
        <f t="shared" si="255"/>
        <v>-0.195465350893517-0.396577701792289i</v>
      </c>
      <c r="AP484" s="147" t="str">
        <f t="shared" si="256"/>
        <v>-0.101516624661927+0.13218227072882i</v>
      </c>
      <c r="AQ484" s="147" t="str">
        <f t="shared" si="257"/>
        <v>1.10151662466193-0.13218227072882i</v>
      </c>
      <c r="AR484" s="147" t="str">
        <f t="shared" si="258"/>
        <v>0.745494903879844+0.0894595751034123i</v>
      </c>
    </row>
    <row r="485" spans="7:44">
      <c r="G485" s="585">
        <v>58884</v>
      </c>
      <c r="H485" s="573">
        <f t="shared" si="250"/>
        <v>58.884</v>
      </c>
      <c r="I485" s="574">
        <f t="shared" si="230"/>
        <v>512.59058611522823</v>
      </c>
      <c r="J485" s="575">
        <f t="shared" si="231"/>
        <v>1.5688454508689487</v>
      </c>
      <c r="K485" s="575">
        <f t="shared" si="232"/>
        <v>1.007425791037146</v>
      </c>
      <c r="L485" s="576">
        <f t="shared" si="233"/>
        <v>0.12149179702966748</v>
      </c>
      <c r="M485" s="575">
        <f t="shared" si="234"/>
        <v>1.3103747721618744</v>
      </c>
      <c r="N485" s="576">
        <f t="shared" si="235"/>
        <v>-0.70263742218518932</v>
      </c>
      <c r="O485" s="574">
        <f t="shared" si="236"/>
        <v>1109937.2496160506</v>
      </c>
      <c r="P485" s="577">
        <f t="shared" si="237"/>
        <v>1.5707954258430632</v>
      </c>
      <c r="Q485" s="586">
        <f t="shared" si="259"/>
        <v>207.19069984469718</v>
      </c>
      <c r="R485" s="587">
        <f t="shared" si="260"/>
        <v>1.5659698365940267</v>
      </c>
      <c r="S485" s="574">
        <f t="shared" si="238"/>
        <v>1.5317278753626462</v>
      </c>
      <c r="T485" s="577">
        <f t="shared" si="239"/>
        <v>0.85944564790344069</v>
      </c>
      <c r="U485" s="578">
        <f t="shared" si="251"/>
        <v>0.32900097547845775</v>
      </c>
      <c r="V485" s="579">
        <f t="shared" si="252"/>
        <v>-1.9184949458936591</v>
      </c>
      <c r="W485" s="580">
        <f t="shared" si="240"/>
        <v>-32.431419006327943</v>
      </c>
      <c r="X485" s="581">
        <f t="shared" si="241"/>
        <v>-282.62617263021326</v>
      </c>
      <c r="Y485" s="584">
        <f t="shared" si="242"/>
        <v>-102.62617263021326</v>
      </c>
      <c r="AA485" s="147">
        <f t="shared" si="243"/>
        <v>58884</v>
      </c>
      <c r="AB485" s="147">
        <f t="shared" si="244"/>
        <v>3467325456</v>
      </c>
      <c r="AD485" s="583">
        <f t="shared" si="245"/>
        <v>26.823254397163975</v>
      </c>
      <c r="AE485" s="584">
        <f t="shared" si="246"/>
        <v>-49.519094299971016</v>
      </c>
      <c r="AG485" s="583">
        <f t="shared" si="247"/>
        <v>15.159684499506778</v>
      </c>
      <c r="AH485" s="584">
        <f t="shared" si="248"/>
        <v>-13.263751245262826</v>
      </c>
      <c r="AJ485" s="147">
        <f t="shared" si="249"/>
        <v>0</v>
      </c>
      <c r="AK485" s="147">
        <f t="shared" si="261"/>
        <v>0</v>
      </c>
      <c r="AM485" s="147" t="str">
        <f t="shared" si="253"/>
        <v>1.59052511962766-0.807019258189507i</v>
      </c>
      <c r="AN485" s="147" t="str">
        <f t="shared" si="254"/>
        <v>4.08067960406457i</v>
      </c>
      <c r="AO485" s="147" t="str">
        <f t="shared" si="255"/>
        <v>-0.197765896000674-0.389769664357725i</v>
      </c>
      <c r="AP485" s="147" t="str">
        <f t="shared" si="256"/>
        <v>-0.098420853271276+0.134503209698251i</v>
      </c>
      <c r="AQ485" s="147" t="str">
        <f t="shared" si="257"/>
        <v>1.09842085327128-0.134503209698251i</v>
      </c>
      <c r="AR485" s="147" t="str">
        <f t="shared" si="258"/>
        <v>0.747158266294278+0.0914906018670981i</v>
      </c>
    </row>
    <row r="486" spans="7:44">
      <c r="G486" s="585">
        <v>59227</v>
      </c>
      <c r="H486" s="573">
        <f t="shared" si="250"/>
        <v>59.226999999999997</v>
      </c>
      <c r="I486" s="574">
        <f t="shared" si="230"/>
        <v>515.57642104195043</v>
      </c>
      <c r="J486" s="575">
        <f t="shared" si="231"/>
        <v>1.5688567489046334</v>
      </c>
      <c r="K486" s="575">
        <f t="shared" si="232"/>
        <v>1.0075122301677446</v>
      </c>
      <c r="L486" s="576">
        <f t="shared" si="233"/>
        <v>0.12219248485503038</v>
      </c>
      <c r="M486" s="575">
        <f t="shared" si="234"/>
        <v>1.3135678123018704</v>
      </c>
      <c r="N486" s="576">
        <f t="shared" si="235"/>
        <v>-0.70550314256971414</v>
      </c>
      <c r="O486" s="574">
        <f t="shared" si="236"/>
        <v>1116402.6472897478</v>
      </c>
      <c r="P486" s="577">
        <f t="shared" si="237"/>
        <v>1.5707954310607255</v>
      </c>
      <c r="Q486" s="586">
        <f t="shared" si="259"/>
        <v>208.39756010148307</v>
      </c>
      <c r="R486" s="587">
        <f t="shared" si="260"/>
        <v>1.5659977877084206</v>
      </c>
      <c r="S486" s="574">
        <f t="shared" si="238"/>
        <v>1.5368536398252239</v>
      </c>
      <c r="T486" s="577">
        <f t="shared" si="239"/>
        <v>0.86231666985133282</v>
      </c>
      <c r="U486" s="578">
        <f t="shared" si="251"/>
        <v>0.32595952596332617</v>
      </c>
      <c r="V486" s="579">
        <f t="shared" si="252"/>
        <v>-1.9279552815972367</v>
      </c>
      <c r="W486" s="580">
        <f t="shared" si="240"/>
        <v>-32.569671918976454</v>
      </c>
      <c r="X486" s="581">
        <f t="shared" si="241"/>
        <v>-283.45580075622928</v>
      </c>
      <c r="Y486" s="584">
        <f t="shared" si="242"/>
        <v>-103.45580075622928</v>
      </c>
      <c r="AA486" s="147">
        <f t="shared" si="243"/>
        <v>59227</v>
      </c>
      <c r="AB486" s="147">
        <f t="shared" si="244"/>
        <v>3507837529</v>
      </c>
      <c r="AD486" s="583">
        <f t="shared" si="245"/>
        <v>26.794235348280711</v>
      </c>
      <c r="AE486" s="584">
        <f t="shared" si="246"/>
        <v>-49.681990558723378</v>
      </c>
      <c r="AG486" s="583">
        <f t="shared" si="247"/>
        <v>15.211790958790681</v>
      </c>
      <c r="AH486" s="584">
        <f t="shared" si="248"/>
        <v>-12.84640849410393</v>
      </c>
      <c r="AJ486" s="147">
        <f t="shared" si="249"/>
        <v>0</v>
      </c>
      <c r="AK486" s="147">
        <f t="shared" si="261"/>
        <v>0</v>
      </c>
      <c r="AM486" s="147" t="str">
        <f t="shared" si="253"/>
        <v>1.57117725302202-0.820826745196709i</v>
      </c>
      <c r="AN486" s="147" t="str">
        <f t="shared" si="254"/>
        <v>4.10444961126846i</v>
      </c>
      <c r="AO486" s="147" t="str">
        <f t="shared" si="255"/>
        <v>-0.199984607666565-0.382798523999045i</v>
      </c>
      <c r="AP486" s="147" t="str">
        <f t="shared" si="256"/>
        <v>-0.0951962088370028+0.136804457532785i</v>
      </c>
      <c r="AQ486" s="147" t="str">
        <f t="shared" si="257"/>
        <v>1.095196208837-0.136804457532785i</v>
      </c>
      <c r="AR486" s="147" t="str">
        <f t="shared" si="258"/>
        <v>0.748908851462156+0.0935485973555171i</v>
      </c>
    </row>
    <row r="487" spans="7:44">
      <c r="G487" s="585">
        <v>59570</v>
      </c>
      <c r="H487" s="573">
        <f t="shared" si="250"/>
        <v>59.57</v>
      </c>
      <c r="I487" s="574">
        <f t="shared" si="230"/>
        <v>518.56225603372593</v>
      </c>
      <c r="J487" s="575">
        <f t="shared" si="231"/>
        <v>1.5688679168341659</v>
      </c>
      <c r="K487" s="575">
        <f t="shared" si="232"/>
        <v>1.0075991638649906</v>
      </c>
      <c r="L487" s="576">
        <f t="shared" si="233"/>
        <v>0.12289305211632977</v>
      </c>
      <c r="M487" s="575">
        <f t="shared" si="234"/>
        <v>1.3167715875561741</v>
      </c>
      <c r="N487" s="576">
        <f t="shared" si="235"/>
        <v>-0.7083549413794864</v>
      </c>
      <c r="O487" s="574">
        <f t="shared" si="236"/>
        <v>1122868.0449634453</v>
      </c>
      <c r="P487" s="577">
        <f t="shared" si="237"/>
        <v>1.5707954362183016</v>
      </c>
      <c r="Q487" s="586">
        <f t="shared" si="259"/>
        <v>209.60442051920774</v>
      </c>
      <c r="R487" s="587">
        <f t="shared" si="260"/>
        <v>1.5660254169489602</v>
      </c>
      <c r="S487" s="574">
        <f t="shared" si="238"/>
        <v>1.5419919879342461</v>
      </c>
      <c r="T487" s="577">
        <f t="shared" si="239"/>
        <v>0.86516858108213923</v>
      </c>
      <c r="U487" s="578">
        <f t="shared" si="251"/>
        <v>0.32291781698807615</v>
      </c>
      <c r="V487" s="579">
        <f t="shared" si="252"/>
        <v>-1.9374662595977676</v>
      </c>
      <c r="W487" s="580">
        <f t="shared" si="240"/>
        <v>-32.708347300548994</v>
      </c>
      <c r="X487" s="581">
        <f t="shared" si="241"/>
        <v>-284.28645575306615</v>
      </c>
      <c r="Y487" s="584">
        <f t="shared" si="242"/>
        <v>-104.28645575306615</v>
      </c>
      <c r="AA487" s="147">
        <f t="shared" si="243"/>
        <v>59570</v>
      </c>
      <c r="AB487" s="147">
        <f t="shared" si="244"/>
        <v>3548584900</v>
      </c>
      <c r="AD487" s="583">
        <f t="shared" si="245"/>
        <v>26.765242057222274</v>
      </c>
      <c r="AE487" s="584">
        <f t="shared" si="246"/>
        <v>-49.84381029261273</v>
      </c>
      <c r="AG487" s="583">
        <f t="shared" si="247"/>
        <v>15.264975655212091</v>
      </c>
      <c r="AH487" s="584">
        <f t="shared" si="248"/>
        <v>-12.425365958861628</v>
      </c>
      <c r="AJ487" s="147">
        <f t="shared" si="249"/>
        <v>0</v>
      </c>
      <c r="AK487" s="147">
        <f t="shared" si="261"/>
        <v>0</v>
      </c>
      <c r="AM487" s="147" t="str">
        <f t="shared" si="253"/>
        <v>1.55150667889954-0.834170476059418i</v>
      </c>
      <c r="AN487" s="147" t="str">
        <f t="shared" si="254"/>
        <v>4.12821961847236i</v>
      </c>
      <c r="AO487" s="147" t="str">
        <f t="shared" si="255"/>
        <v>-0.202065430900719-0.375829491230816i</v>
      </c>
      <c r="AP487" s="147" t="str">
        <f t="shared" si="256"/>
        <v>-0.0919177798165905+0.13902841267657i</v>
      </c>
      <c r="AQ487" s="147" t="str">
        <f t="shared" si="257"/>
        <v>1.09191777981659-0.13902841267657i</v>
      </c>
      <c r="AR487" s="147" t="str">
        <f t="shared" si="258"/>
        <v>0.750707740252211+0.0955838502133473i</v>
      </c>
    </row>
    <row r="488" spans="7:44">
      <c r="G488" s="585">
        <v>59913</v>
      </c>
      <c r="H488" s="573">
        <f t="shared" si="250"/>
        <v>59.912999999999997</v>
      </c>
      <c r="I488" s="574">
        <f t="shared" si="230"/>
        <v>521.54809108943743</v>
      </c>
      <c r="J488" s="575">
        <f t="shared" si="231"/>
        <v>1.5688789568920958</v>
      </c>
      <c r="K488" s="575">
        <f t="shared" si="232"/>
        <v>1.0076865920008848</v>
      </c>
      <c r="L488" s="576">
        <f t="shared" si="233"/>
        <v>0.12359349815718931</v>
      </c>
      <c r="M488" s="575">
        <f t="shared" si="234"/>
        <v>1.3199860197582922</v>
      </c>
      <c r="N488" s="576">
        <f t="shared" si="235"/>
        <v>-0.71119287376539586</v>
      </c>
      <c r="O488" s="574">
        <f t="shared" si="236"/>
        <v>1129333.442637143</v>
      </c>
      <c r="P488" s="577">
        <f t="shared" si="237"/>
        <v>1.5707954413168241</v>
      </c>
      <c r="Q488" s="586">
        <f t="shared" si="259"/>
        <v>210.81128109510712</v>
      </c>
      <c r="R488" s="587">
        <f t="shared" si="260"/>
        <v>1.5660527298436309</v>
      </c>
      <c r="S488" s="574">
        <f t="shared" si="238"/>
        <v>1.5471427943118483</v>
      </c>
      <c r="T488" s="577">
        <f t="shared" si="239"/>
        <v>0.86800152584514012</v>
      </c>
      <c r="U488" s="578">
        <f t="shared" si="251"/>
        <v>0.31987531840854538</v>
      </c>
      <c r="V488" s="579">
        <f t="shared" si="252"/>
        <v>-1.9470292616618807</v>
      </c>
      <c r="W488" s="580">
        <f t="shared" si="240"/>
        <v>-32.847477419425594</v>
      </c>
      <c r="X488" s="581">
        <f t="shared" si="241"/>
        <v>-285.11822806387477</v>
      </c>
      <c r="Y488" s="584">
        <f t="shared" si="242"/>
        <v>-105.11822806387477</v>
      </c>
      <c r="AA488" s="147">
        <f t="shared" si="243"/>
        <v>59913</v>
      </c>
      <c r="AB488" s="147">
        <f t="shared" si="244"/>
        <v>3589567569</v>
      </c>
      <c r="AD488" s="583">
        <f t="shared" si="245"/>
        <v>26.736275292375019</v>
      </c>
      <c r="AE488" s="584">
        <f t="shared" si="246"/>
        <v>-50.00456144984296</v>
      </c>
      <c r="AG488" s="583">
        <f t="shared" si="247"/>
        <v>15.319263368160716</v>
      </c>
      <c r="AH488" s="584">
        <f t="shared" si="248"/>
        <v>-12.000547795690787</v>
      </c>
      <c r="AJ488" s="147">
        <f t="shared" si="249"/>
        <v>0</v>
      </c>
      <c r="AK488" s="147">
        <f t="shared" si="261"/>
        <v>0</v>
      </c>
      <c r="AM488" s="147" t="str">
        <f t="shared" si="253"/>
        <v>1.53152451087182-0.847042911747963i</v>
      </c>
      <c r="AN488" s="147" t="str">
        <f t="shared" si="254"/>
        <v>4.15198962567625i</v>
      </c>
      <c r="AO488" s="147" t="str">
        <f t="shared" si="255"/>
        <v>-0.204008918160532-0.368865206550793i</v>
      </c>
      <c r="AP488" s="147" t="str">
        <f t="shared" si="256"/>
        <v>-0.0885874184786375+0.14117381862466i</v>
      </c>
      <c r="AQ488" s="147" t="str">
        <f t="shared" si="257"/>
        <v>1.08858741847864-0.14117381862466i</v>
      </c>
      <c r="AR488" s="147" t="str">
        <f t="shared" si="258"/>
        <v>0.752555169808143+0.0975953655573409i</v>
      </c>
    </row>
    <row r="489" spans="7:44">
      <c r="G489" s="585">
        <v>60256</v>
      </c>
      <c r="H489" s="573">
        <f t="shared" si="250"/>
        <v>60.256</v>
      </c>
      <c r="I489" s="574">
        <f t="shared" si="230"/>
        <v>524.53392620799286</v>
      </c>
      <c r="J489" s="575">
        <f t="shared" si="231"/>
        <v>1.5688898712620931</v>
      </c>
      <c r="K489" s="575">
        <f t="shared" si="232"/>
        <v>1.0077745144467438</v>
      </c>
      <c r="L489" s="576">
        <f t="shared" si="233"/>
        <v>0.12429382232193564</v>
      </c>
      <c r="M489" s="575">
        <f t="shared" si="234"/>
        <v>1.3232110312425294</v>
      </c>
      <c r="N489" s="576">
        <f t="shared" si="235"/>
        <v>-0.71401699523675233</v>
      </c>
      <c r="O489" s="574">
        <f t="shared" si="236"/>
        <v>1135798.8403108404</v>
      </c>
      <c r="P489" s="577">
        <f t="shared" si="237"/>
        <v>1.5707954463573011</v>
      </c>
      <c r="Q489" s="586">
        <f t="shared" si="259"/>
        <v>212.01814182648016</v>
      </c>
      <c r="R489" s="587">
        <f t="shared" si="260"/>
        <v>1.5660797317945525</v>
      </c>
      <c r="S489" s="574">
        <f t="shared" si="238"/>
        <v>1.5523059349422834</v>
      </c>
      <c r="T489" s="577">
        <f t="shared" si="239"/>
        <v>0.8708156476951483</v>
      </c>
      <c r="U489" s="578">
        <f t="shared" si="251"/>
        <v>0.31683149799962868</v>
      </c>
      <c r="V489" s="579">
        <f t="shared" si="252"/>
        <v>-1.9566456762035118</v>
      </c>
      <c r="W489" s="580">
        <f t="shared" si="240"/>
        <v>-32.987095523188103</v>
      </c>
      <c r="X489" s="581">
        <f t="shared" si="241"/>
        <v>-285.95120849766982</v>
      </c>
      <c r="Y489" s="584">
        <f t="shared" si="242"/>
        <v>-105.95120849766982</v>
      </c>
      <c r="AA489" s="147">
        <f t="shared" si="243"/>
        <v>60256</v>
      </c>
      <c r="AB489" s="147">
        <f t="shared" si="244"/>
        <v>3630785536</v>
      </c>
      <c r="AD489" s="583">
        <f t="shared" si="245"/>
        <v>26.70733580387602</v>
      </c>
      <c r="AE489" s="584">
        <f t="shared" si="246"/>
        <v>-50.164251946038078</v>
      </c>
      <c r="AG489" s="583">
        <f t="shared" si="247"/>
        <v>15.374679972089339</v>
      </c>
      <c r="AH489" s="584">
        <f t="shared" si="248"/>
        <v>-11.571877797464172</v>
      </c>
      <c r="AJ489" s="147">
        <f t="shared" si="249"/>
        <v>0</v>
      </c>
      <c r="AK489" s="147">
        <f t="shared" si="261"/>
        <v>0</v>
      </c>
      <c r="AM489" s="147" t="str">
        <f t="shared" si="253"/>
        <v>1.51124203859681-0.85943677950817i</v>
      </c>
      <c r="AN489" s="147" t="str">
        <f t="shared" si="254"/>
        <v>4.17575963288015i</v>
      </c>
      <c r="AO489" s="147" t="str">
        <f t="shared" si="255"/>
        <v>-0.205815673091171-0.36190829249299i</v>
      </c>
      <c r="AP489" s="147" t="str">
        <f t="shared" si="256"/>
        <v>-0.085207006432802+0.143239463251362i</v>
      </c>
      <c r="AQ489" s="147" t="str">
        <f t="shared" si="257"/>
        <v>1.0852070064328-0.143239463251362i</v>
      </c>
      <c r="AR489" s="147" t="str">
        <f t="shared" si="258"/>
        <v>0.75445136865203+0.0995821151673186i</v>
      </c>
    </row>
    <row r="490" spans="7:44">
      <c r="G490" s="585">
        <v>60607</v>
      </c>
      <c r="H490" s="573">
        <f t="shared" si="250"/>
        <v>60.606999999999999</v>
      </c>
      <c r="I490" s="574">
        <f t="shared" si="230"/>
        <v>527.58940185973245</v>
      </c>
      <c r="J490" s="575">
        <f t="shared" si="231"/>
        <v>1.5689009123016537</v>
      </c>
      <c r="K490" s="575">
        <f t="shared" si="232"/>
        <v>1.0078649991649802</v>
      </c>
      <c r="L490" s="576">
        <f t="shared" si="233"/>
        <v>0.1250103537215109</v>
      </c>
      <c r="M490" s="575">
        <f t="shared" si="234"/>
        <v>1.3265221334304014</v>
      </c>
      <c r="N490" s="576">
        <f t="shared" si="235"/>
        <v>-0.71689274585101836</v>
      </c>
      <c r="O490" s="574">
        <f t="shared" si="236"/>
        <v>1142415.0344317378</v>
      </c>
      <c r="P490" s="577">
        <f t="shared" si="237"/>
        <v>1.5707954514562763</v>
      </c>
      <c r="Q490" s="586">
        <f t="shared" si="259"/>
        <v>213.25315107130515</v>
      </c>
      <c r="R490" s="587">
        <f t="shared" si="260"/>
        <v>1.5661070471295018</v>
      </c>
      <c r="S490" s="574">
        <f t="shared" si="238"/>
        <v>1.5576021398342166</v>
      </c>
      <c r="T490" s="577">
        <f t="shared" si="239"/>
        <v>0.87367606750769755</v>
      </c>
      <c r="U490" s="578">
        <f t="shared" si="251"/>
        <v>0.31371475891287481</v>
      </c>
      <c r="V490" s="579">
        <f t="shared" si="252"/>
        <v>-1.9665431311961286</v>
      </c>
      <c r="W490" s="580">
        <f t="shared" si="240"/>
        <v>-33.13051097770478</v>
      </c>
      <c r="X490" s="581">
        <f t="shared" si="241"/>
        <v>-286.80496287229255</v>
      </c>
      <c r="Y490" s="584">
        <f t="shared" si="242"/>
        <v>-106.80496287229255</v>
      </c>
      <c r="AA490" s="147">
        <f t="shared" si="243"/>
        <v>60607</v>
      </c>
      <c r="AB490" s="147">
        <f t="shared" si="244"/>
        <v>3673208449</v>
      </c>
      <c r="AD490" s="583">
        <f t="shared" si="245"/>
        <v>26.677750343725091</v>
      </c>
      <c r="AE490" s="584">
        <f t="shared" si="246"/>
        <v>-50.326577167859426</v>
      </c>
      <c r="AG490" s="583">
        <f t="shared" si="247"/>
        <v>15.432585972792738</v>
      </c>
      <c r="AH490" s="584">
        <f t="shared" si="248"/>
        <v>-11.129142150974241</v>
      </c>
      <c r="AJ490" s="147">
        <f t="shared" si="249"/>
        <v>0</v>
      </c>
      <c r="AK490" s="147">
        <f t="shared" si="261"/>
        <v>0</v>
      </c>
      <c r="AM490" s="147" t="str">
        <f t="shared" si="253"/>
        <v>1.49018757012895-0.871616972121972i</v>
      </c>
      <c r="AN490" s="147" t="str">
        <f t="shared" si="254"/>
        <v>4.20008404258443i</v>
      </c>
      <c r="AO490" s="147" t="str">
        <f t="shared" si="255"/>
        <v>-0.207523697927159-0.354799464729757i</v>
      </c>
      <c r="AP490" s="147" t="str">
        <f t="shared" si="256"/>
        <v>-0.0816979283548253+0.145269495353662i</v>
      </c>
      <c r="AQ490" s="147" t="str">
        <f t="shared" si="257"/>
        <v>1.08169792835483-0.145269495353662i</v>
      </c>
      <c r="AR490" s="147" t="str">
        <f t="shared" si="258"/>
        <v>0.756442510337543+0.101588455390612i</v>
      </c>
    </row>
    <row r="491" spans="7:44">
      <c r="G491" s="585">
        <v>60958</v>
      </c>
      <c r="H491" s="573">
        <f t="shared" si="250"/>
        <v>60.957999999999998</v>
      </c>
      <c r="I491" s="574">
        <f t="shared" si="230"/>
        <v>530.64487757504685</v>
      </c>
      <c r="J491" s="575">
        <f t="shared" si="231"/>
        <v>1.5689118261916675</v>
      </c>
      <c r="K491" s="575">
        <f t="shared" si="232"/>
        <v>1.0079560012454298</v>
      </c>
      <c r="L491" s="576">
        <f t="shared" si="233"/>
        <v>0.1257267561065141</v>
      </c>
      <c r="M491" s="575">
        <f t="shared" si="234"/>
        <v>1.3298441511976353</v>
      </c>
      <c r="N491" s="576">
        <f t="shared" si="235"/>
        <v>-0.71975415249049668</v>
      </c>
      <c r="O491" s="574">
        <f t="shared" si="236"/>
        <v>1149031.2285526353</v>
      </c>
      <c r="P491" s="577">
        <f t="shared" si="237"/>
        <v>1.5707954564965312</v>
      </c>
      <c r="Q491" s="586">
        <f t="shared" si="259"/>
        <v>214.48816047341185</v>
      </c>
      <c r="R491" s="587">
        <f t="shared" si="260"/>
        <v>1.5661340479044934</v>
      </c>
      <c r="S491" s="574">
        <f t="shared" si="238"/>
        <v>1.562911002595889</v>
      </c>
      <c r="T491" s="577">
        <f t="shared" si="239"/>
        <v>0.87651707800808953</v>
      </c>
      <c r="U491" s="578">
        <f t="shared" si="251"/>
        <v>0.31059550172571881</v>
      </c>
      <c r="V491" s="579">
        <f t="shared" si="252"/>
        <v>-1.9764994811715906</v>
      </c>
      <c r="W491" s="580">
        <f t="shared" si="240"/>
        <v>-33.274511225252418</v>
      </c>
      <c r="X491" s="581">
        <f t="shared" si="241"/>
        <v>-287.66017588643331</v>
      </c>
      <c r="Y491" s="584">
        <f t="shared" si="242"/>
        <v>-107.66017588643331</v>
      </c>
      <c r="AA491" s="147">
        <f t="shared" si="243"/>
        <v>60958</v>
      </c>
      <c r="AB491" s="147">
        <f t="shared" si="244"/>
        <v>3715877764</v>
      </c>
      <c r="AD491" s="583">
        <f t="shared" si="245"/>
        <v>26.64819497932811</v>
      </c>
      <c r="AE491" s="584">
        <f t="shared" si="246"/>
        <v>-50.487808337603191</v>
      </c>
      <c r="AG491" s="583">
        <f t="shared" si="247"/>
        <v>15.491732656781565</v>
      </c>
      <c r="AH491" s="584">
        <f t="shared" si="248"/>
        <v>-10.682210328169283</v>
      </c>
      <c r="AJ491" s="147">
        <f t="shared" si="249"/>
        <v>0</v>
      </c>
      <c r="AK491" s="147">
        <f t="shared" si="261"/>
        <v>0</v>
      </c>
      <c r="AM491" s="147" t="str">
        <f t="shared" si="253"/>
        <v>1.46884308329572-0.883281474528797i</v>
      </c>
      <c r="AN491" s="147" t="str">
        <f t="shared" si="254"/>
        <v>4.2244084522887i</v>
      </c>
      <c r="AO491" s="147" t="str">
        <f t="shared" si="255"/>
        <v>-0.209089978988716-0.347703850109459i</v>
      </c>
      <c r="AP491" s="147" t="str">
        <f t="shared" si="256"/>
        <v>-0.0781405138826193+0.147213579088133i</v>
      </c>
      <c r="AQ491" s="147" t="str">
        <f t="shared" si="257"/>
        <v>1.07814051388262-0.147213579088133i</v>
      </c>
      <c r="AR491" s="147" t="str">
        <f t="shared" si="258"/>
        <v>0.758485173084247+0.103566571868174i</v>
      </c>
    </row>
    <row r="492" spans="7:44">
      <c r="G492" s="585">
        <v>61309</v>
      </c>
      <c r="H492" s="573">
        <f t="shared" si="250"/>
        <v>61.308999999999997</v>
      </c>
      <c r="I492" s="574">
        <f t="shared" si="230"/>
        <v>533.70035335284422</v>
      </c>
      <c r="J492" s="575">
        <f t="shared" si="231"/>
        <v>1.5689226151159543</v>
      </c>
      <c r="K492" s="575">
        <f t="shared" si="232"/>
        <v>1.0080475205479773</v>
      </c>
      <c r="L492" s="576">
        <f t="shared" si="233"/>
        <v>0.12644302877662417</v>
      </c>
      <c r="M492" s="575">
        <f t="shared" si="234"/>
        <v>1.3331770029457315</v>
      </c>
      <c r="N492" s="576">
        <f t="shared" si="235"/>
        <v>-0.72260127570072585</v>
      </c>
      <c r="O492" s="574">
        <f t="shared" si="236"/>
        <v>1155647.4226735327</v>
      </c>
      <c r="P492" s="577">
        <f t="shared" si="237"/>
        <v>1.5707954614790742</v>
      </c>
      <c r="Q492" s="586">
        <f t="shared" si="259"/>
        <v>215.72317003009897</v>
      </c>
      <c r="R492" s="587">
        <f t="shared" si="260"/>
        <v>1.5661607395220305</v>
      </c>
      <c r="S492" s="574">
        <f t="shared" si="238"/>
        <v>1.5682323946770471</v>
      </c>
      <c r="T492" s="577">
        <f t="shared" si="239"/>
        <v>0.87933883068281615</v>
      </c>
      <c r="U492" s="578">
        <f t="shared" si="251"/>
        <v>0.3074731500827807</v>
      </c>
      <c r="V492" s="579">
        <f t="shared" si="252"/>
        <v>-1.9865162336559912</v>
      </c>
      <c r="W492" s="580">
        <f t="shared" si="240"/>
        <v>-33.419135381181761</v>
      </c>
      <c r="X492" s="581">
        <f t="shared" si="241"/>
        <v>-288.5169459192818</v>
      </c>
      <c r="Y492" s="584">
        <f t="shared" si="242"/>
        <v>-108.5169459192818</v>
      </c>
      <c r="AA492" s="147">
        <f t="shared" si="243"/>
        <v>61309</v>
      </c>
      <c r="AB492" s="147">
        <f t="shared" si="244"/>
        <v>3758793481</v>
      </c>
      <c r="AD492" s="583">
        <f t="shared" si="245"/>
        <v>26.618670457212332</v>
      </c>
      <c r="AE492" s="584">
        <f t="shared" si="246"/>
        <v>-50.647953825323206</v>
      </c>
      <c r="AG492" s="583">
        <f t="shared" si="247"/>
        <v>15.552151599522519</v>
      </c>
      <c r="AH492" s="584">
        <f t="shared" si="248"/>
        <v>-10.230999588419481</v>
      </c>
      <c r="AJ492" s="147">
        <f t="shared" si="249"/>
        <v>0</v>
      </c>
      <c r="AK492" s="147">
        <f t="shared" si="261"/>
        <v>0</v>
      </c>
      <c r="AM492" s="147" t="str">
        <f t="shared" si="253"/>
        <v>1.44722120651437-0.894423385452232i</v>
      </c>
      <c r="AN492" s="147" t="str">
        <f t="shared" si="254"/>
        <v>4.24873286199298i</v>
      </c>
      <c r="AO492" s="147" t="str">
        <f t="shared" si="255"/>
        <v>-0.210515326452574-0.340624193970979i</v>
      </c>
      <c r="AP492" s="147" t="str">
        <f t="shared" si="256"/>
        <v>-0.074536867752395+0.149070564242039i</v>
      </c>
      <c r="AQ492" s="147" t="str">
        <f t="shared" si="257"/>
        <v>1.07453686775239-0.149070564242039i</v>
      </c>
      <c r="AR492" s="147" t="str">
        <f t="shared" si="258"/>
        <v>0.760579563976678+0.105515248620668i</v>
      </c>
    </row>
    <row r="493" spans="7:44">
      <c r="G493" s="585">
        <v>61660</v>
      </c>
      <c r="H493" s="573">
        <f t="shared" si="250"/>
        <v>61.66</v>
      </c>
      <c r="I493" s="574">
        <f t="shared" si="230"/>
        <v>536.7558291920576</v>
      </c>
      <c r="J493" s="575">
        <f t="shared" si="231"/>
        <v>1.5689332812086096</v>
      </c>
      <c r="K493" s="575">
        <f t="shared" si="232"/>
        <v>1.0081395569317617</v>
      </c>
      <c r="L493" s="576">
        <f t="shared" si="233"/>
        <v>0.12715917103230584</v>
      </c>
      <c r="M493" s="575">
        <f t="shared" si="234"/>
        <v>1.3365206076253209</v>
      </c>
      <c r="N493" s="576">
        <f t="shared" si="235"/>
        <v>-0.72543417635057916</v>
      </c>
      <c r="O493" s="574">
        <f t="shared" si="236"/>
        <v>1162263.6167944302</v>
      </c>
      <c r="P493" s="577">
        <f t="shared" si="237"/>
        <v>1.5707954664048909</v>
      </c>
      <c r="Q493" s="586">
        <f t="shared" si="259"/>
        <v>216.95817973872673</v>
      </c>
      <c r="R493" s="587">
        <f t="shared" si="260"/>
        <v>1.5661871272616052</v>
      </c>
      <c r="S493" s="574">
        <f t="shared" si="238"/>
        <v>1.5735661889649848</v>
      </c>
      <c r="T493" s="577">
        <f t="shared" si="239"/>
        <v>0.88214147619837902</v>
      </c>
      <c r="U493" s="578">
        <f t="shared" si="251"/>
        <v>0.30434712592133867</v>
      </c>
      <c r="V493" s="579">
        <f t="shared" si="252"/>
        <v>-1.9965949019882403</v>
      </c>
      <c r="W493" s="580">
        <f t="shared" si="240"/>
        <v>-33.564423847473051</v>
      </c>
      <c r="X493" s="581">
        <f t="shared" si="241"/>
        <v>-289.3753716587737</v>
      </c>
      <c r="Y493" s="584">
        <f t="shared" si="242"/>
        <v>-109.3753716587737</v>
      </c>
      <c r="AA493" s="147">
        <f t="shared" si="243"/>
        <v>61660</v>
      </c>
      <c r="AB493" s="147">
        <f t="shared" si="244"/>
        <v>3801955600</v>
      </c>
      <c r="AD493" s="583">
        <f t="shared" si="245"/>
        <v>26.589177505245587</v>
      </c>
      <c r="AE493" s="584">
        <f t="shared" si="246"/>
        <v>-50.807021961137963</v>
      </c>
      <c r="AG493" s="583">
        <f t="shared" si="247"/>
        <v>15.613875779907785</v>
      </c>
      <c r="AH493" s="584">
        <f t="shared" si="248"/>
        <v>-9.7754268736768477</v>
      </c>
      <c r="AJ493" s="147">
        <f t="shared" si="249"/>
        <v>0</v>
      </c>
      <c r="AK493" s="147">
        <f t="shared" si="261"/>
        <v>0</v>
      </c>
      <c r="AM493" s="147" t="str">
        <f t="shared" si="253"/>
        <v>1.42533473231934-0.905036112805914i</v>
      </c>
      <c r="AN493" s="147" t="str">
        <f t="shared" si="254"/>
        <v>4.27305727169726i</v>
      </c>
      <c r="AO493" s="147" t="str">
        <f t="shared" si="255"/>
        <v>-0.211800604405762-0.333563217549199i</v>
      </c>
      <c r="AP493" s="147" t="str">
        <f t="shared" si="256"/>
        <v>-0.0708891220532227+0.150839352134319i</v>
      </c>
      <c r="AQ493" s="147" t="str">
        <f t="shared" si="257"/>
        <v>1.07088912205322-0.150839352134319i</v>
      </c>
      <c r="AR493" s="147" t="str">
        <f t="shared" si="258"/>
        <v>0.762725873732146+0.107433229342413i</v>
      </c>
    </row>
    <row r="494" spans="7:44">
      <c r="G494" s="585">
        <v>62019</v>
      </c>
      <c r="H494" s="573">
        <f t="shared" si="250"/>
        <v>62.018999999999998</v>
      </c>
      <c r="I494" s="574">
        <f t="shared" si="230"/>
        <v>539.88094556868339</v>
      </c>
      <c r="J494" s="575">
        <f t="shared" si="231"/>
        <v>1.5689440655139231</v>
      </c>
      <c r="K494" s="575">
        <f t="shared" si="232"/>
        <v>1.0082342257568366</v>
      </c>
      <c r="L494" s="576">
        <f t="shared" si="233"/>
        <v>0.127891499983384</v>
      </c>
      <c r="M494" s="575">
        <f t="shared" si="234"/>
        <v>1.3399514592619983</v>
      </c>
      <c r="N494" s="576">
        <f t="shared" si="235"/>
        <v>-0.72831699580599796</v>
      </c>
      <c r="O494" s="574">
        <f t="shared" si="236"/>
        <v>1169030.6073625279</v>
      </c>
      <c r="P494" s="577">
        <f t="shared" si="237"/>
        <v>1.5707954713853003</v>
      </c>
      <c r="Q494" s="586">
        <f t="shared" si="259"/>
        <v>218.22133797126764</v>
      </c>
      <c r="R494" s="587">
        <f t="shared" si="260"/>
        <v>1.5662138074628313</v>
      </c>
      <c r="S494" s="574">
        <f t="shared" si="238"/>
        <v>1.5790342496505978</v>
      </c>
      <c r="T494" s="577">
        <f t="shared" si="239"/>
        <v>0.88498839048386158</v>
      </c>
      <c r="U494" s="578">
        <f t="shared" si="251"/>
        <v>0.30114545021838518</v>
      </c>
      <c r="V494" s="579">
        <f t="shared" si="252"/>
        <v>-2.0069689151925094</v>
      </c>
      <c r="W494" s="580">
        <f t="shared" si="240"/>
        <v>-33.713754450275097</v>
      </c>
      <c r="X494" s="581">
        <f t="shared" si="241"/>
        <v>-290.25517855358095</v>
      </c>
      <c r="Y494" s="584">
        <f t="shared" si="242"/>
        <v>-110.25517855358095</v>
      </c>
      <c r="AA494" s="147">
        <f t="shared" si="243"/>
        <v>62019</v>
      </c>
      <c r="AB494" s="147">
        <f t="shared" si="244"/>
        <v>3846356361</v>
      </c>
      <c r="AD494" s="583">
        <f t="shared" si="245"/>
        <v>26.559045746367499</v>
      </c>
      <c r="AE494" s="584">
        <f t="shared" si="246"/>
        <v>-50.968609756945895</v>
      </c>
      <c r="AG494" s="583">
        <f t="shared" si="247"/>
        <v>15.678392886246478</v>
      </c>
      <c r="AH494" s="584">
        <f t="shared" si="248"/>
        <v>-9.3048716248826739</v>
      </c>
      <c r="AJ494" s="147">
        <f t="shared" si="249"/>
        <v>0</v>
      </c>
      <c r="AK494" s="147">
        <f t="shared" si="261"/>
        <v>0</v>
      </c>
      <c r="AM494" s="147" t="str">
        <f t="shared" si="253"/>
        <v>1.40268920671113-0.915336770155315i</v>
      </c>
      <c r="AN494" s="147" t="str">
        <f t="shared" si="254"/>
        <v>4.29793608390192i</v>
      </c>
      <c r="AO494" s="147" t="str">
        <f t="shared" si="255"/>
        <v>-0.212971238354089-0.326363440341739i</v>
      </c>
      <c r="AP494" s="147" t="str">
        <f t="shared" si="256"/>
        <v>-0.0671148677851878+0.152556128359219i</v>
      </c>
      <c r="AQ494" s="147" t="str">
        <f t="shared" si="257"/>
        <v>1.06711486778519-0.152556128359219i</v>
      </c>
      <c r="AR494" s="147" t="str">
        <f t="shared" si="258"/>
        <v>0.764974989106401+0.109361818631507i</v>
      </c>
    </row>
    <row r="495" spans="7:44">
      <c r="G495" s="585">
        <v>62378</v>
      </c>
      <c r="H495" s="573">
        <f t="shared" si="250"/>
        <v>62.378</v>
      </c>
      <c r="I495" s="574">
        <f t="shared" si="230"/>
        <v>543.00606200737525</v>
      </c>
      <c r="J495" s="575">
        <f t="shared" si="231"/>
        <v>1.5689547256872542</v>
      </c>
      <c r="K495" s="575">
        <f t="shared" si="232"/>
        <v>1.0083294352019636</v>
      </c>
      <c r="L495" s="576">
        <f t="shared" si="233"/>
        <v>0.12862369102975124</v>
      </c>
      <c r="M495" s="575">
        <f t="shared" si="234"/>
        <v>1.3433933898306858</v>
      </c>
      <c r="N495" s="576">
        <f t="shared" si="235"/>
        <v>-0.73118506675597494</v>
      </c>
      <c r="O495" s="574">
        <f t="shared" si="236"/>
        <v>1175797.5979306255</v>
      </c>
      <c r="P495" s="577">
        <f t="shared" si="237"/>
        <v>1.5707954763083829</v>
      </c>
      <c r="Q495" s="586">
        <f t="shared" si="259"/>
        <v>219.48449635735781</v>
      </c>
      <c r="R495" s="587">
        <f t="shared" si="260"/>
        <v>1.5662401805688555</v>
      </c>
      <c r="S495" s="574">
        <f t="shared" si="238"/>
        <v>1.5845150198939046</v>
      </c>
      <c r="T495" s="577">
        <f t="shared" si="239"/>
        <v>0.88781563284062781</v>
      </c>
      <c r="U495" s="578">
        <f t="shared" si="251"/>
        <v>0.29793870488652846</v>
      </c>
      <c r="V495" s="579">
        <f t="shared" si="252"/>
        <v>-2.0174109174516022</v>
      </c>
      <c r="W495" s="580">
        <f t="shared" si="240"/>
        <v>-33.863869868630204</v>
      </c>
      <c r="X495" s="581">
        <f t="shared" si="241"/>
        <v>-291.13692716977238</v>
      </c>
      <c r="Y495" s="584">
        <f t="shared" si="242"/>
        <v>-111.13692716977238</v>
      </c>
      <c r="AA495" s="147">
        <f t="shared" si="243"/>
        <v>62378</v>
      </c>
      <c r="AB495" s="147">
        <f t="shared" si="244"/>
        <v>3891014884</v>
      </c>
      <c r="AD495" s="583">
        <f t="shared" si="245"/>
        <v>26.528948495010948</v>
      </c>
      <c r="AE495" s="584">
        <f t="shared" si="246"/>
        <v>-51.129088026236595</v>
      </c>
      <c r="AG495" s="583">
        <f t="shared" si="247"/>
        <v>15.744349940491729</v>
      </c>
      <c r="AH495" s="584">
        <f t="shared" si="248"/>
        <v>-8.8295766521918857</v>
      </c>
      <c r="AJ495" s="147">
        <f t="shared" si="249"/>
        <v>0</v>
      </c>
      <c r="AK495" s="147">
        <f t="shared" si="261"/>
        <v>0</v>
      </c>
      <c r="AM495" s="147" t="str">
        <f t="shared" si="253"/>
        <v>1.37979444734127-0.925070904184505i</v>
      </c>
      <c r="AN495" s="147" t="str">
        <f t="shared" si="254"/>
        <v>4.32281489610658i</v>
      </c>
      <c r="AO495" s="147" t="str">
        <f t="shared" si="255"/>
        <v>-0.213997343494325-0.319188880510245i</v>
      </c>
      <c r="AP495" s="147" t="str">
        <f t="shared" si="256"/>
        <v>-0.0632990745568787+0.154178484030751i</v>
      </c>
      <c r="AQ495" s="147" t="str">
        <f t="shared" si="257"/>
        <v>1.06329907455688-0.154178484030751i</v>
      </c>
      <c r="AR495" s="147" t="str">
        <f t="shared" si="258"/>
        <v>0.767278759434059+0.111255505425732i</v>
      </c>
    </row>
    <row r="496" spans="7:44">
      <c r="G496" s="585">
        <v>62737</v>
      </c>
      <c r="H496" s="573">
        <f t="shared" si="250"/>
        <v>62.737000000000002</v>
      </c>
      <c r="I496" s="574">
        <f t="shared" si="230"/>
        <v>546.13117850706783</v>
      </c>
      <c r="J496" s="575">
        <f t="shared" si="231"/>
        <v>1.5689652638595548</v>
      </c>
      <c r="K496" s="575">
        <f t="shared" si="232"/>
        <v>1.0084251851140167</v>
      </c>
      <c r="L496" s="576">
        <f t="shared" si="233"/>
        <v>0.12935574342551892</v>
      </c>
      <c r="M496" s="575">
        <f t="shared" si="234"/>
        <v>1.3468463143931546</v>
      </c>
      <c r="N496" s="576">
        <f t="shared" si="235"/>
        <v>-0.73403845526794775</v>
      </c>
      <c r="O496" s="574">
        <f t="shared" si="236"/>
        <v>1182564.588498723</v>
      </c>
      <c r="P496" s="577">
        <f t="shared" si="237"/>
        <v>1.5707954811751226</v>
      </c>
      <c r="Q496" s="586">
        <f t="shared" si="259"/>
        <v>220.74765489436126</v>
      </c>
      <c r="R496" s="587">
        <f t="shared" si="260"/>
        <v>1.5662662518514057</v>
      </c>
      <c r="S496" s="574">
        <f t="shared" si="238"/>
        <v>1.5900083682651016</v>
      </c>
      <c r="T496" s="577">
        <f t="shared" si="239"/>
        <v>0.89062336173104439</v>
      </c>
      <c r="U496" s="578">
        <f t="shared" si="251"/>
        <v>0.29472626730222384</v>
      </c>
      <c r="V496" s="579">
        <f t="shared" si="252"/>
        <v>-2.0279225432350243</v>
      </c>
      <c r="W496" s="580">
        <f t="shared" si="240"/>
        <v>-34.014817921251947</v>
      </c>
      <c r="X496" s="581">
        <f t="shared" si="241"/>
        <v>-292.02072388300195</v>
      </c>
      <c r="Y496" s="584">
        <f t="shared" si="242"/>
        <v>-112.02072388300195</v>
      </c>
      <c r="AA496" s="147">
        <f t="shared" si="243"/>
        <v>62737</v>
      </c>
      <c r="AB496" s="147">
        <f t="shared" si="244"/>
        <v>3935931169</v>
      </c>
      <c r="AD496" s="583">
        <f t="shared" si="245"/>
        <v>26.498886471538352</v>
      </c>
      <c r="AE496" s="584">
        <f t="shared" si="246"/>
        <v>-51.288465546243579</v>
      </c>
      <c r="AG496" s="583">
        <f t="shared" si="247"/>
        <v>15.811787182683046</v>
      </c>
      <c r="AH496" s="584">
        <f t="shared" si="248"/>
        <v>-8.349452257616111</v>
      </c>
      <c r="AJ496" s="147">
        <f t="shared" si="249"/>
        <v>0</v>
      </c>
      <c r="AK496" s="147">
        <f t="shared" si="261"/>
        <v>0</v>
      </c>
      <c r="AM496" s="147" t="str">
        <f t="shared" si="253"/>
        <v>1.35666462431144-0.934232490210429i</v>
      </c>
      <c r="AN496" s="147" t="str">
        <f t="shared" si="254"/>
        <v>4.34769370831124i</v>
      </c>
      <c r="AO496" s="147" t="str">
        <f t="shared" si="255"/>
        <v>-0.214880015219221-0.312042364373088i</v>
      </c>
      <c r="AP496" s="147" t="str">
        <f t="shared" si="256"/>
        <v>-0.0594441040519065+0.155705415035071i</v>
      </c>
      <c r="AQ496" s="147" t="str">
        <f t="shared" si="257"/>
        <v>1.05944410405191-0.155705415035071i</v>
      </c>
      <c r="AR496" s="147" t="str">
        <f t="shared" si="258"/>
        <v>0.769637322063522+0.113112809066621i</v>
      </c>
    </row>
    <row r="497" spans="7:44">
      <c r="G497" s="585">
        <v>63096</v>
      </c>
      <c r="H497" s="573">
        <f t="shared" si="250"/>
        <v>63.095999999999997</v>
      </c>
      <c r="I497" s="574">
        <f t="shared" si="230"/>
        <v>549.25629506671987</v>
      </c>
      <c r="J497" s="575">
        <f t="shared" si="231"/>
        <v>1.5689756821132792</v>
      </c>
      <c r="K497" s="575">
        <f t="shared" si="232"/>
        <v>1.0085214753390586</v>
      </c>
      <c r="L497" s="576">
        <f t="shared" si="233"/>
        <v>0.1300876564256753</v>
      </c>
      <c r="M497" s="575">
        <f t="shared" si="234"/>
        <v>1.3503101486100475</v>
      </c>
      <c r="N497" s="576">
        <f t="shared" si="235"/>
        <v>-0.73687722769100661</v>
      </c>
      <c r="O497" s="574">
        <f t="shared" si="236"/>
        <v>1189331.5790668207</v>
      </c>
      <c r="P497" s="577">
        <f t="shared" si="237"/>
        <v>1.5707954859864814</v>
      </c>
      <c r="Q497" s="586">
        <f t="shared" si="259"/>
        <v>222.01081357970213</v>
      </c>
      <c r="R497" s="587">
        <f t="shared" si="260"/>
        <v>1.5662920264622346</v>
      </c>
      <c r="S497" s="574">
        <f t="shared" si="238"/>
        <v>1.5955141648448736</v>
      </c>
      <c r="T497" s="577">
        <f t="shared" si="239"/>
        <v>0.893411734668349</v>
      </c>
      <c r="U497" s="578">
        <f t="shared" si="251"/>
        <v>0.29150751402833047</v>
      </c>
      <c r="V497" s="579">
        <f t="shared" si="252"/>
        <v>-2.0385054307104715</v>
      </c>
      <c r="W497" s="580">
        <f t="shared" si="240"/>
        <v>-34.166648127328855</v>
      </c>
      <c r="X497" s="581">
        <f t="shared" si="241"/>
        <v>-292.90667524661472</v>
      </c>
      <c r="Y497" s="584">
        <f t="shared" si="242"/>
        <v>-112.90667524661472</v>
      </c>
      <c r="AA497" s="147">
        <f t="shared" si="243"/>
        <v>63096</v>
      </c>
      <c r="AB497" s="147">
        <f t="shared" si="244"/>
        <v>3981105216</v>
      </c>
      <c r="AD497" s="583">
        <f t="shared" si="245"/>
        <v>26.468860377335602</v>
      </c>
      <c r="AE497" s="584">
        <f t="shared" si="246"/>
        <v>-51.446751046691944</v>
      </c>
      <c r="AG497" s="583">
        <f t="shared" si="247"/>
        <v>15.880746670896063</v>
      </c>
      <c r="AH497" s="584">
        <f t="shared" si="248"/>
        <v>-7.8644085445848653</v>
      </c>
      <c r="AJ497" s="147">
        <f t="shared" si="249"/>
        <v>0</v>
      </c>
      <c r="AK497" s="147">
        <f t="shared" si="261"/>
        <v>0</v>
      </c>
      <c r="AM497" s="147" t="str">
        <f t="shared" si="253"/>
        <v>1.33331405320969-0.942815857913372i</v>
      </c>
      <c r="AN497" s="147" t="str">
        <f t="shared" si="254"/>
        <v>4.3725725205159i</v>
      </c>
      <c r="AO497" s="147" t="str">
        <f t="shared" si="255"/>
        <v>-0.215620405033816-0.304926687197032i</v>
      </c>
      <c r="AP497" s="147" t="str">
        <f t="shared" si="256"/>
        <v>-0.055552342201615+0.157135976318895i</v>
      </c>
      <c r="AQ497" s="147" t="str">
        <f t="shared" si="257"/>
        <v>1.05555234220162-0.157135976318895i</v>
      </c>
      <c r="AR497" s="147" t="str">
        <f t="shared" si="258"/>
        <v>0.772050786847743+0.114932201188673i</v>
      </c>
    </row>
    <row r="498" spans="7:44">
      <c r="G498" s="585">
        <v>63463.25</v>
      </c>
      <c r="H498" s="573">
        <f t="shared" si="250"/>
        <v>63.463250000000002</v>
      </c>
      <c r="I498" s="574">
        <f t="shared" si="230"/>
        <v>552.45322843280451</v>
      </c>
      <c r="J498" s="575">
        <f t="shared" si="231"/>
        <v>1.5689862178216547</v>
      </c>
      <c r="K498" s="575">
        <f t="shared" si="232"/>
        <v>1.0086205372810522</v>
      </c>
      <c r="L498" s="576">
        <f t="shared" si="233"/>
        <v>0.13083624414018993</v>
      </c>
      <c r="M498" s="575">
        <f t="shared" si="234"/>
        <v>1.3538647847629033</v>
      </c>
      <c r="N498" s="576">
        <f t="shared" si="235"/>
        <v>-0.73976618220850066</v>
      </c>
      <c r="O498" s="574">
        <f t="shared" si="236"/>
        <v>1196254.078471093</v>
      </c>
      <c r="P498" s="577">
        <f t="shared" si="237"/>
        <v>1.5707954908520831</v>
      </c>
      <c r="Q498" s="586">
        <f t="shared" si="259"/>
        <v>223.30300043583588</v>
      </c>
      <c r="R498" s="587">
        <f t="shared" si="260"/>
        <v>1.566318091659284</v>
      </c>
      <c r="S498" s="574">
        <f t="shared" si="238"/>
        <v>1.6011592340908407</v>
      </c>
      <c r="T498" s="577">
        <f t="shared" si="239"/>
        <v>0.89624432076138905</v>
      </c>
      <c r="U498" s="578">
        <f t="shared" si="251"/>
        <v>0.28820760660498529</v>
      </c>
      <c r="V498" s="579">
        <f t="shared" si="252"/>
        <v>-2.0494069662226551</v>
      </c>
      <c r="W498" s="580">
        <f t="shared" si="240"/>
        <v>-34.322933766481981</v>
      </c>
      <c r="X498" s="581">
        <f t="shared" si="241"/>
        <v>-293.81532693999185</v>
      </c>
      <c r="Y498" s="584">
        <f t="shared" si="242"/>
        <v>-113.81532693999185</v>
      </c>
      <c r="AA498" s="147">
        <f t="shared" si="243"/>
        <v>63463.25</v>
      </c>
      <c r="AB498" s="147">
        <f t="shared" si="244"/>
        <v>4027584100.5625</v>
      </c>
      <c r="AD498" s="583">
        <f t="shared" si="245"/>
        <v>26.438182157479172</v>
      </c>
      <c r="AE498" s="584">
        <f t="shared" si="246"/>
        <v>-51.607553128109672</v>
      </c>
      <c r="AG498" s="583">
        <f t="shared" si="247"/>
        <v>15.952911848919111</v>
      </c>
      <c r="AH498" s="584">
        <f t="shared" si="248"/>
        <v>-7.3630342049965867</v>
      </c>
      <c r="AJ498" s="147">
        <f t="shared" si="249"/>
        <v>0</v>
      </c>
      <c r="AK498" s="147">
        <f t="shared" si="261"/>
        <v>0</v>
      </c>
      <c r="AM498" s="147" t="str">
        <f t="shared" si="253"/>
        <v>1.30921352809948-0.950992636165115i</v>
      </c>
      <c r="AN498" s="147" t="str">
        <f t="shared" si="254"/>
        <v>4.39802306029907i</v>
      </c>
      <c r="AO498" s="147" t="str">
        <f t="shared" si="255"/>
        <v>-0.216231843973198-0.297682279094383i</v>
      </c>
      <c r="AP498" s="147" t="str">
        <f t="shared" si="256"/>
        <v>-0.0515355880165793+0.158498772694186i</v>
      </c>
      <c r="AQ498" s="147" t="str">
        <f t="shared" si="257"/>
        <v>1.05153558801658-0.158498772694186i</v>
      </c>
      <c r="AR498" s="147" t="str">
        <f t="shared" si="258"/>
        <v>0.774576606244316+0.116752531104459i</v>
      </c>
    </row>
    <row r="499" spans="7:44">
      <c r="G499" s="585">
        <v>63830.5</v>
      </c>
      <c r="H499" s="573">
        <f t="shared" si="250"/>
        <v>63.830500000000001</v>
      </c>
      <c r="I499" s="574">
        <f t="shared" si="230"/>
        <v>555.65016185950651</v>
      </c>
      <c r="J499" s="575">
        <f t="shared" si="231"/>
        <v>1.5689966322956268</v>
      </c>
      <c r="K499" s="575">
        <f t="shared" si="232"/>
        <v>1.0087201643262205</v>
      </c>
      <c r="L499" s="576">
        <f t="shared" si="233"/>
        <v>0.13158468440433346</v>
      </c>
      <c r="M499" s="575">
        <f t="shared" si="234"/>
        <v>1.3574306611166749</v>
      </c>
      <c r="N499" s="576">
        <f t="shared" si="235"/>
        <v>-0.74263998243919305</v>
      </c>
      <c r="O499" s="574">
        <f t="shared" si="236"/>
        <v>1203176.5778753657</v>
      </c>
      <c r="P499" s="577">
        <f t="shared" si="237"/>
        <v>1.5707954956616961</v>
      </c>
      <c r="Q499" s="586">
        <f t="shared" si="259"/>
        <v>224.59518744193477</v>
      </c>
      <c r="R499" s="587">
        <f t="shared" si="260"/>
        <v>1.5663438569290964</v>
      </c>
      <c r="S499" s="574">
        <f t="shared" si="238"/>
        <v>1.6068170599804947</v>
      </c>
      <c r="T499" s="577">
        <f t="shared" si="239"/>
        <v>0.89905698143224066</v>
      </c>
      <c r="U499" s="578">
        <f t="shared" si="251"/>
        <v>0.28489976897316166</v>
      </c>
      <c r="V499" s="579">
        <f t="shared" si="252"/>
        <v>-2.0603865524110319</v>
      </c>
      <c r="W499" s="580">
        <f t="shared" si="240"/>
        <v>-34.480253220123217</v>
      </c>
      <c r="X499" s="581">
        <f t="shared" si="241"/>
        <v>-294.7264593718553</v>
      </c>
      <c r="Y499" s="584">
        <f t="shared" si="242"/>
        <v>-114.7264593718553</v>
      </c>
      <c r="AA499" s="147">
        <f t="shared" si="243"/>
        <v>63830.5</v>
      </c>
      <c r="AB499" s="147">
        <f t="shared" si="244"/>
        <v>4074332730.25</v>
      </c>
      <c r="AD499" s="583">
        <f t="shared" si="245"/>
        <v>26.407542962780227</v>
      </c>
      <c r="AE499" s="584">
        <f t="shared" si="246"/>
        <v>-51.767230748286622</v>
      </c>
      <c r="AG499" s="583">
        <f t="shared" si="247"/>
        <v>16.026765262287523</v>
      </c>
      <c r="AH499" s="584">
        <f t="shared" si="248"/>
        <v>-6.8563211164572255</v>
      </c>
      <c r="AJ499" s="147">
        <f t="shared" si="249"/>
        <v>0</v>
      </c>
      <c r="AK499" s="147">
        <f t="shared" si="261"/>
        <v>0</v>
      </c>
      <c r="AM499" s="147" t="str">
        <f t="shared" si="253"/>
        <v>1.2849127269291-0.958553461228858i</v>
      </c>
      <c r="AN499" s="147" t="str">
        <f t="shared" si="254"/>
        <v>4.42347360008225i</v>
      </c>
      <c r="AO499" s="147" t="str">
        <f t="shared" si="255"/>
        <v>-0.216697000567842-0.290475956927879i</v>
      </c>
      <c r="AP499" s="147" t="str">
        <f t="shared" si="256"/>
        <v>-0.0474854544881833+0.15975891020481i</v>
      </c>
      <c r="AQ499" s="147" t="str">
        <f t="shared" si="257"/>
        <v>1.04748545448818-0.15975891020481i</v>
      </c>
      <c r="AR499" s="147" t="str">
        <f t="shared" si="258"/>
        <v>0.777160012639345+0.118529795465928i</v>
      </c>
    </row>
    <row r="500" spans="7:44">
      <c r="G500" s="585">
        <v>64197.75</v>
      </c>
      <c r="H500" s="573">
        <f t="shared" si="250"/>
        <v>64.197749999999999</v>
      </c>
      <c r="I500" s="574">
        <f t="shared" si="230"/>
        <v>558.84709534578553</v>
      </c>
      <c r="J500" s="575">
        <f t="shared" si="231"/>
        <v>1.569006927615789</v>
      </c>
      <c r="K500" s="575">
        <f t="shared" si="232"/>
        <v>1.0088203563071414</v>
      </c>
      <c r="L500" s="576">
        <f t="shared" si="233"/>
        <v>0.13233297642341862</v>
      </c>
      <c r="M500" s="575">
        <f t="shared" si="234"/>
        <v>1.3610076893224887</v>
      </c>
      <c r="N500" s="576">
        <f t="shared" si="235"/>
        <v>-0.74549870021517328</v>
      </c>
      <c r="O500" s="574">
        <f t="shared" si="236"/>
        <v>1210099.0772796383</v>
      </c>
      <c r="P500" s="577">
        <f t="shared" si="237"/>
        <v>1.5707955004162812</v>
      </c>
      <c r="Q500" s="586">
        <f t="shared" si="259"/>
        <v>225.88737459542514</v>
      </c>
      <c r="R500" s="587">
        <f t="shared" si="260"/>
        <v>1.5663693274188324</v>
      </c>
      <c r="S500" s="574">
        <f t="shared" si="238"/>
        <v>1.6124875082339747</v>
      </c>
      <c r="T500" s="577">
        <f t="shared" si="239"/>
        <v>0.9018498821520059</v>
      </c>
      <c r="U500" s="578">
        <f t="shared" si="251"/>
        <v>0.28158333351519726</v>
      </c>
      <c r="V500" s="579">
        <f t="shared" si="252"/>
        <v>-2.0714459489763533</v>
      </c>
      <c r="W500" s="580">
        <f t="shared" si="240"/>
        <v>-34.638665600573134</v>
      </c>
      <c r="X500" s="581">
        <f t="shared" si="241"/>
        <v>-295.6401868319889</v>
      </c>
      <c r="Y500" s="584">
        <f t="shared" si="242"/>
        <v>-115.6401868319889</v>
      </c>
      <c r="AA500" s="147">
        <f t="shared" si="243"/>
        <v>64197.75</v>
      </c>
      <c r="AB500" s="147">
        <f t="shared" si="244"/>
        <v>4121351105.0625</v>
      </c>
      <c r="AD500" s="583">
        <f t="shared" si="245"/>
        <v>26.376943484748562</v>
      </c>
      <c r="AE500" s="584">
        <f t="shared" si="246"/>
        <v>-51.925793093163065</v>
      </c>
      <c r="AG500" s="583">
        <f t="shared" si="247"/>
        <v>16.1023584022691</v>
      </c>
      <c r="AH500" s="584">
        <f t="shared" si="248"/>
        <v>-6.3441727359574367</v>
      </c>
      <c r="AJ500" s="147">
        <f t="shared" si="249"/>
        <v>0</v>
      </c>
      <c r="AK500" s="147">
        <f t="shared" si="261"/>
        <v>0</v>
      </c>
      <c r="AM500" s="147" t="str">
        <f t="shared" si="253"/>
        <v>1.2604273892063-0.96549343599591i</v>
      </c>
      <c r="AN500" s="147" t="str">
        <f t="shared" si="254"/>
        <v>4.44892413986543i</v>
      </c>
      <c r="AO500" s="147" t="str">
        <f t="shared" si="255"/>
        <v>-0.21701728454851-0.283310604897036i</v>
      </c>
      <c r="AP500" s="147" t="str">
        <f t="shared" si="256"/>
        <v>-0.0434045648677172+0.160915572665985i</v>
      </c>
      <c r="AQ500" s="147" t="str">
        <f t="shared" si="257"/>
        <v>1.04340456486772-0.160915572665985i</v>
      </c>
      <c r="AR500" s="147" t="str">
        <f t="shared" si="258"/>
        <v>0.779801015673157+0.120262198602199i</v>
      </c>
    </row>
    <row r="501" spans="7:44">
      <c r="G501" s="585">
        <v>64565</v>
      </c>
      <c r="H501" s="573">
        <f t="shared" si="250"/>
        <v>64.564999999999998</v>
      </c>
      <c r="I501" s="574">
        <f t="shared" si="230"/>
        <v>562.04402889062487</v>
      </c>
      <c r="J501" s="575">
        <f t="shared" si="231"/>
        <v>1.569017105815397</v>
      </c>
      <c r="K501" s="575">
        <f t="shared" si="232"/>
        <v>1.0089211130555102</v>
      </c>
      <c r="L501" s="576">
        <f t="shared" si="233"/>
        <v>0.13308111940373707</v>
      </c>
      <c r="M501" s="575">
        <f t="shared" si="234"/>
        <v>1.364595781682973</v>
      </c>
      <c r="N501" s="576">
        <f t="shared" si="235"/>
        <v>-0.74834240760260917</v>
      </c>
      <c r="O501" s="574">
        <f t="shared" si="236"/>
        <v>1217021.5766839108</v>
      </c>
      <c r="P501" s="577">
        <f t="shared" si="237"/>
        <v>1.5707955051167775</v>
      </c>
      <c r="Q501" s="586">
        <f t="shared" si="259"/>
        <v>227.17956189379194</v>
      </c>
      <c r="R501" s="587">
        <f t="shared" si="260"/>
        <v>1.5663945081585469</v>
      </c>
      <c r="S501" s="574">
        <f t="shared" si="238"/>
        <v>1.6181704461561286</v>
      </c>
      <c r="T501" s="577">
        <f t="shared" si="239"/>
        <v>0.90462318730810365</v>
      </c>
      <c r="U501" s="578">
        <f t="shared" si="251"/>
        <v>0.2782576335144239</v>
      </c>
      <c r="V501" s="579">
        <f t="shared" si="252"/>
        <v>-2.0825869152627314</v>
      </c>
      <c r="W501" s="580">
        <f t="shared" si="240"/>
        <v>-34.798232291212059</v>
      </c>
      <c r="X501" s="581">
        <f t="shared" si="241"/>
        <v>-296.5566235450035</v>
      </c>
      <c r="Y501" s="584">
        <f t="shared" si="242"/>
        <v>-116.5566235450035</v>
      </c>
      <c r="AA501" s="147">
        <f t="shared" si="243"/>
        <v>64565</v>
      </c>
      <c r="AB501" s="147">
        <f t="shared" si="244"/>
        <v>4168639225</v>
      </c>
      <c r="AD501" s="583">
        <f t="shared" si="245"/>
        <v>26.346384395644613</v>
      </c>
      <c r="AE501" s="584">
        <f t="shared" si="246"/>
        <v>-52.0832492932972</v>
      </c>
      <c r="AG501" s="583">
        <f t="shared" si="247"/>
        <v>16.179745149674382</v>
      </c>
      <c r="AH501" s="584">
        <f t="shared" si="248"/>
        <v>-5.8264925515651393</v>
      </c>
      <c r="AJ501" s="147">
        <f t="shared" si="249"/>
        <v>0</v>
      </c>
      <c r="AK501" s="147">
        <f t="shared" si="261"/>
        <v>0</v>
      </c>
      <c r="AM501" s="147" t="str">
        <f t="shared" si="253"/>
        <v>1.23577337396223-0.971808065479222i</v>
      </c>
      <c r="AN501" s="147" t="str">
        <f t="shared" si="254"/>
        <v>4.47437467964861i</v>
      </c>
      <c r="AO501" s="147" t="str">
        <f t="shared" si="255"/>
        <v>-0.217194163443537-0.276189068292171i</v>
      </c>
      <c r="AP501" s="147" t="str">
        <f t="shared" si="256"/>
        <v>-0.0392955623270377+0.161968010913204i</v>
      </c>
      <c r="AQ501" s="147" t="str">
        <f t="shared" si="257"/>
        <v>1.03929556232704-0.161968010913204i</v>
      </c>
      <c r="AR501" s="147" t="str">
        <f t="shared" si="258"/>
        <v>0.782499581753877+0.121947889889294i</v>
      </c>
    </row>
    <row r="502" spans="7:44">
      <c r="G502" s="585">
        <v>64941</v>
      </c>
      <c r="H502" s="573">
        <f t="shared" si="250"/>
        <v>64.941000000000003</v>
      </c>
      <c r="I502" s="574">
        <f t="shared" si="230"/>
        <v>565.3171317762874</v>
      </c>
      <c r="J502" s="575">
        <f t="shared" si="231"/>
        <v>1.5690274072534514</v>
      </c>
      <c r="K502" s="575">
        <f t="shared" si="232"/>
        <v>1.0090248553422079</v>
      </c>
      <c r="L502" s="576">
        <f t="shared" si="233"/>
        <v>0.13384693220274285</v>
      </c>
      <c r="M502" s="575">
        <f t="shared" si="234"/>
        <v>1.3682807347869794</v>
      </c>
      <c r="N502" s="576">
        <f t="shared" si="235"/>
        <v>-0.75123839278256332</v>
      </c>
      <c r="O502" s="574">
        <f t="shared" si="236"/>
        <v>1224109.0097023086</v>
      </c>
      <c r="P502" s="577">
        <f t="shared" si="237"/>
        <v>1.5707955098741877</v>
      </c>
      <c r="Q502" s="586">
        <f t="shared" si="259"/>
        <v>228.50253664768115</v>
      </c>
      <c r="R502" s="587">
        <f t="shared" si="260"/>
        <v>1.566419993793406</v>
      </c>
      <c r="S502" s="574">
        <f t="shared" si="238"/>
        <v>1.6240015868892381</v>
      </c>
      <c r="T502" s="577">
        <f t="shared" si="239"/>
        <v>0.90744243755907839</v>
      </c>
      <c r="U502" s="578">
        <f t="shared" si="251"/>
        <v>0.27484240333171045</v>
      </c>
      <c r="V502" s="579">
        <f t="shared" si="252"/>
        <v>-2.094079666651393</v>
      </c>
      <c r="W502" s="580">
        <f t="shared" si="240"/>
        <v>-34.96286327762305</v>
      </c>
      <c r="X502" s="581">
        <f t="shared" si="241"/>
        <v>-297.49782100566557</v>
      </c>
      <c r="Y502" s="584">
        <f t="shared" si="242"/>
        <v>-117.49782100566557</v>
      </c>
      <c r="AA502" s="147">
        <f t="shared" si="243"/>
        <v>64941</v>
      </c>
      <c r="AB502" s="147">
        <f t="shared" si="244"/>
        <v>4217333481</v>
      </c>
      <c r="AD502" s="583">
        <f t="shared" si="245"/>
        <v>26.315139739897052</v>
      </c>
      <c r="AE502" s="584">
        <f t="shared" si="246"/>
        <v>-52.243320487516037</v>
      </c>
      <c r="AG502" s="583">
        <f t="shared" si="247"/>
        <v>16.260892809188341</v>
      </c>
      <c r="AH502" s="584">
        <f t="shared" si="248"/>
        <v>-5.290646517376528</v>
      </c>
      <c r="AJ502" s="147">
        <f t="shared" si="249"/>
        <v>0</v>
      </c>
      <c r="AK502" s="147">
        <f t="shared" si="261"/>
        <v>0</v>
      </c>
      <c r="AM502" s="147" t="str">
        <f t="shared" si="253"/>
        <v>1.21037388058174-0.977621005486779i</v>
      </c>
      <c r="AN502" s="147" t="str">
        <f t="shared" si="254"/>
        <v>4.50043159716658i</v>
      </c>
      <c r="AO502" s="147" t="str">
        <f t="shared" si="255"/>
        <v>-0.217228277861678-0.268946178705122i</v>
      </c>
      <c r="AP502" s="147" t="str">
        <f t="shared" si="256"/>
        <v>-0.0350623134302893+0.162936834247797i</v>
      </c>
      <c r="AQ502" s="147" t="str">
        <f t="shared" si="257"/>
        <v>1.03506231343029-0.162936834247797i</v>
      </c>
      <c r="AR502" s="147" t="str">
        <f t="shared" si="258"/>
        <v>0.7853219953293+0.123623358829533i</v>
      </c>
    </row>
    <row r="503" spans="7:44">
      <c r="G503" s="585">
        <v>65317</v>
      </c>
      <c r="H503" s="573">
        <f t="shared" si="250"/>
        <v>65.316999999999993</v>
      </c>
      <c r="I503" s="574">
        <f t="shared" si="230"/>
        <v>568.59023472125068</v>
      </c>
      <c r="J503" s="575">
        <f t="shared" si="231"/>
        <v>1.56903759009057</v>
      </c>
      <c r="K503" s="575">
        <f t="shared" si="232"/>
        <v>1.0091291892690757</v>
      </c>
      <c r="L503" s="576">
        <f t="shared" si="233"/>
        <v>0.13461258709584289</v>
      </c>
      <c r="M503" s="575">
        <f t="shared" si="234"/>
        <v>1.3719771015934403</v>
      </c>
      <c r="N503" s="576">
        <f t="shared" si="235"/>
        <v>-0.75411879734362675</v>
      </c>
      <c r="O503" s="574">
        <f t="shared" si="236"/>
        <v>1231196.4427207061</v>
      </c>
      <c r="P503" s="577">
        <f t="shared" si="237"/>
        <v>1.5707955145768253</v>
      </c>
      <c r="Q503" s="586">
        <f t="shared" si="259"/>
        <v>229.82551154827806</v>
      </c>
      <c r="R503" s="587">
        <f t="shared" si="260"/>
        <v>1.5664451860156396</v>
      </c>
      <c r="S503" s="574">
        <f t="shared" si="238"/>
        <v>1.6298455430451968</v>
      </c>
      <c r="T503" s="577">
        <f t="shared" si="239"/>
        <v>0.91024149257974718</v>
      </c>
      <c r="U503" s="578">
        <f t="shared" si="251"/>
        <v>0.27141605290525528</v>
      </c>
      <c r="V503" s="579">
        <f t="shared" si="252"/>
        <v>-2.1056616460594153</v>
      </c>
      <c r="W503" s="580">
        <f t="shared" si="240"/>
        <v>-35.128842270806174</v>
      </c>
      <c r="X503" s="581">
        <f t="shared" si="241"/>
        <v>-298.44210011026291</v>
      </c>
      <c r="Y503" s="584">
        <f t="shared" si="242"/>
        <v>-118.44210011026291</v>
      </c>
      <c r="AA503" s="147">
        <f t="shared" si="243"/>
        <v>65317</v>
      </c>
      <c r="AB503" s="147">
        <f t="shared" si="244"/>
        <v>4266310489</v>
      </c>
      <c r="AD503" s="583">
        <f t="shared" si="245"/>
        <v>26.283938786524367</v>
      </c>
      <c r="AE503" s="584">
        <f t="shared" si="246"/>
        <v>-52.402251388437605</v>
      </c>
      <c r="AG503" s="583">
        <f t="shared" si="247"/>
        <v>16.344043053171671</v>
      </c>
      <c r="AH503" s="584">
        <f t="shared" si="248"/>
        <v>-4.7487976425616267</v>
      </c>
      <c r="AJ503" s="147">
        <f t="shared" si="249"/>
        <v>0</v>
      </c>
      <c r="AK503" s="147">
        <f t="shared" si="261"/>
        <v>0</v>
      </c>
      <c r="AM503" s="147" t="str">
        <f t="shared" si="253"/>
        <v>1.18483155921208-0.982770214607277i</v>
      </c>
      <c r="AN503" s="147" t="str">
        <f t="shared" si="254"/>
        <v>4.52648851468456i</v>
      </c>
      <c r="AO503" s="147" t="str">
        <f t="shared" si="255"/>
        <v>-0.217115366894014-0.261755123285593i</v>
      </c>
      <c r="AP503" s="147" t="str">
        <f t="shared" si="256"/>
        <v>-0.0308052598686795+0.163795035767879i</v>
      </c>
      <c r="AQ503" s="147" t="str">
        <f t="shared" si="257"/>
        <v>1.03080525986868-0.163795035767879i</v>
      </c>
      <c r="AR503" s="147" t="str">
        <f t="shared" si="258"/>
        <v>0.788204521224608+0.125245759575224i</v>
      </c>
    </row>
    <row r="504" spans="7:44">
      <c r="G504" s="585">
        <v>65693</v>
      </c>
      <c r="H504" s="573">
        <f t="shared" si="250"/>
        <v>65.692999999999998</v>
      </c>
      <c r="I504" s="574">
        <f t="shared" si="230"/>
        <v>571.8633377244962</v>
      </c>
      <c r="J504" s="575">
        <f t="shared" si="231"/>
        <v>1.569047656363215</v>
      </c>
      <c r="K504" s="575">
        <f t="shared" si="232"/>
        <v>1.0092341146526236</v>
      </c>
      <c r="L504" s="576">
        <f t="shared" si="233"/>
        <v>0.13537808323445386</v>
      </c>
      <c r="M504" s="575">
        <f t="shared" si="234"/>
        <v>1.3756847900989477</v>
      </c>
      <c r="N504" s="576">
        <f t="shared" si="235"/>
        <v>-0.75698369927403675</v>
      </c>
      <c r="O504" s="574">
        <f t="shared" si="236"/>
        <v>1238283.8757391039</v>
      </c>
      <c r="P504" s="577">
        <f t="shared" si="237"/>
        <v>1.5707955192256311</v>
      </c>
      <c r="Q504" s="586">
        <f t="shared" si="259"/>
        <v>231.14848659306364</v>
      </c>
      <c r="R504" s="587">
        <f t="shared" si="260"/>
        <v>1.5664700898632442</v>
      </c>
      <c r="S504" s="574">
        <f t="shared" si="238"/>
        <v>1.6357021772650762</v>
      </c>
      <c r="T504" s="577">
        <f t="shared" si="239"/>
        <v>0.91302052520189703</v>
      </c>
      <c r="U504" s="578">
        <f t="shared" si="251"/>
        <v>0.26797787363876419</v>
      </c>
      <c r="V504" s="579">
        <f t="shared" si="252"/>
        <v>-2.1173347308507307</v>
      </c>
      <c r="W504" s="580">
        <f t="shared" si="240"/>
        <v>-35.296243366018217</v>
      </c>
      <c r="X504" s="581">
        <f t="shared" si="241"/>
        <v>-299.38958267145364</v>
      </c>
      <c r="Y504" s="584">
        <f t="shared" si="242"/>
        <v>-119.38958267145364</v>
      </c>
      <c r="AA504" s="147">
        <f t="shared" si="243"/>
        <v>65693</v>
      </c>
      <c r="AB504" s="147">
        <f t="shared" si="244"/>
        <v>4315570249</v>
      </c>
      <c r="AD504" s="583">
        <f t="shared" si="245"/>
        <v>26.252782196715682</v>
      </c>
      <c r="AE504" s="584">
        <f t="shared" si="246"/>
        <v>-52.560051609991866</v>
      </c>
      <c r="AG504" s="583">
        <f t="shared" si="247"/>
        <v>16.429262295551855</v>
      </c>
      <c r="AH504" s="584">
        <f t="shared" si="248"/>
        <v>-4.200842995788169</v>
      </c>
      <c r="AJ504" s="147">
        <f t="shared" si="249"/>
        <v>0</v>
      </c>
      <c r="AK504" s="147">
        <f t="shared" si="261"/>
        <v>0</v>
      </c>
      <c r="AM504" s="147" t="str">
        <f t="shared" si="253"/>
        <v>1.15916375116194-0.9872521969163i</v>
      </c>
      <c r="AN504" s="147" t="str">
        <f t="shared" si="254"/>
        <v>4.55254543220253i</v>
      </c>
      <c r="AO504" s="147" t="str">
        <f t="shared" si="255"/>
        <v>-0.216857187175541-0.254618821146203i</v>
      </c>
      <c r="AP504" s="147" t="str">
        <f t="shared" si="256"/>
        <v>-0.0265272918603235+0.164542032819383i</v>
      </c>
      <c r="AQ504" s="147" t="str">
        <f t="shared" si="257"/>
        <v>1.02652729186032-0.164542032819383i</v>
      </c>
      <c r="AR504" s="147" t="str">
        <f t="shared" si="258"/>
        <v>0.791146957271133+0.126812925131634i</v>
      </c>
    </row>
    <row r="505" spans="7:44">
      <c r="G505" s="585">
        <v>66069</v>
      </c>
      <c r="H505" s="573">
        <f t="shared" si="250"/>
        <v>66.069000000000003</v>
      </c>
      <c r="I505" s="574">
        <f t="shared" si="230"/>
        <v>575.13644078502898</v>
      </c>
      <c r="J505" s="575">
        <f t="shared" si="231"/>
        <v>1.5690576080614906</v>
      </c>
      <c r="K505" s="575">
        <f t="shared" si="232"/>
        <v>1.0093396313083975</v>
      </c>
      <c r="L505" s="576">
        <f t="shared" si="233"/>
        <v>0.13614341977108846</v>
      </c>
      <c r="M505" s="575">
        <f t="shared" si="234"/>
        <v>1.3794037090089846</v>
      </c>
      <c r="N505" s="576">
        <f t="shared" si="235"/>
        <v>-0.75983317674275841</v>
      </c>
      <c r="O505" s="574">
        <f t="shared" si="236"/>
        <v>1245371.3087575014</v>
      </c>
      <c r="P505" s="577">
        <f t="shared" si="237"/>
        <v>1.5707955238215239</v>
      </c>
      <c r="Q505" s="586">
        <f t="shared" si="259"/>
        <v>232.47146177957623</v>
      </c>
      <c r="R505" s="587">
        <f t="shared" si="260"/>
        <v>1.5664947102595346</v>
      </c>
      <c r="S505" s="574">
        <f t="shared" si="238"/>
        <v>1.6415713538542935</v>
      </c>
      <c r="T505" s="577">
        <f t="shared" si="239"/>
        <v>0.91577970703067435</v>
      </c>
      <c r="U505" s="578">
        <f t="shared" si="251"/>
        <v>0.26452716082616873</v>
      </c>
      <c r="V505" s="579">
        <f t="shared" si="252"/>
        <v>-2.12910079105795</v>
      </c>
      <c r="W505" s="580">
        <f t="shared" si="240"/>
        <v>-35.465143738734859</v>
      </c>
      <c r="X505" s="581">
        <f t="shared" si="241"/>
        <v>-300.34039002576583</v>
      </c>
      <c r="Y505" s="584">
        <f t="shared" si="242"/>
        <v>-120.34039002576583</v>
      </c>
      <c r="AA505" s="147">
        <f t="shared" si="243"/>
        <v>66069</v>
      </c>
      <c r="AB505" s="147">
        <f t="shared" si="244"/>
        <v>4365112761</v>
      </c>
      <c r="AD505" s="583">
        <f t="shared" si="245"/>
        <v>26.221670612135924</v>
      </c>
      <c r="AE505" s="584">
        <f t="shared" si="246"/>
        <v>-52.716730702396887</v>
      </c>
      <c r="AG505" s="583">
        <f t="shared" si="247"/>
        <v>16.516620150336646</v>
      </c>
      <c r="AH505" s="584">
        <f t="shared" si="248"/>
        <v>-3.6466800734136871</v>
      </c>
      <c r="AJ505" s="147">
        <f t="shared" si="249"/>
        <v>0</v>
      </c>
      <c r="AK505" s="147">
        <f t="shared" si="261"/>
        <v>0</v>
      </c>
      <c r="AM505" s="147" t="str">
        <f t="shared" si="253"/>
        <v>1.13338788293598-0.991063909486093i</v>
      </c>
      <c r="AN505" s="147" t="str">
        <f t="shared" si="254"/>
        <v>4.5786023497205i</v>
      </c>
      <c r="AO505" s="147" t="str">
        <f t="shared" si="255"/>
        <v>-0.21645555429084-0.247540143556072i</v>
      </c>
      <c r="AP505" s="147" t="str">
        <f t="shared" si="256"/>
        <v>-0.0222313138226627+0.165177318247682i</v>
      </c>
      <c r="AQ505" s="147" t="str">
        <f t="shared" si="257"/>
        <v>1.02223131382266-0.165177318247682i</v>
      </c>
      <c r="AR505" s="147" t="str">
        <f t="shared" si="258"/>
        <v>0.794149036081394+0.128322627467136i</v>
      </c>
    </row>
    <row r="506" spans="7:44">
      <c r="G506" s="585">
        <v>66453.75</v>
      </c>
      <c r="H506" s="573">
        <f t="shared" si="250"/>
        <v>66.453749999999999</v>
      </c>
      <c r="I506" s="574">
        <f t="shared" si="230"/>
        <v>578.48571319049779</v>
      </c>
      <c r="J506" s="575">
        <f t="shared" si="231"/>
        <v>1.5690676747724905</v>
      </c>
      <c r="K506" s="575">
        <f t="shared" si="232"/>
        <v>1.0094482153498385</v>
      </c>
      <c r="L506" s="576">
        <f t="shared" si="233"/>
        <v>0.13692640056660091</v>
      </c>
      <c r="M506" s="575">
        <f t="shared" si="234"/>
        <v>1.3832207028763559</v>
      </c>
      <c r="N506" s="576">
        <f t="shared" si="235"/>
        <v>-0.76273307984804772</v>
      </c>
      <c r="O506" s="574">
        <f t="shared" si="236"/>
        <v>1252623.6753900244</v>
      </c>
      <c r="P506" s="577">
        <f t="shared" si="237"/>
        <v>1.5707955284705317</v>
      </c>
      <c r="Q506" s="586">
        <f t="shared" si="259"/>
        <v>233.82522443178649</v>
      </c>
      <c r="R506" s="587">
        <f t="shared" si="260"/>
        <v>1.566519615200527</v>
      </c>
      <c r="S506" s="574">
        <f t="shared" si="238"/>
        <v>1.6475899574247357</v>
      </c>
      <c r="T506" s="577">
        <f t="shared" si="239"/>
        <v>0.91858272716975709</v>
      </c>
      <c r="U506" s="578">
        <f t="shared" si="251"/>
        <v>0.26098244094908868</v>
      </c>
      <c r="V506" s="579">
        <f t="shared" si="252"/>
        <v>-2.1412388494901942</v>
      </c>
      <c r="W506" s="580">
        <f t="shared" si="240"/>
        <v>-35.639610582039644</v>
      </c>
      <c r="X506" s="581">
        <f t="shared" si="241"/>
        <v>-301.31689158271382</v>
      </c>
      <c r="Y506" s="584">
        <f t="shared" si="242"/>
        <v>-121.31689158271382</v>
      </c>
      <c r="AA506" s="147">
        <f t="shared" si="243"/>
        <v>66453.75</v>
      </c>
      <c r="AB506" s="147">
        <f t="shared" si="244"/>
        <v>4416100889.0625</v>
      </c>
      <c r="AD506" s="583">
        <f t="shared" si="245"/>
        <v>26.189882258995748</v>
      </c>
      <c r="AE506" s="584">
        <f t="shared" si="246"/>
        <v>-52.875905244799036</v>
      </c>
      <c r="AG506" s="583">
        <f t="shared" si="247"/>
        <v>16.608300937464545</v>
      </c>
      <c r="AH506" s="584">
        <f t="shared" si="248"/>
        <v>-3.073088047068667</v>
      </c>
      <c r="AJ506" s="147">
        <f t="shared" si="249"/>
        <v>0</v>
      </c>
      <c r="AK506" s="147">
        <f t="shared" si="261"/>
        <v>0</v>
      </c>
      <c r="AM506" s="147" t="str">
        <f t="shared" si="253"/>
        <v>1.10691857225276-0.99426778028227i</v>
      </c>
      <c r="AN506" s="147" t="str">
        <f t="shared" si="254"/>
        <v>4.60526564497327i</v>
      </c>
      <c r="AO506" s="147" t="str">
        <f t="shared" si="255"/>
        <v>-0.215898029979559-0.240359331597078i</v>
      </c>
      <c r="AP506" s="147" t="str">
        <f t="shared" si="256"/>
        <v>-0.0178197620421262+0.165711296713712i</v>
      </c>
      <c r="AQ506" s="147" t="str">
        <f t="shared" si="257"/>
        <v>1.01781976204213-0.165711296713712i</v>
      </c>
      <c r="AR506" s="147" t="str">
        <f t="shared" si="258"/>
        <v>0.797282365348508+0.129805589885381i</v>
      </c>
    </row>
    <row r="507" spans="7:44">
      <c r="G507" s="585">
        <v>66838.5</v>
      </c>
      <c r="H507" s="573">
        <f t="shared" si="250"/>
        <v>66.838499999999996</v>
      </c>
      <c r="I507" s="574">
        <f t="shared" si="230"/>
        <v>581.83498565391483</v>
      </c>
      <c r="J507" s="575">
        <f t="shared" si="231"/>
        <v>1.5690776255875456</v>
      </c>
      <c r="K507" s="575">
        <f t="shared" si="232"/>
        <v>1.0095574181091747</v>
      </c>
      <c r="L507" s="576">
        <f t="shared" si="233"/>
        <v>0.13770921245352594</v>
      </c>
      <c r="M507" s="575">
        <f t="shared" si="234"/>
        <v>1.3870492647752688</v>
      </c>
      <c r="N507" s="576">
        <f t="shared" si="235"/>
        <v>-0.76561699834982766</v>
      </c>
      <c r="O507" s="574">
        <f t="shared" si="236"/>
        <v>1259876.0420225468</v>
      </c>
      <c r="P507" s="577">
        <f t="shared" si="237"/>
        <v>1.5707955330660164</v>
      </c>
      <c r="Q507" s="586">
        <f t="shared" si="259"/>
        <v>235.17898722735853</v>
      </c>
      <c r="R507" s="587">
        <f t="shared" si="260"/>
        <v>1.5665442334204889</v>
      </c>
      <c r="S507" s="574">
        <f t="shared" si="238"/>
        <v>1.6536214116912769</v>
      </c>
      <c r="T507" s="577">
        <f t="shared" si="239"/>
        <v>0.92136532144712147</v>
      </c>
      <c r="U507" s="578">
        <f t="shared" si="251"/>
        <v>0.25742312087845759</v>
      </c>
      <c r="V507" s="579">
        <f t="shared" si="252"/>
        <v>-2.1534781899287041</v>
      </c>
      <c r="W507" s="580">
        <f t="shared" si="240"/>
        <v>-35.815821430196479</v>
      </c>
      <c r="X507" s="581">
        <f t="shared" si="241"/>
        <v>-302.29712946741711</v>
      </c>
      <c r="Y507" s="584">
        <f t="shared" si="242"/>
        <v>-122.29712946741711</v>
      </c>
      <c r="AA507" s="147">
        <f t="shared" si="243"/>
        <v>66838.5</v>
      </c>
      <c r="AB507" s="147">
        <f t="shared" si="244"/>
        <v>4467385082.25</v>
      </c>
      <c r="AD507" s="583">
        <f t="shared" si="245"/>
        <v>26.158142328597663</v>
      </c>
      <c r="AE507" s="584">
        <f t="shared" si="246"/>
        <v>-53.033925896368764</v>
      </c>
      <c r="AG507" s="583">
        <f t="shared" si="247"/>
        <v>16.702379521542607</v>
      </c>
      <c r="AH507" s="584">
        <f t="shared" si="248"/>
        <v>-2.4927801762987234</v>
      </c>
      <c r="AJ507" s="147">
        <f t="shared" si="249"/>
        <v>0</v>
      </c>
      <c r="AK507" s="147">
        <f t="shared" si="261"/>
        <v>0</v>
      </c>
      <c r="AM507" s="147" t="str">
        <f t="shared" si="253"/>
        <v>1.08037325431167-0.99676483685539i</v>
      </c>
      <c r="AN507" s="147" t="str">
        <f t="shared" si="254"/>
        <v>4.63192894022603i</v>
      </c>
      <c r="AO507" s="147" t="str">
        <f t="shared" si="255"/>
        <v>-0.215194328263324-0.233244781656549i</v>
      </c>
      <c r="AP507" s="147" t="str">
        <f t="shared" si="256"/>
        <v>-0.0133955423852778+0.166127472809232i</v>
      </c>
      <c r="AQ507" s="147" t="str">
        <f t="shared" si="257"/>
        <v>1.01339554238528-0.166127472809232i</v>
      </c>
      <c r="AR507" s="147" t="str">
        <f t="shared" si="258"/>
        <v>0.800477348408573+0.131223469386047i</v>
      </c>
    </row>
    <row r="508" spans="7:44">
      <c r="G508" s="585">
        <v>67223.25</v>
      </c>
      <c r="H508" s="573">
        <f t="shared" si="250"/>
        <v>67.223249999999993</v>
      </c>
      <c r="I508" s="574">
        <f t="shared" si="230"/>
        <v>585.18425817428488</v>
      </c>
      <c r="J508" s="575">
        <f t="shared" si="231"/>
        <v>1.5690874624966278</v>
      </c>
      <c r="K508" s="575">
        <f t="shared" si="232"/>
        <v>1.0096672393856496</v>
      </c>
      <c r="L508" s="576">
        <f t="shared" si="233"/>
        <v>0.13849185452742047</v>
      </c>
      <c r="M508" s="575">
        <f t="shared" si="234"/>
        <v>1.3908892991792354</v>
      </c>
      <c r="N508" s="576">
        <f t="shared" si="235"/>
        <v>-0.76848501647220335</v>
      </c>
      <c r="O508" s="574">
        <f t="shared" si="236"/>
        <v>1267128.4086550698</v>
      </c>
      <c r="P508" s="577">
        <f t="shared" si="237"/>
        <v>1.5707955376088969</v>
      </c>
      <c r="Q508" s="586">
        <f t="shared" si="259"/>
        <v>236.53275016383088</v>
      </c>
      <c r="R508" s="587">
        <f t="shared" si="260"/>
        <v>1.5665685698424165</v>
      </c>
      <c r="S508" s="574">
        <f t="shared" si="238"/>
        <v>1.6596655765503019</v>
      </c>
      <c r="T508" s="577">
        <f t="shared" si="239"/>
        <v>0.92412766969725657</v>
      </c>
      <c r="U508" s="578">
        <f t="shared" si="251"/>
        <v>0.2538484644412905</v>
      </c>
      <c r="V508" s="579">
        <f t="shared" si="252"/>
        <v>-2.1658207775645852</v>
      </c>
      <c r="W508" s="580">
        <f t="shared" si="240"/>
        <v>-35.99387018132343</v>
      </c>
      <c r="X508" s="581">
        <f t="shared" si="241"/>
        <v>-303.28123129029842</v>
      </c>
      <c r="Y508" s="584">
        <f t="shared" si="242"/>
        <v>-123.28123129029842</v>
      </c>
      <c r="AA508" s="147">
        <f t="shared" si="243"/>
        <v>67223.25</v>
      </c>
      <c r="AB508" s="147">
        <f t="shared" si="244"/>
        <v>4518965340.5625</v>
      </c>
      <c r="AD508" s="583">
        <f t="shared" si="245"/>
        <v>26.126451447537896</v>
      </c>
      <c r="AE508" s="584">
        <f t="shared" si="246"/>
        <v>-53.190802678849103</v>
      </c>
      <c r="AG508" s="583">
        <f t="shared" si="247"/>
        <v>16.798942072998557</v>
      </c>
      <c r="AH508" s="584">
        <f t="shared" si="248"/>
        <v>-1.9056488554709938</v>
      </c>
      <c r="AJ508" s="147">
        <f t="shared" si="249"/>
        <v>0</v>
      </c>
      <c r="AK508" s="147">
        <f t="shared" si="261"/>
        <v>0</v>
      </c>
      <c r="AM508" s="147" t="str">
        <f t="shared" si="253"/>
        <v>1.05377079989242-0.998553304074915i</v>
      </c>
      <c r="AN508" s="147" t="str">
        <f t="shared" si="254"/>
        <v>4.6585922354788i</v>
      </c>
      <c r="AO508" s="147" t="str">
        <f t="shared" si="255"/>
        <v>-0.214346578022038-0.226199406736468i</v>
      </c>
      <c r="AP508" s="147" t="str">
        <f t="shared" si="256"/>
        <v>-0.00896179998207005+0.166425550679153i</v>
      </c>
      <c r="AQ508" s="147" t="str">
        <f t="shared" si="257"/>
        <v>1.00896179998207-0.166425550679153i</v>
      </c>
      <c r="AR508" s="147" t="str">
        <f t="shared" si="258"/>
        <v>0.803733453234957+0.132573683717522i</v>
      </c>
    </row>
    <row r="509" spans="7:44">
      <c r="G509" s="585">
        <v>67608</v>
      </c>
      <c r="H509" s="573">
        <f t="shared" si="250"/>
        <v>67.608000000000004</v>
      </c>
      <c r="I509" s="574">
        <f t="shared" si="230"/>
        <v>588.53353075063558</v>
      </c>
      <c r="J509" s="575">
        <f t="shared" si="231"/>
        <v>1.56909718744441</v>
      </c>
      <c r="K509" s="575">
        <f t="shared" si="232"/>
        <v>1.0097776789774575</v>
      </c>
      <c r="L509" s="576">
        <f t="shared" si="233"/>
        <v>0.13927432588506572</v>
      </c>
      <c r="M509" s="575">
        <f t="shared" si="234"/>
        <v>1.3947407113291104</v>
      </c>
      <c r="N509" s="576">
        <f t="shared" si="235"/>
        <v>-0.77133721855944926</v>
      </c>
      <c r="O509" s="574">
        <f t="shared" si="236"/>
        <v>1274380.7752875923</v>
      </c>
      <c r="P509" s="577">
        <f t="shared" si="237"/>
        <v>1.5707955421000712</v>
      </c>
      <c r="Q509" s="586">
        <f t="shared" si="259"/>
        <v>237.88651323879802</v>
      </c>
      <c r="R509" s="587">
        <f t="shared" si="260"/>
        <v>1.5665926292772443</v>
      </c>
      <c r="S509" s="574">
        <f t="shared" si="238"/>
        <v>1.6657223136385688</v>
      </c>
      <c r="T509" s="577">
        <f t="shared" si="239"/>
        <v>0.92686995038322229</v>
      </c>
      <c r="U509" s="578">
        <f t="shared" si="251"/>
        <v>0.25025774422974179</v>
      </c>
      <c r="V509" s="579">
        <f t="shared" si="252"/>
        <v>-2.1782685590588042</v>
      </c>
      <c r="W509" s="580">
        <f t="shared" si="240"/>
        <v>-36.17385496553517</v>
      </c>
      <c r="X509" s="581">
        <f t="shared" si="241"/>
        <v>-304.26932353214426</v>
      </c>
      <c r="Y509" s="584">
        <f t="shared" si="242"/>
        <v>-124.26932353214426</v>
      </c>
      <c r="AA509" s="147">
        <f t="shared" si="243"/>
        <v>67608</v>
      </c>
      <c r="AB509" s="147">
        <f t="shared" si="244"/>
        <v>4570841664</v>
      </c>
      <c r="AD509" s="583">
        <f t="shared" si="245"/>
        <v>26.094810222720902</v>
      </c>
      <c r="AE509" s="584">
        <f t="shared" si="246"/>
        <v>-53.346545541825378</v>
      </c>
      <c r="AG509" s="583">
        <f t="shared" si="247"/>
        <v>16.898079115296667</v>
      </c>
      <c r="AH509" s="584">
        <f t="shared" si="248"/>
        <v>-1.3115875448709324</v>
      </c>
      <c r="AJ509" s="147">
        <f t="shared" si="249"/>
        <v>0</v>
      </c>
      <c r="AK509" s="147">
        <f t="shared" si="261"/>
        <v>0</v>
      </c>
      <c r="AM509" s="147" t="str">
        <f t="shared" si="253"/>
        <v>1.02713012039247-0.999631910538819i</v>
      </c>
      <c r="AN509" s="147" t="str">
        <f t="shared" si="254"/>
        <v>4.68525553073156i</v>
      </c>
      <c r="AO509" s="147" t="str">
        <f t="shared" si="255"/>
        <v>-0.213356967188241-0.219226062197742i</v>
      </c>
      <c r="AP509" s="147" t="str">
        <f t="shared" si="256"/>
        <v>-0.00452168673207883+0.166605318423137i</v>
      </c>
      <c r="AQ509" s="147" t="str">
        <f t="shared" si="257"/>
        <v>1.00452168673208-0.166605318423137i</v>
      </c>
      <c r="AR509" s="147" t="str">
        <f t="shared" si="258"/>
        <v>0.807050052986975+0.133853587072597i</v>
      </c>
    </row>
    <row r="510" spans="7:44">
      <c r="G510" s="585">
        <v>68001.75</v>
      </c>
      <c r="H510" s="573">
        <f t="shared" si="250"/>
        <v>68.001750000000001</v>
      </c>
      <c r="I510" s="574">
        <f t="shared" si="230"/>
        <v>591.96114894129676</v>
      </c>
      <c r="J510" s="575">
        <f t="shared" si="231"/>
        <v>1.5691070259389004</v>
      </c>
      <c r="K510" s="575">
        <f t="shared" si="232"/>
        <v>1.0098913419196311</v>
      </c>
      <c r="L510" s="576">
        <f t="shared" si="233"/>
        <v>0.14007492297212432</v>
      </c>
      <c r="M510" s="575">
        <f t="shared" si="234"/>
        <v>1.3986938969966118</v>
      </c>
      <c r="N510" s="576">
        <f t="shared" si="235"/>
        <v>-0.77423985162767106</v>
      </c>
      <c r="O510" s="574">
        <f t="shared" si="236"/>
        <v>1281802.7879232154</v>
      </c>
      <c r="P510" s="577">
        <f t="shared" si="237"/>
        <v>1.5707955466436836</v>
      </c>
      <c r="Q510" s="586">
        <f t="shared" si="259"/>
        <v>239.2719434272183</v>
      </c>
      <c r="R510" s="587">
        <f t="shared" si="260"/>
        <v>1.5666169696297672</v>
      </c>
      <c r="S510" s="574">
        <f t="shared" si="238"/>
        <v>1.671933603018581</v>
      </c>
      <c r="T510" s="577">
        <f t="shared" si="239"/>
        <v>0.9296557855764449</v>
      </c>
      <c r="U510" s="578">
        <f t="shared" si="251"/>
        <v>0.24656565038921296</v>
      </c>
      <c r="V510" s="579">
        <f t="shared" si="252"/>
        <v>-2.1911184388352907</v>
      </c>
      <c r="W510" s="580">
        <f t="shared" si="240"/>
        <v>-36.360161519161892</v>
      </c>
      <c r="X510" s="581">
        <f t="shared" si="241"/>
        <v>-305.28479116591319</v>
      </c>
      <c r="Y510" s="584">
        <f t="shared" si="242"/>
        <v>-125.28479116591319</v>
      </c>
      <c r="AA510" s="147">
        <f t="shared" si="243"/>
        <v>68001.75</v>
      </c>
      <c r="AB510" s="147">
        <f t="shared" si="244"/>
        <v>4624238003.0625</v>
      </c>
      <c r="AD510" s="583">
        <f t="shared" si="245"/>
        <v>26.062480877482873</v>
      </c>
      <c r="AE510" s="584">
        <f t="shared" si="246"/>
        <v>-53.504767801855238</v>
      </c>
      <c r="AG510" s="583">
        <f t="shared" si="247"/>
        <v>17.002299973632354</v>
      </c>
      <c r="AH510" s="584">
        <f t="shared" si="248"/>
        <v>-0.69634516004109037</v>
      </c>
      <c r="AJ510" s="147">
        <f t="shared" si="249"/>
        <v>0</v>
      </c>
      <c r="AK510" s="147">
        <f t="shared" si="261"/>
        <v>0</v>
      </c>
      <c r="AM510" s="147" t="str">
        <f t="shared" si="253"/>
        <v>0.999846451588033-0.999999988211443i</v>
      </c>
      <c r="AN510" s="147" t="str">
        <f t="shared" si="254"/>
        <v>4.71254252879726i</v>
      </c>
      <c r="AO510" s="147" t="str">
        <f t="shared" si="255"/>
        <v>-0.212199673976558-0.212167093554743i</v>
      </c>
      <c r="AP510" s="147" t="str">
        <f t="shared" si="256"/>
        <v>0.0000255914019944968+0.166666664701907i</v>
      </c>
      <c r="AQ510" s="147" t="str">
        <f t="shared" si="257"/>
        <v>0.999974408598005-0.166666664701907i</v>
      </c>
      <c r="AR510" s="147" t="str">
        <f t="shared" si="258"/>
        <v>0.810506107787727+0.135087806791873i</v>
      </c>
    </row>
    <row r="511" spans="7:44">
      <c r="G511" s="585">
        <v>68395.5</v>
      </c>
      <c r="H511" s="573">
        <f t="shared" si="250"/>
        <v>68.395499999999998</v>
      </c>
      <c r="I511" s="574">
        <f t="shared" si="230"/>
        <v>595.38876718859763</v>
      </c>
      <c r="J511" s="575">
        <f t="shared" si="231"/>
        <v>1.5691167511541191</v>
      </c>
      <c r="K511" s="575">
        <f t="shared" si="232"/>
        <v>1.0100056520114811</v>
      </c>
      <c r="L511" s="576">
        <f t="shared" si="233"/>
        <v>0.14087533935268329</v>
      </c>
      <c r="M511" s="575">
        <f t="shared" si="234"/>
        <v>1.4026588005672369</v>
      </c>
      <c r="N511" s="576">
        <f t="shared" si="235"/>
        <v>-0.77712609912040442</v>
      </c>
      <c r="O511" s="574">
        <f t="shared" si="236"/>
        <v>1289224.8005588381</v>
      </c>
      <c r="P511" s="577">
        <f t="shared" si="237"/>
        <v>1.5707955511349809</v>
      </c>
      <c r="Q511" s="586">
        <f t="shared" si="259"/>
        <v>240.65737375576376</v>
      </c>
      <c r="R511" s="587">
        <f t="shared" si="260"/>
        <v>1.5666410297343976</v>
      </c>
      <c r="S511" s="574">
        <f t="shared" si="238"/>
        <v>1.6781577719598211</v>
      </c>
      <c r="T511" s="577">
        <f t="shared" si="239"/>
        <v>0.93242097716473293</v>
      </c>
      <c r="U511" s="578">
        <f t="shared" si="251"/>
        <v>0.24285522507571283</v>
      </c>
      <c r="V511" s="579">
        <f t="shared" si="252"/>
        <v>-2.2040825434807427</v>
      </c>
      <c r="W511" s="580">
        <f t="shared" si="240"/>
        <v>-36.548718398604507</v>
      </c>
      <c r="X511" s="581">
        <f t="shared" si="241"/>
        <v>-306.30470170415686</v>
      </c>
      <c r="Y511" s="584">
        <f t="shared" si="242"/>
        <v>-126.30470170415686</v>
      </c>
      <c r="AA511" s="147">
        <f t="shared" si="243"/>
        <v>68395.5</v>
      </c>
      <c r="AB511" s="147">
        <f t="shared" si="244"/>
        <v>4677944420.25</v>
      </c>
      <c r="AD511" s="583">
        <f t="shared" si="245"/>
        <v>26.03020476350553</v>
      </c>
      <c r="AE511" s="584">
        <f t="shared" si="246"/>
        <v>-53.661823324471079</v>
      </c>
      <c r="AG511" s="583">
        <f t="shared" si="247"/>
        <v>17.109424092319351</v>
      </c>
      <c r="AH511" s="584">
        <f t="shared" si="248"/>
        <v>-7.3623211270739744E-2</v>
      </c>
      <c r="AJ511" s="147">
        <f t="shared" si="249"/>
        <v>0</v>
      </c>
      <c r="AK511" s="147">
        <f t="shared" si="261"/>
        <v>0</v>
      </c>
      <c r="AM511" s="147" t="str">
        <f t="shared" si="253"/>
        <v>0.972562897105627-0.99962353182824i</v>
      </c>
      <c r="AN511" s="147" t="str">
        <f t="shared" si="254"/>
        <v>4.73982952686295i</v>
      </c>
      <c r="AO511" s="147" t="str">
        <f t="shared" si="255"/>
        <v>-0.21089862539631-0.205189425398874i</v>
      </c>
      <c r="AP511" s="147" t="str">
        <f t="shared" si="256"/>
        <v>0.0045728504823955+0.166603921971373i</v>
      </c>
      <c r="AQ511" s="147" t="str">
        <f t="shared" si="257"/>
        <v>0.995427149517604-0.166603921971373i</v>
      </c>
      <c r="AR511" s="147" t="str">
        <f t="shared" si="258"/>
        <v>0.814023860452608+0.136242584698845i</v>
      </c>
    </row>
    <row r="512" spans="7:44">
      <c r="G512" s="585">
        <v>68789.25</v>
      </c>
      <c r="H512" s="573">
        <f t="shared" si="250"/>
        <v>68.789249999999996</v>
      </c>
      <c r="I512" s="574">
        <f t="shared" si="230"/>
        <v>598.81638549156537</v>
      </c>
      <c r="J512" s="575">
        <f t="shared" si="231"/>
        <v>1.569126365035292</v>
      </c>
      <c r="K512" s="575">
        <f t="shared" si="232"/>
        <v>1.0101206090333039</v>
      </c>
      <c r="L512" s="576">
        <f t="shared" si="233"/>
        <v>0.14167557406266668</v>
      </c>
      <c r="M512" s="575">
        <f t="shared" si="234"/>
        <v>1.4066353229527147</v>
      </c>
      <c r="N512" s="576">
        <f t="shared" si="235"/>
        <v>-0.77999605171175868</v>
      </c>
      <c r="O512" s="574">
        <f t="shared" si="236"/>
        <v>1296646.8131944607</v>
      </c>
      <c r="P512" s="577">
        <f t="shared" si="237"/>
        <v>1.5707955555748621</v>
      </c>
      <c r="Q512" s="586">
        <f t="shared" si="259"/>
        <v>242.04280422202817</v>
      </c>
      <c r="R512" s="587">
        <f t="shared" si="260"/>
        <v>1.5666648144034461</v>
      </c>
      <c r="S512" s="574">
        <f t="shared" si="238"/>
        <v>1.684394677684774</v>
      </c>
      <c r="T512" s="577">
        <f t="shared" si="239"/>
        <v>0.93516571194075715</v>
      </c>
      <c r="U512" s="578">
        <f t="shared" si="251"/>
        <v>0.23912572655850406</v>
      </c>
      <c r="V512" s="579">
        <f t="shared" si="252"/>
        <v>-2.2171628776577421</v>
      </c>
      <c r="W512" s="580">
        <f t="shared" si="240"/>
        <v>-36.739646330864851</v>
      </c>
      <c r="X512" s="581">
        <f t="shared" si="241"/>
        <v>-307.32918579427337</v>
      </c>
      <c r="Y512" s="584">
        <f t="shared" si="242"/>
        <v>-127.32918579427337</v>
      </c>
      <c r="AA512" s="147">
        <f t="shared" si="243"/>
        <v>68789.25</v>
      </c>
      <c r="AB512" s="147">
        <f t="shared" si="244"/>
        <v>4731960915.5625</v>
      </c>
      <c r="AD512" s="583">
        <f t="shared" si="245"/>
        <v>25.997982469929504</v>
      </c>
      <c r="AE512" s="584">
        <f t="shared" si="246"/>
        <v>-53.817722536431042</v>
      </c>
      <c r="AG512" s="583">
        <f t="shared" si="247"/>
        <v>17.219564423278808</v>
      </c>
      <c r="AH512" s="584">
        <f t="shared" si="248"/>
        <v>0.55668779821102776</v>
      </c>
      <c r="AJ512" s="147">
        <f t="shared" si="249"/>
        <v>0</v>
      </c>
      <c r="AK512" s="147">
        <f t="shared" si="261"/>
        <v>0</v>
      </c>
      <c r="AM512" s="147" t="str">
        <f t="shared" si="253"/>
        <v>0.94529977048095-0.998502821673811i</v>
      </c>
      <c r="AN512" s="147" t="str">
        <f t="shared" si="254"/>
        <v>4.76711652492865i</v>
      </c>
      <c r="AO512" s="147" t="str">
        <f t="shared" si="255"/>
        <v>-0.20945634881219-0.198295922815753i</v>
      </c>
      <c r="AP512" s="147" t="str">
        <f t="shared" si="256"/>
        <v>0.00911670491984165+0.166417136945635i</v>
      </c>
      <c r="AQ512" s="147" t="str">
        <f t="shared" si="257"/>
        <v>0.990883295080158-0.166417136945635i</v>
      </c>
      <c r="AR512" s="147" t="str">
        <f t="shared" si="258"/>
        <v>0.817602287740549+0.137314891230431i</v>
      </c>
    </row>
    <row r="513" spans="7:44">
      <c r="G513" s="585">
        <v>69183</v>
      </c>
      <c r="H513" s="573">
        <f t="shared" si="250"/>
        <v>69.183000000000007</v>
      </c>
      <c r="I513" s="574">
        <f t="shared" si="230"/>
        <v>602.24400384925002</v>
      </c>
      <c r="J513" s="575">
        <f t="shared" si="231"/>
        <v>1.569135869483361</v>
      </c>
      <c r="K513" s="575">
        <f t="shared" si="232"/>
        <v>1.0102362127642526</v>
      </c>
      <c r="L513" s="576">
        <f t="shared" si="233"/>
        <v>0.14247562613936671</v>
      </c>
      <c r="M513" s="575">
        <f t="shared" si="234"/>
        <v>1.4106233658933456</v>
      </c>
      <c r="N513" s="576">
        <f t="shared" si="235"/>
        <v>-0.78284980012864913</v>
      </c>
      <c r="O513" s="574">
        <f t="shared" si="236"/>
        <v>1304068.8258300836</v>
      </c>
      <c r="P513" s="577">
        <f t="shared" si="237"/>
        <v>1.5707955599642047</v>
      </c>
      <c r="Q513" s="586">
        <f t="shared" si="259"/>
        <v>243.42823482366018</v>
      </c>
      <c r="R513" s="587">
        <f t="shared" si="260"/>
        <v>1.5666883283396702</v>
      </c>
      <c r="S513" s="574">
        <f t="shared" si="238"/>
        <v>1.6906441792327638</v>
      </c>
      <c r="T513" s="577">
        <f t="shared" si="239"/>
        <v>0.93789017517661766</v>
      </c>
      <c r="U513" s="578">
        <f t="shared" si="251"/>
        <v>0.23537642946394635</v>
      </c>
      <c r="V513" s="579">
        <f t="shared" si="252"/>
        <v>-2.2303614103423386</v>
      </c>
      <c r="W513" s="580">
        <f t="shared" si="240"/>
        <v>-36.933071971087962</v>
      </c>
      <c r="X513" s="581">
        <f t="shared" si="241"/>
        <v>-308.3583719585364</v>
      </c>
      <c r="Y513" s="584">
        <f t="shared" si="242"/>
        <v>-128.3583719585364</v>
      </c>
      <c r="AA513" s="147">
        <f t="shared" si="243"/>
        <v>69183</v>
      </c>
      <c r="AB513" s="147">
        <f t="shared" si="244"/>
        <v>4786287489</v>
      </c>
      <c r="AD513" s="583">
        <f t="shared" si="245"/>
        <v>25.965814566094885</v>
      </c>
      <c r="AE513" s="584">
        <f t="shared" si="246"/>
        <v>-53.972475783646665</v>
      </c>
      <c r="AG513" s="583">
        <f t="shared" si="247"/>
        <v>17.332839968904427</v>
      </c>
      <c r="AH513" s="584">
        <f t="shared" si="248"/>
        <v>1.1946953200775801</v>
      </c>
      <c r="AJ513" s="147">
        <f t="shared" si="249"/>
        <v>0</v>
      </c>
      <c r="AK513" s="147">
        <f t="shared" si="261"/>
        <v>0</v>
      </c>
      <c r="AM513" s="147" t="str">
        <f t="shared" si="253"/>
        <v>0.918077370040491-0.996638692155044i</v>
      </c>
      <c r="AN513" s="147" t="str">
        <f t="shared" si="254"/>
        <v>4.79440352299435i</v>
      </c>
      <c r="AO513" s="147" t="str">
        <f t="shared" si="255"/>
        <v>-0.207875429628542-0.191489382493008i</v>
      </c>
      <c r="AP513" s="147" t="str">
        <f t="shared" si="256"/>
        <v>0.0136537716599182+0.166106448692507i</v>
      </c>
      <c r="AQ513" s="147" t="str">
        <f t="shared" si="257"/>
        <v>0.986346228340082-0.166106448692507i</v>
      </c>
      <c r="AR513" s="147" t="str">
        <f t="shared" si="258"/>
        <v>0.821240232751601+0.138301637565285i</v>
      </c>
    </row>
    <row r="514" spans="7:44">
      <c r="G514" s="585">
        <v>69586</v>
      </c>
      <c r="H514" s="573">
        <f t="shared" si="250"/>
        <v>69.585999999999999</v>
      </c>
      <c r="I514" s="574">
        <f t="shared" si="230"/>
        <v>605.75214409071032</v>
      </c>
      <c r="J514" s="575">
        <f t="shared" si="231"/>
        <v>1.5691454858297129</v>
      </c>
      <c r="K514" s="575">
        <f t="shared" si="232"/>
        <v>1.0103552017100859</v>
      </c>
      <c r="L514" s="576">
        <f t="shared" si="233"/>
        <v>0.14329428296766081</v>
      </c>
      <c r="M514" s="575">
        <f t="shared" si="234"/>
        <v>1.4147169242084101</v>
      </c>
      <c r="N514" s="576">
        <f t="shared" si="235"/>
        <v>-0.7857539040548932</v>
      </c>
      <c r="O514" s="574">
        <f t="shared" si="236"/>
        <v>1311665.1968577811</v>
      </c>
      <c r="P514" s="577">
        <f t="shared" si="237"/>
        <v>1.5707955644052241</v>
      </c>
      <c r="Q514" s="586">
        <f t="shared" si="259"/>
        <v>244.84621218672649</v>
      </c>
      <c r="R514" s="587">
        <f t="shared" si="260"/>
        <v>1.5667121191153097</v>
      </c>
      <c r="S514" s="574">
        <f t="shared" si="238"/>
        <v>1.6970533923927673</v>
      </c>
      <c r="T514" s="577">
        <f t="shared" si="239"/>
        <v>0.94065784196713798</v>
      </c>
      <c r="U514" s="578">
        <f t="shared" si="251"/>
        <v>0.23151781420741879</v>
      </c>
      <c r="V514" s="579">
        <f t="shared" si="252"/>
        <v>-2.2439944126589522</v>
      </c>
      <c r="W514" s="580">
        <f t="shared" si="240"/>
        <v>-37.133766810039759</v>
      </c>
      <c r="X514" s="581">
        <f t="shared" si="241"/>
        <v>-309.41673651736193</v>
      </c>
      <c r="Y514" s="584">
        <f t="shared" si="242"/>
        <v>-129.41673651736193</v>
      </c>
      <c r="AA514" s="147">
        <f t="shared" si="243"/>
        <v>69586</v>
      </c>
      <c r="AB514" s="147">
        <f t="shared" si="244"/>
        <v>4842211396</v>
      </c>
      <c r="AD514" s="583">
        <f t="shared" si="245"/>
        <v>25.932947867011507</v>
      </c>
      <c r="AE514" s="584">
        <f t="shared" si="246"/>
        <v>-54.129688553437816</v>
      </c>
      <c r="AG514" s="583">
        <f t="shared" si="247"/>
        <v>17.452154108514023</v>
      </c>
      <c r="AH514" s="584">
        <f t="shared" si="248"/>
        <v>1.855770522496361</v>
      </c>
      <c r="AJ514" s="147">
        <f t="shared" si="249"/>
        <v>0</v>
      </c>
      <c r="AK514" s="147">
        <f t="shared" si="261"/>
        <v>0</v>
      </c>
      <c r="AM514" s="147" t="str">
        <f t="shared" si="253"/>
        <v>0.89027878366746-0.993962401042669i</v>
      </c>
      <c r="AN514" s="147" t="str">
        <f t="shared" si="254"/>
        <v>4.82233154895111i</v>
      </c>
      <c r="AO514" s="147" t="str">
        <f t="shared" si="255"/>
        <v>-0.206116562279685-0.184615838755654i</v>
      </c>
      <c r="AP514" s="147" t="str">
        <f t="shared" si="256"/>
        <v>0.0182868693887567+0.165660400173778i</v>
      </c>
      <c r="AQ514" s="147" t="str">
        <f t="shared" si="257"/>
        <v>0.981713130611243-0.165660400173778i</v>
      </c>
      <c r="AR514" s="147" t="str">
        <f t="shared" si="258"/>
        <v>0.825023915988046+0.139219684257885i</v>
      </c>
    </row>
    <row r="515" spans="7:44">
      <c r="G515" s="585">
        <v>69989</v>
      </c>
      <c r="H515" s="573">
        <f t="shared" si="250"/>
        <v>69.989000000000004</v>
      </c>
      <c r="I515" s="574">
        <f t="shared" si="230"/>
        <v>609.26028438754201</v>
      </c>
      <c r="J515" s="575">
        <f t="shared" si="231"/>
        <v>1.5691549914336029</v>
      </c>
      <c r="K515" s="575">
        <f t="shared" si="232"/>
        <v>1.0104748676352291</v>
      </c>
      <c r="L515" s="576">
        <f t="shared" si="233"/>
        <v>0.14411274644479935</v>
      </c>
      <c r="M515" s="575">
        <f t="shared" si="234"/>
        <v>1.418822345083445</v>
      </c>
      <c r="N515" s="576">
        <f t="shared" si="235"/>
        <v>-0.78864122592656982</v>
      </c>
      <c r="O515" s="574">
        <f t="shared" si="236"/>
        <v>1319261.5678854792</v>
      </c>
      <c r="P515" s="577">
        <f t="shared" si="237"/>
        <v>1.5707955687951001</v>
      </c>
      <c r="Q515" s="586">
        <f t="shared" si="259"/>
        <v>246.26418968678004</v>
      </c>
      <c r="R515" s="587">
        <f t="shared" si="260"/>
        <v>1.5667356359186515</v>
      </c>
      <c r="S515" s="574">
        <f t="shared" si="238"/>
        <v>1.7034755070703627</v>
      </c>
      <c r="T515" s="577">
        <f t="shared" si="239"/>
        <v>0.94340466141970636</v>
      </c>
      <c r="U515" s="578">
        <f t="shared" si="251"/>
        <v>0.2276369829271947</v>
      </c>
      <c r="V515" s="579">
        <f t="shared" si="252"/>
        <v>-2.2577552715443527</v>
      </c>
      <c r="W515" s="580">
        <f t="shared" si="240"/>
        <v>-37.337367316580277</v>
      </c>
      <c r="X515" s="581">
        <f t="shared" si="241"/>
        <v>-310.48029114024655</v>
      </c>
      <c r="Y515" s="584">
        <f t="shared" si="242"/>
        <v>-130.48029114024655</v>
      </c>
      <c r="AA515" s="147">
        <f t="shared" si="243"/>
        <v>69989</v>
      </c>
      <c r="AB515" s="147">
        <f t="shared" si="244"/>
        <v>4898460121</v>
      </c>
      <c r="AD515" s="583">
        <f t="shared" si="245"/>
        <v>25.90013928829698</v>
      </c>
      <c r="AE515" s="584">
        <f t="shared" si="246"/>
        <v>-54.285722553274972</v>
      </c>
      <c r="AG515" s="583">
        <f t="shared" si="247"/>
        <v>17.575025887490451</v>
      </c>
      <c r="AH515" s="584">
        <f t="shared" si="248"/>
        <v>2.5251281744679006</v>
      </c>
      <c r="AJ515" s="147">
        <f t="shared" si="249"/>
        <v>0</v>
      </c>
      <c r="AK515" s="147">
        <f t="shared" si="261"/>
        <v>0</v>
      </c>
      <c r="AM515" s="147" t="str">
        <f t="shared" si="253"/>
        <v>0.862565771497603-0.990510894859794i</v>
      </c>
      <c r="AN515" s="147" t="str">
        <f t="shared" si="254"/>
        <v>4.85025957490787i</v>
      </c>
      <c r="AO515" s="147" t="str">
        <f t="shared" si="255"/>
        <v>-0.204218120610299-0.177839094624948i</v>
      </c>
      <c r="AP515" s="147" t="str">
        <f t="shared" si="256"/>
        <v>0.0229057047503995+0.165085149143299i</v>
      </c>
      <c r="AQ515" s="147" t="str">
        <f t="shared" si="257"/>
        <v>0.9770942952496-0.165085149143299i</v>
      </c>
      <c r="AR515" s="147" t="str">
        <f t="shared" si="258"/>
        <v>0.828867030722318+0.140041383981065i</v>
      </c>
    </row>
    <row r="516" spans="7:44">
      <c r="G516" s="585">
        <v>70392</v>
      </c>
      <c r="H516" s="573">
        <f t="shared" si="250"/>
        <v>70.391999999999996</v>
      </c>
      <c r="I516" s="574">
        <f t="shared" si="230"/>
        <v>612.76842473879401</v>
      </c>
      <c r="J516" s="575">
        <f t="shared" si="231"/>
        <v>1.5691643881970536</v>
      </c>
      <c r="K516" s="575">
        <f t="shared" si="232"/>
        <v>1.0105952102991962</v>
      </c>
      <c r="L516" s="576">
        <f t="shared" si="233"/>
        <v>0.14493101554311411</v>
      </c>
      <c r="M516" s="575">
        <f t="shared" si="234"/>
        <v>1.422939525841987</v>
      </c>
      <c r="N516" s="576">
        <f t="shared" si="235"/>
        <v>-0.79151186306744026</v>
      </c>
      <c r="O516" s="574">
        <f t="shared" si="236"/>
        <v>1326857.9389131768</v>
      </c>
      <c r="P516" s="577">
        <f t="shared" si="237"/>
        <v>1.5707955731347114</v>
      </c>
      <c r="Q516" s="586">
        <f t="shared" si="259"/>
        <v>247.68216732146817</v>
      </c>
      <c r="R516" s="587">
        <f t="shared" si="260"/>
        <v>1.5667588834551343</v>
      </c>
      <c r="S516" s="574">
        <f t="shared" si="238"/>
        <v>1.7099103778982436</v>
      </c>
      <c r="T516" s="577">
        <f t="shared" si="239"/>
        <v>0.94613082721336683</v>
      </c>
      <c r="U516" s="578">
        <f t="shared" si="251"/>
        <v>0.22373322488331499</v>
      </c>
      <c r="V516" s="579">
        <f t="shared" si="252"/>
        <v>-2.2716459510907949</v>
      </c>
      <c r="W516" s="580">
        <f t="shared" si="240"/>
        <v>-37.544031326638894</v>
      </c>
      <c r="X516" s="581">
        <f t="shared" si="241"/>
        <v>-311.549164932927</v>
      </c>
      <c r="Y516" s="584">
        <f t="shared" si="242"/>
        <v>-131.549164932927</v>
      </c>
      <c r="AA516" s="147">
        <f t="shared" si="243"/>
        <v>70392</v>
      </c>
      <c r="AB516" s="147">
        <f t="shared" si="244"/>
        <v>4955033664</v>
      </c>
      <c r="AD516" s="583">
        <f t="shared" si="245"/>
        <v>25.867389378758713</v>
      </c>
      <c r="AE516" s="584">
        <f t="shared" si="246"/>
        <v>-54.440588610598468</v>
      </c>
      <c r="AG516" s="583">
        <f t="shared" si="247"/>
        <v>17.701605319070516</v>
      </c>
      <c r="AH516" s="584">
        <f t="shared" si="248"/>
        <v>3.2028750660893981</v>
      </c>
      <c r="AJ516" s="147">
        <f t="shared" si="249"/>
        <v>0</v>
      </c>
      <c r="AK516" s="147">
        <f t="shared" si="261"/>
        <v>0</v>
      </c>
      <c r="AM516" s="147" t="str">
        <f t="shared" si="253"/>
        <v>0.834959947572518-0.986286865518716i</v>
      </c>
      <c r="AN516" s="147" t="str">
        <f t="shared" si="254"/>
        <v>4.87818760086463i</v>
      </c>
      <c r="AO516" s="147" t="str">
        <f t="shared" si="255"/>
        <v>-0.202183053670159-0.171161918296157i</v>
      </c>
      <c r="AP516" s="147" t="str">
        <f t="shared" si="256"/>
        <v>0.0275066754045803+0.164381144253119i</v>
      </c>
      <c r="AQ516" s="147" t="str">
        <f t="shared" si="257"/>
        <v>0.97249332459542-0.164381144253119i</v>
      </c>
      <c r="AR516" s="147" t="str">
        <f t="shared" si="258"/>
        <v>0.832767848956425+0.140763261244611i</v>
      </c>
    </row>
    <row r="517" spans="7:44">
      <c r="G517" s="585">
        <v>70795</v>
      </c>
      <c r="H517" s="573">
        <f t="shared" si="250"/>
        <v>70.795000000000002</v>
      </c>
      <c r="I517" s="574">
        <f t="shared" si="230"/>
        <v>616.27656514353669</v>
      </c>
      <c r="J517" s="575">
        <f t="shared" si="231"/>
        <v>1.5691736779787782</v>
      </c>
      <c r="K517" s="575">
        <f t="shared" si="232"/>
        <v>1.0107162294602563</v>
      </c>
      <c r="L517" s="576">
        <f t="shared" si="233"/>
        <v>0.14574908923646634</v>
      </c>
      <c r="M517" s="575">
        <f t="shared" si="234"/>
        <v>1.427068364700059</v>
      </c>
      <c r="N517" s="576">
        <f t="shared" si="235"/>
        <v>-0.79436591277969071</v>
      </c>
      <c r="O517" s="574">
        <f t="shared" si="236"/>
        <v>1334454.3099408748</v>
      </c>
      <c r="P517" s="577">
        <f t="shared" si="237"/>
        <v>1.5707955774249163</v>
      </c>
      <c r="Q517" s="586">
        <f t="shared" si="259"/>
        <v>249.10014508849164</v>
      </c>
      <c r="R517" s="587">
        <f t="shared" si="260"/>
        <v>1.5667818663230573</v>
      </c>
      <c r="S517" s="574">
        <f t="shared" si="238"/>
        <v>1.7163578614025263</v>
      </c>
      <c r="T517" s="577">
        <f t="shared" si="239"/>
        <v>0.94883653135358226</v>
      </c>
      <c r="U517" s="578">
        <f t="shared" si="251"/>
        <v>0.219805857048057</v>
      </c>
      <c r="V517" s="579">
        <f t="shared" si="252"/>
        <v>-2.2856683544207446</v>
      </c>
      <c r="W517" s="580">
        <f t="shared" si="240"/>
        <v>-37.753925185194603</v>
      </c>
      <c r="X517" s="581">
        <f t="shared" si="241"/>
        <v>-312.62348341427196</v>
      </c>
      <c r="Y517" s="584">
        <f t="shared" si="242"/>
        <v>-132.62348341427196</v>
      </c>
      <c r="AA517" s="147">
        <f t="shared" si="243"/>
        <v>70795</v>
      </c>
      <c r="AB517" s="147">
        <f t="shared" si="244"/>
        <v>5011932025</v>
      </c>
      <c r="AD517" s="583">
        <f t="shared" si="245"/>
        <v>25.834698667358047</v>
      </c>
      <c r="AE517" s="584">
        <f t="shared" si="246"/>
        <v>-54.594297463097085</v>
      </c>
      <c r="AG517" s="583">
        <f t="shared" si="247"/>
        <v>17.832051049254627</v>
      </c>
      <c r="AH517" s="584">
        <f t="shared" si="248"/>
        <v>3.8891144979517209</v>
      </c>
      <c r="AJ517" s="147">
        <f t="shared" si="249"/>
        <v>0</v>
      </c>
      <c r="AK517" s="147">
        <f t="shared" si="261"/>
        <v>0</v>
      </c>
      <c r="AM517" s="147" t="str">
        <f t="shared" si="253"/>
        <v>0.807482842335116-0.981293607441032i</v>
      </c>
      <c r="AN517" s="147" t="str">
        <f t="shared" si="254"/>
        <v>4.9061156268214i</v>
      </c>
      <c r="AO517" s="147" t="str">
        <f t="shared" si="255"/>
        <v>-0.200014366167068-0.164586997893132i</v>
      </c>
      <c r="AP517" s="147" t="str">
        <f t="shared" si="256"/>
        <v>0.0320861929441473+0.163548934573505i</v>
      </c>
      <c r="AQ517" s="147" t="str">
        <f t="shared" si="257"/>
        <v>0.967913807055853-0.163548934573505i</v>
      </c>
      <c r="AR517" s="147" t="str">
        <f t="shared" si="258"/>
        <v>0.836724460099324+0.141381797617997i</v>
      </c>
    </row>
    <row r="518" spans="7:44">
      <c r="G518" s="585">
        <v>71207.25</v>
      </c>
      <c r="H518" s="573">
        <f t="shared" si="250"/>
        <v>71.207250000000002</v>
      </c>
      <c r="I518" s="574">
        <f t="shared" si="230"/>
        <v>619.86522743579076</v>
      </c>
      <c r="J518" s="575">
        <f t="shared" si="231"/>
        <v>1.5691830721880817</v>
      </c>
      <c r="K518" s="575">
        <f t="shared" si="232"/>
        <v>1.0108407260696697</v>
      </c>
      <c r="L518" s="576">
        <f t="shared" si="233"/>
        <v>0.14658573680319589</v>
      </c>
      <c r="M518" s="575">
        <f t="shared" si="234"/>
        <v>1.4313039295526222</v>
      </c>
      <c r="N518" s="576">
        <f t="shared" si="235"/>
        <v>-0.79726840959170631</v>
      </c>
      <c r="O518" s="574">
        <f t="shared" si="236"/>
        <v>1342225.0393606476</v>
      </c>
      <c r="P518" s="577">
        <f t="shared" si="237"/>
        <v>1.5707955817633477</v>
      </c>
      <c r="Q518" s="586">
        <f t="shared" si="259"/>
        <v>250.55066962619071</v>
      </c>
      <c r="R518" s="587">
        <f t="shared" si="260"/>
        <v>1.5668051075478329</v>
      </c>
      <c r="S518" s="574">
        <f t="shared" si="238"/>
        <v>1.722966235668058</v>
      </c>
      <c r="T518" s="577">
        <f t="shared" si="239"/>
        <v>0.95158336603378013</v>
      </c>
      <c r="U518" s="578">
        <f t="shared" si="251"/>
        <v>0.21576323595286817</v>
      </c>
      <c r="V518" s="579">
        <f t="shared" si="252"/>
        <v>-2.3001508192257711</v>
      </c>
      <c r="W518" s="580">
        <f t="shared" si="240"/>
        <v>-37.972161626346505</v>
      </c>
      <c r="X518" s="581">
        <f t="shared" si="241"/>
        <v>-313.72822087589822</v>
      </c>
      <c r="Y518" s="584">
        <f t="shared" si="242"/>
        <v>-133.72822087589822</v>
      </c>
      <c r="AA518" s="147">
        <f t="shared" si="243"/>
        <v>71207.25</v>
      </c>
      <c r="AB518" s="147">
        <f t="shared" si="244"/>
        <v>5070472452.5625</v>
      </c>
      <c r="AD518" s="583">
        <f t="shared" si="245"/>
        <v>25.801319393893195</v>
      </c>
      <c r="AE518" s="584">
        <f t="shared" si="246"/>
        <v>-54.750348121954339</v>
      </c>
      <c r="AG518" s="583">
        <f t="shared" si="247"/>
        <v>17.969666431133486</v>
      </c>
      <c r="AH518" s="584">
        <f t="shared" si="248"/>
        <v>4.5999959176286627</v>
      </c>
      <c r="AJ518" s="147">
        <f t="shared" si="249"/>
        <v>0</v>
      </c>
      <c r="AK518" s="147">
        <f t="shared" si="261"/>
        <v>0</v>
      </c>
      <c r="AM518" s="147" t="str">
        <f t="shared" si="253"/>
        <v>0.779530585895869-0.975393888357202i</v>
      </c>
      <c r="AN518" s="147" t="str">
        <f t="shared" si="254"/>
        <v>4.93468468066923i</v>
      </c>
      <c r="AO518" s="147" t="str">
        <f t="shared" si="255"/>
        <v>-0.197660833766773-0.157969685266729i</v>
      </c>
      <c r="AP518" s="147" t="str">
        <f t="shared" si="256"/>
        <v>0.0367449023506885+0.162565648059534i</v>
      </c>
      <c r="AQ518" s="147" t="str">
        <f t="shared" si="257"/>
        <v>0.963255097649311-0.162565648059534i</v>
      </c>
      <c r="AR518" s="147" t="str">
        <f t="shared" si="258"/>
        <v>0.840827422098965+0.141903899718068i</v>
      </c>
    </row>
    <row r="519" spans="7:44">
      <c r="G519" s="585">
        <v>71619.5</v>
      </c>
      <c r="H519" s="573">
        <f t="shared" si="250"/>
        <v>71.619500000000002</v>
      </c>
      <c r="I519" s="574">
        <f t="shared" si="230"/>
        <v>623.45388978211884</v>
      </c>
      <c r="J519" s="575">
        <f t="shared" si="231"/>
        <v>1.5691923582493872</v>
      </c>
      <c r="K519" s="575">
        <f t="shared" si="232"/>
        <v>1.0109659300719589</v>
      </c>
      <c r="L519" s="576">
        <f t="shared" si="233"/>
        <v>0.14742217772452651</v>
      </c>
      <c r="M519" s="575">
        <f t="shared" si="234"/>
        <v>1.4355514811947716</v>
      </c>
      <c r="N519" s="576">
        <f t="shared" si="235"/>
        <v>-0.80015375460705263</v>
      </c>
      <c r="O519" s="574">
        <f t="shared" si="236"/>
        <v>1349995.7687804205</v>
      </c>
      <c r="P519" s="577">
        <f t="shared" si="237"/>
        <v>1.5707955860518341</v>
      </c>
      <c r="Q519" s="586">
        <f t="shared" si="259"/>
        <v>252.00119429766787</v>
      </c>
      <c r="R519" s="587">
        <f t="shared" si="260"/>
        <v>1.5668280812185718</v>
      </c>
      <c r="S519" s="574">
        <f t="shared" si="238"/>
        <v>1.7295875104905394</v>
      </c>
      <c r="T519" s="577">
        <f t="shared" si="239"/>
        <v>0.95430919006892467</v>
      </c>
      <c r="U519" s="578">
        <f t="shared" si="251"/>
        <v>0.21169456407039375</v>
      </c>
      <c r="V519" s="579">
        <f t="shared" si="252"/>
        <v>-2.314774930097633</v>
      </c>
      <c r="W519" s="580">
        <f t="shared" si="240"/>
        <v>-38.194160058034285</v>
      </c>
      <c r="X519" s="581">
        <f t="shared" si="241"/>
        <v>-314.83890848283971</v>
      </c>
      <c r="Y519" s="584">
        <f t="shared" si="242"/>
        <v>-134.83890848283971</v>
      </c>
      <c r="AA519" s="147">
        <f t="shared" si="243"/>
        <v>71619.5</v>
      </c>
      <c r="AB519" s="147">
        <f t="shared" si="244"/>
        <v>5129352780.25</v>
      </c>
      <c r="AD519" s="583">
        <f t="shared" si="245"/>
        <v>25.76800312540021</v>
      </c>
      <c r="AE519" s="584">
        <f t="shared" si="246"/>
        <v>-54.905210286379301</v>
      </c>
      <c r="AG519" s="583">
        <f t="shared" si="247"/>
        <v>18.1116938935142</v>
      </c>
      <c r="AH519" s="584">
        <f t="shared" si="248"/>
        <v>5.3199701412051441</v>
      </c>
      <c r="AJ519" s="147">
        <f t="shared" si="249"/>
        <v>0</v>
      </c>
      <c r="AK519" s="147">
        <f t="shared" si="261"/>
        <v>0</v>
      </c>
      <c r="AM519" s="147" t="str">
        <f t="shared" si="253"/>
        <v>0.751758262333623-0.968698115864988i</v>
      </c>
      <c r="AN519" s="147" t="str">
        <f t="shared" si="254"/>
        <v>4.96325373451706i</v>
      </c>
      <c r="AO519" s="147" t="str">
        <f t="shared" si="255"/>
        <v>-0.195174006343491-0.151464805658736i</v>
      </c>
      <c r="AP519" s="147" t="str">
        <f t="shared" si="256"/>
        <v>0.0413736229443962+0.161449685977498i</v>
      </c>
      <c r="AQ519" s="147" t="str">
        <f t="shared" si="257"/>
        <v>0.958626377055604-0.161449685977498i</v>
      </c>
      <c r="AR519" s="147" t="str">
        <f t="shared" si="258"/>
        <v>0.844984098546695+0.142310310493814i</v>
      </c>
    </row>
    <row r="520" spans="7:44">
      <c r="G520" s="585">
        <v>72031.75</v>
      </c>
      <c r="H520" s="573">
        <f t="shared" si="250"/>
        <v>72.031750000000002</v>
      </c>
      <c r="I520" s="574">
        <f t="shared" si="230"/>
        <v>627.04255218159255</v>
      </c>
      <c r="J520" s="575">
        <f t="shared" si="231"/>
        <v>1.569201538019537</v>
      </c>
      <c r="K520" s="575">
        <f t="shared" si="232"/>
        <v>1.0110918412043335</v>
      </c>
      <c r="L520" s="576">
        <f t="shared" si="233"/>
        <v>0.14825841090703956</v>
      </c>
      <c r="M520" s="575">
        <f t="shared" si="234"/>
        <v>1.4398109135406894</v>
      </c>
      <c r="N520" s="576">
        <f t="shared" si="235"/>
        <v>-0.80302205179262631</v>
      </c>
      <c r="O520" s="574">
        <f t="shared" si="236"/>
        <v>1357766.4982001935</v>
      </c>
      <c r="P520" s="577">
        <f t="shared" si="237"/>
        <v>1.5707955902912332</v>
      </c>
      <c r="Q520" s="586">
        <f t="shared" si="259"/>
        <v>253.45171910062621</v>
      </c>
      <c r="R520" s="587">
        <f t="shared" si="260"/>
        <v>1.56685079192895</v>
      </c>
      <c r="S520" s="574">
        <f t="shared" si="238"/>
        <v>1.7362215382768316</v>
      </c>
      <c r="T520" s="577">
        <f t="shared" si="239"/>
        <v>0.95701420356226163</v>
      </c>
      <c r="U520" s="578">
        <f t="shared" si="251"/>
        <v>0.20759921954481564</v>
      </c>
      <c r="V520" s="579">
        <f t="shared" si="252"/>
        <v>-2.329542483657193</v>
      </c>
      <c r="W520" s="580">
        <f t="shared" si="240"/>
        <v>-38.420130600793179</v>
      </c>
      <c r="X520" s="581">
        <f t="shared" si="241"/>
        <v>-315.95566650171367</v>
      </c>
      <c r="Y520" s="584">
        <f t="shared" si="242"/>
        <v>-135.95566650171367</v>
      </c>
      <c r="AA520" s="147">
        <f t="shared" si="243"/>
        <v>72031.75</v>
      </c>
      <c r="AB520" s="147">
        <f t="shared" si="244"/>
        <v>5188573008.0625</v>
      </c>
      <c r="AD520" s="583">
        <f t="shared" si="245"/>
        <v>25.734750366582965</v>
      </c>
      <c r="AE520" s="584">
        <f t="shared" si="246"/>
        <v>-55.058895158294327</v>
      </c>
      <c r="AG520" s="583">
        <f t="shared" si="247"/>
        <v>18.258335701371568</v>
      </c>
      <c r="AH520" s="584">
        <f t="shared" si="248"/>
        <v>6.0491339815721963</v>
      </c>
      <c r="AJ520" s="147">
        <f t="shared" si="249"/>
        <v>0</v>
      </c>
      <c r="AK520" s="147">
        <f t="shared" si="261"/>
        <v>0</v>
      </c>
      <c r="AM520" s="147" t="str">
        <f t="shared" si="253"/>
        <v>0.724188537622705-0.961211754620852i</v>
      </c>
      <c r="AN520" s="147" t="str">
        <f t="shared" si="254"/>
        <v>4.99182278836489i</v>
      </c>
      <c r="AO520" s="147" t="str">
        <f t="shared" si="255"/>
        <v>-0.192557267229373-0.145074969269876i</v>
      </c>
      <c r="AP520" s="147" t="str">
        <f t="shared" si="256"/>
        <v>0.0459685770628825+0.160201959103475i</v>
      </c>
      <c r="AQ520" s="147" t="str">
        <f t="shared" si="257"/>
        <v>0.954031422937118-0.160201959103475i</v>
      </c>
      <c r="AR520" s="147" t="str">
        <f t="shared" si="258"/>
        <v>0.849191791018175+0.142597177938726i</v>
      </c>
    </row>
    <row r="521" spans="7:44">
      <c r="G521" s="585">
        <v>72444</v>
      </c>
      <c r="H521" s="573">
        <f t="shared" si="250"/>
        <v>72.444000000000003</v>
      </c>
      <c r="I521" s="574">
        <f t="shared" si="230"/>
        <v>630.63121463330458</v>
      </c>
      <c r="J521" s="575">
        <f t="shared" si="231"/>
        <v>1.5692106133131072</v>
      </c>
      <c r="K521" s="575">
        <f t="shared" si="232"/>
        <v>1.0112184592026501</v>
      </c>
      <c r="L521" s="576">
        <f t="shared" si="233"/>
        <v>0.14909443525902155</v>
      </c>
      <c r="M521" s="575">
        <f t="shared" si="234"/>
        <v>1.4440821214612047</v>
      </c>
      <c r="N521" s="576">
        <f t="shared" si="235"/>
        <v>-0.80587340501247096</v>
      </c>
      <c r="O521" s="574">
        <f t="shared" si="236"/>
        <v>1365537.227619966</v>
      </c>
      <c r="P521" s="577">
        <f t="shared" si="237"/>
        <v>1.5707955944823826</v>
      </c>
      <c r="Q521" s="586">
        <f t="shared" si="259"/>
        <v>254.90224403282122</v>
      </c>
      <c r="R521" s="587">
        <f t="shared" si="260"/>
        <v>1.5668732441680835</v>
      </c>
      <c r="S521" s="574">
        <f t="shared" si="238"/>
        <v>1.7428681733988589</v>
      </c>
      <c r="T521" s="577">
        <f t="shared" si="239"/>
        <v>0.95969860479155145</v>
      </c>
      <c r="U521" s="578">
        <f t="shared" si="251"/>
        <v>0.20347662443979525</v>
      </c>
      <c r="V521" s="579">
        <f t="shared" si="252"/>
        <v>-2.3444551798893318</v>
      </c>
      <c r="W521" s="580">
        <f t="shared" si="240"/>
        <v>-38.650295941600262</v>
      </c>
      <c r="X521" s="581">
        <f t="shared" si="241"/>
        <v>-317.0786095552881</v>
      </c>
      <c r="Y521" s="584">
        <f t="shared" si="242"/>
        <v>-137.0786095552881</v>
      </c>
      <c r="AA521" s="147">
        <f t="shared" si="243"/>
        <v>72444</v>
      </c>
      <c r="AB521" s="147">
        <f t="shared" si="244"/>
        <v>5248133136</v>
      </c>
      <c r="AD521" s="583">
        <f t="shared" si="245"/>
        <v>25.701561602368237</v>
      </c>
      <c r="AE521" s="584">
        <f t="shared" si="246"/>
        <v>-55.21141384101886</v>
      </c>
      <c r="AG521" s="583">
        <f t="shared" si="247"/>
        <v>18.409806810999619</v>
      </c>
      <c r="AH521" s="584">
        <f t="shared" si="248"/>
        <v>6.7875787231993749</v>
      </c>
      <c r="AJ521" s="147">
        <f t="shared" si="249"/>
        <v>0</v>
      </c>
      <c r="AK521" s="147">
        <f t="shared" si="261"/>
        <v>0</v>
      </c>
      <c r="AM521" s="147" t="str">
        <f t="shared" si="253"/>
        <v>0.696843912389358-0.952940914508664i</v>
      </c>
      <c r="AN521" s="147" t="str">
        <f t="shared" si="254"/>
        <v>5.02039184221272i</v>
      </c>
      <c r="AO521" s="147" t="str">
        <f t="shared" si="255"/>
        <v>-0.189814051265102-0.138802693951121i</v>
      </c>
      <c r="AP521" s="147" t="str">
        <f t="shared" si="256"/>
        <v>0.0505260146017737+0.158823485751444i</v>
      </c>
      <c r="AQ521" s="147" t="str">
        <f t="shared" si="257"/>
        <v>0.949473985398226-0.158823485751444i</v>
      </c>
      <c r="AR521" s="147" t="str">
        <f t="shared" si="258"/>
        <v>0.853447561000158+0.142760642870339i</v>
      </c>
    </row>
    <row r="522" spans="7:44">
      <c r="G522" s="585">
        <v>72865.75</v>
      </c>
      <c r="H522" s="573">
        <f t="shared" si="250"/>
        <v>72.865750000000006</v>
      </c>
      <c r="I522" s="574">
        <f t="shared" si="230"/>
        <v>634.3025752419494</v>
      </c>
      <c r="J522" s="575">
        <f t="shared" si="231"/>
        <v>1.5692197914736226</v>
      </c>
      <c r="K522" s="575">
        <f t="shared" si="232"/>
        <v>1.0113487262307947</v>
      </c>
      <c r="L522" s="576">
        <f t="shared" si="233"/>
        <v>0.14994950794015208</v>
      </c>
      <c r="M522" s="575">
        <f t="shared" si="234"/>
        <v>1.4484638333584388</v>
      </c>
      <c r="N522" s="576">
        <f t="shared" si="235"/>
        <v>-0.80877303960705693</v>
      </c>
      <c r="O522" s="574">
        <f t="shared" si="236"/>
        <v>1373487.027820789</v>
      </c>
      <c r="P522" s="577">
        <f t="shared" si="237"/>
        <v>1.570795598721038</v>
      </c>
      <c r="Q522" s="586">
        <f t="shared" si="259"/>
        <v>256.38619538356431</v>
      </c>
      <c r="R522" s="587">
        <f t="shared" si="260"/>
        <v>1.5668959509029843</v>
      </c>
      <c r="S522" s="574">
        <f t="shared" si="238"/>
        <v>1.7496808720183832</v>
      </c>
      <c r="T522" s="577">
        <f t="shared" si="239"/>
        <v>0.96242374070619308</v>
      </c>
      <c r="U522" s="578">
        <f t="shared" si="251"/>
        <v>0.19923027482279271</v>
      </c>
      <c r="V522" s="579">
        <f t="shared" si="252"/>
        <v>-2.3598633890896603</v>
      </c>
      <c r="W522" s="580">
        <f t="shared" si="240"/>
        <v>-38.890352685649901</v>
      </c>
      <c r="X522" s="581">
        <f t="shared" si="241"/>
        <v>-318.23394358138637</v>
      </c>
      <c r="Y522" s="584">
        <f t="shared" si="242"/>
        <v>-138.23394358138637</v>
      </c>
      <c r="AA522" s="147">
        <f t="shared" si="243"/>
        <v>72865.75</v>
      </c>
      <c r="AB522" s="147">
        <f t="shared" si="244"/>
        <v>5309417523.0625</v>
      </c>
      <c r="AD522" s="583">
        <f t="shared" si="245"/>
        <v>25.66767473641837</v>
      </c>
      <c r="AE522" s="584">
        <f t="shared" si="246"/>
        <v>-55.366251870484994</v>
      </c>
      <c r="AG522" s="583">
        <f t="shared" si="247"/>
        <v>18.570004544447155</v>
      </c>
      <c r="AH522" s="584">
        <f t="shared" si="248"/>
        <v>7.5527334426517436</v>
      </c>
      <c r="AJ522" s="147">
        <f t="shared" si="249"/>
        <v>0</v>
      </c>
      <c r="AK522" s="147">
        <f t="shared" si="261"/>
        <v>0</v>
      </c>
      <c r="AM522" s="147" t="str">
        <f t="shared" si="253"/>
        <v>0.669125360835333-0.943674717875631i</v>
      </c>
      <c r="AN522" s="147" t="str">
        <f t="shared" si="254"/>
        <v>5.04961924902975i</v>
      </c>
      <c r="AO522" s="147" t="str">
        <f t="shared" si="255"/>
        <v>-0.186880370843198-0.132510062211899i</v>
      </c>
      <c r="AP522" s="147" t="str">
        <f t="shared" si="256"/>
        <v>0.0551457731941112+0.157279119645938i</v>
      </c>
      <c r="AQ522" s="147" t="str">
        <f t="shared" si="257"/>
        <v>0.944854226805889-0.157279119645938i</v>
      </c>
      <c r="AR522" s="147" t="str">
        <f t="shared" si="258"/>
        <v>0.857847828121931+0.142796155607309i</v>
      </c>
    </row>
    <row r="523" spans="7:44">
      <c r="G523" s="585">
        <v>73287.5</v>
      </c>
      <c r="H523" s="573">
        <f t="shared" si="250"/>
        <v>73.287499999999994</v>
      </c>
      <c r="I523" s="574">
        <f t="shared" si="230"/>
        <v>637.97393590341187</v>
      </c>
      <c r="J523" s="575">
        <f t="shared" si="231"/>
        <v>1.5692288639986713</v>
      </c>
      <c r="K523" s="575">
        <f t="shared" si="232"/>
        <v>1.0114797325150624</v>
      </c>
      <c r="L523" s="576">
        <f t="shared" si="233"/>
        <v>0.15080435974910988</v>
      </c>
      <c r="M523" s="575">
        <f t="shared" si="234"/>
        <v>1.4528576502483892</v>
      </c>
      <c r="N523" s="576">
        <f t="shared" si="235"/>
        <v>-0.81165515982401404</v>
      </c>
      <c r="O523" s="574">
        <f t="shared" si="236"/>
        <v>1381436.828021612</v>
      </c>
      <c r="P523" s="577">
        <f t="shared" si="237"/>
        <v>1.5707956029109087</v>
      </c>
      <c r="Q523" s="586">
        <f t="shared" si="259"/>
        <v>257.87014686497764</v>
      </c>
      <c r="R523" s="587">
        <f t="shared" si="260"/>
        <v>1.5669183962994413</v>
      </c>
      <c r="S523" s="574">
        <f t="shared" si="238"/>
        <v>1.7565064635579966</v>
      </c>
      <c r="T523" s="577">
        <f t="shared" si="239"/>
        <v>0.96512771741303627</v>
      </c>
      <c r="U523" s="578">
        <f t="shared" si="251"/>
        <v>0.19495433796186334</v>
      </c>
      <c r="V523" s="579">
        <f t="shared" si="252"/>
        <v>-2.3754267607501705</v>
      </c>
      <c r="W523" s="580">
        <f t="shared" si="240"/>
        <v>-39.135316216663099</v>
      </c>
      <c r="X523" s="581">
        <f t="shared" si="241"/>
        <v>-319.39597350174751</v>
      </c>
      <c r="Y523" s="584">
        <f t="shared" si="242"/>
        <v>-139.39597350174751</v>
      </c>
      <c r="AA523" s="147">
        <f t="shared" si="243"/>
        <v>73287.5</v>
      </c>
      <c r="AB523" s="147">
        <f t="shared" si="244"/>
        <v>5371057656.25</v>
      </c>
      <c r="AD523" s="583">
        <f t="shared" si="245"/>
        <v>25.633855813874646</v>
      </c>
      <c r="AE523" s="584">
        <f t="shared" si="246"/>
        <v>-55.51989253743978</v>
      </c>
      <c r="AG523" s="583">
        <f t="shared" si="247"/>
        <v>18.735757169711579</v>
      </c>
      <c r="AH523" s="584">
        <f t="shared" si="248"/>
        <v>8.3277752135647152</v>
      </c>
      <c r="AJ523" s="147">
        <f t="shared" si="249"/>
        <v>0</v>
      </c>
      <c r="AK523" s="147">
        <f t="shared" si="261"/>
        <v>0</v>
      </c>
      <c r="AM523" s="147" t="str">
        <f t="shared" si="253"/>
        <v>0.641689435946125-0.933602452699967i</v>
      </c>
      <c r="AN523" s="147" t="str">
        <f t="shared" si="254"/>
        <v>5.07884665584678i</v>
      </c>
      <c r="AO523" s="147" t="str">
        <f t="shared" si="255"/>
        <v>-0.183821744573682-0.126345503108941i</v>
      </c>
      <c r="AP523" s="147" t="str">
        <f t="shared" si="256"/>
        <v>0.0597184273423125+0.155600408783328i</v>
      </c>
      <c r="AQ523" s="147" t="str">
        <f t="shared" si="257"/>
        <v>0.940281572657688-0.155600408783328i</v>
      </c>
      <c r="AR523" s="147" t="str">
        <f t="shared" si="258"/>
        <v>0.862291382135084+0.142694375229882i</v>
      </c>
    </row>
    <row r="524" spans="7:44">
      <c r="G524" s="585">
        <v>73709.25</v>
      </c>
      <c r="H524" s="573">
        <f t="shared" si="250"/>
        <v>73.709249999999997</v>
      </c>
      <c r="I524" s="574">
        <f t="shared" si="230"/>
        <v>641.64529661678546</v>
      </c>
      <c r="J524" s="575">
        <f t="shared" si="231"/>
        <v>1.5692378327015242</v>
      </c>
      <c r="K524" s="575">
        <f t="shared" si="232"/>
        <v>1.0116114777682468</v>
      </c>
      <c r="L524" s="576">
        <f t="shared" si="233"/>
        <v>0.15165898952254644</v>
      </c>
      <c r="M524" s="575">
        <f t="shared" si="234"/>
        <v>1.4572634626372249</v>
      </c>
      <c r="N524" s="576">
        <f t="shared" si="235"/>
        <v>-0.8145198764213204</v>
      </c>
      <c r="O524" s="574">
        <f t="shared" si="236"/>
        <v>1389386.628222435</v>
      </c>
      <c r="P524" s="577">
        <f t="shared" si="237"/>
        <v>1.5707956070528322</v>
      </c>
      <c r="Q524" s="586">
        <f t="shared" si="259"/>
        <v>259.35409847481822</v>
      </c>
      <c r="R524" s="587">
        <f t="shared" si="260"/>
        <v>1.5669405848433484</v>
      </c>
      <c r="S524" s="574">
        <f t="shared" si="238"/>
        <v>1.7633447982991597</v>
      </c>
      <c r="T524" s="577">
        <f t="shared" si="239"/>
        <v>0.96781074131052247</v>
      </c>
      <c r="U524" s="578">
        <f t="shared" si="251"/>
        <v>0.19064836362066498</v>
      </c>
      <c r="V524" s="579">
        <f t="shared" si="252"/>
        <v>-2.391146744595281</v>
      </c>
      <c r="W524" s="580">
        <f t="shared" si="240"/>
        <v>-39.385473245966473</v>
      </c>
      <c r="X524" s="581">
        <f t="shared" si="241"/>
        <v>-320.56480046475951</v>
      </c>
      <c r="Y524" s="584">
        <f t="shared" si="242"/>
        <v>-140.56480046475951</v>
      </c>
      <c r="AA524" s="147">
        <f t="shared" si="243"/>
        <v>73709.25</v>
      </c>
      <c r="AB524" s="147">
        <f t="shared" si="244"/>
        <v>5433053535.5625</v>
      </c>
      <c r="AD524" s="583">
        <f t="shared" si="245"/>
        <v>25.600105292751472</v>
      </c>
      <c r="AE524" s="584">
        <f t="shared" si="246"/>
        <v>-55.672347410667996</v>
      </c>
      <c r="AG524" s="583">
        <f t="shared" si="247"/>
        <v>18.907343510185971</v>
      </c>
      <c r="AH524" s="584">
        <f t="shared" si="248"/>
        <v>9.1127805825166117</v>
      </c>
      <c r="AJ524" s="147">
        <f t="shared" si="249"/>
        <v>0</v>
      </c>
      <c r="AK524" s="147">
        <f t="shared" si="261"/>
        <v>0</v>
      </c>
      <c r="AM524" s="147" t="str">
        <f t="shared" si="253"/>
        <v>0.614559572953772-0.922732722514175i</v>
      </c>
      <c r="AN524" s="147" t="str">
        <f t="shared" si="254"/>
        <v>5.10807406266382i</v>
      </c>
      <c r="AO524" s="147" t="str">
        <f t="shared" si="255"/>
        <v>-0.180642001504766-0.1203114061023i</v>
      </c>
      <c r="AP524" s="147" t="str">
        <f t="shared" si="256"/>
        <v>0.0642400711743713+0.153788787085696i</v>
      </c>
      <c r="AQ524" s="147" t="str">
        <f t="shared" si="257"/>
        <v>0.935759928825629-0.153788787085696i</v>
      </c>
      <c r="AR524" s="147" t="str">
        <f t="shared" si="258"/>
        <v>0.866774235806671+0.14245123593733i</v>
      </c>
    </row>
    <row r="525" spans="7:44">
      <c r="G525" s="585">
        <v>74131</v>
      </c>
      <c r="H525" s="573">
        <f t="shared" si="250"/>
        <v>74.131</v>
      </c>
      <c r="I525" s="574">
        <f t="shared" ref="I525:I588" si="262">SQRT(1+(G525/pole1)^2)</f>
        <v>645.31665738118431</v>
      </c>
      <c r="J525" s="575">
        <f t="shared" ref="J525:J588" si="263">ATAN(G525/pole1)</f>
        <v>1.5692466993541878</v>
      </c>
      <c r="K525" s="575">
        <f t="shared" ref="K525:K588" si="264">SQRT(1+(G525/Zero1)^2)</f>
        <v>1.0117439617016708</v>
      </c>
      <c r="L525" s="576">
        <f t="shared" ref="L525:L588" si="265">ATAN(G525/Zero1)</f>
        <v>0.15251339609901476</v>
      </c>
      <c r="M525" s="575">
        <f t="shared" ref="M525:M588" si="266">SQRT(1+(G525/z_RHP)^2)</f>
        <v>1.4616811620541315</v>
      </c>
      <c r="N525" s="576">
        <f t="shared" ref="N525:N588" si="267">-ATAN(G525/z_RHP)</f>
        <v>-0.81736729996601465</v>
      </c>
      <c r="O525" s="574">
        <f t="shared" ref="O525:O588" si="268">SQRT(1+(G525/Pole2)^2)</f>
        <v>1397336.428423258</v>
      </c>
      <c r="P525" s="577">
        <f t="shared" ref="P525:P588" si="269">ATAN(G525/Pole2)</f>
        <v>1.5707956111476269</v>
      </c>
      <c r="Q525" s="586">
        <f t="shared" si="259"/>
        <v>260.83805021089415</v>
      </c>
      <c r="R525" s="587">
        <f t="shared" si="260"/>
        <v>1.5669625209185163</v>
      </c>
      <c r="S525" s="574">
        <f t="shared" ref="S525:S588" si="270">SQRT(1+(G525/pole4)^2)</f>
        <v>1.7701957285594336</v>
      </c>
      <c r="T525" s="577">
        <f t="shared" ref="T525:T588" si="271">ATAN(G525/pole4)</f>
        <v>0.97047301681750164</v>
      </c>
      <c r="U525" s="578">
        <f t="shared" si="251"/>
        <v>0.18631196769105957</v>
      </c>
      <c r="V525" s="579">
        <f t="shared" si="252"/>
        <v>-2.4070246451765929</v>
      </c>
      <c r="W525" s="580">
        <f t="shared" ref="W525:W588" si="272">20*LOG10(((K525*Q525*M525*U525)/(I525*O525*S525))*Adc)</f>
        <v>-39.641129791739885</v>
      </c>
      <c r="X525" s="581">
        <f t="shared" ref="X525:X588" si="273">((L525+R525+N525+V525)-(J525+P525+T525))*radconv</f>
        <v>-321.74051718003301</v>
      </c>
      <c r="Y525" s="584">
        <f t="shared" ref="Y525:Y588" si="274">IF(X525&gt;0,X525,X525+180)</f>
        <v>-141.74051718003301</v>
      </c>
      <c r="AA525" s="147">
        <f t="shared" ref="AA525:AA588" si="275">IF(W525&lt;0,G525,1000000000)</f>
        <v>74131</v>
      </c>
      <c r="AB525" s="147">
        <f t="shared" ref="AB525:AB588" si="276">G525^2</f>
        <v>5495405161</v>
      </c>
      <c r="AD525" s="583">
        <f t="shared" ref="AD525:AD588" si="277">20*LOG10((Q525/(O525*S525))*Aea)</f>
        <v>25.566423611421712</v>
      </c>
      <c r="AE525" s="584">
        <f t="shared" ref="AE525:AE588" si="278">(R525-(P525+T525))*radconv</f>
        <v>-55.823627951380061</v>
      </c>
      <c r="AG525" s="583">
        <f t="shared" ref="AG525:AG588" si="279">20*LOG10((K525*M525/(I525*U525))*Acs*Am)</f>
        <v>19.085061822233168</v>
      </c>
      <c r="AH525" s="584">
        <f t="shared" ref="AH525:AH588" si="280">(L525+N525-(J525+V525))*radconv</f>
        <v>9.9078177917092258</v>
      </c>
      <c r="AJ525" s="147">
        <f t="shared" ref="AJ525:AJ588" si="281">SUM((W526&lt;0)*(W525&gt;0))*G525</f>
        <v>0</v>
      </c>
      <c r="AK525" s="147">
        <f t="shared" si="261"/>
        <v>0</v>
      </c>
      <c r="AM525" s="147" t="str">
        <f t="shared" si="253"/>
        <v>0.587758945658237-0.911074812029831i</v>
      </c>
      <c r="AN525" s="147" t="str">
        <f t="shared" si="254"/>
        <v>5.13730146948085i</v>
      </c>
      <c r="AO525" s="147" t="str">
        <f t="shared" si="255"/>
        <v>-0.177345016141694-0.114410055386069i</v>
      </c>
      <c r="AP525" s="147" t="str">
        <f t="shared" si="256"/>
        <v>0.0687068423902938+0.151845802004972i</v>
      </c>
      <c r="AQ525" s="147" t="str">
        <f t="shared" si="257"/>
        <v>0.931293157609706-0.151845802004972i</v>
      </c>
      <c r="AR525" s="147" t="str">
        <f t="shared" si="258"/>
        <v>0.871292099928982+0.142062729241869i</v>
      </c>
    </row>
    <row r="526" spans="7:44">
      <c r="G526" s="585">
        <v>74562.75</v>
      </c>
      <c r="H526" s="573">
        <f t="shared" ref="H526:H589" si="282">G526/1000</f>
        <v>74.562749999999994</v>
      </c>
      <c r="I526" s="574">
        <f t="shared" si="262"/>
        <v>649.07506883806445</v>
      </c>
      <c r="J526" s="575">
        <f t="shared" si="263"/>
        <v>1.5692556723411784</v>
      </c>
      <c r="K526" s="575">
        <f t="shared" si="264"/>
        <v>1.0118803517826747</v>
      </c>
      <c r="L526" s="576">
        <f t="shared" si="265"/>
        <v>0.1533878288698261</v>
      </c>
      <c r="M526" s="575">
        <f t="shared" si="266"/>
        <v>1.4662158093101072</v>
      </c>
      <c r="N526" s="576">
        <f t="shared" si="267"/>
        <v>-0.82026444025503709</v>
      </c>
      <c r="O526" s="574">
        <f t="shared" si="268"/>
        <v>1405474.724183081</v>
      </c>
      <c r="P526" s="577">
        <f t="shared" si="269"/>
        <v>1.5707956152915286</v>
      </c>
      <c r="Q526" s="586">
        <f t="shared" si="259"/>
        <v>262.35718765311299</v>
      </c>
      <c r="R526" s="587">
        <f t="shared" si="260"/>
        <v>1.5669847200676692</v>
      </c>
      <c r="S526" s="574">
        <f t="shared" si="270"/>
        <v>1.7772219943269731</v>
      </c>
      <c r="T526" s="577">
        <f t="shared" si="271"/>
        <v>0.97317713600410904</v>
      </c>
      <c r="U526" s="578">
        <f t="shared" ref="U526:U589" si="283">IMABS(IMPRODUCT(AO526, AR526))</f>
        <v>0.18184091416208312</v>
      </c>
      <c r="V526" s="579">
        <f t="shared" ref="V526:V589" si="284">IMARGUMENT(IMPRODUCT(AO526, AR526))</f>
        <v>-2.4234437981666237</v>
      </c>
      <c r="W526" s="580">
        <f t="shared" si="272"/>
        <v>-39.908886525560334</v>
      </c>
      <c r="X526" s="581">
        <f t="shared" si="273"/>
        <v>-322.95133500575781</v>
      </c>
      <c r="Y526" s="584">
        <f t="shared" si="274"/>
        <v>-142.95133500575781</v>
      </c>
      <c r="AA526" s="147">
        <f t="shared" si="275"/>
        <v>74562.75</v>
      </c>
      <c r="AB526" s="147">
        <f t="shared" si="276"/>
        <v>5559603687.5625</v>
      </c>
      <c r="AD526" s="583">
        <f t="shared" si="277"/>
        <v>25.532015057937439</v>
      </c>
      <c r="AE526" s="584">
        <f t="shared" si="278"/>
        <v>-55.977290888121431</v>
      </c>
      <c r="AG526" s="583">
        <f t="shared" si="279"/>
        <v>19.273679503005933</v>
      </c>
      <c r="AH526" s="584">
        <f t="shared" si="280"/>
        <v>10.732159243892486</v>
      </c>
      <c r="AJ526" s="147">
        <f t="shared" si="281"/>
        <v>0</v>
      </c>
      <c r="AK526" s="147">
        <f t="shared" si="261"/>
        <v>0</v>
      </c>
      <c r="AM526" s="147" t="str">
        <f t="shared" ref="AM526:AM589" si="285">IMSUB(1,IMEXP(COMPLEX(0,-2*Pi*G526*Tsw)))</f>
        <v>0.560687792610276-0.898334450212374i</v>
      </c>
      <c r="AN526" s="147" t="str">
        <f t="shared" ref="AN526:AN589" si="286">COMPLEX(0, 2*Pi*G526*Tsw)</f>
        <v>5.16722187942336i</v>
      </c>
      <c r="AO526" s="147" t="str">
        <f t="shared" ref="AO526:AO589" si="287">IMDIV(AM526, AN526)</f>
        <v>-0.173852501629488-0.108508557537081i</v>
      </c>
      <c r="AP526" s="147" t="str">
        <f t="shared" ref="AP526:AP589" si="288">IMDIV(IMEXP(COMPLEX(0,-2*Pi*G526*Tsw)),6)</f>
        <v>0.0732187012316207+0.149722408368729i</v>
      </c>
      <c r="AQ526" s="147" t="str">
        <f t="shared" ref="AQ526:AQ589" si="289">IMSUB(1, AP526)</f>
        <v>0.926781298768379-0.149722408368729i</v>
      </c>
      <c r="AR526" s="147" t="str">
        <f t="shared" ref="AR526:AR589" si="290">IMDIV(0.833, AQ526)</f>
        <v>0.875948547799756+0.141510328658937i</v>
      </c>
    </row>
    <row r="527" spans="7:44">
      <c r="G527" s="585">
        <v>74994.5</v>
      </c>
      <c r="H527" s="573">
        <f t="shared" si="282"/>
        <v>74.994500000000002</v>
      </c>
      <c r="I527" s="574">
        <f t="shared" si="262"/>
        <v>652.83348034660298</v>
      </c>
      <c r="J527" s="575">
        <f t="shared" si="263"/>
        <v>1.5692645420118461</v>
      </c>
      <c r="K527" s="575">
        <f t="shared" si="264"/>
        <v>1.0120175153715614</v>
      </c>
      <c r="L527" s="576">
        <f t="shared" si="265"/>
        <v>0.15426202527678909</v>
      </c>
      <c r="M527" s="575">
        <f t="shared" si="266"/>
        <v>1.4707626871867783</v>
      </c>
      <c r="N527" s="576">
        <f t="shared" si="267"/>
        <v>-0.82314369150899758</v>
      </c>
      <c r="O527" s="574">
        <f t="shared" si="268"/>
        <v>1413613.0199429039</v>
      </c>
      <c r="P527" s="577">
        <f t="shared" si="269"/>
        <v>1.5707956193877166</v>
      </c>
      <c r="Q527" s="586">
        <f t="shared" si="259"/>
        <v>263.87632522313345</v>
      </c>
      <c r="R527" s="587">
        <f t="shared" si="260"/>
        <v>1.567006663615566</v>
      </c>
      <c r="S527" s="574">
        <f t="shared" si="270"/>
        <v>1.7842611531992694</v>
      </c>
      <c r="T527" s="577">
        <f t="shared" si="271"/>
        <v>0.97585993842540908</v>
      </c>
      <c r="U527" s="578">
        <f t="shared" si="283"/>
        <v>0.17733739836927651</v>
      </c>
      <c r="V527" s="579">
        <f t="shared" si="284"/>
        <v>-2.4400306993427705</v>
      </c>
      <c r="W527" s="580">
        <f t="shared" si="272"/>
        <v>-40.183125918972053</v>
      </c>
      <c r="X527" s="581">
        <f t="shared" si="273"/>
        <v>-324.16954003288402</v>
      </c>
      <c r="Y527" s="584">
        <f t="shared" si="274"/>
        <v>-144.16954003288402</v>
      </c>
      <c r="AA527" s="147">
        <f t="shared" si="275"/>
        <v>74994.5</v>
      </c>
      <c r="AB527" s="147">
        <f t="shared" si="276"/>
        <v>5624175030.25</v>
      </c>
      <c r="AD527" s="583">
        <f t="shared" si="277"/>
        <v>25.497679516162385</v>
      </c>
      <c r="AE527" s="584">
        <f t="shared" si="278"/>
        <v>-56.129747106315882</v>
      </c>
      <c r="AG527" s="583">
        <f t="shared" si="279"/>
        <v>19.469426578673822</v>
      </c>
      <c r="AH527" s="584">
        <f t="shared" si="280"/>
        <v>11.567129302320232</v>
      </c>
      <c r="AJ527" s="147">
        <f t="shared" si="281"/>
        <v>0</v>
      </c>
      <c r="AK527" s="147">
        <f t="shared" si="261"/>
        <v>0</v>
      </c>
      <c r="AM527" s="147" t="str">
        <f t="shared" si="285"/>
        <v>0.53400989609952-0.88478993160344i</v>
      </c>
      <c r="AN527" s="147" t="str">
        <f t="shared" si="286"/>
        <v>5.19714228936588i</v>
      </c>
      <c r="AO527" s="147" t="str">
        <f t="shared" si="287"/>
        <v>-0.170245469979502-0.102750678424215i</v>
      </c>
      <c r="AP527" s="147" t="str">
        <f t="shared" si="288"/>
        <v>0.0776650173167467+0.147464988600573i</v>
      </c>
      <c r="AQ527" s="147" t="str">
        <f t="shared" si="289"/>
        <v>0.922334982683253-0.147464988600573i</v>
      </c>
      <c r="AR527" s="147" t="str">
        <f t="shared" si="290"/>
        <v>0.880631586948915+0.140797356024523i</v>
      </c>
    </row>
    <row r="528" spans="7:44">
      <c r="G528" s="585">
        <v>75426.25</v>
      </c>
      <c r="H528" s="573">
        <f t="shared" si="282"/>
        <v>75.426249999999996</v>
      </c>
      <c r="I528" s="574">
        <f t="shared" si="262"/>
        <v>656.59189190591246</v>
      </c>
      <c r="J528" s="575">
        <f t="shared" si="263"/>
        <v>1.5692733101403749</v>
      </c>
      <c r="K528" s="575">
        <f t="shared" si="264"/>
        <v>1.0121554521538612</v>
      </c>
      <c r="L528" s="576">
        <f t="shared" si="265"/>
        <v>0.15513598408011445</v>
      </c>
      <c r="M528" s="575">
        <f t="shared" si="266"/>
        <v>1.4753216826014106</v>
      </c>
      <c r="N528" s="576">
        <f t="shared" si="267"/>
        <v>-0.82600517160892251</v>
      </c>
      <c r="O528" s="574">
        <f t="shared" si="268"/>
        <v>1421751.3157027268</v>
      </c>
      <c r="P528" s="577">
        <f t="shared" si="269"/>
        <v>1.5707956234370104</v>
      </c>
      <c r="Q528" s="586">
        <f t="shared" si="259"/>
        <v>265.39546291876081</v>
      </c>
      <c r="R528" s="587">
        <f t="shared" si="260"/>
        <v>1.5670283559514109</v>
      </c>
      <c r="S528" s="574">
        <f t="shared" si="270"/>
        <v>1.7913130531817698</v>
      </c>
      <c r="T528" s="577">
        <f t="shared" si="271"/>
        <v>0.9785216369886337</v>
      </c>
      <c r="U528" s="578">
        <f t="shared" si="283"/>
        <v>0.17280125647778802</v>
      </c>
      <c r="V528" s="579">
        <f t="shared" si="284"/>
        <v>-2.4567862037523693</v>
      </c>
      <c r="W528" s="580">
        <f t="shared" si="272"/>
        <v>-40.464252473707774</v>
      </c>
      <c r="X528" s="581">
        <f t="shared" si="273"/>
        <v>-325.39520012603845</v>
      </c>
      <c r="Y528" s="584">
        <f t="shared" si="274"/>
        <v>-145.39520012603845</v>
      </c>
      <c r="AA528" s="147">
        <f t="shared" si="275"/>
        <v>75426.25</v>
      </c>
      <c r="AB528" s="147">
        <f t="shared" si="276"/>
        <v>5689119189.0625</v>
      </c>
      <c r="AD528" s="583">
        <f t="shared" si="277"/>
        <v>25.463417395579974</v>
      </c>
      <c r="AE528" s="584">
        <f t="shared" si="278"/>
        <v>-56.281008553213269</v>
      </c>
      <c r="AG528" s="583">
        <f t="shared" si="279"/>
        <v>19.672699618225991</v>
      </c>
      <c r="AH528" s="584">
        <f t="shared" si="280"/>
        <v>12.412770030822916</v>
      </c>
      <c r="AJ528" s="147">
        <f t="shared" si="281"/>
        <v>0</v>
      </c>
      <c r="AK528" s="147">
        <f t="shared" si="261"/>
        <v>0</v>
      </c>
      <c r="AM528" s="147" t="str">
        <f t="shared" si="285"/>
        <v>0.507749137222448-0.870453380770478i</v>
      </c>
      <c r="AN528" s="147" t="str">
        <f t="shared" si="286"/>
        <v>5.22706269930839i</v>
      </c>
      <c r="AO528" s="147" t="str">
        <f t="shared" si="287"/>
        <v>-0.166528207301904-0.0971385205097367i</v>
      </c>
      <c r="AP528" s="147" t="str">
        <f t="shared" si="288"/>
        <v>0.0820418104629253+0.145075563461746i</v>
      </c>
      <c r="AQ528" s="147" t="str">
        <f t="shared" si="289"/>
        <v>0.917958189537075-0.145075563461746i</v>
      </c>
      <c r="AR528" s="147" t="str">
        <f t="shared" si="290"/>
        <v>0.885335585308906+0.139919835516906i</v>
      </c>
    </row>
    <row r="529" spans="7:44">
      <c r="G529" s="585">
        <v>75858</v>
      </c>
      <c r="H529" s="573">
        <f t="shared" si="282"/>
        <v>75.858000000000004</v>
      </c>
      <c r="I529" s="574">
        <f t="shared" si="262"/>
        <v>660.35030351512637</v>
      </c>
      <c r="J529" s="575">
        <f t="shared" si="263"/>
        <v>1.5692819784605574</v>
      </c>
      <c r="K529" s="575">
        <f t="shared" si="264"/>
        <v>1.0122941618135051</v>
      </c>
      <c r="L529" s="576">
        <f t="shared" si="265"/>
        <v>0.1560097040421386</v>
      </c>
      <c r="M529" s="575">
        <f t="shared" si="266"/>
        <v>1.479892683565212</v>
      </c>
      <c r="N529" s="576">
        <f t="shared" si="267"/>
        <v>-0.82884899814931157</v>
      </c>
      <c r="O529" s="574">
        <f t="shared" si="268"/>
        <v>1429889.6114625498</v>
      </c>
      <c r="P529" s="577">
        <f t="shared" si="269"/>
        <v>1.5707956274402108</v>
      </c>
      <c r="Q529" s="586">
        <f t="shared" si="259"/>
        <v>266.91460073785038</v>
      </c>
      <c r="R529" s="587">
        <f t="shared" si="260"/>
        <v>1.5670498013644847</v>
      </c>
      <c r="S529" s="574">
        <f t="shared" si="270"/>
        <v>1.7983775443909895</v>
      </c>
      <c r="T529" s="577">
        <f t="shared" si="271"/>
        <v>0.98116244246077178</v>
      </c>
      <c r="U529" s="578">
        <f t="shared" si="283"/>
        <v>0.16823241984118073</v>
      </c>
      <c r="V529" s="579">
        <f t="shared" si="284"/>
        <v>-2.4737109577152103</v>
      </c>
      <c r="W529" s="580">
        <f t="shared" si="272"/>
        <v>-40.75270197088733</v>
      </c>
      <c r="X529" s="581">
        <f t="shared" si="273"/>
        <v>-326.62837105488478</v>
      </c>
      <c r="Y529" s="584">
        <f t="shared" si="274"/>
        <v>-146.62837105488478</v>
      </c>
      <c r="AA529" s="147">
        <f t="shared" si="275"/>
        <v>75858</v>
      </c>
      <c r="AB529" s="147">
        <f t="shared" si="276"/>
        <v>5754436164</v>
      </c>
      <c r="AD529" s="583">
        <f t="shared" si="277"/>
        <v>25.429229086192294</v>
      </c>
      <c r="AE529" s="584">
        <f t="shared" si="278"/>
        <v>-56.431087059160781</v>
      </c>
      <c r="AG529" s="583">
        <f t="shared" si="279"/>
        <v>19.88392659774529</v>
      </c>
      <c r="AH529" s="584">
        <f t="shared" si="280"/>
        <v>13.269111552876334</v>
      </c>
      <c r="AJ529" s="147">
        <f t="shared" si="281"/>
        <v>0</v>
      </c>
      <c r="AK529" s="147">
        <f t="shared" si="261"/>
        <v>0</v>
      </c>
      <c r="AM529" s="147" t="str">
        <f t="shared" si="285"/>
        <v>0.48192902366886-0.855337631279777i</v>
      </c>
      <c r="AN529" s="147" t="str">
        <f t="shared" si="286"/>
        <v>5.2569831092509i</v>
      </c>
      <c r="AO529" s="147" t="str">
        <f t="shared" si="287"/>
        <v>-0.162705036996335-0.0916740673601923i</v>
      </c>
      <c r="AP529" s="147" t="str">
        <f t="shared" si="288"/>
        <v>0.0863451627218567+0.142556271879963i</v>
      </c>
      <c r="AQ529" s="147" t="str">
        <f t="shared" si="289"/>
        <v>0.913654837278143-0.142556271879963i</v>
      </c>
      <c r="AR529" s="147" t="str">
        <f t="shared" si="290"/>
        <v>0.890054552169195+0.138873952777425i</v>
      </c>
    </row>
    <row r="530" spans="7:44">
      <c r="G530" s="585">
        <v>76299.75</v>
      </c>
      <c r="H530" s="573">
        <f t="shared" si="282"/>
        <v>76.299750000000003</v>
      </c>
      <c r="I530" s="574">
        <f t="shared" si="262"/>
        <v>664.19576582037053</v>
      </c>
      <c r="J530" s="575">
        <f t="shared" si="263"/>
        <v>1.5692907460169756</v>
      </c>
      <c r="K530" s="575">
        <f t="shared" si="264"/>
        <v>1.0124368838089925</v>
      </c>
      <c r="L530" s="576">
        <f t="shared" si="265"/>
        <v>0.15690341222242948</v>
      </c>
      <c r="M530" s="575">
        <f t="shared" si="266"/>
        <v>1.4845818662098629</v>
      </c>
      <c r="N530" s="576">
        <f t="shared" si="267"/>
        <v>-0.8317405428369502</v>
      </c>
      <c r="O530" s="574">
        <f t="shared" si="268"/>
        <v>1438216.4027813727</v>
      </c>
      <c r="P530" s="577">
        <f t="shared" si="269"/>
        <v>1.5707956314892402</v>
      </c>
      <c r="Q530" s="586">
        <f t="shared" si="259"/>
        <v>268.46892427186339</v>
      </c>
      <c r="R530" s="587">
        <f t="shared" si="260"/>
        <v>1.5670714922908116</v>
      </c>
      <c r="S530" s="574">
        <f t="shared" si="270"/>
        <v>1.8056185380855854</v>
      </c>
      <c r="T530" s="577">
        <f t="shared" si="271"/>
        <v>0.98384300611158837</v>
      </c>
      <c r="U530" s="578">
        <f t="shared" si="283"/>
        <v>0.16352395690401625</v>
      </c>
      <c r="V530" s="579">
        <f t="shared" si="284"/>
        <v>-2.4912033318338036</v>
      </c>
      <c r="W530" s="580">
        <f t="shared" si="272"/>
        <v>-41.055902763597985</v>
      </c>
      <c r="X530" s="581">
        <f t="shared" si="273"/>
        <v>-327.89792262837034</v>
      </c>
      <c r="Y530" s="584">
        <f t="shared" si="274"/>
        <v>-147.89792262837034</v>
      </c>
      <c r="AA530" s="147">
        <f t="shared" si="275"/>
        <v>76299.75</v>
      </c>
      <c r="AB530" s="147">
        <f t="shared" si="276"/>
        <v>5821651850.0625</v>
      </c>
      <c r="AD530" s="583">
        <f t="shared" si="277"/>
        <v>25.394325704734342</v>
      </c>
      <c r="AE530" s="584">
        <f t="shared" si="278"/>
        <v>-56.583429476702868</v>
      </c>
      <c r="AG530" s="583">
        <f t="shared" si="279"/>
        <v>20.108761359156336</v>
      </c>
      <c r="AH530" s="584">
        <f t="shared" si="280"/>
        <v>14.156380820541873</v>
      </c>
      <c r="AJ530" s="147">
        <f t="shared" si="281"/>
        <v>0</v>
      </c>
      <c r="AK530" s="147">
        <f t="shared" si="261"/>
        <v>0</v>
      </c>
      <c r="AM530" s="147" t="str">
        <f t="shared" si="285"/>
        <v>0.455991053436473-0.839079415823581i</v>
      </c>
      <c r="AN530" s="147" t="str">
        <f t="shared" si="286"/>
        <v>5.28759652231889i</v>
      </c>
      <c r="AO530" s="147" t="str">
        <f t="shared" si="287"/>
        <v>-0.158688245648441-0.0862378684742188i</v>
      </c>
      <c r="AP530" s="147" t="str">
        <f t="shared" si="288"/>
        <v>0.0906681577605878+0.13984656930393i</v>
      </c>
      <c r="AQ530" s="147" t="str">
        <f t="shared" si="289"/>
        <v>0.909331842239412-0.13984656930393i</v>
      </c>
      <c r="AR530" s="147" t="str">
        <f t="shared" si="290"/>
        <v>0.894891682841264+0.137625810436562i</v>
      </c>
    </row>
    <row r="531" spans="7:44">
      <c r="G531" s="585">
        <v>76741.5</v>
      </c>
      <c r="H531" s="573">
        <f t="shared" si="282"/>
        <v>76.741500000000002</v>
      </c>
      <c r="I531" s="574">
        <f t="shared" si="262"/>
        <v>668.04122817608379</v>
      </c>
      <c r="J531" s="575">
        <f t="shared" si="263"/>
        <v>1.5692994126355879</v>
      </c>
      <c r="K531" s="575">
        <f t="shared" si="264"/>
        <v>1.012580414223976</v>
      </c>
      <c r="L531" s="576">
        <f t="shared" si="265"/>
        <v>0.15779686775494509</v>
      </c>
      <c r="M531" s="575">
        <f t="shared" si="266"/>
        <v>1.4892833832634669</v>
      </c>
      <c r="N531" s="576">
        <f t="shared" si="267"/>
        <v>-0.83461385479393846</v>
      </c>
      <c r="O531" s="574">
        <f t="shared" si="268"/>
        <v>1446543.1941001958</v>
      </c>
      <c r="P531" s="577">
        <f t="shared" si="269"/>
        <v>1.5707956354916546</v>
      </c>
      <c r="Q531" s="586">
        <f t="shared" si="259"/>
        <v>270.02324793073581</v>
      </c>
      <c r="R531" s="587">
        <f t="shared" si="260"/>
        <v>1.5670929334999837</v>
      </c>
      <c r="S531" s="574">
        <f t="shared" si="270"/>
        <v>1.8128724022134806</v>
      </c>
      <c r="T531" s="577">
        <f t="shared" si="271"/>
        <v>0.98650213721099966</v>
      </c>
      <c r="U531" s="578">
        <f t="shared" si="283"/>
        <v>0.15878145220011872</v>
      </c>
      <c r="V531" s="579">
        <f t="shared" si="284"/>
        <v>-2.508873530498025</v>
      </c>
      <c r="W531" s="580">
        <f t="shared" si="272"/>
        <v>-41.36780859279331</v>
      </c>
      <c r="X531" s="581">
        <f t="shared" si="273"/>
        <v>-329.1754131419774</v>
      </c>
      <c r="Y531" s="584">
        <f t="shared" si="274"/>
        <v>-149.1754131419774</v>
      </c>
      <c r="AA531" s="147">
        <f t="shared" si="275"/>
        <v>76741.5</v>
      </c>
      <c r="AB531" s="147">
        <f t="shared" si="276"/>
        <v>5889257822.25</v>
      </c>
      <c r="AD531" s="583">
        <f t="shared" si="277"/>
        <v>25.359500358937616</v>
      </c>
      <c r="AE531" s="584">
        <f t="shared" si="278"/>
        <v>-56.734558204572018</v>
      </c>
      <c r="AG531" s="583">
        <f t="shared" si="279"/>
        <v>20.34294559046181</v>
      </c>
      <c r="AH531" s="584">
        <f t="shared" si="280"/>
        <v>15.054874650352856</v>
      </c>
      <c r="AJ531" s="147">
        <f t="shared" si="281"/>
        <v>0</v>
      </c>
      <c r="AK531" s="147">
        <f t="shared" si="261"/>
        <v>0</v>
      </c>
      <c r="AM531" s="147" t="str">
        <f t="shared" si="285"/>
        <v>0.430562878269042-0.8220348924436i</v>
      </c>
      <c r="AN531" s="147" t="str">
        <f t="shared" si="286"/>
        <v>5.31820993538688i</v>
      </c>
      <c r="AO531" s="147" t="str">
        <f t="shared" si="287"/>
        <v>-0.154569846326271-0.080960113177202i</v>
      </c>
      <c r="AP531" s="147" t="str">
        <f t="shared" si="288"/>
        <v>0.0949061869551597+0.137005815407267i</v>
      </c>
      <c r="AQ531" s="147" t="str">
        <f t="shared" si="289"/>
        <v>0.90509381304484-0.137005815407267i</v>
      </c>
      <c r="AR531" s="147" t="str">
        <f t="shared" si="290"/>
        <v>0.899730636595116+0.136193980929915i</v>
      </c>
    </row>
    <row r="532" spans="7:44">
      <c r="G532" s="585">
        <v>77183.25</v>
      </c>
      <c r="H532" s="573">
        <f t="shared" si="282"/>
        <v>77.183250000000001</v>
      </c>
      <c r="I532" s="574">
        <f t="shared" si="262"/>
        <v>671.88669058139942</v>
      </c>
      <c r="J532" s="575">
        <f t="shared" si="263"/>
        <v>1.5693079800495089</v>
      </c>
      <c r="K532" s="575">
        <f t="shared" si="264"/>
        <v>1.0127247527147309</v>
      </c>
      <c r="L532" s="576">
        <f t="shared" si="265"/>
        <v>0.15869006932098642</v>
      </c>
      <c r="M532" s="575">
        <f t="shared" si="266"/>
        <v>1.4939971182791498</v>
      </c>
      <c r="N532" s="576">
        <f t="shared" si="267"/>
        <v>-0.83746905893146406</v>
      </c>
      <c r="O532" s="574">
        <f t="shared" si="268"/>
        <v>1454869.9854190189</v>
      </c>
      <c r="P532" s="577">
        <f t="shared" si="269"/>
        <v>1.5707956394482538</v>
      </c>
      <c r="Q532" s="586">
        <f t="shared" si="259"/>
        <v>271.5775717123239</v>
      </c>
      <c r="R532" s="587">
        <f t="shared" si="260"/>
        <v>1.56711412927961</v>
      </c>
      <c r="S532" s="574">
        <f t="shared" si="270"/>
        <v>1.8201389828957057</v>
      </c>
      <c r="T532" s="577">
        <f t="shared" si="271"/>
        <v>0.98914005462472177</v>
      </c>
      <c r="U532" s="578">
        <f t="shared" si="283"/>
        <v>0.15400518010706393</v>
      </c>
      <c r="V532" s="579">
        <f t="shared" si="284"/>
        <v>-2.5267214824383109</v>
      </c>
      <c r="W532" s="580">
        <f t="shared" si="272"/>
        <v>-41.689013445247475</v>
      </c>
      <c r="X532" s="581">
        <f t="shared" si="273"/>
        <v>-330.46085813846662</v>
      </c>
      <c r="Y532" s="584">
        <f t="shared" si="274"/>
        <v>-150.46085813846662</v>
      </c>
      <c r="AA532" s="147">
        <f t="shared" si="275"/>
        <v>77183.25</v>
      </c>
      <c r="AB532" s="147">
        <f t="shared" si="276"/>
        <v>5957254080.5625</v>
      </c>
      <c r="AD532" s="583">
        <f t="shared" si="277"/>
        <v>25.32475340644914</v>
      </c>
      <c r="AE532" s="584">
        <f t="shared" si="278"/>
        <v>-56.884485537234035</v>
      </c>
      <c r="AG532" s="583">
        <f t="shared" si="279"/>
        <v>20.587065317011781</v>
      </c>
      <c r="AH532" s="584">
        <f t="shared" si="280"/>
        <v>15.964581627124181</v>
      </c>
      <c r="AJ532" s="147">
        <f t="shared" si="281"/>
        <v>0</v>
      </c>
      <c r="AK532" s="147">
        <f t="shared" si="261"/>
        <v>0</v>
      </c>
      <c r="AM532" s="147" t="str">
        <f t="shared" si="285"/>
        <v>0.405668327109625-0.804220033696829i</v>
      </c>
      <c r="AN532" s="147" t="str">
        <f t="shared" si="286"/>
        <v>5.34882334845487i</v>
      </c>
      <c r="AO532" s="147" t="str">
        <f t="shared" si="287"/>
        <v>-0.150354569838083-0.0758425359526617i</v>
      </c>
      <c r="AP532" s="147" t="str">
        <f t="shared" si="288"/>
        <v>0.0990552788150625+0.134036672282805i</v>
      </c>
      <c r="AQ532" s="147" t="str">
        <f t="shared" si="289"/>
        <v>0.900944721184938-0.134036672282805i</v>
      </c>
      <c r="AR532" s="147" t="str">
        <f t="shared" si="290"/>
        <v>0.904563823328456+0.134575098666314i</v>
      </c>
    </row>
    <row r="533" spans="7:44">
      <c r="G533" s="585">
        <v>77625</v>
      </c>
      <c r="H533" s="573">
        <f t="shared" si="282"/>
        <v>77.625</v>
      </c>
      <c r="I533" s="574">
        <f t="shared" si="262"/>
        <v>675.73215303547056</v>
      </c>
      <c r="J533" s="575">
        <f t="shared" si="263"/>
        <v>1.5693164499524024</v>
      </c>
      <c r="K533" s="575">
        <f t="shared" si="264"/>
        <v>1.012869898935794</v>
      </c>
      <c r="L533" s="576">
        <f t="shared" si="265"/>
        <v>0.15958301560422494</v>
      </c>
      <c r="M533" s="575">
        <f t="shared" si="266"/>
        <v>1.4987229559742967</v>
      </c>
      <c r="N533" s="576">
        <f t="shared" si="267"/>
        <v>-0.84030627977227557</v>
      </c>
      <c r="O533" s="574">
        <f t="shared" si="268"/>
        <v>1463196.776737842</v>
      </c>
      <c r="P533" s="577">
        <f t="shared" si="269"/>
        <v>1.5707956433598209</v>
      </c>
      <c r="Q533" s="586">
        <f t="shared" si="259"/>
        <v>273.13189561453254</v>
      </c>
      <c r="R533" s="587">
        <f t="shared" si="260"/>
        <v>1.5671350838197025</v>
      </c>
      <c r="S533" s="574">
        <f t="shared" si="270"/>
        <v>1.8274181284332112</v>
      </c>
      <c r="T533" s="577">
        <f t="shared" si="271"/>
        <v>0.99175697492134463</v>
      </c>
      <c r="U533" s="578">
        <f t="shared" si="283"/>
        <v>0.14919554511512462</v>
      </c>
      <c r="V533" s="579">
        <f t="shared" si="284"/>
        <v>-2.5447468302683403</v>
      </c>
      <c r="W533" s="580">
        <f t="shared" si="272"/>
        <v>-42.020165266946606</v>
      </c>
      <c r="X533" s="581">
        <f t="shared" si="273"/>
        <v>-331.75425661663877</v>
      </c>
      <c r="Y533" s="584">
        <f t="shared" si="274"/>
        <v>-151.75425661663877</v>
      </c>
      <c r="AA533" s="147">
        <f t="shared" si="275"/>
        <v>77625</v>
      </c>
      <c r="AB533" s="147">
        <f t="shared" si="276"/>
        <v>6025640625</v>
      </c>
      <c r="AD533" s="583">
        <f t="shared" si="277"/>
        <v>25.290085185713316</v>
      </c>
      <c r="AE533" s="584">
        <f t="shared" si="278"/>
        <v>-57.033223643129972</v>
      </c>
      <c r="AG533" s="583">
        <f t="shared" si="279"/>
        <v>20.841760652403792</v>
      </c>
      <c r="AH533" s="584">
        <f t="shared" si="280"/>
        <v>16.885473967040156</v>
      </c>
      <c r="AJ533" s="147">
        <f t="shared" si="281"/>
        <v>0</v>
      </c>
      <c r="AK533" s="147">
        <f t="shared" si="261"/>
        <v>0</v>
      </c>
      <c r="AM533" s="147" t="str">
        <f t="shared" si="285"/>
        <v>0.381330728838024-0.785651534027592i</v>
      </c>
      <c r="AN533" s="147" t="str">
        <f t="shared" si="286"/>
        <v>5.37943676152286i</v>
      </c>
      <c r="AO533" s="147" t="str">
        <f t="shared" si="287"/>
        <v>-0.146047173497246-0.0708867388432824i</v>
      </c>
      <c r="AP533" s="147" t="str">
        <f t="shared" si="288"/>
        <v>0.103111545193663+0.130941922337932i</v>
      </c>
      <c r="AQ533" s="147" t="str">
        <f t="shared" si="289"/>
        <v>0.896888454806337-0.130941922337932i</v>
      </c>
      <c r="AR533" s="147" t="str">
        <f t="shared" si="290"/>
        <v>0.909383263610555+0.132766111595026i</v>
      </c>
    </row>
    <row r="534" spans="7:44">
      <c r="G534" s="585">
        <v>78077</v>
      </c>
      <c r="H534" s="573">
        <f t="shared" si="282"/>
        <v>78.076999999999998</v>
      </c>
      <c r="I534" s="574">
        <f t="shared" si="262"/>
        <v>679.66684245516967</v>
      </c>
      <c r="J534" s="575">
        <f t="shared" si="263"/>
        <v>1.5693250171791739</v>
      </c>
      <c r="K534" s="575">
        <f t="shared" si="264"/>
        <v>1.0130192487076182</v>
      </c>
      <c r="L534" s="576">
        <f t="shared" si="265"/>
        <v>0.16049641546405582</v>
      </c>
      <c r="M534" s="575">
        <f t="shared" si="266"/>
        <v>1.5035708562124734</v>
      </c>
      <c r="N534" s="576">
        <f t="shared" si="267"/>
        <v>-0.84319084854806836</v>
      </c>
      <c r="O534" s="574">
        <f t="shared" si="268"/>
        <v>1471716.7760046399</v>
      </c>
      <c r="P534" s="577">
        <f t="shared" si="269"/>
        <v>1.5707956473163336</v>
      </c>
      <c r="Q534" s="586">
        <f t="shared" si="259"/>
        <v>274.72228487997216</v>
      </c>
      <c r="R534" s="587">
        <f t="shared" si="260"/>
        <v>1.5671562791418101</v>
      </c>
      <c r="S534" s="574">
        <f t="shared" si="270"/>
        <v>1.834879022789059</v>
      </c>
      <c r="T534" s="577">
        <f t="shared" si="271"/>
        <v>0.99441310599620436</v>
      </c>
      <c r="U534" s="578">
        <f t="shared" si="283"/>
        <v>0.14424034324810928</v>
      </c>
      <c r="V534" s="579">
        <f t="shared" si="284"/>
        <v>-2.5633733532729059</v>
      </c>
      <c r="W534" s="580">
        <f t="shared" si="272"/>
        <v>-42.370036771534352</v>
      </c>
      <c r="X534" s="581">
        <f t="shared" si="273"/>
        <v>-333.08587922346567</v>
      </c>
      <c r="Y534" s="584">
        <f t="shared" si="274"/>
        <v>-153.08587922346567</v>
      </c>
      <c r="AA534" s="147">
        <f t="shared" si="275"/>
        <v>78077</v>
      </c>
      <c r="AB534" s="147">
        <f t="shared" si="276"/>
        <v>6096017929</v>
      </c>
      <c r="AD534" s="583">
        <f t="shared" si="277"/>
        <v>25.254694378990436</v>
      </c>
      <c r="AE534" s="584">
        <f t="shared" si="278"/>
        <v>-57.184194567914773</v>
      </c>
      <c r="AG534" s="583">
        <f t="shared" si="279"/>
        <v>21.114044289207033</v>
      </c>
      <c r="AH534" s="584">
        <f t="shared" si="280"/>
        <v>17.839264597766835</v>
      </c>
      <c r="AJ534" s="147">
        <f t="shared" si="281"/>
        <v>0</v>
      </c>
      <c r="AK534" s="147">
        <f t="shared" si="261"/>
        <v>0</v>
      </c>
      <c r="AM534" s="147" t="str">
        <f t="shared" si="285"/>
        <v>0.357028694786746-0.765890266730401i</v>
      </c>
      <c r="AN534" s="147" t="str">
        <f t="shared" si="286"/>
        <v>5.41076050279447i</v>
      </c>
      <c r="AO534" s="147" t="str">
        <f t="shared" si="287"/>
        <v>-0.141549467276337-0.0659849377185246i</v>
      </c>
      <c r="AP534" s="147" t="str">
        <f t="shared" si="288"/>
        <v>0.107161884202209+0.1276483777884i</v>
      </c>
      <c r="AQ534" s="147" t="str">
        <f t="shared" si="289"/>
        <v>0.892838115797791-0.1276483777884i</v>
      </c>
      <c r="AR534" s="147" t="str">
        <f t="shared" si="290"/>
        <v>0.914291578736568+0.130715562862182i</v>
      </c>
    </row>
    <row r="535" spans="7:44">
      <c r="G535" s="585">
        <v>78529</v>
      </c>
      <c r="H535" s="573">
        <f t="shared" si="282"/>
        <v>78.528999999999996</v>
      </c>
      <c r="I535" s="574">
        <f t="shared" si="262"/>
        <v>683.60153192418011</v>
      </c>
      <c r="J535" s="575">
        <f t="shared" si="263"/>
        <v>1.5693334857830634</v>
      </c>
      <c r="K535" s="575">
        <f t="shared" si="264"/>
        <v>1.0131694433911174</v>
      </c>
      <c r="L535" s="576">
        <f t="shared" si="265"/>
        <v>0.1614095452763232</v>
      </c>
      <c r="M535" s="575">
        <f t="shared" si="266"/>
        <v>1.5084311867915816</v>
      </c>
      <c r="N535" s="576">
        <f t="shared" si="267"/>
        <v>-0.84605685224999327</v>
      </c>
      <c r="O535" s="574">
        <f t="shared" si="268"/>
        <v>1480236.7752714381</v>
      </c>
      <c r="P535" s="577">
        <f t="shared" si="269"/>
        <v>1.5707956512273005</v>
      </c>
      <c r="Q535" s="586">
        <f t="shared" ref="Q535:Q598" si="291">SQRT(1+(G535/Zero2)^2)</f>
        <v>276.31267426740777</v>
      </c>
      <c r="R535" s="587">
        <f t="shared" ref="R535:R598" si="292">ATAN(G535/Zero2)</f>
        <v>1.5671772304735605</v>
      </c>
      <c r="S535" s="574">
        <f t="shared" si="270"/>
        <v>1.842352757375985</v>
      </c>
      <c r="T535" s="577">
        <f t="shared" si="271"/>
        <v>0.99704770567647982</v>
      </c>
      <c r="U535" s="578">
        <f t="shared" si="283"/>
        <v>0.13925151264970556</v>
      </c>
      <c r="V535" s="579">
        <f t="shared" si="284"/>
        <v>-2.5821838650961406</v>
      </c>
      <c r="W535" s="580">
        <f t="shared" si="272"/>
        <v>-42.731900098884225</v>
      </c>
      <c r="X535" s="581">
        <f t="shared" si="273"/>
        <v>-334.42577005359266</v>
      </c>
      <c r="Y535" s="584">
        <f t="shared" si="274"/>
        <v>-154.42577005359266</v>
      </c>
      <c r="AA535" s="147">
        <f t="shared" si="275"/>
        <v>78529</v>
      </c>
      <c r="AB535" s="147">
        <f t="shared" si="276"/>
        <v>6166803841</v>
      </c>
      <c r="AD535" s="583">
        <f t="shared" si="277"/>
        <v>25.219386657580849</v>
      </c>
      <c r="AE535" s="584">
        <f t="shared" si="278"/>
        <v>-57.333945811669608</v>
      </c>
      <c r="AG535" s="583">
        <f t="shared" si="279"/>
        <v>21.398961711867202</v>
      </c>
      <c r="AH535" s="584">
        <f t="shared" si="280"/>
        <v>18.804650889762325</v>
      </c>
      <c r="AJ535" s="147">
        <f t="shared" si="281"/>
        <v>0</v>
      </c>
      <c r="AK535" s="147">
        <f t="shared" ref="AK535:AK598" si="293">IF(AJ535&gt;0,Y535,0)</f>
        <v>0</v>
      </c>
      <c r="AM535" s="147" t="str">
        <f t="shared" si="285"/>
        <v>0.333357477661053-0.745377587139274i</v>
      </c>
      <c r="AN535" s="147" t="str">
        <f t="shared" si="286"/>
        <v>5.44208424406607i</v>
      </c>
      <c r="AO535" s="147" t="str">
        <f t="shared" si="287"/>
        <v>-0.136965462809955-0.0612554790978362i</v>
      </c>
      <c r="AP535" s="147" t="str">
        <f t="shared" si="288"/>
        <v>0.111107087056491+0.124229597856546i</v>
      </c>
      <c r="AQ535" s="147" t="str">
        <f t="shared" si="289"/>
        <v>0.888892912943509-0.124229597856546i</v>
      </c>
      <c r="AR535" s="147" t="str">
        <f t="shared" si="290"/>
        <v>0.919167391765693+0.12846068832271i</v>
      </c>
    </row>
    <row r="536" spans="7:44">
      <c r="G536" s="585">
        <v>78981</v>
      </c>
      <c r="H536" s="573">
        <f t="shared" si="282"/>
        <v>78.980999999999995</v>
      </c>
      <c r="I536" s="574">
        <f t="shared" si="262"/>
        <v>687.53622144165558</v>
      </c>
      <c r="J536" s="575">
        <f t="shared" si="263"/>
        <v>1.5693418574572908</v>
      </c>
      <c r="K536" s="575">
        <f t="shared" si="264"/>
        <v>1.0133204826105919</v>
      </c>
      <c r="L536" s="576">
        <f t="shared" si="265"/>
        <v>0.16232240363870049</v>
      </c>
      <c r="M536" s="575">
        <f t="shared" si="266"/>
        <v>1.5133038279427504</v>
      </c>
      <c r="N536" s="576">
        <f t="shared" si="267"/>
        <v>-0.84890442289958923</v>
      </c>
      <c r="O536" s="574">
        <f t="shared" si="268"/>
        <v>1488756.774538236</v>
      </c>
      <c r="P536" s="577">
        <f t="shared" si="269"/>
        <v>1.5707956550935032</v>
      </c>
      <c r="Q536" s="586">
        <f t="shared" si="291"/>
        <v>277.90306377474496</v>
      </c>
      <c r="R536" s="587">
        <f t="shared" si="292"/>
        <v>1.5671979420038746</v>
      </c>
      <c r="S536" s="574">
        <f t="shared" si="270"/>
        <v>1.8498391765623921</v>
      </c>
      <c r="T536" s="577">
        <f t="shared" si="271"/>
        <v>0.99966099858212487</v>
      </c>
      <c r="U536" s="578">
        <f t="shared" si="283"/>
        <v>0.13422994915559275</v>
      </c>
      <c r="V536" s="579">
        <f t="shared" si="284"/>
        <v>-2.6011769615396072</v>
      </c>
      <c r="W536" s="580">
        <f t="shared" si="272"/>
        <v>-43.106678145908752</v>
      </c>
      <c r="X536" s="581">
        <f t="shared" si="273"/>
        <v>-335.77386902382682</v>
      </c>
      <c r="Y536" s="584">
        <f t="shared" si="274"/>
        <v>-155.77386902382682</v>
      </c>
      <c r="AA536" s="147">
        <f t="shared" si="275"/>
        <v>78981</v>
      </c>
      <c r="AB536" s="147">
        <f t="shared" si="276"/>
        <v>6237998361</v>
      </c>
      <c r="AD536" s="583">
        <f t="shared" si="277"/>
        <v>25.18416232492639</v>
      </c>
      <c r="AE536" s="584">
        <f t="shared" si="278"/>
        <v>-57.482490004207122</v>
      </c>
      <c r="AG536" s="583">
        <f t="shared" si="279"/>
        <v>21.69742782974393</v>
      </c>
      <c r="AH536" s="584">
        <f t="shared" si="280"/>
        <v>19.78154464674374</v>
      </c>
      <c r="AJ536" s="147">
        <f t="shared" si="281"/>
        <v>0</v>
      </c>
      <c r="AK536" s="147">
        <f t="shared" si="293"/>
        <v>0</v>
      </c>
      <c r="AM536" s="147" t="str">
        <f t="shared" si="285"/>
        <v>0.31034030121025-0.72413362017326i</v>
      </c>
      <c r="AN536" s="147" t="str">
        <f t="shared" si="286"/>
        <v>5.47340798533768i</v>
      </c>
      <c r="AO536" s="147" t="str">
        <f t="shared" si="287"/>
        <v>-0.132300318579044-0.0566996471013304i</v>
      </c>
      <c r="AP536" s="147" t="str">
        <f t="shared" si="288"/>
        <v>0.114943283131625+0.120688936695543i</v>
      </c>
      <c r="AQ536" s="147" t="str">
        <f t="shared" si="289"/>
        <v>0.885056716868375-0.120688936695543i</v>
      </c>
      <c r="AR536" s="147" t="str">
        <f t="shared" si="290"/>
        <v>0.924000959669591+0.125999488171524i</v>
      </c>
    </row>
    <row r="537" spans="7:44">
      <c r="G537" s="585">
        <v>79433</v>
      </c>
      <c r="H537" s="573">
        <f t="shared" si="282"/>
        <v>79.433000000000007</v>
      </c>
      <c r="I537" s="574">
        <f t="shared" si="262"/>
        <v>691.47091100676835</v>
      </c>
      <c r="J537" s="575">
        <f t="shared" si="263"/>
        <v>1.569350133856537</v>
      </c>
      <c r="K537" s="575">
        <f t="shared" si="264"/>
        <v>1.0134723659884552</v>
      </c>
      <c r="L537" s="576">
        <f t="shared" si="265"/>
        <v>0.16323498915150414</v>
      </c>
      <c r="M537" s="575">
        <f t="shared" si="266"/>
        <v>1.5181886611332849</v>
      </c>
      <c r="N537" s="576">
        <f t="shared" si="267"/>
        <v>-0.85173369202142457</v>
      </c>
      <c r="O537" s="574">
        <f t="shared" si="268"/>
        <v>1497276.7738050341</v>
      </c>
      <c r="P537" s="577">
        <f t="shared" si="269"/>
        <v>1.5707956589157059</v>
      </c>
      <c r="Q537" s="586">
        <f t="shared" si="291"/>
        <v>279.49345339993675</v>
      </c>
      <c r="R537" s="587">
        <f t="shared" si="292"/>
        <v>1.56721841782633</v>
      </c>
      <c r="S537" s="574">
        <f t="shared" si="270"/>
        <v>1.8573381269638907</v>
      </c>
      <c r="T537" s="577">
        <f t="shared" si="271"/>
        <v>1.0022532068788148</v>
      </c>
      <c r="U537" s="578">
        <f t="shared" si="283"/>
        <v>0.12917671666034139</v>
      </c>
      <c r="V537" s="579">
        <f t="shared" si="284"/>
        <v>-2.620350865091539</v>
      </c>
      <c r="W537" s="580">
        <f t="shared" si="272"/>
        <v>-43.495395060619686</v>
      </c>
      <c r="X537" s="581">
        <f t="shared" si="273"/>
        <v>-337.13009449570546</v>
      </c>
      <c r="Y537" s="584">
        <f t="shared" si="274"/>
        <v>-157.13009449570546</v>
      </c>
      <c r="AA537" s="147">
        <f t="shared" si="275"/>
        <v>79433</v>
      </c>
      <c r="AB537" s="147">
        <f t="shared" si="276"/>
        <v>6309601489</v>
      </c>
      <c r="AD537" s="583">
        <f t="shared" si="277"/>
        <v>25.149021665617802</v>
      </c>
      <c r="AE537" s="584">
        <f t="shared" si="278"/>
        <v>-57.629839640181956</v>
      </c>
      <c r="AG537" s="583">
        <f t="shared" si="279"/>
        <v>22.010458933684514</v>
      </c>
      <c r="AH537" s="584">
        <f t="shared" si="280"/>
        <v>20.769836313983827</v>
      </c>
      <c r="AJ537" s="147">
        <f t="shared" si="281"/>
        <v>0</v>
      </c>
      <c r="AK537" s="147">
        <f t="shared" si="293"/>
        <v>0</v>
      </c>
      <c r="AM537" s="147" t="str">
        <f t="shared" si="285"/>
        <v>0.287999747506625-0.702179208214947i</v>
      </c>
      <c r="AN537" s="147" t="str">
        <f t="shared" si="286"/>
        <v>5.50473172660928i</v>
      </c>
      <c r="AO537" s="147" t="str">
        <f t="shared" si="287"/>
        <v>-0.127559205986495-0.0523185800525873i</v>
      </c>
      <c r="AP537" s="147" t="str">
        <f t="shared" si="288"/>
        <v>0.118666708748896+0.117029868035824i</v>
      </c>
      <c r="AQ537" s="147" t="str">
        <f t="shared" si="289"/>
        <v>0.881333291251104-0.117029868035824i</v>
      </c>
      <c r="AR537" s="147" t="str">
        <f t="shared" si="290"/>
        <v>0.928782174310313+0.123330477099376i</v>
      </c>
    </row>
    <row r="538" spans="7:44">
      <c r="G538" s="585">
        <v>79895.5</v>
      </c>
      <c r="H538" s="573">
        <f t="shared" si="282"/>
        <v>79.895499999999998</v>
      </c>
      <c r="I538" s="574">
        <f t="shared" si="262"/>
        <v>695.49700380714842</v>
      </c>
      <c r="J538" s="575">
        <f t="shared" si="263"/>
        <v>1.5693585055834736</v>
      </c>
      <c r="K538" s="575">
        <f t="shared" si="264"/>
        <v>1.013628651035748</v>
      </c>
      <c r="L538" s="576">
        <f t="shared" si="265"/>
        <v>0.1641684902185899</v>
      </c>
      <c r="M538" s="575">
        <f t="shared" si="266"/>
        <v>1.5231994672345086</v>
      </c>
      <c r="N538" s="576">
        <f t="shared" si="267"/>
        <v>-0.85460987778910602</v>
      </c>
      <c r="O538" s="574">
        <f t="shared" si="268"/>
        <v>1505994.6934087821</v>
      </c>
      <c r="P538" s="577">
        <f t="shared" si="269"/>
        <v>1.5707956627819326</v>
      </c>
      <c r="Q538" s="586">
        <f t="shared" si="291"/>
        <v>281.12078803677088</v>
      </c>
      <c r="R538" s="587">
        <f t="shared" si="292"/>
        <v>1.5672391294921684</v>
      </c>
      <c r="S538" s="574">
        <f t="shared" si="270"/>
        <v>1.8650240922161774</v>
      </c>
      <c r="T538" s="577">
        <f t="shared" si="271"/>
        <v>1.0048840366006213</v>
      </c>
      <c r="U538" s="578">
        <f t="shared" si="283"/>
        <v>0.12397460769641334</v>
      </c>
      <c r="V538" s="579">
        <f t="shared" si="284"/>
        <v>-2.6401550764560819</v>
      </c>
      <c r="W538" s="580">
        <f t="shared" si="272"/>
        <v>-43.908762064379509</v>
      </c>
      <c r="X538" s="581">
        <f t="shared" si="273"/>
        <v>-338.52612849411975</v>
      </c>
      <c r="Y538" s="584">
        <f t="shared" si="274"/>
        <v>-158.52612849411975</v>
      </c>
      <c r="AA538" s="147">
        <f t="shared" si="275"/>
        <v>79895.5</v>
      </c>
      <c r="AB538" s="147">
        <f t="shared" si="276"/>
        <v>6383290920.25</v>
      </c>
      <c r="AD538" s="583">
        <f t="shared" si="277"/>
        <v>25.113151574853543</v>
      </c>
      <c r="AE538" s="584">
        <f t="shared" si="278"/>
        <v>-57.779388610509173</v>
      </c>
      <c r="AG538" s="583">
        <f t="shared" si="279"/>
        <v>22.347021981080964</v>
      </c>
      <c r="AH538" s="584">
        <f t="shared" si="280"/>
        <v>21.792746744036531</v>
      </c>
      <c r="AJ538" s="147">
        <f t="shared" si="281"/>
        <v>0</v>
      </c>
      <c r="AK538" s="147">
        <f t="shared" si="293"/>
        <v>0</v>
      </c>
      <c r="AM538" s="147" t="str">
        <f t="shared" si="285"/>
        <v>0.265863462537113-0.679001873607137i</v>
      </c>
      <c r="AN538" s="147" t="str">
        <f t="shared" si="286"/>
        <v>5.53678312116264i</v>
      </c>
      <c r="AO538" s="147" t="str">
        <f t="shared" si="287"/>
        <v>-0.122634724667445-0.0480176768204867i</v>
      </c>
      <c r="AP538" s="147" t="str">
        <f t="shared" si="288"/>
        <v>0.122356089577148+0.113166978934523i</v>
      </c>
      <c r="AQ538" s="147" t="str">
        <f t="shared" si="289"/>
        <v>0.877643910422852-0.113166978934523i</v>
      </c>
      <c r="AR538" s="147" t="str">
        <f t="shared" si="290"/>
        <v>0.933609366402209+0.120383392678937i</v>
      </c>
    </row>
    <row r="539" spans="7:44">
      <c r="G539" s="585">
        <v>80358</v>
      </c>
      <c r="H539" s="573">
        <f t="shared" si="282"/>
        <v>80.358000000000004</v>
      </c>
      <c r="I539" s="574">
        <f t="shared" si="262"/>
        <v>699.52309665571192</v>
      </c>
      <c r="J539" s="575">
        <f t="shared" si="263"/>
        <v>1.5693667809437573</v>
      </c>
      <c r="K539" s="575">
        <f t="shared" si="264"/>
        <v>1.0137858191108322</v>
      </c>
      <c r="L539" s="576">
        <f t="shared" si="265"/>
        <v>0.16510170265576621</v>
      </c>
      <c r="M539" s="575">
        <f t="shared" si="266"/>
        <v>1.5282227912275941</v>
      </c>
      <c r="N539" s="576">
        <f t="shared" si="267"/>
        <v>-0.8574671788096595</v>
      </c>
      <c r="O539" s="574">
        <f t="shared" si="268"/>
        <v>1514712.6130125304</v>
      </c>
      <c r="P539" s="577">
        <f t="shared" si="269"/>
        <v>1.5707956666036555</v>
      </c>
      <c r="Q539" s="586">
        <f t="shared" si="291"/>
        <v>282.74812279281014</v>
      </c>
      <c r="R539" s="587">
        <f t="shared" si="292"/>
        <v>1.5672596027492627</v>
      </c>
      <c r="S539" s="574">
        <f t="shared" si="270"/>
        <v>1.872722859786794</v>
      </c>
      <c r="T539" s="577">
        <f t="shared" si="271"/>
        <v>1.0074932535651571</v>
      </c>
      <c r="U539" s="578">
        <f t="shared" si="283"/>
        <v>0.11874215560214799</v>
      </c>
      <c r="V539" s="579">
        <f t="shared" si="284"/>
        <v>-2.6601435747712334</v>
      </c>
      <c r="W539" s="580">
        <f t="shared" si="272"/>
        <v>-44.339291638357096</v>
      </c>
      <c r="X539" s="581">
        <f t="shared" si="273"/>
        <v>-339.93042569408794</v>
      </c>
      <c r="Y539" s="584">
        <f t="shared" si="274"/>
        <v>-159.93042569408794</v>
      </c>
      <c r="AA539" s="147">
        <f t="shared" si="275"/>
        <v>80358</v>
      </c>
      <c r="AB539" s="147">
        <f t="shared" si="276"/>
        <v>6457408164</v>
      </c>
      <c r="AD539" s="583">
        <f t="shared" si="277"/>
        <v>25.077369634721865</v>
      </c>
      <c r="AE539" s="584">
        <f t="shared" si="278"/>
        <v>-57.927712918324723</v>
      </c>
      <c r="AG539" s="583">
        <f t="shared" si="279"/>
        <v>22.701386907360138</v>
      </c>
      <c r="AH539" s="584">
        <f t="shared" si="280"/>
        <v>22.827287039026178</v>
      </c>
      <c r="AJ539" s="147">
        <f t="shared" si="281"/>
        <v>0</v>
      </c>
      <c r="AK539" s="147">
        <f t="shared" si="293"/>
        <v>0</v>
      </c>
      <c r="AM539" s="147" t="str">
        <f t="shared" si="285"/>
        <v>0.244481285520031-0.655127065591504i</v>
      </c>
      <c r="AN539" s="147" t="str">
        <f t="shared" si="286"/>
        <v>5.56883451571599i</v>
      </c>
      <c r="AO539" s="147" t="str">
        <f t="shared" si="287"/>
        <v>-0.117641683146204-0.0439016969942404i</v>
      </c>
      <c r="AP539" s="147" t="str">
        <f t="shared" si="288"/>
        <v>0.125919785746661+0.109187844265251i</v>
      </c>
      <c r="AQ539" s="147" t="str">
        <f t="shared" si="289"/>
        <v>0.874080214253339-0.109187844265251i</v>
      </c>
      <c r="AR539" s="147" t="str">
        <f t="shared" si="290"/>
        <v>0.93835928244795+0.117217419552622i</v>
      </c>
    </row>
    <row r="540" spans="7:44">
      <c r="G540" s="585">
        <v>80820.5</v>
      </c>
      <c r="H540" s="573">
        <f t="shared" si="282"/>
        <v>80.820499999999996</v>
      </c>
      <c r="I540" s="574">
        <f t="shared" si="262"/>
        <v>703.54918955163146</v>
      </c>
      <c r="J540" s="575">
        <f t="shared" si="263"/>
        <v>1.5693749615917747</v>
      </c>
      <c r="K540" s="575">
        <f t="shared" si="264"/>
        <v>1.0139438698030818</v>
      </c>
      <c r="L540" s="576">
        <f t="shared" si="265"/>
        <v>0.16603462497218907</v>
      </c>
      <c r="M540" s="575">
        <f t="shared" si="266"/>
        <v>1.5332585100776646</v>
      </c>
      <c r="N540" s="576">
        <f t="shared" si="267"/>
        <v>-0.86030573426927703</v>
      </c>
      <c r="O540" s="574">
        <f t="shared" si="268"/>
        <v>1523430.5326162784</v>
      </c>
      <c r="P540" s="577">
        <f t="shared" si="269"/>
        <v>1.5707956703816381</v>
      </c>
      <c r="Q540" s="586">
        <f t="shared" si="291"/>
        <v>284.37545766600806</v>
      </c>
      <c r="R540" s="587">
        <f t="shared" si="292"/>
        <v>1.5672798416904681</v>
      </c>
      <c r="S540" s="574">
        <f t="shared" si="270"/>
        <v>1.8804342724321659</v>
      </c>
      <c r="T540" s="577">
        <f t="shared" si="271"/>
        <v>1.0100810879191098</v>
      </c>
      <c r="U540" s="578">
        <f t="shared" si="283"/>
        <v>0.11348107780268735</v>
      </c>
      <c r="V540" s="579">
        <f t="shared" si="284"/>
        <v>-2.6803131601867056</v>
      </c>
      <c r="W540" s="580">
        <f t="shared" si="272"/>
        <v>-44.78853461978774</v>
      </c>
      <c r="X540" s="581">
        <f t="shared" si="273"/>
        <v>-341.34282386465748</v>
      </c>
      <c r="Y540" s="584">
        <f t="shared" si="274"/>
        <v>-161.34282386465748</v>
      </c>
      <c r="AA540" s="147">
        <f t="shared" si="275"/>
        <v>80820.5</v>
      </c>
      <c r="AB540" s="147">
        <f t="shared" si="276"/>
        <v>6531953220.25</v>
      </c>
      <c r="AD540" s="583">
        <f t="shared" si="277"/>
        <v>25.041676092201936</v>
      </c>
      <c r="AE540" s="584">
        <f t="shared" si="278"/>
        <v>-58.074825515602839</v>
      </c>
      <c r="AG540" s="583">
        <f t="shared" si="279"/>
        <v>23.07509653922957</v>
      </c>
      <c r="AH540" s="584">
        <f t="shared" si="280"/>
        <v>23.87326570604618</v>
      </c>
      <c r="AJ540" s="147">
        <f t="shared" si="281"/>
        <v>0</v>
      </c>
      <c r="AK540" s="147">
        <f t="shared" si="293"/>
        <v>0</v>
      </c>
      <c r="AM540" s="147" t="str">
        <f t="shared" si="285"/>
        <v>0.223875180312095-0.630579308465174i</v>
      </c>
      <c r="AN540" s="147" t="str">
        <f t="shared" si="286"/>
        <v>5.60088591026935i</v>
      </c>
      <c r="AO540" s="147" t="str">
        <f t="shared" si="287"/>
        <v>-0.112585637088053-0.0399713873659906i</v>
      </c>
      <c r="AP540" s="147" t="str">
        <f t="shared" si="288"/>
        <v>0.129354136614651+0.105096551410862i</v>
      </c>
      <c r="AQ540" s="147" t="str">
        <f t="shared" si="289"/>
        <v>0.870645863385349-0.105096551410862i</v>
      </c>
      <c r="AR540" s="147" t="str">
        <f t="shared" si="290"/>
        <v>0.943020104048713+0.113832919921388i</v>
      </c>
    </row>
    <row r="541" spans="7:44">
      <c r="G541" s="585">
        <v>81283</v>
      </c>
      <c r="H541" s="573">
        <f t="shared" si="282"/>
        <v>81.283000000000001</v>
      </c>
      <c r="I541" s="574">
        <f t="shared" si="262"/>
        <v>707.57528249409893</v>
      </c>
      <c r="J541" s="575">
        <f t="shared" si="263"/>
        <v>1.5693830491442593</v>
      </c>
      <c r="K541" s="575">
        <f t="shared" si="264"/>
        <v>1.0141028026998222</v>
      </c>
      <c r="L541" s="576">
        <f t="shared" si="265"/>
        <v>0.16696725567996137</v>
      </c>
      <c r="M541" s="575">
        <f t="shared" si="266"/>
        <v>1.538306502059279</v>
      </c>
      <c r="N541" s="576">
        <f t="shared" si="267"/>
        <v>-0.86312568274223855</v>
      </c>
      <c r="O541" s="574">
        <f t="shared" si="268"/>
        <v>1532148.4522200266</v>
      </c>
      <c r="P541" s="577">
        <f t="shared" si="269"/>
        <v>1.5707956741166273</v>
      </c>
      <c r="Q541" s="586">
        <f t="shared" si="291"/>
        <v>286.00279265436484</v>
      </c>
      <c r="R541" s="587">
        <f t="shared" si="292"/>
        <v>1.5672998503154891</v>
      </c>
      <c r="S541" s="574">
        <f t="shared" si="270"/>
        <v>1.8881581752213339</v>
      </c>
      <c r="T541" s="577">
        <f t="shared" si="271"/>
        <v>1.0126477671981613</v>
      </c>
      <c r="U541" s="578">
        <f t="shared" si="283"/>
        <v>0.1081932941139418</v>
      </c>
      <c r="V541" s="579">
        <f t="shared" si="284"/>
        <v>-2.7006601731850997</v>
      </c>
      <c r="W541" s="580">
        <f t="shared" si="272"/>
        <v>-45.258254206027566</v>
      </c>
      <c r="X541" s="581">
        <f t="shared" si="273"/>
        <v>-342.76313425624051</v>
      </c>
      <c r="Y541" s="584">
        <f t="shared" si="274"/>
        <v>-162.76313425624051</v>
      </c>
      <c r="AA541" s="147">
        <f t="shared" si="275"/>
        <v>81283</v>
      </c>
      <c r="AB541" s="147">
        <f t="shared" si="276"/>
        <v>6606926089</v>
      </c>
      <c r="AD541" s="583">
        <f t="shared" si="277"/>
        <v>25.00607117584704</v>
      </c>
      <c r="AE541" s="584">
        <f t="shared" si="278"/>
        <v>-58.220739210054461</v>
      </c>
      <c r="AG541" s="583">
        <f t="shared" si="279"/>
        <v>23.469906195265221</v>
      </c>
      <c r="AH541" s="584">
        <f t="shared" si="280"/>
        <v>24.930464952590643</v>
      </c>
      <c r="AJ541" s="147">
        <f t="shared" si="281"/>
        <v>0</v>
      </c>
      <c r="AK541" s="147">
        <f t="shared" si="293"/>
        <v>0</v>
      </c>
      <c r="AM541" s="147" t="str">
        <f t="shared" si="285"/>
        <v>0.204066313586012-0.605383817781281i</v>
      </c>
      <c r="AN541" s="147" t="str">
        <f t="shared" si="286"/>
        <v>5.63293730482271i</v>
      </c>
      <c r="AO541" s="147" t="str">
        <f t="shared" si="287"/>
        <v>-0.107472138428201-0.0362273362089967i</v>
      </c>
      <c r="AP541" s="147" t="str">
        <f t="shared" si="288"/>
        <v>0.132655614402331+0.100897302963547i</v>
      </c>
      <c r="AQ541" s="147" t="str">
        <f t="shared" si="289"/>
        <v>0.867344385597669-0.100897302963547i</v>
      </c>
      <c r="AR541" s="147" t="str">
        <f t="shared" si="290"/>
        <v>0.94757976487744+0.11023100420842i</v>
      </c>
    </row>
    <row r="542" spans="7:44">
      <c r="G542" s="585">
        <v>81756.25</v>
      </c>
      <c r="H542" s="573">
        <f t="shared" si="282"/>
        <v>81.756249999999994</v>
      </c>
      <c r="I542" s="574">
        <f t="shared" si="262"/>
        <v>711.69495494150726</v>
      </c>
      <c r="J542" s="575">
        <f t="shared" si="263"/>
        <v>1.5693912299593686</v>
      </c>
      <c r="K542" s="575">
        <f t="shared" si="264"/>
        <v>1.0142663424806484</v>
      </c>
      <c r="L542" s="576">
        <f t="shared" si="265"/>
        <v>0.16792126034681071</v>
      </c>
      <c r="M542" s="575">
        <f t="shared" si="266"/>
        <v>1.5434844044774199</v>
      </c>
      <c r="N542" s="576">
        <f t="shared" si="267"/>
        <v>-0.86599205911707622</v>
      </c>
      <c r="O542" s="574">
        <f t="shared" si="268"/>
        <v>1541069.0045496996</v>
      </c>
      <c r="P542" s="577">
        <f t="shared" si="269"/>
        <v>1.570795677894687</v>
      </c>
      <c r="Q542" s="586">
        <f t="shared" si="291"/>
        <v>287.66795230286039</v>
      </c>
      <c r="R542" s="587">
        <f t="shared" si="292"/>
        <v>1.5673200896748596</v>
      </c>
      <c r="S542" s="574">
        <f t="shared" si="270"/>
        <v>1.8960743763173709</v>
      </c>
      <c r="T542" s="577">
        <f t="shared" si="271"/>
        <v>1.0152524407074963</v>
      </c>
      <c r="U542" s="578">
        <f t="shared" si="283"/>
        <v>0.10275717816745869</v>
      </c>
      <c r="V542" s="579">
        <f t="shared" si="284"/>
        <v>-2.7216594695248975</v>
      </c>
      <c r="W542" s="580">
        <f t="shared" si="272"/>
        <v>-45.762194876203822</v>
      </c>
      <c r="X542" s="581">
        <f t="shared" si="273"/>
        <v>-344.22442225052123</v>
      </c>
      <c r="Y542" s="584">
        <f t="shared" si="274"/>
        <v>-164.22442225052123</v>
      </c>
      <c r="AA542" s="147">
        <f t="shared" si="275"/>
        <v>81756.25</v>
      </c>
      <c r="AB542" s="147">
        <f t="shared" si="276"/>
        <v>6684084414.0625</v>
      </c>
      <c r="AD542" s="583">
        <f t="shared" si="277"/>
        <v>24.969730645449687</v>
      </c>
      <c r="AE542" s="584">
        <f t="shared" si="278"/>
        <v>-58.368816595912968</v>
      </c>
      <c r="AG542" s="583">
        <f t="shared" si="279"/>
        <v>23.89783302534374</v>
      </c>
      <c r="AH542" s="584">
        <f t="shared" si="280"/>
        <v>26.023596452947963</v>
      </c>
      <c r="AJ542" s="147">
        <f t="shared" si="281"/>
        <v>0</v>
      </c>
      <c r="AK542" s="147">
        <f t="shared" si="293"/>
        <v>0</v>
      </c>
      <c r="AM542" s="147" t="str">
        <f t="shared" si="285"/>
        <v>0.184643494785042-0.578959212210714i</v>
      </c>
      <c r="AN542" s="147" t="str">
        <f t="shared" si="286"/>
        <v>5.66573367773595i</v>
      </c>
      <c r="AO542" s="147" t="str">
        <f t="shared" si="287"/>
        <v>-0.102186097183811-0.0325895118421497i</v>
      </c>
      <c r="AP542" s="147" t="str">
        <f t="shared" si="288"/>
        <v>0.13589275086916+0.096493202035119i</v>
      </c>
      <c r="AQ542" s="147" t="str">
        <f t="shared" si="289"/>
        <v>0.86410724913084-0.096493202035119i</v>
      </c>
      <c r="AR542" s="147" t="str">
        <f t="shared" si="290"/>
        <v>0.952127900428999+0.106322299635584i</v>
      </c>
    </row>
    <row r="543" spans="7:44">
      <c r="G543" s="585">
        <v>82229.5</v>
      </c>
      <c r="H543" s="573">
        <f t="shared" si="282"/>
        <v>82.229500000000002</v>
      </c>
      <c r="I543" s="574">
        <f t="shared" si="262"/>
        <v>715.81462743599798</v>
      </c>
      <c r="J543" s="575">
        <f t="shared" si="263"/>
        <v>1.5693993166096551</v>
      </c>
      <c r="K543" s="575">
        <f t="shared" si="264"/>
        <v>1.0144308050724076</v>
      </c>
      <c r="L543" s="576">
        <f t="shared" si="265"/>
        <v>0.16887495654916204</v>
      </c>
      <c r="M543" s="575">
        <f t="shared" si="266"/>
        <v>1.5486749034788025</v>
      </c>
      <c r="N543" s="576">
        <f t="shared" si="267"/>
        <v>-0.8688392450075938</v>
      </c>
      <c r="O543" s="574">
        <f t="shared" si="268"/>
        <v>1549989.5568793728</v>
      </c>
      <c r="P543" s="577">
        <f t="shared" si="269"/>
        <v>1.5707956816292594</v>
      </c>
      <c r="Q543" s="586">
        <f t="shared" si="291"/>
        <v>289.33311206783753</v>
      </c>
      <c r="R543" s="587">
        <f t="shared" si="292"/>
        <v>1.5673400960725377</v>
      </c>
      <c r="S543" s="574">
        <f t="shared" si="270"/>
        <v>1.9040033339809685</v>
      </c>
      <c r="T543" s="577">
        <f t="shared" si="271"/>
        <v>1.0178354380166339</v>
      </c>
      <c r="U543" s="578">
        <f t="shared" si="283"/>
        <v>9.7297823766527111E-2</v>
      </c>
      <c r="V543" s="579">
        <f t="shared" si="284"/>
        <v>-2.7428352767562711</v>
      </c>
      <c r="W543" s="580">
        <f t="shared" si="272"/>
        <v>-46.292188079850533</v>
      </c>
      <c r="X543" s="581">
        <f t="shared" si="273"/>
        <v>-345.69350770908778</v>
      </c>
      <c r="Y543" s="584">
        <f t="shared" si="274"/>
        <v>-165.69350770908778</v>
      </c>
      <c r="AA543" s="147">
        <f t="shared" si="275"/>
        <v>82229.5</v>
      </c>
      <c r="AB543" s="147">
        <f t="shared" si="276"/>
        <v>6761690670.25</v>
      </c>
      <c r="AD543" s="583">
        <f t="shared" si="277"/>
        <v>24.933483336379808</v>
      </c>
      <c r="AE543" s="584">
        <f t="shared" si="278"/>
        <v>-58.51566537221305</v>
      </c>
      <c r="AG543" s="583">
        <f t="shared" si="279"/>
        <v>24.352448846366901</v>
      </c>
      <c r="AH543" s="584">
        <f t="shared" si="280"/>
        <v>27.127928537734885</v>
      </c>
      <c r="AJ543" s="147">
        <f t="shared" si="281"/>
        <v>0</v>
      </c>
      <c r="AK543" s="147">
        <f t="shared" si="293"/>
        <v>0</v>
      </c>
      <c r="AM543" s="147" t="str">
        <f t="shared" si="285"/>
        <v>0.166097596528282-0.551911932724861i</v>
      </c>
      <c r="AN543" s="147" t="str">
        <f t="shared" si="286"/>
        <v>5.6985300506492i</v>
      </c>
      <c r="AO543" s="147" t="str">
        <f t="shared" si="287"/>
        <v>-0.0968516315294301-0.0291474459293866i</v>
      </c>
      <c r="AP543" s="147" t="str">
        <f t="shared" si="288"/>
        <v>0.138983733911953+0.0919853221208102i</v>
      </c>
      <c r="AQ543" s="147" t="str">
        <f t="shared" si="289"/>
        <v>0.861016266088047-0.0919853221208102i</v>
      </c>
      <c r="AR543" s="147" t="str">
        <f t="shared" si="290"/>
        <v>0.956543995367931+0.102190877225133i</v>
      </c>
    </row>
    <row r="544" spans="7:44">
      <c r="G544" s="585">
        <v>82702.75</v>
      </c>
      <c r="H544" s="573">
        <f t="shared" si="282"/>
        <v>82.702749999999995</v>
      </c>
      <c r="I544" s="574">
        <f t="shared" si="262"/>
        <v>719.93429997676299</v>
      </c>
      <c r="J544" s="575">
        <f t="shared" si="263"/>
        <v>1.5694073107116329</v>
      </c>
      <c r="K544" s="575">
        <f t="shared" si="264"/>
        <v>1.014596190026346</v>
      </c>
      <c r="L544" s="576">
        <f t="shared" si="265"/>
        <v>0.16982834270259922</v>
      </c>
      <c r="M544" s="575">
        <f t="shared" si="266"/>
        <v>1.5538778728323679</v>
      </c>
      <c r="N544" s="576">
        <f t="shared" si="267"/>
        <v>-0.87166738679166422</v>
      </c>
      <c r="O544" s="574">
        <f t="shared" si="268"/>
        <v>1558910.1092090458</v>
      </c>
      <c r="P544" s="577">
        <f t="shared" si="269"/>
        <v>1.5707956853210912</v>
      </c>
      <c r="Q544" s="586">
        <f t="shared" si="291"/>
        <v>290.99827194729653</v>
      </c>
      <c r="R544" s="587">
        <f t="shared" si="292"/>
        <v>1.5673598735076906</v>
      </c>
      <c r="S544" s="574">
        <f t="shared" si="270"/>
        <v>1.9119448895052304</v>
      </c>
      <c r="T544" s="577">
        <f t="shared" si="271"/>
        <v>1.0203969945493558</v>
      </c>
      <c r="U544" s="578">
        <f t="shared" si="283"/>
        <v>9.1817953578964814E-2</v>
      </c>
      <c r="V544" s="579">
        <f t="shared" si="284"/>
        <v>-2.7641821333456598</v>
      </c>
      <c r="W544" s="580">
        <f t="shared" si="272"/>
        <v>-46.851149858345821</v>
      </c>
      <c r="X544" s="581">
        <f t="shared" si="273"/>
        <v>-347.17009953904761</v>
      </c>
      <c r="Y544" s="584">
        <f t="shared" si="274"/>
        <v>-167.17009953904761</v>
      </c>
      <c r="AA544" s="147">
        <f t="shared" si="275"/>
        <v>82702.75</v>
      </c>
      <c r="AB544" s="147">
        <f t="shared" si="276"/>
        <v>6839744857.5625</v>
      </c>
      <c r="AD544" s="583">
        <f t="shared" si="277"/>
        <v>24.897329437025995</v>
      </c>
      <c r="AE544" s="584">
        <f t="shared" si="278"/>
        <v>-58.661298798651103</v>
      </c>
      <c r="AG544" s="583">
        <f t="shared" si="279"/>
        <v>24.83666166991776</v>
      </c>
      <c r="AH544" s="584">
        <f t="shared" si="280"/>
        <v>28.243139713894205</v>
      </c>
      <c r="AJ544" s="147">
        <f t="shared" si="281"/>
        <v>0</v>
      </c>
      <c r="AK544" s="147">
        <f t="shared" si="293"/>
        <v>0</v>
      </c>
      <c r="AM544" s="147" t="str">
        <f t="shared" si="285"/>
        <v>0.148448565034466-0.524271068826175i</v>
      </c>
      <c r="AN544" s="147" t="str">
        <f t="shared" si="286"/>
        <v>5.73132642356244i</v>
      </c>
      <c r="AO544" s="147" t="str">
        <f t="shared" si="287"/>
        <v>-0.0914746482892353-0.0259012581143815i</v>
      </c>
      <c r="AP544" s="147" t="str">
        <f t="shared" si="288"/>
        <v>0.141925239160922+0.0873785114710292i</v>
      </c>
      <c r="AQ544" s="147" t="str">
        <f t="shared" si="289"/>
        <v>0.858074760839078-0.0873785114710292i</v>
      </c>
      <c r="AR544" s="147" t="str">
        <f t="shared" si="290"/>
        <v>0.960814687539628+0.0978406090334352i</v>
      </c>
    </row>
    <row r="545" spans="7:44">
      <c r="G545" s="585">
        <v>83176</v>
      </c>
      <c r="H545" s="573">
        <f t="shared" si="282"/>
        <v>83.176000000000002</v>
      </c>
      <c r="I545" s="574">
        <f t="shared" si="262"/>
        <v>724.05397256301228</v>
      </c>
      <c r="J545" s="575">
        <f t="shared" si="263"/>
        <v>1.5694152138450257</v>
      </c>
      <c r="K545" s="575">
        <f t="shared" si="264"/>
        <v>1.014762496891487</v>
      </c>
      <c r="L545" s="576">
        <f t="shared" si="265"/>
        <v>0.17078141722599072</v>
      </c>
      <c r="M545" s="575">
        <f t="shared" si="266"/>
        <v>1.559093187690817</v>
      </c>
      <c r="N545" s="576">
        <f t="shared" si="267"/>
        <v>-0.87447663011417931</v>
      </c>
      <c r="O545" s="574">
        <f t="shared" si="268"/>
        <v>1567830.661538719</v>
      </c>
      <c r="P545" s="577">
        <f t="shared" si="269"/>
        <v>1.5707956889709118</v>
      </c>
      <c r="Q545" s="586">
        <f t="shared" si="291"/>
        <v>292.6634319392835</v>
      </c>
      <c r="R545" s="587">
        <f t="shared" si="292"/>
        <v>1.5673794258884699</v>
      </c>
      <c r="S545" s="574">
        <f t="shared" si="270"/>
        <v>1.9198988865591022</v>
      </c>
      <c r="T545" s="577">
        <f t="shared" si="271"/>
        <v>1.0229373429628446</v>
      </c>
      <c r="U545" s="578">
        <f t="shared" si="283"/>
        <v>8.6320512283811976E-2</v>
      </c>
      <c r="V545" s="579">
        <f t="shared" si="284"/>
        <v>-2.7856940513935431</v>
      </c>
      <c r="W545" s="580">
        <f t="shared" si="272"/>
        <v>-47.442516229677381</v>
      </c>
      <c r="X545" s="581">
        <f t="shared" si="273"/>
        <v>-348.65387629136694</v>
      </c>
      <c r="Y545" s="584">
        <f t="shared" si="274"/>
        <v>-168.65387629136694</v>
      </c>
      <c r="AA545" s="147">
        <f t="shared" si="275"/>
        <v>83176</v>
      </c>
      <c r="AB545" s="147">
        <f t="shared" si="276"/>
        <v>6918246976</v>
      </c>
      <c r="AD545" s="583">
        <f t="shared" si="277"/>
        <v>24.861269117850174</v>
      </c>
      <c r="AE545" s="584">
        <f t="shared" si="278"/>
        <v>-58.805729981623031</v>
      </c>
      <c r="AG545" s="583">
        <f t="shared" si="279"/>
        <v>25.353899617284924</v>
      </c>
      <c r="AH545" s="584">
        <f t="shared" si="280"/>
        <v>29.368878374113581</v>
      </c>
      <c r="AJ545" s="147">
        <f t="shared" si="281"/>
        <v>0</v>
      </c>
      <c r="AK545" s="147">
        <f t="shared" si="293"/>
        <v>0</v>
      </c>
      <c r="AM545" s="147" t="str">
        <f t="shared" si="285"/>
        <v>0.131715381937023-0.496066348420481i</v>
      </c>
      <c r="AN545" s="147" t="str">
        <f t="shared" si="286"/>
        <v>5.76412279647569i</v>
      </c>
      <c r="AO545" s="147" t="str">
        <f t="shared" si="287"/>
        <v>-0.0860610306088182-0.0228508979748934i</v>
      </c>
      <c r="AP545" s="147" t="str">
        <f t="shared" si="288"/>
        <v>0.144714103010496+0.0826777247367468i</v>
      </c>
      <c r="AQ545" s="147" t="str">
        <f t="shared" si="289"/>
        <v>0.855285896989504-0.0826777247367468i</v>
      </c>
      <c r="AR545" s="147" t="str">
        <f t="shared" si="290"/>
        <v>0.964926613957515+0.0932763386614331i</v>
      </c>
    </row>
    <row r="546" spans="7:44">
      <c r="G546" s="585">
        <v>83660.5</v>
      </c>
      <c r="H546" s="573">
        <f t="shared" si="282"/>
        <v>83.660499999999999</v>
      </c>
      <c r="I546" s="574">
        <f t="shared" si="262"/>
        <v>728.27157719049353</v>
      </c>
      <c r="J546" s="575">
        <f t="shared" si="263"/>
        <v>1.569423212223958</v>
      </c>
      <c r="K546" s="575">
        <f t="shared" si="264"/>
        <v>1.0149337117403279</v>
      </c>
      <c r="L546" s="576">
        <f t="shared" si="265"/>
        <v>0.17175682356000135</v>
      </c>
      <c r="M546" s="575">
        <f t="shared" si="266"/>
        <v>1.564445140208742</v>
      </c>
      <c r="N546" s="576">
        <f t="shared" si="267"/>
        <v>-0.87733322779510237</v>
      </c>
      <c r="O546" s="574">
        <f t="shared" si="268"/>
        <v>1576963.2713722673</v>
      </c>
      <c r="P546" s="577">
        <f t="shared" si="269"/>
        <v>1.5707956926647186</v>
      </c>
      <c r="Q546" s="586">
        <f t="shared" si="291"/>
        <v>294.36817588084034</v>
      </c>
      <c r="R546" s="587">
        <f t="shared" si="292"/>
        <v>1.5673992139092856</v>
      </c>
      <c r="S546" s="574">
        <f t="shared" si="270"/>
        <v>1.9280546922697819</v>
      </c>
      <c r="T546" s="577">
        <f t="shared" si="271"/>
        <v>1.0255163497126181</v>
      </c>
      <c r="U546" s="578">
        <f t="shared" si="283"/>
        <v>8.0677487855985677E-2</v>
      </c>
      <c r="V546" s="579">
        <f t="shared" si="284"/>
        <v>-2.8078815366124874</v>
      </c>
      <c r="W546" s="580">
        <f t="shared" si="272"/>
        <v>-48.085787227859349</v>
      </c>
      <c r="X546" s="581">
        <f t="shared" si="273"/>
        <v>-350.1800007958152</v>
      </c>
      <c r="Y546" s="584">
        <f t="shared" si="274"/>
        <v>-170.1800007958152</v>
      </c>
      <c r="AA546" s="147">
        <f t="shared" si="275"/>
        <v>83660.5</v>
      </c>
      <c r="AB546" s="147">
        <f t="shared" si="276"/>
        <v>6999079260.25</v>
      </c>
      <c r="AD546" s="583">
        <f t="shared" si="277"/>
        <v>24.824448683509061</v>
      </c>
      <c r="AE546" s="584">
        <f t="shared" si="278"/>
        <v>-58.952362625450228</v>
      </c>
      <c r="AG546" s="583">
        <f t="shared" si="279"/>
        <v>25.921914750753675</v>
      </c>
      <c r="AH546" s="584">
        <f t="shared" si="280"/>
        <v>30.531885038506534</v>
      </c>
      <c r="AJ546" s="147">
        <f t="shared" si="281"/>
        <v>0</v>
      </c>
      <c r="AK546" s="147">
        <f t="shared" si="293"/>
        <v>0</v>
      </c>
      <c r="AM546" s="147" t="str">
        <f t="shared" si="285"/>
        <v>0.115551970270658-0.466638706825617i</v>
      </c>
      <c r="AN546" s="147" t="str">
        <f t="shared" si="286"/>
        <v>5.7976987979051i</v>
      </c>
      <c r="AO546" s="147" t="str">
        <f t="shared" si="287"/>
        <v>-0.0804868833465838-0.0199306611637726i</v>
      </c>
      <c r="AP546" s="147" t="str">
        <f t="shared" si="288"/>
        <v>0.14740800495489+0.0777731178042695i</v>
      </c>
      <c r="AQ546" s="147" t="str">
        <f t="shared" si="289"/>
        <v>0.85259199504511-0.0777731178042695i</v>
      </c>
      <c r="AR546" s="147" t="str">
        <f t="shared" si="290"/>
        <v>0.968957949796478+0.088387975977792i</v>
      </c>
    </row>
    <row r="547" spans="7:44">
      <c r="G547" s="585">
        <v>84145</v>
      </c>
      <c r="H547" s="573">
        <f t="shared" si="282"/>
        <v>84.144999999999996</v>
      </c>
      <c r="I547" s="574">
        <f t="shared" si="262"/>
        <v>732.48918186402852</v>
      </c>
      <c r="J547" s="575">
        <f t="shared" si="263"/>
        <v>1.5694311184950449</v>
      </c>
      <c r="K547" s="575">
        <f t="shared" si="264"/>
        <v>1.015105891888606</v>
      </c>
      <c r="L547" s="576">
        <f t="shared" si="265"/>
        <v>0.17273189992867133</v>
      </c>
      <c r="M547" s="575">
        <f t="shared" si="266"/>
        <v>1.5698097717266541</v>
      </c>
      <c r="N547" s="576">
        <f t="shared" si="267"/>
        <v>-0.88017032435425013</v>
      </c>
      <c r="O547" s="574">
        <f t="shared" si="268"/>
        <v>1586095.8812058154</v>
      </c>
      <c r="P547" s="577">
        <f t="shared" si="269"/>
        <v>1.5707956963159881</v>
      </c>
      <c r="Q547" s="586">
        <f t="shared" si="291"/>
        <v>296.07291993633436</v>
      </c>
      <c r="R547" s="587">
        <f t="shared" si="292"/>
        <v>1.5674187740571184</v>
      </c>
      <c r="S547" s="574">
        <f t="shared" si="270"/>
        <v>1.9362232139191764</v>
      </c>
      <c r="T547" s="577">
        <f t="shared" si="271"/>
        <v>1.0280736127696659</v>
      </c>
      <c r="U547" s="578">
        <f t="shared" si="283"/>
        <v>7.5022986059377461E-2</v>
      </c>
      <c r="V547" s="579">
        <f t="shared" si="284"/>
        <v>-2.8302276433602076</v>
      </c>
      <c r="W547" s="580">
        <f t="shared" si="272"/>
        <v>-48.772619572796529</v>
      </c>
      <c r="X547" s="581">
        <f t="shared" si="273"/>
        <v>-351.71287717256592</v>
      </c>
      <c r="Y547" s="584">
        <f t="shared" si="274"/>
        <v>-171.71287717256592</v>
      </c>
      <c r="AA547" s="147">
        <f t="shared" si="275"/>
        <v>84145</v>
      </c>
      <c r="AB547" s="147">
        <f t="shared" si="276"/>
        <v>7080381025</v>
      </c>
      <c r="AD547" s="583">
        <f t="shared" si="277"/>
        <v>24.787726637682322</v>
      </c>
      <c r="AE547" s="584">
        <f t="shared" si="278"/>
        <v>-59.097762501174813</v>
      </c>
      <c r="AG547" s="583">
        <f t="shared" si="279"/>
        <v>26.534125280791887</v>
      </c>
      <c r="AH547" s="584">
        <f t="shared" si="280"/>
        <v>31.705083750792799</v>
      </c>
      <c r="AJ547" s="147">
        <f t="shared" si="281"/>
        <v>0</v>
      </c>
      <c r="AK547" s="147">
        <f t="shared" si="293"/>
        <v>0</v>
      </c>
      <c r="AM547" s="147" t="str">
        <f t="shared" si="285"/>
        <v>0.10038554554062-0.43668505049721i</v>
      </c>
      <c r="AN547" s="147" t="str">
        <f t="shared" si="286"/>
        <v>5.83127479933451i</v>
      </c>
      <c r="AO547" s="147" t="str">
        <f t="shared" si="287"/>
        <v>-0.0748867212615407-0.0172150257010828i</v>
      </c>
      <c r="AP547" s="147" t="str">
        <f t="shared" si="288"/>
        <v>0.149935742409897+0.072780841749535i</v>
      </c>
      <c r="AQ547" s="147" t="str">
        <f t="shared" si="289"/>
        <v>0.850064257590103-0.072780841749535i</v>
      </c>
      <c r="AR547" s="147" t="str">
        <f t="shared" si="290"/>
        <v>0.972794896023009+0.0832887993466793i</v>
      </c>
    </row>
    <row r="548" spans="7:44">
      <c r="G548" s="585">
        <v>84629.5</v>
      </c>
      <c r="H548" s="573">
        <f t="shared" si="282"/>
        <v>84.629499999999993</v>
      </c>
      <c r="I548" s="574">
        <f t="shared" si="262"/>
        <v>736.70678658282679</v>
      </c>
      <c r="J548" s="575">
        <f t="shared" si="263"/>
        <v>1.569438934240222</v>
      </c>
      <c r="K548" s="575">
        <f t="shared" si="264"/>
        <v>1.0152790368452089</v>
      </c>
      <c r="L548" s="576">
        <f t="shared" si="265"/>
        <v>0.17370664464619545</v>
      </c>
      <c r="M548" s="575">
        <f t="shared" si="266"/>
        <v>1.5751869527015301</v>
      </c>
      <c r="N548" s="576">
        <f t="shared" si="267"/>
        <v>-0.88298807359710452</v>
      </c>
      <c r="O548" s="574">
        <f t="shared" si="268"/>
        <v>1595228.4910393634</v>
      </c>
      <c r="P548" s="577">
        <f t="shared" si="269"/>
        <v>1.5707956999254509</v>
      </c>
      <c r="Q548" s="586">
        <f t="shared" si="291"/>
        <v>297.77766410380866</v>
      </c>
      <c r="R548" s="587">
        <f t="shared" si="292"/>
        <v>1.5674381102455959</v>
      </c>
      <c r="S548" s="574">
        <f t="shared" si="270"/>
        <v>1.944404291246763</v>
      </c>
      <c r="T548" s="577">
        <f t="shared" si="271"/>
        <v>1.0306093729347259</v>
      </c>
      <c r="U548" s="578">
        <f t="shared" si="283"/>
        <v>6.9360854144066328E-2</v>
      </c>
      <c r="V548" s="579">
        <f t="shared" si="284"/>
        <v>-2.8527242574803209</v>
      </c>
      <c r="W548" s="580">
        <f t="shared" si="272"/>
        <v>-49.509527514528301</v>
      </c>
      <c r="X548" s="581">
        <f t="shared" si="273"/>
        <v>-353.25206308700967</v>
      </c>
      <c r="Y548" s="584">
        <f t="shared" si="274"/>
        <v>-173.25206308700967</v>
      </c>
      <c r="AA548" s="147">
        <f t="shared" si="275"/>
        <v>84629.5</v>
      </c>
      <c r="AB548" s="147">
        <f t="shared" si="276"/>
        <v>7162152270.25</v>
      </c>
      <c r="AD548" s="583">
        <f t="shared" si="277"/>
        <v>24.751103108370948</v>
      </c>
      <c r="AE548" s="584">
        <f t="shared" si="278"/>
        <v>-59.241943181470241</v>
      </c>
      <c r="AG548" s="583">
        <f t="shared" si="279"/>
        <v>27.197037400226016</v>
      </c>
      <c r="AH548" s="584">
        <f t="shared" si="280"/>
        <v>32.88800060442405</v>
      </c>
      <c r="AJ548" s="147">
        <f t="shared" si="281"/>
        <v>0</v>
      </c>
      <c r="AK548" s="147">
        <f t="shared" si="293"/>
        <v>0</v>
      </c>
      <c r="AM548" s="147" t="str">
        <f t="shared" si="285"/>
        <v>0.086233203977347-0.406239144453727i</v>
      </c>
      <c r="AN548" s="147" t="str">
        <f t="shared" si="286"/>
        <v>5.86485080076392i</v>
      </c>
      <c r="AO548" s="147" t="str">
        <f t="shared" si="287"/>
        <v>-0.0692667483375387-0.0147033926193169i</v>
      </c>
      <c r="AP548" s="147" t="str">
        <f t="shared" si="288"/>
        <v>0.152294466003775+0.0677065240756212i</v>
      </c>
      <c r="AQ548" s="147" t="str">
        <f t="shared" si="289"/>
        <v>0.847705533996225-0.0677065240756212i</v>
      </c>
      <c r="AR548" s="147" t="str">
        <f t="shared" si="290"/>
        <v>0.976423674049877+0.0779872849047119i</v>
      </c>
    </row>
    <row r="549" spans="7:44">
      <c r="G549" s="585">
        <v>85114</v>
      </c>
      <c r="H549" s="573">
        <f t="shared" si="282"/>
        <v>85.114000000000004</v>
      </c>
      <c r="I549" s="574">
        <f t="shared" si="262"/>
        <v>740.92439134611493</v>
      </c>
      <c r="J549" s="575">
        <f t="shared" si="263"/>
        <v>1.569446661005405</v>
      </c>
      <c r="K549" s="575">
        <f t="shared" si="264"/>
        <v>1.0154531461166079</v>
      </c>
      <c r="L549" s="576">
        <f t="shared" si="265"/>
        <v>0.17468105603043596</v>
      </c>
      <c r="M549" s="575">
        <f t="shared" si="266"/>
        <v>1.5805765550521989</v>
      </c>
      <c r="N549" s="576">
        <f t="shared" si="267"/>
        <v>-0.8857866284675382</v>
      </c>
      <c r="O549" s="574">
        <f t="shared" si="268"/>
        <v>1604361.1008729117</v>
      </c>
      <c r="P549" s="577">
        <f t="shared" si="269"/>
        <v>1.5707957034938209</v>
      </c>
      <c r="Q549" s="586">
        <f t="shared" si="291"/>
        <v>299.48240838135109</v>
      </c>
      <c r="R549" s="587">
        <f t="shared" si="292"/>
        <v>1.5674572262992361</v>
      </c>
      <c r="S549" s="574">
        <f t="shared" si="270"/>
        <v>1.9525977664336009</v>
      </c>
      <c r="T549" s="577">
        <f t="shared" si="271"/>
        <v>1.0331238680821868</v>
      </c>
      <c r="U549" s="578">
        <f t="shared" si="283"/>
        <v>6.3695151924231086E-2</v>
      </c>
      <c r="V549" s="579">
        <f t="shared" si="284"/>
        <v>-2.8753627170042648</v>
      </c>
      <c r="W549" s="580">
        <f t="shared" si="272"/>
        <v>-50.304639937733846</v>
      </c>
      <c r="X549" s="581">
        <f t="shared" si="273"/>
        <v>-354.79708460300787</v>
      </c>
      <c r="Y549" s="584">
        <f t="shared" si="274"/>
        <v>-174.79708460300787</v>
      </c>
      <c r="AA549" s="147">
        <f t="shared" si="275"/>
        <v>85114</v>
      </c>
      <c r="AB549" s="147">
        <f t="shared" si="276"/>
        <v>7244392996</v>
      </c>
      <c r="AD549" s="583">
        <f t="shared" si="277"/>
        <v>24.714578206186943</v>
      </c>
      <c r="AE549" s="584">
        <f t="shared" si="278"/>
        <v>-59.384918076447264</v>
      </c>
      <c r="AG549" s="583">
        <f t="shared" si="279"/>
        <v>27.918772071213844</v>
      </c>
      <c r="AH549" s="584">
        <f t="shared" si="280"/>
        <v>34.080130357166567</v>
      </c>
      <c r="AJ549" s="147">
        <f t="shared" si="281"/>
        <v>0</v>
      </c>
      <c r="AK549" s="147">
        <f t="shared" si="293"/>
        <v>0</v>
      </c>
      <c r="AM549" s="147" t="str">
        <f t="shared" si="285"/>
        <v>0.073110898694179-0.375335308598175i</v>
      </c>
      <c r="AN549" s="147" t="str">
        <f t="shared" si="286"/>
        <v>5.89842680219332i</v>
      </c>
      <c r="AO549" s="147" t="str">
        <f t="shared" si="287"/>
        <v>-0.0636331213703639-0.0123949827887994i</v>
      </c>
      <c r="AP549" s="147" t="str">
        <f t="shared" si="288"/>
        <v>0.154481516884304+0.0625558847663625i</v>
      </c>
      <c r="AQ549" s="147" t="str">
        <f t="shared" si="289"/>
        <v>0.845518483115696-0.0625558847663625i</v>
      </c>
      <c r="AR549" s="147" t="str">
        <f t="shared" si="290"/>
        <v>0.979830898441323+0.072493020551781i</v>
      </c>
    </row>
    <row r="550" spans="7:44">
      <c r="G550" s="585">
        <v>85609.5</v>
      </c>
      <c r="H550" s="573">
        <f t="shared" si="282"/>
        <v>85.609499999999997</v>
      </c>
      <c r="I550" s="574">
        <f t="shared" si="262"/>
        <v>745.23775188713239</v>
      </c>
      <c r="J550" s="575">
        <f t="shared" si="263"/>
        <v>1.5694544727388411</v>
      </c>
      <c r="K550" s="575">
        <f t="shared" si="264"/>
        <v>1.0156322052202025</v>
      </c>
      <c r="L550" s="576">
        <f t="shared" si="265"/>
        <v>0.17567724375349419</v>
      </c>
      <c r="M550" s="575">
        <f t="shared" si="266"/>
        <v>1.586101237589866</v>
      </c>
      <c r="N550" s="576">
        <f t="shared" si="267"/>
        <v>-0.88862902669484889</v>
      </c>
      <c r="O550" s="574">
        <f t="shared" si="268"/>
        <v>1613701.0558213601</v>
      </c>
      <c r="P550" s="577">
        <f t="shared" si="269"/>
        <v>1.5707957071014309</v>
      </c>
      <c r="Q550" s="586">
        <f t="shared" si="291"/>
        <v>301.22585697523448</v>
      </c>
      <c r="R550" s="587">
        <f t="shared" si="292"/>
        <v>1.5674765525668117</v>
      </c>
      <c r="S550" s="574">
        <f t="shared" si="270"/>
        <v>1.9609899261118515</v>
      </c>
      <c r="T550" s="577">
        <f t="shared" si="271"/>
        <v>1.0356737020391997</v>
      </c>
      <c r="U550" s="578">
        <f t="shared" si="283"/>
        <v>5.7901563268076446E-2</v>
      </c>
      <c r="V550" s="579">
        <f t="shared" si="284"/>
        <v>-2.8986522864506874</v>
      </c>
      <c r="W550" s="580">
        <f t="shared" si="272"/>
        <v>-51.188794006110932</v>
      </c>
      <c r="X550" s="581">
        <f t="shared" si="273"/>
        <v>-356.38269390745046</v>
      </c>
      <c r="Y550" s="584">
        <f t="shared" si="274"/>
        <v>-176.38269390745046</v>
      </c>
      <c r="AA550" s="147">
        <f t="shared" si="275"/>
        <v>85609.5</v>
      </c>
      <c r="AB550" s="147">
        <f t="shared" si="276"/>
        <v>7328986490.25</v>
      </c>
      <c r="AD550" s="583">
        <f t="shared" si="277"/>
        <v>24.677326158245535</v>
      </c>
      <c r="AE550" s="584">
        <f t="shared" si="278"/>
        <v>-59.52990569394391</v>
      </c>
      <c r="AG550" s="583">
        <f t="shared" si="279"/>
        <v>28.728513592316745</v>
      </c>
      <c r="AH550" s="584">
        <f t="shared" si="280"/>
        <v>35.308296745183839</v>
      </c>
      <c r="AJ550" s="147">
        <f t="shared" si="281"/>
        <v>0</v>
      </c>
      <c r="AK550" s="147">
        <f t="shared" si="293"/>
        <v>0</v>
      </c>
      <c r="AM550" s="147" t="str">
        <f t="shared" si="285"/>
        <v>0.060771455779464-0.343292501696983i</v>
      </c>
      <c r="AN550" s="147" t="str">
        <f t="shared" si="286"/>
        <v>5.93276510706076i</v>
      </c>
      <c r="AO550" s="147" t="str">
        <f t="shared" si="287"/>
        <v>-0.0578638283333383-0.0102433611786076i</v>
      </c>
      <c r="AP550" s="147" t="str">
        <f t="shared" si="288"/>
        <v>0.156538090703423+0.0572154169494972i</v>
      </c>
      <c r="AQ550" s="147" t="str">
        <f t="shared" si="289"/>
        <v>0.843461909296577-0.0572154169494972i</v>
      </c>
      <c r="AR550" s="147" t="str">
        <f t="shared" si="290"/>
        <v>0.983072899251502+0.066685792449518i</v>
      </c>
    </row>
    <row r="551" spans="7:44">
      <c r="G551" s="585">
        <v>86105</v>
      </c>
      <c r="H551" s="573">
        <f t="shared" si="282"/>
        <v>86.105000000000004</v>
      </c>
      <c r="I551" s="574">
        <f t="shared" si="262"/>
        <v>749.55111247310322</v>
      </c>
      <c r="J551" s="575">
        <f t="shared" si="263"/>
        <v>1.5694621945656053</v>
      </c>
      <c r="K551" s="575">
        <f t="shared" si="264"/>
        <v>1.0158122718711071</v>
      </c>
      <c r="L551" s="576">
        <f t="shared" si="265"/>
        <v>0.17667307928865722</v>
      </c>
      <c r="M551" s="575">
        <f t="shared" si="266"/>
        <v>1.5916386455806495</v>
      </c>
      <c r="N551" s="576">
        <f t="shared" si="267"/>
        <v>-0.89145166984119739</v>
      </c>
      <c r="O551" s="574">
        <f t="shared" si="268"/>
        <v>1623041.0107698082</v>
      </c>
      <c r="P551" s="577">
        <f t="shared" si="269"/>
        <v>1.5707957106675201</v>
      </c>
      <c r="Q551" s="586">
        <f t="shared" si="291"/>
        <v>302.96930568033235</v>
      </c>
      <c r="R551" s="587">
        <f t="shared" si="292"/>
        <v>1.5674956564068707</v>
      </c>
      <c r="S551" s="574">
        <f t="shared" si="270"/>
        <v>1.9693947267583243</v>
      </c>
      <c r="T551" s="577">
        <f t="shared" si="271"/>
        <v>1.0382017884253143</v>
      </c>
      <c r="U551" s="578">
        <f t="shared" si="283"/>
        <v>5.2113449208205424E-2</v>
      </c>
      <c r="V551" s="579">
        <f t="shared" si="284"/>
        <v>-2.9220702185136616</v>
      </c>
      <c r="W551" s="580">
        <f t="shared" si="272"/>
        <v>-52.159068993343134</v>
      </c>
      <c r="X551" s="581">
        <f t="shared" si="273"/>
        <v>-357.97330769067037</v>
      </c>
      <c r="Y551" s="584">
        <f t="shared" si="274"/>
        <v>-177.97330769067037</v>
      </c>
      <c r="AA551" s="147">
        <f t="shared" si="275"/>
        <v>86105</v>
      </c>
      <c r="AB551" s="147">
        <f t="shared" si="276"/>
        <v>7414071025</v>
      </c>
      <c r="AD551" s="583">
        <f t="shared" si="277"/>
        <v>24.640177447363104</v>
      </c>
      <c r="AE551" s="584">
        <f t="shared" si="278"/>
        <v>-59.673660009191011</v>
      </c>
      <c r="AG551" s="583">
        <f t="shared" si="279"/>
        <v>29.625006144737629</v>
      </c>
      <c r="AH551" s="584">
        <f t="shared" si="280"/>
        <v>36.544934624542392</v>
      </c>
      <c r="AJ551" s="147">
        <f t="shared" si="281"/>
        <v>0</v>
      </c>
      <c r="AK551" s="147">
        <f t="shared" si="293"/>
        <v>0</v>
      </c>
      <c r="AM551" s="147" t="str">
        <f t="shared" si="285"/>
        <v>0.049539366441842-0.310844951794661i</v>
      </c>
      <c r="AN551" s="147" t="str">
        <f t="shared" si="286"/>
        <v>5.96710341192819i</v>
      </c>
      <c r="AO551" s="147" t="str">
        <f t="shared" si="287"/>
        <v>-0.0520931062084972-0.00830207942145149i</v>
      </c>
      <c r="AP551" s="147" t="str">
        <f t="shared" si="288"/>
        <v>0.158410105593026+0.0518074919657768i</v>
      </c>
      <c r="AQ551" s="147" t="str">
        <f t="shared" si="289"/>
        <v>0.841589894406974-0.0518074919657768i</v>
      </c>
      <c r="AR551" s="147" t="str">
        <f t="shared" si="290"/>
        <v>0.986056573533299+0.0607007265066139i</v>
      </c>
    </row>
    <row r="552" spans="7:44">
      <c r="G552" s="585">
        <v>86600.5</v>
      </c>
      <c r="H552" s="573">
        <f t="shared" si="282"/>
        <v>86.600499999999997</v>
      </c>
      <c r="I552" s="574">
        <f t="shared" si="262"/>
        <v>753.86447310325582</v>
      </c>
      <c r="J552" s="575">
        <f t="shared" si="263"/>
        <v>1.5694698280289445</v>
      </c>
      <c r="K552" s="575">
        <f t="shared" si="264"/>
        <v>1.0159933455336128</v>
      </c>
      <c r="L552" s="576">
        <f t="shared" si="265"/>
        <v>0.17766856084859228</v>
      </c>
      <c r="M552" s="575">
        <f t="shared" si="266"/>
        <v>1.5971886466681937</v>
      </c>
      <c r="N552" s="576">
        <f t="shared" si="267"/>
        <v>-0.89425471863245054</v>
      </c>
      <c r="O552" s="574">
        <f t="shared" si="268"/>
        <v>1632380.9657182565</v>
      </c>
      <c r="P552" s="577">
        <f t="shared" si="269"/>
        <v>1.5707957141928013</v>
      </c>
      <c r="Q552" s="586">
        <f t="shared" si="291"/>
        <v>304.71275449473552</v>
      </c>
      <c r="R552" s="587">
        <f t="shared" si="292"/>
        <v>1.5675145416373328</v>
      </c>
      <c r="S552" s="574">
        <f t="shared" si="270"/>
        <v>1.9778120072179446</v>
      </c>
      <c r="T552" s="577">
        <f t="shared" si="271"/>
        <v>1.0407083723817112</v>
      </c>
      <c r="U552" s="578">
        <f t="shared" si="283"/>
        <v>4.6335743820934215E-2</v>
      </c>
      <c r="V552" s="579">
        <f t="shared" si="284"/>
        <v>-2.9456056071001511</v>
      </c>
      <c r="W552" s="580">
        <f t="shared" si="272"/>
        <v>-53.234845425867377</v>
      </c>
      <c r="X552" s="581">
        <f t="shared" si="273"/>
        <v>-359.56832430615219</v>
      </c>
      <c r="Y552" s="584">
        <f t="shared" si="274"/>
        <v>-179.56832430615219</v>
      </c>
      <c r="AA552" s="147">
        <f t="shared" si="275"/>
        <v>86600.5</v>
      </c>
      <c r="AB552" s="147">
        <f t="shared" si="276"/>
        <v>7499646600.25</v>
      </c>
      <c r="AD552" s="583">
        <f t="shared" si="277"/>
        <v>24.60313213893032</v>
      </c>
      <c r="AE552" s="584">
        <f t="shared" si="278"/>
        <v>-59.816194849033756</v>
      </c>
      <c r="AG552" s="583">
        <f t="shared" si="279"/>
        <v>30.627622199942305</v>
      </c>
      <c r="AH552" s="584">
        <f t="shared" si="280"/>
        <v>37.789409722397551</v>
      </c>
      <c r="AJ552" s="147">
        <f t="shared" si="281"/>
        <v>0</v>
      </c>
      <c r="AK552" s="147">
        <f t="shared" si="293"/>
        <v>0</v>
      </c>
      <c r="AM552" s="147" t="str">
        <f t="shared" si="285"/>
        <v>0.0394278733519891-0.278030914660434i</v>
      </c>
      <c r="AN552" s="147" t="str">
        <f t="shared" si="286"/>
        <v>6.00144171679563i</v>
      </c>
      <c r="AO552" s="147" t="str">
        <f t="shared" si="287"/>
        <v>-0.0463273539560231-0.00656973360945026i</v>
      </c>
      <c r="AP552" s="147" t="str">
        <f t="shared" si="288"/>
        <v>0.160095354441335+0.046338485776739i</v>
      </c>
      <c r="AQ552" s="147" t="str">
        <f t="shared" si="289"/>
        <v>0.839904645558665-0.046338485776739i</v>
      </c>
      <c r="AR552" s="147" t="str">
        <f t="shared" si="290"/>
        <v>0.988769581166671+0.0545515320288387i</v>
      </c>
    </row>
    <row r="553" spans="7:44">
      <c r="G553" s="585">
        <v>87096</v>
      </c>
      <c r="H553" s="573">
        <f t="shared" si="282"/>
        <v>87.096000000000004</v>
      </c>
      <c r="I553" s="574">
        <f t="shared" si="262"/>
        <v>758.177833776836</v>
      </c>
      <c r="J553" s="575">
        <f t="shared" si="263"/>
        <v>1.569477374636987</v>
      </c>
      <c r="K553" s="575">
        <f t="shared" si="264"/>
        <v>1.0161754256693969</v>
      </c>
      <c r="L553" s="576">
        <f t="shared" si="265"/>
        <v>0.17866368665004329</v>
      </c>
      <c r="M553" s="575">
        <f t="shared" si="266"/>
        <v>1.6027511100305063</v>
      </c>
      <c r="N553" s="576">
        <f t="shared" si="267"/>
        <v>-0.89703833280245648</v>
      </c>
      <c r="O553" s="574">
        <f t="shared" si="268"/>
        <v>1641720.9206667047</v>
      </c>
      <c r="P553" s="577">
        <f t="shared" si="269"/>
        <v>1.570795717677971</v>
      </c>
      <c r="Q553" s="586">
        <f t="shared" si="291"/>
        <v>306.45620341657855</v>
      </c>
      <c r="R553" s="587">
        <f t="shared" si="292"/>
        <v>1.5675332119892358</v>
      </c>
      <c r="S553" s="574">
        <f t="shared" si="270"/>
        <v>1.9862416088301309</v>
      </c>
      <c r="T553" s="577">
        <f t="shared" si="271"/>
        <v>1.0431936959781167</v>
      </c>
      <c r="U553" s="578">
        <f t="shared" si="283"/>
        <v>4.0573539110733262E-2</v>
      </c>
      <c r="V553" s="579">
        <f t="shared" si="284"/>
        <v>-2.9692470555810728</v>
      </c>
      <c r="W553" s="580">
        <f t="shared" si="272"/>
        <v>-54.443054423861561</v>
      </c>
      <c r="X553" s="581">
        <f t="shared" si="273"/>
        <v>-361.16711377164648</v>
      </c>
      <c r="Y553" s="584">
        <f t="shared" si="274"/>
        <v>-181.16711377164648</v>
      </c>
      <c r="AA553" s="147">
        <f t="shared" si="275"/>
        <v>87096</v>
      </c>
      <c r="AB553" s="147">
        <f t="shared" si="276"/>
        <v>7585713216</v>
      </c>
      <c r="AD553" s="583">
        <f t="shared" si="277"/>
        <v>24.566190281630973</v>
      </c>
      <c r="AE553" s="584">
        <f t="shared" si="278"/>
        <v>-59.957523869313015</v>
      </c>
      <c r="AG553" s="583">
        <f t="shared" si="279"/>
        <v>31.763284958824801</v>
      </c>
      <c r="AH553" s="584">
        <f t="shared" si="280"/>
        <v>39.041059719343643</v>
      </c>
      <c r="AJ553" s="147">
        <f t="shared" si="281"/>
        <v>0</v>
      </c>
      <c r="AK553" s="147">
        <f t="shared" si="293"/>
        <v>0</v>
      </c>
      <c r="AM553" s="147" t="str">
        <f t="shared" si="285"/>
        <v>0.0304488979938889-0.244889078153224i</v>
      </c>
      <c r="AN553" s="147" t="str">
        <f t="shared" si="286"/>
        <v>6.03578002166306i</v>
      </c>
      <c r="AO553" s="147" t="str">
        <f t="shared" si="287"/>
        <v>-0.0405728965062164-0.00504473289029828i</v>
      </c>
      <c r="AP553" s="147" t="str">
        <f t="shared" si="288"/>
        <v>0.161591850334352+0.0408148463588707i</v>
      </c>
      <c r="AQ553" s="147" t="str">
        <f t="shared" si="289"/>
        <v>0.838408149665648-0.0408148463588707i</v>
      </c>
      <c r="AR553" s="147" t="str">
        <f t="shared" si="290"/>
        <v>0.991200481753937+0.0482529844083208i</v>
      </c>
    </row>
    <row r="554" spans="7:44">
      <c r="G554" s="585">
        <v>87603.25</v>
      </c>
      <c r="H554" s="573">
        <f t="shared" si="282"/>
        <v>87.603250000000003</v>
      </c>
      <c r="I554" s="574">
        <f t="shared" si="262"/>
        <v>762.5934790312906</v>
      </c>
      <c r="J554" s="575">
        <f t="shared" si="263"/>
        <v>1.5694850117704597</v>
      </c>
      <c r="K554" s="575">
        <f t="shared" si="264"/>
        <v>1.0163628655399408</v>
      </c>
      <c r="L554" s="576">
        <f t="shared" si="265"/>
        <v>0.17968203991798321</v>
      </c>
      <c r="M554" s="575">
        <f t="shared" si="266"/>
        <v>1.6084582525015589</v>
      </c>
      <c r="N554" s="576">
        <f t="shared" si="267"/>
        <v>-0.89986799032446374</v>
      </c>
      <c r="O554" s="574">
        <f t="shared" si="268"/>
        <v>1651282.357896978</v>
      </c>
      <c r="P554" s="577">
        <f t="shared" si="269"/>
        <v>1.570795721204947</v>
      </c>
      <c r="Q554" s="586">
        <f t="shared" si="291"/>
        <v>308.24099558571447</v>
      </c>
      <c r="R554" s="587">
        <f t="shared" si="292"/>
        <v>1.5675521063035143</v>
      </c>
      <c r="S554" s="574">
        <f t="shared" si="270"/>
        <v>1.9948837049410493</v>
      </c>
      <c r="T554" s="577">
        <f t="shared" si="271"/>
        <v>1.0457161820668499</v>
      </c>
      <c r="U554" s="578">
        <f t="shared" si="283"/>
        <v>3.469620527434529E-2</v>
      </c>
      <c r="V554" s="579">
        <f t="shared" si="284"/>
        <v>-2.9935466138403903</v>
      </c>
      <c r="W554" s="580">
        <f t="shared" si="272"/>
        <v>-55.857947290294945</v>
      </c>
      <c r="X554" s="581">
        <f t="shared" si="273"/>
        <v>-362.80703901487999</v>
      </c>
      <c r="Y554" s="584">
        <f t="shared" si="274"/>
        <v>-182.80703901487999</v>
      </c>
      <c r="AA554" s="147">
        <f t="shared" si="275"/>
        <v>87603.25</v>
      </c>
      <c r="AB554" s="147">
        <f t="shared" si="276"/>
        <v>7674329410.5625</v>
      </c>
      <c r="AD554" s="583">
        <f t="shared" si="277"/>
        <v>24.528479600373498</v>
      </c>
      <c r="AE554" s="584">
        <f t="shared" si="278"/>
        <v>-60.100969313857689</v>
      </c>
      <c r="AG554" s="583">
        <f t="shared" si="279"/>
        <v>33.104539294049182</v>
      </c>
      <c r="AH554" s="584">
        <f t="shared" si="280"/>
        <v>40.329104188418889</v>
      </c>
      <c r="AJ554" s="147">
        <f t="shared" si="281"/>
        <v>0</v>
      </c>
      <c r="AK554" s="147">
        <f t="shared" si="293"/>
        <v>0</v>
      </c>
      <c r="AM554" s="147" t="str">
        <f t="shared" si="285"/>
        <v>0.022441164496274-0.210662581225522i</v>
      </c>
      <c r="AN554" s="147" t="str">
        <f t="shared" si="286"/>
        <v>6.07093260520293i</v>
      </c>
      <c r="AO554" s="147" t="str">
        <f t="shared" si="287"/>
        <v>-0.0347002009287633-0.00369649376061948i</v>
      </c>
      <c r="AP554" s="147" t="str">
        <f t="shared" si="288"/>
        <v>0.162926472583954+0.0351104302042537i</v>
      </c>
      <c r="AQ554" s="147" t="str">
        <f t="shared" si="289"/>
        <v>0.837073527416046-0.0351104302042537i</v>
      </c>
      <c r="AR554" s="147" t="str">
        <f t="shared" si="290"/>
        <v>0.993385923881562+0.0416668381020206i</v>
      </c>
    </row>
    <row r="555" spans="7:44">
      <c r="G555" s="585">
        <v>88110.5</v>
      </c>
      <c r="H555" s="573">
        <f t="shared" si="282"/>
        <v>88.110500000000002</v>
      </c>
      <c r="I555" s="574">
        <f t="shared" si="262"/>
        <v>767.00912432971199</v>
      </c>
      <c r="J555" s="575">
        <f t="shared" si="263"/>
        <v>1.5694925609705006</v>
      </c>
      <c r="K555" s="575">
        <f t="shared" si="264"/>
        <v>1.0165513590335322</v>
      </c>
      <c r="L555" s="576">
        <f t="shared" si="265"/>
        <v>0.1807000165860605</v>
      </c>
      <c r="M555" s="575">
        <f t="shared" si="266"/>
        <v>1.6141781827064314</v>
      </c>
      <c r="N555" s="576">
        <f t="shared" si="267"/>
        <v>-0.90267761611274722</v>
      </c>
      <c r="O555" s="574">
        <f t="shared" si="268"/>
        <v>1660843.7951272512</v>
      </c>
      <c r="P555" s="577">
        <f t="shared" si="269"/>
        <v>1.5707957246913136</v>
      </c>
      <c r="Q555" s="586">
        <f t="shared" si="291"/>
        <v>310.02578786362386</v>
      </c>
      <c r="R555" s="587">
        <f t="shared" si="292"/>
        <v>1.5675707830718562</v>
      </c>
      <c r="S555" s="574">
        <f t="shared" si="270"/>
        <v>2.0035383848194295</v>
      </c>
      <c r="T555" s="577">
        <f t="shared" si="271"/>
        <v>1.0482168911991299</v>
      </c>
      <c r="U555" s="578">
        <f t="shared" si="283"/>
        <v>2.8846313645771612E-2</v>
      </c>
      <c r="V555" s="579">
        <f t="shared" si="284"/>
        <v>-3.0179317513355235</v>
      </c>
      <c r="W555" s="580">
        <f t="shared" si="272"/>
        <v>-57.517087189375083</v>
      </c>
      <c r="X555" s="581">
        <f t="shared" si="273"/>
        <v>-364.44950112715395</v>
      </c>
      <c r="Y555" s="584">
        <f t="shared" si="274"/>
        <v>-184.44950112715395</v>
      </c>
      <c r="AA555" s="147">
        <f t="shared" si="275"/>
        <v>88110.5</v>
      </c>
      <c r="AB555" s="147">
        <f t="shared" si="276"/>
        <v>7763460210.25</v>
      </c>
      <c r="AD555" s="583">
        <f t="shared" si="277"/>
        <v>24.49087738673412</v>
      </c>
      <c r="AE555" s="584">
        <f t="shared" si="278"/>
        <v>-60.243179492842792</v>
      </c>
      <c r="AG555" s="583">
        <f t="shared" si="279"/>
        <v>34.690667900428977</v>
      </c>
      <c r="AH555" s="584">
        <f t="shared" si="280"/>
        <v>41.623183180957753</v>
      </c>
      <c r="AJ555" s="147">
        <f t="shared" si="281"/>
        <v>0</v>
      </c>
      <c r="AK555" s="147">
        <f t="shared" si="293"/>
        <v>0</v>
      </c>
      <c r="AM555" s="147" t="str">
        <f t="shared" si="285"/>
        <v>0.015641280102186-0.176175794481353i</v>
      </c>
      <c r="AN555" s="147" t="str">
        <f t="shared" si="286"/>
        <v>6.1060851887428i</v>
      </c>
      <c r="AO555" s="147" t="str">
        <f t="shared" si="287"/>
        <v>-0.0288524953445051-0.00256158890986688i</v>
      </c>
      <c r="AP555" s="147" t="str">
        <f t="shared" si="288"/>
        <v>0.164059786649636+0.0293626324135588i</v>
      </c>
      <c r="AQ555" s="147" t="str">
        <f t="shared" si="289"/>
        <v>0.835940213350364-0.0293626324135588i</v>
      </c>
      <c r="AR555" s="147" t="str">
        <f t="shared" si="290"/>
        <v>0.995254816228265+0.0349586021344882i</v>
      </c>
    </row>
    <row r="556" spans="7:44">
      <c r="G556" s="585">
        <v>88617.75</v>
      </c>
      <c r="H556" s="573">
        <f t="shared" si="282"/>
        <v>88.617750000000001</v>
      </c>
      <c r="I556" s="574">
        <f t="shared" si="262"/>
        <v>771.42476967134508</v>
      </c>
      <c r="J556" s="575">
        <f t="shared" si="263"/>
        <v>1.5695000237471048</v>
      </c>
      <c r="K556" s="575">
        <f t="shared" si="264"/>
        <v>1.0167409055641783</v>
      </c>
      <c r="L556" s="576">
        <f t="shared" si="265"/>
        <v>0.18171761475450721</v>
      </c>
      <c r="M556" s="575">
        <f t="shared" si="266"/>
        <v>1.6199107651840658</v>
      </c>
      <c r="N556" s="576">
        <f t="shared" si="267"/>
        <v>-0.90546737823974832</v>
      </c>
      <c r="O556" s="574">
        <f t="shared" si="268"/>
        <v>1670405.2323575246</v>
      </c>
      <c r="P556" s="577">
        <f t="shared" si="269"/>
        <v>1.570795728137768</v>
      </c>
      <c r="Q556" s="586">
        <f t="shared" si="291"/>
        <v>311.8105802484389</v>
      </c>
      <c r="R556" s="587">
        <f t="shared" si="292"/>
        <v>1.5675892460299234</v>
      </c>
      <c r="S556" s="574">
        <f t="shared" si="270"/>
        <v>2.0122054860934724</v>
      </c>
      <c r="T556" s="577">
        <f t="shared" si="271"/>
        <v>1.0506960732926722</v>
      </c>
      <c r="U556" s="578">
        <f t="shared" si="283"/>
        <v>2.3029670564559283E-2</v>
      </c>
      <c r="V556" s="579">
        <f t="shared" si="284"/>
        <v>-3.0423889223322398</v>
      </c>
      <c r="W556" s="580">
        <f t="shared" si="272"/>
        <v>-59.528082040531658</v>
      </c>
      <c r="X556" s="581">
        <f t="shared" si="273"/>
        <v>-366.09374792550466</v>
      </c>
      <c r="Y556" s="584">
        <f t="shared" si="274"/>
        <v>-186.09374792550466</v>
      </c>
      <c r="AA556" s="147">
        <f t="shared" si="275"/>
        <v>88617.75</v>
      </c>
      <c r="AB556" s="147">
        <f t="shared" si="276"/>
        <v>7853105615.0625</v>
      </c>
      <c r="AD556" s="583">
        <f t="shared" si="277"/>
        <v>24.453383642060203</v>
      </c>
      <c r="AE556" s="584">
        <f t="shared" si="278"/>
        <v>-60.384168511500995</v>
      </c>
      <c r="AG556" s="583">
        <f t="shared" si="279"/>
        <v>36.629270625250705</v>
      </c>
      <c r="AH556" s="584">
        <f t="shared" si="280"/>
        <v>42.922510758350825</v>
      </c>
      <c r="AJ556" s="147">
        <f t="shared" si="281"/>
        <v>0</v>
      </c>
      <c r="AK556" s="147">
        <f t="shared" si="293"/>
        <v>0</v>
      </c>
      <c r="AM556" s="147" t="str">
        <f t="shared" si="285"/>
        <v>0.010057646591619-0.141471328997349i</v>
      </c>
      <c r="AN556" s="147" t="str">
        <f t="shared" si="286"/>
        <v>6.14123777228267i</v>
      </c>
      <c r="AO556" s="147" t="str">
        <f t="shared" si="287"/>
        <v>-0.023036289139602-0.0016377230396472i</v>
      </c>
      <c r="AP556" s="147" t="str">
        <f t="shared" si="288"/>
        <v>0.16499039223473+0.0235785548328915i</v>
      </c>
      <c r="AQ556" s="147" t="str">
        <f t="shared" si="289"/>
        <v>0.83500960776527-0.0235785548328915i</v>
      </c>
      <c r="AR556" s="147" t="str">
        <f t="shared" si="290"/>
        <v>0.996798510080623+0.0281470633495842i</v>
      </c>
    </row>
    <row r="557" spans="7:44">
      <c r="G557" s="585">
        <v>89125</v>
      </c>
      <c r="H557" s="573">
        <f t="shared" si="282"/>
        <v>89.125</v>
      </c>
      <c r="I557" s="574">
        <f t="shared" si="262"/>
        <v>775.84041505545213</v>
      </c>
      <c r="J557" s="575">
        <f t="shared" si="263"/>
        <v>1.5695074015758919</v>
      </c>
      <c r="K557" s="575">
        <f t="shared" si="264"/>
        <v>1.01693150454305</v>
      </c>
      <c r="L557" s="576">
        <f t="shared" si="265"/>
        <v>0.18273483252810341</v>
      </c>
      <c r="M557" s="575">
        <f t="shared" si="266"/>
        <v>1.6256558660865881</v>
      </c>
      <c r="N557" s="576">
        <f t="shared" si="267"/>
        <v>-0.90823744364663905</v>
      </c>
      <c r="O557" s="574">
        <f t="shared" si="268"/>
        <v>1679966.6695877977</v>
      </c>
      <c r="P557" s="577">
        <f t="shared" si="269"/>
        <v>1.5707957315449919</v>
      </c>
      <c r="Q557" s="586">
        <f t="shared" si="291"/>
        <v>313.59537273833439</v>
      </c>
      <c r="R557" s="587">
        <f t="shared" si="292"/>
        <v>1.5676074988283339</v>
      </c>
      <c r="S557" s="574">
        <f t="shared" si="270"/>
        <v>2.0208848489458235</v>
      </c>
      <c r="T557" s="577">
        <f t="shared" si="271"/>
        <v>1.0531539750395149</v>
      </c>
      <c r="U557" s="578">
        <f t="shared" si="283"/>
        <v>1.7252133970256857E-2</v>
      </c>
      <c r="V557" s="579">
        <f t="shared" si="284"/>
        <v>-3.0669042458678795</v>
      </c>
      <c r="W557" s="580">
        <f t="shared" si="272"/>
        <v>-62.091563203805649</v>
      </c>
      <c r="X557" s="581">
        <f t="shared" si="273"/>
        <v>-367.73900777280159</v>
      </c>
      <c r="Y557" s="584">
        <f t="shared" si="274"/>
        <v>-187.73900777280159</v>
      </c>
      <c r="AA557" s="147">
        <f t="shared" si="275"/>
        <v>89125</v>
      </c>
      <c r="AB557" s="147">
        <f t="shared" si="276"/>
        <v>7943265625</v>
      </c>
      <c r="AD557" s="583">
        <f t="shared" si="277"/>
        <v>24.415998351678262</v>
      </c>
      <c r="AE557" s="584">
        <f t="shared" si="278"/>
        <v>-60.523950295118979</v>
      </c>
      <c r="AG557" s="583">
        <f t="shared" si="279"/>
        <v>39.120970893582943</v>
      </c>
      <c r="AH557" s="584">
        <f t="shared" si="280"/>
        <v>44.226281841861748</v>
      </c>
      <c r="AJ557" s="147">
        <f t="shared" si="281"/>
        <v>0</v>
      </c>
      <c r="AK557" s="147">
        <f t="shared" si="293"/>
        <v>0</v>
      </c>
      <c r="AM557" s="147" t="str">
        <f t="shared" si="285"/>
        <v>0.00569716297308998-0.106592064808962i</v>
      </c>
      <c r="AN557" s="147" t="str">
        <f t="shared" si="286"/>
        <v>6.17639035582254i</v>
      </c>
      <c r="AO557" s="147" t="str">
        <f t="shared" si="287"/>
        <v>-0.0172579870552509-0.000922409796802952i</v>
      </c>
      <c r="AP557" s="147" t="str">
        <f t="shared" si="288"/>
        <v>0.165717139504485+0.017765344134827i</v>
      </c>
      <c r="AQ557" s="147" t="str">
        <f t="shared" si="289"/>
        <v>0.834282860495515-0.017765344134827i</v>
      </c>
      <c r="AR557" s="147" t="str">
        <f t="shared" si="290"/>
        <v>0.998009781123118+0.0212517696948071i</v>
      </c>
    </row>
    <row r="558" spans="7:44">
      <c r="G558" s="585">
        <v>89644</v>
      </c>
      <c r="H558" s="573">
        <f t="shared" si="282"/>
        <v>89.644000000000005</v>
      </c>
      <c r="I558" s="574">
        <f t="shared" si="262"/>
        <v>780.35834502345494</v>
      </c>
      <c r="J558" s="575">
        <f t="shared" si="263"/>
        <v>1.569514863887415</v>
      </c>
      <c r="K558" s="575">
        <f t="shared" si="264"/>
        <v>1.0171276072616127</v>
      </c>
      <c r="L558" s="576">
        <f t="shared" si="265"/>
        <v>0.18377521757042325</v>
      </c>
      <c r="M558" s="575">
        <f t="shared" si="266"/>
        <v>1.6315468660173369</v>
      </c>
      <c r="N558" s="576">
        <f t="shared" si="267"/>
        <v>-0.91105146171633566</v>
      </c>
      <c r="O558" s="574">
        <f t="shared" si="268"/>
        <v>1689749.5890998961</v>
      </c>
      <c r="P558" s="577">
        <f t="shared" si="269"/>
        <v>1.5707957349912314</v>
      </c>
      <c r="Q558" s="586">
        <f t="shared" si="291"/>
        <v>315.42150848299752</v>
      </c>
      <c r="R558" s="587">
        <f t="shared" si="292"/>
        <v>1.5676259606394147</v>
      </c>
      <c r="S558" s="574">
        <f t="shared" si="270"/>
        <v>2.0297777884559949</v>
      </c>
      <c r="T558" s="577">
        <f t="shared" si="271"/>
        <v>1.055647040408112</v>
      </c>
      <c r="U558" s="578">
        <f t="shared" si="283"/>
        <v>1.1387368991453548E-2</v>
      </c>
      <c r="V558" s="579">
        <f t="shared" si="284"/>
        <v>-3.0920328696239876</v>
      </c>
      <c r="W558" s="580">
        <f t="shared" si="272"/>
        <v>-65.755430874646621</v>
      </c>
      <c r="X558" s="581">
        <f t="shared" si="273"/>
        <v>-369.42260564402062</v>
      </c>
      <c r="Y558" s="584">
        <f t="shared" si="274"/>
        <v>-189.42260564402062</v>
      </c>
      <c r="AA558" s="147">
        <f t="shared" si="275"/>
        <v>89644</v>
      </c>
      <c r="AB558" s="147">
        <f t="shared" si="276"/>
        <v>8036046736</v>
      </c>
      <c r="AD558" s="583">
        <f t="shared" si="277"/>
        <v>24.377859284161755</v>
      </c>
      <c r="AE558" s="584">
        <f t="shared" si="278"/>
        <v>-60.665734832549703</v>
      </c>
      <c r="AG558" s="583">
        <f t="shared" si="279"/>
        <v>42.712019426241092</v>
      </c>
      <c r="AH558" s="584">
        <f t="shared" si="280"/>
        <v>45.563996683758099</v>
      </c>
      <c r="AJ558" s="147">
        <f t="shared" si="281"/>
        <v>0</v>
      </c>
      <c r="AK558" s="147">
        <f t="shared" si="293"/>
        <v>0</v>
      </c>
      <c r="AM558" s="147" t="str">
        <f t="shared" si="285"/>
        <v>0.00250726067885099-0.0707688844167445i</v>
      </c>
      <c r="AN558" s="147" t="str">
        <f t="shared" si="286"/>
        <v>6.21235721803485i</v>
      </c>
      <c r="AO558" s="147" t="str">
        <f t="shared" si="287"/>
        <v>-0.0113916315390393-0.000403592483634434i</v>
      </c>
      <c r="AP558" s="147" t="str">
        <f t="shared" si="288"/>
        <v>0.166248789886858+0.0117948140694574i</v>
      </c>
      <c r="AQ558" s="147" t="str">
        <f t="shared" si="289"/>
        <v>0.833751210113142-0.0117948140694574i</v>
      </c>
      <c r="AR558" s="147" t="str">
        <f t="shared" si="290"/>
        <v>0.998899091356245+0.014131108793351i</v>
      </c>
    </row>
    <row r="559" spans="7:44">
      <c r="G559" s="585">
        <v>90163</v>
      </c>
      <c r="H559" s="573">
        <f t="shared" si="282"/>
        <v>90.162999999999997</v>
      </c>
      <c r="I559" s="574">
        <f t="shared" si="262"/>
        <v>784.87627503441252</v>
      </c>
      <c r="J559" s="575">
        <f t="shared" si="263"/>
        <v>1.5695222402893443</v>
      </c>
      <c r="K559" s="575">
        <f t="shared" si="264"/>
        <v>1.0173248104950152</v>
      </c>
      <c r="L559" s="576">
        <f t="shared" si="265"/>
        <v>0.18481520039137503</v>
      </c>
      <c r="M559" s="575">
        <f t="shared" si="266"/>
        <v>1.6374506926533554</v>
      </c>
      <c r="N559" s="576">
        <f t="shared" si="267"/>
        <v>-0.91384520989827189</v>
      </c>
      <c r="O559" s="574">
        <f t="shared" si="268"/>
        <v>1699532.5086119946</v>
      </c>
      <c r="P559" s="577">
        <f t="shared" si="269"/>
        <v>1.5707957383977962</v>
      </c>
      <c r="Q559" s="586">
        <f t="shared" si="291"/>
        <v>317.24764433393079</v>
      </c>
      <c r="R559" s="587">
        <f t="shared" si="292"/>
        <v>1.5676442099113341</v>
      </c>
      <c r="S559" s="574">
        <f t="shared" si="270"/>
        <v>2.0386832336876246</v>
      </c>
      <c r="T559" s="577">
        <f t="shared" si="271"/>
        <v>1.0581183404398418</v>
      </c>
      <c r="U559" s="578">
        <f t="shared" si="283"/>
        <v>5.5759652200523839E-3</v>
      </c>
      <c r="V559" s="579">
        <f t="shared" si="284"/>
        <v>-3.117192166731471</v>
      </c>
      <c r="W559" s="580">
        <f t="shared" si="272"/>
        <v>-72.012608247434997</v>
      </c>
      <c r="X559" s="581">
        <f t="shared" si="273"/>
        <v>-371.10558282650771</v>
      </c>
      <c r="Y559" s="584">
        <f t="shared" si="274"/>
        <v>-191.10558282650771</v>
      </c>
      <c r="AA559" s="147">
        <f t="shared" si="275"/>
        <v>90163</v>
      </c>
      <c r="AB559" s="147">
        <f t="shared" si="276"/>
        <v>8129366569</v>
      </c>
      <c r="AD559" s="583">
        <f t="shared" si="277"/>
        <v>24.339833673535534</v>
      </c>
      <c r="AE559" s="584">
        <f t="shared" si="278"/>
        <v>-60.806284483360571</v>
      </c>
      <c r="AG559" s="583">
        <f t="shared" si="279"/>
        <v>48.897001159046106</v>
      </c>
      <c r="AH559" s="584">
        <f t="shared" si="280"/>
        <v>46.904612234925288</v>
      </c>
      <c r="AJ559" s="147">
        <f t="shared" si="281"/>
        <v>0</v>
      </c>
      <c r="AK559" s="147">
        <f t="shared" si="293"/>
        <v>0</v>
      </c>
      <c r="AM559" s="147" t="str">
        <f t="shared" si="285"/>
        <v>0.000607591033835009-0.0348541661900893i</v>
      </c>
      <c r="AN559" s="147" t="str">
        <f t="shared" si="286"/>
        <v>6.24832408024716i</v>
      </c>
      <c r="AO559" s="147" t="str">
        <f t="shared" si="287"/>
        <v>-0.00557816235881136-0.0000972406402151559i</v>
      </c>
      <c r="AP559" s="147" t="str">
        <f t="shared" si="288"/>
        <v>0.166565401494361+0.00580902769834822i</v>
      </c>
      <c r="AQ559" s="147" t="str">
        <f t="shared" si="289"/>
        <v>0.833434598505639-0.00580902769834822i</v>
      </c>
      <c r="AR559" s="147" t="str">
        <f t="shared" si="290"/>
        <v>0.999429992142442+0.00696601331085262i</v>
      </c>
    </row>
    <row r="560" spans="7:44">
      <c r="G560" s="585">
        <v>90682</v>
      </c>
      <c r="H560" s="573">
        <f t="shared" si="282"/>
        <v>90.682000000000002</v>
      </c>
      <c r="I560" s="574">
        <f t="shared" si="262"/>
        <v>789.39420508758735</v>
      </c>
      <c r="J560" s="575">
        <f t="shared" si="263"/>
        <v>1.5695295322567349</v>
      </c>
      <c r="K560" s="575">
        <f t="shared" si="264"/>
        <v>1.0175231136033946</v>
      </c>
      <c r="L560" s="576">
        <f t="shared" si="265"/>
        <v>0.18585477897585911</v>
      </c>
      <c r="M560" s="575">
        <f t="shared" si="266"/>
        <v>1.6433672077541326</v>
      </c>
      <c r="N560" s="576">
        <f t="shared" si="267"/>
        <v>-0.91661886327542441</v>
      </c>
      <c r="O560" s="574">
        <f t="shared" si="268"/>
        <v>1709315.4281240925</v>
      </c>
      <c r="P560" s="577">
        <f t="shared" si="269"/>
        <v>1.5707957417653675</v>
      </c>
      <c r="Q560" s="586">
        <f t="shared" si="291"/>
        <v>319.07378028930952</v>
      </c>
      <c r="R560" s="587">
        <f t="shared" si="292"/>
        <v>1.5676622502933184</v>
      </c>
      <c r="S560" s="574">
        <f t="shared" si="270"/>
        <v>2.0476010214707228</v>
      </c>
      <c r="T560" s="577">
        <f t="shared" si="271"/>
        <v>1.0605681291300773</v>
      </c>
      <c r="U560" s="578">
        <f t="shared" si="283"/>
        <v>1.7586595170020582E-4</v>
      </c>
      <c r="V560" s="579">
        <f t="shared" si="284"/>
        <v>-7.7394462043622143E-4</v>
      </c>
      <c r="W560" s="580">
        <f t="shared" si="272"/>
        <v>-102.09012025554976</v>
      </c>
      <c r="X560" s="581">
        <f t="shared" si="273"/>
        <v>-192.78707337190747</v>
      </c>
      <c r="Y560" s="584">
        <f t="shared" si="274"/>
        <v>-12.787073371907468</v>
      </c>
      <c r="AA560" s="147">
        <f t="shared" si="275"/>
        <v>90682</v>
      </c>
      <c r="AB560" s="147">
        <f t="shared" si="276"/>
        <v>8223225124</v>
      </c>
      <c r="AD560" s="583">
        <f t="shared" si="277"/>
        <v>24.301921455533538</v>
      </c>
      <c r="AE560" s="584">
        <f t="shared" si="278"/>
        <v>-60.9456135913683</v>
      </c>
      <c r="AG560" s="583">
        <f t="shared" si="279"/>
        <v>78.902932953820255</v>
      </c>
      <c r="AH560" s="584">
        <f t="shared" si="280"/>
        <v>-131.75277225978215</v>
      </c>
      <c r="AJ560" s="147">
        <f t="shared" si="281"/>
        <v>0</v>
      </c>
      <c r="AK560" s="147">
        <f t="shared" si="293"/>
        <v>0</v>
      </c>
      <c r="AM560" s="147" t="str">
        <f t="shared" si="285"/>
        <v>6.1121462402447E-07+0.00110563505462332i</v>
      </c>
      <c r="AN560" s="147" t="str">
        <f t="shared" si="286"/>
        <v>6.28429094245947i</v>
      </c>
      <c r="AO560" s="147" t="str">
        <f t="shared" si="287"/>
        <v>0.000175936325155342-9.72607139963606E-08i</v>
      </c>
      <c r="AP560" s="147" t="str">
        <f t="shared" si="288"/>
        <v>0.166666564797563-0.000184272509103887i</v>
      </c>
      <c r="AQ560" s="147" t="str">
        <f t="shared" si="289"/>
        <v>0.833333435202437+0.000184272509103887i</v>
      </c>
      <c r="AR560" s="147" t="str">
        <f t="shared" si="290"/>
        <v>0.999599828928412-0.000221038495271354i</v>
      </c>
    </row>
    <row r="561" spans="7:44">
      <c r="G561" s="585">
        <v>91201</v>
      </c>
      <c r="H561" s="573">
        <f t="shared" si="282"/>
        <v>91.200999999999993</v>
      </c>
      <c r="I561" s="574">
        <f t="shared" si="262"/>
        <v>793.91213518225879</v>
      </c>
      <c r="J561" s="575">
        <f t="shared" si="263"/>
        <v>1.5695367412310655</v>
      </c>
      <c r="K561" s="575">
        <f t="shared" si="264"/>
        <v>1.0177225159438197</v>
      </c>
      <c r="L561" s="576">
        <f t="shared" si="265"/>
        <v>0.18689395131383704</v>
      </c>
      <c r="M561" s="575">
        <f t="shared" si="266"/>
        <v>1.6492962747678104</v>
      </c>
      <c r="N561" s="576">
        <f t="shared" si="267"/>
        <v>-0.91937259565797591</v>
      </c>
      <c r="O561" s="574">
        <f t="shared" si="268"/>
        <v>1719098.3476361909</v>
      </c>
      <c r="P561" s="577">
        <f t="shared" si="269"/>
        <v>1.5707957450946108</v>
      </c>
      <c r="Q561" s="586">
        <f t="shared" si="291"/>
        <v>320.89991634735065</v>
      </c>
      <c r="R561" s="587">
        <f t="shared" si="292"/>
        <v>1.5676800853515276</v>
      </c>
      <c r="S561" s="574">
        <f t="shared" si="270"/>
        <v>2.0565309912413334</v>
      </c>
      <c r="T561" s="577">
        <f t="shared" si="271"/>
        <v>1.0629966571045151</v>
      </c>
      <c r="U561" s="578">
        <f t="shared" si="283"/>
        <v>5.8620136074618934E-3</v>
      </c>
      <c r="V561" s="579">
        <f t="shared" si="284"/>
        <v>-2.5947895730531124E-2</v>
      </c>
      <c r="W561" s="580">
        <f t="shared" si="272"/>
        <v>-71.687204954880301</v>
      </c>
      <c r="X561" s="581">
        <f t="shared" si="273"/>
        <v>-194.46620734473643</v>
      </c>
      <c r="Y561" s="584">
        <f t="shared" si="274"/>
        <v>-14.466207344736432</v>
      </c>
      <c r="AA561" s="147">
        <f t="shared" si="275"/>
        <v>91201</v>
      </c>
      <c r="AB561" s="147">
        <f t="shared" si="276"/>
        <v>8317622401</v>
      </c>
      <c r="AD561" s="583">
        <f t="shared" si="277"/>
        <v>24.264122550658278</v>
      </c>
      <c r="AE561" s="584">
        <f t="shared" si="278"/>
        <v>-61.083736312079708</v>
      </c>
      <c r="AG561" s="583">
        <f t="shared" si="279"/>
        <v>48.429044933197915</v>
      </c>
      <c r="AH561" s="584">
        <f t="shared" si="280"/>
        <v>-130.40906120404921</v>
      </c>
      <c r="AJ561" s="147">
        <f t="shared" si="281"/>
        <v>0</v>
      </c>
      <c r="AK561" s="147">
        <f t="shared" si="293"/>
        <v>0</v>
      </c>
      <c r="AM561" s="147" t="str">
        <f t="shared" si="285"/>
        <v>0.000687106334881005+0.0370640061872167i</v>
      </c>
      <c r="AN561" s="147" t="str">
        <f t="shared" si="286"/>
        <v>6.32025780467177i</v>
      </c>
      <c r="AO561" s="147" t="str">
        <f t="shared" si="287"/>
        <v>0.00586431872443873-0.000108714922099082i</v>
      </c>
      <c r="AP561" s="147" t="str">
        <f t="shared" si="288"/>
        <v>0.166552148944186-0.00617733436453612i</v>
      </c>
      <c r="AQ561" s="147" t="str">
        <f t="shared" si="289"/>
        <v>0.833447851055814+0.00617733436453612i</v>
      </c>
      <c r="AR561" s="147" t="str">
        <f t="shared" si="290"/>
        <v>0.999407750588121-0.00740739307692846i</v>
      </c>
    </row>
    <row r="562" spans="7:44">
      <c r="G562" s="585">
        <v>91732</v>
      </c>
      <c r="H562" s="573">
        <f t="shared" si="282"/>
        <v>91.731999999999999</v>
      </c>
      <c r="I562" s="574">
        <f t="shared" si="262"/>
        <v>798.53452613057993</v>
      </c>
      <c r="J562" s="575">
        <f t="shared" si="263"/>
        <v>1.5695440324624033</v>
      </c>
      <c r="K562" s="575">
        <f t="shared" si="264"/>
        <v>1.0179276657187686</v>
      </c>
      <c r="L562" s="576">
        <f t="shared" si="265"/>
        <v>0.18795672822233347</v>
      </c>
      <c r="M562" s="575">
        <f t="shared" si="266"/>
        <v>1.6553752799676407</v>
      </c>
      <c r="N562" s="576">
        <f t="shared" si="267"/>
        <v>-0.92216956086173674</v>
      </c>
      <c r="O562" s="574">
        <f t="shared" si="268"/>
        <v>1729107.4618190893</v>
      </c>
      <c r="P562" s="577">
        <f t="shared" si="269"/>
        <v>1.570795748461842</v>
      </c>
      <c r="Q562" s="586">
        <f t="shared" si="291"/>
        <v>322.76827530885464</v>
      </c>
      <c r="R562" s="587">
        <f t="shared" si="292"/>
        <v>1.567698123915896</v>
      </c>
      <c r="S562" s="574">
        <f t="shared" si="270"/>
        <v>2.0656798772699361</v>
      </c>
      <c r="T562" s="577">
        <f t="shared" si="271"/>
        <v>1.0654595901433488</v>
      </c>
      <c r="U562" s="578">
        <f t="shared" si="283"/>
        <v>1.1605427165738265E-2</v>
      </c>
      <c r="V562" s="579">
        <f t="shared" si="284"/>
        <v>-5.1687124246114047E-2</v>
      </c>
      <c r="W562" s="580">
        <f t="shared" si="272"/>
        <v>-65.810193196363386</v>
      </c>
      <c r="X562" s="581">
        <f t="shared" si="273"/>
        <v>-196.18081826321392</v>
      </c>
      <c r="Y562" s="584">
        <f t="shared" si="274"/>
        <v>-16.180818263213922</v>
      </c>
      <c r="AA562" s="147">
        <f t="shared" si="275"/>
        <v>91732</v>
      </c>
      <c r="AB562" s="147">
        <f t="shared" si="276"/>
        <v>8414759824</v>
      </c>
      <c r="AD562" s="583">
        <f t="shared" si="277"/>
        <v>24.2255668577032</v>
      </c>
      <c r="AE562" s="584">
        <f t="shared" si="278"/>
        <v>-61.223818639909609</v>
      </c>
      <c r="AG562" s="583">
        <f t="shared" si="279"/>
        <v>42.480040060153883</v>
      </c>
      <c r="AH562" s="584">
        <f t="shared" si="280"/>
        <v>-129.03409146759515</v>
      </c>
      <c r="AJ562" s="147">
        <f t="shared" si="281"/>
        <v>0</v>
      </c>
      <c r="AK562" s="147">
        <f t="shared" si="293"/>
        <v>0</v>
      </c>
      <c r="AM562" s="147" t="str">
        <f t="shared" si="285"/>
        <v>0.00272721909790596+0.0738037971367604i</v>
      </c>
      <c r="AN562" s="147" t="str">
        <f t="shared" si="286"/>
        <v>6.35705627063465i</v>
      </c>
      <c r="AO562" s="147" t="str">
        <f t="shared" si="287"/>
        <v>0.0116097441952315-0.000429006600193849i</v>
      </c>
      <c r="AP562" s="147" t="str">
        <f t="shared" si="288"/>
        <v>0.166212130150349-0.0123006328561267i</v>
      </c>
      <c r="AQ562" s="147" t="str">
        <f t="shared" si="289"/>
        <v>0.833787869849651+0.0123006328561267i</v>
      </c>
      <c r="AR562" s="147" t="str">
        <f t="shared" si="290"/>
        <v>0.998837682025032-0.01473556530832i</v>
      </c>
    </row>
    <row r="563" spans="7:44">
      <c r="G563" s="585">
        <v>92263</v>
      </c>
      <c r="H563" s="573">
        <f t="shared" si="282"/>
        <v>92.263000000000005</v>
      </c>
      <c r="I563" s="574">
        <f t="shared" si="262"/>
        <v>803.15691712086436</v>
      </c>
      <c r="J563" s="575">
        <f t="shared" si="263"/>
        <v>1.5695512397676212</v>
      </c>
      <c r="K563" s="575">
        <f t="shared" si="264"/>
        <v>1.0181339647735848</v>
      </c>
      <c r="L563" s="576">
        <f t="shared" si="265"/>
        <v>0.18901907564070877</v>
      </c>
      <c r="M563" s="575">
        <f t="shared" si="266"/>
        <v>1.661467140369641</v>
      </c>
      <c r="N563" s="576">
        <f t="shared" si="267"/>
        <v>-0.92494603720083257</v>
      </c>
      <c r="O563" s="574">
        <f t="shared" si="268"/>
        <v>1739116.5760019878</v>
      </c>
      <c r="P563" s="577">
        <f t="shared" si="269"/>
        <v>1.5707957517903146</v>
      </c>
      <c r="Q563" s="586">
        <f t="shared" si="291"/>
        <v>324.63663437417529</v>
      </c>
      <c r="R563" s="587">
        <f t="shared" si="292"/>
        <v>1.5677159548480333</v>
      </c>
      <c r="S563" s="574">
        <f t="shared" si="270"/>
        <v>2.074841183244529</v>
      </c>
      <c r="T563" s="577">
        <f t="shared" si="271"/>
        <v>1.0679007880888272</v>
      </c>
      <c r="U563" s="578">
        <f t="shared" si="283"/>
        <v>1.7267632290823533E-2</v>
      </c>
      <c r="V563" s="579">
        <f t="shared" si="284"/>
        <v>-7.7392875344690859E-2</v>
      </c>
      <c r="W563" s="580">
        <f t="shared" si="272"/>
        <v>-62.413665399039424</v>
      </c>
      <c r="X563" s="581">
        <f t="shared" si="273"/>
        <v>-197.89112350598285</v>
      </c>
      <c r="Y563" s="584">
        <f t="shared" si="274"/>
        <v>-17.891123505982847</v>
      </c>
      <c r="AA563" s="147">
        <f t="shared" si="275"/>
        <v>92263</v>
      </c>
      <c r="AB563" s="147">
        <f t="shared" si="276"/>
        <v>8512461169</v>
      </c>
      <c r="AD563" s="583">
        <f t="shared" si="277"/>
        <v>24.187129563522326</v>
      </c>
      <c r="AE563" s="584">
        <f t="shared" si="278"/>
        <v>-61.362667532851376</v>
      </c>
      <c r="AG563" s="583">
        <f t="shared" si="279"/>
        <v>39.012138688987832</v>
      </c>
      <c r="AH563" s="584">
        <f t="shared" si="280"/>
        <v>-127.65988571973189</v>
      </c>
      <c r="AJ563" s="147">
        <f t="shared" si="281"/>
        <v>0</v>
      </c>
      <c r="AK563" s="147">
        <f t="shared" si="293"/>
        <v>0</v>
      </c>
      <c r="AM563" s="147" t="str">
        <f t="shared" si="285"/>
        <v>0.00611761357546803+0.110443659641814i</v>
      </c>
      <c r="AN563" s="147" t="str">
        <f t="shared" si="286"/>
        <v>6.39385473659754i</v>
      </c>
      <c r="AO563" s="147" t="str">
        <f t="shared" si="287"/>
        <v>0.017273407700311-0.000956795834045409i</v>
      </c>
      <c r="AP563" s="147" t="str">
        <f t="shared" si="288"/>
        <v>0.165647064404089-0.018407276606969i</v>
      </c>
      <c r="AQ563" s="147" t="str">
        <f t="shared" si="289"/>
        <v>0.834352935595911+0.018407276606969i</v>
      </c>
      <c r="AR563" s="147" t="str">
        <f t="shared" si="290"/>
        <v>0.997892766584862-0.0220152496563124i</v>
      </c>
    </row>
    <row r="564" spans="7:44">
      <c r="G564" s="585">
        <v>92794</v>
      </c>
      <c r="H564" s="573">
        <f t="shared" si="282"/>
        <v>92.793999999999997</v>
      </c>
      <c r="I564" s="574">
        <f t="shared" si="262"/>
        <v>807.77930815239142</v>
      </c>
      <c r="J564" s="575">
        <f t="shared" si="263"/>
        <v>1.5695583645874809</v>
      </c>
      <c r="K564" s="575">
        <f t="shared" si="264"/>
        <v>1.0183414124097927</v>
      </c>
      <c r="L564" s="576">
        <f t="shared" si="265"/>
        <v>0.19008099143282498</v>
      </c>
      <c r="M564" s="575">
        <f t="shared" si="266"/>
        <v>1.6675717150885472</v>
      </c>
      <c r="N564" s="576">
        <f t="shared" si="267"/>
        <v>-0.92770220664740266</v>
      </c>
      <c r="O564" s="574">
        <f t="shared" si="268"/>
        <v>1749125.6901848861</v>
      </c>
      <c r="P564" s="577">
        <f t="shared" si="269"/>
        <v>1.5707957550806935</v>
      </c>
      <c r="Q564" s="586">
        <f t="shared" si="291"/>
        <v>326.50499354153038</v>
      </c>
      <c r="R564" s="587">
        <f t="shared" si="292"/>
        <v>1.5677335817123295</v>
      </c>
      <c r="S564" s="574">
        <f t="shared" si="270"/>
        <v>2.0840147453712796</v>
      </c>
      <c r="T564" s="577">
        <f t="shared" si="271"/>
        <v>1.0703205086766321</v>
      </c>
      <c r="U564" s="578">
        <f t="shared" si="283"/>
        <v>2.284266108532897E-2</v>
      </c>
      <c r="V564" s="579">
        <f t="shared" si="284"/>
        <v>-0.10304869149039328</v>
      </c>
      <c r="W564" s="580">
        <f t="shared" si="272"/>
        <v>-60.037927875353787</v>
      </c>
      <c r="X564" s="581">
        <f t="shared" si="273"/>
        <v>-199.59620531985283</v>
      </c>
      <c r="Y564" s="584">
        <f t="shared" si="274"/>
        <v>-19.596205319852828</v>
      </c>
      <c r="AA564" s="147">
        <f t="shared" si="275"/>
        <v>92794</v>
      </c>
      <c r="AB564" s="147">
        <f t="shared" si="276"/>
        <v>8610726436</v>
      </c>
      <c r="AD564" s="583">
        <f t="shared" si="277"/>
        <v>24.148810536984563</v>
      </c>
      <c r="AE564" s="584">
        <f t="shared" si="278"/>
        <v>-61.500297553885375</v>
      </c>
      <c r="AG564" s="583">
        <f t="shared" si="279"/>
        <v>36.565639066840852</v>
      </c>
      <c r="AH564" s="584">
        <f t="shared" si="280"/>
        <v>-126.28739753898384</v>
      </c>
      <c r="AJ564" s="147">
        <f t="shared" si="281"/>
        <v>0</v>
      </c>
      <c r="AK564" s="147">
        <f t="shared" si="293"/>
        <v>0</v>
      </c>
      <c r="AM564" s="147" t="str">
        <f t="shared" si="285"/>
        <v>0.010853699260578+0.146933984270206i</v>
      </c>
      <c r="AN564" s="147" t="str">
        <f t="shared" si="286"/>
        <v>6.43065320256042i</v>
      </c>
      <c r="AO564" s="147" t="str">
        <f t="shared" si="287"/>
        <v>0.0228489983275265-0.00168780665333601i</v>
      </c>
      <c r="AP564" s="147" t="str">
        <f t="shared" si="288"/>
        <v>0.164857716789904-0.0244889973783677i</v>
      </c>
      <c r="AQ564" s="147" t="str">
        <f t="shared" si="289"/>
        <v>0.835142283210096+0.0244889973783677i</v>
      </c>
      <c r="AR564" s="147" t="str">
        <f t="shared" si="290"/>
        <v>0.996577924158472-0.029222797914444i</v>
      </c>
    </row>
    <row r="565" spans="7:44">
      <c r="G565" s="585">
        <v>93325</v>
      </c>
      <c r="H565" s="573">
        <f t="shared" si="282"/>
        <v>93.325000000000003</v>
      </c>
      <c r="I565" s="574">
        <f t="shared" si="262"/>
        <v>812.40169922445705</v>
      </c>
      <c r="J565" s="575">
        <f t="shared" si="263"/>
        <v>1.5695654083299533</v>
      </c>
      <c r="K565" s="575">
        <f t="shared" si="264"/>
        <v>1.0185500079255996</v>
      </c>
      <c r="L565" s="576">
        <f t="shared" si="265"/>
        <v>0.19114247346817337</v>
      </c>
      <c r="M565" s="575">
        <f t="shared" si="266"/>
        <v>1.6736888650026338</v>
      </c>
      <c r="N565" s="576">
        <f t="shared" si="267"/>
        <v>-0.93043824975562728</v>
      </c>
      <c r="O565" s="574">
        <f t="shared" si="268"/>
        <v>1759134.8043677844</v>
      </c>
      <c r="P565" s="577">
        <f t="shared" si="269"/>
        <v>1.5707957583336294</v>
      </c>
      <c r="Q565" s="586">
        <f t="shared" si="291"/>
        <v>328.37335280917824</v>
      </c>
      <c r="R565" s="587">
        <f t="shared" si="292"/>
        <v>1.5677510079920525</v>
      </c>
      <c r="S565" s="574">
        <f t="shared" si="270"/>
        <v>2.0932004025104769</v>
      </c>
      <c r="T565" s="577">
        <f t="shared" si="271"/>
        <v>1.0727190061334149</v>
      </c>
      <c r="U565" s="578">
        <f t="shared" si="283"/>
        <v>2.8324817787995726E-2</v>
      </c>
      <c r="V565" s="579">
        <f t="shared" si="284"/>
        <v>-0.12863837419140789</v>
      </c>
      <c r="W565" s="580">
        <f t="shared" si="272"/>
        <v>-58.223699031401438</v>
      </c>
      <c r="X565" s="581">
        <f t="shared" si="273"/>
        <v>-201.29516051391485</v>
      </c>
      <c r="Y565" s="584">
        <f t="shared" si="274"/>
        <v>-21.295160513914851</v>
      </c>
      <c r="AA565" s="147">
        <f t="shared" si="275"/>
        <v>93325</v>
      </c>
      <c r="AB565" s="147">
        <f t="shared" si="276"/>
        <v>8709555625</v>
      </c>
      <c r="AD565" s="583">
        <f t="shared" si="277"/>
        <v>24.110609632583319</v>
      </c>
      <c r="AE565" s="584">
        <f t="shared" si="278"/>
        <v>-61.636723069586523</v>
      </c>
      <c r="AG565" s="583">
        <f t="shared" si="279"/>
        <v>34.681251673846177</v>
      </c>
      <c r="AH565" s="584">
        <f t="shared" si="280"/>
        <v>-124.91756557829986</v>
      </c>
      <c r="AJ565" s="147">
        <f t="shared" si="281"/>
        <v>0</v>
      </c>
      <c r="AK565" s="147">
        <f t="shared" si="293"/>
        <v>0</v>
      </c>
      <c r="AM565" s="147" t="str">
        <f t="shared" si="285"/>
        <v>0.016929063614941+0.18322536406023i</v>
      </c>
      <c r="AN565" s="147" t="str">
        <f t="shared" si="286"/>
        <v>6.4674516685233i</v>
      </c>
      <c r="AO565" s="147" t="str">
        <f t="shared" si="287"/>
        <v>0.028330380101946-0.0026175786820849i</v>
      </c>
      <c r="AP565" s="147" t="str">
        <f t="shared" si="288"/>
        <v>0.163845156064177-0.030537560676705i</v>
      </c>
      <c r="AQ565" s="147" t="str">
        <f t="shared" si="289"/>
        <v>0.836154843935823+0.030537560676705i</v>
      </c>
      <c r="AR565" s="147" t="str">
        <f t="shared" si="290"/>
        <v>0.994899950611784-0.0363351570936902i</v>
      </c>
    </row>
    <row r="566" spans="7:44">
      <c r="G566" s="585">
        <v>93868.5</v>
      </c>
      <c r="H566" s="573">
        <f t="shared" si="282"/>
        <v>93.868499999999997</v>
      </c>
      <c r="I566" s="574">
        <f t="shared" si="262"/>
        <v>817.13290368694027</v>
      </c>
      <c r="J566" s="575">
        <f t="shared" si="263"/>
        <v>1.5695725353588905</v>
      </c>
      <c r="K566" s="575">
        <f t="shared" si="264"/>
        <v>1.0187647018761643</v>
      </c>
      <c r="L566" s="576">
        <f t="shared" si="265"/>
        <v>0.19222849189944846</v>
      </c>
      <c r="M566" s="575">
        <f t="shared" si="266"/>
        <v>1.6799628949652043</v>
      </c>
      <c r="N566" s="576">
        <f t="shared" si="267"/>
        <v>-0.9332180450217149</v>
      </c>
      <c r="O566" s="574">
        <f t="shared" si="268"/>
        <v>1769379.5379994328</v>
      </c>
      <c r="P566" s="577">
        <f t="shared" si="269"/>
        <v>1.5707957616250285</v>
      </c>
      <c r="Q566" s="586">
        <f t="shared" si="291"/>
        <v>330.28569427089951</v>
      </c>
      <c r="R566" s="587">
        <f t="shared" si="292"/>
        <v>1.5677686403247837</v>
      </c>
      <c r="S566" s="574">
        <f t="shared" si="270"/>
        <v>2.102614654515353</v>
      </c>
      <c r="T566" s="577">
        <f t="shared" si="271"/>
        <v>1.0751522486831333</v>
      </c>
      <c r="U566" s="578">
        <f t="shared" si="283"/>
        <v>3.3834227053126796E-2</v>
      </c>
      <c r="V566" s="579">
        <f t="shared" si="284"/>
        <v>-0.15474541446696391</v>
      </c>
      <c r="W566" s="580">
        <f t="shared" si="272"/>
        <v>-56.735001952624188</v>
      </c>
      <c r="X566" s="581">
        <f t="shared" si="273"/>
        <v>-203.02684281097672</v>
      </c>
      <c r="Y566" s="584">
        <f t="shared" si="274"/>
        <v>-23.026842810976717</v>
      </c>
      <c r="AA566" s="147">
        <f t="shared" si="275"/>
        <v>93868.5</v>
      </c>
      <c r="AB566" s="147">
        <f t="shared" si="276"/>
        <v>8811295292.25</v>
      </c>
      <c r="AD566" s="583">
        <f t="shared" si="277"/>
        <v>24.071631619644691</v>
      </c>
      <c r="AE566" s="584">
        <f t="shared" si="278"/>
        <v>-61.77512752871003</v>
      </c>
      <c r="AG566" s="583">
        <f t="shared" si="279"/>
        <v>33.121361378648764</v>
      </c>
      <c r="AH566" s="584">
        <f t="shared" si="280"/>
        <v>-123.51919696608493</v>
      </c>
      <c r="AJ566" s="147">
        <f t="shared" si="281"/>
        <v>0</v>
      </c>
      <c r="AK566" s="147">
        <f t="shared" si="293"/>
        <v>0</v>
      </c>
      <c r="AM566" s="147" t="str">
        <f t="shared" si="285"/>
        <v>0.024525789129481+0.220113752243104i</v>
      </c>
      <c r="AN566" s="147" t="str">
        <f t="shared" si="286"/>
        <v>6.50511638839303i</v>
      </c>
      <c r="AO566" s="147" t="str">
        <f t="shared" si="287"/>
        <v>0.0338370198319356-0.00377023064079867i</v>
      </c>
      <c r="AP566" s="147" t="str">
        <f t="shared" si="288"/>
        <v>0.162579035145087-0.0366856253738507i</v>
      </c>
      <c r="AQ566" s="147" t="str">
        <f t="shared" si="289"/>
        <v>0.837420964854913+0.0366856253738507i</v>
      </c>
      <c r="AR566" s="147" t="str">
        <f t="shared" si="290"/>
        <v>0.992815396850293-0.0434931238204086i</v>
      </c>
    </row>
    <row r="567" spans="7:44">
      <c r="G567" s="585">
        <v>94412</v>
      </c>
      <c r="H567" s="573">
        <f t="shared" si="282"/>
        <v>94.412000000000006</v>
      </c>
      <c r="I567" s="574">
        <f t="shared" si="262"/>
        <v>821.86410819045147</v>
      </c>
      <c r="J567" s="575">
        <f t="shared" si="263"/>
        <v>1.5695795803318504</v>
      </c>
      <c r="K567" s="575">
        <f t="shared" si="264"/>
        <v>1.0189805968873731</v>
      </c>
      <c r="L567" s="576">
        <f t="shared" si="265"/>
        <v>0.19331405141351357</v>
      </c>
      <c r="M567" s="575">
        <f t="shared" si="266"/>
        <v>1.6862498097818479</v>
      </c>
      <c r="N567" s="576">
        <f t="shared" si="267"/>
        <v>-0.93597713342481736</v>
      </c>
      <c r="O567" s="574">
        <f t="shared" si="268"/>
        <v>1779624.2716310809</v>
      </c>
      <c r="P567" s="577">
        <f t="shared" si="269"/>
        <v>1.5707957648785327</v>
      </c>
      <c r="Q567" s="586">
        <f t="shared" si="291"/>
        <v>332.19803583412414</v>
      </c>
      <c r="R567" s="587">
        <f t="shared" si="292"/>
        <v>1.5677860696518484</v>
      </c>
      <c r="S567" s="574">
        <f t="shared" si="270"/>
        <v>2.1120412443837098</v>
      </c>
      <c r="T567" s="577">
        <f t="shared" si="271"/>
        <v>1.0775637850149877</v>
      </c>
      <c r="U567" s="578">
        <f t="shared" si="283"/>
        <v>3.9235282656149055E-2</v>
      </c>
      <c r="V567" s="579">
        <f t="shared" si="284"/>
        <v>-0.18075000761315649</v>
      </c>
      <c r="W567" s="580">
        <f t="shared" si="272"/>
        <v>-55.503307378152194</v>
      </c>
      <c r="X567" s="581">
        <f t="shared" si="273"/>
        <v>-204.75025845111932</v>
      </c>
      <c r="Y567" s="584">
        <f t="shared" si="274"/>
        <v>-24.750258451119322</v>
      </c>
      <c r="AA567" s="147">
        <f t="shared" si="275"/>
        <v>94412</v>
      </c>
      <c r="AB567" s="147">
        <f t="shared" si="276"/>
        <v>8913625744</v>
      </c>
      <c r="AD567" s="583">
        <f t="shared" si="277"/>
        <v>24.032777003328974</v>
      </c>
      <c r="AE567" s="584">
        <f t="shared" si="278"/>
        <v>-61.912299942355958</v>
      </c>
      <c r="AG567" s="583">
        <f t="shared" si="279"/>
        <v>31.819089519571293</v>
      </c>
      <c r="AH567" s="584">
        <f t="shared" si="280"/>
        <v>-122.12553331871322</v>
      </c>
      <c r="AJ567" s="147">
        <f t="shared" si="281"/>
        <v>0</v>
      </c>
      <c r="AK567" s="147">
        <f t="shared" si="293"/>
        <v>0</v>
      </c>
      <c r="AM567" s="147" t="str">
        <f t="shared" si="285"/>
        <v>0.033506189130534+0.256689917119893i</v>
      </c>
      <c r="AN567" s="147" t="str">
        <f t="shared" si="286"/>
        <v>6.54278110826275i</v>
      </c>
      <c r="AO567" s="147" t="str">
        <f t="shared" si="287"/>
        <v>0.0392325393242522-0.00512109278548532i</v>
      </c>
      <c r="AP567" s="147" t="str">
        <f t="shared" si="288"/>
        <v>0.161082301811578-0.0427816528533155i</v>
      </c>
      <c r="AQ567" s="147" t="str">
        <f t="shared" si="289"/>
        <v>0.838917698188422+0.0427816528533155i</v>
      </c>
      <c r="AR567" s="147" t="str">
        <f t="shared" si="290"/>
        <v>0.990370458187934-0.0505051749770797i</v>
      </c>
    </row>
    <row r="568" spans="7:44">
      <c r="G568" s="585">
        <v>94955.5</v>
      </c>
      <c r="H568" s="573">
        <f t="shared" si="282"/>
        <v>94.955500000000001</v>
      </c>
      <c r="I568" s="574">
        <f t="shared" si="262"/>
        <v>826.59531273428615</v>
      </c>
      <c r="J568" s="575">
        <f t="shared" si="263"/>
        <v>1.5695865446578301</v>
      </c>
      <c r="K568" s="575">
        <f t="shared" si="264"/>
        <v>1.0191976921959696</v>
      </c>
      <c r="L568" s="576">
        <f t="shared" si="265"/>
        <v>0.19439914974428787</v>
      </c>
      <c r="M568" s="575">
        <f t="shared" si="266"/>
        <v>1.6925494658715738</v>
      </c>
      <c r="N568" s="576">
        <f t="shared" si="267"/>
        <v>-0.93871570393484527</v>
      </c>
      <c r="O568" s="574">
        <f t="shared" si="268"/>
        <v>1789869.0052627295</v>
      </c>
      <c r="P568" s="577">
        <f t="shared" si="269"/>
        <v>1.5707957680947924</v>
      </c>
      <c r="Q568" s="586">
        <f t="shared" si="291"/>
        <v>334.11037749710914</v>
      </c>
      <c r="R568" s="587">
        <f t="shared" si="292"/>
        <v>1.5678032994590556</v>
      </c>
      <c r="S568" s="574">
        <f t="shared" si="270"/>
        <v>2.1214800076492679</v>
      </c>
      <c r="T568" s="577">
        <f t="shared" si="271"/>
        <v>1.0799538766142265</v>
      </c>
      <c r="U568" s="578">
        <f t="shared" si="283"/>
        <v>4.4522971355009947E-2</v>
      </c>
      <c r="V568" s="579">
        <f t="shared" si="284"/>
        <v>-0.20663614074006803</v>
      </c>
      <c r="W568" s="580">
        <f t="shared" si="272"/>
        <v>-54.459510701793803</v>
      </c>
      <c r="X568" s="581">
        <f t="shared" si="273"/>
        <v>-206.46451578339264</v>
      </c>
      <c r="Y568" s="584">
        <f t="shared" si="274"/>
        <v>-26.464515783392642</v>
      </c>
      <c r="AA568" s="147">
        <f t="shared" si="275"/>
        <v>94955.5</v>
      </c>
      <c r="AB568" s="147">
        <f t="shared" si="276"/>
        <v>9016546980.25</v>
      </c>
      <c r="AD568" s="583">
        <f t="shared" si="277"/>
        <v>23.994045584309937</v>
      </c>
      <c r="AE568" s="584">
        <f t="shared" si="278"/>
        <v>-62.048255092840684</v>
      </c>
      <c r="AG568" s="583">
        <f t="shared" si="279"/>
        <v>30.705323426231445</v>
      </c>
      <c r="AH568" s="584">
        <f t="shared" si="280"/>
        <v>-120.73750314494066</v>
      </c>
      <c r="AJ568" s="147">
        <f t="shared" si="281"/>
        <v>0</v>
      </c>
      <c r="AK568" s="147">
        <f t="shared" si="293"/>
        <v>0</v>
      </c>
      <c r="AM568" s="147" t="str">
        <f t="shared" si="285"/>
        <v>0.0438575252491959+0.292901976738648i</v>
      </c>
      <c r="AN568" s="147" t="str">
        <f t="shared" si="286"/>
        <v>6.58044582813248i</v>
      </c>
      <c r="AO568" s="147" t="str">
        <f t="shared" si="287"/>
        <v>0.044510962385929-0.00666482581798604i</v>
      </c>
      <c r="AP568" s="147" t="str">
        <f t="shared" si="288"/>
        <v>0.159357079125134-0.048816996123108i</v>
      </c>
      <c r="AQ568" s="147" t="str">
        <f t="shared" si="289"/>
        <v>0.840642920874866+0.048816996123108i</v>
      </c>
      <c r="AR568" s="147" t="str">
        <f t="shared" si="290"/>
        <v>0.987577889774382-0.057349660383995i</v>
      </c>
    </row>
    <row r="569" spans="7:44">
      <c r="G569" s="585">
        <v>95499</v>
      </c>
      <c r="H569" s="573">
        <f t="shared" si="282"/>
        <v>95.498999999999995</v>
      </c>
      <c r="I569" s="574">
        <f t="shared" si="262"/>
        <v>831.32651731775604</v>
      </c>
      <c r="J569" s="575">
        <f t="shared" si="263"/>
        <v>1.5695934297137513</v>
      </c>
      <c r="K569" s="575">
        <f t="shared" si="264"/>
        <v>1.0194159870351058</v>
      </c>
      <c r="L569" s="576">
        <f t="shared" si="265"/>
        <v>0.19548378463195962</v>
      </c>
      <c r="M569" s="575">
        <f t="shared" si="266"/>
        <v>1.6988617214942379</v>
      </c>
      <c r="N569" s="576">
        <f t="shared" si="267"/>
        <v>-0.94143394395273339</v>
      </c>
      <c r="O569" s="574">
        <f t="shared" si="268"/>
        <v>1800113.7388943778</v>
      </c>
      <c r="P569" s="577">
        <f t="shared" si="269"/>
        <v>1.5707957712744434</v>
      </c>
      <c r="Q569" s="586">
        <f t="shared" si="291"/>
        <v>336.02271925815126</v>
      </c>
      <c r="R569" s="587">
        <f t="shared" si="292"/>
        <v>1.5678203331528626</v>
      </c>
      <c r="S569" s="574">
        <f t="shared" si="270"/>
        <v>2.1309307825491808</v>
      </c>
      <c r="T569" s="577">
        <f t="shared" si="271"/>
        <v>1.0823227813163203</v>
      </c>
      <c r="U569" s="578">
        <f t="shared" si="283"/>
        <v>4.9692704477250736E-2</v>
      </c>
      <c r="V569" s="579">
        <f t="shared" si="284"/>
        <v>-0.23238841358388657</v>
      </c>
      <c r="W569" s="580">
        <f t="shared" si="272"/>
        <v>-53.559329794452736</v>
      </c>
      <c r="X569" s="581">
        <f t="shared" si="273"/>
        <v>-208.16875796107311</v>
      </c>
      <c r="Y569" s="584">
        <f t="shared" si="274"/>
        <v>-28.168757961073112</v>
      </c>
      <c r="AA569" s="147">
        <f t="shared" si="275"/>
        <v>95499</v>
      </c>
      <c r="AB569" s="147">
        <f t="shared" si="276"/>
        <v>9120059001</v>
      </c>
      <c r="AD569" s="583">
        <f t="shared" si="277"/>
        <v>23.955437149780835</v>
      </c>
      <c r="AE569" s="584">
        <f t="shared" si="278"/>
        <v>-62.183007557909242</v>
      </c>
      <c r="AG569" s="583">
        <f t="shared" si="279"/>
        <v>29.735773045877728</v>
      </c>
      <c r="AH569" s="584">
        <f t="shared" si="280"/>
        <v>-119.35599976054021</v>
      </c>
      <c r="AJ569" s="147">
        <f t="shared" si="281"/>
        <v>0</v>
      </c>
      <c r="AK569" s="147">
        <f t="shared" si="293"/>
        <v>0</v>
      </c>
      <c r="AM569" s="147" t="str">
        <f t="shared" si="285"/>
        <v>0.055565114493817+0.328698565617381i</v>
      </c>
      <c r="AN569" s="147" t="str">
        <f t="shared" si="286"/>
        <v>6.61811054800221i</v>
      </c>
      <c r="AO569" s="147" t="str">
        <f t="shared" si="287"/>
        <v>0.049666526908742-0.00839591815379848i</v>
      </c>
      <c r="AP569" s="147" t="str">
        <f t="shared" si="288"/>
        <v>0.157405814251031-0.0547830942695635i</v>
      </c>
      <c r="AQ569" s="147" t="str">
        <f t="shared" si="289"/>
        <v>0.842594185748969+0.0547830942695635i</v>
      </c>
      <c r="AR569" s="147" t="str">
        <f t="shared" si="290"/>
        <v>0.984452007212284-0.0640062891806366i</v>
      </c>
    </row>
    <row r="570" spans="7:44">
      <c r="G570" s="585">
        <v>96611.5</v>
      </c>
      <c r="H570" s="573">
        <f t="shared" si="282"/>
        <v>96.611500000000007</v>
      </c>
      <c r="I570" s="574">
        <f t="shared" si="262"/>
        <v>841.01090584536632</v>
      </c>
      <c r="J570" s="575">
        <f t="shared" si="263"/>
        <v>1.5696072812918147</v>
      </c>
      <c r="K570" s="575">
        <f t="shared" si="264"/>
        <v>1.0198665560639202</v>
      </c>
      <c r="L570" s="576">
        <f t="shared" si="265"/>
        <v>0.19770248876879476</v>
      </c>
      <c r="M570" s="575">
        <f t="shared" si="266"/>
        <v>1.711821095631274</v>
      </c>
      <c r="N570" s="576">
        <f t="shared" si="267"/>
        <v>-0.94693534017555692</v>
      </c>
      <c r="O570" s="574">
        <f t="shared" si="268"/>
        <v>1821083.8698331246</v>
      </c>
      <c r="P570" s="577">
        <f t="shared" si="269"/>
        <v>1.5707957776713684</v>
      </c>
      <c r="Q570" s="586">
        <f t="shared" si="291"/>
        <v>339.93712656554362</v>
      </c>
      <c r="R570" s="587">
        <f t="shared" si="292"/>
        <v>1.5678546020930513</v>
      </c>
      <c r="S570" s="574">
        <f t="shared" si="270"/>
        <v>2.1503125355522488</v>
      </c>
      <c r="T570" s="577">
        <f t="shared" si="271"/>
        <v>1.0871067317170247</v>
      </c>
      <c r="U570" s="578">
        <f t="shared" si="283"/>
        <v>5.9889964012080077E-2</v>
      </c>
      <c r="V570" s="579">
        <f t="shared" si="284"/>
        <v>-0.28462266632966943</v>
      </c>
      <c r="W570" s="580">
        <f t="shared" si="272"/>
        <v>-52.047501984420691</v>
      </c>
      <c r="X570" s="581">
        <f t="shared" si="273"/>
        <v>-211.62257530053924</v>
      </c>
      <c r="Y570" s="584">
        <f t="shared" si="274"/>
        <v>-31.622575300539239</v>
      </c>
      <c r="AA570" s="147">
        <f t="shared" si="275"/>
        <v>96611.5</v>
      </c>
      <c r="AB570" s="147">
        <f t="shared" si="276"/>
        <v>9333781932.25</v>
      </c>
      <c r="AD570" s="583">
        <f t="shared" si="277"/>
        <v>23.876791396445292</v>
      </c>
      <c r="AE570" s="584">
        <f t="shared" si="278"/>
        <v>-62.455144626456089</v>
      </c>
      <c r="AG570" s="583">
        <f t="shared" si="279"/>
        <v>28.083789862377881</v>
      </c>
      <c r="AH570" s="584">
        <f t="shared" si="280"/>
        <v>-116.55207556791403</v>
      </c>
      <c r="AJ570" s="147">
        <f t="shared" si="281"/>
        <v>0</v>
      </c>
      <c r="AK570" s="147">
        <f t="shared" si="293"/>
        <v>0</v>
      </c>
      <c r="AM570" s="147" t="str">
        <f t="shared" si="285"/>
        <v>0.083686974849719+0.400462782215702i</v>
      </c>
      <c r="AN570" s="147" t="str">
        <f t="shared" si="286"/>
        <v>6.69520714571164i</v>
      </c>
      <c r="AO570" s="147" t="str">
        <f t="shared" si="287"/>
        <v>0.0598133520741331-0.0124995348207145i</v>
      </c>
      <c r="AP570" s="147" t="str">
        <f t="shared" si="288"/>
        <v>0.152718837525047-0.0667437970359503i</v>
      </c>
      <c r="AQ570" s="147" t="str">
        <f t="shared" si="289"/>
        <v>0.847281162474953+0.0667437970359503i</v>
      </c>
      <c r="AR570" s="147" t="str">
        <f t="shared" si="290"/>
        <v>0.977081579267808-0.0769687059059857i</v>
      </c>
    </row>
    <row r="571" spans="7:44">
      <c r="G571" s="585">
        <v>97724</v>
      </c>
      <c r="H571" s="573">
        <f t="shared" si="282"/>
        <v>97.724000000000004</v>
      </c>
      <c r="I571" s="574">
        <f t="shared" si="262"/>
        <v>850.69529453066434</v>
      </c>
      <c r="J571" s="575">
        <f t="shared" si="263"/>
        <v>1.5696208174947595</v>
      </c>
      <c r="K571" s="575">
        <f t="shared" si="264"/>
        <v>1.0203221410884309</v>
      </c>
      <c r="L571" s="576">
        <f t="shared" si="265"/>
        <v>0.19991922245829727</v>
      </c>
      <c r="M571" s="575">
        <f t="shared" si="266"/>
        <v>1.724831499220868</v>
      </c>
      <c r="N571" s="576">
        <f t="shared" si="267"/>
        <v>-0.95235390428050537</v>
      </c>
      <c r="O571" s="574">
        <f t="shared" si="268"/>
        <v>1842054.0007718715</v>
      </c>
      <c r="P571" s="577">
        <f t="shared" si="269"/>
        <v>1.5707957839226467</v>
      </c>
      <c r="Q571" s="586">
        <f t="shared" si="291"/>
        <v>343.8515342630555</v>
      </c>
      <c r="R571" s="587">
        <f t="shared" si="292"/>
        <v>1.5678880907976833</v>
      </c>
      <c r="S571" s="574">
        <f t="shared" si="270"/>
        <v>2.1697426211438526</v>
      </c>
      <c r="T571" s="577">
        <f t="shared" si="271"/>
        <v>1.0918051073183603</v>
      </c>
      <c r="U571" s="578">
        <f t="shared" si="283"/>
        <v>6.9546658540358089E-2</v>
      </c>
      <c r="V571" s="579">
        <f t="shared" si="284"/>
        <v>-0.33611893486284322</v>
      </c>
      <c r="W571" s="580">
        <f t="shared" si="272"/>
        <v>-50.856994009951379</v>
      </c>
      <c r="X571" s="581">
        <f t="shared" si="273"/>
        <v>-215.02459977812975</v>
      </c>
      <c r="Y571" s="584">
        <f t="shared" si="274"/>
        <v>-35.024599778129755</v>
      </c>
      <c r="AA571" s="147">
        <f t="shared" si="275"/>
        <v>97724</v>
      </c>
      <c r="AB571" s="147">
        <f t="shared" si="276"/>
        <v>9549980176</v>
      </c>
      <c r="AD571" s="583">
        <f t="shared" si="277"/>
        <v>23.798657877876433</v>
      </c>
      <c r="AE571" s="584">
        <f t="shared" si="278"/>
        <v>-62.722423316020382</v>
      </c>
      <c r="AG571" s="583">
        <f t="shared" si="279"/>
        <v>26.755542696624786</v>
      </c>
      <c r="AH571" s="584">
        <f t="shared" si="280"/>
        <v>-113.78578365395092</v>
      </c>
      <c r="AJ571" s="147">
        <f t="shared" si="281"/>
        <v>0</v>
      </c>
      <c r="AK571" s="147">
        <f t="shared" si="293"/>
        <v>0</v>
      </c>
      <c r="AM571" s="147" t="str">
        <f t="shared" si="285"/>
        <v>0.117252597571305+0.46984787272626i</v>
      </c>
      <c r="AN571" s="147" t="str">
        <f t="shared" si="286"/>
        <v>6.77230374342106i</v>
      </c>
      <c r="AO571" s="147" t="str">
        <f t="shared" si="287"/>
        <v>0.069377849920375-0.0173135467654134i</v>
      </c>
      <c r="AP571" s="147" t="str">
        <f t="shared" si="288"/>
        <v>0.147124567071449-0.07830797878771i</v>
      </c>
      <c r="AQ571" s="147" t="str">
        <f t="shared" si="289"/>
        <v>0.852875432928551+0.07830797878771i</v>
      </c>
      <c r="AR571" s="147" t="str">
        <f t="shared" si="290"/>
        <v>0.96853100665434-0.0889270608533066i</v>
      </c>
    </row>
    <row r="572" spans="7:44">
      <c r="G572" s="585">
        <v>98862</v>
      </c>
      <c r="H572" s="573">
        <f t="shared" si="282"/>
        <v>98.861999999999995</v>
      </c>
      <c r="I572" s="574">
        <f t="shared" si="262"/>
        <v>860.60166261983284</v>
      </c>
      <c r="J572" s="575">
        <f t="shared" si="263"/>
        <v>1.5696343487643314</v>
      </c>
      <c r="K572" s="575">
        <f t="shared" si="264"/>
        <v>1.0207933515072249</v>
      </c>
      <c r="L572" s="576">
        <f t="shared" si="265"/>
        <v>0.20218470801381569</v>
      </c>
      <c r="M572" s="575">
        <f t="shared" si="266"/>
        <v>1.7381917215035334</v>
      </c>
      <c r="N572" s="576">
        <f t="shared" si="267"/>
        <v>-0.9578125786354561</v>
      </c>
      <c r="O572" s="574">
        <f t="shared" si="268"/>
        <v>1863504.7953860683</v>
      </c>
      <c r="P572" s="577">
        <f t="shared" si="269"/>
        <v>1.5707957901716465</v>
      </c>
      <c r="Q572" s="586">
        <f t="shared" si="291"/>
        <v>347.85566585275211</v>
      </c>
      <c r="R572" s="587">
        <f t="shared" si="292"/>
        <v>1.5679215673025551</v>
      </c>
      <c r="S572" s="574">
        <f t="shared" si="270"/>
        <v>2.1896667361444337</v>
      </c>
      <c r="T572" s="577">
        <f t="shared" si="271"/>
        <v>1.0965247982002131</v>
      </c>
      <c r="U572" s="578">
        <f t="shared" si="283"/>
        <v>7.8843302585938163E-2</v>
      </c>
      <c r="V572" s="579">
        <f t="shared" si="284"/>
        <v>-0.3879260441477953</v>
      </c>
      <c r="W572" s="580">
        <f t="shared" si="272"/>
        <v>-49.87615260404656</v>
      </c>
      <c r="X572" s="581">
        <f t="shared" si="273"/>
        <v>-218.44516068260879</v>
      </c>
      <c r="Y572" s="584">
        <f t="shared" si="274"/>
        <v>-38.445160682608787</v>
      </c>
      <c r="AA572" s="147">
        <f t="shared" si="275"/>
        <v>98862</v>
      </c>
      <c r="AB572" s="147">
        <f t="shared" si="276"/>
        <v>9773695044</v>
      </c>
      <c r="AD572" s="583">
        <f t="shared" si="277"/>
        <v>23.719261020428867</v>
      </c>
      <c r="AE572" s="584">
        <f t="shared" si="278"/>
        <v>-62.990923980063052</v>
      </c>
      <c r="AG572" s="583">
        <f t="shared" si="279"/>
        <v>25.636239395310039</v>
      </c>
      <c r="AH572" s="584">
        <f t="shared" si="280"/>
        <v>-111.00118646600211</v>
      </c>
      <c r="AJ572" s="147">
        <f t="shared" si="281"/>
        <v>0</v>
      </c>
      <c r="AK572" s="147">
        <f t="shared" si="293"/>
        <v>0</v>
      </c>
      <c r="AM572" s="147" t="str">
        <f t="shared" si="285"/>
        <v>0.157011865589083+0.537932156728338i</v>
      </c>
      <c r="AN572" s="147" t="str">
        <f t="shared" si="286"/>
        <v>6.85116749910046i</v>
      </c>
      <c r="AO572" s="147" t="str">
        <f t="shared" si="287"/>
        <v>0.0785168596153819-0.0229175342172992i</v>
      </c>
      <c r="AP572" s="147" t="str">
        <f t="shared" si="288"/>
        <v>0.140498022401819-0.089655359454723i</v>
      </c>
      <c r="AQ572" s="147" t="str">
        <f t="shared" si="289"/>
        <v>0.859501977598181+0.089655359454723i</v>
      </c>
      <c r="AR572" s="147" t="str">
        <f t="shared" si="290"/>
        <v>0.958734146439115-0.100006348747112i</v>
      </c>
    </row>
    <row r="573" spans="7:44">
      <c r="G573" s="585">
        <v>100000</v>
      </c>
      <c r="H573" s="573">
        <f t="shared" si="282"/>
        <v>100</v>
      </c>
      <c r="I573" s="574">
        <f t="shared" si="262"/>
        <v>870.5080308629872</v>
      </c>
      <c r="J573" s="575">
        <f t="shared" si="263"/>
        <v>1.5696475720626188</v>
      </c>
      <c r="K573" s="575">
        <f t="shared" si="264"/>
        <v>1.0212697962208097</v>
      </c>
      <c r="L573" s="576">
        <f t="shared" si="265"/>
        <v>0.20444809137979533</v>
      </c>
      <c r="M573" s="575">
        <f t="shared" si="266"/>
        <v>1.7516029459148774</v>
      </c>
      <c r="N573" s="576">
        <f t="shared" si="267"/>
        <v>-0.96318782196612862</v>
      </c>
      <c r="O573" s="574">
        <f t="shared" si="268"/>
        <v>1884955.5900002653</v>
      </c>
      <c r="P573" s="577">
        <f t="shared" si="269"/>
        <v>1.5707957962784191</v>
      </c>
      <c r="Q573" s="586">
        <f t="shared" si="291"/>
        <v>351.85979782340979</v>
      </c>
      <c r="R573" s="587">
        <f t="shared" si="292"/>
        <v>1.5679542818884014</v>
      </c>
      <c r="S573" s="574">
        <f t="shared" si="270"/>
        <v>2.2096387467844183</v>
      </c>
      <c r="T573" s="577">
        <f t="shared" si="271"/>
        <v>1.1011592721020536</v>
      </c>
      <c r="U573" s="578">
        <f t="shared" si="283"/>
        <v>8.7538174851294628E-2</v>
      </c>
      <c r="V573" s="579">
        <f t="shared" si="284"/>
        <v>-0.43876252229192064</v>
      </c>
      <c r="W573" s="580">
        <f t="shared" si="272"/>
        <v>-49.074964066311423</v>
      </c>
      <c r="X573" s="581">
        <f t="shared" si="273"/>
        <v>-221.80059214803993</v>
      </c>
      <c r="Y573" s="584">
        <f t="shared" si="274"/>
        <v>-41.800592148039925</v>
      </c>
      <c r="AA573" s="147">
        <f t="shared" si="275"/>
        <v>100000</v>
      </c>
      <c r="AB573" s="147">
        <f t="shared" si="276"/>
        <v>10000000000</v>
      </c>
      <c r="AD573" s="583">
        <f t="shared" si="277"/>
        <v>23.64039509063619</v>
      </c>
      <c r="AE573" s="584">
        <f t="shared" si="278"/>
        <v>-63.254585717398079</v>
      </c>
      <c r="AG573" s="583">
        <f t="shared" si="279"/>
        <v>24.698986673278561</v>
      </c>
      <c r="AH573" s="584">
        <f t="shared" si="280"/>
        <v>-108.26752490150676</v>
      </c>
      <c r="AJ573" s="147">
        <f t="shared" si="281"/>
        <v>0</v>
      </c>
      <c r="AK573" s="147">
        <f t="shared" si="293"/>
        <v>0</v>
      </c>
      <c r="AM573" s="147" t="str">
        <f t="shared" si="285"/>
        <v>0.202011374716487+0.602672509675138i</v>
      </c>
      <c r="AN573" s="147" t="str">
        <f t="shared" si="286"/>
        <v>6.93003125477985i</v>
      </c>
      <c r="AO573" s="147" t="str">
        <f t="shared" si="287"/>
        <v>0.0869653378921569-0.029150139052714i</v>
      </c>
      <c r="AP573" s="147" t="str">
        <f t="shared" si="288"/>
        <v>0.132998104213919-0.10044541827919i</v>
      </c>
      <c r="AQ573" s="147" t="str">
        <f t="shared" si="289"/>
        <v>0.867001895786081+0.10044541827919i</v>
      </c>
      <c r="AR573" s="147" t="str">
        <f t="shared" si="290"/>
        <v>0.948057301788096-0.109835990778781i</v>
      </c>
    </row>
    <row r="574" spans="7:44">
      <c r="G574" s="585">
        <v>101165</v>
      </c>
      <c r="H574" s="573">
        <f t="shared" si="282"/>
        <v>101.16500000000001</v>
      </c>
      <c r="I574" s="574">
        <f t="shared" si="262"/>
        <v>880.64943611660942</v>
      </c>
      <c r="J574" s="575">
        <f t="shared" si="263"/>
        <v>1.569660800927404</v>
      </c>
      <c r="K574" s="575">
        <f t="shared" si="264"/>
        <v>1.021762959387666</v>
      </c>
      <c r="L574" s="576">
        <f t="shared" si="265"/>
        <v>0.20676297668626006</v>
      </c>
      <c r="M574" s="575">
        <f t="shared" si="266"/>
        <v>1.7653839808084979</v>
      </c>
      <c r="N574" s="576">
        <f t="shared" si="267"/>
        <v>-0.9686058384430638</v>
      </c>
      <c r="O574" s="574">
        <f t="shared" si="268"/>
        <v>1906915.3226237623</v>
      </c>
      <c r="P574" s="577">
        <f t="shared" si="269"/>
        <v>1.5707958023877622</v>
      </c>
      <c r="Q574" s="586">
        <f t="shared" si="291"/>
        <v>355.95893154891587</v>
      </c>
      <c r="R574" s="587">
        <f t="shared" si="292"/>
        <v>1.5679870102509168</v>
      </c>
      <c r="S574" s="574">
        <f t="shared" si="270"/>
        <v>2.2301328802057108</v>
      </c>
      <c r="T574" s="577">
        <f t="shared" si="271"/>
        <v>1.1058176144291776</v>
      </c>
      <c r="U574" s="578">
        <f t="shared" si="283"/>
        <v>9.5810276251411308E-2</v>
      </c>
      <c r="V574" s="579">
        <f t="shared" si="284"/>
        <v>-0.48972197482044111</v>
      </c>
      <c r="W574" s="580">
        <f t="shared" si="272"/>
        <v>-48.399204011121057</v>
      </c>
      <c r="X574" s="581">
        <f t="shared" si="273"/>
        <v>-225.16393649339639</v>
      </c>
      <c r="Y574" s="584">
        <f t="shared" si="274"/>
        <v>-45.163936493396392</v>
      </c>
      <c r="AA574" s="147">
        <f t="shared" si="275"/>
        <v>101165</v>
      </c>
      <c r="AB574" s="147">
        <f t="shared" si="276"/>
        <v>10234357225</v>
      </c>
      <c r="AD574" s="583">
        <f t="shared" si="277"/>
        <v>23.560205007181416</v>
      </c>
      <c r="AE574" s="584">
        <f t="shared" si="278"/>
        <v>-63.519614225569349</v>
      </c>
      <c r="AG574" s="583">
        <f t="shared" si="279"/>
        <v>23.88635261454235</v>
      </c>
      <c r="AH574" s="584">
        <f t="shared" si="280"/>
        <v>-105.52631761965637</v>
      </c>
      <c r="AJ574" s="147">
        <f t="shared" si="281"/>
        <v>0</v>
      </c>
      <c r="AK574" s="147">
        <f t="shared" si="293"/>
        <v>0</v>
      </c>
      <c r="AM574" s="147" t="str">
        <f t="shared" si="285"/>
        <v>0.253214496577502+0.665064968163266i</v>
      </c>
      <c r="AN574" s="147" t="str">
        <f t="shared" si="286"/>
        <v>7.01076611889804i</v>
      </c>
      <c r="AO574" s="147" t="str">
        <f t="shared" si="287"/>
        <v>0.094863379676942-0.0361179494912751i</v>
      </c>
      <c r="AP574" s="147" t="str">
        <f t="shared" si="288"/>
        <v>0.124464250570416-0.110844161360544i</v>
      </c>
      <c r="AQ574" s="147" t="str">
        <f t="shared" si="289"/>
        <v>0.875535749429584+0.110844161360544i</v>
      </c>
      <c r="AR574" s="147" t="str">
        <f t="shared" si="290"/>
        <v>0.936408752183782-0.118550776360769i</v>
      </c>
    </row>
    <row r="575" spans="7:44">
      <c r="G575" s="585">
        <v>102330</v>
      </c>
      <c r="H575" s="573">
        <f t="shared" si="282"/>
        <v>102.33</v>
      </c>
      <c r="I575" s="574">
        <f t="shared" si="262"/>
        <v>890.79084152083874</v>
      </c>
      <c r="J575" s="575">
        <f t="shared" si="263"/>
        <v>1.5696737285783158</v>
      </c>
      <c r="K575" s="575">
        <f t="shared" si="264"/>
        <v>1.022261592569595</v>
      </c>
      <c r="L575" s="576">
        <f t="shared" si="265"/>
        <v>0.20907561609118006</v>
      </c>
      <c r="M575" s="575">
        <f t="shared" si="266"/>
        <v>1.7792160347056201</v>
      </c>
      <c r="N575" s="576">
        <f t="shared" si="267"/>
        <v>-0.97393976754828415</v>
      </c>
      <c r="O575" s="574">
        <f t="shared" si="268"/>
        <v>1928875.0552472593</v>
      </c>
      <c r="P575" s="577">
        <f t="shared" si="269"/>
        <v>1.5707958083579987</v>
      </c>
      <c r="Q575" s="586">
        <f t="shared" si="291"/>
        <v>360.05806564702425</v>
      </c>
      <c r="R575" s="587">
        <f t="shared" si="292"/>
        <v>1.5680189934117355</v>
      </c>
      <c r="S575" s="574">
        <f t="shared" si="270"/>
        <v>2.2506745259124594</v>
      </c>
      <c r="T575" s="577">
        <f t="shared" si="271"/>
        <v>1.1103910221956679</v>
      </c>
      <c r="U575" s="578">
        <f t="shared" si="283"/>
        <v>0.10344838490353042</v>
      </c>
      <c r="V575" s="579">
        <f t="shared" si="284"/>
        <v>-0.53952499490371597</v>
      </c>
      <c r="W575" s="580">
        <f t="shared" si="272"/>
        <v>-47.840037235643237</v>
      </c>
      <c r="X575" s="581">
        <f t="shared" si="273"/>
        <v>-228.45149200823093</v>
      </c>
      <c r="Y575" s="584">
        <f t="shared" si="274"/>
        <v>-48.451492008230929</v>
      </c>
      <c r="AA575" s="147">
        <f t="shared" si="275"/>
        <v>102330</v>
      </c>
      <c r="AB575" s="147">
        <f t="shared" si="276"/>
        <v>10471428900</v>
      </c>
      <c r="AD575" s="583">
        <f t="shared" si="277"/>
        <v>23.480565138779085</v>
      </c>
      <c r="AE575" s="584">
        <f t="shared" si="278"/>
        <v>-63.779819030817883</v>
      </c>
      <c r="AG575" s="583">
        <f t="shared" si="279"/>
        <v>23.192694369633237</v>
      </c>
      <c r="AH575" s="584">
        <f t="shared" si="280"/>
        <v>-102.8466626071673</v>
      </c>
      <c r="AJ575" s="147">
        <f t="shared" si="281"/>
        <v>0</v>
      </c>
      <c r="AK575" s="147">
        <f t="shared" si="293"/>
        <v>0</v>
      </c>
      <c r="AM575" s="147" t="str">
        <f t="shared" si="285"/>
        <v>0.30928261127139+0.723124808665787i</v>
      </c>
      <c r="AN575" s="147" t="str">
        <f t="shared" si="286"/>
        <v>7.09150098301622i</v>
      </c>
      <c r="AO575" s="147" t="str">
        <f t="shared" si="287"/>
        <v>0.101970627995065-0.0436131380383512i</v>
      </c>
      <c r="AP575" s="147" t="str">
        <f t="shared" si="288"/>
        <v>0.115119564788102-0.120520801444298i</v>
      </c>
      <c r="AQ575" s="147" t="str">
        <f t="shared" si="289"/>
        <v>0.884880435211898+0.120520801444298i</v>
      </c>
      <c r="AR575" s="147" t="str">
        <f t="shared" si="290"/>
        <v>0.924225307693441-0.125879576907634i</v>
      </c>
    </row>
    <row r="576" spans="7:44">
      <c r="G576" s="585">
        <v>103520</v>
      </c>
      <c r="H576" s="573">
        <f t="shared" si="282"/>
        <v>103.52</v>
      </c>
      <c r="I576" s="574">
        <f t="shared" si="262"/>
        <v>901.14987380068294</v>
      </c>
      <c r="J576" s="575">
        <f t="shared" si="263"/>
        <v>1.5696866332419042</v>
      </c>
      <c r="K576" s="575">
        <f t="shared" si="264"/>
        <v>1.0227765650630756</v>
      </c>
      <c r="L576" s="576">
        <f t="shared" si="265"/>
        <v>0.21143554195282882</v>
      </c>
      <c r="M576" s="575">
        <f t="shared" si="266"/>
        <v>1.7933963592810083</v>
      </c>
      <c r="N576" s="576">
        <f t="shared" si="267"/>
        <v>-0.97930305649913285</v>
      </c>
      <c r="O576" s="574">
        <f t="shared" si="268"/>
        <v>1951306.0267682564</v>
      </c>
      <c r="P576" s="577">
        <f t="shared" si="269"/>
        <v>1.5707958143176193</v>
      </c>
      <c r="Q576" s="586">
        <f t="shared" si="291"/>
        <v>364.24516436776651</v>
      </c>
      <c r="R576" s="587">
        <f t="shared" si="292"/>
        <v>1.5680509197063857</v>
      </c>
      <c r="S576" s="574">
        <f t="shared" si="270"/>
        <v>2.2717046918646462</v>
      </c>
      <c r="T576" s="577">
        <f t="shared" si="271"/>
        <v>1.1149770832813621</v>
      </c>
      <c r="U576" s="578">
        <f t="shared" si="283"/>
        <v>0.1106060858094574</v>
      </c>
      <c r="V576" s="579">
        <f t="shared" si="284"/>
        <v>-0.58915833976307241</v>
      </c>
      <c r="W576" s="580">
        <f t="shared" si="272"/>
        <v>-47.36681458983297</v>
      </c>
      <c r="X576" s="581">
        <f t="shared" si="273"/>
        <v>-231.72902565197231</v>
      </c>
      <c r="Y576" s="584">
        <f t="shared" si="274"/>
        <v>-51.729025651972307</v>
      </c>
      <c r="AA576" s="147">
        <f t="shared" si="275"/>
        <v>103520</v>
      </c>
      <c r="AB576" s="147">
        <f t="shared" si="276"/>
        <v>10716390400</v>
      </c>
      <c r="AD576" s="583">
        <f t="shared" si="277"/>
        <v>23.399780781711847</v>
      </c>
      <c r="AE576" s="584">
        <f t="shared" si="278"/>
        <v>-64.040752075437666</v>
      </c>
      <c r="AG576" s="583">
        <f t="shared" si="279"/>
        <v>22.584489014770035</v>
      </c>
      <c r="AH576" s="584">
        <f t="shared" si="280"/>
        <v>-100.17570083267302</v>
      </c>
      <c r="AJ576" s="147">
        <f t="shared" si="281"/>
        <v>0</v>
      </c>
      <c r="AK576" s="147">
        <f t="shared" si="293"/>
        <v>0</v>
      </c>
      <c r="AM576" s="147" t="str">
        <f t="shared" si="285"/>
        <v>0.371196650628323+0.777564368923217i</v>
      </c>
      <c r="AN576" s="147" t="str">
        <f t="shared" si="286"/>
        <v>7.1739683549481i</v>
      </c>
      <c r="AO576" s="147" t="str">
        <f t="shared" si="287"/>
        <v>0.10838692484431-0.0517421644845001i</v>
      </c>
      <c r="AP576" s="147" t="str">
        <f t="shared" si="288"/>
        <v>0.104800558228613-0.129594061487203i</v>
      </c>
      <c r="AQ576" s="147" t="str">
        <f t="shared" si="289"/>
        <v>0.895199441771387+0.129594061487203i</v>
      </c>
      <c r="AR576" s="147" t="str">
        <f t="shared" si="290"/>
        <v>0.911418242842555-0.1319419855421i</v>
      </c>
    </row>
    <row r="577" spans="7:44">
      <c r="G577" s="585">
        <v>104710</v>
      </c>
      <c r="H577" s="573">
        <f t="shared" si="282"/>
        <v>104.71</v>
      </c>
      <c r="I577" s="574">
        <f t="shared" si="262"/>
        <v>911.50890622718509</v>
      </c>
      <c r="J577" s="575">
        <f t="shared" si="263"/>
        <v>1.5696992445900311</v>
      </c>
      <c r="K577" s="575">
        <f t="shared" si="264"/>
        <v>1.023297227903418</v>
      </c>
      <c r="L577" s="576">
        <f t="shared" si="265"/>
        <v>0.21379307943007556</v>
      </c>
      <c r="M577" s="575">
        <f t="shared" si="266"/>
        <v>1.8076274604411915</v>
      </c>
      <c r="N577" s="576">
        <f t="shared" si="267"/>
        <v>-0.98458204704455166</v>
      </c>
      <c r="O577" s="574">
        <f t="shared" si="268"/>
        <v>1973736.9982892536</v>
      </c>
      <c r="P577" s="577">
        <f t="shared" si="269"/>
        <v>1.5707958201417809</v>
      </c>
      <c r="Q577" s="586">
        <f t="shared" si="291"/>
        <v>368.43226345134082</v>
      </c>
      <c r="R577" s="587">
        <f t="shared" si="292"/>
        <v>1.5680821203395421</v>
      </c>
      <c r="S577" s="574">
        <f t="shared" si="270"/>
        <v>2.2927817591517301</v>
      </c>
      <c r="T577" s="577">
        <f t="shared" si="271"/>
        <v>1.1194789201883875</v>
      </c>
      <c r="U577" s="578">
        <f t="shared" si="283"/>
        <v>0.11712967084869733</v>
      </c>
      <c r="V577" s="579">
        <f t="shared" si="284"/>
        <v>-0.63751305587026807</v>
      </c>
      <c r="W577" s="580">
        <f t="shared" si="272"/>
        <v>-46.975478492824898</v>
      </c>
      <c r="X577" s="581">
        <f t="shared" si="273"/>
        <v>-234.92380523992256</v>
      </c>
      <c r="Y577" s="584">
        <f t="shared" si="274"/>
        <v>-54.923805239922558</v>
      </c>
      <c r="AA577" s="147">
        <f t="shared" si="275"/>
        <v>104710</v>
      </c>
      <c r="AB577" s="147">
        <f t="shared" si="276"/>
        <v>10964184100</v>
      </c>
      <c r="AD577" s="583">
        <f t="shared" si="277"/>
        <v>23.319563183562522</v>
      </c>
      <c r="AE577" s="584">
        <f t="shared" si="278"/>
        <v>-64.29690099966102</v>
      </c>
      <c r="AG577" s="583">
        <f t="shared" si="279"/>
        <v>22.060526737219757</v>
      </c>
      <c r="AH577" s="584">
        <f t="shared" si="280"/>
        <v>-97.573289185077201</v>
      </c>
      <c r="AJ577" s="147">
        <f t="shared" si="281"/>
        <v>0</v>
      </c>
      <c r="AK577" s="147">
        <f t="shared" si="293"/>
        <v>0</v>
      </c>
      <c r="AM577" s="147" t="str">
        <f t="shared" si="285"/>
        <v>0.437384675148218+0.826718813286551i</v>
      </c>
      <c r="AN577" s="147" t="str">
        <f t="shared" si="286"/>
        <v>7.25643572687998i</v>
      </c>
      <c r="AO577" s="147" t="str">
        <f t="shared" si="287"/>
        <v>0.113929047869072-0.0602754150399233i</v>
      </c>
      <c r="AP577" s="147" t="str">
        <f t="shared" si="288"/>
        <v>0.0937692208086303-0.137786468881092i</v>
      </c>
      <c r="AQ577" s="147" t="str">
        <f t="shared" si="289"/>
        <v>0.90623077919137+0.137786468881092i</v>
      </c>
      <c r="AR577" s="147" t="str">
        <f t="shared" si="290"/>
        <v>0.898422873791996-0.136599327880102i</v>
      </c>
    </row>
    <row r="578" spans="7:44">
      <c r="G578" s="585">
        <v>105930</v>
      </c>
      <c r="H578" s="573">
        <f t="shared" si="282"/>
        <v>105.93</v>
      </c>
      <c r="I578" s="574">
        <f t="shared" si="262"/>
        <v>922.12909087874243</v>
      </c>
      <c r="J578" s="575">
        <f t="shared" si="263"/>
        <v>1.5697118797192151</v>
      </c>
      <c r="K578" s="575">
        <f t="shared" si="264"/>
        <v>1.0238369149452855</v>
      </c>
      <c r="L578" s="576">
        <f t="shared" si="265"/>
        <v>0.21620754756722538</v>
      </c>
      <c r="M578" s="575">
        <f t="shared" si="266"/>
        <v>1.8222687963041788</v>
      </c>
      <c r="N578" s="576">
        <f t="shared" si="267"/>
        <v>-0.98990837170668722</v>
      </c>
      <c r="O578" s="574">
        <f t="shared" si="268"/>
        <v>1996733.4564872507</v>
      </c>
      <c r="P578" s="577">
        <f t="shared" si="269"/>
        <v>1.5707958259769248</v>
      </c>
      <c r="Q578" s="586">
        <f t="shared" si="291"/>
        <v>372.72492001853624</v>
      </c>
      <c r="R578" s="587">
        <f t="shared" si="292"/>
        <v>1.5681133798117648</v>
      </c>
      <c r="S578" s="574">
        <f t="shared" si="270"/>
        <v>2.3144375294763453</v>
      </c>
      <c r="T578" s="577">
        <f t="shared" si="271"/>
        <v>1.1240090334161954</v>
      </c>
      <c r="U578" s="578">
        <f t="shared" si="283"/>
        <v>0.12318304307038898</v>
      </c>
      <c r="V578" s="579">
        <f t="shared" si="284"/>
        <v>-0.68574846736489692</v>
      </c>
      <c r="W578" s="580">
        <f t="shared" si="272"/>
        <v>-46.645420248826923</v>
      </c>
      <c r="X578" s="581">
        <f t="shared" si="273"/>
        <v>-238.11281744146149</v>
      </c>
      <c r="Y578" s="584">
        <f t="shared" si="274"/>
        <v>-58.112817441461488</v>
      </c>
      <c r="AA578" s="147">
        <f t="shared" si="275"/>
        <v>105930</v>
      </c>
      <c r="AB578" s="147">
        <f t="shared" si="276"/>
        <v>11221164900</v>
      </c>
      <c r="AD578" s="583">
        <f t="shared" si="277"/>
        <v>23.237907550325538</v>
      </c>
      <c r="AE578" s="584">
        <f t="shared" si="278"/>
        <v>-64.554666667126284</v>
      </c>
      <c r="AG578" s="583">
        <f t="shared" si="279"/>
        <v>21.596880386979024</v>
      </c>
      <c r="AH578" s="584">
        <f t="shared" si="280"/>
        <v>-94.977164709396803</v>
      </c>
      <c r="AJ578" s="147">
        <f t="shared" si="281"/>
        <v>0</v>
      </c>
      <c r="AK578" s="147">
        <f t="shared" si="293"/>
        <v>0</v>
      </c>
      <c r="AM578" s="147" t="str">
        <f t="shared" si="285"/>
        <v>0.509207133488664+0.871276283495417i</v>
      </c>
      <c r="AN578" s="147" t="str">
        <f t="shared" si="286"/>
        <v>7.3409821081883i</v>
      </c>
      <c r="AO578" s="147" t="str">
        <f t="shared" si="287"/>
        <v>0.118686610409195-0.0693649876793301i</v>
      </c>
      <c r="AP578" s="147" t="str">
        <f t="shared" si="288"/>
        <v>0.0817988110852227-0.145212713915903i</v>
      </c>
      <c r="AQ578" s="147" t="str">
        <f t="shared" si="289"/>
        <v>0.918201188914777+0.145212713915903i</v>
      </c>
      <c r="AR578" s="147" t="str">
        <f t="shared" si="290"/>
        <v>0.885071920945091-0.139973349199319i</v>
      </c>
    </row>
    <row r="579" spans="7:44">
      <c r="G579" s="585">
        <v>107150</v>
      </c>
      <c r="H579" s="573">
        <f t="shared" si="282"/>
        <v>107.15</v>
      </c>
      <c r="I579" s="574">
        <f t="shared" si="262"/>
        <v>932.74927567416205</v>
      </c>
      <c r="J579" s="575">
        <f t="shared" si="263"/>
        <v>1.5697242271239067</v>
      </c>
      <c r="K579" s="575">
        <f t="shared" si="264"/>
        <v>1.0243825642952487</v>
      </c>
      <c r="L579" s="576">
        <f t="shared" si="265"/>
        <v>0.21861945756319662</v>
      </c>
      <c r="M579" s="575">
        <f t="shared" si="266"/>
        <v>1.8369610045041369</v>
      </c>
      <c r="N579" s="576">
        <f t="shared" si="267"/>
        <v>-0.99514964207474854</v>
      </c>
      <c r="O579" s="574">
        <f t="shared" si="268"/>
        <v>2019729.9146852477</v>
      </c>
      <c r="P579" s="577">
        <f t="shared" si="269"/>
        <v>1.5707958316791919</v>
      </c>
      <c r="Q579" s="586">
        <f t="shared" si="291"/>
        <v>377.01757694164797</v>
      </c>
      <c r="R579" s="587">
        <f t="shared" si="292"/>
        <v>1.5681439274541285</v>
      </c>
      <c r="S579" s="574">
        <f t="shared" si="270"/>
        <v>2.336139915374881</v>
      </c>
      <c r="T579" s="577">
        <f t="shared" si="271"/>
        <v>1.1284550683479204</v>
      </c>
      <c r="U579" s="578">
        <f t="shared" si="283"/>
        <v>0.12862237812756155</v>
      </c>
      <c r="V579" s="579">
        <f t="shared" si="284"/>
        <v>-0.73263375308028611</v>
      </c>
      <c r="W579" s="580">
        <f t="shared" si="272"/>
        <v>-46.376262666652089</v>
      </c>
      <c r="X579" s="581">
        <f t="shared" si="273"/>
        <v>-241.21495341287201</v>
      </c>
      <c r="Y579" s="584">
        <f t="shared" si="274"/>
        <v>-61.214953412872006</v>
      </c>
      <c r="AA579" s="147">
        <f t="shared" si="275"/>
        <v>107150</v>
      </c>
      <c r="AB579" s="147">
        <f t="shared" si="276"/>
        <v>11481122500</v>
      </c>
      <c r="AD579" s="583">
        <f t="shared" si="277"/>
        <v>23.156839104391036</v>
      </c>
      <c r="AE579" s="584">
        <f t="shared" si="278"/>
        <v>-64.807655780305282</v>
      </c>
      <c r="AG579" s="583">
        <f t="shared" si="279"/>
        <v>21.196482153354598</v>
      </c>
      <c r="AH579" s="584">
        <f t="shared" si="280"/>
        <v>-92.453653575975565</v>
      </c>
      <c r="AJ579" s="147">
        <f t="shared" si="281"/>
        <v>0</v>
      </c>
      <c r="AK579" s="147">
        <f t="shared" si="293"/>
        <v>0</v>
      </c>
      <c r="AM579" s="147" t="str">
        <f t="shared" si="285"/>
        <v>0.584535734435588+0.90960950085134i</v>
      </c>
      <c r="AN579" s="147" t="str">
        <f t="shared" si="286"/>
        <v>7.42552848949661i</v>
      </c>
      <c r="AO579" s="147" t="str">
        <f t="shared" si="287"/>
        <v>0.122497611064045-0.0787197484007249i</v>
      </c>
      <c r="AP579" s="147" t="str">
        <f t="shared" si="288"/>
        <v>0.0692440442607353-0.151601583475223i</v>
      </c>
      <c r="AQ579" s="147" t="str">
        <f t="shared" si="289"/>
        <v>0.930755955739265+0.151601583475223i</v>
      </c>
      <c r="AR579" s="147" t="str">
        <f t="shared" si="290"/>
        <v>0.871841561301795-0.14200560352889i</v>
      </c>
    </row>
    <row r="580" spans="7:44">
      <c r="G580" s="585">
        <v>108400</v>
      </c>
      <c r="H580" s="573">
        <f t="shared" si="282"/>
        <v>108.4</v>
      </c>
      <c r="I580" s="574">
        <f t="shared" si="262"/>
        <v>943.63061269884793</v>
      </c>
      <c r="J580" s="575">
        <f t="shared" si="263"/>
        <v>1.5697365898875557</v>
      </c>
      <c r="K580" s="575">
        <f t="shared" si="264"/>
        <v>1.0249478053259418</v>
      </c>
      <c r="L580" s="576">
        <f t="shared" si="265"/>
        <v>0.22108799850238986</v>
      </c>
      <c r="M580" s="575">
        <f t="shared" si="266"/>
        <v>1.8520659946349258</v>
      </c>
      <c r="N580" s="576">
        <f t="shared" si="267"/>
        <v>-1.0004333981303197</v>
      </c>
      <c r="O580" s="574">
        <f t="shared" si="268"/>
        <v>2043291.8595602449</v>
      </c>
      <c r="P580" s="577">
        <f t="shared" si="269"/>
        <v>1.570795837388552</v>
      </c>
      <c r="Q580" s="586">
        <f t="shared" si="291"/>
        <v>381.41579135879897</v>
      </c>
      <c r="R580" s="587">
        <f t="shared" si="292"/>
        <v>1.5681745130989047</v>
      </c>
      <c r="S580" s="574">
        <f t="shared" si="270"/>
        <v>2.3584229699010422</v>
      </c>
      <c r="T580" s="577">
        <f t="shared" si="271"/>
        <v>1.1329254729913878</v>
      </c>
      <c r="U580" s="578">
        <f t="shared" si="283"/>
        <v>0.13359197336278944</v>
      </c>
      <c r="V580" s="579">
        <f t="shared" si="284"/>
        <v>-0.77929146129742777</v>
      </c>
      <c r="W580" s="580">
        <f t="shared" si="272"/>
        <v>-46.154263857716593</v>
      </c>
      <c r="X580" s="581">
        <f t="shared" si="273"/>
        <v>-244.30463467531689</v>
      </c>
      <c r="Y580" s="584">
        <f t="shared" si="274"/>
        <v>-64.30463467531689</v>
      </c>
      <c r="AA580" s="147">
        <f t="shared" si="275"/>
        <v>108400</v>
      </c>
      <c r="AB580" s="147">
        <f t="shared" si="276"/>
        <v>11750560000</v>
      </c>
      <c r="AD580" s="583">
        <f t="shared" si="277"/>
        <v>23.074381480466574</v>
      </c>
      <c r="AE580" s="584">
        <f t="shared" si="278"/>
        <v>-65.062038998145198</v>
      </c>
      <c r="AG580" s="583">
        <f t="shared" si="279"/>
        <v>20.84238538538553</v>
      </c>
      <c r="AH580" s="584">
        <f t="shared" si="280"/>
        <v>-89.942372089281008</v>
      </c>
      <c r="AJ580" s="147">
        <f t="shared" si="281"/>
        <v>0</v>
      </c>
      <c r="AK580" s="147">
        <f t="shared" si="293"/>
        <v>0</v>
      </c>
      <c r="AM580" s="147" t="str">
        <f t="shared" si="285"/>
        <v>0.664790342440013+0.942143558847863i</v>
      </c>
      <c r="AN580" s="147" t="str">
        <f t="shared" si="286"/>
        <v>7.51215388018136i</v>
      </c>
      <c r="AO580" s="147" t="str">
        <f t="shared" si="287"/>
        <v>0.125415902532752-0.0884953041489032i</v>
      </c>
      <c r="AP580" s="147" t="str">
        <f t="shared" si="288"/>
        <v>0.0558682762599978-0.157023926474644i</v>
      </c>
      <c r="AQ580" s="147" t="str">
        <f t="shared" si="289"/>
        <v>0.944131723740002+0.157023926474644i</v>
      </c>
      <c r="AR580" s="147" t="str">
        <f t="shared" si="290"/>
        <v>0.858544030760302-0.142789349591302i</v>
      </c>
    </row>
    <row r="581" spans="7:44">
      <c r="G581" s="585">
        <v>109650</v>
      </c>
      <c r="H581" s="573">
        <f t="shared" si="282"/>
        <v>109.65</v>
      </c>
      <c r="I581" s="574">
        <f t="shared" si="262"/>
        <v>954.51194986446808</v>
      </c>
      <c r="J581" s="575">
        <f t="shared" si="263"/>
        <v>1.5697486707827613</v>
      </c>
      <c r="K581" s="575">
        <f t="shared" si="264"/>
        <v>1.0255192851681434</v>
      </c>
      <c r="L581" s="576">
        <f t="shared" si="265"/>
        <v>0.22355380322029303</v>
      </c>
      <c r="M581" s="575">
        <f t="shared" si="266"/>
        <v>1.8672218534958052</v>
      </c>
      <c r="N581" s="576">
        <f t="shared" si="267"/>
        <v>-1.0056315230136785</v>
      </c>
      <c r="O581" s="574">
        <f t="shared" si="268"/>
        <v>2066853.8044352422</v>
      </c>
      <c r="P581" s="577">
        <f t="shared" si="269"/>
        <v>1.5707958429677398</v>
      </c>
      <c r="Q581" s="586">
        <f t="shared" si="291"/>
        <v>385.81400612462238</v>
      </c>
      <c r="R581" s="587">
        <f t="shared" si="292"/>
        <v>1.5682044014012979</v>
      </c>
      <c r="S581" s="574">
        <f t="shared" si="270"/>
        <v>2.3807522735504696</v>
      </c>
      <c r="T581" s="577">
        <f t="shared" si="271"/>
        <v>1.1373121072288372</v>
      </c>
      <c r="U581" s="578">
        <f t="shared" si="283"/>
        <v>0.13798688499747788</v>
      </c>
      <c r="V581" s="579">
        <f t="shared" si="284"/>
        <v>-0.82458486080866444</v>
      </c>
      <c r="W581" s="580">
        <f t="shared" si="272"/>
        <v>-45.978921907592103</v>
      </c>
      <c r="X581" s="581">
        <f t="shared" si="273"/>
        <v>-247.30662138276145</v>
      </c>
      <c r="Y581" s="584">
        <f t="shared" si="274"/>
        <v>-67.306621382761449</v>
      </c>
      <c r="AA581" s="147">
        <f t="shared" si="275"/>
        <v>109650</v>
      </c>
      <c r="AB581" s="147">
        <f t="shared" si="276"/>
        <v>12023122500</v>
      </c>
      <c r="AD581" s="583">
        <f t="shared" si="277"/>
        <v>22.992530569243449</v>
      </c>
      <c r="AE581" s="584">
        <f t="shared" si="278"/>
        <v>-65.311662472583834</v>
      </c>
      <c r="AG581" s="583">
        <f t="shared" si="279"/>
        <v>20.537280422232385</v>
      </c>
      <c r="AH581" s="584">
        <f t="shared" si="280"/>
        <v>-87.504494052768678</v>
      </c>
      <c r="AJ581" s="147">
        <f t="shared" si="281"/>
        <v>0</v>
      </c>
      <c r="AK581" s="147">
        <f t="shared" si="293"/>
        <v>0</v>
      </c>
      <c r="AM581" s="147" t="str">
        <f t="shared" si="285"/>
        <v>0.747558777179414+0.967612230710654i</v>
      </c>
      <c r="AN581" s="147" t="str">
        <f t="shared" si="286"/>
        <v>7.59877927086611i</v>
      </c>
      <c r="AO581" s="147" t="str">
        <f t="shared" si="287"/>
        <v>0.127337852070595-0.098378798821749i</v>
      </c>
      <c r="AP581" s="147" t="str">
        <f t="shared" si="288"/>
        <v>0.0420735371367643-0.161268705118442i</v>
      </c>
      <c r="AQ581" s="147" t="str">
        <f t="shared" si="289"/>
        <v>0.957926462863236+0.161268705118442i</v>
      </c>
      <c r="AR581" s="147" t="str">
        <f t="shared" si="290"/>
        <v>0.845619733018238-0.14236165786551i</v>
      </c>
    </row>
    <row r="582" spans="7:44">
      <c r="G582" s="585">
        <v>110925</v>
      </c>
      <c r="H582" s="573">
        <f t="shared" si="282"/>
        <v>110.925</v>
      </c>
      <c r="I582" s="574">
        <f t="shared" si="262"/>
        <v>965.61091391365017</v>
      </c>
      <c r="J582" s="575">
        <f t="shared" si="263"/>
        <v>1.5697607127972293</v>
      </c>
      <c r="K582" s="575">
        <f t="shared" si="264"/>
        <v>1.0261086110199109</v>
      </c>
      <c r="L582" s="576">
        <f t="shared" si="265"/>
        <v>0.22606607884917285</v>
      </c>
      <c r="M582" s="575">
        <f t="shared" si="266"/>
        <v>1.8827319604727852</v>
      </c>
      <c r="N582" s="576">
        <f t="shared" si="267"/>
        <v>-1.0108472500768777</v>
      </c>
      <c r="O582" s="574">
        <f t="shared" si="268"/>
        <v>2090886.9882077393</v>
      </c>
      <c r="P582" s="577">
        <f t="shared" si="269"/>
        <v>1.5707958485289715</v>
      </c>
      <c r="Q582" s="586">
        <f t="shared" si="291"/>
        <v>390.30018553274022</v>
      </c>
      <c r="R582" s="587">
        <f t="shared" si="292"/>
        <v>1.5682341935160622</v>
      </c>
      <c r="S582" s="574">
        <f t="shared" si="270"/>
        <v>2.4035744723580579</v>
      </c>
      <c r="T582" s="577">
        <f t="shared" si="271"/>
        <v>1.1417024225293435</v>
      </c>
      <c r="U582" s="578">
        <f t="shared" si="283"/>
        <v>0.14191643914324559</v>
      </c>
      <c r="V582" s="579">
        <f t="shared" si="284"/>
        <v>-0.86942397952206807</v>
      </c>
      <c r="W582" s="580">
        <f t="shared" si="272"/>
        <v>-45.841466619809125</v>
      </c>
      <c r="X582" s="581">
        <f t="shared" si="273"/>
        <v>-250.28113985308241</v>
      </c>
      <c r="Y582" s="584">
        <f t="shared" si="274"/>
        <v>-70.281139853082408</v>
      </c>
      <c r="AA582" s="147">
        <f t="shared" si="275"/>
        <v>110925</v>
      </c>
      <c r="AB582" s="147">
        <f t="shared" si="276"/>
        <v>12304355625</v>
      </c>
      <c r="AD582" s="583">
        <f t="shared" si="277"/>
        <v>22.90966240011425</v>
      </c>
      <c r="AE582" s="584">
        <f t="shared" si="278"/>
        <v>-65.561502366516379</v>
      </c>
      <c r="AG582" s="583">
        <f t="shared" si="279"/>
        <v>20.269808082158708</v>
      </c>
      <c r="AH582" s="584">
        <f t="shared" si="280"/>
        <v>-85.090988104557695</v>
      </c>
      <c r="AJ582" s="147">
        <f t="shared" si="281"/>
        <v>0</v>
      </c>
      <c r="AK582" s="147">
        <f t="shared" si="293"/>
        <v>0</v>
      </c>
      <c r="AM582" s="147" t="str">
        <f t="shared" si="285"/>
        <v>0.833928535691334+0.986113719984858i</v>
      </c>
      <c r="AN582" s="147" t="str">
        <f t="shared" si="286"/>
        <v>7.68713716936455i</v>
      </c>
      <c r="AO582" s="147" t="str">
        <f t="shared" si="287"/>
        <v>0.128281009985721-0.108483628861832i</v>
      </c>
      <c r="AP582" s="147" t="str">
        <f t="shared" si="288"/>
        <v>0.0276785773847777-0.164352286664143i</v>
      </c>
      <c r="AQ582" s="147" t="str">
        <f t="shared" si="289"/>
        <v>0.972321422615222+0.164352286664143i</v>
      </c>
      <c r="AR582" s="147" t="str">
        <f t="shared" si="290"/>
        <v>0.832915022444595-0.140788308631i</v>
      </c>
    </row>
    <row r="583" spans="7:44">
      <c r="G583" s="585">
        <v>112200</v>
      </c>
      <c r="H583" s="573">
        <f t="shared" si="282"/>
        <v>112.2</v>
      </c>
      <c r="I583" s="574">
        <f t="shared" si="262"/>
        <v>976.70987809967312</v>
      </c>
      <c r="J583" s="575">
        <f t="shared" si="263"/>
        <v>1.5697724811298404</v>
      </c>
      <c r="K583" s="575">
        <f t="shared" si="264"/>
        <v>1.0267044057271595</v>
      </c>
      <c r="L583" s="576">
        <f t="shared" si="265"/>
        <v>0.22857545456281494</v>
      </c>
      <c r="M583" s="575">
        <f t="shared" si="266"/>
        <v>1.898292447174365</v>
      </c>
      <c r="N583" s="576">
        <f t="shared" si="267"/>
        <v>-1.0159776071697098</v>
      </c>
      <c r="O583" s="574">
        <f t="shared" si="268"/>
        <v>2114920.1719802367</v>
      </c>
      <c r="P583" s="577">
        <f t="shared" si="269"/>
        <v>1.5707958539638114</v>
      </c>
      <c r="Q583" s="586">
        <f t="shared" si="291"/>
        <v>394.78636527940381</v>
      </c>
      <c r="R583" s="587">
        <f t="shared" si="292"/>
        <v>1.5682633085417037</v>
      </c>
      <c r="S583" s="574">
        <f t="shared" si="270"/>
        <v>2.4264421277339374</v>
      </c>
      <c r="T583" s="577">
        <f t="shared" si="271"/>
        <v>1.1460100677689231</v>
      </c>
      <c r="U583" s="578">
        <f t="shared" si="283"/>
        <v>0.14532669836742021</v>
      </c>
      <c r="V583" s="579">
        <f t="shared" si="284"/>
        <v>-0.91294442237043083</v>
      </c>
      <c r="W583" s="580">
        <f t="shared" si="272"/>
        <v>-45.740194251741727</v>
      </c>
      <c r="X583" s="581">
        <f t="shared" si="273"/>
        <v>-253.17066503630738</v>
      </c>
      <c r="Y583" s="584">
        <f t="shared" si="274"/>
        <v>-73.170665036307383</v>
      </c>
      <c r="AA583" s="147">
        <f t="shared" si="275"/>
        <v>112200</v>
      </c>
      <c r="AB583" s="147">
        <f t="shared" si="276"/>
        <v>12588840000</v>
      </c>
      <c r="AD583" s="583">
        <f t="shared" si="277"/>
        <v>22.827414661722898</v>
      </c>
      <c r="AE583" s="584">
        <f t="shared" si="278"/>
        <v>-65.806644401967745</v>
      </c>
      <c r="AG583" s="583">
        <f t="shared" si="279"/>
        <v>20.040820131983033</v>
      </c>
      <c r="AH583" s="584">
        <f t="shared" si="280"/>
        <v>-82.748295851129768</v>
      </c>
      <c r="AJ583" s="147">
        <f t="shared" si="281"/>
        <v>0</v>
      </c>
      <c r="AK583" s="147">
        <f t="shared" si="293"/>
        <v>0</v>
      </c>
      <c r="AM583" s="147" t="str">
        <f t="shared" si="285"/>
        <v>0.921593990458938+0.996921510284459i</v>
      </c>
      <c r="AN583" s="147" t="str">
        <f t="shared" si="286"/>
        <v>7.77549506786299i</v>
      </c>
      <c r="AO583" s="147" t="str">
        <f t="shared" si="287"/>
        <v>0.128213252221694-0.118525442099242i</v>
      </c>
      <c r="AP583" s="147" t="str">
        <f t="shared" si="288"/>
        <v>0.0130676682568436-0.16615358504741i</v>
      </c>
      <c r="AQ583" s="147" t="str">
        <f t="shared" si="289"/>
        <v>0.986932331743156+0.16615358504741i</v>
      </c>
      <c r="AR583" s="147" t="str">
        <f t="shared" si="290"/>
        <v>0.820766571456902-0.138178985476915i</v>
      </c>
    </row>
    <row r="584" spans="7:44">
      <c r="G584" s="585">
        <v>113510</v>
      </c>
      <c r="H584" s="573">
        <f t="shared" si="282"/>
        <v>113.51</v>
      </c>
      <c r="I584" s="574">
        <f t="shared" si="262"/>
        <v>988.11351987162038</v>
      </c>
      <c r="J584" s="575">
        <f t="shared" si="263"/>
        <v>1.5697842971539799</v>
      </c>
      <c r="K584" s="575">
        <f t="shared" si="264"/>
        <v>1.0273232814100457</v>
      </c>
      <c r="L584" s="576">
        <f t="shared" si="265"/>
        <v>0.23115066680038546</v>
      </c>
      <c r="M584" s="575">
        <f t="shared" si="266"/>
        <v>1.9143312663487158</v>
      </c>
      <c r="N584" s="576">
        <f t="shared" si="267"/>
        <v>-1.0211617880767554</v>
      </c>
      <c r="O584" s="574">
        <f t="shared" si="268"/>
        <v>2139613.090209234</v>
      </c>
      <c r="P584" s="577">
        <f t="shared" si="269"/>
        <v>1.5707958594206761</v>
      </c>
      <c r="Q584" s="586">
        <f t="shared" si="291"/>
        <v>399.39569539895126</v>
      </c>
      <c r="R584" s="587">
        <f t="shared" si="292"/>
        <v>1.5682925415604931</v>
      </c>
      <c r="S584" s="574">
        <f t="shared" si="270"/>
        <v>2.4499835302182591</v>
      </c>
      <c r="T584" s="577">
        <f t="shared" si="271"/>
        <v>1.1503521243633663</v>
      </c>
      <c r="U584" s="578">
        <f t="shared" si="283"/>
        <v>0.14833057162573651</v>
      </c>
      <c r="V584" s="579">
        <f t="shared" si="284"/>
        <v>-0.95635134851363302</v>
      </c>
      <c r="W584" s="580">
        <f t="shared" si="272"/>
        <v>-45.668865851693013</v>
      </c>
      <c r="X584" s="581">
        <f t="shared" si="273"/>
        <v>-256.05496551252622</v>
      </c>
      <c r="Y584" s="584">
        <f t="shared" si="274"/>
        <v>-76.054965512526223</v>
      </c>
      <c r="AA584" s="147">
        <f t="shared" si="275"/>
        <v>113510</v>
      </c>
      <c r="AB584" s="147">
        <f t="shared" si="276"/>
        <v>12884520100</v>
      </c>
      <c r="AD584" s="583">
        <f t="shared" si="277"/>
        <v>22.743549476068804</v>
      </c>
      <c r="AE584" s="584">
        <f t="shared" si="278"/>
        <v>-66.053751303574913</v>
      </c>
      <c r="AG584" s="583">
        <f t="shared" si="279"/>
        <v>19.840603184889392</v>
      </c>
      <c r="AH584" s="584">
        <f t="shared" si="280"/>
        <v>-80.411422080774543</v>
      </c>
      <c r="AJ584" s="147">
        <f t="shared" si="281"/>
        <v>0</v>
      </c>
      <c r="AK584" s="147">
        <f t="shared" si="293"/>
        <v>0</v>
      </c>
      <c r="AM584" s="147" t="str">
        <f t="shared" si="285"/>
        <v>1.0122965334227+0.999924394774817i</v>
      </c>
      <c r="AN584" s="147" t="str">
        <f t="shared" si="286"/>
        <v>7.86627847730061i</v>
      </c>
      <c r="AO584" s="147" t="str">
        <f t="shared" si="287"/>
        <v>0.127115305879427-0.12868811298047i</v>
      </c>
      <c r="AP584" s="147" t="str">
        <f t="shared" si="288"/>
        <v>-0.00204942223711588-0.166654065795803i</v>
      </c>
      <c r="AQ584" s="147" t="str">
        <f t="shared" si="289"/>
        <v>1.00204942223712+0.166654065795803i</v>
      </c>
      <c r="AR584" s="147" t="str">
        <f t="shared" si="290"/>
        <v>0.808921484141985-0.134534336580792i</v>
      </c>
    </row>
    <row r="585" spans="7:44">
      <c r="G585" s="585">
        <v>114820</v>
      </c>
      <c r="H585" s="573">
        <f t="shared" si="282"/>
        <v>114.82</v>
      </c>
      <c r="I585" s="574">
        <f t="shared" si="262"/>
        <v>999.51716177837841</v>
      </c>
      <c r="J585" s="575">
        <f t="shared" si="263"/>
        <v>1.5697958435565211</v>
      </c>
      <c r="K585" s="575">
        <f t="shared" si="264"/>
        <v>1.02794896178154</v>
      </c>
      <c r="L585" s="576">
        <f t="shared" si="265"/>
        <v>0.23372276117590954</v>
      </c>
      <c r="M585" s="575">
        <f t="shared" si="266"/>
        <v>1.9304206788531972</v>
      </c>
      <c r="N585" s="576">
        <f t="shared" si="267"/>
        <v>-1.0262596872618064</v>
      </c>
      <c r="O585" s="574">
        <f t="shared" si="268"/>
        <v>2164306.008438231</v>
      </c>
      <c r="P585" s="577">
        <f t="shared" si="269"/>
        <v>1.5707958647530245</v>
      </c>
      <c r="Q585" s="586">
        <f t="shared" si="291"/>
        <v>404.0050258520219</v>
      </c>
      <c r="R585" s="587">
        <f t="shared" si="292"/>
        <v>1.5683211075349131</v>
      </c>
      <c r="S585" s="574">
        <f t="shared" si="270"/>
        <v>2.4735702436465008</v>
      </c>
      <c r="T585" s="577">
        <f t="shared" si="271"/>
        <v>1.1546114526841698</v>
      </c>
      <c r="U585" s="578">
        <f t="shared" si="283"/>
        <v>0.15086791480253856</v>
      </c>
      <c r="V585" s="579">
        <f t="shared" si="284"/>
        <v>-0.99850445778333918</v>
      </c>
      <c r="W585" s="580">
        <f t="shared" si="272"/>
        <v>-45.626446246665353</v>
      </c>
      <c r="X585" s="581">
        <f t="shared" si="273"/>
        <v>-258.85794541792262</v>
      </c>
      <c r="Y585" s="584">
        <f t="shared" si="274"/>
        <v>-78.857945417922622</v>
      </c>
      <c r="AA585" s="147">
        <f t="shared" si="275"/>
        <v>114820</v>
      </c>
      <c r="AB585" s="147">
        <f t="shared" si="276"/>
        <v>13183632400</v>
      </c>
      <c r="AD585" s="583">
        <f t="shared" si="277"/>
        <v>22.660327199201635</v>
      </c>
      <c r="AE585" s="584">
        <f t="shared" si="278"/>
        <v>-66.296156435943601</v>
      </c>
      <c r="AG585" s="583">
        <f t="shared" si="279"/>
        <v>19.671596368101817</v>
      </c>
      <c r="AH585" s="584">
        <f t="shared" si="280"/>
        <v>-78.141606339266858</v>
      </c>
      <c r="AJ585" s="147">
        <f t="shared" si="281"/>
        <v>0</v>
      </c>
      <c r="AK585" s="147">
        <f t="shared" si="293"/>
        <v>0</v>
      </c>
      <c r="AM585" s="147" t="str">
        <f t="shared" si="285"/>
        <v>1.10289780252311+0.994691933332083i</v>
      </c>
      <c r="AN585" s="147" t="str">
        <f t="shared" si="286"/>
        <v>7.95706188673823i</v>
      </c>
      <c r="AO585" s="147" t="str">
        <f t="shared" si="287"/>
        <v>0.125007439616613-0.138606161196418i</v>
      </c>
      <c r="AP585" s="147" t="str">
        <f t="shared" si="288"/>
        <v>-0.0171496337538508-0.16578198888868i</v>
      </c>
      <c r="AQ585" s="147" t="str">
        <f t="shared" si="289"/>
        <v>1.01714963375385+0.16578198888868i</v>
      </c>
      <c r="AR585" s="147" t="str">
        <f t="shared" si="290"/>
        <v>0.797762882342696-0.130024838929789i</v>
      </c>
    </row>
    <row r="586" spans="7:44">
      <c r="G586" s="585">
        <v>116155</v>
      </c>
      <c r="H586" s="573">
        <f t="shared" si="282"/>
        <v>116.155</v>
      </c>
      <c r="I586" s="574">
        <f t="shared" si="262"/>
        <v>1011.1384305730543</v>
      </c>
      <c r="J586" s="575">
        <f t="shared" si="263"/>
        <v>1.5698073423662775</v>
      </c>
      <c r="K586" s="575">
        <f t="shared" si="264"/>
        <v>1.0285935704792999</v>
      </c>
      <c r="L586" s="576">
        <f t="shared" si="265"/>
        <v>0.2363407043294396</v>
      </c>
      <c r="M586" s="575">
        <f t="shared" si="266"/>
        <v>1.9468678933280057</v>
      </c>
      <c r="N586" s="576">
        <f t="shared" si="267"/>
        <v>-1.0313680511963677</v>
      </c>
      <c r="O586" s="574">
        <f t="shared" si="268"/>
        <v>2189470.1655647284</v>
      </c>
      <c r="P586" s="577">
        <f t="shared" si="269"/>
        <v>1.5707958700633935</v>
      </c>
      <c r="Q586" s="586">
        <f t="shared" si="291"/>
        <v>408.70232095816414</v>
      </c>
      <c r="R586" s="587">
        <f t="shared" si="292"/>
        <v>1.5683495557674219</v>
      </c>
      <c r="S586" s="574">
        <f t="shared" si="270"/>
        <v>2.497652372375041</v>
      </c>
      <c r="T586" s="577">
        <f t="shared" si="271"/>
        <v>1.1588692232913156</v>
      </c>
      <c r="U586" s="578">
        <f t="shared" si="283"/>
        <v>0.15301358596171291</v>
      </c>
      <c r="V586" s="579">
        <f t="shared" si="284"/>
        <v>-1.0402511716692178</v>
      </c>
      <c r="W586" s="580">
        <f t="shared" si="272"/>
        <v>-45.609211372028525</v>
      </c>
      <c r="X586" s="581">
        <f t="shared" si="273"/>
        <v>-261.63552799505931</v>
      </c>
      <c r="Y586" s="584">
        <f t="shared" si="274"/>
        <v>-81.635527995059306</v>
      </c>
      <c r="AA586" s="147">
        <f t="shared" si="275"/>
        <v>116155</v>
      </c>
      <c r="AB586" s="147">
        <f t="shared" si="276"/>
        <v>13491984025</v>
      </c>
      <c r="AD586" s="583">
        <f t="shared" si="277"/>
        <v>22.576171700104695</v>
      </c>
      <c r="AE586" s="584">
        <f t="shared" si="278"/>
        <v>-66.538479062749161</v>
      </c>
      <c r="AG586" s="583">
        <f t="shared" si="279"/>
        <v>19.527662527311701</v>
      </c>
      <c r="AH586" s="584">
        <f t="shared" si="280"/>
        <v>-75.893045255729689</v>
      </c>
      <c r="AJ586" s="147">
        <f t="shared" si="281"/>
        <v>0</v>
      </c>
      <c r="AK586" s="147">
        <f t="shared" si="293"/>
        <v>0</v>
      </c>
      <c r="AM586" s="147" t="str">
        <f t="shared" si="285"/>
        <v>1.19435137169758+0.980931977417022i</v>
      </c>
      <c r="AN586" s="147" t="str">
        <f t="shared" si="286"/>
        <v>8.04957780398954i</v>
      </c>
      <c r="AO586" s="147" t="str">
        <f t="shared" si="287"/>
        <v>0.121861295250895-0.148374411774197i</v>
      </c>
      <c r="AP586" s="147" t="str">
        <f t="shared" si="288"/>
        <v>-0.03239189528293-0.163488662902837i</v>
      </c>
      <c r="AQ586" s="147" t="str">
        <f t="shared" si="289"/>
        <v>1.03239189528293+0.163488662902837i</v>
      </c>
      <c r="AR586" s="147" t="str">
        <f t="shared" si="290"/>
        <v>0.787124930702482-0.124648404395668i</v>
      </c>
    </row>
    <row r="587" spans="7:44">
      <c r="G587" s="585">
        <v>117490</v>
      </c>
      <c r="H587" s="573">
        <f t="shared" si="282"/>
        <v>117.49</v>
      </c>
      <c r="I587" s="574">
        <f t="shared" si="262"/>
        <v>1022.7596994983874</v>
      </c>
      <c r="J587" s="575">
        <f t="shared" si="263"/>
        <v>1.5698185798619446</v>
      </c>
      <c r="K587" s="575">
        <f t="shared" si="264"/>
        <v>1.0292452199146791</v>
      </c>
      <c r="L587" s="576">
        <f t="shared" si="265"/>
        <v>0.23895535036992291</v>
      </c>
      <c r="M587" s="575">
        <f t="shared" si="266"/>
        <v>1.9633650601185648</v>
      </c>
      <c r="N587" s="576">
        <f t="shared" si="267"/>
        <v>-1.0363906983583446</v>
      </c>
      <c r="O587" s="574">
        <f t="shared" si="268"/>
        <v>2214634.3226912259</v>
      </c>
      <c r="P587" s="577">
        <f t="shared" si="269"/>
        <v>1.5707958752530824</v>
      </c>
      <c r="Q587" s="586">
        <f t="shared" si="291"/>
        <v>413.39961638755324</v>
      </c>
      <c r="R587" s="587">
        <f t="shared" si="292"/>
        <v>1.5683773575080491</v>
      </c>
      <c r="S587" s="574">
        <f t="shared" si="270"/>
        <v>2.5217789147998753</v>
      </c>
      <c r="T587" s="577">
        <f t="shared" si="271"/>
        <v>1.1630455979176808</v>
      </c>
      <c r="U587" s="578">
        <f t="shared" si="283"/>
        <v>0.15475294041100329</v>
      </c>
      <c r="V587" s="579">
        <f t="shared" si="284"/>
        <v>-1.0808582634842661</v>
      </c>
      <c r="W587" s="580">
        <f t="shared" si="272"/>
        <v>-45.615001195087295</v>
      </c>
      <c r="X587" s="581">
        <f t="shared" si="273"/>
        <v>-264.33845115455131</v>
      </c>
      <c r="Y587" s="584">
        <f t="shared" si="274"/>
        <v>-84.338451154551308</v>
      </c>
      <c r="AA587" s="147">
        <f t="shared" si="275"/>
        <v>117490</v>
      </c>
      <c r="AB587" s="147">
        <f t="shared" si="276"/>
        <v>13803900100</v>
      </c>
      <c r="AD587" s="583">
        <f t="shared" si="277"/>
        <v>22.492670776909431</v>
      </c>
      <c r="AE587" s="584">
        <f t="shared" si="278"/>
        <v>-66.776175077723224</v>
      </c>
      <c r="AG587" s="583">
        <f t="shared" si="279"/>
        <v>19.409016969474383</v>
      </c>
      <c r="AH587" s="584">
        <f t="shared" si="280"/>
        <v>-73.705042436325414</v>
      </c>
      <c r="AJ587" s="147">
        <f t="shared" si="281"/>
        <v>0</v>
      </c>
      <c r="AK587" s="147">
        <f t="shared" si="293"/>
        <v>0</v>
      </c>
      <c r="AM587" s="147" t="str">
        <f t="shared" si="285"/>
        <v>1.28414263576761+0.958782020346146i</v>
      </c>
      <c r="AN587" s="147" t="str">
        <f t="shared" si="286"/>
        <v>8.14209372124085i</v>
      </c>
      <c r="AO587" s="147" t="str">
        <f t="shared" si="287"/>
        <v>0.117756200453073-0.157716513679716i</v>
      </c>
      <c r="AP587" s="147" t="str">
        <f t="shared" si="288"/>
        <v>-0.0473571059612677-0.159797003391024i</v>
      </c>
      <c r="AQ587" s="147" t="str">
        <f t="shared" si="289"/>
        <v>1.04735710596127+0.159797003391024i</v>
      </c>
      <c r="AR587" s="147" t="str">
        <f t="shared" si="290"/>
        <v>0.77724249016571-0.118585170358553i</v>
      </c>
    </row>
    <row r="588" spans="7:44">
      <c r="G588" s="585">
        <v>118860</v>
      </c>
      <c r="H588" s="573">
        <f t="shared" si="282"/>
        <v>118.86</v>
      </c>
      <c r="I588" s="574">
        <f t="shared" si="262"/>
        <v>1034.6856460174054</v>
      </c>
      <c r="J588" s="575">
        <f t="shared" si="263"/>
        <v>1.5698298495275944</v>
      </c>
      <c r="K588" s="575">
        <f t="shared" si="264"/>
        <v>1.0299212598154701</v>
      </c>
      <c r="L588" s="576">
        <f t="shared" si="265"/>
        <v>0.24163508638400299</v>
      </c>
      <c r="M588" s="575">
        <f t="shared" si="266"/>
        <v>1.9803453615335862</v>
      </c>
      <c r="N588" s="576">
        <f t="shared" si="267"/>
        <v>-1.0414578925923577</v>
      </c>
      <c r="O588" s="574">
        <f t="shared" si="268"/>
        <v>2240458.2142742234</v>
      </c>
      <c r="P588" s="577">
        <f t="shared" si="269"/>
        <v>1.5707958804576279</v>
      </c>
      <c r="Q588" s="586">
        <f t="shared" si="291"/>
        <v>418.22006220902671</v>
      </c>
      <c r="R588" s="587">
        <f t="shared" si="292"/>
        <v>1.5684052388408605</v>
      </c>
      <c r="S588" s="574">
        <f t="shared" si="270"/>
        <v>2.5465828399669372</v>
      </c>
      <c r="T588" s="577">
        <f t="shared" si="271"/>
        <v>1.1672491162960728</v>
      </c>
      <c r="U588" s="578">
        <f t="shared" si="283"/>
        <v>0.15615254170198917</v>
      </c>
      <c r="V588" s="579">
        <f t="shared" si="284"/>
        <v>-1.1214335091348493</v>
      </c>
      <c r="W588" s="580">
        <f t="shared" si="272"/>
        <v>-45.642010312295909</v>
      </c>
      <c r="X588" s="581">
        <f t="shared" si="273"/>
        <v>-267.03992514785614</v>
      </c>
      <c r="Y588" s="584">
        <f t="shared" si="274"/>
        <v>-87.039925147856138</v>
      </c>
      <c r="AA588" s="147">
        <f t="shared" si="275"/>
        <v>118860</v>
      </c>
      <c r="AB588" s="147">
        <f t="shared" si="276"/>
        <v>14127699600</v>
      </c>
      <c r="AD588" s="583">
        <f t="shared" si="277"/>
        <v>22.407654212187129</v>
      </c>
      <c r="AE588" s="584">
        <f t="shared" si="278"/>
        <v>-67.015421755685338</v>
      </c>
      <c r="AG588" s="583">
        <f t="shared" si="279"/>
        <v>19.310618497230831</v>
      </c>
      <c r="AH588" s="584">
        <f t="shared" si="280"/>
        <v>-71.517689089385271</v>
      </c>
      <c r="AJ588" s="147">
        <f t="shared" si="281"/>
        <v>0</v>
      </c>
      <c r="AK588" s="147">
        <f t="shared" si="293"/>
        <v>0</v>
      </c>
      <c r="AM588" s="147" t="str">
        <f t="shared" si="285"/>
        <v>1.37375442760346+0.92752769653893i</v>
      </c>
      <c r="AN588" s="147" t="str">
        <f t="shared" si="286"/>
        <v>8.23703514943133i</v>
      </c>
      <c r="AO588" s="147" t="str">
        <f t="shared" si="287"/>
        <v>0.112604557308823-0.166777778980135i</v>
      </c>
      <c r="AP588" s="147" t="str">
        <f t="shared" si="288"/>
        <v>-0.062292404600576-0.154587949423155i</v>
      </c>
      <c r="AQ588" s="147" t="str">
        <f t="shared" si="289"/>
        <v>1.06229240460058+0.154587949423155i</v>
      </c>
      <c r="AR588" s="147" t="str">
        <f t="shared" si="290"/>
        <v>0.767891619383558-0.1117458717634i</v>
      </c>
    </row>
    <row r="589" spans="7:44">
      <c r="G589" s="585">
        <v>120230</v>
      </c>
      <c r="H589" s="573">
        <f t="shared" si="282"/>
        <v>120.23</v>
      </c>
      <c r="I589" s="574">
        <f t="shared" ref="I589:I613" si="294">SQRT(1+(G589/pole1)^2)</f>
        <v>1046.611592664839</v>
      </c>
      <c r="J589" s="575">
        <f t="shared" ref="J589:J613" si="295">ATAN(G589/pole1)</f>
        <v>1.5698408623617099</v>
      </c>
      <c r="K589" s="575">
        <f t="shared" ref="K589:K613" si="296">SQRT(1+(G589/Zero1)^2)</f>
        <v>1.0306046858317035</v>
      </c>
      <c r="L589" s="576">
        <f t="shared" ref="L589:L613" si="297">ATAN(G589/Zero1)</f>
        <v>0.24431128756214568</v>
      </c>
      <c r="M589" s="575">
        <f t="shared" ref="M589:M613" si="298">SQRT(1+(G589/z_RHP)^2)</f>
        <v>1.9973756458948202</v>
      </c>
      <c r="N589" s="576">
        <f t="shared" ref="N589:N613" si="299">-ATAN(G589/z_RHP)</f>
        <v>-1.0464388037668666</v>
      </c>
      <c r="O589" s="574">
        <f t="shared" ref="O589:O613" si="300">SQRT(1+(G589/Pole2)^2)</f>
        <v>2266282.1058572209</v>
      </c>
      <c r="P589" s="577">
        <f t="shared" ref="P589:P613" si="301">ATAN(G589/Pole2)</f>
        <v>1.5707958855435638</v>
      </c>
      <c r="Q589" s="586">
        <f t="shared" si="291"/>
        <v>423.0405083482022</v>
      </c>
      <c r="R589" s="587">
        <f t="shared" si="292"/>
        <v>1.5684324847713591</v>
      </c>
      <c r="S589" s="574">
        <f t="shared" ref="S589:S613" si="302">SQRT(1+(G589/pole4)^2)</f>
        <v>2.5714308936119452</v>
      </c>
      <c r="T589" s="577">
        <f t="shared" ref="T589:T613" si="303">ATAN(G589/pole4)</f>
        <v>1.1713714681146707</v>
      </c>
      <c r="U589" s="578">
        <f t="shared" si="283"/>
        <v>0.15719654242017836</v>
      </c>
      <c r="V589" s="579">
        <f t="shared" si="284"/>
        <v>-1.1609885193821834</v>
      </c>
      <c r="W589" s="580">
        <f t="shared" ref="W589:W613" si="304">20*LOG10(((K589*Q589*M589*U589)/(I589*O589*S589))*Adc)</f>
        <v>-45.687877463771578</v>
      </c>
      <c r="X589" s="581">
        <f t="shared" ref="X589:X613" si="305">((L589+R589+N589+V589)-(J589+P589+T589))*radconv</f>
        <v>-269.673574016793</v>
      </c>
      <c r="Y589" s="584">
        <f t="shared" ref="Y589:Y613" si="306">IF(X589&gt;0,X589,X589+180)</f>
        <v>-89.673574016792998</v>
      </c>
      <c r="AA589" s="147">
        <f t="shared" ref="AA589:AA613" si="307">IF(W589&lt;0,G589,1000000000)</f>
        <v>120230</v>
      </c>
      <c r="AB589" s="147">
        <f t="shared" ref="AB589:AB613" si="308">G589^2</f>
        <v>14455252900</v>
      </c>
      <c r="AD589" s="583">
        <f t="shared" ref="AD589:AD613" si="309">20*LOG10((Q589/(O589*S589))*Aea)</f>
        <v>22.323312669349495</v>
      </c>
      <c r="AE589" s="584">
        <f t="shared" ref="AE589:AE613" si="310">(R589-(P589+T589))*radconv</f>
        <v>-67.250054331403391</v>
      </c>
      <c r="AG589" s="583">
        <f t="shared" ref="AG589:AG613" si="311">20*LOG10((K589*M589/(I589*U589))*Acs*Am)</f>
        <v>19.233335619355042</v>
      </c>
      <c r="AH589" s="584">
        <f t="shared" ref="AH589:AH613" si="312">(L589+N589-(J589+V589))*radconv</f>
        <v>-69.384035085886921</v>
      </c>
      <c r="AJ589" s="147">
        <f t="shared" ref="AJ589:AJ613" si="313">SUM((W590&lt;0)*(W589&gt;0))*G589</f>
        <v>0</v>
      </c>
      <c r="AK589" s="147">
        <f t="shared" si="293"/>
        <v>0</v>
      </c>
      <c r="AM589" s="147" t="str">
        <f t="shared" si="285"/>
        <v>1.45999977369466+0.887919032457839i</v>
      </c>
      <c r="AN589" s="147" t="str">
        <f t="shared" si="286"/>
        <v>8.33197657762182i</v>
      </c>
      <c r="AO589" s="147" t="str">
        <f t="shared" si="287"/>
        <v>0.106567634244512-0.175228501915855i</v>
      </c>
      <c r="AP589" s="147" t="str">
        <f t="shared" si="288"/>
        <v>-0.0766666289491093-0.14798650540964i</v>
      </c>
      <c r="AQ589" s="147" t="str">
        <f t="shared" si="289"/>
        <v>1.07666662894911+0.14798650540964i</v>
      </c>
      <c r="AR589" s="147" t="str">
        <f t="shared" si="290"/>
        <v>0.759338686054438-0.104370169512197i</v>
      </c>
    </row>
    <row r="590" spans="7:44">
      <c r="G590" s="585">
        <v>126030</v>
      </c>
      <c r="H590" s="573">
        <f t="shared" ref="H590:H613" si="314">G590/1000</f>
        <v>126.03</v>
      </c>
      <c r="I590" s="574">
        <f t="shared" si="294"/>
        <v>1097.1010031553958</v>
      </c>
      <c r="J590" s="575">
        <f t="shared" si="295"/>
        <v>1.5698848335635589</v>
      </c>
      <c r="K590" s="575">
        <f t="shared" si="296"/>
        <v>1.0335795081834058</v>
      </c>
      <c r="L590" s="576">
        <f t="shared" si="297"/>
        <v>0.25560131570328171</v>
      </c>
      <c r="M590" s="575">
        <f t="shared" si="298"/>
        <v>2.069999924631428</v>
      </c>
      <c r="N590" s="576">
        <f t="shared" si="299"/>
        <v>-1.0666138480109026</v>
      </c>
      <c r="O590" s="574">
        <f t="shared" si="300"/>
        <v>2375609.5300772106</v>
      </c>
      <c r="P590" s="577">
        <f t="shared" si="301"/>
        <v>1.570795905850298</v>
      </c>
      <c r="Q590" s="586">
        <f t="shared" si="291"/>
        <v>443.44823980978134</v>
      </c>
      <c r="R590" s="587">
        <f t="shared" si="292"/>
        <v>1.5685412702679475</v>
      </c>
      <c r="S590" s="574">
        <f t="shared" si="302"/>
        <v>2.67708757906848</v>
      </c>
      <c r="T590" s="577">
        <f t="shared" si="303"/>
        <v>1.1879736982766116</v>
      </c>
      <c r="U590" s="578">
        <f t="shared" ref="U590:U613" si="315">IMABS(IMPRODUCT(AO590, AR590))</f>
        <v>0.15835295183016754</v>
      </c>
      <c r="V590" s="579">
        <f t="shared" ref="V590:V613" si="316">IMARGUMENT(IMPRODUCT(AO590, AR590))</f>
        <v>-1.3192015568616871</v>
      </c>
      <c r="W590" s="580">
        <f t="shared" si="304"/>
        <v>-46.047944885747924</v>
      </c>
      <c r="X590" s="581">
        <f t="shared" si="305"/>
        <v>-280.19511256067182</v>
      </c>
      <c r="Y590" s="584">
        <f t="shared" si="306"/>
        <v>-100.19511256067182</v>
      </c>
      <c r="AA590" s="147">
        <f t="shared" si="307"/>
        <v>126030</v>
      </c>
      <c r="AB590" s="147">
        <f t="shared" si="308"/>
        <v>15883560900</v>
      </c>
      <c r="AD590" s="583">
        <f t="shared" si="309"/>
        <v>21.973556051646597</v>
      </c>
      <c r="AE590" s="584">
        <f t="shared" si="310"/>
        <v>-68.195060264930632</v>
      </c>
      <c r="AG590" s="583">
        <f t="shared" si="311"/>
        <v>19.095697854818717</v>
      </c>
      <c r="AH590" s="584">
        <f t="shared" si="312"/>
        <v>-60.830689052480651</v>
      </c>
      <c r="AJ590" s="147">
        <f t="shared" si="313"/>
        <v>0</v>
      </c>
      <c r="AK590" s="147">
        <f t="shared" si="293"/>
        <v>0</v>
      </c>
      <c r="AM590" s="147" t="str">
        <f t="shared" ref="AM590:AM613" si="317">IMSUB(1,IMEXP(COMPLEX(0,-2*Pi*G590*Tsw)))</f>
        <v>1.77069858164116+0.637199887206753i</v>
      </c>
      <c r="AN590" s="147" t="str">
        <f t="shared" ref="AN590:AN613" si="318">COMPLEX(0, 2*Pi*G590*Tsw)</f>
        <v>8.73391839039905i</v>
      </c>
      <c r="AO590" s="147" t="str">
        <f t="shared" ref="AO590:AO613" si="319">IMDIV(AM590, AN590)</f>
        <v>0.0729569316685176-0.202738164302936i</v>
      </c>
      <c r="AP590" s="147" t="str">
        <f t="shared" ref="AP590:AP613" si="320">IMDIV(IMEXP(COMPLEX(0,-2*Pi*G590*Tsw)),6)</f>
        <v>-0.128449763606861-0.106199981201126i</v>
      </c>
      <c r="AQ590" s="147" t="str">
        <f t="shared" ref="AQ590:AQ613" si="321">IMSUB(1, AP590)</f>
        <v>1.12844976360686+0.106199981201126i</v>
      </c>
      <c r="AR590" s="147" t="str">
        <f t="shared" ref="AR590:AR613" si="322">IMDIV(0.833, AQ590)</f>
        <v>0.731700209408413-0.0688613272740297i</v>
      </c>
    </row>
    <row r="591" spans="7:44">
      <c r="G591" s="585">
        <v>131830</v>
      </c>
      <c r="H591" s="573">
        <f t="shared" si="314"/>
        <v>131.83000000000001</v>
      </c>
      <c r="I591" s="574">
        <f t="shared" si="294"/>
        <v>1147.5904155805113</v>
      </c>
      <c r="J591" s="575">
        <f t="shared" si="295"/>
        <v>1.569924935649609</v>
      </c>
      <c r="K591" s="575">
        <f t="shared" si="296"/>
        <v>1.0366853096136037</v>
      </c>
      <c r="L591" s="576">
        <f t="shared" si="297"/>
        <v>0.26682511998232084</v>
      </c>
      <c r="M591" s="575">
        <f t="shared" si="298"/>
        <v>2.1434094729174018</v>
      </c>
      <c r="N591" s="576">
        <f t="shared" si="299"/>
        <v>-1.0854141671628432</v>
      </c>
      <c r="O591" s="574">
        <f t="shared" si="300"/>
        <v>2484936.9542972012</v>
      </c>
      <c r="P591" s="577">
        <f t="shared" si="301"/>
        <v>1.5707959243701999</v>
      </c>
      <c r="Q591" s="586">
        <f t="shared" si="291"/>
        <v>463.85597605748217</v>
      </c>
      <c r="R591" s="587">
        <f t="shared" si="292"/>
        <v>1.5686404835456409</v>
      </c>
      <c r="S591" s="574">
        <f t="shared" si="302"/>
        <v>2.7834260281531016</v>
      </c>
      <c r="T591" s="577">
        <f t="shared" si="303"/>
        <v>1.2033113432205549</v>
      </c>
      <c r="U591" s="578">
        <f t="shared" si="315"/>
        <v>0.15547006675677294</v>
      </c>
      <c r="V591" s="579">
        <f t="shared" si="316"/>
        <v>-1.467259168136879</v>
      </c>
      <c r="W591" s="580">
        <f t="shared" si="304"/>
        <v>-46.607925056490267</v>
      </c>
      <c r="X591" s="581">
        <f t="shared" si="305"/>
        <v>-289.987687710621</v>
      </c>
      <c r="Y591" s="584">
        <f t="shared" si="306"/>
        <v>-109.987687710621</v>
      </c>
      <c r="AA591" s="147">
        <f t="shared" si="307"/>
        <v>131830</v>
      </c>
      <c r="AB591" s="147">
        <f t="shared" si="308"/>
        <v>17379148900</v>
      </c>
      <c r="AD591" s="583">
        <f t="shared" si="309"/>
        <v>21.63521205111191</v>
      </c>
      <c r="AE591" s="584">
        <f t="shared" si="310"/>
        <v>-69.068159147915139</v>
      </c>
      <c r="AG591" s="583">
        <f t="shared" si="311"/>
        <v>19.193236818578107</v>
      </c>
      <c r="AH591" s="584">
        <f t="shared" si="312"/>
        <v>-52.784012798344627</v>
      </c>
      <c r="AJ591" s="147">
        <f t="shared" si="313"/>
        <v>0</v>
      </c>
      <c r="AK591" s="147">
        <f t="shared" si="293"/>
        <v>0</v>
      </c>
      <c r="AM591" s="147" t="str">
        <f t="shared" si="317"/>
        <v>1.95855278390579+0.284915005688485i</v>
      </c>
      <c r="AN591" s="147" t="str">
        <f t="shared" si="318"/>
        <v>9.13586020317628i</v>
      </c>
      <c r="AO591" s="147" t="str">
        <f t="shared" si="319"/>
        <v>0.0311864454306589-0.214380774261942i</v>
      </c>
      <c r="AP591" s="147" t="str">
        <f t="shared" si="320"/>
        <v>-0.159758797317631-0.0474858342814142i</v>
      </c>
      <c r="AQ591" s="147" t="str">
        <f t="shared" si="321"/>
        <v>1.15975879731763+0.0474858342814142i</v>
      </c>
      <c r="AR591" s="147" t="str">
        <f t="shared" si="322"/>
        <v>0.717050691293711-0.0293593378010145i</v>
      </c>
    </row>
    <row r="592" spans="7:44">
      <c r="G592" s="585">
        <v>144540</v>
      </c>
      <c r="H592" s="573">
        <f t="shared" si="314"/>
        <v>144.54</v>
      </c>
      <c r="I592" s="574">
        <f t="shared" si="294"/>
        <v>1258.231874987322</v>
      </c>
      <c r="J592" s="575">
        <f t="shared" si="295"/>
        <v>1.5700015606431603</v>
      </c>
      <c r="K592" s="575">
        <f t="shared" si="296"/>
        <v>1.0439435183379382</v>
      </c>
      <c r="L592" s="576">
        <f t="shared" si="297"/>
        <v>0.29117844929598097</v>
      </c>
      <c r="M592" s="575">
        <f t="shared" si="298"/>
        <v>2.3066561221684023</v>
      </c>
      <c r="N592" s="576">
        <f t="shared" si="299"/>
        <v>-1.1223921867690789</v>
      </c>
      <c r="O592" s="574">
        <f t="shared" si="300"/>
        <v>2724514.8097861838</v>
      </c>
      <c r="P592" s="577">
        <f t="shared" si="301"/>
        <v>1.570795959757068</v>
      </c>
      <c r="Q592" s="586">
        <f t="shared" si="291"/>
        <v>508.5770809628109</v>
      </c>
      <c r="R592" s="587">
        <f t="shared" si="292"/>
        <v>1.5688300552466825</v>
      </c>
      <c r="S592" s="574">
        <f t="shared" si="302"/>
        <v>3.0184852059801943</v>
      </c>
      <c r="T592" s="577">
        <f t="shared" si="303"/>
        <v>1.2331237522137826</v>
      </c>
      <c r="U592" s="578">
        <f t="shared" si="315"/>
        <v>0.13929721651425819</v>
      </c>
      <c r="V592" s="579">
        <f t="shared" si="316"/>
        <v>-1.7852324617848678</v>
      </c>
      <c r="W592" s="580">
        <f t="shared" si="304"/>
        <v>-48.367522819934514</v>
      </c>
      <c r="X592" s="581">
        <f t="shared" si="305"/>
        <v>-310.63121279983665</v>
      </c>
      <c r="Y592" s="584">
        <f t="shared" si="306"/>
        <v>-130.63121279983665</v>
      </c>
      <c r="AA592" s="147">
        <f t="shared" si="307"/>
        <v>144540</v>
      </c>
      <c r="AB592" s="147">
        <f t="shared" si="308"/>
        <v>20891811600</v>
      </c>
      <c r="AD592" s="583">
        <f t="shared" si="309"/>
        <v>20.931021305474246</v>
      </c>
      <c r="AE592" s="584">
        <f t="shared" si="310"/>
        <v>-70.765424731417767</v>
      </c>
      <c r="AG592" s="583">
        <f t="shared" si="311"/>
        <v>20.046003671040484</v>
      </c>
      <c r="AH592" s="584">
        <f t="shared" si="312"/>
        <v>-35.293216814614794</v>
      </c>
      <c r="AJ592" s="147">
        <f t="shared" si="313"/>
        <v>0</v>
      </c>
      <c r="AK592" s="147">
        <f t="shared" si="293"/>
        <v>0</v>
      </c>
      <c r="AM592" s="147" t="str">
        <f t="shared" si="317"/>
        <v>1.82988811132861-0.557929854619225i</v>
      </c>
      <c r="AN592" s="147" t="str">
        <f t="shared" si="318"/>
        <v>10.0166671756588i</v>
      </c>
      <c r="AO592" s="147" t="str">
        <f t="shared" si="319"/>
        <v>-0.0557001490450869-0.182684327954448i</v>
      </c>
      <c r="AP592" s="147" t="str">
        <f t="shared" si="320"/>
        <v>-0.138314685221435+0.0929883091032042i</v>
      </c>
      <c r="AQ592" s="147" t="str">
        <f t="shared" si="321"/>
        <v>1.13831468522143-0.0929883091032042i</v>
      </c>
      <c r="AR592" s="147" t="str">
        <f t="shared" si="322"/>
        <v>0.726932640688859+0.0593827330589475i</v>
      </c>
    </row>
    <row r="593" spans="7:44">
      <c r="G593" s="585">
        <v>158490</v>
      </c>
      <c r="H593" s="573">
        <f t="shared" si="314"/>
        <v>158.49</v>
      </c>
      <c r="I593" s="574">
        <f t="shared" si="294"/>
        <v>1379.6676301901334</v>
      </c>
      <c r="J593" s="575">
        <f t="shared" si="295"/>
        <v>1.5700715144809185</v>
      </c>
      <c r="K593" s="575">
        <f t="shared" si="296"/>
        <v>1.0526119611749318</v>
      </c>
      <c r="L593" s="576">
        <f t="shared" si="297"/>
        <v>0.31750372183673831</v>
      </c>
      <c r="M593" s="575">
        <f t="shared" si="298"/>
        <v>2.488957474365924</v>
      </c>
      <c r="N593" s="576">
        <f t="shared" si="299"/>
        <v>-1.157342366725437</v>
      </c>
      <c r="O593" s="574">
        <f t="shared" si="300"/>
        <v>2987466.1145911678</v>
      </c>
      <c r="P593" s="577">
        <f t="shared" si="301"/>
        <v>1.5707959920630665</v>
      </c>
      <c r="Q593" s="586">
        <f t="shared" si="291"/>
        <v>557.66123799271566</v>
      </c>
      <c r="R593" s="587">
        <f t="shared" si="292"/>
        <v>1.5690031224841039</v>
      </c>
      <c r="S593" s="574">
        <f t="shared" si="302"/>
        <v>3.279099170113045</v>
      </c>
      <c r="T593" s="577">
        <f t="shared" si="303"/>
        <v>1.2608980037552493</v>
      </c>
      <c r="U593" s="578">
        <f t="shared" si="315"/>
        <v>0.10622929332806363</v>
      </c>
      <c r="V593" s="579">
        <f t="shared" si="316"/>
        <v>-2.1853021205857526</v>
      </c>
      <c r="W593" s="580">
        <f t="shared" si="304"/>
        <v>-51.508555982913357</v>
      </c>
      <c r="X593" s="581">
        <f t="shared" si="305"/>
        <v>-335.63312786338628</v>
      </c>
      <c r="Y593" s="584">
        <f t="shared" si="306"/>
        <v>-155.63312786338628</v>
      </c>
      <c r="AA593" s="147">
        <f t="shared" si="307"/>
        <v>158490</v>
      </c>
      <c r="AB593" s="147">
        <f t="shared" si="308"/>
        <v>25119080100</v>
      </c>
      <c r="AD593" s="583">
        <f t="shared" si="309"/>
        <v>20.211708487338527</v>
      </c>
      <c r="AE593" s="584">
        <f t="shared" si="310"/>
        <v>-72.346857954406701</v>
      </c>
      <c r="AG593" s="583">
        <f t="shared" si="311"/>
        <v>22.33220916090076</v>
      </c>
      <c r="AH593" s="584">
        <f t="shared" si="312"/>
        <v>-12.869092681731237</v>
      </c>
      <c r="AJ593" s="147">
        <f t="shared" si="313"/>
        <v>0</v>
      </c>
      <c r="AK593" s="147">
        <f t="shared" si="293"/>
        <v>0</v>
      </c>
      <c r="AM593" s="147" t="str">
        <f t="shared" si="317"/>
        <v>1.01216745161813-0.999925973820623i</v>
      </c>
      <c r="AN593" s="147" t="str">
        <f t="shared" si="318"/>
        <v>10.9834065357006i</v>
      </c>
      <c r="AO593" s="147" t="str">
        <f t="shared" si="319"/>
        <v>-0.0910396943398618-0.0921542372421678i</v>
      </c>
      <c r="AP593" s="147" t="str">
        <f t="shared" si="320"/>
        <v>-0.00202790860302218+0.166654328970104i</v>
      </c>
      <c r="AQ593" s="147" t="str">
        <f t="shared" si="321"/>
        <v>1.00202790860302-0.166654328970104i</v>
      </c>
      <c r="AR593" s="147" t="str">
        <f t="shared" si="322"/>
        <v>0.808937848044583+0.134540159098303i</v>
      </c>
    </row>
    <row r="594" spans="7:44">
      <c r="G594" s="585">
        <v>173780</v>
      </c>
      <c r="H594" s="573">
        <f t="shared" si="314"/>
        <v>173.78</v>
      </c>
      <c r="I594" s="574">
        <f t="shared" si="294"/>
        <v>1512.7681884005449</v>
      </c>
      <c r="J594" s="575">
        <f t="shared" si="295"/>
        <v>1.5701352869340002</v>
      </c>
      <c r="K594" s="575">
        <f t="shared" si="296"/>
        <v>1.0629363247540233</v>
      </c>
      <c r="L594" s="576">
        <f t="shared" si="297"/>
        <v>0.34584267968038351</v>
      </c>
      <c r="M594" s="575">
        <f t="shared" si="298"/>
        <v>2.6917643086572114</v>
      </c>
      <c r="N594" s="576">
        <f t="shared" si="299"/>
        <v>-1.1901683766604714</v>
      </c>
      <c r="O594" s="574">
        <f t="shared" si="300"/>
        <v>3275675.8243021532</v>
      </c>
      <c r="P594" s="577">
        <f t="shared" si="301"/>
        <v>1.5707960215143824</v>
      </c>
      <c r="Q594" s="586">
        <f t="shared" si="291"/>
        <v>611.46030491815634</v>
      </c>
      <c r="R594" s="587">
        <f t="shared" si="292"/>
        <v>1.5691608969268764</v>
      </c>
      <c r="S594" s="574">
        <f t="shared" si="302"/>
        <v>3.5672064157860794</v>
      </c>
      <c r="T594" s="577">
        <f t="shared" si="303"/>
        <v>1.2866569827034269</v>
      </c>
      <c r="U594" s="578">
        <f t="shared" si="315"/>
        <v>4.1629745384227285E-2</v>
      </c>
      <c r="V594" s="579">
        <f t="shared" si="316"/>
        <v>-2.7828645420452274</v>
      </c>
      <c r="W594" s="580">
        <f t="shared" si="304"/>
        <v>-60.411630996108904</v>
      </c>
      <c r="X594" s="581">
        <f t="shared" si="305"/>
        <v>-371.59851834547823</v>
      </c>
      <c r="Y594" s="584">
        <f t="shared" si="306"/>
        <v>-191.59851834547823</v>
      </c>
      <c r="AA594" s="147">
        <f t="shared" si="307"/>
        <v>173780</v>
      </c>
      <c r="AB594" s="147">
        <f t="shared" si="308"/>
        <v>30199488400</v>
      </c>
      <c r="AD594" s="583">
        <f t="shared" si="309"/>
        <v>19.480232354755685</v>
      </c>
      <c r="AE594" s="584">
        <f t="shared" si="310"/>
        <v>-73.813700612129921</v>
      </c>
      <c r="AG594" s="583">
        <f t="shared" si="311"/>
        <v>30.434231790485512</v>
      </c>
      <c r="AH594" s="584">
        <f t="shared" si="312"/>
        <v>21.107969062636137</v>
      </c>
      <c r="AJ594" s="147">
        <f t="shared" si="313"/>
        <v>0</v>
      </c>
      <c r="AK594" s="147">
        <f t="shared" si="293"/>
        <v>0</v>
      </c>
      <c r="AM594" s="147" t="str">
        <f t="shared" si="317"/>
        <v>0.133856382533317-0.499795191975402i</v>
      </c>
      <c r="AN594" s="147" t="str">
        <f t="shared" si="318"/>
        <v>12.0430083145564i</v>
      </c>
      <c r="AO594" s="147" t="str">
        <f t="shared" si="319"/>
        <v>-0.0415008591641757-0.0111148625855821i</v>
      </c>
      <c r="AP594" s="147" t="str">
        <f t="shared" si="320"/>
        <v>0.144357269577781+0.083299198662567i</v>
      </c>
      <c r="AQ594" s="147" t="str">
        <f t="shared" si="321"/>
        <v>0.855642730422219-0.083299198662567i</v>
      </c>
      <c r="AR594" s="147" t="str">
        <f t="shared" si="322"/>
        <v>0.964397032885087+0.0938867323657905i</v>
      </c>
    </row>
    <row r="595" spans="7:44">
      <c r="G595" s="585">
        <v>190550</v>
      </c>
      <c r="H595" s="573">
        <f t="shared" si="314"/>
        <v>190.55</v>
      </c>
      <c r="I595" s="574">
        <f t="shared" si="294"/>
        <v>1658.7522597646484</v>
      </c>
      <c r="J595" s="575">
        <f t="shared" si="295"/>
        <v>1.5701934639775668</v>
      </c>
      <c r="K595" s="575">
        <f t="shared" si="296"/>
        <v>1.0752213452250243</v>
      </c>
      <c r="L595" s="576">
        <f t="shared" si="297"/>
        <v>0.37627175583503514</v>
      </c>
      <c r="M595" s="575">
        <f t="shared" si="298"/>
        <v>2.9170487854861999</v>
      </c>
      <c r="N595" s="576">
        <f t="shared" si="299"/>
        <v>-1.2208874256180395</v>
      </c>
      <c r="O595" s="574">
        <f t="shared" si="300"/>
        <v>3591782.8767451397</v>
      </c>
      <c r="P595" s="577">
        <f t="shared" si="301"/>
        <v>1.570796048381631</v>
      </c>
      <c r="Q595" s="586">
        <f t="shared" si="291"/>
        <v>670.46688274180383</v>
      </c>
      <c r="R595" s="587">
        <f t="shared" si="292"/>
        <v>1.5693048282637954</v>
      </c>
      <c r="S595" s="574">
        <f t="shared" si="302"/>
        <v>3.8854985534891311</v>
      </c>
      <c r="T595" s="577">
        <f t="shared" si="303"/>
        <v>1.3104996665834179</v>
      </c>
      <c r="U595" s="578">
        <f t="shared" si="315"/>
        <v>4.5436220891497667E-2</v>
      </c>
      <c r="V595" s="579">
        <f t="shared" si="316"/>
        <v>-0.43362529518867104</v>
      </c>
      <c r="W595" s="580">
        <f t="shared" si="304"/>
        <v>-60.396271295371193</v>
      </c>
      <c r="X595" s="581">
        <f t="shared" si="305"/>
        <v>-238.37481183853967</v>
      </c>
      <c r="Y595" s="584">
        <f t="shared" si="306"/>
        <v>-58.374811838539671</v>
      </c>
      <c r="AA595" s="147">
        <f t="shared" si="307"/>
        <v>190550</v>
      </c>
      <c r="AB595" s="147">
        <f t="shared" si="308"/>
        <v>36309302500</v>
      </c>
      <c r="AD595" s="583">
        <f t="shared" si="309"/>
        <v>18.737860176673273</v>
      </c>
      <c r="AE595" s="584">
        <f t="shared" si="310"/>
        <v>-75.17154065350438</v>
      </c>
      <c r="AG595" s="583">
        <f t="shared" si="311"/>
        <v>29.672025766595521</v>
      </c>
      <c r="AH595" s="584">
        <f t="shared" si="312"/>
        <v>-113.51347251940571</v>
      </c>
      <c r="AJ595" s="147">
        <f t="shared" si="313"/>
        <v>0</v>
      </c>
      <c r="AK595" s="147">
        <f t="shared" si="293"/>
        <v>0</v>
      </c>
      <c r="AM595" s="147" t="str">
        <f t="shared" si="317"/>
        <v>0.197190535397393+0.596235661080814i</v>
      </c>
      <c r="AN595" s="147" t="str">
        <f t="shared" si="318"/>
        <v>13.205174555983i</v>
      </c>
      <c r="AO595" s="147" t="str">
        <f t="shared" si="319"/>
        <v>0.0451516682761813-0.0149328230809376i</v>
      </c>
      <c r="AP595" s="147" t="str">
        <f t="shared" si="320"/>
        <v>0.133801577433768-0.0993726101801357i</v>
      </c>
      <c r="AQ595" s="147" t="str">
        <f t="shared" si="321"/>
        <v>0.866198422566232+0.0993726101801357i</v>
      </c>
      <c r="AR595" s="147" t="str">
        <f t="shared" si="322"/>
        <v>0.949180970071488-0.108892590972255i</v>
      </c>
    </row>
    <row r="596" spans="7:44">
      <c r="G596" s="585">
        <v>208930</v>
      </c>
      <c r="H596" s="573">
        <f t="shared" si="314"/>
        <v>208.93</v>
      </c>
      <c r="I596" s="574">
        <f t="shared" si="294"/>
        <v>1818.7515037491589</v>
      </c>
      <c r="J596" s="575">
        <f t="shared" si="295"/>
        <v>1.5702464990430989</v>
      </c>
      <c r="K596" s="575">
        <f t="shared" si="296"/>
        <v>1.089801618254755</v>
      </c>
      <c r="L596" s="576">
        <f t="shared" si="297"/>
        <v>0.40880074606357136</v>
      </c>
      <c r="M596" s="575">
        <f t="shared" si="298"/>
        <v>3.1666502154196654</v>
      </c>
      <c r="N596" s="576">
        <f t="shared" si="299"/>
        <v>-1.2495060084766174</v>
      </c>
      <c r="O596" s="574">
        <f t="shared" si="300"/>
        <v>3938237.7141871275</v>
      </c>
      <c r="P596" s="577">
        <f t="shared" si="301"/>
        <v>1.5707960728742163</v>
      </c>
      <c r="Q596" s="586">
        <f t="shared" si="291"/>
        <v>735.13838679260505</v>
      </c>
      <c r="R596" s="587">
        <f t="shared" si="292"/>
        <v>1.5694360382745807</v>
      </c>
      <c r="S596" s="574">
        <f t="shared" si="302"/>
        <v>4.2364849534728695</v>
      </c>
      <c r="T596" s="577">
        <f t="shared" si="303"/>
        <v>1.3325027757045584</v>
      </c>
      <c r="U596" s="578">
        <f t="shared" si="315"/>
        <v>8.8070676269453155E-2</v>
      </c>
      <c r="V596" s="579">
        <f t="shared" si="316"/>
        <v>-1.1039111725467283</v>
      </c>
      <c r="W596" s="580">
        <f t="shared" si="304"/>
        <v>-55.368585972773367</v>
      </c>
      <c r="X596" s="581">
        <f t="shared" si="305"/>
        <v>-277.8115214826696</v>
      </c>
      <c r="Y596" s="584">
        <f t="shared" si="306"/>
        <v>-97.811521482669605</v>
      </c>
      <c r="AA596" s="147">
        <f t="shared" si="307"/>
        <v>208930</v>
      </c>
      <c r="AB596" s="147">
        <f t="shared" si="308"/>
        <v>43651744900</v>
      </c>
      <c r="AD596" s="583">
        <f t="shared" si="309"/>
        <v>17.986680218276987</v>
      </c>
      <c r="AE596" s="584">
        <f t="shared" si="310"/>
        <v>-76.424709567217405</v>
      </c>
      <c r="AG596" s="583">
        <f t="shared" si="311"/>
        <v>23.953725889701655</v>
      </c>
      <c r="AH596" s="584">
        <f t="shared" si="312"/>
        <v>-74.887909482375107</v>
      </c>
      <c r="AJ596" s="147">
        <f t="shared" si="313"/>
        <v>0</v>
      </c>
      <c r="AK596" s="147">
        <f t="shared" si="293"/>
        <v>0</v>
      </c>
      <c r="AM596" s="147" t="str">
        <f t="shared" si="317"/>
        <v>1.33513391347126+0.942170504760917i</v>
      </c>
      <c r="AN596" s="147" t="str">
        <f t="shared" si="318"/>
        <v>14.4789143006115i</v>
      </c>
      <c r="AO596" s="147" t="str">
        <f t="shared" si="319"/>
        <v>0.0650719028512466-0.0922122947723278i</v>
      </c>
      <c r="AP596" s="147" t="str">
        <f t="shared" si="320"/>
        <v>-0.0558556522452093-0.157028417460153i</v>
      </c>
      <c r="AQ596" s="147" t="str">
        <f t="shared" si="321"/>
        <v>1.05585565224521+0.157028417460153i</v>
      </c>
      <c r="AR596" s="147" t="str">
        <f t="shared" si="322"/>
        <v>0.771861505306857-0.114792387026592i</v>
      </c>
    </row>
    <row r="597" spans="7:44">
      <c r="G597" s="585">
        <v>229090</v>
      </c>
      <c r="H597" s="573">
        <f t="shared" si="314"/>
        <v>229.09</v>
      </c>
      <c r="I597" s="574">
        <f t="shared" si="294"/>
        <v>1994.2457827841329</v>
      </c>
      <c r="J597" s="575">
        <f t="shared" si="295"/>
        <v>1.5702948840687592</v>
      </c>
      <c r="K597" s="575">
        <f t="shared" si="296"/>
        <v>1.1070824619630315</v>
      </c>
      <c r="L597" s="576">
        <f t="shared" si="297"/>
        <v>0.44345398554229298</v>
      </c>
      <c r="M597" s="575">
        <f t="shared" si="298"/>
        <v>3.4429518136612582</v>
      </c>
      <c r="N597" s="576">
        <f t="shared" si="299"/>
        <v>-1.2761008743852522</v>
      </c>
      <c r="O597" s="574">
        <f t="shared" si="300"/>
        <v>4318244.7611311162</v>
      </c>
      <c r="P597" s="577">
        <f t="shared" si="301"/>
        <v>1.5707960952193247</v>
      </c>
      <c r="Q597" s="586">
        <f t="shared" si="291"/>
        <v>806.07297570259175</v>
      </c>
      <c r="R597" s="587">
        <f t="shared" si="292"/>
        <v>1.5695557440106442</v>
      </c>
      <c r="S597" s="574">
        <f t="shared" si="302"/>
        <v>4.6234449124084795</v>
      </c>
      <c r="T597" s="577">
        <f t="shared" si="303"/>
        <v>1.3527844997188025</v>
      </c>
      <c r="U597" s="578">
        <f t="shared" si="315"/>
        <v>8.9784724099219837E-2</v>
      </c>
      <c r="V597" s="579">
        <f t="shared" si="316"/>
        <v>-1.6308817391297779</v>
      </c>
      <c r="W597" s="580">
        <f t="shared" si="304"/>
        <v>-55.897204169731992</v>
      </c>
      <c r="X597" s="581">
        <f t="shared" si="305"/>
        <v>-308.70097220733442</v>
      </c>
      <c r="Y597" s="584">
        <f t="shared" si="306"/>
        <v>-128.70097220733442</v>
      </c>
      <c r="AA597" s="147">
        <f t="shared" si="307"/>
        <v>229090</v>
      </c>
      <c r="AB597" s="147">
        <f t="shared" si="308"/>
        <v>52482228100</v>
      </c>
      <c r="AD597" s="583">
        <f t="shared" si="309"/>
        <v>17.227478482833458</v>
      </c>
      <c r="AE597" s="584">
        <f t="shared" si="310"/>
        <v>-77.579909402623201</v>
      </c>
      <c r="AG597" s="583">
        <f t="shared" si="311"/>
        <v>23.849464577799701</v>
      </c>
      <c r="AH597" s="584">
        <f t="shared" si="312"/>
        <v>-44.235781516979699</v>
      </c>
      <c r="AJ597" s="147">
        <f t="shared" si="313"/>
        <v>0</v>
      </c>
      <c r="AK597" s="147">
        <f t="shared" si="293"/>
        <v>0</v>
      </c>
      <c r="AM597" s="147" t="str">
        <f t="shared" si="317"/>
        <v>1.98591357892631-0.167255537692242i</v>
      </c>
      <c r="AN597" s="147" t="str">
        <f t="shared" si="318"/>
        <v>15.8760086015752i</v>
      </c>
      <c r="AO597" s="147" t="str">
        <f t="shared" si="319"/>
        <v>-0.0105351125644797-0.125088970960199i</v>
      </c>
      <c r="AP597" s="147" t="str">
        <f t="shared" si="320"/>
        <v>-0.164318929821051+0.027875922948707i</v>
      </c>
      <c r="AQ597" s="147" t="str">
        <f t="shared" si="321"/>
        <v>1.16431892982105-0.027875922948707i</v>
      </c>
      <c r="AR597" s="147" t="str">
        <f t="shared" si="322"/>
        <v>0.715029849099793+0.0171191212897268i</v>
      </c>
    </row>
    <row r="598" spans="7:44">
      <c r="G598" s="585">
        <v>251190</v>
      </c>
      <c r="H598" s="573">
        <f t="shared" si="314"/>
        <v>251.19</v>
      </c>
      <c r="I598" s="574">
        <f t="shared" si="294"/>
        <v>2186.6279086086743</v>
      </c>
      <c r="J598" s="575">
        <f t="shared" si="295"/>
        <v>1.5703390015998231</v>
      </c>
      <c r="K598" s="575">
        <f t="shared" si="296"/>
        <v>1.1275034772027424</v>
      </c>
      <c r="L598" s="576">
        <f t="shared" si="297"/>
        <v>0.48017256024093896</v>
      </c>
      <c r="M598" s="575">
        <f t="shared" si="298"/>
        <v>3.7482063820837861</v>
      </c>
      <c r="N598" s="576">
        <f t="shared" si="299"/>
        <v>-1.3007311269198329</v>
      </c>
      <c r="O598" s="574">
        <f t="shared" si="300"/>
        <v>4734819.9465211052</v>
      </c>
      <c r="P598" s="577">
        <f t="shared" si="301"/>
        <v>1.5707961155936236</v>
      </c>
      <c r="Q598" s="586">
        <f t="shared" si="291"/>
        <v>883.83362240143447</v>
      </c>
      <c r="R598" s="587">
        <f t="shared" si="292"/>
        <v>1.5696648918867739</v>
      </c>
      <c r="S598" s="574">
        <f t="shared" si="302"/>
        <v>5.0494757102748693</v>
      </c>
      <c r="T598" s="577">
        <f t="shared" si="303"/>
        <v>1.3714380459040449</v>
      </c>
      <c r="U598" s="578">
        <f t="shared" si="315"/>
        <v>6.3659401135693558E-2</v>
      </c>
      <c r="V598" s="579">
        <f t="shared" si="316"/>
        <v>-2.2532648629199712</v>
      </c>
      <c r="W598" s="580">
        <f t="shared" si="304"/>
        <v>-59.552930051192263</v>
      </c>
      <c r="X598" s="581">
        <f t="shared" si="305"/>
        <v>-344.73333331287392</v>
      </c>
      <c r="Y598" s="584">
        <f t="shared" si="306"/>
        <v>-164.73333331287392</v>
      </c>
      <c r="AA598" s="147">
        <f t="shared" si="307"/>
        <v>251190</v>
      </c>
      <c r="AB598" s="147">
        <f t="shared" si="308"/>
        <v>63096416100</v>
      </c>
      <c r="AD598" s="583">
        <f t="shared" si="309"/>
        <v>16.461865358706849</v>
      </c>
      <c r="AE598" s="584">
        <f t="shared" si="310"/>
        <v>-78.642426327920333</v>
      </c>
      <c r="AG598" s="583">
        <f t="shared" si="311"/>
        <v>26.932947967706951</v>
      </c>
      <c r="AH598" s="584">
        <f t="shared" si="312"/>
        <v>-7.8857731490345344</v>
      </c>
      <c r="AJ598" s="147">
        <f t="shared" si="313"/>
        <v>0</v>
      </c>
      <c r="AK598" s="147">
        <f t="shared" si="293"/>
        <v>0</v>
      </c>
      <c r="AM598" s="147" t="str">
        <f t="shared" si="317"/>
        <v>0.871569793902018-0.99171854987271i</v>
      </c>
      <c r="AN598" s="147" t="str">
        <f t="shared" si="318"/>
        <v>17.4075455088815i</v>
      </c>
      <c r="AO598" s="147" t="str">
        <f t="shared" si="319"/>
        <v>-0.0569706136552523-0.0500685058360086i</v>
      </c>
      <c r="AP598" s="147" t="str">
        <f t="shared" si="320"/>
        <v>0.0214050343496637+0.165286424978785i</v>
      </c>
      <c r="AQ598" s="147" t="str">
        <f t="shared" si="321"/>
        <v>0.978594965650336-0.165286424978785i</v>
      </c>
      <c r="AR598" s="147" t="str">
        <f t="shared" si="322"/>
        <v>0.827610488012256+0.139784878974506i</v>
      </c>
    </row>
    <row r="599" spans="7:44">
      <c r="G599" s="585">
        <v>275420</v>
      </c>
      <c r="H599" s="573">
        <f t="shared" si="314"/>
        <v>275.42</v>
      </c>
      <c r="I599" s="574">
        <f t="shared" si="294"/>
        <v>2397.5518451985963</v>
      </c>
      <c r="J599" s="575">
        <f t="shared" si="295"/>
        <v>1.5703792346552639</v>
      </c>
      <c r="K599" s="575">
        <f t="shared" si="296"/>
        <v>1.1515732058105239</v>
      </c>
      <c r="L599" s="576">
        <f t="shared" si="297"/>
        <v>0.51887570105054093</v>
      </c>
      <c r="M599" s="575">
        <f t="shared" si="298"/>
        <v>4.08508427637467</v>
      </c>
      <c r="N599" s="576">
        <f t="shared" si="299"/>
        <v>-1.3234901444443754</v>
      </c>
      <c r="O599" s="574">
        <f t="shared" si="300"/>
        <v>5191544.685978096</v>
      </c>
      <c r="P599" s="577">
        <f t="shared" si="301"/>
        <v>1.5707961341739984</v>
      </c>
      <c r="Q599" s="586">
        <f t="shared" ref="Q599:Q613" si="323">SQRT(1+(G599/Zero2)^2)</f>
        <v>969.08885733125692</v>
      </c>
      <c r="R599" s="587">
        <f t="shared" ref="R599:R613" si="324">ATAN(G599/Zero2)</f>
        <v>1.5697644294927002</v>
      </c>
      <c r="S599" s="574">
        <f t="shared" si="302"/>
        <v>5.5182593462374472</v>
      </c>
      <c r="T599" s="577">
        <f t="shared" si="303"/>
        <v>1.3885729703238576</v>
      </c>
      <c r="U599" s="578">
        <f t="shared" si="315"/>
        <v>1.230772547778416E-2</v>
      </c>
      <c r="V599" s="579">
        <f t="shared" si="316"/>
        <v>-0.16525659811583396</v>
      </c>
      <c r="W599" s="580">
        <f t="shared" si="304"/>
        <v>-74.466581030005187</v>
      </c>
      <c r="X599" s="581">
        <f t="shared" si="305"/>
        <v>-225.16410305792374</v>
      </c>
      <c r="Y599" s="584">
        <f t="shared" si="306"/>
        <v>-45.164103057923739</v>
      </c>
      <c r="AA599" s="147">
        <f t="shared" si="307"/>
        <v>275420</v>
      </c>
      <c r="AB599" s="147">
        <f t="shared" si="308"/>
        <v>75856176400</v>
      </c>
      <c r="AD599" s="583">
        <f t="shared" si="309"/>
        <v>15.690748021760676</v>
      </c>
      <c r="AE599" s="584">
        <f t="shared" si="310"/>
        <v>-79.618483160421221</v>
      </c>
      <c r="AG599" s="583">
        <f t="shared" si="311"/>
        <v>41.337804244074604</v>
      </c>
      <c r="AH599" s="584">
        <f t="shared" si="312"/>
        <v>-126.60860865841009</v>
      </c>
      <c r="AJ599" s="147">
        <f t="shared" si="313"/>
        <v>0</v>
      </c>
      <c r="AK599" s="147">
        <f t="shared" ref="AK599:AK613" si="325">IF(AJ599&gt;0,Y599,0)</f>
        <v>0</v>
      </c>
      <c r="AM599" s="147" t="str">
        <f t="shared" si="317"/>
        <v>0.027985267127256+0.234919899281284i</v>
      </c>
      <c r="AN599" s="147" t="str">
        <f t="shared" si="318"/>
        <v>19.0866920819147i</v>
      </c>
      <c r="AO599" s="147" t="str">
        <f t="shared" si="319"/>
        <v>0.0123080467937071-0.00146621881922499i</v>
      </c>
      <c r="AP599" s="147" t="str">
        <f t="shared" si="320"/>
        <v>0.162002455478791-0.0391533165468807i</v>
      </c>
      <c r="AQ599" s="147" t="str">
        <f t="shared" si="321"/>
        <v>0.837997544521209+0.0391533165468807i</v>
      </c>
      <c r="AR599" s="147" t="str">
        <f t="shared" si="322"/>
        <v>0.991871081560906-0.046342668524452i</v>
      </c>
    </row>
    <row r="600" spans="7:44">
      <c r="G600" s="585">
        <v>302000</v>
      </c>
      <c r="H600" s="573">
        <f t="shared" si="314"/>
        <v>302</v>
      </c>
      <c r="I600" s="574">
        <f t="shared" si="294"/>
        <v>2628.9327087776423</v>
      </c>
      <c r="J600" s="575">
        <f t="shared" si="295"/>
        <v>1.5704159442842389</v>
      </c>
      <c r="K600" s="575">
        <f t="shared" si="296"/>
        <v>1.1798746570951781</v>
      </c>
      <c r="L600" s="576">
        <f t="shared" si="297"/>
        <v>0.55944901879623765</v>
      </c>
      <c r="M600" s="575">
        <f t="shared" si="298"/>
        <v>4.4566822538753721</v>
      </c>
      <c r="N600" s="576">
        <f t="shared" si="299"/>
        <v>-1.3444873411516789</v>
      </c>
      <c r="O600" s="574">
        <f t="shared" si="300"/>
        <v>5692565.8818000881</v>
      </c>
      <c r="P600" s="577">
        <f t="shared" si="301"/>
        <v>1.5707961511271888</v>
      </c>
      <c r="Q600" s="586">
        <f t="shared" si="323"/>
        <v>1062.612768474399</v>
      </c>
      <c r="R600" s="587">
        <f t="shared" si="324"/>
        <v>1.5698552500665979</v>
      </c>
      <c r="S600" s="574">
        <f t="shared" si="302"/>
        <v>6.0340686050069534</v>
      </c>
      <c r="T600" s="577">
        <f t="shared" si="303"/>
        <v>1.4043025260465356</v>
      </c>
      <c r="U600" s="578">
        <f t="shared" si="315"/>
        <v>6.2915341175218867E-2</v>
      </c>
      <c r="V600" s="579">
        <f t="shared" si="316"/>
        <v>-1.1734315452002106</v>
      </c>
      <c r="W600" s="580">
        <f t="shared" si="304"/>
        <v>-60.904299230698477</v>
      </c>
      <c r="X600" s="581">
        <f t="shared" si="305"/>
        <v>-282.70478128679827</v>
      </c>
      <c r="Y600" s="584">
        <f t="shared" si="306"/>
        <v>-102.70478128679827</v>
      </c>
      <c r="AA600" s="147">
        <f t="shared" si="307"/>
        <v>302000</v>
      </c>
      <c r="AB600" s="147">
        <f t="shared" si="308"/>
        <v>91204000000</v>
      </c>
      <c r="AD600" s="583">
        <f t="shared" si="309"/>
        <v>14.914584521500817</v>
      </c>
      <c r="AE600" s="584">
        <f t="shared" si="310"/>
        <v>-80.514517653739333</v>
      </c>
      <c r="AG600" s="583">
        <f t="shared" si="311"/>
        <v>27.33309933475617</v>
      </c>
      <c r="AH600" s="584">
        <f t="shared" si="312"/>
        <v>-67.724913304436356</v>
      </c>
      <c r="AJ600" s="147">
        <f t="shared" si="313"/>
        <v>0</v>
      </c>
      <c r="AK600" s="147">
        <f t="shared" si="325"/>
        <v>0</v>
      </c>
      <c r="AM600" s="147" t="str">
        <f t="shared" si="317"/>
        <v>1.48672968942114+0.873552636900605i</v>
      </c>
      <c r="AN600" s="147" t="str">
        <f t="shared" si="318"/>
        <v>20.9286943894352i</v>
      </c>
      <c r="AO600" s="147" t="str">
        <f t="shared" si="319"/>
        <v>0.0417394712085611-0.0710378613092865i</v>
      </c>
      <c r="AP600" s="147" t="str">
        <f t="shared" si="320"/>
        <v>-0.0811216149035233-0.145592106150101i</v>
      </c>
      <c r="AQ600" s="147" t="str">
        <f t="shared" si="321"/>
        <v>1.08112161490352+0.145592106150101i</v>
      </c>
      <c r="AR600" s="147" t="str">
        <f t="shared" si="322"/>
        <v>0.756771770813-0.101912675196526i</v>
      </c>
    </row>
    <row r="601" spans="7:44">
      <c r="G601" s="585">
        <v>331130</v>
      </c>
      <c r="H601" s="573">
        <f t="shared" si="314"/>
        <v>331.13</v>
      </c>
      <c r="I601" s="574">
        <f t="shared" si="294"/>
        <v>2882.5115141204778</v>
      </c>
      <c r="J601" s="575">
        <f t="shared" si="295"/>
        <v>1.57044940709825</v>
      </c>
      <c r="K601" s="575">
        <f t="shared" si="296"/>
        <v>1.2130105838481944</v>
      </c>
      <c r="L601" s="576">
        <f t="shared" si="297"/>
        <v>0.60166363329957784</v>
      </c>
      <c r="M601" s="575">
        <f t="shared" si="298"/>
        <v>4.8658250277454105</v>
      </c>
      <c r="N601" s="576">
        <f t="shared" si="299"/>
        <v>-1.3638064220165738</v>
      </c>
      <c r="O601" s="574">
        <f t="shared" si="300"/>
        <v>6241653.4451670805</v>
      </c>
      <c r="P601" s="577">
        <f t="shared" si="301"/>
        <v>1.5707961665809391</v>
      </c>
      <c r="Q601" s="586">
        <f t="shared" si="323"/>
        <v>1165.10907224229</v>
      </c>
      <c r="R601" s="587">
        <f t="shared" si="324"/>
        <v>1.5699380379474395</v>
      </c>
      <c r="S601" s="574">
        <f t="shared" si="302"/>
        <v>6.6007965270063931</v>
      </c>
      <c r="T601" s="577">
        <f t="shared" si="303"/>
        <v>1.4187138821693488</v>
      </c>
      <c r="U601" s="578">
        <f t="shared" si="315"/>
        <v>5.8359187769878001E-2</v>
      </c>
      <c r="V601" s="579">
        <f t="shared" si="316"/>
        <v>-1.9253262709570278</v>
      </c>
      <c r="W601" s="580">
        <f t="shared" si="304"/>
        <v>-62.133329203179372</v>
      </c>
      <c r="X601" s="581">
        <f t="shared" si="305"/>
        <v>-325.29624296247374</v>
      </c>
      <c r="Y601" s="584">
        <f t="shared" si="306"/>
        <v>-145.29624296247374</v>
      </c>
      <c r="AA601" s="147">
        <f t="shared" si="307"/>
        <v>331130</v>
      </c>
      <c r="AB601" s="147">
        <f t="shared" si="308"/>
        <v>109647076900</v>
      </c>
      <c r="AD601" s="583">
        <f t="shared" si="309"/>
        <v>14.134861834987053</v>
      </c>
      <c r="AE601" s="584">
        <f t="shared" si="310"/>
        <v>-81.335485026842264</v>
      </c>
      <c r="AG601" s="583">
        <f t="shared" si="311"/>
        <v>28.189684735734332</v>
      </c>
      <c r="AH601" s="584">
        <f t="shared" si="312"/>
        <v>-23.334618660531707</v>
      </c>
      <c r="AJ601" s="147">
        <f t="shared" si="313"/>
        <v>0</v>
      </c>
      <c r="AK601" s="147">
        <f t="shared" si="325"/>
        <v>0</v>
      </c>
      <c r="AM601" s="147" t="str">
        <f t="shared" si="317"/>
        <v>1.57657654247223-0.817043138806491i</v>
      </c>
      <c r="AN601" s="147" t="str">
        <f t="shared" si="318"/>
        <v>22.9474124939525i</v>
      </c>
      <c r="AO601" s="147" t="str">
        <f t="shared" si="319"/>
        <v>-0.0356050225280002-0.0687038916865994i</v>
      </c>
      <c r="AP601" s="147" t="str">
        <f t="shared" si="320"/>
        <v>-0.0960960904120392+0.136173856467749i</v>
      </c>
      <c r="AQ601" s="147" t="str">
        <f t="shared" si="321"/>
        <v>1.09609609041204-0.136173856467749i</v>
      </c>
      <c r="AR601" s="147" t="str">
        <f t="shared" si="322"/>
        <v>0.748418464631395+0.0929800128583774i</v>
      </c>
    </row>
    <row r="602" spans="7:44">
      <c r="G602" s="585">
        <v>363080</v>
      </c>
      <c r="H602" s="573">
        <f t="shared" si="314"/>
        <v>363.08</v>
      </c>
      <c r="I602" s="574">
        <f t="shared" si="294"/>
        <v>3160.6386312036443</v>
      </c>
      <c r="J602" s="575">
        <f t="shared" si="295"/>
        <v>1.5704799350357086</v>
      </c>
      <c r="K602" s="575">
        <f t="shared" si="296"/>
        <v>1.2516992314412492</v>
      </c>
      <c r="L602" s="576">
        <f t="shared" si="297"/>
        <v>0.64530898381548152</v>
      </c>
      <c r="M602" s="575">
        <f t="shared" si="298"/>
        <v>5.3163266955188364</v>
      </c>
      <c r="N602" s="576">
        <f t="shared" si="299"/>
        <v>-1.3815692729612101</v>
      </c>
      <c r="O602" s="574">
        <f t="shared" si="300"/>
        <v>6843896.756172074</v>
      </c>
      <c r="P602" s="577">
        <f t="shared" si="301"/>
        <v>1.5707961806793085</v>
      </c>
      <c r="Q602" s="586">
        <f t="shared" si="323"/>
        <v>1277.5277858664199</v>
      </c>
      <c r="R602" s="587">
        <f t="shared" si="324"/>
        <v>1.5700135648752087</v>
      </c>
      <c r="S602" s="574">
        <f t="shared" si="302"/>
        <v>7.2237047974845536</v>
      </c>
      <c r="T602" s="577">
        <f t="shared" si="303"/>
        <v>1.431917199679497</v>
      </c>
      <c r="U602" s="578">
        <f t="shared" si="315"/>
        <v>1.1446373512304605E-3</v>
      </c>
      <c r="V602" s="579">
        <f t="shared" si="316"/>
        <v>-2.0170036024632906E-2</v>
      </c>
      <c r="W602" s="580">
        <f t="shared" si="304"/>
        <v>-96.823693628755905</v>
      </c>
      <c r="X602" s="581">
        <f t="shared" si="305"/>
        <v>-215.40979019801944</v>
      </c>
      <c r="Y602" s="584">
        <f t="shared" si="306"/>
        <v>-35.409790198019437</v>
      </c>
      <c r="AA602" s="147">
        <f t="shared" si="307"/>
        <v>363080</v>
      </c>
      <c r="AB602" s="147">
        <f t="shared" si="308"/>
        <v>131827086400</v>
      </c>
      <c r="AD602" s="583">
        <f t="shared" si="309"/>
        <v>13.351588411305022</v>
      </c>
      <c r="AE602" s="584">
        <f t="shared" si="310"/>
        <v>-82.087652830180716</v>
      </c>
      <c r="AG602" s="583">
        <f t="shared" si="311"/>
        <v>62.58024674853074</v>
      </c>
      <c r="AH602" s="584">
        <f t="shared" si="312"/>
        <v>-131.01082149152109</v>
      </c>
      <c r="AJ602" s="147">
        <f t="shared" si="313"/>
        <v>0</v>
      </c>
      <c r="AK602" s="147">
        <f t="shared" si="325"/>
        <v>0</v>
      </c>
      <c r="AM602" s="147" t="str">
        <f t="shared" si="317"/>
        <v>0.000415159435369961+0.0288122632464553i</v>
      </c>
      <c r="AN602" s="147" t="str">
        <f t="shared" si="318"/>
        <v>25.1615574798547i</v>
      </c>
      <c r="AO602" s="147" t="str">
        <f t="shared" si="319"/>
        <v>0.00114509061172082-0.0000164997510866469i</v>
      </c>
      <c r="AP602" s="147" t="str">
        <f t="shared" si="320"/>
        <v>0.166597473427438-0.00480204387440922i</v>
      </c>
      <c r="AQ602" s="147" t="str">
        <f t="shared" si="321"/>
        <v>0.833402526572562+0.00480204387440922i</v>
      </c>
      <c r="AR602" s="147" t="str">
        <f t="shared" si="322"/>
        <v>0.999483825006902-0.00575900003469405i</v>
      </c>
    </row>
    <row r="603" spans="7:44">
      <c r="G603" s="585">
        <v>398110</v>
      </c>
      <c r="H603" s="573">
        <f t="shared" si="314"/>
        <v>398.11</v>
      </c>
      <c r="I603" s="574">
        <f t="shared" si="294"/>
        <v>3465.5773792907607</v>
      </c>
      <c r="J603" s="575">
        <f t="shared" si="295"/>
        <v>1.5705077745842744</v>
      </c>
      <c r="K603" s="575">
        <f t="shared" si="296"/>
        <v>1.2966830430141736</v>
      </c>
      <c r="L603" s="576">
        <f t="shared" si="297"/>
        <v>0.69007466419234276</v>
      </c>
      <c r="M603" s="575">
        <f t="shared" si="298"/>
        <v>5.8118711414937545</v>
      </c>
      <c r="N603" s="576">
        <f t="shared" si="299"/>
        <v>-1.3978742000947535</v>
      </c>
      <c r="O603" s="574">
        <f t="shared" si="300"/>
        <v>7504196.6993490681</v>
      </c>
      <c r="P603" s="577">
        <f t="shared" si="301"/>
        <v>1.5707961935361296</v>
      </c>
      <c r="Q603" s="586">
        <f t="shared" si="323"/>
        <v>1400.7837408215607</v>
      </c>
      <c r="R603" s="587">
        <f t="shared" si="324"/>
        <v>1.5700824406640137</v>
      </c>
      <c r="S603" s="574">
        <f t="shared" si="302"/>
        <v>7.9078699165407009</v>
      </c>
      <c r="T603" s="577">
        <f t="shared" si="303"/>
        <v>1.4440005431660652</v>
      </c>
      <c r="U603" s="578">
        <f t="shared" si="315"/>
        <v>5.0157452523645479E-2</v>
      </c>
      <c r="V603" s="579">
        <f t="shared" si="316"/>
        <v>-1.3213472127192587</v>
      </c>
      <c r="W603" s="580">
        <f t="shared" si="304"/>
        <v>-64.495585357777458</v>
      </c>
      <c r="X603" s="581">
        <f t="shared" si="305"/>
        <v>-289.02104398033345</v>
      </c>
      <c r="Y603" s="584">
        <f t="shared" si="306"/>
        <v>-109.02104398033345</v>
      </c>
      <c r="AA603" s="147">
        <f t="shared" si="307"/>
        <v>398110</v>
      </c>
      <c r="AB603" s="147">
        <f t="shared" si="308"/>
        <v>158491572100</v>
      </c>
      <c r="AD603" s="583">
        <f t="shared" si="309"/>
        <v>12.565597428884134</v>
      </c>
      <c r="AE603" s="584">
        <f t="shared" si="310"/>
        <v>-82.776031859786968</v>
      </c>
      <c r="AG603" s="583">
        <f t="shared" si="311"/>
        <v>30.027643711442455</v>
      </c>
      <c r="AH603" s="584">
        <f t="shared" si="312"/>
        <v>-54.829774827152313</v>
      </c>
      <c r="AJ603" s="147">
        <f t="shared" si="313"/>
        <v>0</v>
      </c>
      <c r="AK603" s="147">
        <f t="shared" si="325"/>
        <v>0</v>
      </c>
      <c r="AM603" s="147" t="str">
        <f t="shared" si="317"/>
        <v>1.77430106927828+0.632817393972785i</v>
      </c>
      <c r="AN603" s="147" t="str">
        <f t="shared" si="318"/>
        <v>27.5891474284041i</v>
      </c>
      <c r="AO603" s="147" t="str">
        <f t="shared" si="319"/>
        <v>0.0229371855587417-0.0643115585170844i</v>
      </c>
      <c r="AP603" s="147" t="str">
        <f t="shared" si="320"/>
        <v>-0.129050178213047-0.105469565662131i</v>
      </c>
      <c r="AQ603" s="147" t="str">
        <f t="shared" si="321"/>
        <v>1.12905017821305+0.105469565662131i</v>
      </c>
      <c r="AR603" s="147" t="str">
        <f t="shared" si="322"/>
        <v>0.731405856771768-0.0683238526728267i</v>
      </c>
    </row>
    <row r="604" spans="7:44">
      <c r="G604" s="585">
        <v>436520</v>
      </c>
      <c r="H604" s="573">
        <f t="shared" si="314"/>
        <v>436.52</v>
      </c>
      <c r="I604" s="574">
        <f t="shared" si="294"/>
        <v>3799.9392806318097</v>
      </c>
      <c r="J604" s="575">
        <f t="shared" si="295"/>
        <v>1.5705331646921126</v>
      </c>
      <c r="K604" s="575">
        <f t="shared" si="296"/>
        <v>1.348781395020622</v>
      </c>
      <c r="L604" s="576">
        <f t="shared" si="297"/>
        <v>0.73562723829205734</v>
      </c>
      <c r="M604" s="575">
        <f t="shared" si="298"/>
        <v>6.3567154284641694</v>
      </c>
      <c r="N604" s="576">
        <f t="shared" si="299"/>
        <v>-1.4128261854303497</v>
      </c>
      <c r="O604" s="574">
        <f t="shared" si="300"/>
        <v>8228208.1414680611</v>
      </c>
      <c r="P604" s="577">
        <f t="shared" si="301"/>
        <v>1.5707962052617532</v>
      </c>
      <c r="Q604" s="586">
        <f t="shared" si="323"/>
        <v>1535.9325119425312</v>
      </c>
      <c r="R604" s="587">
        <f t="shared" si="324"/>
        <v>1.570145256475808</v>
      </c>
      <c r="S604" s="574">
        <f t="shared" si="302"/>
        <v>8.6591564071653107</v>
      </c>
      <c r="T604" s="577">
        <f t="shared" si="303"/>
        <v>1.4550533853958016</v>
      </c>
      <c r="U604" s="578">
        <f t="shared" si="315"/>
        <v>3.2001848166755949E-2</v>
      </c>
      <c r="V604" s="579">
        <f t="shared" si="316"/>
        <v>-2.3966466851319614</v>
      </c>
      <c r="W604" s="580">
        <f t="shared" si="304"/>
        <v>-68.866645862671419</v>
      </c>
      <c r="X604" s="581">
        <f t="shared" si="305"/>
        <v>-349.50901849287817</v>
      </c>
      <c r="Y604" s="584">
        <f t="shared" si="306"/>
        <v>-169.50901849287817</v>
      </c>
      <c r="AA604" s="147">
        <f t="shared" si="307"/>
        <v>436520</v>
      </c>
      <c r="AB604" s="147">
        <f t="shared" si="308"/>
        <v>190549710400</v>
      </c>
      <c r="AD604" s="583">
        <f t="shared" si="309"/>
        <v>11.777275704416603</v>
      </c>
      <c r="AE604" s="584">
        <f t="shared" si="310"/>
        <v>-83.405714662820586</v>
      </c>
      <c r="AG604" s="583">
        <f t="shared" si="311"/>
        <v>34.251321346209586</v>
      </c>
      <c r="AH604" s="584">
        <f t="shared" si="312"/>
        <v>8.5321765679201516</v>
      </c>
      <c r="AJ604" s="147">
        <f t="shared" si="313"/>
        <v>0</v>
      </c>
      <c r="AK604" s="147">
        <f t="shared" si="325"/>
        <v>0</v>
      </c>
      <c r="AM604" s="147" t="str">
        <f t="shared" si="317"/>
        <v>0.605207289129575-0.918770219066542i</v>
      </c>
      <c r="AN604" s="147" t="str">
        <f t="shared" si="318"/>
        <v>30.250972433365i</v>
      </c>
      <c r="AO604" s="147" t="str">
        <f t="shared" si="319"/>
        <v>-0.0303715928831826-0.0200062094024478i</v>
      </c>
      <c r="AP604" s="147" t="str">
        <f t="shared" si="320"/>
        <v>0.0657987851450708+0.153128369844424i</v>
      </c>
      <c r="AQ604" s="147" t="str">
        <f t="shared" si="321"/>
        <v>0.934201214854929-0.153128369844424i</v>
      </c>
      <c r="AR604" s="147" t="str">
        <f t="shared" si="322"/>
        <v>0.868340547439385+0.142332904715668i</v>
      </c>
    </row>
    <row r="605" spans="7:44">
      <c r="G605" s="585">
        <v>478630</v>
      </c>
      <c r="H605" s="573">
        <f t="shared" si="314"/>
        <v>478.63</v>
      </c>
      <c r="I605" s="574">
        <f t="shared" si="294"/>
        <v>4166.5099589813408</v>
      </c>
      <c r="J605" s="575">
        <f t="shared" si="295"/>
        <v>1.5705563177658901</v>
      </c>
      <c r="K605" s="575">
        <f t="shared" si="296"/>
        <v>1.4088610169597704</v>
      </c>
      <c r="L605" s="576">
        <f t="shared" si="297"/>
        <v>0.78159170921483956</v>
      </c>
      <c r="M605" s="575">
        <f t="shared" si="298"/>
        <v>6.9554087382757626</v>
      </c>
      <c r="N605" s="576">
        <f t="shared" si="299"/>
        <v>-1.4265233449804082</v>
      </c>
      <c r="O605" s="574">
        <f t="shared" si="300"/>
        <v>9021962.9404170569</v>
      </c>
      <c r="P605" s="577">
        <f t="shared" si="301"/>
        <v>1.5707962159542728</v>
      </c>
      <c r="Q605" s="586">
        <f t="shared" si="323"/>
        <v>1684.1000457723419</v>
      </c>
      <c r="R605" s="587">
        <f t="shared" si="324"/>
        <v>1.5702025378087408</v>
      </c>
      <c r="S605" s="574">
        <f t="shared" si="302"/>
        <v>9.4838272863008157</v>
      </c>
      <c r="T605" s="577">
        <f t="shared" si="303"/>
        <v>1.4651572922123131</v>
      </c>
      <c r="U605" s="578">
        <f t="shared" si="315"/>
        <v>3.7005722857025601E-2</v>
      </c>
      <c r="V605" s="579">
        <f t="shared" si="316"/>
        <v>-1.0344064886935489</v>
      </c>
      <c r="W605" s="580">
        <f t="shared" si="304"/>
        <v>-68.0345164731729</v>
      </c>
      <c r="X605" s="581">
        <f t="shared" si="305"/>
        <v>-270.18658012995837</v>
      </c>
      <c r="Y605" s="584">
        <f t="shared" si="306"/>
        <v>-90.186580129958372</v>
      </c>
      <c r="AA605" s="147">
        <f t="shared" si="307"/>
        <v>478630</v>
      </c>
      <c r="AB605" s="147">
        <f t="shared" si="308"/>
        <v>229086676900</v>
      </c>
      <c r="AD605" s="583">
        <f t="shared" si="309"/>
        <v>10.98711435363597</v>
      </c>
      <c r="AE605" s="584">
        <f t="shared" si="310"/>
        <v>-83.98134451467223</v>
      </c>
      <c r="AG605" s="583">
        <f t="shared" si="311"/>
        <v>33.349858821617417</v>
      </c>
      <c r="AH605" s="584">
        <f t="shared" si="312"/>
        <v>-67.670983273666536</v>
      </c>
      <c r="AJ605" s="147">
        <f t="shared" si="313"/>
        <v>0</v>
      </c>
      <c r="AK605" s="147">
        <f t="shared" si="325"/>
        <v>0</v>
      </c>
      <c r="AM605" s="147" t="str">
        <f t="shared" si="317"/>
        <v>1.18147458961712+0.983395634179499i</v>
      </c>
      <c r="AN605" s="147" t="str">
        <f t="shared" si="318"/>
        <v>33.1692085947528i</v>
      </c>
      <c r="AO605" s="147" t="str">
        <f t="shared" si="319"/>
        <v>0.0296478473814135-0.0356196195107297i</v>
      </c>
      <c r="AP605" s="147" t="str">
        <f t="shared" si="320"/>
        <v>-0.0302457649361865-0.16389927236325i</v>
      </c>
      <c r="AQ605" s="147" t="str">
        <f t="shared" si="321"/>
        <v>1.03024576493619+0.16389927236325i</v>
      </c>
      <c r="AR605" s="147" t="str">
        <f t="shared" si="322"/>
        <v>0.788586718525491-0.12545432726885i</v>
      </c>
    </row>
    <row r="606" spans="7:44">
      <c r="G606" s="585">
        <v>524810</v>
      </c>
      <c r="H606" s="573">
        <f t="shared" si="314"/>
        <v>524.80999999999995</v>
      </c>
      <c r="I606" s="574">
        <f t="shared" si="294"/>
        <v>4568.5102918267239</v>
      </c>
      <c r="J606" s="575">
        <f t="shared" si="295"/>
        <v>1.5705774370597079</v>
      </c>
      <c r="K606" s="575">
        <f t="shared" si="296"/>
        <v>1.477873260183068</v>
      </c>
      <c r="L606" s="576">
        <f t="shared" si="297"/>
        <v>0.82759570883780753</v>
      </c>
      <c r="M606" s="575">
        <f t="shared" si="298"/>
        <v>7.6132194157743447</v>
      </c>
      <c r="N606" s="576">
        <f t="shared" si="299"/>
        <v>-1.4390651900273845</v>
      </c>
      <c r="O606" s="574">
        <f t="shared" si="300"/>
        <v>9892435.431879051</v>
      </c>
      <c r="P606" s="577">
        <f t="shared" si="301"/>
        <v>1.5707962257075549</v>
      </c>
      <c r="Q606" s="586">
        <f t="shared" si="323"/>
        <v>1846.5882180537253</v>
      </c>
      <c r="R606" s="587">
        <f t="shared" si="324"/>
        <v>1.570254787517704</v>
      </c>
      <c r="S606" s="574">
        <f t="shared" si="302"/>
        <v>10.389131715193505</v>
      </c>
      <c r="T606" s="577">
        <f t="shared" si="303"/>
        <v>1.474392637460195</v>
      </c>
      <c r="U606" s="578">
        <f t="shared" si="315"/>
        <v>2.9021291686570246E-2</v>
      </c>
      <c r="V606" s="579">
        <f t="shared" si="316"/>
        <v>-2.3098022278583188</v>
      </c>
      <c r="W606" s="580">
        <f t="shared" si="304"/>
        <v>-70.537221219991494</v>
      </c>
      <c r="X606" s="581">
        <f t="shared" si="305"/>
        <v>-341.87149626683043</v>
      </c>
      <c r="Y606" s="584">
        <f t="shared" si="306"/>
        <v>-161.87149626683043</v>
      </c>
      <c r="AA606" s="147">
        <f t="shared" si="307"/>
        <v>524810</v>
      </c>
      <c r="AB606" s="147">
        <f t="shared" si="308"/>
        <v>275425536100</v>
      </c>
      <c r="AD606" s="583">
        <f t="shared" si="309"/>
        <v>10.195201774150791</v>
      </c>
      <c r="AE606" s="584">
        <f t="shared" si="310"/>
        <v>-84.507497691340816</v>
      </c>
      <c r="AG606" s="583">
        <f t="shared" si="311"/>
        <v>35.861152805189178</v>
      </c>
      <c r="AH606" s="584">
        <f t="shared" si="312"/>
        <v>7.3198400593489108</v>
      </c>
      <c r="AJ606" s="147">
        <f t="shared" si="313"/>
        <v>0</v>
      </c>
      <c r="AK606" s="147">
        <f t="shared" si="325"/>
        <v>0</v>
      </c>
      <c r="AM606" s="147" t="str">
        <f t="shared" si="317"/>
        <v>0.761149892349881-0.971056448449588i</v>
      </c>
      <c r="AN606" s="147" t="str">
        <f t="shared" si="318"/>
        <v>36.3694970282101i</v>
      </c>
      <c r="AO606" s="147" t="str">
        <f t="shared" si="319"/>
        <v>-0.0266997491798247-0.0209282490698041i</v>
      </c>
      <c r="AP606" s="147" t="str">
        <f t="shared" si="320"/>
        <v>0.0398083512750198+0.161842741408265i</v>
      </c>
      <c r="AQ606" s="147" t="str">
        <f t="shared" si="321"/>
        <v>0.96019164872498-0.161842741408265i</v>
      </c>
      <c r="AR606" s="147" t="str">
        <f t="shared" si="322"/>
        <v>0.84356937263618+0.142185760537263i</v>
      </c>
    </row>
    <row r="607" spans="7:44">
      <c r="G607" s="585">
        <v>575440</v>
      </c>
      <c r="H607" s="573">
        <f t="shared" si="314"/>
        <v>575.44000000000005</v>
      </c>
      <c r="I607" s="574">
        <f t="shared" si="294"/>
        <v>5009.2482074158725</v>
      </c>
      <c r="J607" s="575">
        <f t="shared" si="295"/>
        <v>1.5705966960388957</v>
      </c>
      <c r="K607" s="575">
        <f t="shared" si="296"/>
        <v>1.5567912889511772</v>
      </c>
      <c r="L607" s="576">
        <f t="shared" si="297"/>
        <v>0.87323984182220471</v>
      </c>
      <c r="M607" s="575">
        <f t="shared" si="298"/>
        <v>8.3355664864454333</v>
      </c>
      <c r="N607" s="576">
        <f t="shared" si="299"/>
        <v>-1.4505388271279285</v>
      </c>
      <c r="O607" s="574">
        <f t="shared" si="300"/>
        <v>10846788.447096048</v>
      </c>
      <c r="P607" s="577">
        <f t="shared" si="301"/>
        <v>1.5707962346017093</v>
      </c>
      <c r="Q607" s="586">
        <f t="shared" si="323"/>
        <v>2024.7340904039427</v>
      </c>
      <c r="R607" s="587">
        <f t="shared" si="324"/>
        <v>1.5703024347596934</v>
      </c>
      <c r="S607" s="574">
        <f t="shared" si="302"/>
        <v>11.382521610408835</v>
      </c>
      <c r="T607" s="577">
        <f t="shared" si="303"/>
        <v>1.4828289228872749</v>
      </c>
      <c r="U607" s="578">
        <f t="shared" si="315"/>
        <v>3.3550912325559165E-2</v>
      </c>
      <c r="V607" s="579">
        <f t="shared" si="316"/>
        <v>-1.2137667846667803</v>
      </c>
      <c r="W607" s="580">
        <f t="shared" si="304"/>
        <v>-69.631413517743667</v>
      </c>
      <c r="X607" s="581">
        <f t="shared" si="305"/>
        <v>-277.59720343543717</v>
      </c>
      <c r="Y607" s="584">
        <f t="shared" si="306"/>
        <v>-97.597203435437166</v>
      </c>
      <c r="AA607" s="147">
        <f t="shared" si="307"/>
        <v>575440</v>
      </c>
      <c r="AB607" s="147">
        <f t="shared" si="308"/>
        <v>331131193600</v>
      </c>
      <c r="AD607" s="583">
        <f t="shared" si="309"/>
        <v>9.4020169368591553</v>
      </c>
      <c r="AE607" s="584">
        <f t="shared" si="310"/>
        <v>-84.988131765355462</v>
      </c>
      <c r="AG607" s="583">
        <f t="shared" si="311"/>
        <v>35.040641508515208</v>
      </c>
      <c r="AH607" s="584">
        <f t="shared" si="312"/>
        <v>-53.521643362009719</v>
      </c>
      <c r="AJ607" s="147">
        <f t="shared" si="313"/>
        <v>0</v>
      </c>
      <c r="AK607" s="147">
        <f t="shared" si="325"/>
        <v>0</v>
      </c>
      <c r="AM607" s="147" t="str">
        <f t="shared" si="317"/>
        <v>1.57144342818756+0.820641461529481i</v>
      </c>
      <c r="AN607" s="147" t="str">
        <f t="shared" si="318"/>
        <v>39.8781718525052i</v>
      </c>
      <c r="AO607" s="147" t="str">
        <f t="shared" si="319"/>
        <v>0.0205787132009144-0.0394061050240657i</v>
      </c>
      <c r="AP607" s="147" t="str">
        <f t="shared" si="320"/>
        <v>-0.0952405713645942-0.13677357692158i</v>
      </c>
      <c r="AQ607" s="147" t="str">
        <f t="shared" si="321"/>
        <v>1.09524057136459+0.13677357692158i</v>
      </c>
      <c r="AR607" s="147" t="str">
        <f t="shared" si="322"/>
        <v>0.748884642327963-0.0935206692582765i</v>
      </c>
    </row>
    <row r="608" spans="7:44">
      <c r="G608" s="585">
        <v>630960</v>
      </c>
      <c r="H608" s="573">
        <f t="shared" si="314"/>
        <v>630.96</v>
      </c>
      <c r="I608" s="574">
        <f t="shared" si="294"/>
        <v>5492.5539384736094</v>
      </c>
      <c r="J608" s="575">
        <f t="shared" si="295"/>
        <v>1.5706142621275805</v>
      </c>
      <c r="K608" s="575">
        <f t="shared" si="296"/>
        <v>1.6466804857066648</v>
      </c>
      <c r="L608" s="576">
        <f t="shared" si="297"/>
        <v>0.91816086126859764</v>
      </c>
      <c r="M608" s="575">
        <f t="shared" si="298"/>
        <v>9.1287320994719128</v>
      </c>
      <c r="N608" s="576">
        <f t="shared" si="299"/>
        <v>-1.4610318100189541</v>
      </c>
      <c r="O608" s="574">
        <f t="shared" si="300"/>
        <v>11893315.790664043</v>
      </c>
      <c r="P608" s="577">
        <f t="shared" si="301"/>
        <v>1.5707962427140552</v>
      </c>
      <c r="Q608" s="586">
        <f t="shared" si="323"/>
        <v>2220.0858394738084</v>
      </c>
      <c r="R608" s="587">
        <f t="shared" si="324"/>
        <v>1.5703458937458521</v>
      </c>
      <c r="S608" s="574">
        <f t="shared" si="302"/>
        <v>12.472631840235783</v>
      </c>
      <c r="T608" s="577">
        <f t="shared" si="303"/>
        <v>1.4905346405149862</v>
      </c>
      <c r="U608" s="578">
        <f t="shared" si="315"/>
        <v>5.8039159912140082E-3</v>
      </c>
      <c r="V608" s="579">
        <f t="shared" si="316"/>
        <v>-2.9629262217695165</v>
      </c>
      <c r="W608" s="580">
        <f t="shared" si="304"/>
        <v>-85.18842023951072</v>
      </c>
      <c r="X608" s="581">
        <f t="shared" si="305"/>
        <v>-376.2840978073703</v>
      </c>
      <c r="Y608" s="584">
        <f t="shared" si="306"/>
        <v>-196.2840978073703</v>
      </c>
      <c r="AA608" s="147">
        <f t="shared" si="307"/>
        <v>630960</v>
      </c>
      <c r="AB608" s="147">
        <f t="shared" si="308"/>
        <v>398110521600</v>
      </c>
      <c r="AD608" s="583">
        <f t="shared" si="309"/>
        <v>8.607624363227762</v>
      </c>
      <c r="AE608" s="584">
        <f t="shared" si="310"/>
        <v>-85.427147312358912</v>
      </c>
      <c r="AG608" s="583">
        <f t="shared" si="311"/>
        <v>50.757356020546275</v>
      </c>
      <c r="AH608" s="584">
        <f t="shared" si="312"/>
        <v>48.669384925026577</v>
      </c>
      <c r="AJ608" s="147">
        <f t="shared" si="313"/>
        <v>0</v>
      </c>
      <c r="AK608" s="147">
        <f t="shared" si="325"/>
        <v>0</v>
      </c>
      <c r="AM608" s="147" t="str">
        <f t="shared" si="317"/>
        <v>0.032734415635014-0.253766209931628i</v>
      </c>
      <c r="AN608" s="147" t="str">
        <f t="shared" si="318"/>
        <v>43.725725205159i</v>
      </c>
      <c r="AO608" s="147" t="str">
        <f t="shared" si="319"/>
        <v>-0.00580359064923381-0.000748630594036478i</v>
      </c>
      <c r="AP608" s="147" t="str">
        <f t="shared" si="320"/>
        <v>0.161210930727498+0.042294368321938i</v>
      </c>
      <c r="AQ608" s="147" t="str">
        <f t="shared" si="321"/>
        <v>0.838789069272502-0.042294368321938i</v>
      </c>
      <c r="AR608" s="147" t="str">
        <f t="shared" si="322"/>
        <v>0.990579760564811+0.0499481297269675i</v>
      </c>
    </row>
    <row r="609" spans="7:44">
      <c r="G609" s="585">
        <v>691830</v>
      </c>
      <c r="H609" s="573">
        <f t="shared" si="314"/>
        <v>691.83</v>
      </c>
      <c r="I609" s="574">
        <f t="shared" si="294"/>
        <v>6022.4318192269757</v>
      </c>
      <c r="J609" s="575">
        <f t="shared" si="295"/>
        <v>1.5706302809126664</v>
      </c>
      <c r="K609" s="575">
        <f t="shared" si="296"/>
        <v>1.7486339119512784</v>
      </c>
      <c r="L609" s="576">
        <f t="shared" si="297"/>
        <v>0.96200666494000231</v>
      </c>
      <c r="M609" s="575">
        <f t="shared" si="298"/>
        <v>9.9992913769140248</v>
      </c>
      <c r="N609" s="576">
        <f t="shared" si="299"/>
        <v>-1.4706217831960937</v>
      </c>
      <c r="O609" s="574">
        <f t="shared" si="300"/>
        <v>13040688.258297039</v>
      </c>
      <c r="P609" s="577">
        <f t="shared" si="301"/>
        <v>1.5707962501118273</v>
      </c>
      <c r="Q609" s="586">
        <f t="shared" si="323"/>
        <v>2434.2620136165101</v>
      </c>
      <c r="R609" s="587">
        <f t="shared" si="324"/>
        <v>1.5703855246616287</v>
      </c>
      <c r="S609" s="574">
        <f t="shared" si="302"/>
        <v>13.66849567719003</v>
      </c>
      <c r="T609" s="577">
        <f t="shared" si="303"/>
        <v>1.4975699625755794</v>
      </c>
      <c r="U609" s="578">
        <f t="shared" si="315"/>
        <v>2.8444973205429235E-2</v>
      </c>
      <c r="V609" s="579">
        <f t="shared" si="316"/>
        <v>-1.8718695976204465</v>
      </c>
      <c r="W609" s="580">
        <f t="shared" si="304"/>
        <v>-71.664969329099776</v>
      </c>
      <c r="X609" s="581">
        <f t="shared" si="305"/>
        <v>-312.21018525959965</v>
      </c>
      <c r="Y609" s="584">
        <f t="shared" si="306"/>
        <v>-132.21018525959965</v>
      </c>
      <c r="AA609" s="147">
        <f t="shared" si="307"/>
        <v>691830</v>
      </c>
      <c r="AB609" s="147">
        <f t="shared" si="308"/>
        <v>478628748900</v>
      </c>
      <c r="AD609" s="583">
        <f t="shared" si="309"/>
        <v>7.8123718855381981</v>
      </c>
      <c r="AE609" s="584">
        <f t="shared" si="310"/>
        <v>-85.827971314053073</v>
      </c>
      <c r="AG609" s="583">
        <f t="shared" si="311"/>
        <v>37.464682952957453</v>
      </c>
      <c r="AH609" s="584">
        <f t="shared" si="312"/>
        <v>-11.881758215437651</v>
      </c>
      <c r="AJ609" s="147">
        <f t="shared" si="313"/>
        <v>0</v>
      </c>
      <c r="AK609" s="147">
        <f t="shared" si="325"/>
        <v>0</v>
      </c>
      <c r="AM609" s="147" t="str">
        <f t="shared" si="317"/>
        <v>1.68211487238986-0.731245034762332i</v>
      </c>
      <c r="AN609" s="147" t="str">
        <f t="shared" si="318"/>
        <v>47.9440352299435i</v>
      </c>
      <c r="AO609" s="147" t="str">
        <f t="shared" si="319"/>
        <v>-0.0152520544266919-0.03508496655157i</v>
      </c>
      <c r="AP609" s="147" t="str">
        <f t="shared" si="320"/>
        <v>-0.113685812064977+0.121874172460389i</v>
      </c>
      <c r="AQ609" s="147" t="str">
        <f t="shared" si="321"/>
        <v>1.11368581206498-0.121874172460389i</v>
      </c>
      <c r="AR609" s="147" t="str">
        <f t="shared" si="322"/>
        <v>0.739115423263628+0.0808837461940379i</v>
      </c>
    </row>
    <row r="610" spans="7:44">
      <c r="G610" s="585">
        <v>758580</v>
      </c>
      <c r="H610" s="573">
        <f t="shared" si="314"/>
        <v>758.58</v>
      </c>
      <c r="I610" s="574">
        <f t="shared" si="294"/>
        <v>6603.495539125619</v>
      </c>
      <c r="J610" s="575">
        <f t="shared" si="295"/>
        <v>1.5706448918468607</v>
      </c>
      <c r="K610" s="575">
        <f t="shared" si="296"/>
        <v>1.863852731352641</v>
      </c>
      <c r="L610" s="576">
        <f t="shared" si="297"/>
        <v>1.0044847764543443</v>
      </c>
      <c r="M610" s="575">
        <f t="shared" si="298"/>
        <v>10.954827040486965</v>
      </c>
      <c r="N610" s="576">
        <f t="shared" si="299"/>
        <v>-1.4793851138682204</v>
      </c>
      <c r="O610" s="574">
        <f t="shared" si="300"/>
        <v>14298896.114622036</v>
      </c>
      <c r="P610" s="577">
        <f t="shared" si="301"/>
        <v>1.570796256859428</v>
      </c>
      <c r="Q610" s="586">
        <f t="shared" si="323"/>
        <v>2669.1274620565819</v>
      </c>
      <c r="R610" s="587">
        <f t="shared" si="324"/>
        <v>1.5704216725164442</v>
      </c>
      <c r="S610" s="574">
        <f t="shared" si="302"/>
        <v>14.980526666875786</v>
      </c>
      <c r="T610" s="577">
        <f t="shared" si="303"/>
        <v>1.5039933242570009</v>
      </c>
      <c r="U610" s="578">
        <f t="shared" si="315"/>
        <v>2.5888001273978854E-2</v>
      </c>
      <c r="V610" s="579">
        <f t="shared" si="316"/>
        <v>-1.2630898061263174</v>
      </c>
      <c r="W610" s="580">
        <f t="shared" si="304"/>
        <v>-72.7322968039431</v>
      </c>
      <c r="X610" s="581">
        <f t="shared" si="305"/>
        <v>-275.76475578960464</v>
      </c>
      <c r="Y610" s="584">
        <f t="shared" si="306"/>
        <v>-95.764755789604635</v>
      </c>
      <c r="AA610" s="147">
        <f t="shared" si="307"/>
        <v>758580</v>
      </c>
      <c r="AB610" s="147">
        <f t="shared" si="308"/>
        <v>575443616400</v>
      </c>
      <c r="AD610" s="583">
        <f t="shared" si="309"/>
        <v>7.0162445169684453</v>
      </c>
      <c r="AE610" s="584">
        <f t="shared" si="310"/>
        <v>-86.193932096192412</v>
      </c>
      <c r="AG610" s="583">
        <f t="shared" si="311"/>
        <v>38.829763154817137</v>
      </c>
      <c r="AH610" s="584">
        <f t="shared" si="312"/>
        <v>-44.831393453952558</v>
      </c>
      <c r="AJ610" s="147">
        <f t="shared" si="313"/>
        <v>0</v>
      </c>
      <c r="AK610" s="147">
        <f t="shared" si="325"/>
        <v>0</v>
      </c>
      <c r="AM610" s="147" t="str">
        <f t="shared" si="317"/>
        <v>1.66951251105982+0.742800779169206i</v>
      </c>
      <c r="AN610" s="147" t="str">
        <f t="shared" si="318"/>
        <v>52.569831092509i</v>
      </c>
      <c r="AO610" s="147" t="str">
        <f t="shared" si="319"/>
        <v>0.0141297920067895-0.0317579964851308i</v>
      </c>
      <c r="AP610" s="147" t="str">
        <f t="shared" si="320"/>
        <v>-0.111585418509969-0.123800129861534i</v>
      </c>
      <c r="AQ610" s="147" t="str">
        <f t="shared" si="321"/>
        <v>1.11158541850997+0.123800129861534i</v>
      </c>
      <c r="AR610" s="147" t="str">
        <f t="shared" si="322"/>
        <v>0.740198792073113-0.082437845131899i</v>
      </c>
    </row>
    <row r="611" spans="7:44">
      <c r="G611" s="585">
        <v>831760</v>
      </c>
      <c r="H611" s="573">
        <f t="shared" si="314"/>
        <v>831.76</v>
      </c>
      <c r="I611" s="574">
        <f t="shared" si="294"/>
        <v>7240.532889119967</v>
      </c>
      <c r="J611" s="575">
        <f t="shared" si="295"/>
        <v>1.5706582154129731</v>
      </c>
      <c r="K611" s="575">
        <f t="shared" si="296"/>
        <v>1.9935627679470047</v>
      </c>
      <c r="L611" s="576">
        <f t="shared" si="297"/>
        <v>1.045332276546411</v>
      </c>
      <c r="M611" s="575">
        <f t="shared" si="298"/>
        <v>12.003214435741423</v>
      </c>
      <c r="N611" s="576">
        <f t="shared" si="299"/>
        <v>-1.4873886345495835</v>
      </c>
      <c r="O611" s="574">
        <f t="shared" si="300"/>
        <v>15678306.615384033</v>
      </c>
      <c r="P611" s="577">
        <f t="shared" si="301"/>
        <v>1.5707962630124981</v>
      </c>
      <c r="Q611" s="586">
        <f t="shared" si="323"/>
        <v>2926.6174057173857</v>
      </c>
      <c r="R611" s="587">
        <f t="shared" si="324"/>
        <v>1.5704546353877775</v>
      </c>
      <c r="S611" s="574">
        <f t="shared" si="302"/>
        <v>16.419536335143206</v>
      </c>
      <c r="T611" s="577">
        <f t="shared" si="303"/>
        <v>1.509855554118728</v>
      </c>
      <c r="U611" s="578">
        <f t="shared" si="315"/>
        <v>1.6057917217779955E-2</v>
      </c>
      <c r="V611" s="579">
        <f t="shared" si="316"/>
        <v>-0.70518920422602926</v>
      </c>
      <c r="W611" s="580">
        <f t="shared" si="304"/>
        <v>-77.098884829680841</v>
      </c>
      <c r="X611" s="581">
        <f t="shared" si="305"/>
        <v>-242.25234060482413</v>
      </c>
      <c r="Y611" s="584">
        <f t="shared" si="306"/>
        <v>-62.252340604824127</v>
      </c>
      <c r="AA611" s="147">
        <f t="shared" si="307"/>
        <v>831760</v>
      </c>
      <c r="AB611" s="147">
        <f t="shared" si="308"/>
        <v>691824697600</v>
      </c>
      <c r="AD611" s="583">
        <f t="shared" si="309"/>
        <v>6.2195682731534223</v>
      </c>
      <c r="AE611" s="584">
        <f t="shared" si="310"/>
        <v>-86.527924845323511</v>
      </c>
      <c r="AG611" s="583">
        <f t="shared" si="311"/>
        <v>43.556223637134259</v>
      </c>
      <c r="AH611" s="584">
        <f t="shared" si="312"/>
        <v>-74.915685346482107</v>
      </c>
      <c r="AJ611" s="147">
        <f t="shared" si="313"/>
        <v>0</v>
      </c>
      <c r="AK611" s="147">
        <f t="shared" si="325"/>
        <v>0</v>
      </c>
      <c r="AM611" s="147" t="str">
        <f t="shared" si="317"/>
        <v>0.539786088704174+0.887808062505515i</v>
      </c>
      <c r="AN611" s="147" t="str">
        <f t="shared" si="318"/>
        <v>57.6412279647569i</v>
      </c>
      <c r="AO611" s="147" t="str">
        <f t="shared" si="319"/>
        <v>0.0154023100106115-0.00936458343729615i</v>
      </c>
      <c r="AP611" s="147" t="str">
        <f t="shared" si="320"/>
        <v>0.0767023185493043-0.147968010417586i</v>
      </c>
      <c r="AQ611" s="147" t="str">
        <f t="shared" si="321"/>
        <v>0.923297681450696+0.147968010417586i</v>
      </c>
      <c r="AR611" s="147" t="str">
        <f t="shared" si="322"/>
        <v>0.879609554395765-0.14096653584545i</v>
      </c>
    </row>
    <row r="612" spans="7:44">
      <c r="G612" s="585">
        <v>912010</v>
      </c>
      <c r="H612" s="573">
        <f t="shared" si="314"/>
        <v>912.01</v>
      </c>
      <c r="I612" s="574">
        <f t="shared" si="294"/>
        <v>7939.1151168732476</v>
      </c>
      <c r="J612" s="575">
        <f t="shared" si="295"/>
        <v>1.5706703681725662</v>
      </c>
      <c r="K612" s="575">
        <f t="shared" si="296"/>
        <v>2.1391381315618268</v>
      </c>
      <c r="L612" s="576">
        <f t="shared" si="297"/>
        <v>1.084360642162024</v>
      </c>
      <c r="M612" s="575">
        <f t="shared" si="298"/>
        <v>13.153623842739979</v>
      </c>
      <c r="N612" s="576">
        <f t="shared" si="299"/>
        <v>-1.494698225013495</v>
      </c>
      <c r="O612" s="574">
        <f t="shared" si="300"/>
        <v>17190983.476359032</v>
      </c>
      <c r="P612" s="577">
        <f t="shared" si="301"/>
        <v>1.570796268624868</v>
      </c>
      <c r="Q612" s="586">
        <f t="shared" si="323"/>
        <v>3208.983738066253</v>
      </c>
      <c r="R612" s="587">
        <f t="shared" si="324"/>
        <v>1.5704847016519199</v>
      </c>
      <c r="S612" s="574">
        <f t="shared" si="302"/>
        <v>17.998110228399149</v>
      </c>
      <c r="T612" s="577">
        <f t="shared" si="303"/>
        <v>1.5152063112494092</v>
      </c>
      <c r="U612" s="578">
        <f t="shared" si="315"/>
        <v>5.7370088654916792E-3</v>
      </c>
      <c r="V612" s="579">
        <f t="shared" si="316"/>
        <v>-0.25672804022140555</v>
      </c>
      <c r="W612" s="580">
        <f t="shared" si="304"/>
        <v>-86.229175154650505</v>
      </c>
      <c r="X612" s="581">
        <f t="shared" si="305"/>
        <v>-215.04560640737554</v>
      </c>
      <c r="Y612" s="584">
        <f t="shared" si="306"/>
        <v>-35.045606407375544</v>
      </c>
      <c r="AA612" s="147">
        <f t="shared" si="307"/>
        <v>912010</v>
      </c>
      <c r="AB612" s="147">
        <f t="shared" si="308"/>
        <v>831762240100</v>
      </c>
      <c r="AD612" s="583">
        <f t="shared" si="309"/>
        <v>5.4222478235459812</v>
      </c>
      <c r="AE612" s="584">
        <f t="shared" si="310"/>
        <v>-86.832778297983438</v>
      </c>
      <c r="AG612" s="583">
        <f t="shared" si="311"/>
        <v>53.103401509497814</v>
      </c>
      <c r="AH612" s="584">
        <f t="shared" si="312"/>
        <v>-98.793961701073385</v>
      </c>
      <c r="AJ612" s="147">
        <f t="shared" si="313"/>
        <v>0</v>
      </c>
      <c r="AK612" s="147">
        <f t="shared" si="325"/>
        <v>0</v>
      </c>
      <c r="AM612" s="147" t="str">
        <f t="shared" si="317"/>
        <v>0.0679350615008421+0.362291250819779i</v>
      </c>
      <c r="AN612" s="147" t="str">
        <f t="shared" si="318"/>
        <v>63.2025780467177i</v>
      </c>
      <c r="AO612" s="147" t="str">
        <f t="shared" si="319"/>
        <v>0.0057322226721825-0.00107487801289729i</v>
      </c>
      <c r="AP612" s="147" t="str">
        <f t="shared" si="320"/>
        <v>0.155344156416526-0.0603818751366298i</v>
      </c>
      <c r="AQ612" s="147" t="str">
        <f t="shared" si="321"/>
        <v>0.844655843583474+0.0603818751366298i</v>
      </c>
      <c r="AR612" s="147" t="str">
        <f t="shared" si="322"/>
        <v>0.98118624258309-0.0701420177643938i</v>
      </c>
    </row>
    <row r="613" spans="7:44">
      <c r="G613" s="585">
        <v>1000000</v>
      </c>
      <c r="H613" s="573">
        <f t="shared" si="314"/>
        <v>1000</v>
      </c>
      <c r="I613" s="574">
        <f t="shared" si="294"/>
        <v>8705.0746222933412</v>
      </c>
      <c r="J613" s="575">
        <f t="shared" si="295"/>
        <v>1.5706814512716427</v>
      </c>
      <c r="K613" s="575">
        <f t="shared" si="296"/>
        <v>2.3019990589245296</v>
      </c>
      <c r="L613" s="576">
        <f t="shared" si="297"/>
        <v>1.1214186920441727</v>
      </c>
      <c r="M613" s="575">
        <f t="shared" si="298"/>
        <v>14.415661206263405</v>
      </c>
      <c r="N613" s="576">
        <f t="shared" si="299"/>
        <v>-1.5013715715198026</v>
      </c>
      <c r="O613" s="574">
        <f t="shared" si="300"/>
        <v>18849555.900000028</v>
      </c>
      <c r="P613" s="577">
        <f t="shared" si="301"/>
        <v>1.5707962737432488</v>
      </c>
      <c r="Q613" s="586">
        <f t="shared" si="323"/>
        <v>3518.5839101026254</v>
      </c>
      <c r="R613" s="587">
        <f t="shared" si="324"/>
        <v>1.5705121215467026</v>
      </c>
      <c r="S613" s="574">
        <f t="shared" si="302"/>
        <v>19.729428251449697</v>
      </c>
      <c r="T613" s="577">
        <f t="shared" si="303"/>
        <v>1.5200888933877428</v>
      </c>
      <c r="U613" s="578">
        <f t="shared" si="315"/>
        <v>2.6577128203979232E-3</v>
      </c>
      <c r="V613" s="579">
        <f t="shared" si="316"/>
        <v>-0.12933812224243477</v>
      </c>
      <c r="W613" s="580">
        <f t="shared" si="304"/>
        <v>-93.077375223512803</v>
      </c>
      <c r="X613" s="581">
        <f t="shared" si="305"/>
        <v>-206.28460209292868</v>
      </c>
      <c r="Y613" s="584">
        <f t="shared" si="306"/>
        <v>-26.284602092928679</v>
      </c>
      <c r="AA613" s="147">
        <f t="shared" si="307"/>
        <v>1000000</v>
      </c>
      <c r="AB613" s="147">
        <f t="shared" si="308"/>
        <v>1000000000000</v>
      </c>
      <c r="AD613" s="583">
        <f t="shared" si="309"/>
        <v>4.6244959024526642</v>
      </c>
      <c r="AE613" s="584">
        <f t="shared" si="310"/>
        <v>-87.110958896969677</v>
      </c>
      <c r="AG613" s="583">
        <f t="shared" si="311"/>
        <v>60.420052146766039</v>
      </c>
      <c r="AH613" s="584">
        <f t="shared" si="312"/>
        <v>-104.35258610974621</v>
      </c>
      <c r="AJ613" s="147">
        <f t="shared" si="313"/>
        <v>0</v>
      </c>
      <c r="AK613" s="147">
        <f t="shared" si="325"/>
        <v>0</v>
      </c>
      <c r="AM613" s="147" t="str">
        <f t="shared" si="317"/>
        <v>0.017114218716681+0.184216017086134i</v>
      </c>
      <c r="AN613" s="147" t="str">
        <f t="shared" si="318"/>
        <v>69.3003125477985i</v>
      </c>
      <c r="AO613" s="147" t="str">
        <f t="shared" si="319"/>
        <v>0.00265822779600128-0.000246957309245565i</v>
      </c>
      <c r="AP613" s="147" t="str">
        <f t="shared" si="320"/>
        <v>0.163814296880553-0.0307026695143557i</v>
      </c>
      <c r="AQ613" s="147" t="str">
        <f t="shared" si="321"/>
        <v>0.836185703119447+0.0307026695143557i</v>
      </c>
      <c r="AR613" s="147" t="str">
        <f t="shared" si="322"/>
        <v>0.994848964477139-0.0365283917903549i</v>
      </c>
    </row>
    <row r="614" spans="7:44">
      <c r="G614" s="588"/>
      <c r="H614" s="588"/>
      <c r="I614" s="589"/>
      <c r="J614" s="589"/>
      <c r="K614" s="589"/>
      <c r="L614" s="589"/>
      <c r="M614" s="575"/>
      <c r="N614" s="576"/>
      <c r="O614" s="589"/>
      <c r="P614" s="589"/>
      <c r="Q614" s="589"/>
      <c r="R614" s="589"/>
      <c r="S614" s="589"/>
      <c r="T614" s="589"/>
      <c r="U614" s="589"/>
      <c r="V614" s="590"/>
      <c r="W614" s="591"/>
      <c r="X614" s="581"/>
      <c r="Y614" s="592"/>
      <c r="AG614" s="583"/>
      <c r="AH614" s="584"/>
    </row>
    <row r="615" spans="7:44">
      <c r="G615" s="588"/>
      <c r="H615" s="588"/>
      <c r="I615" s="589"/>
      <c r="J615" s="589"/>
      <c r="K615" s="589"/>
      <c r="L615" s="589"/>
      <c r="M615" s="575"/>
      <c r="N615" s="576"/>
      <c r="O615" s="589"/>
      <c r="P615" s="589"/>
      <c r="Q615" s="589"/>
      <c r="R615" s="589"/>
      <c r="S615" s="589"/>
      <c r="T615" s="589"/>
      <c r="U615" s="589"/>
      <c r="V615" s="590"/>
      <c r="W615" s="592"/>
      <c r="X615" s="581"/>
      <c r="Y615" s="592"/>
      <c r="AG615" s="583"/>
      <c r="AH615" s="584"/>
    </row>
    <row r="616" spans="7:44">
      <c r="G616" s="147" t="s">
        <v>724</v>
      </c>
      <c r="M616" s="575"/>
      <c r="N616" s="576"/>
      <c r="W616" s="580"/>
      <c r="X616" s="581"/>
      <c r="Y616" s="592"/>
      <c r="AG616" s="583"/>
      <c r="AH616" s="584"/>
    </row>
    <row r="617" spans="7:44">
      <c r="G617" s="593">
        <f>W4*1000</f>
        <v>4786.3</v>
      </c>
      <c r="H617" s="593"/>
      <c r="I617" s="594">
        <f t="shared" ref="I617:I626" si="326">SQRT(1+(G617/pole1)^2)</f>
        <v>41.677097113751451</v>
      </c>
      <c r="J617" s="586">
        <f t="shared" ref="J617:J626" si="327">ATAN(G617/pole1)</f>
        <v>1.5468000303615881</v>
      </c>
      <c r="K617" s="586">
        <f t="shared" ref="K617:K626" si="328">SQRT(1+(G617/Zero1)^2)</f>
        <v>1.0000492432558064</v>
      </c>
      <c r="L617" s="587">
        <f t="shared" ref="L617:L626" si="329">ATAN(G617/Zero1)</f>
        <v>9.9238334470807647E-3</v>
      </c>
      <c r="M617" s="575">
        <v>1</v>
      </c>
      <c r="N617" s="576">
        <v>0</v>
      </c>
      <c r="O617" s="594">
        <f t="shared" ref="O617:O626" si="330">SQRT(1+(G617/Pole2)^2)</f>
        <v>90219.629409712041</v>
      </c>
      <c r="P617" s="595">
        <f t="shared" ref="P617:P626" si="331">ATAN(G617/Pole2)</f>
        <v>1.5707852427325195</v>
      </c>
      <c r="Q617" s="586">
        <f t="shared" ref="Q617:Q626" si="332">SQRT(1+(G617/Zero2)^2)</f>
        <v>16.870660817438079</v>
      </c>
      <c r="R617" s="587">
        <f t="shared" ref="R617:R626" si="333">ATAN(G617/Zero2)</f>
        <v>1.5114870610616193</v>
      </c>
      <c r="S617" s="594">
        <f t="shared" ref="S617:S626" si="334">SQRT(1+(G617/pole4)^2)</f>
        <v>1.0044373041656898</v>
      </c>
      <c r="T617" s="595">
        <f t="shared" ref="T617:T626" si="335">ATAN(G617/pole4)</f>
        <v>9.4031462807424998E-2</v>
      </c>
      <c r="U617" s="594" t="e">
        <v>#DIV/0!</v>
      </c>
      <c r="V617" s="596" t="e">
        <v>#DIV/0!</v>
      </c>
      <c r="W617" s="580" t="e">
        <f>20*LOG10(((K617*Q617*M617)/(I617*O617*U617*S617))*Adc)</f>
        <v>#DIV/0!</v>
      </c>
      <c r="X617" s="581" t="e">
        <f>((L617+R617+N617)-(J617+P617+V617+T617))*radconv</f>
        <v>#DIV/0!</v>
      </c>
      <c r="Y617" s="584" t="e">
        <f t="shared" ref="Y617:Y626" si="336">IF(X617&gt;0,X617,X617+180)</f>
        <v>#DIV/0!</v>
      </c>
      <c r="Z617" s="147" t="s">
        <v>725</v>
      </c>
      <c r="AD617" s="583">
        <f>20*LOG10((Q617/(O617*S617))*Aea)</f>
        <v>30.503614531541988</v>
      </c>
      <c r="AE617" s="584">
        <f>(R617-(P617+T617))*radconv</f>
        <v>-8.7851415128879076</v>
      </c>
      <c r="AG617" s="583" t="e">
        <f>20*LOG10((K617*M617/(I617*U617))*Acs*Am)</f>
        <v>#DIV/0!</v>
      </c>
      <c r="AH617" s="584" t="e">
        <f>(L617+N617-(J617+V617))*radconv</f>
        <v>#DIV/0!</v>
      </c>
    </row>
    <row r="618" spans="7:44">
      <c r="G618" s="593">
        <f>G617</f>
        <v>4786.3</v>
      </c>
      <c r="H618" s="593"/>
      <c r="I618" s="594"/>
      <c r="J618" s="586"/>
      <c r="K618" s="586"/>
      <c r="L618" s="587"/>
      <c r="M618" s="575"/>
      <c r="N618" s="576"/>
      <c r="O618" s="594"/>
      <c r="P618" s="595"/>
      <c r="Q618" s="586"/>
      <c r="R618" s="587"/>
      <c r="S618" s="574"/>
      <c r="T618" s="577"/>
      <c r="U618" s="594"/>
      <c r="V618" s="579"/>
      <c r="W618" s="580"/>
      <c r="X618" s="581">
        <v>-135</v>
      </c>
      <c r="Y618" s="584"/>
      <c r="AD618" s="583"/>
      <c r="AE618" s="584"/>
      <c r="AG618" s="583"/>
      <c r="AH618" s="584"/>
    </row>
    <row r="619" spans="7:44">
      <c r="G619" s="147">
        <f>G618</f>
        <v>4786.3</v>
      </c>
      <c r="H619" s="593"/>
      <c r="I619" s="594"/>
      <c r="J619" s="586"/>
      <c r="K619" s="586"/>
      <c r="L619" s="587"/>
      <c r="M619" s="575"/>
      <c r="N619" s="576"/>
      <c r="O619" s="594"/>
      <c r="P619" s="595"/>
      <c r="Q619" s="586"/>
      <c r="R619" s="587"/>
      <c r="S619" s="574"/>
      <c r="T619" s="577"/>
      <c r="U619" s="594"/>
      <c r="V619" s="579"/>
      <c r="W619" s="580"/>
      <c r="X619" s="581"/>
      <c r="Y619" s="584"/>
      <c r="AD619" s="583"/>
      <c r="AE619" s="584"/>
      <c r="AG619" s="583"/>
      <c r="AH619" s="584"/>
    </row>
    <row r="620" spans="7:44">
      <c r="G620" s="593">
        <v>1000000</v>
      </c>
      <c r="H620" s="593"/>
      <c r="I620" s="594"/>
      <c r="J620" s="586"/>
      <c r="K620" s="586"/>
      <c r="L620" s="587"/>
      <c r="M620" s="575"/>
      <c r="N620" s="576"/>
      <c r="O620" s="594"/>
      <c r="P620" s="595"/>
      <c r="Q620" s="586"/>
      <c r="R620" s="587"/>
      <c r="S620" s="574"/>
      <c r="T620" s="577"/>
      <c r="U620" s="594"/>
      <c r="V620" s="579"/>
      <c r="W620" s="580"/>
      <c r="X620" s="581" t="e">
        <f>X617</f>
        <v>#DIV/0!</v>
      </c>
      <c r="Y620" s="584"/>
      <c r="AD620" s="583"/>
      <c r="AE620" s="584"/>
      <c r="AG620" s="583"/>
      <c r="AH620" s="584"/>
    </row>
    <row r="621" spans="7:44">
      <c r="G621" s="593"/>
      <c r="H621" s="593"/>
      <c r="I621" s="594"/>
      <c r="J621" s="586"/>
      <c r="K621" s="586"/>
      <c r="L621" s="587"/>
      <c r="M621" s="575"/>
      <c r="N621" s="576"/>
      <c r="O621" s="594"/>
      <c r="P621" s="595"/>
      <c r="Q621" s="586"/>
      <c r="R621" s="587"/>
      <c r="S621" s="574"/>
      <c r="T621" s="577"/>
      <c r="U621" s="594"/>
      <c r="V621" s="579"/>
      <c r="W621" s="580"/>
      <c r="X621" s="581"/>
      <c r="Y621" s="584"/>
      <c r="AD621" s="583"/>
      <c r="AE621" s="584"/>
      <c r="AG621" s="583"/>
      <c r="AH621" s="584"/>
    </row>
    <row r="622" spans="7:44">
      <c r="G622" s="597">
        <f>pole1</f>
        <v>114.8755237591225</v>
      </c>
      <c r="H622" s="593"/>
      <c r="I622" s="594">
        <f t="shared" si="326"/>
        <v>1.4142135623730951</v>
      </c>
      <c r="J622" s="586">
        <f t="shared" si="327"/>
        <v>0.78539816339744828</v>
      </c>
      <c r="K622" s="586">
        <f t="shared" si="328"/>
        <v>1.0000000283669486</v>
      </c>
      <c r="L622" s="587">
        <f t="shared" si="329"/>
        <v>2.3818878222587001E-4</v>
      </c>
      <c r="M622" s="575">
        <v>1</v>
      </c>
      <c r="N622" s="576">
        <v>0</v>
      </c>
      <c r="O622" s="594">
        <f t="shared" si="330"/>
        <v>2165.3528375486203</v>
      </c>
      <c r="P622" s="595">
        <f t="shared" si="331"/>
        <v>1.5703345082782072</v>
      </c>
      <c r="Q622" s="586">
        <f t="shared" si="332"/>
        <v>1.0785995343404358</v>
      </c>
      <c r="R622" s="587">
        <f t="shared" si="333"/>
        <v>0.3841210869935352</v>
      </c>
      <c r="S622" s="574">
        <f t="shared" si="334"/>
        <v>1.0000025617473807</v>
      </c>
      <c r="T622" s="577">
        <f t="shared" si="335"/>
        <v>2.2635113924444187E-3</v>
      </c>
      <c r="U622" s="594" t="e">
        <f>SQRT((1-(G622^2/(pole3^2)))^2+(G622/(Q*pole3))^2)</f>
        <v>#DIV/0!</v>
      </c>
      <c r="V622" s="579" t="e">
        <f>ATAN((G622/(Q*pole3))/(1-G622^2/pole3^2))</f>
        <v>#NAME?</v>
      </c>
      <c r="W622" s="580" t="e">
        <f t="shared" ref="W622:W628" si="337">20*LOG10(((K622*Q622*M622)/(I622*O622*U622*S622))*Adc)</f>
        <v>#DIV/0!</v>
      </c>
      <c r="X622" s="581" t="e">
        <f t="shared" ref="X622:X628" si="338">((L622+R622+N622)-(J622+P622+V622+T622))*radconv</f>
        <v>#NAME?</v>
      </c>
      <c r="Y622" s="584" t="e">
        <f t="shared" si="336"/>
        <v>#NAME?</v>
      </c>
      <c r="Z622" s="147" t="s">
        <v>713</v>
      </c>
      <c r="AD622" s="583">
        <f>20*LOG10((Q622/(O622*S622))*Aea)</f>
        <v>39.052058952189512</v>
      </c>
      <c r="AE622" s="584">
        <f>(R622-(P622+T622))*radconv</f>
        <v>-68.094712368862005</v>
      </c>
      <c r="AG622" s="583" t="e">
        <f t="shared" ref="AG622:AG628" si="339">20*LOG10((K622*M622/(I622*U622))*Acs*Am)</f>
        <v>#DIV/0!</v>
      </c>
      <c r="AH622" s="584" t="e">
        <f t="shared" ref="AH622:AH628" si="340">(L622+N622-(J622+V622))*radconv</f>
        <v>#NAME?</v>
      </c>
    </row>
    <row r="623" spans="7:44">
      <c r="G623" s="597">
        <f>Zero1</f>
        <v>482287.70689017093</v>
      </c>
      <c r="H623" s="593"/>
      <c r="I623" s="594">
        <f t="shared" si="326"/>
        <v>4198.3505692865419</v>
      </c>
      <c r="J623" s="586">
        <f t="shared" si="327"/>
        <v>1.5705581380126707</v>
      </c>
      <c r="K623" s="586">
        <f t="shared" si="328"/>
        <v>1.4142135623730951</v>
      </c>
      <c r="L623" s="587">
        <f t="shared" si="329"/>
        <v>0.78539816339744828</v>
      </c>
      <c r="M623" s="575">
        <v>1</v>
      </c>
      <c r="N623" s="576">
        <v>0</v>
      </c>
      <c r="O623" s="594">
        <f t="shared" si="330"/>
        <v>9090909.0909091495</v>
      </c>
      <c r="P623" s="595">
        <f t="shared" si="331"/>
        <v>1.5707962167948966</v>
      </c>
      <c r="Q623" s="586">
        <f t="shared" si="332"/>
        <v>1696.9699916125289</v>
      </c>
      <c r="R623" s="587">
        <f t="shared" si="333"/>
        <v>1.5702070411488223</v>
      </c>
      <c r="S623" s="574">
        <f t="shared" si="334"/>
        <v>9.5555002454247404</v>
      </c>
      <c r="T623" s="577">
        <f t="shared" si="335"/>
        <v>1.4659525863914549</v>
      </c>
      <c r="U623" s="594" t="e">
        <f>SQRT((1-(G623^2/(pole3^2)))^2+(G623/(Q*pole3))^2)</f>
        <v>#DIV/0!</v>
      </c>
      <c r="V623" s="579" t="e">
        <f>ATAN((G623/(Q*pole3))/(1-G623^2/pole3^2))</f>
        <v>#NAME?</v>
      </c>
      <c r="W623" s="580" t="e">
        <f t="shared" si="337"/>
        <v>#DIV/0!</v>
      </c>
      <c r="X623" s="581" t="e">
        <f t="shared" si="338"/>
        <v>#NAME?</v>
      </c>
      <c r="Y623" s="584" t="e">
        <f t="shared" si="336"/>
        <v>#NAME?</v>
      </c>
      <c r="Z623" s="147" t="s">
        <v>714</v>
      </c>
      <c r="AD623" s="583">
        <f>20*LOG10((Q623/(O623*S623))*Aea)</f>
        <v>10.921718496248145</v>
      </c>
      <c r="AE623" s="584">
        <f>(R623-(P623+T623))*radconv</f>
        <v>-84.026653540443959</v>
      </c>
      <c r="AG623" s="583" t="e">
        <f t="shared" si="339"/>
        <v>#DIV/0!</v>
      </c>
      <c r="AH623" s="584" t="e">
        <f t="shared" si="340"/>
        <v>#NAME?</v>
      </c>
    </row>
    <row r="624" spans="7:44">
      <c r="G624" s="597">
        <f>Pole2</f>
        <v>5.3051647757918791E-2</v>
      </c>
      <c r="H624" s="593"/>
      <c r="I624" s="594">
        <f t="shared" si="326"/>
        <v>1.0000001066381807</v>
      </c>
      <c r="J624" s="586">
        <f t="shared" si="327"/>
        <v>4.6181851668947887E-4</v>
      </c>
      <c r="K624" s="586">
        <f t="shared" si="328"/>
        <v>1.000000000000006</v>
      </c>
      <c r="L624" s="587">
        <f t="shared" si="329"/>
        <v>1.0999999999999953E-7</v>
      </c>
      <c r="M624" s="575">
        <v>1</v>
      </c>
      <c r="N624" s="576">
        <v>0</v>
      </c>
      <c r="O624" s="594">
        <f t="shared" si="330"/>
        <v>1.4142135623730951</v>
      </c>
      <c r="P624" s="595">
        <f t="shared" si="331"/>
        <v>0.78539816339744828</v>
      </c>
      <c r="Q624" s="586">
        <f t="shared" si="332"/>
        <v>1.0000000174222221</v>
      </c>
      <c r="R624" s="587">
        <f t="shared" si="333"/>
        <v>1.8666666449856795E-4</v>
      </c>
      <c r="S624" s="574">
        <f t="shared" si="334"/>
        <v>1.0000000000005462</v>
      </c>
      <c r="T624" s="577">
        <f t="shared" si="335"/>
        <v>1.0453333333329526E-6</v>
      </c>
      <c r="U624" s="594" t="e">
        <f>SQRT((1-(G624^2/(pole3^2)))^2+(G624/(Q*pole3))^2)</f>
        <v>#DIV/0!</v>
      </c>
      <c r="V624" s="579" t="e">
        <f>ATAN((G624/(Q*pole3))/(1-G624^2/pole3^2))</f>
        <v>#NAME?</v>
      </c>
      <c r="W624" s="580" t="e">
        <f t="shared" si="337"/>
        <v>#DIV/0!</v>
      </c>
      <c r="X624" s="581" t="e">
        <f t="shared" si="338"/>
        <v>#NAME?</v>
      </c>
      <c r="Y624" s="584" t="e">
        <f t="shared" si="336"/>
        <v>#NAME?</v>
      </c>
      <c r="Z624" s="147" t="s">
        <v>715</v>
      </c>
      <c r="AC624" s="147">
        <f>Pole2</f>
        <v>5.3051647757918791E-2</v>
      </c>
      <c r="AD624" s="583">
        <f>20*LOG10((Q624/(O624*S624))*Aea)</f>
        <v>102.09515029674905</v>
      </c>
      <c r="AE624" s="584">
        <f>(R624-(P624+T624))*radconv</f>
        <v>-44.989364732544473</v>
      </c>
      <c r="AG624" s="583" t="e">
        <f t="shared" si="339"/>
        <v>#DIV/0!</v>
      </c>
      <c r="AH624" s="584" t="e">
        <f t="shared" si="340"/>
        <v>#NAME?</v>
      </c>
    </row>
    <row r="625" spans="7:34">
      <c r="G625" s="597">
        <f>Zero2</f>
        <v>284.20525584599352</v>
      </c>
      <c r="H625" s="593"/>
      <c r="I625" s="594">
        <f t="shared" si="326"/>
        <v>2.6684853881961064</v>
      </c>
      <c r="J625" s="586">
        <f t="shared" si="327"/>
        <v>1.1866752398013614</v>
      </c>
      <c r="K625" s="586">
        <f t="shared" si="328"/>
        <v>1.0000001736288116</v>
      </c>
      <c r="L625" s="587">
        <f t="shared" si="329"/>
        <v>5.8928564607440366E-4</v>
      </c>
      <c r="M625" s="575">
        <v>1</v>
      </c>
      <c r="N625" s="576">
        <v>0</v>
      </c>
      <c r="O625" s="594">
        <f t="shared" si="330"/>
        <v>5357.1429504761891</v>
      </c>
      <c r="P625" s="595">
        <f t="shared" si="331"/>
        <v>1.570609660130398</v>
      </c>
      <c r="Q625" s="586">
        <f t="shared" si="332"/>
        <v>1.4142135623730951</v>
      </c>
      <c r="R625" s="587">
        <f t="shared" si="333"/>
        <v>0.78539816339744828</v>
      </c>
      <c r="S625" s="574">
        <f t="shared" si="334"/>
        <v>1.0000156798770707</v>
      </c>
      <c r="T625" s="577">
        <f t="shared" si="335"/>
        <v>5.5999414624347725E-3</v>
      </c>
      <c r="U625" s="594" t="e">
        <f>SQRT((1-(G625^2/(pole3^2)))^2+(G625/(Q*pole3))^2)</f>
        <v>#DIV/0!</v>
      </c>
      <c r="V625" s="579" t="e">
        <f>ATAN((G625/(Q*pole3))/(1-G625^2/pole3^2))</f>
        <v>#NAME?</v>
      </c>
      <c r="W625" s="580" t="e">
        <f t="shared" si="337"/>
        <v>#DIV/0!</v>
      </c>
      <c r="X625" s="581" t="e">
        <f t="shared" si="338"/>
        <v>#NAME?</v>
      </c>
      <c r="Y625" s="584" t="e">
        <f t="shared" si="336"/>
        <v>#NAME?</v>
      </c>
      <c r="Z625" s="147" t="s">
        <v>726</v>
      </c>
      <c r="AC625" s="147">
        <f>Zero2</f>
        <v>284.20525584599352</v>
      </c>
      <c r="AD625" s="583">
        <f>20*LOG10((Q625/(O625*S625))*Aea)</f>
        <v>33.536949160495162</v>
      </c>
      <c r="AE625" s="584">
        <f>(R625-(P625+T625))*radconv</f>
        <v>-45.310157851040685</v>
      </c>
      <c r="AG625" s="583" t="e">
        <f t="shared" si="339"/>
        <v>#DIV/0!</v>
      </c>
      <c r="AH625" s="584" t="e">
        <f t="shared" si="340"/>
        <v>#NAME?</v>
      </c>
    </row>
    <row r="626" spans="7:34">
      <c r="G626" s="597">
        <f>pole3</f>
        <v>0</v>
      </c>
      <c r="H626" s="593"/>
      <c r="I626" s="594">
        <f t="shared" si="326"/>
        <v>1</v>
      </c>
      <c r="J626" s="586">
        <f t="shared" si="327"/>
        <v>0</v>
      </c>
      <c r="K626" s="586">
        <f t="shared" si="328"/>
        <v>1</v>
      </c>
      <c r="L626" s="587">
        <f t="shared" si="329"/>
        <v>0</v>
      </c>
      <c r="M626" s="575">
        <v>1</v>
      </c>
      <c r="N626" s="576">
        <v>0</v>
      </c>
      <c r="O626" s="594">
        <f t="shared" si="330"/>
        <v>1</v>
      </c>
      <c r="P626" s="595">
        <f t="shared" si="331"/>
        <v>0</v>
      </c>
      <c r="Q626" s="586">
        <f t="shared" si="332"/>
        <v>1</v>
      </c>
      <c r="R626" s="587">
        <f t="shared" si="333"/>
        <v>0</v>
      </c>
      <c r="S626" s="574">
        <f t="shared" si="334"/>
        <v>1</v>
      </c>
      <c r="T626" s="577">
        <f t="shared" si="335"/>
        <v>0</v>
      </c>
      <c r="U626" s="594" t="e">
        <f>SQRT((1-(G626^2/(pole3^2)))^2+(G626/(Q*pole3))^2)</f>
        <v>#DIV/0!</v>
      </c>
      <c r="V626" s="579" t="e">
        <f>ATAN((G626/(Q*pole3))/(1-G626^2/pole3^2))</f>
        <v>#NAME?</v>
      </c>
      <c r="W626" s="580" t="e">
        <f t="shared" si="337"/>
        <v>#DIV/0!</v>
      </c>
      <c r="X626" s="581" t="e">
        <f t="shared" si="338"/>
        <v>#NAME?</v>
      </c>
      <c r="Y626" s="584" t="e">
        <f t="shared" si="336"/>
        <v>#NAME?</v>
      </c>
      <c r="Z626" s="147" t="s">
        <v>691</v>
      </c>
      <c r="AD626" s="583">
        <f>20*LOG10((Q626/(O626*S626))*Aea)</f>
        <v>105.10545010206611</v>
      </c>
      <c r="AE626" s="584">
        <f>(R626-(P626+T626))*radconv</f>
        <v>0</v>
      </c>
      <c r="AG626" s="583" t="e">
        <f t="shared" si="339"/>
        <v>#DIV/0!</v>
      </c>
      <c r="AH626" s="584" t="e">
        <f t="shared" si="340"/>
        <v>#NAME?</v>
      </c>
    </row>
    <row r="627" spans="7:34" ht="13.8" thickBot="1">
      <c r="G627" s="172">
        <v>195034.73926858415</v>
      </c>
      <c r="I627" s="594">
        <f>SQRT(1+(G627/pole1)^2)</f>
        <v>1697.7922425703257</v>
      </c>
      <c r="J627" s="586">
        <f>ATAN(G627/pole1)</f>
        <v>1.5702073265434251</v>
      </c>
      <c r="K627" s="586">
        <f>SQRT(1+(G627/Zero1)^2)</f>
        <v>1.0786729436892735</v>
      </c>
      <c r="L627" s="587">
        <f>ATAN(G627/Zero1)</f>
        <v>0.38428942251310183</v>
      </c>
      <c r="M627" s="575">
        <v>1</v>
      </c>
      <c r="N627" s="576">
        <v>0</v>
      </c>
      <c r="O627" s="594">
        <f>SQRT(1+(G627/Pole2)^2)</f>
        <v>3676318.2202852382</v>
      </c>
      <c r="P627" s="595">
        <f>ATAN(G627/Pole2)</f>
        <v>1.5707960547836233</v>
      </c>
      <c r="Q627" s="586">
        <f>SQRT(1+(G627/Zero2)^2)</f>
        <v>686.24679638779048</v>
      </c>
      <c r="R627" s="587">
        <f>ATAN(G627/Zero2)</f>
        <v>1.5693391245767294</v>
      </c>
      <c r="S627" s="574">
        <f>SQRT(1+(G627/pole4)^2)</f>
        <v>3.9709545139332145</v>
      </c>
      <c r="T627" s="577">
        <f>ATAN(G627/pole4)</f>
        <v>1.3162270180044282</v>
      </c>
      <c r="U627" s="594" t="e">
        <v>#DIV/0!</v>
      </c>
      <c r="V627" s="579" t="e">
        <v>#DIV/0!</v>
      </c>
      <c r="W627" s="580" t="e">
        <f t="shared" si="337"/>
        <v>#DIV/0!</v>
      </c>
      <c r="X627" s="581" t="e">
        <f t="shared" si="338"/>
        <v>#DIV/0!</v>
      </c>
      <c r="Y627" s="584" t="e">
        <f>IF(X627&gt;0,X627,X627+180)</f>
        <v>#DIV/0!</v>
      </c>
      <c r="Z627" s="147" t="s">
        <v>727</v>
      </c>
      <c r="AD627" s="598"/>
      <c r="AE627" s="599"/>
      <c r="AG627" s="583" t="e">
        <f t="shared" si="339"/>
        <v>#DIV/0!</v>
      </c>
      <c r="AH627" s="584" t="e">
        <f t="shared" si="340"/>
        <v>#DIV/0!</v>
      </c>
    </row>
    <row r="628" spans="7:34">
      <c r="G628" s="172">
        <f>z_RHP</f>
        <v>69536.508465285442</v>
      </c>
      <c r="I628" s="594">
        <f>SQRT(1+(G628/pole1)^2)</f>
        <v>605.3213171781706</v>
      </c>
      <c r="J628" s="586">
        <f>ATAN(G628/pole1)</f>
        <v>1.5691443108713186</v>
      </c>
      <c r="K628" s="586">
        <f>SQRT(1+(G628/Zero1)^2)</f>
        <v>1.0103405524730074</v>
      </c>
      <c r="L628" s="587">
        <f>ATAN(G628/Zero1)</f>
        <v>0.14319375593500935</v>
      </c>
      <c r="M628" s="575">
        <v>1</v>
      </c>
      <c r="N628" s="576">
        <v>0</v>
      </c>
      <c r="O628" s="594">
        <f>SQRT(1+(G628/Pole2)^2)</f>
        <v>1310732.3034076029</v>
      </c>
      <c r="P628" s="595">
        <f>ATAN(G628/Pole2)</f>
        <v>1.570795563862605</v>
      </c>
      <c r="Q628" s="586">
        <f>SQRT(1+(G628/Zero2)^2)</f>
        <v>244.67207352945215</v>
      </c>
      <c r="R628" s="587">
        <f>ATAN(G628/Zero2)</f>
        <v>1.5667092122760047</v>
      </c>
      <c r="S628" s="574">
        <f>SQRT(1+(G628/pole4)^2)</f>
        <v>1.696265593297442</v>
      </c>
      <c r="T628" s="577">
        <f>ATAN(G628/pole4)</f>
        <v>0.94031907777989954</v>
      </c>
      <c r="U628" s="594" t="e">
        <v>#DIV/0!</v>
      </c>
      <c r="V628" s="579" t="e">
        <v>#DIV/0!</v>
      </c>
      <c r="W628" s="580" t="e">
        <f t="shared" si="337"/>
        <v>#DIV/0!</v>
      </c>
      <c r="X628" s="581" t="e">
        <f t="shared" si="338"/>
        <v>#DIV/0!</v>
      </c>
      <c r="Y628" s="584" t="e">
        <f>IF(X628&gt;0,X628,X628+180)</f>
        <v>#DIV/0!</v>
      </c>
      <c r="Z628" s="147" t="s">
        <v>712</v>
      </c>
      <c r="AD628" s="592"/>
      <c r="AE628" s="592"/>
      <c r="AG628" s="583" t="e">
        <f t="shared" si="339"/>
        <v>#DIV/0!</v>
      </c>
      <c r="AH628" s="584" t="e">
        <f t="shared" si="340"/>
        <v>#DIV/0!</v>
      </c>
    </row>
    <row r="629" spans="7:34">
      <c r="G629" s="172">
        <v>195034.73926858415</v>
      </c>
      <c r="W629" s="580">
        <v>-25</v>
      </c>
    </row>
    <row r="631" spans="7:34">
      <c r="J631" s="147" t="s">
        <v>728</v>
      </c>
      <c r="K631" s="147" t="s">
        <v>729</v>
      </c>
    </row>
    <row r="632" spans="7:34">
      <c r="G632" s="147" t="s">
        <v>713</v>
      </c>
      <c r="H632" s="147" t="s">
        <v>730</v>
      </c>
      <c r="I632" s="149">
        <f>pole1</f>
        <v>114.8755237591225</v>
      </c>
      <c r="J632" s="149" t="e">
        <f>W622</f>
        <v>#DIV/0!</v>
      </c>
      <c r="K632" s="149" t="e">
        <f>AG622</f>
        <v>#DIV/0!</v>
      </c>
    </row>
    <row r="633" spans="7:34">
      <c r="G633" s="147" t="s">
        <v>714</v>
      </c>
      <c r="H633" s="147" t="s">
        <v>731</v>
      </c>
      <c r="I633" s="149">
        <f>Zero1</f>
        <v>482287.70689017093</v>
      </c>
      <c r="J633" s="149" t="e">
        <f>W623</f>
        <v>#DIV/0!</v>
      </c>
      <c r="K633" s="149" t="e">
        <f>AG623</f>
        <v>#DIV/0!</v>
      </c>
    </row>
    <row r="634" spans="7:34">
      <c r="G634" s="147" t="s">
        <v>715</v>
      </c>
      <c r="H634" s="147" t="s">
        <v>732</v>
      </c>
      <c r="I634" s="149">
        <f>Pole2</f>
        <v>5.3051647757918791E-2</v>
      </c>
      <c r="J634" s="149" t="e">
        <f>W624</f>
        <v>#DIV/0!</v>
      </c>
      <c r="K634" s="149" t="e">
        <f>AG624</f>
        <v>#DIV/0!</v>
      </c>
    </row>
    <row r="635" spans="7:34">
      <c r="G635" s="147" t="s">
        <v>726</v>
      </c>
      <c r="H635" s="147" t="s">
        <v>733</v>
      </c>
      <c r="I635" s="149">
        <f>Zero2</f>
        <v>284.20525584599352</v>
      </c>
      <c r="J635" s="149" t="e">
        <f>W625</f>
        <v>#DIV/0!</v>
      </c>
      <c r="K635" s="149" t="e">
        <f>AG625</f>
        <v>#DIV/0!</v>
      </c>
    </row>
    <row r="636" spans="7:34">
      <c r="G636" s="147" t="s">
        <v>691</v>
      </c>
      <c r="H636" s="147" t="s">
        <v>734</v>
      </c>
      <c r="I636" s="147">
        <f>pole3</f>
        <v>0</v>
      </c>
      <c r="J636" s="149" t="e">
        <f>W626</f>
        <v>#DIV/0!</v>
      </c>
      <c r="K636" s="149" t="e">
        <f>AG626</f>
        <v>#DIV/0!</v>
      </c>
    </row>
    <row r="637" spans="7:34">
      <c r="I637" s="172"/>
      <c r="J637" s="149"/>
      <c r="K637" s="149"/>
    </row>
    <row r="639" spans="7:34">
      <c r="G639" s="149">
        <f>W4*1000</f>
        <v>4786.3</v>
      </c>
    </row>
    <row r="640" spans="7:34">
      <c r="G640" s="149">
        <f>W4*1000</f>
        <v>4786.3</v>
      </c>
    </row>
    <row r="687" spans="36:37">
      <c r="AJ687" s="147" t="s">
        <v>705</v>
      </c>
      <c r="AK687" s="149">
        <f>SUM(AK689:AK1306)</f>
        <v>0</v>
      </c>
    </row>
  </sheetData>
  <sheetProtection algorithmName="SHA-512" hashValue="3wRbkLafQbWEivON440wq1tRtzjKSQuX0+eAYjdySUS0l8YP+HdKBoadk1H5JN48H/8nnVQKvlUIHNGXSS7ncQ==" saltValue="FWF0zQLVZY8DG1HaDs4a7Q==" spinCount="100000" sheet="1" selectLockedCells="1" selectUnlockedCells="1"/>
  <mergeCells count="20">
    <mergeCell ref="G10:G12"/>
    <mergeCell ref="H10:H11"/>
    <mergeCell ref="I10:N10"/>
    <mergeCell ref="O10:T10"/>
    <mergeCell ref="U10:V10"/>
    <mergeCell ref="G2:J2"/>
    <mergeCell ref="K2:M2"/>
    <mergeCell ref="P2:R2"/>
    <mergeCell ref="S2:U2"/>
    <mergeCell ref="V2:X2"/>
    <mergeCell ref="W10:Y10"/>
    <mergeCell ref="AD10:AE10"/>
    <mergeCell ref="AG10:AH10"/>
    <mergeCell ref="I11:J11"/>
    <mergeCell ref="K11:L11"/>
    <mergeCell ref="M11:N11"/>
    <mergeCell ref="O11:P11"/>
    <mergeCell ref="Q11:R11"/>
    <mergeCell ref="S11:T11"/>
    <mergeCell ref="U11:V11"/>
  </mergeCells>
  <phoneticPr fontId="83"/>
  <hyperlinks>
    <hyperlink ref="C50" r:id="rId1" display="Gpwr_@Fco" xr:uid="{4F4202D4-BC5C-4B6D-9289-7BEBC6947453}"/>
  </hyperlinks>
  <pageMargins left="0.75" right="0.75" top="1" bottom="1" header="0.5" footer="0.5"/>
  <pageSetup scale="48" orientation="portrait" horizontalDpi="300" verticalDpi="300" r:id="rId2"/>
  <headerFooter alignWithMargins="0"/>
  <colBreaks count="1" manualBreakCount="1">
    <brk id="25"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740353" r:id="rId5" name="Drop Down 1">
              <controlPr locked="0" defaultSize="0" autoLine="0" autoPict="0">
                <anchor moveWithCells="1">
                  <from>
                    <xdr:col>0</xdr:col>
                    <xdr:colOff>38100</xdr:colOff>
                    <xdr:row>2</xdr:row>
                    <xdr:rowOff>129540</xdr:rowOff>
                  </from>
                  <to>
                    <xdr:col>1</xdr:col>
                    <xdr:colOff>106680</xdr:colOff>
                    <xdr:row>4</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00FF"/>
  </sheetPr>
  <dimension ref="A1:Z315"/>
  <sheetViews>
    <sheetView zoomScale="70" zoomScaleNormal="70" workbookViewId="0">
      <pane ySplit="5" topLeftCell="A84" activePane="bottomLeft" state="frozenSplit"/>
      <selection pane="bottomLeft" activeCell="S122" sqref="S122"/>
    </sheetView>
  </sheetViews>
  <sheetFormatPr defaultRowHeight="13.2"/>
  <cols>
    <col min="1" max="1" width="40.44140625" customWidth="1"/>
    <col min="2" max="2" width="11.77734375" customWidth="1"/>
    <col min="3" max="3" width="9.44140625" style="3" customWidth="1"/>
    <col min="4" max="4" width="10.21875" customWidth="1"/>
    <col min="5" max="5" width="11.5546875" customWidth="1"/>
    <col min="6" max="6" width="14.77734375" customWidth="1"/>
    <col min="7" max="7" width="12.44140625" bestFit="1" customWidth="1"/>
    <col min="8" max="8" width="20.21875" customWidth="1"/>
    <col min="9" max="9" width="14.44140625" customWidth="1"/>
    <col min="10" max="10" width="12.44140625" bestFit="1" customWidth="1"/>
    <col min="11" max="11" width="12" customWidth="1"/>
    <col min="12" max="12" width="8.77734375" customWidth="1"/>
    <col min="13" max="13" width="7" customWidth="1"/>
    <col min="14" max="14" width="9.21875" customWidth="1"/>
    <col min="16" max="16" width="7.21875" customWidth="1"/>
    <col min="17" max="17" width="11" customWidth="1"/>
    <col min="18" max="18" width="13.77734375" customWidth="1"/>
    <col min="19" max="19" width="5.44140625" customWidth="1"/>
    <col min="20" max="20" width="16.21875" customWidth="1"/>
    <col min="22" max="22" width="9.77734375" customWidth="1"/>
    <col min="23" max="23" width="11.21875" customWidth="1"/>
    <col min="24" max="24" width="5.77734375" customWidth="1"/>
    <col min="25" max="25" width="12" bestFit="1" customWidth="1"/>
    <col min="26" max="26" width="7.77734375" customWidth="1"/>
  </cols>
  <sheetData>
    <row r="1" spans="1:26" ht="30.75" customHeight="1">
      <c r="A1" s="809" t="s">
        <v>171</v>
      </c>
      <c r="B1" s="809"/>
      <c r="C1" s="809"/>
      <c r="D1" s="809"/>
      <c r="E1" s="809"/>
      <c r="F1" s="809"/>
      <c r="G1" s="809"/>
      <c r="H1" s="809"/>
      <c r="I1" s="809"/>
    </row>
    <row r="2" spans="1:26" ht="12" customHeight="1">
      <c r="A2" s="14"/>
      <c r="B2" s="14" t="s">
        <v>81</v>
      </c>
      <c r="C2" s="15"/>
      <c r="E2" s="14"/>
      <c r="F2" s="14"/>
      <c r="G2" s="14"/>
      <c r="H2" s="14"/>
      <c r="I2" s="14"/>
    </row>
    <row r="3" spans="1:26" ht="11.25" customHeight="1">
      <c r="A3" s="14"/>
      <c r="B3" s="14" t="s">
        <v>100</v>
      </c>
      <c r="C3" s="16"/>
      <c r="E3" s="14"/>
      <c r="F3" s="14"/>
      <c r="G3" s="14"/>
      <c r="H3" s="14"/>
      <c r="I3" s="14"/>
    </row>
    <row r="4" spans="1:26" ht="11.25" customHeight="1">
      <c r="A4" s="14"/>
      <c r="B4" s="14" t="s">
        <v>82</v>
      </c>
      <c r="C4" s="17"/>
      <c r="E4" s="14"/>
      <c r="F4" s="14"/>
      <c r="G4" s="14"/>
      <c r="H4" s="14"/>
      <c r="I4" s="14"/>
    </row>
    <row r="5" spans="1:26">
      <c r="A5" s="3" t="s">
        <v>19</v>
      </c>
      <c r="B5" s="3" t="s">
        <v>6</v>
      </c>
      <c r="C5" s="3" t="s">
        <v>7</v>
      </c>
      <c r="E5" s="808" t="s">
        <v>9</v>
      </c>
      <c r="F5" s="808"/>
      <c r="G5" s="808"/>
      <c r="H5" s="808"/>
      <c r="I5" s="3" t="s">
        <v>173</v>
      </c>
    </row>
    <row r="6" spans="1:26" ht="16.2" thickBot="1">
      <c r="A6" s="39" t="s">
        <v>61</v>
      </c>
      <c r="B6" s="3"/>
      <c r="D6" s="3"/>
      <c r="E6" s="14"/>
      <c r="F6" s="14"/>
      <c r="G6" s="14"/>
      <c r="H6" s="14"/>
      <c r="I6" s="3"/>
    </row>
    <row r="7" spans="1:26">
      <c r="A7" s="88" t="s">
        <v>145</v>
      </c>
      <c r="B7" s="7">
        <f>'Design Converter'!E6</f>
        <v>9</v>
      </c>
      <c r="C7" s="26" t="s">
        <v>0</v>
      </c>
      <c r="D7" s="61" t="s">
        <v>146</v>
      </c>
      <c r="E7" s="26"/>
      <c r="F7" s="26"/>
      <c r="G7" s="26"/>
      <c r="H7" s="26"/>
      <c r="I7" s="27">
        <v>1</v>
      </c>
    </row>
    <row r="8" spans="1:26">
      <c r="A8" s="89" t="s">
        <v>143</v>
      </c>
      <c r="B8" s="8">
        <f>'Design Converter'!E7</f>
        <v>12</v>
      </c>
      <c r="C8" t="s">
        <v>0</v>
      </c>
      <c r="D8" t="s">
        <v>10</v>
      </c>
      <c r="I8" s="20"/>
    </row>
    <row r="9" spans="1:26">
      <c r="A9" s="89" t="s">
        <v>144</v>
      </c>
      <c r="B9" s="8">
        <f>'Design Converter'!E8</f>
        <v>16</v>
      </c>
      <c r="C9" t="s">
        <v>0</v>
      </c>
      <c r="D9" s="59" t="s">
        <v>147</v>
      </c>
      <c r="I9" s="20"/>
    </row>
    <row r="10" spans="1:26" ht="13.8" thickBot="1">
      <c r="A10" s="89"/>
      <c r="B10" s="177"/>
      <c r="C10"/>
      <c r="D10" s="59"/>
      <c r="I10" s="20"/>
    </row>
    <row r="11" spans="1:26">
      <c r="A11" s="19" t="s">
        <v>4</v>
      </c>
      <c r="B11" s="8">
        <f>'Design Converter'!E10</f>
        <v>170</v>
      </c>
      <c r="C11" t="s">
        <v>0</v>
      </c>
      <c r="D11" s="59" t="s">
        <v>563</v>
      </c>
      <c r="G11">
        <f>(Vout+Vfwd2)*Nps</f>
        <v>8.625</v>
      </c>
      <c r="I11" s="20">
        <v>1</v>
      </c>
      <c r="K11" t="str">
        <f>'Variable Mgmt'!B73&amp;" Output PSR Flyback Converter, "&amp;"VIN = "&amp;Vin&amp;" V, VOUT = "&amp;Vout&amp;" V, IOUT = "&amp;Iout&amp;" A"</f>
        <v>DUAL Output PSR Flyback Converter, VIN = 12 V, VOUT = 170 V, IOUT = 0.5 A</v>
      </c>
      <c r="W11" s="640" t="s">
        <v>788</v>
      </c>
      <c r="X11" s="129"/>
      <c r="Y11" s="129"/>
      <c r="Z11" s="627"/>
    </row>
    <row r="12" spans="1:26">
      <c r="A12" s="19" t="s">
        <v>5</v>
      </c>
      <c r="B12" s="8">
        <f>'Design Converter'!E11</f>
        <v>0.5</v>
      </c>
      <c r="C12" s="59" t="s">
        <v>1</v>
      </c>
      <c r="D12" s="59" t="s">
        <v>648</v>
      </c>
      <c r="I12" s="20">
        <v>1</v>
      </c>
      <c r="K12" t="str">
        <f>'Variable Mgmt'!B73&amp;" Output PSR Flyback Converter, "&amp;"VIN = "&amp;Vin&amp;" V, VOUT1 = "&amp;Vout&amp;" V, IOUT1 = "&amp;Iout&amp;" A"&amp;", VOUT2 = "&amp;Vout2_actual&amp;" V, IOUT2 = "&amp;Iout2_actual&amp;" A"</f>
        <v>DUAL Output PSR Flyback Converter, VIN = 12 V, VOUT1 = 170 V, IOUT1 = 0.5 A, VOUT2 = 12 V, IOUT2 = 0.5 A</v>
      </c>
      <c r="L12" s="59"/>
      <c r="W12" s="19"/>
      <c r="X12" t="s">
        <v>787</v>
      </c>
      <c r="Y12">
        <f>'Calculations - Single'!AQ105*1000</f>
        <v>94767.787355118431</v>
      </c>
      <c r="Z12" s="20" t="s">
        <v>8</v>
      </c>
    </row>
    <row r="13" spans="1:26">
      <c r="A13" s="89" t="s">
        <v>168</v>
      </c>
      <c r="B13" s="130">
        <f>Vout/Iout</f>
        <v>340</v>
      </c>
      <c r="C13" s="91" t="s">
        <v>45</v>
      </c>
      <c r="D13" s="59" t="s">
        <v>169</v>
      </c>
      <c r="I13" s="20"/>
      <c r="W13" s="19"/>
      <c r="X13" t="s">
        <v>789</v>
      </c>
      <c r="Y13">
        <f>Lmag</f>
        <v>1.5E-6</v>
      </c>
      <c r="Z13" s="20" t="s">
        <v>11</v>
      </c>
    </row>
    <row r="14" spans="1:26">
      <c r="A14" s="89" t="s">
        <v>152</v>
      </c>
      <c r="B14" s="130">
        <f>Vout*Iout</f>
        <v>85</v>
      </c>
      <c r="C14" t="s">
        <v>45</v>
      </c>
      <c r="D14" s="59" t="s">
        <v>158</v>
      </c>
      <c r="I14" s="20"/>
      <c r="L14" s="59"/>
      <c r="W14" s="19"/>
      <c r="X14" t="s">
        <v>791</v>
      </c>
      <c r="Y14">
        <f>G11/(G11+VIN_nom/Npri_sec)</f>
        <v>3.4690799396681751E-2</v>
      </c>
      <c r="Z14" s="20"/>
    </row>
    <row r="15" spans="1:26">
      <c r="B15" s="5"/>
      <c r="C15"/>
      <c r="D15" s="59"/>
      <c r="I15" s="20"/>
      <c r="L15" s="59"/>
      <c r="W15" s="19"/>
      <c r="X15" t="s">
        <v>790</v>
      </c>
      <c r="Y15">
        <f>VIN_nom/Lmag*Y14/Y12</f>
        <v>2.9284887082305056</v>
      </c>
      <c r="Z15" s="20" t="s">
        <v>1</v>
      </c>
    </row>
    <row r="16" spans="1:26">
      <c r="A16" s="89" t="s">
        <v>608</v>
      </c>
      <c r="B16" s="492">
        <f>ABS('Design Converter'!E12)</f>
        <v>12</v>
      </c>
      <c r="C16" t="s">
        <v>0</v>
      </c>
      <c r="D16" s="59" t="s">
        <v>565</v>
      </c>
      <c r="I16" s="20"/>
      <c r="L16" s="59"/>
      <c r="W16" s="19"/>
      <c r="X16" t="s">
        <v>792</v>
      </c>
      <c r="Y16">
        <f>0.5*Y15^2*Y13*Y12</f>
        <v>0.60954968587603287</v>
      </c>
      <c r="Z16" s="20"/>
    </row>
    <row r="17" spans="1:26">
      <c r="A17" s="89" t="s">
        <v>609</v>
      </c>
      <c r="B17" s="525">
        <f>'Design Converter'!E12</f>
        <v>12</v>
      </c>
      <c r="C17" t="s">
        <v>0</v>
      </c>
      <c r="D17" s="59"/>
      <c r="I17" s="20"/>
      <c r="L17" s="59"/>
      <c r="P17" s="3" t="s">
        <v>769</v>
      </c>
      <c r="W17" s="19"/>
      <c r="X17" t="s">
        <v>769</v>
      </c>
      <c r="Y17" s="3" t="str">
        <f>IF((Y16/(G11*Iout))&lt;1.01, "BCM", "DCM")</f>
        <v>BCM</v>
      </c>
      <c r="Z17" s="20"/>
    </row>
    <row r="18" spans="1:26">
      <c r="A18" s="89" t="s">
        <v>498</v>
      </c>
      <c r="B18" s="492">
        <f>ABS('Design Converter'!E13)</f>
        <v>0.5</v>
      </c>
      <c r="C18" s="59" t="s">
        <v>1</v>
      </c>
      <c r="D18" s="59" t="s">
        <v>564</v>
      </c>
      <c r="I18" s="20"/>
      <c r="L18" s="59"/>
      <c r="P18" s="3" t="s">
        <v>768</v>
      </c>
      <c r="Q18">
        <v>1</v>
      </c>
      <c r="W18" s="19"/>
      <c r="Z18" s="20"/>
    </row>
    <row r="19" spans="1:26" ht="13.8" thickBot="1">
      <c r="A19" s="59" t="s">
        <v>647</v>
      </c>
      <c r="B19">
        <f>Iout2*SIGN(Vout2_actual)</f>
        <v>0.5</v>
      </c>
      <c r="C19" s="59" t="s">
        <v>1</v>
      </c>
      <c r="I19" s="20"/>
      <c r="L19" s="59"/>
      <c r="P19" s="3" t="s">
        <v>767</v>
      </c>
      <c r="Q19">
        <v>2</v>
      </c>
      <c r="W19" s="637"/>
      <c r="X19" s="157" t="s">
        <v>793</v>
      </c>
      <c r="Y19" s="157">
        <f>Vout*Iout</f>
        <v>85</v>
      </c>
      <c r="Z19" s="639"/>
    </row>
    <row r="20" spans="1:26">
      <c r="A20" s="89" t="s">
        <v>499</v>
      </c>
      <c r="B20" s="130">
        <f>ABS(Vout2/Iout2)</f>
        <v>24</v>
      </c>
      <c r="C20" s="91" t="s">
        <v>45</v>
      </c>
      <c r="D20" s="59" t="s">
        <v>501</v>
      </c>
      <c r="I20" s="20"/>
      <c r="K20" s="59" t="s">
        <v>530</v>
      </c>
      <c r="L20" s="59" t="s">
        <v>531</v>
      </c>
      <c r="Q20" s="3">
        <v>2</v>
      </c>
    </row>
    <row r="21" spans="1:26">
      <c r="A21" s="89" t="s">
        <v>500</v>
      </c>
      <c r="B21" s="130">
        <f>ABS(Vout2*Iout2)</f>
        <v>6</v>
      </c>
      <c r="C21" t="s">
        <v>45</v>
      </c>
      <c r="D21" s="59" t="s">
        <v>502</v>
      </c>
      <c r="I21" s="20"/>
      <c r="K21">
        <v>5</v>
      </c>
      <c r="L21" s="59">
        <v>-5</v>
      </c>
    </row>
    <row r="22" spans="1:26">
      <c r="A22" s="89" t="s">
        <v>503</v>
      </c>
      <c r="B22" s="130">
        <f>CHOOSE(MODE, Pout, Pout + Pout2)</f>
        <v>91</v>
      </c>
      <c r="C22" t="s">
        <v>45</v>
      </c>
      <c r="D22" s="59" t="s">
        <v>504</v>
      </c>
      <c r="I22" s="20"/>
      <c r="K22">
        <v>0.2</v>
      </c>
      <c r="L22" s="59">
        <v>0.2</v>
      </c>
    </row>
    <row r="23" spans="1:26">
      <c r="A23" s="89"/>
      <c r="B23" s="5"/>
      <c r="C23"/>
      <c r="D23" s="59"/>
      <c r="I23" s="20"/>
      <c r="L23" s="59"/>
    </row>
    <row r="24" spans="1:26">
      <c r="A24" s="29" t="str">
        <f>CHOOSE(MODE, "Turns Ratio, PRI : SEC", "Turns Ratio, PRI : SEC1")</f>
        <v>Turns Ratio, PRI : SEC1</v>
      </c>
      <c r="B24" s="90" t="str">
        <f>Nps</f>
        <v>0.05</v>
      </c>
      <c r="C24"/>
      <c r="D24" s="59" t="str">
        <f>CHOOSE(MODE, "TR primary-secondary (single output) = Np/Ns", "TR primary-secondary1 (dual output) = Np/Nsec1")</f>
        <v>TR primary-secondary1 (dual output) = Np/Nsec1</v>
      </c>
      <c r="I24" s="20"/>
      <c r="L24" s="59"/>
    </row>
    <row r="25" spans="1:26">
      <c r="A25" s="29" t="s">
        <v>576</v>
      </c>
      <c r="B25" s="150">
        <f>Npri_sec2</f>
        <v>0.673828125</v>
      </c>
      <c r="D25" s="59" t="s">
        <v>577</v>
      </c>
      <c r="I25" s="20"/>
      <c r="L25" s="59"/>
    </row>
    <row r="26" spans="1:26" ht="13.8" thickBot="1">
      <c r="A26" s="29" t="s">
        <v>589</v>
      </c>
      <c r="B26" s="524">
        <f>Nsec1sec2</f>
        <v>7.4202898550724636E-2</v>
      </c>
      <c r="D26" s="59" t="s">
        <v>578</v>
      </c>
      <c r="I26" s="20"/>
      <c r="L26" s="59"/>
      <c r="R26" s="134" t="s">
        <v>389</v>
      </c>
      <c r="V26" s="134" t="s">
        <v>389</v>
      </c>
    </row>
    <row r="27" spans="1:26">
      <c r="I27" s="20"/>
      <c r="K27" s="134" t="s">
        <v>529</v>
      </c>
      <c r="P27" s="626"/>
      <c r="Q27" s="129"/>
      <c r="R27" s="132" t="s">
        <v>571</v>
      </c>
      <c r="S27" s="129"/>
      <c r="T27" s="129"/>
      <c r="U27" s="129"/>
      <c r="V27" s="132" t="s">
        <v>572</v>
      </c>
      <c r="W27" s="627"/>
    </row>
    <row r="28" spans="1:26">
      <c r="A28" s="59" t="s">
        <v>610</v>
      </c>
      <c r="B28" s="5">
        <f>Vout+VIN_max/Nps</f>
        <v>490</v>
      </c>
      <c r="C28" s="59" t="s">
        <v>0</v>
      </c>
      <c r="I28" s="20"/>
      <c r="K28" s="59" t="s">
        <v>526</v>
      </c>
      <c r="L28">
        <v>1</v>
      </c>
      <c r="P28" s="19"/>
      <c r="R28" t="str">
        <f>"20 : 1"</f>
        <v>20 : 1</v>
      </c>
      <c r="S28">
        <v>1</v>
      </c>
      <c r="T28">
        <v>20</v>
      </c>
      <c r="V28" t="str">
        <f>"20 : 1"</f>
        <v>20 : 1</v>
      </c>
      <c r="W28">
        <v>1</v>
      </c>
    </row>
    <row r="29" spans="1:26">
      <c r="A29" s="59"/>
      <c r="B29" s="5"/>
      <c r="C29" s="59"/>
      <c r="I29" s="722"/>
      <c r="K29" s="59"/>
      <c r="P29" s="19"/>
      <c r="R29" t="str">
        <f>"15 : 1"</f>
        <v>15 : 1</v>
      </c>
      <c r="S29">
        <v>2</v>
      </c>
      <c r="T29">
        <v>15</v>
      </c>
      <c r="V29" t="str">
        <f>"15 : 1"</f>
        <v>15 : 1</v>
      </c>
      <c r="W29">
        <v>2</v>
      </c>
    </row>
    <row r="30" spans="1:26">
      <c r="A30" s="59"/>
      <c r="B30" s="5"/>
      <c r="C30" s="59"/>
      <c r="I30" s="722"/>
      <c r="K30" s="59"/>
      <c r="P30" s="19"/>
      <c r="R30" t="str">
        <f>"10 : 1"</f>
        <v>10 : 1</v>
      </c>
      <c r="S30">
        <v>3</v>
      </c>
      <c r="T30">
        <v>10</v>
      </c>
      <c r="V30" t="str">
        <f>"10 : 1"</f>
        <v>10 : 1</v>
      </c>
      <c r="W30">
        <v>3</v>
      </c>
    </row>
    <row r="31" spans="1:26">
      <c r="A31" s="59"/>
      <c r="B31" s="5"/>
      <c r="C31" s="59"/>
      <c r="I31" s="722"/>
      <c r="K31" s="59"/>
      <c r="P31" s="19"/>
      <c r="R31" t="str">
        <f>"8 : 1"</f>
        <v>8 : 1</v>
      </c>
      <c r="S31">
        <v>4</v>
      </c>
      <c r="T31">
        <v>8</v>
      </c>
      <c r="V31" t="str">
        <f>"8 : 1"</f>
        <v>8 : 1</v>
      </c>
      <c r="W31">
        <v>4</v>
      </c>
    </row>
    <row r="32" spans="1:26">
      <c r="A32" s="59"/>
      <c r="B32" s="5"/>
      <c r="C32" s="59"/>
      <c r="I32" s="722"/>
      <c r="K32" s="59"/>
      <c r="P32" s="19"/>
      <c r="R32" t="str">
        <f>"6 : 1"</f>
        <v>6 : 1</v>
      </c>
      <c r="S32">
        <v>5</v>
      </c>
      <c r="T32">
        <v>6</v>
      </c>
      <c r="V32" t="str">
        <f>"6 : 1"</f>
        <v>6 : 1</v>
      </c>
      <c r="W32">
        <v>5</v>
      </c>
    </row>
    <row r="33" spans="1:23">
      <c r="A33" s="59"/>
      <c r="B33" s="5"/>
      <c r="C33" s="59"/>
      <c r="I33" s="722"/>
      <c r="K33" s="59"/>
      <c r="P33" s="19"/>
      <c r="R33" t="str">
        <f>"5 : 1"</f>
        <v>5 : 1</v>
      </c>
      <c r="S33">
        <v>6</v>
      </c>
      <c r="T33">
        <v>5</v>
      </c>
      <c r="V33" t="str">
        <f>"5 : 1"</f>
        <v>5 : 1</v>
      </c>
      <c r="W33">
        <v>6</v>
      </c>
    </row>
    <row r="34" spans="1:23">
      <c r="I34" s="20"/>
      <c r="K34" s="59" t="s">
        <v>527</v>
      </c>
      <c r="L34">
        <v>2</v>
      </c>
      <c r="P34" s="19"/>
      <c r="R34" t="str">
        <f>"4 : 1"</f>
        <v>4 : 1</v>
      </c>
      <c r="S34">
        <v>7</v>
      </c>
      <c r="T34">
        <v>4</v>
      </c>
      <c r="V34" t="str">
        <f>"4 : 1"</f>
        <v>4 : 1</v>
      </c>
      <c r="W34">
        <v>7</v>
      </c>
    </row>
    <row r="35" spans="1:23">
      <c r="A35" s="89" t="s">
        <v>436</v>
      </c>
      <c r="B35" s="314">
        <f>1%*Vout*1000</f>
        <v>1700</v>
      </c>
      <c r="C35" t="s">
        <v>149</v>
      </c>
      <c r="D35" s="59" t="s">
        <v>454</v>
      </c>
      <c r="I35" s="20"/>
      <c r="K35" s="59" t="s">
        <v>528</v>
      </c>
      <c r="L35">
        <v>3</v>
      </c>
      <c r="P35" s="19"/>
      <c r="R35" t="str">
        <f>"3 : 1"</f>
        <v>3 : 1</v>
      </c>
      <c r="S35">
        <v>8</v>
      </c>
      <c r="T35">
        <v>3</v>
      </c>
      <c r="V35" t="str">
        <f>"3 : 1"</f>
        <v>3 : 1</v>
      </c>
      <c r="W35">
        <v>8</v>
      </c>
    </row>
    <row r="36" spans="1:23">
      <c r="A36" s="89" t="s">
        <v>547</v>
      </c>
      <c r="B36" s="314">
        <f>1%*Vout2*1000</f>
        <v>120</v>
      </c>
      <c r="C36" t="s">
        <v>149</v>
      </c>
      <c r="D36" s="59" t="s">
        <v>546</v>
      </c>
      <c r="I36" s="20"/>
      <c r="P36" s="19"/>
      <c r="R36" t="str">
        <f>"2.5 : 1"</f>
        <v>2.5 : 1</v>
      </c>
      <c r="S36">
        <v>9</v>
      </c>
      <c r="T36">
        <v>2.5</v>
      </c>
      <c r="V36" t="str">
        <f>"2.5 : 1"</f>
        <v>2.5 : 1</v>
      </c>
      <c r="W36">
        <v>9</v>
      </c>
    </row>
    <row r="37" spans="1:23">
      <c r="I37" s="20"/>
      <c r="P37" s="19"/>
      <c r="Q37" s="628"/>
      <c r="R37" t="str">
        <f>"2 : 1"</f>
        <v>2 : 1</v>
      </c>
      <c r="S37">
        <v>10</v>
      </c>
      <c r="T37">
        <v>2</v>
      </c>
      <c r="V37" t="str">
        <f>"2 : 1"</f>
        <v>2 : 1</v>
      </c>
      <c r="W37">
        <v>10</v>
      </c>
    </row>
    <row r="38" spans="1:23">
      <c r="I38" s="20"/>
      <c r="P38" s="19"/>
      <c r="Q38" s="628"/>
      <c r="R38" t="str">
        <f>"1.8 :1"</f>
        <v>1.8 :1</v>
      </c>
      <c r="S38">
        <v>11</v>
      </c>
      <c r="T38">
        <v>1.8</v>
      </c>
      <c r="V38" t="str">
        <f>"1.8 : 1"</f>
        <v>1.8 : 1</v>
      </c>
      <c r="W38">
        <v>11</v>
      </c>
    </row>
    <row r="39" spans="1:23">
      <c r="A39" s="89" t="s">
        <v>47</v>
      </c>
      <c r="B39" s="526">
        <v>1</v>
      </c>
      <c r="C39"/>
      <c r="D39" s="59" t="s">
        <v>175</v>
      </c>
      <c r="I39" s="20"/>
      <c r="P39" s="19"/>
      <c r="R39" t="str">
        <f>"1.5 : 1"</f>
        <v>1.5 : 1</v>
      </c>
      <c r="S39">
        <v>12</v>
      </c>
      <c r="T39">
        <v>1.5</v>
      </c>
      <c r="V39" t="str">
        <f>"1.5 : 1"</f>
        <v>1.5 : 1</v>
      </c>
      <c r="W39">
        <v>12</v>
      </c>
    </row>
    <row r="40" spans="1:23">
      <c r="A40" s="89"/>
      <c r="B40" s="526"/>
      <c r="C40"/>
      <c r="D40" s="59"/>
      <c r="I40" s="20"/>
      <c r="P40" s="19"/>
      <c r="R40" t="str">
        <f>"1.2 : 1"</f>
        <v>1.2 : 1</v>
      </c>
      <c r="S40">
        <v>13</v>
      </c>
      <c r="T40">
        <v>1.2</v>
      </c>
      <c r="V40" s="629" t="s">
        <v>785</v>
      </c>
      <c r="W40">
        <v>13</v>
      </c>
    </row>
    <row r="41" spans="1:23">
      <c r="A41" s="89" t="s">
        <v>156</v>
      </c>
      <c r="B41" s="359">
        <f>Pout_total/Efficiency</f>
        <v>91</v>
      </c>
      <c r="C41" t="s">
        <v>45</v>
      </c>
      <c r="D41" s="59" t="s">
        <v>455</v>
      </c>
      <c r="I41" s="20"/>
      <c r="P41" s="19"/>
      <c r="R41" t="str">
        <f>"1 : 1"</f>
        <v>1 : 1</v>
      </c>
      <c r="S41">
        <v>14</v>
      </c>
      <c r="T41">
        <v>1</v>
      </c>
      <c r="V41" t="str">
        <f>"1 : 1"</f>
        <v>1 : 1</v>
      </c>
      <c r="W41">
        <v>14</v>
      </c>
    </row>
    <row r="42" spans="1:23">
      <c r="A42" s="89"/>
      <c r="B42" s="359"/>
      <c r="C42"/>
      <c r="D42" s="59"/>
      <c r="I42" s="20"/>
      <c r="P42" s="19"/>
      <c r="R42" t="str">
        <f>"1 : 1.2"</f>
        <v>1 : 1.2</v>
      </c>
      <c r="S42">
        <v>15</v>
      </c>
      <c r="T42">
        <f>0.833</f>
        <v>0.83299999999999996</v>
      </c>
      <c r="V42" s="629" t="s">
        <v>786</v>
      </c>
      <c r="W42">
        <v>15</v>
      </c>
    </row>
    <row r="43" spans="1:23">
      <c r="A43" s="89" t="s">
        <v>153</v>
      </c>
      <c r="B43" s="139">
        <f>Pin/VIN_min</f>
        <v>10.111111111111111</v>
      </c>
      <c r="C43" t="s">
        <v>1</v>
      </c>
      <c r="D43" s="59"/>
      <c r="I43" s="20"/>
      <c r="P43" s="19"/>
      <c r="R43" t="str">
        <f>"1 : 1.5"</f>
        <v>1 : 1.5</v>
      </c>
      <c r="S43">
        <v>16</v>
      </c>
      <c r="T43">
        <f>0.667</f>
        <v>0.66700000000000004</v>
      </c>
      <c r="V43" t="str">
        <f>"1 : 1.5"</f>
        <v>1 : 1.5</v>
      </c>
      <c r="W43">
        <v>16</v>
      </c>
    </row>
    <row r="44" spans="1:23">
      <c r="A44" s="89"/>
      <c r="B44" s="139"/>
      <c r="C44"/>
      <c r="D44" s="59"/>
      <c r="I44" s="20"/>
      <c r="P44" s="19"/>
      <c r="R44" t="str">
        <f>"1 : 1.8"</f>
        <v>1 : 1.8</v>
      </c>
      <c r="S44">
        <v>17</v>
      </c>
      <c r="T44">
        <f>0.556</f>
        <v>0.55600000000000005</v>
      </c>
      <c r="V44" t="str">
        <f>"1 : 1.8"</f>
        <v>1 : 1.8</v>
      </c>
      <c r="W44">
        <v>17</v>
      </c>
    </row>
    <row r="45" spans="1:23">
      <c r="A45" s="89" t="s">
        <v>154</v>
      </c>
      <c r="B45" s="139">
        <f>Pin/VIN_nom</f>
        <v>7.583333333333333</v>
      </c>
      <c r="C45" t="s">
        <v>1</v>
      </c>
      <c r="D45" s="59" t="s">
        <v>159</v>
      </c>
      <c r="I45" s="20">
        <v>1</v>
      </c>
      <c r="K45" s="59"/>
      <c r="P45" s="19"/>
      <c r="R45" t="str">
        <f>"1 : 2"</f>
        <v>1 : 2</v>
      </c>
      <c r="S45">
        <v>18</v>
      </c>
      <c r="T45">
        <f>1/2</f>
        <v>0.5</v>
      </c>
      <c r="V45" t="str">
        <f>"1 : 2"</f>
        <v>1 : 2</v>
      </c>
      <c r="W45">
        <v>18</v>
      </c>
    </row>
    <row r="46" spans="1:23">
      <c r="A46" s="89"/>
      <c r="B46" s="139"/>
      <c r="C46"/>
      <c r="D46" s="59"/>
      <c r="I46" s="20"/>
      <c r="K46" s="59"/>
      <c r="P46" s="19"/>
      <c r="R46" t="str">
        <f>"1 : 2.5"</f>
        <v>1 : 2.5</v>
      </c>
      <c r="S46">
        <v>19</v>
      </c>
      <c r="T46">
        <f>1/2.5</f>
        <v>0.4</v>
      </c>
      <c r="V46" t="str">
        <f>"1 : 2.5"</f>
        <v>1 : 2.5</v>
      </c>
      <c r="W46">
        <v>19</v>
      </c>
    </row>
    <row r="47" spans="1:23">
      <c r="A47" s="89" t="s">
        <v>155</v>
      </c>
      <c r="B47" s="139">
        <f>Pin/VIN_max</f>
        <v>5.6875</v>
      </c>
      <c r="C47" t="s">
        <v>1</v>
      </c>
      <c r="D47" s="59"/>
      <c r="I47" s="20"/>
      <c r="P47" s="19"/>
      <c r="R47" t="str">
        <f>"1 : 3"</f>
        <v>1 : 3</v>
      </c>
      <c r="S47">
        <v>20</v>
      </c>
      <c r="T47">
        <f>0.333</f>
        <v>0.33300000000000002</v>
      </c>
      <c r="V47" t="str">
        <f>"1 : 3"</f>
        <v>1 : 3</v>
      </c>
      <c r="W47">
        <v>20</v>
      </c>
    </row>
    <row r="48" spans="1:23">
      <c r="A48" s="89" t="s">
        <v>607</v>
      </c>
      <c r="B48" s="139">
        <f>CHOOSE(MODE,'Calculations - Single'!H212,'Calculations - Dual'!H212+'Calculations - Dual'!I212)*0+CHOOSE(MODE,'Calculations - Single'!H212,'Calculations - Dual'!O212+'Calculations - Dual'!P212)</f>
        <v>146.12313808054438</v>
      </c>
      <c r="C48" t="s">
        <v>45</v>
      </c>
      <c r="D48" s="59" t="b">
        <f>B48&lt;Pout_total</f>
        <v>0</v>
      </c>
      <c r="I48" s="20"/>
      <c r="P48" s="19"/>
      <c r="R48" t="str">
        <f>"1 : 4"</f>
        <v>1 : 4</v>
      </c>
      <c r="S48">
        <v>21</v>
      </c>
      <c r="T48">
        <f>1/4</f>
        <v>0.25</v>
      </c>
      <c r="V48" t="str">
        <f>R48</f>
        <v>1 : 4</v>
      </c>
      <c r="W48">
        <v>21</v>
      </c>
    </row>
    <row r="49" spans="1:23">
      <c r="A49" s="89"/>
      <c r="B49" s="139"/>
      <c r="C49"/>
      <c r="D49" s="59"/>
      <c r="I49" s="722"/>
      <c r="P49" s="19"/>
      <c r="R49" t="str">
        <f>"1 : 5"</f>
        <v>1 : 5</v>
      </c>
      <c r="S49">
        <v>22</v>
      </c>
      <c r="T49">
        <v>0.2</v>
      </c>
      <c r="V49" t="str">
        <f>"1 : 5"</f>
        <v>1 : 5</v>
      </c>
      <c r="W49">
        <v>22</v>
      </c>
    </row>
    <row r="50" spans="1:23">
      <c r="A50" s="89"/>
      <c r="B50" s="139"/>
      <c r="C50"/>
      <c r="D50" s="59"/>
      <c r="I50" s="722"/>
      <c r="P50" s="19"/>
      <c r="R50" t="str">
        <f>"1 : 6"</f>
        <v>1 : 6</v>
      </c>
      <c r="S50">
        <v>23</v>
      </c>
      <c r="T50">
        <f>0.167</f>
        <v>0.16700000000000001</v>
      </c>
      <c r="V50" t="str">
        <f>"1 : 6"</f>
        <v>1 : 6</v>
      </c>
      <c r="W50">
        <v>23</v>
      </c>
    </row>
    <row r="51" spans="1:23">
      <c r="A51" s="89"/>
      <c r="B51" s="139"/>
      <c r="C51"/>
      <c r="D51" s="59"/>
      <c r="I51" s="722"/>
      <c r="P51" s="19"/>
      <c r="R51" t="str">
        <f>"1 : 8"</f>
        <v>1 : 8</v>
      </c>
      <c r="S51">
        <v>24</v>
      </c>
      <c r="T51">
        <f>1/8</f>
        <v>0.125</v>
      </c>
      <c r="V51" t="str">
        <f>"1 : 8"</f>
        <v>1 : 8</v>
      </c>
      <c r="W51">
        <v>24</v>
      </c>
    </row>
    <row r="52" spans="1:23">
      <c r="A52" s="89"/>
      <c r="B52" s="139"/>
      <c r="C52"/>
      <c r="D52" s="59"/>
      <c r="I52" s="722"/>
      <c r="P52" s="19"/>
      <c r="R52" t="str">
        <f>"1 : 10"</f>
        <v>1 : 10</v>
      </c>
      <c r="S52">
        <v>25</v>
      </c>
      <c r="T52">
        <f>1/10</f>
        <v>0.1</v>
      </c>
      <c r="V52" t="str">
        <f>"1 : 10"</f>
        <v>1 : 10</v>
      </c>
      <c r="W52">
        <v>25</v>
      </c>
    </row>
    <row r="53" spans="1:23">
      <c r="A53" s="89"/>
      <c r="B53" s="139"/>
      <c r="C53"/>
      <c r="D53" s="59"/>
      <c r="I53" s="722"/>
      <c r="P53" s="19"/>
      <c r="R53" t="str">
        <f>"1 : 15"</f>
        <v>1 : 15</v>
      </c>
      <c r="S53">
        <v>26</v>
      </c>
      <c r="T53">
        <f>0.0667</f>
        <v>6.6699999999999995E-2</v>
      </c>
      <c r="V53" t="str">
        <f>"1 : 15"</f>
        <v>1 : 15</v>
      </c>
      <c r="W53">
        <v>26</v>
      </c>
    </row>
    <row r="54" spans="1:23">
      <c r="A54" s="89"/>
      <c r="B54" s="139"/>
      <c r="C54"/>
      <c r="D54" s="59"/>
      <c r="I54" s="722"/>
      <c r="P54" s="19"/>
      <c r="R54" t="str">
        <f>"1 : 20"</f>
        <v>1 : 20</v>
      </c>
      <c r="S54">
        <v>27</v>
      </c>
      <c r="T54">
        <f>1/20</f>
        <v>0.05</v>
      </c>
      <c r="V54" t="str">
        <f>"1 : 20"</f>
        <v>1 : 20</v>
      </c>
      <c r="W54">
        <v>27</v>
      </c>
    </row>
    <row r="55" spans="1:23">
      <c r="A55" s="89"/>
      <c r="B55" s="139"/>
      <c r="C55"/>
      <c r="D55" s="59"/>
      <c r="I55" s="722"/>
      <c r="P55" s="19"/>
      <c r="R55" t="str">
        <f>"1 : 30"</f>
        <v>1 : 30</v>
      </c>
      <c r="S55">
        <v>28</v>
      </c>
      <c r="T55">
        <f>0.0333</f>
        <v>3.3300000000000003E-2</v>
      </c>
      <c r="V55" t="str">
        <f>"1 : 30"</f>
        <v>1 : 30</v>
      </c>
      <c r="W55">
        <v>28</v>
      </c>
    </row>
    <row r="56" spans="1:23">
      <c r="A56" s="89"/>
      <c r="B56" s="139"/>
      <c r="C56"/>
      <c r="D56" s="59"/>
      <c r="I56" s="722"/>
      <c r="P56" s="19"/>
      <c r="R56" t="str">
        <f>"1 : 40"</f>
        <v>1 : 40</v>
      </c>
      <c r="S56">
        <v>29</v>
      </c>
      <c r="T56">
        <f>1/40</f>
        <v>2.5000000000000001E-2</v>
      </c>
      <c r="V56" t="str">
        <f>"1 : 40"</f>
        <v>1 : 40</v>
      </c>
      <c r="W56">
        <v>29</v>
      </c>
    </row>
    <row r="57" spans="1:23">
      <c r="A57" s="89"/>
      <c r="B57" s="139"/>
      <c r="C57"/>
      <c r="D57" s="59"/>
      <c r="I57" s="722"/>
      <c r="P57" s="19"/>
      <c r="R57" t="str">
        <f>"1 : 50"</f>
        <v>1 : 50</v>
      </c>
      <c r="S57">
        <v>30</v>
      </c>
      <c r="T57">
        <f>1/50</f>
        <v>0.02</v>
      </c>
      <c r="V57" t="str">
        <f>"1 : 50"</f>
        <v>1 : 50</v>
      </c>
      <c r="W57">
        <v>30</v>
      </c>
    </row>
    <row r="58" spans="1:23">
      <c r="A58" s="89"/>
      <c r="B58" s="139"/>
      <c r="C58"/>
      <c r="D58" s="59"/>
      <c r="I58" s="722"/>
      <c r="P58" s="19"/>
      <c r="R58" t="str">
        <f>"1 : 60"</f>
        <v>1 : 60</v>
      </c>
      <c r="S58">
        <v>31</v>
      </c>
      <c r="T58">
        <f>0.0167</f>
        <v>1.67E-2</v>
      </c>
      <c r="V58" t="str">
        <f>"1 : 60"</f>
        <v>1 : 60</v>
      </c>
      <c r="W58">
        <v>31</v>
      </c>
    </row>
    <row r="59" spans="1:23">
      <c r="A59" s="89"/>
      <c r="B59" s="139"/>
      <c r="C59"/>
      <c r="D59" s="59"/>
      <c r="I59" s="722"/>
      <c r="P59" s="19"/>
      <c r="R59" t="str">
        <f>"1 : 80"</f>
        <v>1 : 80</v>
      </c>
      <c r="S59">
        <v>32</v>
      </c>
      <c r="T59">
        <f>1/80</f>
        <v>1.2500000000000001E-2</v>
      </c>
      <c r="V59" t="str">
        <f>"1 : 80"</f>
        <v>1 : 80</v>
      </c>
      <c r="W59">
        <v>32</v>
      </c>
    </row>
    <row r="60" spans="1:23">
      <c r="A60" s="89"/>
      <c r="B60" s="150"/>
      <c r="C60" s="59"/>
      <c r="D60" s="59"/>
      <c r="I60" s="20"/>
      <c r="P60" s="19"/>
      <c r="R60" t="str">
        <f>"1 : 100"</f>
        <v>1 : 100</v>
      </c>
      <c r="S60">
        <v>33</v>
      </c>
      <c r="T60">
        <f>1/100</f>
        <v>0.01</v>
      </c>
      <c r="U60" s="630"/>
      <c r="V60" t="str">
        <f>"1 : 100"</f>
        <v>1 : 100</v>
      </c>
      <c r="W60">
        <v>33</v>
      </c>
    </row>
    <row r="61" spans="1:23">
      <c r="A61" s="89" t="s">
        <v>428</v>
      </c>
      <c r="B61" s="110">
        <v>350000</v>
      </c>
      <c r="C61" s="59" t="s">
        <v>8</v>
      </c>
      <c r="D61" s="59" t="s">
        <v>566</v>
      </c>
      <c r="I61" s="20"/>
      <c r="P61" s="19"/>
      <c r="Q61" s="630" t="s">
        <v>388</v>
      </c>
      <c r="R61" s="316" t="str">
        <f>CHOOSE(Turns_Ratio,"20 : 1", "15 : 1", "10 : 1", "8 : 1", "6 : 1",  "5 : 1", "4 : 1", "3 : 1", "2.5 : 1", "2 : 1", "1.8 : 1", "1.5 : 1", "1.2 : 1", "1 : 1", "1 : 1.2", "1 : 1.5", "1 : 1.8", "1 : 2",  "1 : 2.5","1 : 3", "1 : 4", "1 : 5", "1 : 6", "1 : 8", "1 : 10", "1 : 15", "1 : 20", "1 : 30", "1 : 40", "1 : 50", "1 : 60", "1 : 80", "1 : 100")</f>
        <v>1 : 20</v>
      </c>
      <c r="S61" s="3">
        <v>27</v>
      </c>
      <c r="U61" s="630" t="s">
        <v>570</v>
      </c>
      <c r="V61" s="159" t="str">
        <f>CHOOSE(Turns_Ratio2, "20 : 1", "15 : 1", "10 : 1", "8 : 1", "6 : 1",  "5 : 1", "4 : 1", "3 : 1", "2.5 : 1", "2 : 1", "1.8 : 1", "1.5 : 1", "1.2 : 1", "1 : 1", "1 : 1.2", "1 : 1.5", "1 : 1.8", "1 : 2",  "1 : 2.5","1 : 3", "1 : 4", "1 : 5", "1 : 6", "1 : 8", "1 : 10", "1 : 15", "1 : 20", "1 : 30", "1 : 40", "1 : 50", "1 : 60", "1 : 80", "1 : 100")</f>
        <v>2.5 : 1</v>
      </c>
      <c r="W61" s="20">
        <v>9</v>
      </c>
    </row>
    <row r="62" spans="1:23">
      <c r="A62" s="21" t="s">
        <v>18</v>
      </c>
      <c r="B62" s="620">
        <v>1</v>
      </c>
      <c r="C62" t="s">
        <v>0</v>
      </c>
      <c r="D62" s="621" t="s">
        <v>782</v>
      </c>
      <c r="I62" s="20"/>
      <c r="P62" s="19"/>
      <c r="W62" s="20"/>
    </row>
    <row r="63" spans="1:23">
      <c r="A63" s="89" t="s">
        <v>386</v>
      </c>
      <c r="B63" s="140">
        <f>'Design Converter'!E40*1000</f>
        <v>84500</v>
      </c>
      <c r="C63" s="91" t="s">
        <v>45</v>
      </c>
      <c r="D63" s="59" t="s">
        <v>567</v>
      </c>
      <c r="I63" s="20"/>
      <c r="P63" s="19"/>
      <c r="Q63" s="59" t="s">
        <v>447</v>
      </c>
      <c r="R63" s="316" t="str">
        <f>CHOOSE(Turns_Ratio,"20", "15", "10", "8", "6", "5", "4 ", "3", "2.5", "2", "1.8", "1.5", "1.2", "1", "0.833",  "0.667", "0.556", "0.5", "0.4", "0.33", "0.25", "0.2", "0.167", "0.125", "0.1", "0.0667", "0.05", "0.0333", "0.025", "0.02", "0.0167", "0.0125", "0.01")</f>
        <v>0.05</v>
      </c>
      <c r="V63" s="59" t="s">
        <v>574</v>
      </c>
      <c r="W63" s="631" t="str">
        <f>CHOOSE(Turns_Ratio,"1", "1", "1", "1", "1", "1", "1", "1", "1", "1", "1", "1", "1", "1", "1.2", "1.5", "1.8",  "2", "2.5", "3", "4", "5", "6", "8", "10", "15", "20", "30", "40", "50", "60", "80", "100")</f>
        <v>20</v>
      </c>
    </row>
    <row r="64" spans="1:23">
      <c r="A64" s="89"/>
      <c r="B64" s="314"/>
      <c r="C64" s="91"/>
      <c r="I64" s="20"/>
      <c r="K64" s="59" t="s">
        <v>390</v>
      </c>
      <c r="P64" s="19"/>
      <c r="Q64" s="59" t="s">
        <v>494</v>
      </c>
      <c r="R64" s="316" t="str">
        <f>CHOOSE(Turns_Ratio, "20", "15", "10", "8", "6", "5", "4 ", "3", "2.5", "2", "1.8", "1.5", "1.2", "1", "0.833",  "0.667", "0.556", "0.5", "0.4", "0.33", "0.25", "0.2", "0.167", "0.125", "0.1", "0.0667", "0.05", "0.0333", "0.025", "0.02", "0.0167", "0.0125", "0.01")</f>
        <v>0.05</v>
      </c>
      <c r="V64" s="59" t="s">
        <v>573</v>
      </c>
      <c r="W64" s="632">
        <f>Nsec1sec2</f>
        <v>7.4202898550724636E-2</v>
      </c>
    </row>
    <row r="65" spans="1:23" ht="15.6">
      <c r="A65" s="89" t="s">
        <v>387</v>
      </c>
      <c r="B65" s="150">
        <v>0.1</v>
      </c>
      <c r="C65" s="59" t="s">
        <v>45</v>
      </c>
      <c r="D65" s="59" t="s">
        <v>568</v>
      </c>
      <c r="F65" s="159" t="s">
        <v>569</v>
      </c>
      <c r="I65" s="20"/>
      <c r="P65" s="19"/>
      <c r="Q65" s="59" t="s">
        <v>573</v>
      </c>
      <c r="R65" s="633">
        <f>ABS((Vout2+Vfwd22)/(Vout+Vfwd2))</f>
        <v>7.4202898550724636E-2</v>
      </c>
      <c r="V65" s="3"/>
      <c r="W65" s="634">
        <f>W63*W64</f>
        <v>1.4840579710144928</v>
      </c>
    </row>
    <row r="66" spans="1:23" ht="13.8" thickBot="1">
      <c r="A66" s="23"/>
      <c r="B66" s="24"/>
      <c r="C66" s="62"/>
      <c r="D66" s="24"/>
      <c r="E66" s="24"/>
      <c r="F66" s="24"/>
      <c r="G66" s="24"/>
      <c r="H66" s="24"/>
      <c r="I66" s="25"/>
      <c r="K66" s="377" t="str">
        <f>"SCH_"&amp;B73&amp;"_"&amp;F78&amp;"_"&amp;I78&amp;"_"&amp;F72</f>
        <v>SCH_DUAL_UVLOadj_SSadj_TCno</v>
      </c>
      <c r="P66" s="19"/>
      <c r="Q66" s="327" t="s">
        <v>495</v>
      </c>
      <c r="R66" s="635">
        <f>Nps/Nsec1sec2</f>
        <v>0.673828125</v>
      </c>
      <c r="V66" s="134" t="s">
        <v>575</v>
      </c>
      <c r="W66" s="636" t="str">
        <f>CHOOSE(MODE, R61, R61&amp;" : "&amp;ROUND(W65,2))</f>
        <v>1 : 20 : 1.48</v>
      </c>
    </row>
    <row r="67" spans="1:23" ht="13.8" thickBot="1">
      <c r="P67" s="637"/>
      <c r="Q67" s="157"/>
      <c r="R67" s="638">
        <f>ROUND(Nsec1sec2,1)</f>
        <v>0.1</v>
      </c>
      <c r="S67" s="157"/>
      <c r="T67" s="157"/>
      <c r="U67" s="157"/>
      <c r="V67" s="157"/>
      <c r="W67" s="639"/>
    </row>
    <row r="68" spans="1:23" ht="16.2" thickBot="1">
      <c r="A68" s="39" t="s">
        <v>557</v>
      </c>
    </row>
    <row r="69" spans="1:23" ht="15.6">
      <c r="A69" s="321"/>
      <c r="B69" s="322"/>
      <c r="C69" s="323"/>
      <c r="D69" s="322"/>
      <c r="E69" s="322"/>
      <c r="F69" s="322"/>
      <c r="G69" s="322"/>
      <c r="H69" s="322"/>
      <c r="I69" s="371"/>
      <c r="J69" s="371"/>
      <c r="K69" s="371"/>
      <c r="L69" s="371"/>
      <c r="M69" s="371"/>
      <c r="N69" s="371"/>
      <c r="O69" s="19"/>
    </row>
    <row r="70" spans="1:23">
      <c r="A70" s="134" t="s">
        <v>361</v>
      </c>
      <c r="B70" s="59" t="s">
        <v>362</v>
      </c>
      <c r="C70" s="372">
        <v>1</v>
      </c>
      <c r="E70" s="134" t="s">
        <v>375</v>
      </c>
      <c r="F70" s="59" t="s">
        <v>364</v>
      </c>
      <c r="G70" s="137" t="b">
        <v>1</v>
      </c>
      <c r="I70" s="131" t="s">
        <v>300</v>
      </c>
      <c r="J70" s="137">
        <v>1</v>
      </c>
      <c r="K70" t="str">
        <f>B73&amp;", "&amp;F72&amp;", "&amp;I72&amp;", "&amp;F78&amp;", "&amp;I78</f>
        <v>DUAL, TCno, IlimRes, UVLOadj, SSadj</v>
      </c>
      <c r="O70" s="19"/>
    </row>
    <row r="71" spans="1:23">
      <c r="A71" s="318"/>
      <c r="B71" s="59" t="s">
        <v>363</v>
      </c>
      <c r="C71" s="372">
        <v>2</v>
      </c>
      <c r="E71" s="11"/>
      <c r="F71" s="59" t="s">
        <v>365</v>
      </c>
      <c r="G71" s="137" t="b">
        <v>0</v>
      </c>
      <c r="I71" s="131" t="s">
        <v>301</v>
      </c>
      <c r="J71" s="137">
        <v>2</v>
      </c>
      <c r="K71" t="str">
        <f>C73&amp;", "&amp;G72&amp;", "&amp;J72&amp;", "&amp;G78&amp;", "&amp;J78</f>
        <v>2, 2, 2, 1, 1</v>
      </c>
      <c r="O71" s="19"/>
      <c r="Q71" s="131" t="s">
        <v>333</v>
      </c>
      <c r="R71" s="3" t="s">
        <v>328</v>
      </c>
      <c r="S71" s="60">
        <v>1</v>
      </c>
    </row>
    <row r="72" spans="1:23">
      <c r="B72" s="59" t="s">
        <v>506</v>
      </c>
      <c r="C72" s="137">
        <v>3</v>
      </c>
      <c r="E72" s="376" t="s">
        <v>376</v>
      </c>
      <c r="F72" s="320" t="str">
        <f>CHOOSE(G72, "TCyes", "TCno")</f>
        <v>TCno</v>
      </c>
      <c r="G72" s="316">
        <v>2</v>
      </c>
      <c r="H72" s="376" t="s">
        <v>299</v>
      </c>
      <c r="I72" s="320" t="str">
        <f>CHOOSE(J72, "IlimGND", "IlimRes")</f>
        <v>IlimRes</v>
      </c>
      <c r="J72" s="316">
        <f>IF(C78=4, 1, 2)</f>
        <v>2</v>
      </c>
      <c r="K72" t="str">
        <f>C73&amp;G72&amp;J72&amp;G78&amp;J78</f>
        <v>22211</v>
      </c>
      <c r="O72" s="19"/>
      <c r="Q72" s="131" t="s">
        <v>335</v>
      </c>
      <c r="R72" s="3" t="s">
        <v>329</v>
      </c>
      <c r="S72" s="60">
        <v>2</v>
      </c>
    </row>
    <row r="73" spans="1:23">
      <c r="A73" s="374" t="s">
        <v>286</v>
      </c>
      <c r="B73" s="373" t="str">
        <f>CHOOSE(C73,"SINGLE", IF(Vout2_actual&gt;0, "DUAL", "BIPOLAR"))</f>
        <v>DUAL</v>
      </c>
      <c r="C73" s="319">
        <v>2</v>
      </c>
      <c r="G73" s="60">
        <f>TC</f>
        <v>2</v>
      </c>
      <c r="I73" s="316"/>
      <c r="O73" s="19"/>
      <c r="Q73" s="131" t="s">
        <v>336</v>
      </c>
      <c r="R73" s="3" t="s">
        <v>330</v>
      </c>
      <c r="S73" s="60">
        <v>3</v>
      </c>
    </row>
    <row r="74" spans="1:23">
      <c r="A74" s="318"/>
      <c r="B74" s="3" t="b">
        <f>CHOOSE(C73, TRUE, FALSE)</f>
        <v>0</v>
      </c>
      <c r="C74" s="60" t="str">
        <f>CHOOSE(C73,"1", IF(Vout2&gt;0, "2", "3"))</f>
        <v>2</v>
      </c>
      <c r="O74" s="19"/>
      <c r="Q74" s="131" t="s">
        <v>334</v>
      </c>
      <c r="R74" s="3" t="s">
        <v>331</v>
      </c>
      <c r="S74" s="60">
        <v>4</v>
      </c>
    </row>
    <row r="75" spans="1:23">
      <c r="O75" s="19"/>
      <c r="Q75" s="131" t="s">
        <v>338</v>
      </c>
      <c r="R75" s="3" t="s">
        <v>337</v>
      </c>
      <c r="S75" s="60">
        <v>5</v>
      </c>
    </row>
    <row r="76" spans="1:23">
      <c r="A76" s="324" t="s">
        <v>188</v>
      </c>
      <c r="B76" s="59" t="s">
        <v>364</v>
      </c>
      <c r="C76" s="372">
        <v>1</v>
      </c>
      <c r="E76" s="134" t="s">
        <v>318</v>
      </c>
      <c r="F76" s="327" t="s">
        <v>534</v>
      </c>
      <c r="G76" s="137">
        <v>1</v>
      </c>
      <c r="H76" s="134" t="s">
        <v>296</v>
      </c>
      <c r="I76" s="59" t="s">
        <v>534</v>
      </c>
      <c r="J76" s="137">
        <v>1</v>
      </c>
      <c r="L76" s="131" t="s">
        <v>316</v>
      </c>
      <c r="M76" s="137">
        <v>1</v>
      </c>
      <c r="O76" s="19"/>
      <c r="Q76" s="376" t="s">
        <v>332</v>
      </c>
      <c r="R76" s="159" t="str">
        <f>CHOOSE(S76,"6.3V","10V","16V","25V","50V")</f>
        <v>50V</v>
      </c>
      <c r="S76" s="316">
        <f>IF(Vout&lt;=5, 1, IF(Vout&lt;=8, 2, IF(Vout&lt;=12, 3, IF(Vout&lt;=20, 4, 5))))</f>
        <v>5</v>
      </c>
    </row>
    <row r="77" spans="1:23">
      <c r="A77" s="325"/>
      <c r="B77" s="59" t="s">
        <v>365</v>
      </c>
      <c r="C77" s="372">
        <v>2</v>
      </c>
      <c r="F77" s="327" t="s">
        <v>535</v>
      </c>
      <c r="G77" s="137">
        <v>2</v>
      </c>
      <c r="H77" s="11"/>
      <c r="I77" s="59" t="s">
        <v>649</v>
      </c>
      <c r="J77" s="137">
        <v>2</v>
      </c>
      <c r="L77" s="131" t="s">
        <v>317</v>
      </c>
      <c r="M77" s="137">
        <v>2</v>
      </c>
      <c r="O77" s="19"/>
      <c r="T77" s="3" t="s">
        <v>116</v>
      </c>
      <c r="U77" s="3" t="s">
        <v>634</v>
      </c>
    </row>
    <row r="78" spans="1:23">
      <c r="A78" s="375" t="s">
        <v>287</v>
      </c>
      <c r="B78" s="373" t="str">
        <f>CHOOSE(C78, "YES", "NO")</f>
        <v>YES</v>
      </c>
      <c r="C78" s="319">
        <v>1</v>
      </c>
      <c r="E78" s="376" t="s">
        <v>304</v>
      </c>
      <c r="F78" s="320" t="str">
        <f>CHOOSE(G78, "UVLOadj", "UVLOint")</f>
        <v>UVLOadj</v>
      </c>
      <c r="G78" s="316">
        <v>1</v>
      </c>
      <c r="H78" s="376" t="s">
        <v>288</v>
      </c>
      <c r="I78" s="320" t="str">
        <f>CHOOSE(J78, "SSadj", "SSint")</f>
        <v>SSadj</v>
      </c>
      <c r="J78" s="316">
        <v>1</v>
      </c>
      <c r="L78" s="317" t="s">
        <v>297</v>
      </c>
      <c r="M78" s="316">
        <v>1</v>
      </c>
      <c r="O78" s="19"/>
      <c r="R78" s="3" t="s">
        <v>633</v>
      </c>
      <c r="S78" s="3"/>
      <c r="T78" s="59" t="s">
        <v>347</v>
      </c>
      <c r="U78" s="144">
        <v>0.5</v>
      </c>
    </row>
    <row r="79" spans="1:23" ht="13.8" thickBot="1">
      <c r="A79" s="23"/>
      <c r="B79" s="24"/>
      <c r="C79" s="136"/>
      <c r="D79" s="24"/>
      <c r="E79" s="24"/>
      <c r="F79" s="24"/>
      <c r="G79" s="24"/>
      <c r="H79" s="24"/>
      <c r="I79" s="24"/>
      <c r="J79" s="24"/>
      <c r="K79" s="24"/>
      <c r="L79" s="24"/>
      <c r="M79" s="24"/>
      <c r="N79" s="24"/>
      <c r="O79" s="19"/>
      <c r="R79" s="390" t="s">
        <v>341</v>
      </c>
      <c r="S79" s="60">
        <v>1</v>
      </c>
      <c r="T79" s="59" t="s">
        <v>351</v>
      </c>
      <c r="U79" s="144">
        <v>1.3</v>
      </c>
    </row>
    <row r="80" spans="1:23">
      <c r="B80" t="b">
        <f>(CONFIG="2")</f>
        <v>1</v>
      </c>
      <c r="C80" s="3" t="str">
        <f>CONFIG</f>
        <v>2</v>
      </c>
      <c r="R80" s="390" t="s">
        <v>119</v>
      </c>
      <c r="S80" s="60">
        <v>2</v>
      </c>
      <c r="T80" s="59" t="s">
        <v>352</v>
      </c>
      <c r="U80" s="144">
        <v>2.5</v>
      </c>
    </row>
    <row r="81" spans="1:26" ht="16.2" thickBot="1">
      <c r="A81" s="39" t="s">
        <v>558</v>
      </c>
      <c r="B81" s="3"/>
      <c r="R81" s="390" t="s">
        <v>342</v>
      </c>
      <c r="S81" s="60">
        <v>3</v>
      </c>
      <c r="T81" s="59" t="s">
        <v>350</v>
      </c>
      <c r="U81" s="144">
        <v>5.0999999999999996</v>
      </c>
    </row>
    <row r="82" spans="1:26">
      <c r="A82" s="88"/>
      <c r="B82" s="509"/>
      <c r="C82" s="510"/>
      <c r="D82" s="129"/>
      <c r="E82" s="61"/>
      <c r="F82" s="26"/>
      <c r="G82" s="26"/>
      <c r="H82" s="26"/>
      <c r="I82" s="27">
        <v>1</v>
      </c>
      <c r="K82" s="59"/>
      <c r="R82" s="390" t="s">
        <v>343</v>
      </c>
      <c r="S82" s="60">
        <v>4</v>
      </c>
      <c r="T82" s="59" t="s">
        <v>353</v>
      </c>
      <c r="U82" s="144">
        <v>8</v>
      </c>
    </row>
    <row r="83" spans="1:26">
      <c r="A83" s="89" t="s">
        <v>150</v>
      </c>
      <c r="B83" s="138">
        <f>Nps*(Vout+Vfwd2)/(VIN_min+Nps*(Vout+Vfwd2))*0+IF(H83="BAD",'Calculations - Single'!CQ210,CHOOSE(MODE,'Calculations - Single'!M210,'Calculations - Dual'!N210))</f>
        <v>0.49502330536404893</v>
      </c>
      <c r="C83"/>
      <c r="D83" t="b">
        <f>B83&gt;0.75</f>
        <v>0</v>
      </c>
      <c r="E83" s="59"/>
      <c r="G83">
        <f>Vfwd2</f>
        <v>2.5</v>
      </c>
      <c r="H83">
        <f>'Calculations - Single'!DT210</f>
        <v>500</v>
      </c>
      <c r="I83" s="20">
        <v>1</v>
      </c>
      <c r="R83" s="390" t="s">
        <v>344</v>
      </c>
      <c r="S83" s="60">
        <v>5</v>
      </c>
      <c r="T83" s="159" t="str">
        <f>CHOOSE(S85,T78,T79, T80,T81,T82)</f>
        <v>3.2 x 2.5</v>
      </c>
      <c r="U83" s="144">
        <v>8</v>
      </c>
    </row>
    <row r="84" spans="1:26">
      <c r="A84" s="89"/>
      <c r="B84" s="138"/>
      <c r="C84"/>
      <c r="E84" s="59"/>
      <c r="I84" s="722"/>
      <c r="R84" s="390" t="s">
        <v>943</v>
      </c>
      <c r="S84" s="60">
        <v>6</v>
      </c>
      <c r="T84" s="159" t="s">
        <v>944</v>
      </c>
      <c r="U84" s="144">
        <v>25.1</v>
      </c>
    </row>
    <row r="85" spans="1:26">
      <c r="A85" s="89" t="s">
        <v>157</v>
      </c>
      <c r="B85" s="138">
        <f>Nps*(Vout+Vfwd1)/(VIN_nom+Nps*(Vout+Vfwd1))</f>
        <v>0.4156318480642805</v>
      </c>
      <c r="C85"/>
      <c r="I85" s="20"/>
      <c r="Q85" s="376" t="s">
        <v>345</v>
      </c>
      <c r="R85" s="159" t="str">
        <f>CHOOSE(S85,"0402","0603","0805","1206","1210")</f>
        <v>1210</v>
      </c>
      <c r="S85" s="316">
        <v>5</v>
      </c>
    </row>
    <row r="86" spans="1:26">
      <c r="A86" s="89" t="s">
        <v>151</v>
      </c>
      <c r="B86" s="138">
        <f>Nps*(Vout+Vfwd1)/(VIN_max+Nps*(Vout+Vfwd1))*0+CHOOSE(MODE, 'Calculations - Single'!M316, 'Calculations - Dual'!N316)</f>
        <v>0.35315141498400066</v>
      </c>
      <c r="C86"/>
      <c r="E86" s="59"/>
      <c r="I86" s="20"/>
    </row>
    <row r="87" spans="1:26">
      <c r="A87" s="59"/>
      <c r="C87"/>
      <c r="E87" s="59"/>
      <c r="I87" s="20"/>
      <c r="T87" s="3" t="s">
        <v>116</v>
      </c>
      <c r="U87" s="3" t="s">
        <v>634</v>
      </c>
      <c r="W87" s="3" t="s">
        <v>633</v>
      </c>
      <c r="X87" s="3"/>
      <c r="Y87" s="3" t="s">
        <v>116</v>
      </c>
      <c r="Z87" s="3" t="s">
        <v>634</v>
      </c>
    </row>
    <row r="88" spans="1:26">
      <c r="A88" s="89" t="s">
        <v>832</v>
      </c>
      <c r="B88" s="670">
        <f>MIN(0.667*VIN_nom/Vout, 1.857*VIN_min/Vout*1+0*3.33*VIN_min/Vout)</f>
        <v>4.7082352941176478E-2</v>
      </c>
      <c r="C88" s="59"/>
      <c r="D88" s="59" t="s">
        <v>834</v>
      </c>
      <c r="I88" s="20"/>
      <c r="R88" s="3" t="s">
        <v>633</v>
      </c>
      <c r="S88" s="3"/>
      <c r="T88" s="327" t="s">
        <v>621</v>
      </c>
      <c r="U88" s="144">
        <v>36</v>
      </c>
      <c r="W88" s="59" t="s">
        <v>639</v>
      </c>
      <c r="X88" s="60">
        <v>1</v>
      </c>
      <c r="Y88" s="59" t="s">
        <v>351</v>
      </c>
      <c r="Z88">
        <v>1.3</v>
      </c>
    </row>
    <row r="89" spans="1:26">
      <c r="A89" s="89"/>
      <c r="B89" s="542"/>
      <c r="C89"/>
      <c r="D89" s="59"/>
      <c r="I89" s="20"/>
      <c r="R89" s="59" t="s">
        <v>348</v>
      </c>
      <c r="S89" s="60">
        <v>1</v>
      </c>
      <c r="T89" s="327" t="s">
        <v>620</v>
      </c>
      <c r="U89" s="144">
        <v>49</v>
      </c>
      <c r="W89" s="59" t="s">
        <v>630</v>
      </c>
      <c r="X89" s="60">
        <v>2</v>
      </c>
      <c r="Y89" s="59" t="s">
        <v>638</v>
      </c>
      <c r="Z89">
        <v>3.2</v>
      </c>
    </row>
    <row r="90" spans="1:26">
      <c r="A90" s="89"/>
      <c r="B90" s="542"/>
      <c r="C90" s="59"/>
      <c r="D90" s="59"/>
      <c r="I90" s="20"/>
      <c r="R90" s="59" t="s">
        <v>349</v>
      </c>
      <c r="S90" s="60">
        <v>2</v>
      </c>
      <c r="T90" s="327" t="s">
        <v>619</v>
      </c>
      <c r="U90" s="144">
        <v>64</v>
      </c>
      <c r="W90" s="59" t="s">
        <v>631</v>
      </c>
      <c r="X90" s="60">
        <v>3</v>
      </c>
      <c r="Y90" s="59" t="s">
        <v>637</v>
      </c>
      <c r="Z90">
        <v>6.5</v>
      </c>
    </row>
    <row r="91" spans="1:26">
      <c r="A91" s="59"/>
      <c r="C91"/>
      <c r="I91" s="20">
        <v>1</v>
      </c>
      <c r="R91" s="59" t="s">
        <v>611</v>
      </c>
      <c r="S91" s="60">
        <v>3</v>
      </c>
      <c r="T91" s="327" t="s">
        <v>618</v>
      </c>
      <c r="U91" s="144">
        <v>81</v>
      </c>
      <c r="W91" s="59" t="s">
        <v>632</v>
      </c>
      <c r="X91" s="60">
        <v>4</v>
      </c>
      <c r="Y91" s="59" t="s">
        <v>636</v>
      </c>
      <c r="Z91">
        <v>12.5</v>
      </c>
    </row>
    <row r="92" spans="1:26">
      <c r="A92" s="59" t="s">
        <v>850</v>
      </c>
      <c r="B92" s="13">
        <f>VIN_max+Nps*(Vout+Vfwd2)*1.5</f>
        <v>28.9375</v>
      </c>
      <c r="C92" s="59"/>
      <c r="D92" s="59"/>
      <c r="E92" s="59"/>
      <c r="I92" s="20"/>
      <c r="R92" s="59" t="s">
        <v>612</v>
      </c>
      <c r="S92" s="60">
        <v>4</v>
      </c>
      <c r="T92" s="327" t="s">
        <v>617</v>
      </c>
      <c r="U92" s="144">
        <v>100</v>
      </c>
      <c r="W92" s="376" t="s">
        <v>635</v>
      </c>
    </row>
    <row r="93" spans="1:26">
      <c r="A93" s="59"/>
      <c r="B93" s="13"/>
      <c r="C93"/>
      <c r="D93" s="59">
        <f>Isw_min</f>
        <v>13.333333333333334</v>
      </c>
      <c r="E93" s="59"/>
      <c r="I93" s="20"/>
      <c r="R93" s="59" t="s">
        <v>613</v>
      </c>
      <c r="S93" s="60">
        <v>5</v>
      </c>
      <c r="T93" s="327" t="s">
        <v>616</v>
      </c>
      <c r="U93" s="144">
        <v>120</v>
      </c>
    </row>
    <row r="94" spans="1:26">
      <c r="A94" s="59"/>
      <c r="B94" s="13"/>
      <c r="C94" s="59"/>
      <c r="D94" s="59"/>
      <c r="E94" s="59"/>
      <c r="I94" s="20"/>
      <c r="R94" s="59" t="s">
        <v>614</v>
      </c>
      <c r="S94" s="60">
        <v>6</v>
      </c>
      <c r="T94" s="327" t="s">
        <v>622</v>
      </c>
      <c r="U94" s="144">
        <v>143</v>
      </c>
    </row>
    <row r="95" spans="1:26" ht="15.6">
      <c r="A95" s="59"/>
      <c r="C95" s="59"/>
      <c r="E95" s="59"/>
      <c r="I95" s="20"/>
      <c r="K95" s="59" t="s">
        <v>320</v>
      </c>
      <c r="R95" s="59" t="s">
        <v>615</v>
      </c>
      <c r="S95" s="60">
        <v>7</v>
      </c>
      <c r="T95" s="327" t="s">
        <v>955</v>
      </c>
      <c r="U95">
        <f>11*14</f>
        <v>154</v>
      </c>
    </row>
    <row r="96" spans="1:26">
      <c r="A96" s="89" t="s">
        <v>680</v>
      </c>
      <c r="B96" s="34">
        <f>'Design Converter'!L7/1000000</f>
        <v>1.5E-6</v>
      </c>
      <c r="C96" t="s">
        <v>11</v>
      </c>
      <c r="D96" s="59" t="s">
        <v>452</v>
      </c>
      <c r="I96" s="20"/>
      <c r="Q96" s="376" t="s">
        <v>453</v>
      </c>
      <c r="R96" s="59" t="s">
        <v>954</v>
      </c>
      <c r="S96" s="60">
        <v>8</v>
      </c>
      <c r="T96" s="327" t="s">
        <v>956</v>
      </c>
      <c r="U96">
        <f>23*17</f>
        <v>391</v>
      </c>
    </row>
    <row r="97" spans="1:17">
      <c r="A97" s="89" t="s">
        <v>661</v>
      </c>
      <c r="B97" s="110">
        <f>'Design Converter'!L11</f>
        <v>2</v>
      </c>
      <c r="C97" t="s">
        <v>662</v>
      </c>
      <c r="D97" s="59"/>
      <c r="I97" s="20"/>
    </row>
    <row r="98" spans="1:17">
      <c r="A98" s="89" t="s">
        <v>826</v>
      </c>
      <c r="B98" s="34">
        <f>Lmag/(Nps)^2</f>
        <v>5.9999999999999995E-4</v>
      </c>
      <c r="C98" t="s">
        <v>11</v>
      </c>
      <c r="D98" s="59"/>
      <c r="I98" s="20"/>
    </row>
    <row r="99" spans="1:17">
      <c r="A99" s="89" t="s">
        <v>827</v>
      </c>
      <c r="B99" s="34">
        <f>Lmag/(Nps/Nsec1sec2)^2</f>
        <v>3.3036420919974795E-6</v>
      </c>
      <c r="C99" t="s">
        <v>11</v>
      </c>
      <c r="D99" s="59"/>
      <c r="I99" s="20"/>
    </row>
    <row r="100" spans="1:17">
      <c r="A100" s="89"/>
      <c r="B100" s="110"/>
      <c r="C100"/>
      <c r="D100" s="59"/>
      <c r="I100" s="20"/>
    </row>
    <row r="101" spans="1:17">
      <c r="A101" s="89" t="s">
        <v>385</v>
      </c>
      <c r="B101" s="8">
        <f>'Design Converter'!L8/1000</f>
        <v>1.5E-3</v>
      </c>
      <c r="C101" s="91" t="s">
        <v>45</v>
      </c>
      <c r="D101" s="59" t="s">
        <v>450</v>
      </c>
      <c r="I101" s="20"/>
    </row>
    <row r="102" spans="1:17" ht="13.8" thickBot="1">
      <c r="A102" s="89" t="s">
        <v>448</v>
      </c>
      <c r="B102" s="8">
        <f>'Design Converter'!L9/1000</f>
        <v>0.2</v>
      </c>
      <c r="C102" s="91" t="s">
        <v>45</v>
      </c>
      <c r="D102" s="59" t="s">
        <v>451</v>
      </c>
      <c r="I102" s="20">
        <v>2</v>
      </c>
    </row>
    <row r="103" spans="1:17">
      <c r="A103" s="89" t="s">
        <v>449</v>
      </c>
      <c r="B103" s="8">
        <f>'Design Converter'!L10/1000</f>
        <v>0.03</v>
      </c>
      <c r="C103" s="91" t="s">
        <v>45</v>
      </c>
      <c r="D103" s="59" t="s">
        <v>540</v>
      </c>
      <c r="E103" s="59"/>
      <c r="I103" s="20">
        <v>1</v>
      </c>
      <c r="K103" s="721" t="s">
        <v>880</v>
      </c>
      <c r="L103" s="627"/>
    </row>
    <row r="104" spans="1:17">
      <c r="A104" s="89"/>
      <c r="C104"/>
      <c r="I104" s="20"/>
      <c r="K104" s="89" t="s">
        <v>644</v>
      </c>
      <c r="L104" s="722">
        <f>Vfwd1</f>
        <v>0.7</v>
      </c>
      <c r="Q104">
        <f>ktr_rcmd</f>
        <v>4.7082352941176478E-2</v>
      </c>
    </row>
    <row r="105" spans="1:17" ht="15.75" customHeight="1">
      <c r="A105" s="59" t="s">
        <v>539</v>
      </c>
      <c r="B105" s="166">
        <v>100</v>
      </c>
      <c r="C105" s="59" t="s">
        <v>102</v>
      </c>
      <c r="D105" s="59"/>
      <c r="I105" s="20"/>
      <c r="K105" s="89" t="s">
        <v>645</v>
      </c>
      <c r="L105" s="722">
        <f>Vfwd2</f>
        <v>2.5</v>
      </c>
      <c r="M105" s="59"/>
      <c r="Q105" t="str">
        <f>Nps</f>
        <v>0.05</v>
      </c>
    </row>
    <row r="106" spans="1:17" ht="13.8" thickBot="1">
      <c r="A106" s="89" t="s">
        <v>536</v>
      </c>
      <c r="B106" s="160">
        <f>Rdcr_pri*(1+0.0039*(B105-25))</f>
        <v>1.9387499999999999E-3</v>
      </c>
      <c r="C106" s="91" t="s">
        <v>45</v>
      </c>
      <c r="I106" s="20"/>
      <c r="K106" s="723" t="s">
        <v>881</v>
      </c>
      <c r="L106" s="639">
        <f>'Design Converter'!S31</f>
        <v>0.8</v>
      </c>
      <c r="M106" s="59"/>
    </row>
    <row r="107" spans="1:17">
      <c r="A107" s="89" t="s">
        <v>537</v>
      </c>
      <c r="B107" s="160">
        <f>Rdcr_sec*(1+0.0039*(B105-25))</f>
        <v>0.25850000000000001</v>
      </c>
      <c r="C107" s="91" t="s">
        <v>45</v>
      </c>
      <c r="I107" s="20"/>
    </row>
    <row r="108" spans="1:17">
      <c r="A108" s="89" t="s">
        <v>538</v>
      </c>
      <c r="B108" s="160">
        <f>Rdcr_sec2*(1+0.0039*(B105-25))</f>
        <v>3.8774999999999997E-2</v>
      </c>
      <c r="C108" s="91" t="s">
        <v>45</v>
      </c>
      <c r="I108" s="20"/>
    </row>
    <row r="109" spans="1:17">
      <c r="A109" s="621" t="s">
        <v>957</v>
      </c>
      <c r="B109" s="780">
        <v>3.9999999999999998E-7</v>
      </c>
      <c r="C109" s="3" t="s">
        <v>51</v>
      </c>
      <c r="I109" s="20"/>
      <c r="K109" t="s">
        <v>883</v>
      </c>
    </row>
    <row r="110" spans="1:17">
      <c r="A110" s="377" t="s">
        <v>660</v>
      </c>
      <c r="B110" s="536">
        <f>(Vout+Vfwd1)*Nps*0.00000045/Isw_min*1000000*0+0.32*VIN_nom^2/Pin*0+MAX(2*(Vout+Vfwd2)^2*VIN_nom^2/(Pin*(Vout+Vfwd2+VIN_nom/ktr_rcmd)^2),B111)</f>
        <v>0.5156036915731641</v>
      </c>
      <c r="C110" s="3" t="s">
        <v>833</v>
      </c>
      <c r="I110" s="20"/>
      <c r="K110" t="s">
        <v>884</v>
      </c>
      <c r="L110">
        <f>MAX('Calculations - Single'!BM316,'Calculations - Single'!BM210,'Calculations - Single'!BM105)</f>
        <v>2.8824224911481471</v>
      </c>
    </row>
    <row r="111" spans="1:17">
      <c r="A111" s="621" t="s">
        <v>846</v>
      </c>
      <c r="B111" s="536">
        <f>(Vout+Vfwd1)*Nps*toff_max/(0.02/RCS/1000)</f>
        <v>0.25604999999999994</v>
      </c>
      <c r="C111" s="3" t="s">
        <v>833</v>
      </c>
      <c r="I111" s="20"/>
      <c r="K111" t="s">
        <v>885</v>
      </c>
      <c r="L111">
        <f>MAX('Calculations - Dual'!BK316,'Calculations - Dual'!BK210,'Calculations - Dual'!BK105)</f>
        <v>3.1457407192459947</v>
      </c>
    </row>
    <row r="112" spans="1:17">
      <c r="A112" t="s">
        <v>837</v>
      </c>
      <c r="B112" s="536">
        <f>MIN(350000,('Calculations - Single'!CQ210*VIN_min)^2/(2*Pin*Lmag))</f>
        <v>70293.93934405857</v>
      </c>
      <c r="C112" s="3" t="s">
        <v>8</v>
      </c>
      <c r="D112" s="59" t="s">
        <v>845</v>
      </c>
      <c r="I112" s="20"/>
      <c r="K112" t="s">
        <v>886</v>
      </c>
      <c r="L112">
        <f>CHOOSE(MODE,L110,L111)</f>
        <v>3.1457407192459947</v>
      </c>
    </row>
    <row r="113" spans="1:12">
      <c r="A113" t="s">
        <v>838</v>
      </c>
      <c r="B113" s="536">
        <f>VIN_min/Lmag*'Calculations - Single'!CQ210/B112*1.2</f>
        <v>49.855418863503225</v>
      </c>
      <c r="C113" s="3" t="s">
        <v>1</v>
      </c>
      <c r="I113" s="20"/>
    </row>
    <row r="114" spans="1:12">
      <c r="A114" t="s">
        <v>839</v>
      </c>
      <c r="B114" s="160">
        <f>0.1/B113</f>
        <v>2.0058000169206327E-3</v>
      </c>
      <c r="C114" s="91" t="s">
        <v>45</v>
      </c>
      <c r="D114" t="s">
        <v>841</v>
      </c>
      <c r="I114" s="20"/>
    </row>
    <row r="115" spans="1:12">
      <c r="A115" t="s">
        <v>840</v>
      </c>
      <c r="B115" s="160">
        <f>0.02*Lmag/((Vout+Vfwd1)*0.00000045*Nps)</f>
        <v>7.810974419058779E-3</v>
      </c>
      <c r="C115" s="91"/>
      <c r="D115" t="s">
        <v>842</v>
      </c>
      <c r="I115" s="20"/>
    </row>
    <row r="116" spans="1:12">
      <c r="B116" s="160"/>
      <c r="C116" s="91"/>
      <c r="I116" s="20"/>
    </row>
    <row r="117" spans="1:12" ht="13.8" thickBot="1">
      <c r="A117" s="142" t="s">
        <v>773</v>
      </c>
      <c r="B117" s="143">
        <f>Iout*((Vout+Parameters!B49)/VIN_min+1/'Variable Mgmt'!B24)*0+CHOOSE(MODE, 'Calculations - Single'!U210,'Calculations - Dual'!T210)*1.1</f>
        <v>45.570265399977323</v>
      </c>
      <c r="C117" s="24" t="s">
        <v>1</v>
      </c>
      <c r="D117" s="24"/>
      <c r="E117" s="24"/>
      <c r="F117" s="24"/>
      <c r="G117" s="24"/>
      <c r="H117" s="24"/>
      <c r="I117" s="25"/>
    </row>
    <row r="118" spans="1:12">
      <c r="A118" s="3" t="s">
        <v>774</v>
      </c>
      <c r="B118" s="616">
        <f>MIN(B114,B115)</f>
        <v>2.0058000169206327E-3</v>
      </c>
      <c r="C118" s="91" t="s">
        <v>45</v>
      </c>
    </row>
    <row r="120" spans="1:12" ht="16.2" thickBot="1">
      <c r="A120" s="39" t="s">
        <v>559</v>
      </c>
      <c r="D120" s="3"/>
    </row>
    <row r="121" spans="1:12">
      <c r="A121" s="88" t="s">
        <v>164</v>
      </c>
      <c r="B121" s="358"/>
      <c r="C121" s="141" t="s">
        <v>1</v>
      </c>
      <c r="D121" s="61" t="s">
        <v>163</v>
      </c>
      <c r="E121" s="26"/>
      <c r="F121" s="26"/>
      <c r="G121" s="26"/>
      <c r="H121" s="26"/>
      <c r="I121" s="27"/>
      <c r="L121" s="5"/>
    </row>
    <row r="122" spans="1:12">
      <c r="A122" s="89" t="s">
        <v>165</v>
      </c>
      <c r="B122" s="359"/>
      <c r="C122" s="59" t="s">
        <v>1</v>
      </c>
      <c r="E122" s="59"/>
      <c r="I122" s="20"/>
      <c r="L122" s="5"/>
    </row>
    <row r="123" spans="1:12">
      <c r="A123" s="89" t="s">
        <v>166</v>
      </c>
      <c r="B123" s="359"/>
      <c r="C123" s="59" t="s">
        <v>1</v>
      </c>
      <c r="E123" s="59"/>
      <c r="I123" s="20"/>
      <c r="L123" s="5"/>
    </row>
    <row r="124" spans="1:12">
      <c r="A124" s="89"/>
      <c r="B124" s="144"/>
      <c r="C124" s="59"/>
      <c r="E124" s="59"/>
      <c r="I124" s="20"/>
      <c r="L124" s="5"/>
    </row>
    <row r="125" spans="1:12">
      <c r="A125" s="89" t="s">
        <v>174</v>
      </c>
      <c r="B125" s="472">
        <f>Vout_ripple</f>
        <v>1700</v>
      </c>
      <c r="C125" s="59" t="s">
        <v>149</v>
      </c>
      <c r="D125" s="59" t="s">
        <v>594</v>
      </c>
      <c r="I125" s="20"/>
      <c r="L125" s="5"/>
    </row>
    <row r="126" spans="1:12">
      <c r="A126" s="429" t="s">
        <v>12</v>
      </c>
      <c r="B126" s="167">
        <f>MAX(4.7, CHOOSE(MODE, 'Calculations - Single'!EE212, 'Calculations - Dual'!AW105))</f>
        <v>4.7</v>
      </c>
      <c r="C126" s="9" t="s">
        <v>97</v>
      </c>
      <c r="D126" s="59" t="s">
        <v>593</v>
      </c>
      <c r="E126" s="59"/>
      <c r="I126" s="20"/>
    </row>
    <row r="127" spans="1:12">
      <c r="A127" s="89" t="s">
        <v>14</v>
      </c>
      <c r="B127" s="508">
        <f>'Design Converter'!E34</f>
        <v>6</v>
      </c>
      <c r="C127" s="9" t="s">
        <v>97</v>
      </c>
      <c r="D127" s="59" t="s">
        <v>167</v>
      </c>
      <c r="I127" s="20"/>
    </row>
    <row r="128" spans="1:12">
      <c r="A128" s="173" t="s">
        <v>181</v>
      </c>
      <c r="B128" s="473">
        <f>(Vripple1_spec-Iout*B130/Cout*1000)/Iout</f>
        <v>1561.7521146002566</v>
      </c>
      <c r="C128" s="91" t="s">
        <v>258</v>
      </c>
      <c r="D128" s="59" t="s">
        <v>107</v>
      </c>
      <c r="I128" s="20"/>
    </row>
    <row r="129" spans="1:9">
      <c r="A129" s="89" t="s">
        <v>54</v>
      </c>
      <c r="B129" s="168">
        <f>'Design Converter'!E35</f>
        <v>15</v>
      </c>
      <c r="C129" s="91" t="s">
        <v>258</v>
      </c>
      <c r="D129" s="59" t="s">
        <v>108</v>
      </c>
      <c r="I129" s="20"/>
    </row>
    <row r="130" spans="1:9">
      <c r="A130" s="89" t="s">
        <v>438</v>
      </c>
      <c r="B130" s="167">
        <f>CHOOSE(MODE, 'Calculations - Single'!AT105, 'Calculations - Dual'!AR105)</f>
        <v>11.02948731239846</v>
      </c>
      <c r="C130" s="9" t="s">
        <v>247</v>
      </c>
      <c r="D130" s="59"/>
      <c r="I130" s="20"/>
    </row>
    <row r="131" spans="1:9">
      <c r="A131" s="29" t="s">
        <v>437</v>
      </c>
      <c r="B131" s="506">
        <f>Iout*B130/Cout*1000+Iout*CoutEsr</f>
        <v>926.62394269987169</v>
      </c>
      <c r="C131" s="59" t="s">
        <v>443</v>
      </c>
      <c r="D131" s="59" t="s">
        <v>596</v>
      </c>
      <c r="H131" s="159" t="s">
        <v>562</v>
      </c>
      <c r="I131" s="20"/>
    </row>
    <row r="132" spans="1:9">
      <c r="A132" s="29"/>
      <c r="B132" s="167"/>
      <c r="C132" s="59"/>
      <c r="D132" s="59"/>
      <c r="I132" s="20"/>
    </row>
    <row r="133" spans="1:9">
      <c r="A133" s="29"/>
      <c r="B133" s="167"/>
      <c r="C133" s="59"/>
      <c r="D133" s="59"/>
      <c r="I133" s="20"/>
    </row>
    <row r="134" spans="1:9" ht="15.6">
      <c r="A134" s="545" t="s">
        <v>560</v>
      </c>
      <c r="B134" s="167"/>
      <c r="C134" s="9"/>
      <c r="D134" s="59"/>
      <c r="I134" s="20"/>
    </row>
    <row r="135" spans="1:9">
      <c r="A135" s="89" t="s">
        <v>541</v>
      </c>
      <c r="B135" s="472">
        <f>Vout_ripple2</f>
        <v>120</v>
      </c>
      <c r="C135" s="59" t="s">
        <v>149</v>
      </c>
      <c r="D135" s="59" t="s">
        <v>597</v>
      </c>
      <c r="I135" s="20"/>
    </row>
    <row r="136" spans="1:9">
      <c r="A136" s="429" t="s">
        <v>543</v>
      </c>
      <c r="B136" s="167">
        <f>MAX(4.7, 'Calculations - Dual'!AX105)</f>
        <v>19.054191103690975</v>
      </c>
      <c r="C136" s="9" t="s">
        <v>97</v>
      </c>
      <c r="D136" s="59" t="s">
        <v>593</v>
      </c>
      <c r="I136" s="20"/>
    </row>
    <row r="137" spans="1:9">
      <c r="A137" s="89" t="s">
        <v>542</v>
      </c>
      <c r="B137" s="508">
        <f>MAX(4.7,'Design Converter'!L34)</f>
        <v>30</v>
      </c>
      <c r="C137" s="9" t="s">
        <v>97</v>
      </c>
      <c r="D137" s="59" t="s">
        <v>167</v>
      </c>
      <c r="I137" s="20"/>
    </row>
    <row r="138" spans="1:9">
      <c r="A138" s="173" t="s">
        <v>544</v>
      </c>
      <c r="B138" s="473">
        <f>(Vout_ripple2-Iout2*B140/Cout2*1000)/Iout2</f>
        <v>-127.64957707994864</v>
      </c>
      <c r="C138" s="91" t="s">
        <v>258</v>
      </c>
      <c r="D138" s="59" t="s">
        <v>107</v>
      </c>
      <c r="H138" s="159" t="s">
        <v>561</v>
      </c>
      <c r="I138" s="20"/>
    </row>
    <row r="139" spans="1:9">
      <c r="A139" s="89" t="s">
        <v>545</v>
      </c>
      <c r="B139" s="168">
        <f>'Design Converter'!L35</f>
        <v>8</v>
      </c>
      <c r="C139" s="91" t="s">
        <v>258</v>
      </c>
      <c r="D139" s="59" t="s">
        <v>108</v>
      </c>
      <c r="I139" s="20"/>
    </row>
    <row r="140" spans="1:9">
      <c r="A140" s="89" t="s">
        <v>438</v>
      </c>
      <c r="B140" s="167">
        <f>'Calculations - Dual'!AR105</f>
        <v>11.02948731239846</v>
      </c>
      <c r="C140" s="9" t="s">
        <v>247</v>
      </c>
      <c r="D140" s="59"/>
      <c r="H140" s="159" t="s">
        <v>561</v>
      </c>
      <c r="I140" s="20"/>
    </row>
    <row r="141" spans="1:9">
      <c r="A141" s="29" t="s">
        <v>437</v>
      </c>
      <c r="B141" s="506">
        <f>Iout2*B140/Cout2*1000+Iout2*CoutEsr2</f>
        <v>187.82478853997432</v>
      </c>
      <c r="C141" s="59" t="s">
        <v>443</v>
      </c>
      <c r="D141" s="59" t="s">
        <v>595</v>
      </c>
      <c r="I141" s="20"/>
    </row>
    <row r="142" spans="1:9">
      <c r="A142" s="3"/>
      <c r="B142" s="167"/>
      <c r="C142" s="59"/>
      <c r="D142" s="59"/>
      <c r="I142" s="20"/>
    </row>
    <row r="143" spans="1:9" ht="13.8" thickBot="1">
      <c r="A143" s="24"/>
      <c r="B143" s="24"/>
      <c r="C143" s="24"/>
      <c r="D143" s="24"/>
      <c r="E143" s="24"/>
      <c r="F143" s="24"/>
      <c r="G143" s="24"/>
      <c r="H143" s="24"/>
      <c r="I143" s="25"/>
    </row>
    <row r="145" spans="1:9" ht="13.8" thickBot="1"/>
    <row r="146" spans="1:9" ht="15.6">
      <c r="A146" s="45" t="s">
        <v>55</v>
      </c>
      <c r="B146" s="46"/>
      <c r="C146" s="145"/>
      <c r="D146" s="46"/>
      <c r="E146" s="46"/>
      <c r="F146" s="46"/>
      <c r="G146" s="46"/>
      <c r="H146" s="46"/>
      <c r="I146" s="47"/>
    </row>
    <row r="147" spans="1:9">
      <c r="A147" s="475" t="s">
        <v>507</v>
      </c>
      <c r="B147" s="478">
        <f>0.05*VIN_nom</f>
        <v>0.60000000000000009</v>
      </c>
      <c r="C147" s="59" t="s">
        <v>444</v>
      </c>
      <c r="D147" s="59" t="s">
        <v>439</v>
      </c>
      <c r="I147" s="49"/>
    </row>
    <row r="148" spans="1:9">
      <c r="A148" s="48"/>
      <c r="C148"/>
      <c r="I148" s="49"/>
    </row>
    <row r="149" spans="1:9">
      <c r="A149" s="50" t="s">
        <v>58</v>
      </c>
      <c r="B149" s="360"/>
      <c r="C149" s="9" t="s">
        <v>30</v>
      </c>
      <c r="I149" s="49"/>
    </row>
    <row r="150" spans="1:9">
      <c r="A150" s="50" t="s">
        <v>98</v>
      </c>
      <c r="B150" s="162">
        <f>'Calculations - Single'!BB105</f>
        <v>74.059944674376993</v>
      </c>
      <c r="C150" s="9" t="s">
        <v>97</v>
      </c>
      <c r="I150" s="49"/>
    </row>
    <row r="151" spans="1:9">
      <c r="A151" s="173" t="s">
        <v>180</v>
      </c>
      <c r="B151" s="511">
        <f>MAX(2.2,Cinmin)</f>
        <v>74.059944674376993</v>
      </c>
      <c r="C151" s="9" t="s">
        <v>97</v>
      </c>
      <c r="I151" s="49"/>
    </row>
    <row r="152" spans="1:9">
      <c r="A152" s="50" t="s">
        <v>28</v>
      </c>
      <c r="B152" s="476">
        <f>'Design Converter'!E30</f>
        <v>120</v>
      </c>
      <c r="C152" s="9" t="s">
        <v>97</v>
      </c>
      <c r="D152" t="s">
        <v>60</v>
      </c>
      <c r="I152" s="49"/>
    </row>
    <row r="153" spans="1:9">
      <c r="A153" s="50"/>
      <c r="B153" s="474"/>
      <c r="C153" s="43"/>
      <c r="I153" s="49"/>
    </row>
    <row r="154" spans="1:9">
      <c r="A154" s="50" t="s">
        <v>99</v>
      </c>
      <c r="B154" s="359">
        <f>(Vinripple1-B157*B159/Cin)/B158</f>
        <v>6.0384911209573275E-3</v>
      </c>
      <c r="C154" s="91" t="s">
        <v>45</v>
      </c>
      <c r="I154" s="49"/>
    </row>
    <row r="155" spans="1:9">
      <c r="A155" s="50" t="s">
        <v>37</v>
      </c>
      <c r="B155" s="44">
        <f>'Design Converter'!E31/1000</f>
        <v>1.4999999999999999E-2</v>
      </c>
      <c r="C155" s="91" t="s">
        <v>45</v>
      </c>
      <c r="D155" s="59" t="s">
        <v>109</v>
      </c>
      <c r="I155" s="49"/>
    </row>
    <row r="156" spans="1:9" ht="13.8">
      <c r="A156" s="173" t="s">
        <v>182</v>
      </c>
      <c r="B156" s="312">
        <f>'Design Converter'!E31</f>
        <v>15</v>
      </c>
      <c r="C156" s="12" t="s">
        <v>161</v>
      </c>
      <c r="D156" s="59"/>
      <c r="I156" s="49"/>
    </row>
    <row r="157" spans="1:9">
      <c r="A157" s="173" t="s">
        <v>441</v>
      </c>
      <c r="B157" s="365">
        <f>Vout*Iout/VIN_nom/Efficiency</f>
        <v>7.083333333333333</v>
      </c>
      <c r="C157" s="59" t="s">
        <v>1</v>
      </c>
      <c r="D157" s="59"/>
      <c r="I157" s="49"/>
    </row>
    <row r="158" spans="1:9">
      <c r="A158" s="173" t="s">
        <v>445</v>
      </c>
      <c r="B158" s="365">
        <f>CHOOSE(MODE, 'Calculations - Single'!AJ105, 'Calculations - Dual'!$AI$105)</f>
        <v>36.248831621230863</v>
      </c>
      <c r="C158" s="59" t="s">
        <v>1</v>
      </c>
      <c r="D158" s="59"/>
      <c r="I158" s="49"/>
    </row>
    <row r="159" spans="1:9">
      <c r="A159" s="173" t="s">
        <v>442</v>
      </c>
      <c r="B159" s="365">
        <f>CHOOSE(MODE, 'Calculations - Single'!AU105, 'Calculations - Dual'!$AT$105)</f>
        <v>6.4564814475126271</v>
      </c>
      <c r="C159" s="9" t="s">
        <v>247</v>
      </c>
      <c r="D159" s="59"/>
      <c r="I159" s="49"/>
    </row>
    <row r="160" spans="1:9">
      <c r="A160" s="173" t="s">
        <v>440</v>
      </c>
      <c r="B160" s="162">
        <f>B157*B159/Cin+B158*RCinEsr</f>
        <v>0.92484422642858322</v>
      </c>
      <c r="C160" s="9" t="s">
        <v>444</v>
      </c>
      <c r="D160" s="59" t="s">
        <v>446</v>
      </c>
      <c r="E160" s="477"/>
      <c r="F160" s="9"/>
      <c r="I160" s="49"/>
    </row>
    <row r="161" spans="1:9" ht="13.8" thickBot="1">
      <c r="A161" s="51"/>
      <c r="B161" s="52"/>
      <c r="C161" s="52"/>
      <c r="D161" s="52"/>
      <c r="E161" s="53"/>
      <c r="F161" s="53"/>
      <c r="G161" s="53"/>
      <c r="H161" s="53"/>
      <c r="I161" s="54"/>
    </row>
    <row r="163" spans="1:9" ht="16.2" thickBot="1">
      <c r="A163" s="39" t="s">
        <v>62</v>
      </c>
    </row>
    <row r="164" spans="1:9">
      <c r="A164" s="40" t="s">
        <v>64</v>
      </c>
      <c r="B164" s="7">
        <f>'Design Converter'!E42/1000</f>
        <v>0.02</v>
      </c>
      <c r="C164" s="26" t="s">
        <v>51</v>
      </c>
      <c r="D164" s="61" t="s">
        <v>176</v>
      </c>
      <c r="E164" s="26"/>
      <c r="F164" s="26"/>
      <c r="G164" s="26"/>
      <c r="H164" s="26"/>
      <c r="I164" s="27"/>
    </row>
    <row r="165" spans="1:9">
      <c r="A165" s="19" t="s">
        <v>65</v>
      </c>
      <c r="B165" s="170">
        <v>5.0000000000000004E-6</v>
      </c>
      <c r="C165" t="s">
        <v>1</v>
      </c>
      <c r="D165" s="59" t="s">
        <v>306</v>
      </c>
      <c r="I165" s="20"/>
    </row>
    <row r="166" spans="1:9">
      <c r="A166" s="19" t="s">
        <v>66</v>
      </c>
      <c r="B166" s="170">
        <f>0.000005*Tss/1</f>
        <v>1.0000000000000001E-7</v>
      </c>
      <c r="C166" t="s">
        <v>13</v>
      </c>
      <c r="D166" s="59" t="s">
        <v>308</v>
      </c>
      <c r="I166" s="20"/>
    </row>
    <row r="167" spans="1:9" ht="13.8" thickBot="1">
      <c r="A167" s="23" t="s">
        <v>72</v>
      </c>
      <c r="B167" s="171">
        <f>'Standard Value Calculator'!B4</f>
        <v>9.9999999999999995E-8</v>
      </c>
      <c r="C167" s="24" t="s">
        <v>13</v>
      </c>
      <c r="D167" s="62" t="s">
        <v>309</v>
      </c>
      <c r="E167" s="24"/>
      <c r="F167" s="24"/>
      <c r="G167" s="24"/>
      <c r="H167" s="24"/>
      <c r="I167" s="25"/>
    </row>
    <row r="169" spans="1:9" ht="16.2" thickBot="1">
      <c r="A169" s="39" t="s">
        <v>556</v>
      </c>
    </row>
    <row r="170" spans="1:9" ht="12.75" customHeight="1">
      <c r="A170" s="88"/>
      <c r="B170" s="41"/>
      <c r="C170" s="132"/>
      <c r="D170" s="61"/>
      <c r="E170" s="26"/>
      <c r="F170" s="26"/>
      <c r="G170" s="26"/>
      <c r="H170" s="26"/>
      <c r="I170" s="27"/>
    </row>
    <row r="171" spans="1:9" ht="12.75" customHeight="1">
      <c r="A171" s="89" t="s">
        <v>111</v>
      </c>
      <c r="B171" s="163">
        <v>1.5</v>
      </c>
      <c r="C171" s="59" t="s">
        <v>0</v>
      </c>
      <c r="D171" s="59"/>
      <c r="I171" s="20"/>
    </row>
    <row r="172" spans="1:9" ht="12.75" customHeight="1">
      <c r="A172" s="89" t="s">
        <v>112</v>
      </c>
      <c r="B172" s="163">
        <v>1.45</v>
      </c>
      <c r="C172" s="59" t="s">
        <v>0</v>
      </c>
      <c r="D172" s="59"/>
      <c r="I172" s="20"/>
    </row>
    <row r="173" spans="1:9" ht="12.75" customHeight="1">
      <c r="A173" s="89" t="s">
        <v>148</v>
      </c>
      <c r="B173" s="11">
        <f>B171-B172</f>
        <v>5.0000000000000044E-2</v>
      </c>
      <c r="C173" s="59" t="s">
        <v>0</v>
      </c>
      <c r="D173" s="59"/>
      <c r="I173" s="20"/>
    </row>
    <row r="174" spans="1:9" ht="12.75" customHeight="1">
      <c r="A174" s="89" t="s">
        <v>373</v>
      </c>
      <c r="B174">
        <v>0</v>
      </c>
      <c r="C174" s="59" t="s">
        <v>1</v>
      </c>
      <c r="D174" s="59"/>
      <c r="I174" s="20"/>
    </row>
    <row r="175" spans="1:9" ht="12.75" customHeight="1">
      <c r="A175" s="89" t="s">
        <v>372</v>
      </c>
      <c r="B175" s="447">
        <v>5.0000000000000001E-3</v>
      </c>
      <c r="C175" s="59" t="s">
        <v>30</v>
      </c>
      <c r="D175" s="59"/>
      <c r="I175" s="20"/>
    </row>
    <row r="176" spans="1:9" ht="12.75" customHeight="1">
      <c r="A176" s="89" t="s">
        <v>371</v>
      </c>
      <c r="B176" s="448">
        <f>Iuvlo2-Iuvlo1</f>
        <v>5.0000000000000001E-3</v>
      </c>
      <c r="C176" s="59" t="s">
        <v>30</v>
      </c>
      <c r="D176" s="59"/>
      <c r="I176" s="20"/>
    </row>
    <row r="177" spans="1:9" ht="12.75" customHeight="1">
      <c r="A177" s="89"/>
      <c r="B177" s="11"/>
      <c r="C177" s="134"/>
      <c r="D177" s="59"/>
      <c r="I177" s="20"/>
    </row>
    <row r="178" spans="1:9" ht="12.75" customHeight="1">
      <c r="A178" s="89" t="s">
        <v>110</v>
      </c>
      <c r="B178" s="161">
        <f>'Design Converter'!E48</f>
        <v>8.5</v>
      </c>
      <c r="C178" s="59" t="s">
        <v>0</v>
      </c>
      <c r="I178" s="20"/>
    </row>
    <row r="179" spans="1:9" ht="12.75" customHeight="1">
      <c r="A179" s="89" t="s">
        <v>294</v>
      </c>
      <c r="B179" s="161">
        <f>'Design Converter'!E49</f>
        <v>8</v>
      </c>
      <c r="C179" s="59" t="s">
        <v>0</v>
      </c>
      <c r="I179" s="20"/>
    </row>
    <row r="180" spans="1:9" ht="12.75" customHeight="1">
      <c r="A180" s="89"/>
      <c r="B180" s="11"/>
      <c r="C180" s="59"/>
      <c r="I180" s="20"/>
    </row>
    <row r="181" spans="1:9" ht="12.75" customHeight="1">
      <c r="A181" s="89" t="s">
        <v>126</v>
      </c>
      <c r="B181" s="130">
        <f>(VINuvlo_off-VINuvlo_on*Vuvlo_off/Vuvlo_on)/(Iuvlo1*Vuvlo_off/Vuvlo_on-Iuvlo2)</f>
        <v>43.333333333333357</v>
      </c>
      <c r="C181" s="12" t="s">
        <v>113</v>
      </c>
      <c r="D181">
        <f>'Standard Value Calculator'!J16</f>
        <v>43.2</v>
      </c>
      <c r="E181" s="12" t="s">
        <v>113</v>
      </c>
      <c r="F181" s="11">
        <f>IF(Ruvlo1&lt;0,"N/A",D181)</f>
        <v>43.2</v>
      </c>
      <c r="G181" s="11" t="str">
        <f>IF(Ruvlo1&lt;0,"N/A",D181&amp;"kΩ")</f>
        <v>43.2kΩ</v>
      </c>
      <c r="I181" s="20"/>
    </row>
    <row r="182" spans="1:9" ht="12.75" customHeight="1">
      <c r="A182" s="89" t="s">
        <v>127</v>
      </c>
      <c r="B182" s="164">
        <f>D181*Vuvlo_on/(VINuvlo_on-Vuvlo_on+Ruvlo1*Iuvlo1)</f>
        <v>9.257142857142858</v>
      </c>
      <c r="C182" s="12" t="s">
        <v>113</v>
      </c>
      <c r="D182">
        <f>'Standard Value Calculator'!J17</f>
        <v>9.31</v>
      </c>
      <c r="E182" s="12" t="s">
        <v>113</v>
      </c>
      <c r="F182" s="11">
        <f>IF(F181="N/A","N/A",D182)</f>
        <v>9.31</v>
      </c>
      <c r="G182" s="11" t="str">
        <f>IF(G181="N/A","N/A",D182&amp;"kΩ")</f>
        <v>9.31kΩ</v>
      </c>
      <c r="I182" s="20"/>
    </row>
    <row r="183" spans="1:9" ht="12.75" customHeight="1">
      <c r="A183" s="89"/>
      <c r="B183" s="90"/>
      <c r="C183" s="12"/>
      <c r="D183" s="11"/>
      <c r="E183" s="12"/>
      <c r="F183" s="11"/>
      <c r="G183" s="11"/>
      <c r="I183" s="20"/>
    </row>
    <row r="184" spans="1:9" ht="12.75" customHeight="1">
      <c r="A184" s="89" t="s">
        <v>114</v>
      </c>
      <c r="B184" s="507">
        <f>(D181+D182)/D182*Vuvlo_on</f>
        <v>8.4602577873254567</v>
      </c>
      <c r="C184" s="3" t="s">
        <v>0</v>
      </c>
      <c r="F184" s="12"/>
      <c r="I184" s="20"/>
    </row>
    <row r="185" spans="1:9" ht="12.75" customHeight="1">
      <c r="A185" s="89" t="s">
        <v>115</v>
      </c>
      <c r="B185" s="507">
        <f>(D181+D182)/D182*Vuvlo_off-Iuvlo2*D181</f>
        <v>7.9622491944146079</v>
      </c>
      <c r="C185" s="3" t="s">
        <v>0</v>
      </c>
      <c r="F185" s="12"/>
      <c r="I185" s="20"/>
    </row>
    <row r="186" spans="1:9" ht="12.75" customHeight="1" thickBot="1">
      <c r="A186" s="23"/>
      <c r="B186" s="32"/>
      <c r="C186" s="133"/>
      <c r="D186" s="24"/>
      <c r="E186" s="24"/>
      <c r="F186" s="24"/>
      <c r="G186" s="24"/>
      <c r="H186" s="24"/>
      <c r="I186" s="25"/>
    </row>
    <row r="187" spans="1:9">
      <c r="B187" s="11"/>
      <c r="C187" s="134"/>
    </row>
    <row r="188" spans="1:9" ht="16.2" thickBot="1">
      <c r="A188" s="39" t="s">
        <v>518</v>
      </c>
    </row>
    <row r="189" spans="1:9">
      <c r="A189" s="152" t="s">
        <v>16</v>
      </c>
      <c r="B189" s="153">
        <v>3.1415926500000002</v>
      </c>
      <c r="C189" s="154"/>
      <c r="D189" s="155" t="s">
        <v>170</v>
      </c>
      <c r="E189" s="26"/>
      <c r="F189" s="26"/>
      <c r="G189" s="26"/>
      <c r="H189" s="26"/>
      <c r="I189" s="27"/>
    </row>
    <row r="190" spans="1:9">
      <c r="A190" s="59" t="s">
        <v>185</v>
      </c>
      <c r="B190" s="176"/>
      <c r="C190" s="156" t="s">
        <v>184</v>
      </c>
      <c r="D190" s="158" t="s">
        <v>548</v>
      </c>
      <c r="I190" s="20"/>
    </row>
    <row r="191" spans="1:9">
      <c r="A191" s="59" t="s">
        <v>186</v>
      </c>
      <c r="B191" s="176"/>
      <c r="C191" s="156" t="s">
        <v>184</v>
      </c>
      <c r="D191" s="158"/>
      <c r="I191" s="20"/>
    </row>
    <row r="192" spans="1:9">
      <c r="C192"/>
      <c r="I192" s="20"/>
    </row>
    <row r="193" spans="1:9" ht="13.8">
      <c r="A193" s="89" t="s">
        <v>386</v>
      </c>
      <c r="B193" s="146">
        <f>(Vout+Vfwd1)*Nps*10</f>
        <v>85.35</v>
      </c>
      <c r="C193" s="12" t="s">
        <v>113</v>
      </c>
      <c r="D193" s="59" t="s">
        <v>520</v>
      </c>
      <c r="I193" s="20">
        <v>1</v>
      </c>
    </row>
    <row r="194" spans="1:9" ht="13.8">
      <c r="A194" s="29" t="s">
        <v>519</v>
      </c>
      <c r="B194" s="151">
        <f>Rfb/1000</f>
        <v>84.5</v>
      </c>
      <c r="C194" s="12" t="s">
        <v>113</v>
      </c>
      <c r="D194" s="59" t="s">
        <v>517</v>
      </c>
      <c r="I194" s="20"/>
    </row>
    <row r="195" spans="1:9" ht="13.8">
      <c r="A195" s="89" t="s">
        <v>53</v>
      </c>
      <c r="B195" s="31">
        <f>'Standard Value Calculator'!J10/1000</f>
        <v>84.5</v>
      </c>
      <c r="C195" s="12" t="s">
        <v>113</v>
      </c>
      <c r="D195" s="59" t="s">
        <v>359</v>
      </c>
      <c r="I195" s="20"/>
    </row>
    <row r="196" spans="1:9" ht="13.8">
      <c r="A196" s="59"/>
      <c r="C196" s="12"/>
      <c r="D196" s="59"/>
      <c r="I196" s="20"/>
    </row>
    <row r="197" spans="1:9">
      <c r="A197" s="59" t="s">
        <v>521</v>
      </c>
      <c r="B197" s="458">
        <f>'Design Converter'!E45</f>
        <v>-1.875</v>
      </c>
      <c r="C197" s="59" t="s">
        <v>380</v>
      </c>
      <c r="D197" s="59"/>
      <c r="I197" s="20"/>
    </row>
    <row r="198" spans="1:9" ht="15.6">
      <c r="A198" s="19" t="s">
        <v>516</v>
      </c>
      <c r="B198" s="314">
        <f>4*B194/Nps/ABS(Diode_TC)*1000</f>
        <v>3605333.3333333335</v>
      </c>
      <c r="C198" s="12" t="s">
        <v>136</v>
      </c>
      <c r="D198" s="59"/>
      <c r="I198" s="20"/>
    </row>
    <row r="199" spans="1:9" ht="13.8">
      <c r="A199" t="s">
        <v>522</v>
      </c>
      <c r="B199" s="144">
        <f>'Standard Value Calculator'!J9/1000</f>
        <v>3570</v>
      </c>
      <c r="C199" s="12" t="s">
        <v>113</v>
      </c>
      <c r="D199" s="59"/>
      <c r="I199" s="20"/>
    </row>
    <row r="200" spans="1:9" ht="13.8" thickBot="1">
      <c r="A200" s="157"/>
      <c r="B200" s="157"/>
      <c r="C200" s="33"/>
      <c r="D200" s="24"/>
      <c r="E200" s="33"/>
      <c r="F200" s="24"/>
      <c r="G200" s="24"/>
      <c r="H200" s="24"/>
      <c r="I200" s="25"/>
    </row>
    <row r="201" spans="1:9">
      <c r="A201" s="2"/>
      <c r="B201" s="13"/>
      <c r="C201" s="13"/>
      <c r="E201" s="13"/>
    </row>
    <row r="202" spans="1:9">
      <c r="A202" s="2"/>
      <c r="B202" s="13"/>
      <c r="C202" s="13"/>
      <c r="E202" s="13"/>
    </row>
    <row r="203" spans="1:9" ht="16.2" thickBot="1">
      <c r="A203" s="42" t="s">
        <v>83</v>
      </c>
    </row>
    <row r="204" spans="1:9">
      <c r="A204" s="40"/>
      <c r="B204" s="26"/>
      <c r="C204" s="135"/>
      <c r="D204" s="26"/>
      <c r="E204" s="26"/>
      <c r="F204" s="26"/>
      <c r="G204" s="26"/>
      <c r="H204" s="26"/>
      <c r="I204" s="27"/>
    </row>
    <row r="205" spans="1:9">
      <c r="A205" s="29" t="s">
        <v>26</v>
      </c>
      <c r="I205" s="20"/>
    </row>
    <row r="206" spans="1:9">
      <c r="A206" s="19" t="s">
        <v>36</v>
      </c>
      <c r="B206" s="110">
        <f>'Design Converter'!E83</f>
        <v>85</v>
      </c>
      <c r="C206" s="59" t="s">
        <v>102</v>
      </c>
      <c r="D206" t="s">
        <v>40</v>
      </c>
      <c r="I206" s="20"/>
    </row>
    <row r="207" spans="1:9">
      <c r="A207" s="29" t="s">
        <v>29</v>
      </c>
      <c r="C207"/>
      <c r="I207" s="20"/>
    </row>
    <row r="208" spans="1:9">
      <c r="A208" s="19" t="s">
        <v>35</v>
      </c>
      <c r="B208" s="22">
        <f>4000/1000000</f>
        <v>4.0000000000000001E-3</v>
      </c>
      <c r="C208" s="59" t="s">
        <v>138</v>
      </c>
      <c r="D208" s="59" t="s">
        <v>549</v>
      </c>
      <c r="I208" s="20"/>
    </row>
    <row r="209" spans="1:9" ht="15.6">
      <c r="A209" s="89" t="s">
        <v>177</v>
      </c>
      <c r="B209" s="22">
        <v>20</v>
      </c>
      <c r="C209" s="59" t="s">
        <v>84</v>
      </c>
      <c r="D209" s="59" t="s">
        <v>550</v>
      </c>
      <c r="I209" s="20"/>
    </row>
    <row r="210" spans="1:9">
      <c r="A210" s="19" t="s">
        <v>37</v>
      </c>
      <c r="B210" s="8">
        <f>RCinEsr</f>
        <v>1.4999999999999999E-2</v>
      </c>
      <c r="C210" s="91" t="s">
        <v>45</v>
      </c>
      <c r="D210" s="59" t="s">
        <v>178</v>
      </c>
      <c r="I210" s="20"/>
    </row>
    <row r="211" spans="1:9">
      <c r="A211" s="19"/>
      <c r="B211" s="8"/>
      <c r="C211" s="91"/>
      <c r="D211" s="59"/>
      <c r="I211" s="20"/>
    </row>
    <row r="212" spans="1:9">
      <c r="A212" s="28" t="s">
        <v>52</v>
      </c>
      <c r="C212"/>
      <c r="I212" s="20"/>
    </row>
    <row r="213" spans="1:9">
      <c r="A213" s="89" t="s">
        <v>285</v>
      </c>
      <c r="B213" s="22">
        <f>Vdd</f>
        <v>5</v>
      </c>
      <c r="C213" t="s">
        <v>0</v>
      </c>
      <c r="D213" s="159"/>
      <c r="I213" s="20"/>
    </row>
    <row r="214" spans="1:9">
      <c r="A214" s="19" t="s">
        <v>49</v>
      </c>
      <c r="B214" s="30">
        <f>IQ</f>
        <v>4.4999999999999999E-4</v>
      </c>
      <c r="C214" t="s">
        <v>1</v>
      </c>
      <c r="D214" t="s">
        <v>50</v>
      </c>
      <c r="I214" s="20"/>
    </row>
    <row r="215" spans="1:9">
      <c r="A215" s="19"/>
      <c r="C215"/>
      <c r="I215" s="20"/>
    </row>
    <row r="216" spans="1:9">
      <c r="A216" s="29" t="s">
        <v>172</v>
      </c>
      <c r="B216" s="3" t="s">
        <v>6</v>
      </c>
      <c r="C216" s="3" t="s">
        <v>33</v>
      </c>
      <c r="I216" s="20"/>
    </row>
    <row r="217" spans="1:9">
      <c r="A217" s="21" t="s">
        <v>44</v>
      </c>
      <c r="B217" s="4"/>
      <c r="C217" s="4" t="s">
        <v>45</v>
      </c>
      <c r="I217" s="20"/>
    </row>
    <row r="218" spans="1:9">
      <c r="A218" s="21" t="s">
        <v>46</v>
      </c>
      <c r="B218" s="9">
        <v>0</v>
      </c>
      <c r="C218" s="59" t="s">
        <v>102</v>
      </c>
      <c r="I218" s="20"/>
    </row>
    <row r="219" spans="1:9">
      <c r="A219" s="21" t="s">
        <v>87</v>
      </c>
      <c r="B219" s="9" t="e">
        <v>#NAME?</v>
      </c>
      <c r="C219" t="s">
        <v>1</v>
      </c>
      <c r="I219" s="20"/>
    </row>
    <row r="220" spans="1:9">
      <c r="A220" s="21" t="s">
        <v>88</v>
      </c>
      <c r="B220" t="e">
        <v>#NAME?</v>
      </c>
      <c r="C220" t="s">
        <v>1</v>
      </c>
      <c r="I220" s="20"/>
    </row>
    <row r="221" spans="1:9">
      <c r="A221" s="21" t="s">
        <v>89</v>
      </c>
      <c r="B221" t="e">
        <f>C221/Vin</f>
        <v>#NAME?</v>
      </c>
      <c r="C221" t="e">
        <v>#NAME?</v>
      </c>
      <c r="I221" s="20"/>
    </row>
    <row r="222" spans="1:9">
      <c r="A222" s="21" t="s">
        <v>91</v>
      </c>
      <c r="B222" t="e">
        <f>SUM(B219:B221)</f>
        <v>#NAME?</v>
      </c>
      <c r="C222" t="s">
        <v>1</v>
      </c>
      <c r="I222" s="20"/>
    </row>
    <row r="223" spans="1:9" ht="13.8" thickBot="1">
      <c r="A223" s="23"/>
      <c r="B223" s="24"/>
      <c r="C223" s="136"/>
      <c r="D223" s="24"/>
      <c r="E223" s="24"/>
      <c r="F223" s="24"/>
      <c r="G223" s="24"/>
      <c r="H223" s="24"/>
      <c r="I223" s="25"/>
    </row>
    <row r="224" spans="1:9">
      <c r="A224" s="2"/>
      <c r="B224" s="2"/>
      <c r="C224" s="2"/>
    </row>
    <row r="225" spans="1:9" ht="21.75" customHeight="1" thickBot="1">
      <c r="A225" s="39" t="s">
        <v>85</v>
      </c>
    </row>
    <row r="226" spans="1:9">
      <c r="A226" s="40"/>
      <c r="B226" s="26"/>
      <c r="C226" s="135"/>
      <c r="D226" s="26"/>
      <c r="E226" s="26"/>
      <c r="F226" s="26"/>
      <c r="G226" s="26"/>
      <c r="H226" s="26"/>
      <c r="I226" s="27"/>
    </row>
    <row r="227" spans="1:9">
      <c r="A227" s="19"/>
      <c r="B227" s="59"/>
      <c r="I227" s="20"/>
    </row>
    <row r="228" spans="1:9">
      <c r="A228" s="19" t="str">
        <f>"RUV1 = "&amp;'Design Converter'!E50&amp;"MΩ"</f>
        <v>RUV1 = 43.2MΩ</v>
      </c>
      <c r="B228" t="str">
        <f>C269</f>
        <v>43.2kΩ</v>
      </c>
      <c r="I228" s="20"/>
    </row>
    <row r="229" spans="1:9">
      <c r="A229" s="19" t="str">
        <f>"RUV2 = "&amp;'Design Converter'!E51&amp;"kΩ"</f>
        <v>RUV2 = 9.31kΩ</v>
      </c>
      <c r="B229" t="str">
        <f>C270</f>
        <v>9.31kΩ</v>
      </c>
      <c r="I229" s="20"/>
    </row>
    <row r="230" spans="1:9">
      <c r="A230" s="19"/>
      <c r="I230" s="20"/>
    </row>
    <row r="231" spans="1:9">
      <c r="A231" s="19" t="str">
        <f>"Lmag = "&amp;'Design Converter'!L7&amp;"µH"</f>
        <v>Lmag = 1.5µH</v>
      </c>
      <c r="B231" t="str">
        <f>'Design Converter'!L7&amp;"µH"</f>
        <v>1.5µH</v>
      </c>
      <c r="I231" s="20"/>
    </row>
    <row r="232" spans="1:9">
      <c r="A232" s="19" t="str">
        <f>"Rdcr = "&amp;Rdcr_pri*1000&amp;"mΩ"</f>
        <v>Rdcr = 1.5mΩ</v>
      </c>
      <c r="B232" t="str">
        <f>Rdcr_pri*1000&amp;"mΩ"</f>
        <v>1.5mΩ</v>
      </c>
      <c r="I232" s="20"/>
    </row>
    <row r="233" spans="1:9">
      <c r="A233" s="89" t="s">
        <v>384</v>
      </c>
      <c r="B233" t="str">
        <f>W66</f>
        <v>1 : 20 : 1.48</v>
      </c>
      <c r="I233" s="20"/>
    </row>
    <row r="234" spans="1:9">
      <c r="A234" s="19"/>
      <c r="I234" s="20"/>
    </row>
    <row r="235" spans="1:9">
      <c r="A235" s="19" t="str">
        <f>"Css = "&amp;ROUND(Css_u*1000000000,1)&amp;"nF"</f>
        <v>Css = 100nF</v>
      </c>
      <c r="B235" t="str">
        <f>ROUND(Css_u*1000000000,1)&amp;"nF"</f>
        <v>100nF</v>
      </c>
      <c r="I235" s="20"/>
    </row>
    <row r="236" spans="1:9">
      <c r="A236" s="19"/>
      <c r="I236" s="20"/>
    </row>
    <row r="237" spans="1:9">
      <c r="A237" s="19" t="s">
        <v>57</v>
      </c>
      <c r="B237" t="str">
        <f>VIN_nom&amp;"V"</f>
        <v>12V</v>
      </c>
      <c r="I237" s="20"/>
    </row>
    <row r="238" spans="1:9">
      <c r="A238" s="89" t="s">
        <v>187</v>
      </c>
      <c r="B238" t="str">
        <f>VIN_min&amp;"V..."&amp;VIN_max&amp;"V"</f>
        <v>9V...16V</v>
      </c>
      <c r="I238" s="20"/>
    </row>
    <row r="239" spans="1:9">
      <c r="A239" s="89"/>
      <c r="I239" s="20"/>
    </row>
    <row r="240" spans="1:9">
      <c r="A240" s="19" t="str">
        <f>"VOUT = "&amp;'Design Converter'!E10&amp;"V"</f>
        <v>VOUT = 170V</v>
      </c>
      <c r="B240" t="str">
        <f>'Design Converter'!E10&amp;"V"</f>
        <v>170V</v>
      </c>
      <c r="D240">
        <f>MODE</f>
        <v>2</v>
      </c>
      <c r="I240" s="20"/>
    </row>
    <row r="241" spans="1:9">
      <c r="A241" s="19" t="str">
        <f>"VOUT2 = "&amp;'Design Converter'!E12&amp;"V"</f>
        <v>VOUT2 = 12V</v>
      </c>
      <c r="B241" t="str">
        <f>IF(MODE_TOP="DUAL", 'Design Converter'!E12&amp;"V", "")</f>
        <v>12V</v>
      </c>
      <c r="D241" s="59" t="b">
        <f>MODE=2</f>
        <v>1</v>
      </c>
      <c r="I241" s="20"/>
    </row>
    <row r="242" spans="1:9">
      <c r="A242" s="19" t="str">
        <f>"VOUT2 = "&amp;'Design Converter'!E12&amp;"V"</f>
        <v>VOUT2 = 12V</v>
      </c>
      <c r="B242" t="str">
        <f>IF(MODE_TOP="BIPOLAR", 'Design Converter'!E12&amp;"V", "")</f>
        <v/>
      </c>
      <c r="I242" s="20"/>
    </row>
    <row r="243" spans="1:9">
      <c r="A243" s="19"/>
      <c r="I243" s="20"/>
    </row>
    <row r="244" spans="1:9">
      <c r="A244" s="335" t="s">
        <v>510</v>
      </c>
      <c r="B244" s="59" t="str">
        <f>IF(MODE=1, "", "Co1")</f>
        <v>Co1</v>
      </c>
      <c r="C244" s="59" t="str">
        <f>IF(MODE_TOP="DUAL", "Co2", "")</f>
        <v>Co2</v>
      </c>
      <c r="D244" s="59" t="str">
        <f>IF(MODE_TOP="BIPOLAR", "Co2", "")</f>
        <v/>
      </c>
      <c r="F244" s="59" t="str">
        <f>MODE_TOP</f>
        <v>DUAL</v>
      </c>
      <c r="I244" s="20"/>
    </row>
    <row r="245" spans="1:9">
      <c r="A245" s="19" t="str">
        <f>"COUT = "&amp;'Design Converter'!$E$34&amp;"µF"</f>
        <v>COUT = 6µF</v>
      </c>
      <c r="B245" t="str">
        <f>'Design Converter'!$E$34&amp;"µF"</f>
        <v>6µF</v>
      </c>
      <c r="C245" t="str">
        <f>IF(MODE_TOP="DUAL", 'Design Converter'!$L$34&amp;"µF", "")</f>
        <v>30µF</v>
      </c>
      <c r="D245" t="str">
        <f>IF(MODE_TOP="BIPOLAR", 'Design Converter'!$L$34&amp;"µF", "")</f>
        <v/>
      </c>
      <c r="F245" t="str">
        <f>'Design Converter'!$L$34&amp;"µF"</f>
        <v>30µF</v>
      </c>
      <c r="I245" s="20"/>
    </row>
    <row r="246" spans="1:9">
      <c r="A246" s="89" t="s">
        <v>134</v>
      </c>
      <c r="B246" t="str">
        <f>"22µF"</f>
        <v>22µF</v>
      </c>
      <c r="I246" s="20"/>
    </row>
    <row r="247" spans="1:9">
      <c r="A247" s="89" t="s">
        <v>135</v>
      </c>
      <c r="B247" s="60" t="str">
        <f>ROUNDUP(Cout/22,0)&amp;" x"</f>
        <v>1 x</v>
      </c>
      <c r="C247" s="137"/>
      <c r="I247" s="20"/>
    </row>
    <row r="248" spans="1:9">
      <c r="A248" s="89"/>
      <c r="B248" s="60">
        <f>Cout</f>
        <v>6</v>
      </c>
      <c r="C248" s="137"/>
      <c r="I248" s="20"/>
    </row>
    <row r="249" spans="1:9">
      <c r="A249" s="335" t="s">
        <v>511</v>
      </c>
      <c r="I249" s="20"/>
    </row>
    <row r="250" spans="1:9">
      <c r="A250" s="19" t="s">
        <v>95</v>
      </c>
      <c r="B250" t="str">
        <f>Cin&amp;"µF"</f>
        <v>120µF</v>
      </c>
      <c r="I250" s="20"/>
    </row>
    <row r="251" spans="1:9">
      <c r="A251" s="89" t="s">
        <v>133</v>
      </c>
      <c r="B251" t="str">
        <f>"4.7µF"</f>
        <v>4.7µF</v>
      </c>
      <c r="I251" s="20"/>
    </row>
    <row r="252" spans="1:9">
      <c r="A252" s="89" t="s">
        <v>132</v>
      </c>
      <c r="B252" s="60" t="str">
        <f>ROUNDUP(Cin/4.7,0)&amp;" x"</f>
        <v>26 x</v>
      </c>
      <c r="C252" s="137"/>
      <c r="I252" s="20"/>
    </row>
    <row r="253" spans="1:9">
      <c r="A253" s="89"/>
      <c r="B253" s="60"/>
      <c r="I253" s="20"/>
    </row>
    <row r="254" spans="1:9" ht="15.6">
      <c r="A254" s="89" t="s">
        <v>512</v>
      </c>
      <c r="B254" s="495" t="s">
        <v>513</v>
      </c>
      <c r="C254" s="495" t="s">
        <v>551</v>
      </c>
      <c r="I254" s="20"/>
    </row>
    <row r="255" spans="1:9">
      <c r="A255" s="89"/>
      <c r="B255" s="60"/>
      <c r="I255" s="20"/>
    </row>
    <row r="256" spans="1:9">
      <c r="A256" s="335" t="s">
        <v>383</v>
      </c>
      <c r="B256" s="137" t="str">
        <f>IF(MODE_TC=1, "YES", "NO")</f>
        <v>NO</v>
      </c>
      <c r="I256" s="20"/>
    </row>
    <row r="257" spans="1:9">
      <c r="A257" s="89" t="s">
        <v>298</v>
      </c>
      <c r="B257" s="137" t="str">
        <f>IF(MODE_TC=2, "YES", "NO")</f>
        <v>YES</v>
      </c>
      <c r="C257" s="327" t="str">
        <f>IF(MODE_TC=2, "R1", "")</f>
        <v>R1</v>
      </c>
      <c r="D257" s="327" t="str">
        <f>IF(MODE_TC=2, "R2", "")</f>
        <v>R2</v>
      </c>
      <c r="E257" s="327"/>
      <c r="I257" s="20"/>
    </row>
    <row r="258" spans="1:9">
      <c r="A258" s="19" t="str">
        <f>"RFB = "&amp;'Design Converter'!E39&amp;"kΩ"</f>
        <v>RFB = 85.35kΩ</v>
      </c>
      <c r="B258" t="str">
        <f>IF(MODE_TC=1, "", 'Design Converter'!E39&amp;"kΩ")</f>
        <v>85.35kΩ</v>
      </c>
      <c r="C258" s="59" t="str">
        <f>'Design Converter'!E39&amp;"kΩ"</f>
        <v>85.35kΩ</v>
      </c>
      <c r="I258" s="20"/>
    </row>
    <row r="259" spans="1:9">
      <c r="A259" s="19" t="str">
        <f>"RFB2 = "&amp;IF(Vout=Vref,"OPEN",'Design Converter'!E40&amp;"kΩ")</f>
        <v>RFB2 = 84.5kΩ</v>
      </c>
      <c r="B259" t="str">
        <f>IF(MODE_TC=1, "", IF(Vout=Vref,"OPEN",Rfb2_u/1000&amp;"kΩ"))</f>
        <v>0.0845kΩ</v>
      </c>
      <c r="C259" s="59" t="str">
        <f>'Design Converter'!E40&amp;"kΩ"</f>
        <v>84.5kΩ</v>
      </c>
      <c r="I259" s="20"/>
    </row>
    <row r="260" spans="1:9">
      <c r="A260" s="19"/>
      <c r="C260" s="59"/>
      <c r="I260" s="20"/>
    </row>
    <row r="261" spans="1:9">
      <c r="A261" s="89" t="s">
        <v>302</v>
      </c>
      <c r="B261" s="3" t="str">
        <f>IF(MODE=1, "YES", "NO")</f>
        <v>NO</v>
      </c>
      <c r="C261" t="str">
        <f>IF(MODE=1,"Rt", "")</f>
        <v/>
      </c>
      <c r="I261" s="20"/>
    </row>
    <row r="262" spans="1:9">
      <c r="A262" s="89" t="s">
        <v>139</v>
      </c>
      <c r="B262" t="str">
        <f>IF(MODE=2, "", 'Standard Value Calculator'!J4/1000&amp;"kΩ")</f>
        <v/>
      </c>
      <c r="I262" s="20"/>
    </row>
    <row r="263" spans="1:9">
      <c r="A263" s="89"/>
      <c r="I263" s="20"/>
    </row>
    <row r="264" spans="1:9">
      <c r="A264" s="335" t="s">
        <v>374</v>
      </c>
      <c r="B264" s="137" t="str">
        <f>IF(MODE=1, "YES", "NO")</f>
        <v>NO</v>
      </c>
      <c r="C264" s="59" t="str">
        <f>IF(TC=1,"Rtc", "")</f>
        <v/>
      </c>
      <c r="I264" s="20"/>
    </row>
    <row r="265" spans="1:9">
      <c r="A265" s="449" t="str">
        <f>"RTC = "&amp;RTC&amp;"kΩ"</f>
        <v>RTC = 3570kΩ</v>
      </c>
      <c r="B265" t="str">
        <f>IF(TC=1, RTC&amp;"kΩ", "")</f>
        <v/>
      </c>
      <c r="C265" s="59" t="str">
        <f>CHOOSE(TC,"Rtc","")</f>
        <v/>
      </c>
      <c r="F265" s="5"/>
      <c r="I265" s="20"/>
    </row>
    <row r="266" spans="1:9">
      <c r="A266" s="89" t="s">
        <v>377</v>
      </c>
      <c r="B266" s="60"/>
      <c r="C266"/>
      <c r="F266" s="5"/>
      <c r="I266" s="20"/>
    </row>
    <row r="267" spans="1:9">
      <c r="A267" s="19"/>
      <c r="B267" s="60"/>
      <c r="C267" s="137"/>
      <c r="E267" s="91"/>
      <c r="I267" s="20"/>
    </row>
    <row r="268" spans="1:9">
      <c r="A268" s="335" t="s">
        <v>305</v>
      </c>
      <c r="B268" s="137" t="str">
        <f>IF(MODE_UVLO=1, "YES", "NO")</f>
        <v>YES</v>
      </c>
      <c r="C268" s="327" t="str">
        <f>IF(MODE_UVLO=1, "Ruv1", "")</f>
        <v>Ruv1</v>
      </c>
      <c r="D268" s="327" t="str">
        <f>IF(MODE_UVLO=1, "Ruv2", "")</f>
        <v>Ruv2</v>
      </c>
      <c r="E268" s="327"/>
      <c r="F268" s="327" t="s">
        <v>6</v>
      </c>
      <c r="G268" s="327" t="s">
        <v>33</v>
      </c>
      <c r="H268" s="59" t="s">
        <v>339</v>
      </c>
      <c r="I268" s="20"/>
    </row>
    <row r="269" spans="1:9">
      <c r="A269" s="19" t="str">
        <f>"RUV1 = "&amp;C269</f>
        <v>RUV1 = 43.2kΩ</v>
      </c>
      <c r="B269" t="str">
        <f>'Design Converter'!E50&amp;" kΩ"</f>
        <v>43.2 kΩ</v>
      </c>
      <c r="C269" s="327" t="str">
        <f>IF(MODE_UVLO=1,'Design Converter'!E50&amp;"kΩ", "")</f>
        <v>43.2kΩ</v>
      </c>
      <c r="F269">
        <f>IF(MODE_UVLO=1,'Design Converter'!E50, "")</f>
        <v>43.2</v>
      </c>
      <c r="G269" s="59" t="str">
        <f>IF(MODE_UVLO=1,"kΩ", "")</f>
        <v>kΩ</v>
      </c>
      <c r="H269" s="327" t="str">
        <f>IF(MODE_UVLO=1,'Design Converter'!E50&amp;"k", "")</f>
        <v>43.2k</v>
      </c>
      <c r="I269" s="20"/>
    </row>
    <row r="270" spans="1:9">
      <c r="A270" s="19" t="str">
        <f>"RUV2 = "&amp;C270</f>
        <v>RUV2 = 9.31kΩ</v>
      </c>
      <c r="B270" t="str">
        <f>IF(D182&gt;=1000, D182/1000&amp;" MΩ", D182&amp;" kΩ")</f>
        <v>9.31 kΩ</v>
      </c>
      <c r="C270" s="327" t="str">
        <f>IF(MODE_UVLO=1, IF(D182&lt;1, D182*1000&amp;"Ω", IF(D182&lt;1000, D182&amp;"kΩ", D182/1000&amp;"MΩ")), "")</f>
        <v>9.31kΩ</v>
      </c>
      <c r="F270">
        <f>IF(MODE_UVLO=1, IF(D182&lt;1, D182*1000, IF(D182&lt;1000, D182, D182/1000)), "")</f>
        <v>9.31</v>
      </c>
      <c r="G270" s="59" t="str">
        <f>IF(MODE_UVLO=1, IF(D182&lt;1, "Ω", IF(D182&lt;1000,"kΩ", "MΩ")), "")</f>
        <v>kΩ</v>
      </c>
      <c r="H270" s="327" t="str">
        <f>IF(MODE_UVLO=1, IF(D182&lt;1, D182*1000, IF(D182&lt;1000, D182&amp;"k", D182/1000&amp;"M")), "")</f>
        <v>9.31k</v>
      </c>
      <c r="I270" s="20"/>
    </row>
    <row r="271" spans="1:9">
      <c r="A271" s="19"/>
      <c r="C271" s="327"/>
      <c r="G271" s="59"/>
      <c r="H271" s="327"/>
      <c r="I271" s="20"/>
    </row>
    <row r="272" spans="1:9">
      <c r="A272" s="335" t="s">
        <v>378</v>
      </c>
      <c r="C272" s="327"/>
      <c r="G272" s="59"/>
      <c r="H272" s="327"/>
      <c r="I272" s="20"/>
    </row>
    <row r="273" spans="1:9">
      <c r="A273" s="19" t="str">
        <f>"RSET = "&amp;C273</f>
        <v>RSET = 10kΩ</v>
      </c>
      <c r="B273" s="59" t="s">
        <v>783</v>
      </c>
      <c r="C273" s="59" t="s">
        <v>784</v>
      </c>
      <c r="F273">
        <f>IF(MODE_UVLO=1, IF(D183&lt;1, D183*1000, IF(D183&lt;1000, D183, D183/1000)), "")</f>
        <v>0</v>
      </c>
      <c r="G273" s="59" t="str">
        <f>IF(MODE_UVLO=1, IF(D183&lt;1, "Ω", IF(D183&lt;1000,"kΩ", "MΩ")), "")</f>
        <v>Ω</v>
      </c>
      <c r="H273" s="327">
        <f>IF(MODE_UVLO=1, IF(D183&lt;1, D183*1000, IF(D183&lt;1000, D183&amp;"k", D183&amp;"M")), "")</f>
        <v>0</v>
      </c>
      <c r="I273" s="20"/>
    </row>
    <row r="274" spans="1:9">
      <c r="A274" s="19"/>
      <c r="B274" s="59"/>
      <c r="C274" s="59"/>
      <c r="G274" s="59"/>
      <c r="H274" s="327"/>
      <c r="I274" s="20"/>
    </row>
    <row r="275" spans="1:9">
      <c r="A275" s="335" t="s">
        <v>379</v>
      </c>
      <c r="B275" s="60"/>
      <c r="C275" s="137"/>
      <c r="E275" s="91"/>
      <c r="I275" s="20"/>
    </row>
    <row r="276" spans="1:9">
      <c r="A276" s="19" t="str">
        <f>"Css = "&amp;Css*1000000000&amp;"nF"</f>
        <v>Css = 100nF</v>
      </c>
      <c r="B276" t="str">
        <f>Css*1000000000&amp;"nF"</f>
        <v>100nF</v>
      </c>
      <c r="I276" s="20"/>
    </row>
    <row r="277" spans="1:9">
      <c r="A277" s="19" t="s">
        <v>66</v>
      </c>
      <c r="B277" t="str">
        <f>CHOOSE(MODE_SS,'Standard Value Calculator'!B4*1000000000&amp;"nF","")</f>
        <v>100nF</v>
      </c>
      <c r="C277" t="str">
        <f>CHOOSE(MODE_SS,"Css","")</f>
        <v>Css</v>
      </c>
      <c r="D277" s="336" t="str">
        <f>B277</f>
        <v>100nF</v>
      </c>
      <c r="I277" s="20"/>
    </row>
    <row r="278" spans="1:9">
      <c r="A278" s="19"/>
      <c r="C278" s="59" t="str">
        <f>C277</f>
        <v>Css</v>
      </c>
      <c r="D278" s="3"/>
      <c r="I278" s="20"/>
    </row>
    <row r="279" spans="1:9">
      <c r="A279" s="19"/>
      <c r="C279" s="59"/>
      <c r="D279" s="3"/>
      <c r="I279" s="20"/>
    </row>
    <row r="280" spans="1:9">
      <c r="A280" s="89" t="s">
        <v>640</v>
      </c>
      <c r="B280" s="59">
        <f>ROUND(Iout*2,1)</f>
        <v>1</v>
      </c>
      <c r="C280" s="59" t="s">
        <v>1</v>
      </c>
      <c r="I280" s="20"/>
    </row>
    <row r="281" spans="1:9">
      <c r="A281" s="89" t="s">
        <v>641</v>
      </c>
      <c r="B281">
        <f>ROUND(VRRM_DIODE,0)</f>
        <v>490</v>
      </c>
      <c r="C281" s="59" t="s">
        <v>0</v>
      </c>
      <c r="I281" s="20"/>
    </row>
    <row r="282" spans="1:9">
      <c r="I282" s="20"/>
    </row>
    <row r="283" spans="1:9">
      <c r="A283" s="89"/>
      <c r="B283" s="60"/>
      <c r="C283"/>
      <c r="I283" s="20"/>
    </row>
    <row r="284" spans="1:9">
      <c r="A284" s="89" t="s">
        <v>129</v>
      </c>
      <c r="B284" s="59" t="s">
        <v>310</v>
      </c>
      <c r="C284"/>
      <c r="I284" s="20"/>
    </row>
    <row r="285" spans="1:9">
      <c r="A285" s="89"/>
      <c r="B285" s="59"/>
      <c r="C285"/>
      <c r="I285" s="20"/>
    </row>
    <row r="286" spans="1:9">
      <c r="A286" s="89" t="s">
        <v>183</v>
      </c>
      <c r="B286" s="60" t="str">
        <f>CHOOSE(MODE, ROUND('Calculations - Single'!$CB$105,1)&amp;"%", ROUND('Calculations - Dual'!CB105,1)&amp;"%")</f>
        <v>71.1%</v>
      </c>
      <c r="C286"/>
      <c r="I286" s="20"/>
    </row>
    <row r="287" spans="1:9">
      <c r="A287" s="89" t="s">
        <v>492</v>
      </c>
      <c r="B287" s="60" t="str">
        <f>ROUND('Calculations - Single'!$CB$55,1)&amp;"%"</f>
        <v>92.7%</v>
      </c>
      <c r="C287"/>
      <c r="I287" s="20"/>
    </row>
    <row r="288" spans="1:9">
      <c r="A288" s="89" t="s">
        <v>307</v>
      </c>
      <c r="B288" s="60" t="str">
        <f>ROUND('Calculations - Single'!$CB$15,1)&amp;"%"</f>
        <v>91.4%</v>
      </c>
      <c r="C288" s="59" t="s">
        <v>312</v>
      </c>
      <c r="I288" s="20"/>
    </row>
    <row r="289" spans="1:9">
      <c r="A289" s="89" t="s">
        <v>311</v>
      </c>
      <c r="B289" s="60" t="str">
        <f>ROUND(Parameters!BZ56,1)&amp;"%"</f>
        <v>0%</v>
      </c>
      <c r="C289" s="59" t="s">
        <v>313</v>
      </c>
      <c r="I289" s="20"/>
    </row>
    <row r="290" spans="1:9">
      <c r="A290" s="19"/>
      <c r="I290" s="20"/>
    </row>
    <row r="291" spans="1:9">
      <c r="A291" s="19"/>
      <c r="I291" s="20"/>
    </row>
    <row r="292" spans="1:9">
      <c r="A292" s="19"/>
      <c r="I292" s="20"/>
    </row>
    <row r="293" spans="1:9">
      <c r="A293" s="19" t="s">
        <v>80</v>
      </c>
      <c r="B293" t="str">
        <f>IF(C293="y","","|")</f>
        <v>|</v>
      </c>
      <c r="C293" s="3" t="s">
        <v>319</v>
      </c>
      <c r="I293" s="20"/>
    </row>
    <row r="294" spans="1:9">
      <c r="A294" s="19"/>
      <c r="I294" s="20"/>
    </row>
    <row r="295" spans="1:9">
      <c r="A295" s="429" t="s">
        <v>86</v>
      </c>
      <c r="B295" t="str">
        <f>'Design Converter'!$E$11&amp;"A"</f>
        <v>0.5A</v>
      </c>
      <c r="I295" s="20"/>
    </row>
    <row r="296" spans="1:9">
      <c r="A296" s="429" t="s">
        <v>509</v>
      </c>
      <c r="B296" t="str">
        <f>IF(MODE_TOP="DUAL", 'Design Converter'!$E$13&amp;"A", "")</f>
        <v>0.5A</v>
      </c>
      <c r="D296" s="59">
        <f>MODE</f>
        <v>2</v>
      </c>
      <c r="I296" s="20"/>
    </row>
    <row r="297" spans="1:9">
      <c r="A297" s="429" t="s">
        <v>508</v>
      </c>
      <c r="B297" t="str">
        <f>IF(MODE_TOP="BIPOLAR", Iout2_actual&amp;"A", "")</f>
        <v/>
      </c>
      <c r="I297" s="20"/>
    </row>
    <row r="298" spans="1:9">
      <c r="A298" s="19"/>
      <c r="I298" s="20"/>
    </row>
    <row r="299" spans="1:9">
      <c r="A299" s="89" t="s">
        <v>94</v>
      </c>
      <c r="B299">
        <v>1</v>
      </c>
      <c r="I299" s="20"/>
    </row>
    <row r="300" spans="1:9">
      <c r="A300" s="89" t="s">
        <v>93</v>
      </c>
      <c r="B300">
        <v>2</v>
      </c>
      <c r="I300" s="20"/>
    </row>
    <row r="301" spans="1:9">
      <c r="A301" s="89" t="s">
        <v>57</v>
      </c>
      <c r="B301">
        <v>3</v>
      </c>
      <c r="I301" s="20"/>
    </row>
    <row r="302" spans="1:9">
      <c r="A302" s="89" t="s">
        <v>552</v>
      </c>
      <c r="B302">
        <v>4</v>
      </c>
      <c r="I302" s="20"/>
    </row>
    <row r="303" spans="1:9">
      <c r="A303" s="89" t="s">
        <v>553</v>
      </c>
      <c r="B303">
        <v>5</v>
      </c>
      <c r="I303" s="20"/>
    </row>
    <row r="304" spans="1:9">
      <c r="A304" s="89" t="s">
        <v>554</v>
      </c>
      <c r="B304">
        <v>6</v>
      </c>
      <c r="I304" s="20"/>
    </row>
    <row r="305" spans="1:9">
      <c r="A305" s="89" t="s">
        <v>555</v>
      </c>
      <c r="B305">
        <v>7</v>
      </c>
      <c r="I305" s="20"/>
    </row>
    <row r="306" spans="1:9">
      <c r="A306" s="89" t="s">
        <v>92</v>
      </c>
      <c r="B306">
        <v>8</v>
      </c>
      <c r="I306" s="20"/>
    </row>
    <row r="307" spans="1:9" ht="13.8" thickBot="1">
      <c r="A307" s="142"/>
      <c r="B307" s="24"/>
      <c r="C307" s="136"/>
      <c r="D307" s="24"/>
      <c r="E307" s="24"/>
      <c r="F307" s="24"/>
      <c r="G307" s="24"/>
      <c r="H307" s="24"/>
      <c r="I307" s="25"/>
    </row>
    <row r="309" spans="1:9">
      <c r="A309" t="s">
        <v>743</v>
      </c>
      <c r="B309">
        <f>'Design Converter'!$E$60</f>
        <v>56</v>
      </c>
      <c r="C309" s="3" t="s">
        <v>866</v>
      </c>
      <c r="D309" t="str">
        <f>B309&amp;"kΩ"</f>
        <v>56kΩ</v>
      </c>
    </row>
    <row r="310" spans="1:9">
      <c r="A310" t="s">
        <v>865</v>
      </c>
      <c r="B310">
        <f>'Design Converter'!$E$62</f>
        <v>10</v>
      </c>
      <c r="C310" s="3" t="s">
        <v>319</v>
      </c>
      <c r="D310" t="str">
        <f>B310&amp;"nF"</f>
        <v>10nF</v>
      </c>
    </row>
    <row r="311" spans="1:9">
      <c r="A311" t="s">
        <v>750</v>
      </c>
      <c r="B311">
        <f>'Design Converter'!$E$64</f>
        <v>56</v>
      </c>
      <c r="C311" s="3" t="s">
        <v>170</v>
      </c>
      <c r="D311" t="str">
        <f>B311&amp;"pF"</f>
        <v>56pF</v>
      </c>
    </row>
    <row r="313" spans="1:9">
      <c r="A313" t="s">
        <v>771</v>
      </c>
      <c r="B313">
        <f>RCS</f>
        <v>1.5</v>
      </c>
      <c r="C313" s="3" t="s">
        <v>867</v>
      </c>
      <c r="D313" t="str">
        <f>B313&amp;"mΩ"</f>
        <v>1.5mΩ</v>
      </c>
    </row>
    <row r="314" spans="1:9">
      <c r="A314" t="s">
        <v>868</v>
      </c>
      <c r="B314">
        <v>100</v>
      </c>
      <c r="D314" t="s">
        <v>869</v>
      </c>
    </row>
    <row r="315" spans="1:9">
      <c r="A315" t="s">
        <v>870</v>
      </c>
      <c r="B315">
        <v>100</v>
      </c>
      <c r="D315" t="str">
        <f>100&amp;"Ω"</f>
        <v>100Ω</v>
      </c>
    </row>
  </sheetData>
  <sheetProtection selectLockedCells="1" selectUnlockedCells="1"/>
  <mergeCells count="2">
    <mergeCell ref="E5:H5"/>
    <mergeCell ref="A1:I1"/>
  </mergeCells>
  <phoneticPr fontId="6" type="noConversion"/>
  <pageMargins left="0.75" right="0.75" top="1" bottom="1" header="0.5" footer="0.5"/>
  <pageSetup orientation="portrait" r:id="rId1"/>
  <headerFooter alignWithMargins="0"/>
  <ignoredErrors>
    <ignoredError sqref="R79:R83" numberStoredAsText="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CC133"/>
  <sheetViews>
    <sheetView showWhiteSpace="0" zoomScale="70" zoomScaleNormal="70" workbookViewId="0">
      <pane ySplit="5" topLeftCell="A6" activePane="bottomLeft" state="frozen"/>
      <selection pane="bottomLeft" activeCell="F12" sqref="F12"/>
    </sheetView>
  </sheetViews>
  <sheetFormatPr defaultColWidth="9.21875" defaultRowHeight="13.2"/>
  <cols>
    <col min="1" max="1" width="15.77734375" style="147" customWidth="1"/>
    <col min="2" max="2" width="11.5546875" style="147" customWidth="1"/>
    <col min="3" max="3" width="9.21875" style="147"/>
    <col min="4" max="4" width="12.44140625" style="147" bestFit="1" customWidth="1"/>
    <col min="5" max="5" width="51.44140625" style="147" customWidth="1"/>
    <col min="6" max="6" width="13.44140625" style="147" customWidth="1"/>
    <col min="7" max="7" width="10" style="147" customWidth="1"/>
    <col min="8" max="8" width="6.77734375" style="147" customWidth="1"/>
    <col min="9" max="9" width="12.44140625" style="147" bestFit="1" customWidth="1"/>
    <col min="10" max="10" width="9.21875" style="187" customWidth="1"/>
    <col min="11" max="11" width="8.77734375"/>
    <col min="13" max="13" width="10.77734375" customWidth="1"/>
    <col min="14" max="14" width="12" style="147" customWidth="1"/>
    <col min="15" max="15" width="12.77734375" style="187" customWidth="1"/>
    <col min="16" max="16" width="11.44140625" style="187" customWidth="1"/>
    <col min="17" max="17" width="12.44140625" style="187" customWidth="1"/>
    <col min="18" max="19" width="10.5546875" style="172" customWidth="1"/>
    <col min="20" max="20" width="10" style="172" customWidth="1"/>
    <col min="21" max="21" width="10.5546875" style="172" customWidth="1"/>
    <col min="22" max="22" width="8.44140625" style="187" customWidth="1"/>
    <col min="23" max="23" width="9.21875" style="187" customWidth="1"/>
    <col min="24" max="24" width="9.44140625" style="147" customWidth="1"/>
    <col min="25" max="25" width="9.44140625" style="187" customWidth="1"/>
    <col min="26" max="26" width="8.21875" style="188" customWidth="1"/>
    <col min="27" max="27" width="9.5546875" style="187" customWidth="1"/>
    <col min="28" max="28" width="9.44140625" style="187" bestFit="1" customWidth="1"/>
    <col min="29" max="29" width="8.5546875" style="187" customWidth="1"/>
    <col min="30" max="30" width="9.77734375" style="189" customWidth="1"/>
    <col min="31" max="31" width="9.21875" style="189" customWidth="1"/>
    <col min="32" max="32" width="8.21875" style="187" customWidth="1"/>
    <col min="33" max="33" width="10.21875" style="187" customWidth="1"/>
    <col min="34" max="34" width="9.44140625" style="187" customWidth="1"/>
    <col min="35" max="35" width="8.77734375"/>
    <col min="36" max="36" width="9.77734375" style="187" customWidth="1"/>
    <col min="37" max="37" width="11.5546875" style="187" customWidth="1"/>
    <col min="38" max="38" width="10.21875" style="187" customWidth="1"/>
    <col min="39" max="39" width="11.21875" style="187" customWidth="1"/>
    <col min="40" max="40" width="9.21875" style="187"/>
    <col min="41" max="41" width="10.21875" style="187" customWidth="1"/>
    <col min="42" max="43" width="9.77734375" style="187" customWidth="1"/>
    <col min="44" max="45" width="10.21875" style="187" customWidth="1"/>
    <col min="46" max="46" width="10.44140625" style="187" customWidth="1"/>
    <col min="47" max="47" width="11.21875" style="187" customWidth="1"/>
    <col min="48" max="48" width="11.77734375" style="187" customWidth="1"/>
    <col min="49" max="49" width="10.44140625" style="187" customWidth="1"/>
    <col min="50" max="50" width="11.44140625" style="187" customWidth="1"/>
    <col min="51" max="51" width="10.21875" style="187" customWidth="1"/>
    <col min="52" max="52" width="10" style="149" bestFit="1" customWidth="1"/>
    <col min="53" max="55" width="12.77734375" style="296" customWidth="1"/>
    <col min="56" max="56" width="14" style="296" customWidth="1"/>
    <col min="57" max="57" width="12.77734375" style="296" customWidth="1"/>
    <col min="58" max="58" width="10.44140625" style="296" customWidth="1"/>
    <col min="59" max="59" width="9" style="296" customWidth="1"/>
    <col min="60" max="60" width="8.77734375" style="296" customWidth="1"/>
    <col min="61" max="61" width="10.77734375" style="296" customWidth="1"/>
    <col min="62" max="62" width="11.21875" style="296" customWidth="1"/>
    <col min="63" max="64" width="9.21875" style="296"/>
    <col min="65" max="65" width="8.77734375" style="149" customWidth="1"/>
    <col min="66" max="66" width="9.21875" style="188"/>
    <col min="67" max="67" width="12.5546875" style="147" customWidth="1"/>
    <col min="68" max="68" width="13.5546875" style="149" customWidth="1"/>
    <col min="69" max="69" width="12.77734375" style="172" customWidth="1"/>
    <col min="70" max="70" width="3.77734375" style="147" customWidth="1"/>
    <col min="71" max="71" width="12.44140625" style="147" bestFit="1" customWidth="1"/>
    <col min="72" max="72" width="3.5546875" style="147" customWidth="1"/>
    <col min="73" max="73" width="9.21875" style="149"/>
    <col min="74" max="74" width="11.21875" style="149" customWidth="1"/>
    <col min="75" max="75" width="9.21875" style="149"/>
    <col min="76" max="76" width="4.77734375" style="147" customWidth="1"/>
    <col min="77" max="77" width="3.77734375" style="147" customWidth="1"/>
    <col min="78" max="78" width="12.44140625" style="147" customWidth="1"/>
    <col min="79" max="79" width="11.77734375" style="147" customWidth="1"/>
    <col min="80" max="80" width="11.5546875" style="147" customWidth="1"/>
    <col min="81" max="81" width="11.77734375" style="147" customWidth="1"/>
    <col min="82" max="82" width="9.21875" style="147"/>
    <col min="83" max="83" width="9.21875" style="147" customWidth="1"/>
    <col min="84" max="16384" width="9.21875" style="147"/>
  </cols>
  <sheetData>
    <row r="1" spans="1:81">
      <c r="A1" s="810" t="s">
        <v>794</v>
      </c>
      <c r="B1" s="810"/>
      <c r="C1" s="810"/>
      <c r="D1" s="810"/>
      <c r="E1" s="810"/>
    </row>
    <row r="2" spans="1:81" ht="15.6">
      <c r="A2" s="810"/>
      <c r="B2" s="810"/>
      <c r="C2" s="810"/>
      <c r="D2" s="810"/>
      <c r="E2" s="810"/>
      <c r="G2" s="811" t="s">
        <v>22</v>
      </c>
      <c r="H2" s="811"/>
      <c r="AF2" s="187">
        <v>1.9257738538542499E-2</v>
      </c>
      <c r="AG2" s="187">
        <v>7.417209872377299E-4</v>
      </c>
      <c r="AH2" s="187">
        <v>1.2403450565440797E-3</v>
      </c>
      <c r="AI2">
        <v>20</v>
      </c>
      <c r="AJ2" s="187">
        <v>7.1523178807947021</v>
      </c>
      <c r="AK2" s="187">
        <v>0</v>
      </c>
      <c r="AL2" s="187">
        <v>8.3629954314142624E-4</v>
      </c>
      <c r="AM2" s="187">
        <v>1.5780205303791562E-3</v>
      </c>
      <c r="AO2" s="237" t="e">
        <f>Ifb</f>
        <v>#NAME?</v>
      </c>
    </row>
    <row r="3" spans="1:81" ht="13.8" thickBot="1">
      <c r="A3" s="810"/>
      <c r="B3" s="810"/>
      <c r="C3" s="810"/>
      <c r="D3" s="810"/>
      <c r="E3" s="810"/>
    </row>
    <row r="4" spans="1:81" ht="13.8" thickBot="1">
      <c r="A4" s="812"/>
      <c r="B4" s="812"/>
      <c r="C4" s="812"/>
      <c r="D4" s="812"/>
      <c r="E4" s="812"/>
      <c r="H4" s="191" t="s">
        <v>23</v>
      </c>
      <c r="I4" s="192"/>
      <c r="J4" s="193"/>
      <c r="K4" s="813" t="s">
        <v>189</v>
      </c>
      <c r="L4" s="814"/>
      <c r="M4" s="815"/>
      <c r="N4" s="815"/>
      <c r="O4" s="815"/>
      <c r="P4" s="814"/>
      <c r="Q4" s="814"/>
      <c r="R4" s="815"/>
      <c r="S4" s="815"/>
      <c r="T4" s="815"/>
      <c r="U4" s="816"/>
      <c r="V4" s="194" t="s">
        <v>190</v>
      </c>
      <c r="W4" s="195"/>
      <c r="X4" s="196"/>
      <c r="Y4" s="197"/>
      <c r="Z4" s="198" t="s">
        <v>14</v>
      </c>
      <c r="AA4" s="199"/>
      <c r="AB4" s="193"/>
      <c r="AC4" s="194" t="s">
        <v>28</v>
      </c>
      <c r="AD4" s="200"/>
      <c r="AE4" s="201"/>
      <c r="AF4" s="194" t="s">
        <v>191</v>
      </c>
      <c r="AG4" s="195"/>
      <c r="AH4" s="195"/>
      <c r="AI4" s="378"/>
      <c r="AJ4" s="378"/>
      <c r="AK4" s="195"/>
      <c r="AL4" s="195"/>
      <c r="AM4" s="193"/>
      <c r="AN4" s="202" t="s">
        <v>192</v>
      </c>
      <c r="AO4" s="203"/>
      <c r="AP4" s="203"/>
      <c r="AQ4" s="202" t="s">
        <v>193</v>
      </c>
      <c r="AR4" s="386"/>
      <c r="AS4" s="386"/>
      <c r="AT4" s="203"/>
      <c r="AU4" s="204"/>
      <c r="AV4" s="205"/>
      <c r="AW4" s="206"/>
      <c r="AX4" s="194" t="s">
        <v>179</v>
      </c>
      <c r="AY4" s="195"/>
      <c r="AZ4" s="196"/>
      <c r="BA4" s="297"/>
      <c r="BB4" s="297"/>
      <c r="BC4" s="297"/>
      <c r="BD4" s="297"/>
      <c r="BE4" s="297"/>
      <c r="BF4" s="297"/>
      <c r="BG4" s="297"/>
      <c r="BH4" s="297"/>
      <c r="BI4" s="297"/>
      <c r="BJ4" s="297"/>
      <c r="BK4" s="297"/>
      <c r="BL4" s="297"/>
      <c r="BM4" s="290"/>
      <c r="BN4" s="294"/>
      <c r="BO4" s="196"/>
      <c r="BP4" s="292"/>
      <c r="BQ4" s="383"/>
      <c r="BR4" s="384"/>
      <c r="BS4" s="384"/>
      <c r="BT4" s="384"/>
      <c r="BU4" s="384"/>
      <c r="BV4" s="384"/>
      <c r="BW4" s="384"/>
      <c r="BX4" s="384"/>
      <c r="BY4" s="384"/>
      <c r="BZ4" s="384"/>
      <c r="CA4" s="384"/>
      <c r="CB4" s="384"/>
      <c r="CC4" s="385"/>
    </row>
    <row r="5" spans="1:81" ht="78" customHeight="1" thickBot="1">
      <c r="A5" s="207" t="s">
        <v>42</v>
      </c>
      <c r="B5" s="208"/>
      <c r="C5" s="208"/>
      <c r="D5" s="209"/>
      <c r="E5" s="210"/>
      <c r="H5" s="211" t="s">
        <v>25</v>
      </c>
      <c r="I5" s="212" t="s">
        <v>194</v>
      </c>
      <c r="J5" s="213" t="s">
        <v>195</v>
      </c>
      <c r="K5" s="221" t="s">
        <v>322</v>
      </c>
      <c r="L5" s="214" t="s">
        <v>48</v>
      </c>
      <c r="M5" s="214" t="s">
        <v>323</v>
      </c>
      <c r="N5" s="380" t="s">
        <v>196</v>
      </c>
      <c r="O5" s="453" t="s">
        <v>404</v>
      </c>
      <c r="P5" s="453" t="s">
        <v>405</v>
      </c>
      <c r="Q5" s="453" t="s">
        <v>406</v>
      </c>
      <c r="R5" s="215" t="s">
        <v>197</v>
      </c>
      <c r="S5" s="216" t="s">
        <v>198</v>
      </c>
      <c r="T5" s="216" t="s">
        <v>199</v>
      </c>
      <c r="U5" s="215" t="s">
        <v>327</v>
      </c>
      <c r="V5" s="217" t="s">
        <v>200</v>
      </c>
      <c r="W5" s="214" t="s">
        <v>201</v>
      </c>
      <c r="X5" s="212" t="s">
        <v>202</v>
      </c>
      <c r="Y5" s="213" t="s">
        <v>203</v>
      </c>
      <c r="Z5" s="218" t="s">
        <v>200</v>
      </c>
      <c r="AA5" s="214" t="s">
        <v>204</v>
      </c>
      <c r="AB5" s="213" t="s">
        <v>205</v>
      </c>
      <c r="AC5" s="217" t="s">
        <v>200</v>
      </c>
      <c r="AD5" s="219" t="s">
        <v>206</v>
      </c>
      <c r="AE5" s="220" t="s">
        <v>207</v>
      </c>
      <c r="AF5" s="217" t="s">
        <v>200</v>
      </c>
      <c r="AG5" s="214" t="s">
        <v>208</v>
      </c>
      <c r="AH5" s="214" t="s">
        <v>209</v>
      </c>
      <c r="AI5" s="214" t="s">
        <v>324</v>
      </c>
      <c r="AJ5" s="214" t="s">
        <v>321</v>
      </c>
      <c r="AK5" s="214" t="s">
        <v>210</v>
      </c>
      <c r="AL5" s="221" t="s">
        <v>211</v>
      </c>
      <c r="AM5" s="213" t="s">
        <v>212</v>
      </c>
      <c r="AN5" s="222" t="s">
        <v>200</v>
      </c>
      <c r="AO5" s="223" t="s">
        <v>213</v>
      </c>
      <c r="AP5" s="223" t="s">
        <v>214</v>
      </c>
      <c r="AQ5" s="223" t="s">
        <v>215</v>
      </c>
      <c r="AR5" s="223" t="s">
        <v>216</v>
      </c>
      <c r="AS5" s="224" t="s">
        <v>217</v>
      </c>
      <c r="AT5" s="222" t="s">
        <v>218</v>
      </c>
      <c r="AU5" s="222" t="s">
        <v>219</v>
      </c>
      <c r="AV5" s="222" t="s">
        <v>220</v>
      </c>
      <c r="AW5" s="225" t="s">
        <v>221</v>
      </c>
      <c r="AX5" s="217" t="s">
        <v>222</v>
      </c>
      <c r="AY5" s="214" t="s">
        <v>223</v>
      </c>
      <c r="AZ5" s="226" t="s">
        <v>224</v>
      </c>
      <c r="BA5" s="298" t="s">
        <v>225</v>
      </c>
      <c r="BB5" s="298" t="s">
        <v>226</v>
      </c>
      <c r="BC5" s="298" t="s">
        <v>227</v>
      </c>
      <c r="BD5" s="298" t="s">
        <v>228</v>
      </c>
      <c r="BE5" s="298" t="s">
        <v>229</v>
      </c>
      <c r="BF5" s="298" t="s">
        <v>230</v>
      </c>
      <c r="BG5" s="298" t="s">
        <v>231</v>
      </c>
      <c r="BH5" s="299" t="s">
        <v>232</v>
      </c>
      <c r="BI5" s="300" t="s">
        <v>233</v>
      </c>
      <c r="BJ5" s="301" t="s">
        <v>234</v>
      </c>
      <c r="BK5" s="302" t="s">
        <v>235</v>
      </c>
      <c r="BL5" s="301" t="s">
        <v>281</v>
      </c>
      <c r="BM5" s="291" t="s">
        <v>236</v>
      </c>
      <c r="BN5" s="295" t="s">
        <v>237</v>
      </c>
      <c r="BO5" s="227" t="s">
        <v>238</v>
      </c>
      <c r="BP5" s="293" t="s">
        <v>238</v>
      </c>
      <c r="BQ5" s="228" t="s">
        <v>239</v>
      </c>
      <c r="BR5" s="229"/>
      <c r="BS5" s="230" t="s">
        <v>240</v>
      </c>
      <c r="BT5" s="229"/>
      <c r="BU5" s="304" t="s">
        <v>283</v>
      </c>
      <c r="BV5" s="305" t="s">
        <v>284</v>
      </c>
      <c r="BW5" s="382" t="s">
        <v>282</v>
      </c>
      <c r="BX5" s="229"/>
      <c r="BY5" s="229"/>
      <c r="BZ5" s="381" t="s">
        <v>289</v>
      </c>
      <c r="CA5" s="225" t="s">
        <v>340</v>
      </c>
      <c r="CB5" s="305" t="s">
        <v>291</v>
      </c>
      <c r="CC5" s="382" t="s">
        <v>290</v>
      </c>
    </row>
    <row r="6" spans="1:81">
      <c r="A6" s="231" t="s">
        <v>26</v>
      </c>
      <c r="B6" s="232" t="s">
        <v>43</v>
      </c>
      <c r="C6" s="233" t="s">
        <v>33</v>
      </c>
      <c r="D6" s="233" t="s">
        <v>90</v>
      </c>
      <c r="E6" s="234" t="s">
        <v>41</v>
      </c>
      <c r="F6" s="235"/>
      <c r="G6" s="235"/>
      <c r="H6" s="147">
        <v>0.1</v>
      </c>
      <c r="I6" s="389">
        <f t="shared" ref="I6:I37" si="0">IF(PLOT_TYPE=1, H6/100*Iout_max, min_I*EXP(H6*rr/100))</f>
        <v>5.0000000000000001E-4</v>
      </c>
      <c r="J6" s="188"/>
      <c r="K6" s="188"/>
      <c r="L6" s="188"/>
      <c r="M6" s="188"/>
      <c r="N6" s="236"/>
      <c r="O6" s="149"/>
      <c r="P6" s="188"/>
      <c r="Q6" s="379"/>
      <c r="S6" s="237"/>
      <c r="T6" s="237"/>
      <c r="U6" s="237"/>
      <c r="AJ6" s="379"/>
      <c r="AY6" s="187">
        <f>Vout*I6</f>
        <v>8.5000000000000006E-2</v>
      </c>
      <c r="AZ6" s="238">
        <f>AY6/(AY6+AX6)</f>
        <v>1</v>
      </c>
      <c r="BA6" s="296">
        <f>AG6/($AY6+$AX6)</f>
        <v>0</v>
      </c>
      <c r="BB6" s="296">
        <f>AO6/($AY6+$AX6)</f>
        <v>0</v>
      </c>
      <c r="BC6" s="296" t="e">
        <f>Vin*R6*(QgBot+Qg)/($AY6+$AX6)</f>
        <v>#NAME?</v>
      </c>
      <c r="BD6" s="296">
        <f>AK6/($AY6+$AX6)</f>
        <v>0</v>
      </c>
      <c r="BE6" s="296">
        <f>AQ6/(AX6+AY6)</f>
        <v>0</v>
      </c>
      <c r="BF6" s="296">
        <f>AR6/($AY6+$AX6)</f>
        <v>0</v>
      </c>
      <c r="BG6" s="296">
        <f t="shared" ref="BG6:BH9" si="1">W6/($AY6+$AX6)</f>
        <v>0</v>
      </c>
      <c r="BH6" s="296">
        <f t="shared" si="1"/>
        <v>0</v>
      </c>
      <c r="BI6" s="296">
        <f>(AB6+AE6)/($AY6+$AX6)</f>
        <v>0</v>
      </c>
      <c r="BJ6" s="190">
        <f>AT6/($AY6+$AX6)</f>
        <v>0</v>
      </c>
      <c r="BK6" s="190">
        <f>AX6/($AY6+$AX6)</f>
        <v>0</v>
      </c>
      <c r="BL6" s="190">
        <f>AZ6</f>
        <v>1</v>
      </c>
      <c r="BM6" s="149">
        <f>100*BL6</f>
        <v>100</v>
      </c>
      <c r="BN6" s="188" t="e">
        <f xml:space="preserve"> CHOOSE(MODE, I6*1000,#REF!)</f>
        <v>#REF!</v>
      </c>
      <c r="BO6" s="149">
        <v>59.702372085750142</v>
      </c>
      <c r="BP6" s="190">
        <f>BO6/100</f>
        <v>0.59702372085750144</v>
      </c>
      <c r="BQ6" s="239">
        <f>R6/1000</f>
        <v>0</v>
      </c>
      <c r="BR6" s="240"/>
      <c r="BS6" s="190">
        <f>AL6/($AY6+$AX6)</f>
        <v>0</v>
      </c>
      <c r="BT6" s="240"/>
      <c r="BU6" s="149">
        <f>1000*AW6</f>
        <v>0</v>
      </c>
      <c r="BV6" s="149">
        <f>1000*AU6</f>
        <v>0</v>
      </c>
      <c r="BW6" s="149">
        <f>1000*Y6</f>
        <v>0</v>
      </c>
      <c r="BX6" s="190"/>
      <c r="BY6" s="190"/>
      <c r="BZ6" s="149" t="e">
        <f xml:space="preserve"> IF(MODE=1, BM6,#REF!)</f>
        <v>#REF!</v>
      </c>
      <c r="CA6" s="149" t="e">
        <f xml:space="preserve"> IF(MODE=1, BU6,#REF!)</f>
        <v>#REF!</v>
      </c>
      <c r="CB6" s="149" t="e">
        <f xml:space="preserve"> IF(MODE=1, BV6,#REF!)</f>
        <v>#REF!</v>
      </c>
      <c r="CC6" s="149" t="e">
        <f xml:space="preserve"> IF(MODE=1, BW6,#REF!)</f>
        <v>#REF!</v>
      </c>
    </row>
    <row r="7" spans="1:81">
      <c r="A7" s="357"/>
      <c r="B7" s="232"/>
      <c r="C7" s="233"/>
      <c r="D7" s="233"/>
      <c r="E7" s="234"/>
      <c r="F7" s="235"/>
      <c r="G7" s="235"/>
      <c r="H7" s="147">
        <v>1</v>
      </c>
      <c r="I7" s="389">
        <f t="shared" si="0"/>
        <v>5.0000000000000001E-3</v>
      </c>
      <c r="J7" s="188"/>
      <c r="K7" s="188"/>
      <c r="L7" s="188"/>
      <c r="M7" s="188"/>
      <c r="N7" s="236"/>
      <c r="O7" s="149"/>
      <c r="P7" s="188"/>
      <c r="Q7" s="379"/>
      <c r="S7" s="237"/>
      <c r="T7" s="237"/>
      <c r="U7" s="237"/>
      <c r="AJ7" s="379"/>
      <c r="AY7" s="187">
        <f>Vout*I7</f>
        <v>0.85</v>
      </c>
      <c r="AZ7" s="238">
        <f>AY7/(AY7+AX7)</f>
        <v>1</v>
      </c>
      <c r="BA7" s="296">
        <f>AG7/($AY7+$AX7)</f>
        <v>0</v>
      </c>
      <c r="BB7" s="296">
        <f>AO7/($AY7+$AX7)</f>
        <v>0</v>
      </c>
      <c r="BC7" s="296" t="e">
        <f>Vin*R7*(QgBot+Qg)/($AY7+$AX7)</f>
        <v>#NAME?</v>
      </c>
      <c r="BD7" s="296">
        <f>AK7/($AY7+$AX7)</f>
        <v>0</v>
      </c>
      <c r="BE7" s="296">
        <f>AQ7/(AX7+AY7)</f>
        <v>0</v>
      </c>
      <c r="BF7" s="296">
        <f>AR7/($AY7+$AX7)</f>
        <v>0</v>
      </c>
      <c r="BG7" s="296">
        <f t="shared" si="1"/>
        <v>0</v>
      </c>
      <c r="BH7" s="296">
        <f t="shared" si="1"/>
        <v>0</v>
      </c>
      <c r="BI7" s="296">
        <f>(AB7+AE7)/($AY7+$AX7)</f>
        <v>0</v>
      </c>
      <c r="BJ7" s="190">
        <f>AT7/($AY7+$AX7)</f>
        <v>0</v>
      </c>
      <c r="BK7" s="190">
        <f>AX7/($AY7+$AX7)</f>
        <v>0</v>
      </c>
      <c r="BL7" s="190">
        <f>AZ7</f>
        <v>1</v>
      </c>
      <c r="BM7" s="149">
        <f>100*BL7</f>
        <v>100</v>
      </c>
      <c r="BN7" s="188" t="e">
        <f xml:space="preserve"> CHOOSE(MODE, I7*1000,#REF!)</f>
        <v>#REF!</v>
      </c>
      <c r="BO7" s="149">
        <v>83.682599061581868</v>
      </c>
      <c r="BP7" s="190">
        <f>BO7/100</f>
        <v>0.83682599061581864</v>
      </c>
      <c r="BQ7" s="239">
        <f>R7/1000</f>
        <v>0</v>
      </c>
      <c r="BR7" s="240"/>
      <c r="BS7" s="190">
        <f>AL7/($AY7+$AX7)</f>
        <v>0</v>
      </c>
      <c r="BT7" s="240"/>
      <c r="BU7" s="149">
        <f>1000*AW7</f>
        <v>0</v>
      </c>
      <c r="BV7" s="149">
        <f>1000*AU7</f>
        <v>0</v>
      </c>
      <c r="BW7" s="149">
        <f>1000*Y7</f>
        <v>0</v>
      </c>
      <c r="BX7" s="190"/>
      <c r="BY7" s="190"/>
      <c r="BZ7" s="149" t="e">
        <f xml:space="preserve"> IF(MODE=1, BM7,#REF!)</f>
        <v>#REF!</v>
      </c>
      <c r="CA7" s="149" t="e">
        <f xml:space="preserve"> IF(MODE=1, BU7,#REF!)</f>
        <v>#REF!</v>
      </c>
      <c r="CB7" s="149" t="e">
        <f xml:space="preserve"> IF(MODE=1, BV7,#REF!)</f>
        <v>#REF!</v>
      </c>
      <c r="CC7" s="149" t="e">
        <f xml:space="preserve"> IF(MODE=1, BW7,#REF!)</f>
        <v>#REF!</v>
      </c>
    </row>
    <row r="8" spans="1:81">
      <c r="A8" s="241" t="s">
        <v>3</v>
      </c>
      <c r="B8" s="242">
        <f>Vin</f>
        <v>12</v>
      </c>
      <c r="C8" s="148" t="s">
        <v>0</v>
      </c>
      <c r="D8" s="169">
        <f>B8</f>
        <v>12</v>
      </c>
      <c r="E8" s="148" t="s">
        <v>3</v>
      </c>
      <c r="F8" s="235"/>
      <c r="G8" s="235"/>
      <c r="H8" s="147">
        <v>2</v>
      </c>
      <c r="I8" s="389">
        <f t="shared" si="0"/>
        <v>0.01</v>
      </c>
      <c r="J8" s="188"/>
      <c r="K8" s="188"/>
      <c r="L8" s="188"/>
      <c r="M8" s="188"/>
      <c r="N8" s="236"/>
      <c r="O8" s="149"/>
      <c r="P8" s="188"/>
      <c r="Q8" s="379"/>
      <c r="S8" s="237"/>
      <c r="T8" s="237"/>
      <c r="U8" s="237"/>
      <c r="AJ8" s="379"/>
      <c r="AY8" s="187">
        <f>Vout*I8</f>
        <v>1.7</v>
      </c>
      <c r="AZ8" s="238">
        <f>AY8/(AY8+AX8)</f>
        <v>1</v>
      </c>
      <c r="BA8" s="296">
        <f>AG8/($AY8+$AX8)</f>
        <v>0</v>
      </c>
      <c r="BB8" s="296">
        <f>AO8/($AY8+$AX8)</f>
        <v>0</v>
      </c>
      <c r="BC8" s="296" t="e">
        <f>Vin*R8*(QgBot+Qg)/($AY8+$AX8)</f>
        <v>#NAME?</v>
      </c>
      <c r="BD8" s="296">
        <f>AK8/($AY8+$AX8)</f>
        <v>0</v>
      </c>
      <c r="BE8" s="296">
        <f>AQ8/(AX8+AY8)</f>
        <v>0</v>
      </c>
      <c r="BF8" s="296">
        <f>AR8/($AY8+$AX8)</f>
        <v>0</v>
      </c>
      <c r="BG8" s="296">
        <f t="shared" si="1"/>
        <v>0</v>
      </c>
      <c r="BH8" s="296">
        <f t="shared" si="1"/>
        <v>0</v>
      </c>
      <c r="BI8" s="296">
        <f>(AB8+AE8)/($AY8+$AX8)</f>
        <v>0</v>
      </c>
      <c r="BJ8" s="190">
        <f>AT8/($AY8+$AX8)</f>
        <v>0</v>
      </c>
      <c r="BK8" s="190">
        <f>AX8/($AY8+$AX8)</f>
        <v>0</v>
      </c>
      <c r="BL8" s="190">
        <f>AZ8</f>
        <v>1</v>
      </c>
      <c r="BM8" s="149">
        <f>100*BL8</f>
        <v>100</v>
      </c>
      <c r="BN8" s="188" t="e">
        <f xml:space="preserve"> CHOOSE(MODE, I8*1000,#REF!)</f>
        <v>#REF!</v>
      </c>
      <c r="BO8" s="149">
        <v>85.591306536493136</v>
      </c>
      <c r="BP8" s="190">
        <f>BO8/100</f>
        <v>0.85591306536493139</v>
      </c>
      <c r="BQ8" s="239">
        <f>R8/1000</f>
        <v>0</v>
      </c>
      <c r="BR8" s="240"/>
      <c r="BS8" s="190">
        <f>AL8/($AY8+$AX8)</f>
        <v>0</v>
      </c>
      <c r="BT8" s="240"/>
      <c r="BU8" s="149">
        <f>1000*AW8</f>
        <v>0</v>
      </c>
      <c r="BV8" s="149">
        <f>1000*AU8</f>
        <v>0</v>
      </c>
      <c r="BW8" s="149">
        <f>1000*Y8</f>
        <v>0</v>
      </c>
      <c r="BX8" s="190"/>
      <c r="BY8" s="190"/>
      <c r="BZ8" s="149" t="e">
        <f xml:space="preserve"> IF(MODE=1, BM8,#REF!)</f>
        <v>#REF!</v>
      </c>
      <c r="CA8" s="149" t="e">
        <f xml:space="preserve"> IF(MODE=1, BU8,#REF!)</f>
        <v>#REF!</v>
      </c>
      <c r="CB8" s="149" t="e">
        <f xml:space="preserve"> IF(MODE=1, BV8,#REF!)</f>
        <v>#REF!</v>
      </c>
      <c r="CC8" s="149" t="e">
        <f xml:space="preserve"> IF(MODE=1, BW8,#REF!)</f>
        <v>#REF!</v>
      </c>
    </row>
    <row r="9" spans="1:81">
      <c r="A9" s="243" t="s">
        <v>4</v>
      </c>
      <c r="B9" s="242">
        <f>Vout</f>
        <v>170</v>
      </c>
      <c r="C9" s="148" t="s">
        <v>0</v>
      </c>
      <c r="D9" s="169">
        <f>B9</f>
        <v>170</v>
      </c>
      <c r="E9" s="148" t="s">
        <v>4</v>
      </c>
      <c r="F9" s="235"/>
      <c r="G9" s="235"/>
      <c r="H9" s="147">
        <v>3</v>
      </c>
      <c r="I9" s="389">
        <f t="shared" si="0"/>
        <v>1.4999999999999999E-2</v>
      </c>
      <c r="J9" s="188"/>
      <c r="K9" s="188"/>
      <c r="L9" s="188"/>
      <c r="M9" s="188"/>
      <c r="N9" s="236"/>
      <c r="O9" s="149"/>
      <c r="P9" s="188"/>
      <c r="Q9" s="379"/>
      <c r="S9" s="237"/>
      <c r="T9" s="237"/>
      <c r="U9" s="237"/>
      <c r="AJ9" s="379"/>
      <c r="AY9" s="187">
        <f>Vout*I9</f>
        <v>2.5499999999999998</v>
      </c>
      <c r="AZ9" s="238">
        <f>AY9/(AY9+AX9)</f>
        <v>1</v>
      </c>
      <c r="BA9" s="296">
        <f>AG9/($AY9+$AX9)</f>
        <v>0</v>
      </c>
      <c r="BB9" s="296">
        <f>AO9/($AY9+$AX9)</f>
        <v>0</v>
      </c>
      <c r="BC9" s="296" t="e">
        <f>Vin*R9*(QgBot+Qg)/($AY9+$AX9)</f>
        <v>#NAME?</v>
      </c>
      <c r="BD9" s="296">
        <f>AK9/($AY9+$AX9)</f>
        <v>0</v>
      </c>
      <c r="BE9" s="296">
        <f>AQ9/(AX9+AY9)</f>
        <v>0</v>
      </c>
      <c r="BF9" s="296">
        <f>AR9/($AY9+$AX9)</f>
        <v>0</v>
      </c>
      <c r="BG9" s="296">
        <f t="shared" si="1"/>
        <v>0</v>
      </c>
      <c r="BH9" s="296">
        <f t="shared" si="1"/>
        <v>0</v>
      </c>
      <c r="BI9" s="296">
        <f>(AB9+AE9)/($AY9+$AX9)</f>
        <v>0</v>
      </c>
      <c r="BJ9" s="190">
        <f>AT9/($AY9+$AX9)</f>
        <v>0</v>
      </c>
      <c r="BK9" s="190">
        <f>AX9/($AY9+$AX9)</f>
        <v>0</v>
      </c>
      <c r="BL9" s="190">
        <f>AZ9</f>
        <v>1</v>
      </c>
      <c r="BM9" s="149">
        <f>100*BL9</f>
        <v>100</v>
      </c>
      <c r="BN9" s="188" t="e">
        <f xml:space="preserve"> CHOOSE(MODE, I9*1000,#REF!)</f>
        <v>#REF!</v>
      </c>
      <c r="BO9" s="149">
        <v>86.246143423411425</v>
      </c>
      <c r="BP9" s="190">
        <f>BO9/100</f>
        <v>0.86246143423411425</v>
      </c>
      <c r="BQ9" s="239">
        <f>R9/1000</f>
        <v>0</v>
      </c>
      <c r="BR9" s="240"/>
      <c r="BS9" s="190">
        <f>AL9/($AY9+$AX9)</f>
        <v>0</v>
      </c>
      <c r="BT9" s="240"/>
      <c r="BU9" s="149">
        <f>1000*AW9</f>
        <v>0</v>
      </c>
      <c r="BV9" s="149">
        <f>1000*AU9</f>
        <v>0</v>
      </c>
      <c r="BW9" s="149">
        <f>1000*Y9</f>
        <v>0</v>
      </c>
      <c r="BX9" s="190"/>
      <c r="BY9" s="190"/>
      <c r="BZ9" s="149" t="e">
        <f xml:space="preserve"> IF(MODE=1, BM9,#REF!)</f>
        <v>#REF!</v>
      </c>
      <c r="CA9" s="149" t="e">
        <f xml:space="preserve"> IF(MODE=1, BU9,#REF!)</f>
        <v>#REF!</v>
      </c>
      <c r="CB9" s="149" t="e">
        <f xml:space="preserve"> IF(MODE=1, BV9,#REF!)</f>
        <v>#REF!</v>
      </c>
      <c r="CC9" s="149" t="e">
        <f xml:space="preserve"> IF(MODE=1, BW9,#REF!)</f>
        <v>#REF!</v>
      </c>
    </row>
    <row r="10" spans="1:81">
      <c r="A10" s="243" t="s">
        <v>5</v>
      </c>
      <c r="B10" s="242">
        <f>Iout</f>
        <v>0.5</v>
      </c>
      <c r="C10" s="148" t="s">
        <v>1</v>
      </c>
      <c r="D10" s="169">
        <f>B10</f>
        <v>0.5</v>
      </c>
      <c r="E10" s="148" t="s">
        <v>241</v>
      </c>
      <c r="F10" s="235"/>
      <c r="G10" s="235"/>
      <c r="H10" s="147">
        <v>4</v>
      </c>
      <c r="I10" s="389">
        <f t="shared" si="0"/>
        <v>0.02</v>
      </c>
      <c r="J10" s="188"/>
      <c r="K10" s="188"/>
      <c r="L10" s="188"/>
      <c r="M10" s="188"/>
      <c r="N10" s="236"/>
      <c r="O10" s="149"/>
      <c r="P10" s="188"/>
      <c r="Q10" s="379"/>
      <c r="S10" s="237"/>
      <c r="T10" s="237"/>
      <c r="U10" s="237"/>
      <c r="AJ10" s="379"/>
      <c r="AZ10" s="238"/>
      <c r="BJ10" s="190"/>
      <c r="BK10" s="190"/>
      <c r="BL10" s="190"/>
      <c r="BO10" s="149"/>
      <c r="BP10" s="190"/>
      <c r="BQ10" s="239"/>
      <c r="BR10" s="240"/>
      <c r="BS10" s="190"/>
      <c r="BT10" s="240"/>
      <c r="BX10" s="190"/>
      <c r="BY10" s="190"/>
      <c r="BZ10" s="149"/>
      <c r="CA10" s="149"/>
      <c r="CB10" s="149"/>
      <c r="CC10" s="149"/>
    </row>
    <row r="11" spans="1:81">
      <c r="A11" s="243" t="s">
        <v>139</v>
      </c>
      <c r="B11" s="307">
        <f>Vout/(Fsw/1000)*100000/16</f>
        <v>88541.666666666657</v>
      </c>
      <c r="C11" s="244" t="s">
        <v>242</v>
      </c>
      <c r="D11" s="255">
        <f>B11*1000</f>
        <v>88541666.666666657</v>
      </c>
      <c r="E11" s="148"/>
      <c r="F11" s="235"/>
      <c r="G11" s="235"/>
      <c r="H11" s="147">
        <v>5</v>
      </c>
      <c r="I11" s="389">
        <f t="shared" si="0"/>
        <v>2.5000000000000001E-2</v>
      </c>
      <c r="J11" s="188"/>
      <c r="K11" s="188"/>
      <c r="L11" s="188"/>
      <c r="M11" s="188"/>
      <c r="N11" s="236"/>
      <c r="O11" s="149"/>
      <c r="P11" s="188"/>
      <c r="Q11" s="379"/>
      <c r="S11" s="237"/>
      <c r="T11" s="237"/>
      <c r="U11" s="237"/>
      <c r="AJ11" s="379"/>
      <c r="AZ11" s="238"/>
      <c r="BJ11" s="190"/>
      <c r="BK11" s="190"/>
      <c r="BL11" s="190"/>
      <c r="BO11" s="149"/>
      <c r="BP11" s="190"/>
      <c r="BQ11" s="239"/>
      <c r="BR11" s="240"/>
      <c r="BS11" s="190"/>
      <c r="BT11" s="240"/>
      <c r="BX11" s="190"/>
      <c r="BY11" s="190"/>
      <c r="BZ11" s="149"/>
      <c r="CA11" s="149"/>
      <c r="CB11" s="149"/>
      <c r="CC11" s="149"/>
    </row>
    <row r="12" spans="1:81">
      <c r="A12" s="243" t="s">
        <v>243</v>
      </c>
      <c r="B12" s="242">
        <v>25</v>
      </c>
      <c r="C12" s="148" t="s">
        <v>102</v>
      </c>
      <c r="D12" s="169">
        <f>B12</f>
        <v>25</v>
      </c>
      <c r="E12" s="148" t="s">
        <v>244</v>
      </c>
      <c r="F12" s="235">
        <f>Turns_Ratio</f>
        <v>27</v>
      </c>
      <c r="H12" s="147">
        <v>6</v>
      </c>
      <c r="I12" s="389">
        <f t="shared" si="0"/>
        <v>0.03</v>
      </c>
      <c r="J12" s="188"/>
      <c r="K12" s="188"/>
      <c r="L12" s="188"/>
      <c r="M12" s="188"/>
      <c r="N12" s="236"/>
      <c r="O12" s="149"/>
      <c r="P12" s="188"/>
      <c r="Q12" s="379"/>
      <c r="S12" s="237"/>
      <c r="T12" s="237"/>
      <c r="U12" s="237"/>
      <c r="AJ12" s="379"/>
      <c r="AZ12" s="238"/>
      <c r="BJ12" s="190"/>
      <c r="BK12" s="190"/>
      <c r="BL12" s="190"/>
      <c r="BO12" s="149"/>
      <c r="BP12" s="190"/>
      <c r="BQ12" s="239"/>
      <c r="BR12" s="240"/>
      <c r="BS12" s="190"/>
      <c r="BT12" s="240"/>
      <c r="BX12" s="190"/>
      <c r="BY12" s="190"/>
      <c r="BZ12" s="149"/>
      <c r="CA12" s="149"/>
      <c r="CB12" s="149"/>
      <c r="CC12" s="149"/>
    </row>
    <row r="13" spans="1:81">
      <c r="A13" s="245" t="s">
        <v>245</v>
      </c>
      <c r="B13" s="246">
        <v>5</v>
      </c>
      <c r="C13" s="148" t="s">
        <v>0</v>
      </c>
      <c r="D13" s="169">
        <f>B13</f>
        <v>5</v>
      </c>
      <c r="E13" s="148"/>
      <c r="F13" s="235"/>
      <c r="G13" s="235"/>
      <c r="H13" s="147">
        <v>7</v>
      </c>
      <c r="I13" s="389">
        <f t="shared" si="0"/>
        <v>3.5000000000000003E-2</v>
      </c>
      <c r="J13" s="188"/>
      <c r="K13" s="188"/>
      <c r="L13" s="188"/>
      <c r="M13" s="188"/>
      <c r="N13" s="236"/>
      <c r="O13" s="149"/>
      <c r="P13" s="188"/>
      <c r="Q13" s="379"/>
      <c r="S13" s="237"/>
      <c r="T13" s="237"/>
      <c r="U13" s="237"/>
      <c r="AJ13" s="379"/>
      <c r="AZ13" s="238"/>
      <c r="BJ13" s="190"/>
      <c r="BK13" s="190"/>
      <c r="BL13" s="190"/>
      <c r="BO13" s="149"/>
      <c r="BP13" s="190"/>
      <c r="BQ13" s="239"/>
      <c r="BR13" s="240"/>
      <c r="BS13" s="190"/>
      <c r="BT13" s="240"/>
      <c r="BX13" s="190"/>
      <c r="BY13" s="190"/>
      <c r="BZ13" s="149"/>
      <c r="CA13" s="149"/>
      <c r="CB13" s="149"/>
      <c r="CC13" s="149"/>
    </row>
    <row r="14" spans="1:81">
      <c r="F14" s="235"/>
      <c r="G14" s="235"/>
      <c r="H14" s="147">
        <v>8</v>
      </c>
      <c r="I14" s="389">
        <f t="shared" si="0"/>
        <v>0.04</v>
      </c>
      <c r="J14" s="188"/>
      <c r="K14" s="188"/>
      <c r="L14" s="188"/>
      <c r="M14" s="188"/>
      <c r="N14" s="236"/>
      <c r="O14" s="149"/>
      <c r="P14" s="188"/>
      <c r="Q14" s="379"/>
      <c r="S14" s="237"/>
      <c r="T14" s="237"/>
      <c r="U14" s="237"/>
      <c r="AJ14" s="379"/>
      <c r="AZ14" s="238"/>
      <c r="BJ14" s="190"/>
      <c r="BK14" s="190"/>
      <c r="BL14" s="190"/>
      <c r="BO14" s="149"/>
      <c r="BP14" s="190"/>
      <c r="BQ14" s="239"/>
      <c r="BR14" s="240"/>
      <c r="BS14" s="190"/>
      <c r="BT14" s="240"/>
      <c r="BX14" s="190"/>
      <c r="BY14" s="190"/>
      <c r="BZ14" s="149"/>
      <c r="CA14" s="149"/>
      <c r="CB14" s="149"/>
      <c r="CC14" s="149"/>
    </row>
    <row r="15" spans="1:81">
      <c r="A15" s="247" t="s">
        <v>34</v>
      </c>
      <c r="B15" s="209"/>
      <c r="C15" s="209"/>
      <c r="D15" s="209"/>
      <c r="E15" s="210"/>
      <c r="F15" s="235"/>
      <c r="G15" s="235"/>
      <c r="H15" s="147">
        <v>9</v>
      </c>
      <c r="I15" s="389">
        <f t="shared" si="0"/>
        <v>4.4999999999999998E-2</v>
      </c>
      <c r="J15" s="188"/>
      <c r="K15" s="188"/>
      <c r="L15" s="188"/>
      <c r="M15" s="188"/>
      <c r="N15" s="236"/>
      <c r="O15" s="149"/>
      <c r="P15" s="188"/>
      <c r="Q15" s="379"/>
      <c r="S15" s="237"/>
      <c r="T15" s="237"/>
      <c r="U15" s="237"/>
      <c r="AJ15" s="379"/>
      <c r="AZ15" s="238"/>
      <c r="BJ15" s="190"/>
      <c r="BK15" s="190"/>
      <c r="BL15" s="190"/>
      <c r="BO15" s="149"/>
      <c r="BP15" s="190"/>
      <c r="BQ15" s="239"/>
      <c r="BR15" s="240"/>
      <c r="BS15" s="190"/>
      <c r="BT15" s="240"/>
      <c r="BX15" s="190"/>
      <c r="BY15" s="190"/>
      <c r="BZ15" s="149"/>
      <c r="CA15" s="149"/>
      <c r="CB15" s="149"/>
      <c r="CC15" s="149"/>
    </row>
    <row r="16" spans="1:81">
      <c r="A16" s="231" t="s">
        <v>26</v>
      </c>
      <c r="B16" s="232" t="s">
        <v>6</v>
      </c>
      <c r="C16" s="232" t="s">
        <v>33</v>
      </c>
      <c r="D16" s="248" t="s">
        <v>90</v>
      </c>
      <c r="E16" s="234" t="s">
        <v>41</v>
      </c>
      <c r="F16" s="235"/>
      <c r="G16" s="235"/>
      <c r="H16" s="147">
        <v>10</v>
      </c>
      <c r="I16" s="389">
        <f t="shared" si="0"/>
        <v>0.05</v>
      </c>
      <c r="J16" s="188"/>
      <c r="K16" s="188"/>
      <c r="L16" s="188"/>
      <c r="M16" s="188"/>
      <c r="N16" s="236"/>
      <c r="O16" s="149"/>
      <c r="P16" s="188"/>
      <c r="Q16" s="379"/>
      <c r="S16" s="237"/>
      <c r="T16" s="237"/>
      <c r="U16" s="237"/>
      <c r="AJ16" s="379"/>
      <c r="AZ16" s="238"/>
      <c r="BJ16" s="190"/>
      <c r="BK16" s="190"/>
      <c r="BL16" s="190"/>
      <c r="BO16" s="149"/>
      <c r="BP16" s="190"/>
      <c r="BQ16" s="239"/>
      <c r="BR16" s="240"/>
      <c r="BS16" s="190"/>
      <c r="BT16" s="240"/>
      <c r="BX16" s="190"/>
      <c r="BY16" s="190"/>
      <c r="BZ16" s="149"/>
      <c r="CA16" s="149"/>
      <c r="CB16" s="149"/>
      <c r="CC16" s="149"/>
    </row>
    <row r="17" spans="1:81">
      <c r="A17" s="245" t="s">
        <v>246</v>
      </c>
      <c r="B17" s="249">
        <f>Vout/Vin/Fsw*1000000</f>
        <v>1180.5555555555557</v>
      </c>
      <c r="C17" s="250" t="s">
        <v>247</v>
      </c>
      <c r="D17" s="251">
        <f>B17/1000000</f>
        <v>1.1805555555555556E-3</v>
      </c>
      <c r="E17" s="148" t="s">
        <v>248</v>
      </c>
      <c r="F17" s="235"/>
      <c r="G17" s="235"/>
      <c r="H17" s="147">
        <v>11</v>
      </c>
      <c r="I17" s="389">
        <f t="shared" si="0"/>
        <v>5.5E-2</v>
      </c>
      <c r="J17" s="188"/>
      <c r="K17" s="188"/>
      <c r="L17" s="188"/>
      <c r="M17" s="188"/>
      <c r="N17" s="236"/>
      <c r="O17" s="149"/>
      <c r="P17" s="188"/>
      <c r="Q17" s="379"/>
      <c r="S17" s="237"/>
      <c r="T17" s="237"/>
      <c r="U17" s="237"/>
      <c r="AJ17" s="379"/>
      <c r="AZ17" s="238"/>
      <c r="BJ17" s="190"/>
      <c r="BK17" s="190"/>
      <c r="BL17" s="190"/>
      <c r="BO17" s="149"/>
      <c r="BP17" s="190"/>
      <c r="BQ17" s="239"/>
      <c r="BR17" s="240"/>
      <c r="BS17" s="190"/>
      <c r="BT17" s="240"/>
      <c r="BX17" s="190"/>
      <c r="BY17" s="190"/>
      <c r="BZ17" s="149"/>
      <c r="CA17" s="149"/>
      <c r="CB17" s="149"/>
      <c r="CC17" s="149"/>
    </row>
    <row r="18" spans="1:81">
      <c r="A18" s="245" t="s">
        <v>249</v>
      </c>
      <c r="B18" s="249"/>
      <c r="C18" s="250" t="s">
        <v>247</v>
      </c>
      <c r="D18" s="252">
        <f>B18/1000000</f>
        <v>0</v>
      </c>
      <c r="E18" s="148" t="s">
        <v>250</v>
      </c>
      <c r="F18" s="235"/>
      <c r="G18" s="235"/>
      <c r="H18" s="147">
        <v>12</v>
      </c>
      <c r="I18" s="389">
        <f t="shared" si="0"/>
        <v>0.06</v>
      </c>
      <c r="J18" s="188"/>
      <c r="K18" s="188"/>
      <c r="L18" s="188"/>
      <c r="M18" s="188"/>
      <c r="N18" s="236"/>
      <c r="O18" s="149"/>
      <c r="P18" s="188"/>
      <c r="Q18" s="379"/>
      <c r="S18" s="237"/>
      <c r="T18" s="237"/>
      <c r="U18" s="237"/>
      <c r="AJ18" s="379"/>
      <c r="AZ18" s="238"/>
      <c r="BJ18" s="190"/>
      <c r="BK18" s="190"/>
      <c r="BL18" s="190"/>
      <c r="BO18" s="149"/>
      <c r="BP18" s="190"/>
      <c r="BQ18" s="239"/>
      <c r="BR18" s="240"/>
      <c r="BS18" s="190"/>
      <c r="BT18" s="240"/>
      <c r="BX18" s="190"/>
      <c r="BY18" s="190"/>
      <c r="BZ18" s="149"/>
      <c r="CA18" s="149"/>
      <c r="CB18" s="149"/>
      <c r="CC18" s="149"/>
    </row>
    <row r="19" spans="1:81" ht="15.6">
      <c r="A19" s="245" t="s">
        <v>251</v>
      </c>
      <c r="B19" s="253">
        <f>(Vin-Vout-(Rdcr_pri+Rdson)*Iout)/L*OnTime*1000</f>
        <v>-124353780.0925926</v>
      </c>
      <c r="C19" s="148" t="s">
        <v>30</v>
      </c>
      <c r="D19" s="165">
        <f>B19/1000</f>
        <v>-124353.7800925926</v>
      </c>
      <c r="E19" s="148" t="s">
        <v>252</v>
      </c>
      <c r="F19" s="235"/>
      <c r="G19" s="235"/>
      <c r="H19" s="147">
        <v>13</v>
      </c>
      <c r="I19" s="389">
        <f t="shared" si="0"/>
        <v>6.5000000000000002E-2</v>
      </c>
      <c r="J19" s="188"/>
      <c r="K19" s="188"/>
      <c r="L19" s="188"/>
      <c r="M19" s="188"/>
      <c r="N19" s="236"/>
      <c r="O19" s="149"/>
      <c r="P19" s="188"/>
      <c r="Q19" s="379"/>
      <c r="S19" s="237"/>
      <c r="T19" s="237"/>
      <c r="U19" s="237"/>
      <c r="AJ19" s="379"/>
      <c r="AZ19" s="238"/>
      <c r="BJ19" s="190"/>
      <c r="BK19" s="190"/>
      <c r="BL19" s="190"/>
      <c r="BO19" s="149"/>
      <c r="BP19" s="190"/>
      <c r="BQ19" s="239"/>
      <c r="BR19" s="240"/>
      <c r="BS19" s="190"/>
      <c r="BT19" s="240"/>
      <c r="BX19" s="190"/>
      <c r="BY19" s="190"/>
      <c r="BZ19" s="149"/>
      <c r="CA19" s="149"/>
      <c r="CB19" s="149"/>
      <c r="CC19" s="149"/>
    </row>
    <row r="20" spans="1:81">
      <c r="A20" s="245" t="s">
        <v>253</v>
      </c>
      <c r="B20" s="254">
        <v>12</v>
      </c>
      <c r="C20" s="148" t="s">
        <v>2</v>
      </c>
      <c r="D20" s="255">
        <f>B20*1000</f>
        <v>12000</v>
      </c>
      <c r="E20" s="148" t="s">
        <v>254</v>
      </c>
      <c r="F20" s="289"/>
      <c r="G20" s="235"/>
      <c r="H20" s="147">
        <v>14</v>
      </c>
      <c r="I20" s="389">
        <f t="shared" si="0"/>
        <v>7.0000000000000007E-2</v>
      </c>
      <c r="J20" s="188"/>
      <c r="K20" s="188"/>
      <c r="L20" s="188"/>
      <c r="M20" s="188"/>
      <c r="N20" s="236"/>
      <c r="O20" s="149"/>
      <c r="P20" s="188"/>
      <c r="Q20" s="379"/>
      <c r="S20" s="237"/>
      <c r="T20" s="237"/>
      <c r="U20" s="237"/>
      <c r="AJ20" s="379"/>
      <c r="AZ20" s="238"/>
      <c r="BJ20" s="190"/>
      <c r="BK20" s="190"/>
      <c r="BL20" s="190"/>
      <c r="BO20" s="149"/>
      <c r="BP20" s="190"/>
      <c r="BQ20" s="239"/>
      <c r="BR20" s="240"/>
      <c r="BS20" s="190"/>
      <c r="BT20" s="240"/>
      <c r="BX20" s="190"/>
      <c r="BY20" s="190"/>
      <c r="BZ20" s="149"/>
      <c r="CA20" s="149"/>
      <c r="CB20" s="149"/>
      <c r="CC20" s="149"/>
    </row>
    <row r="21" spans="1:81">
      <c r="A21" s="245" t="s">
        <v>410</v>
      </c>
      <c r="B21" s="253">
        <v>350</v>
      </c>
      <c r="C21" s="148" t="s">
        <v>2</v>
      </c>
      <c r="D21" s="255">
        <f>B21*1000</f>
        <v>350000</v>
      </c>
      <c r="E21" s="148" t="s">
        <v>411</v>
      </c>
      <c r="F21" s="235"/>
      <c r="G21" s="235"/>
      <c r="H21" s="147">
        <v>15</v>
      </c>
      <c r="I21" s="389">
        <f t="shared" si="0"/>
        <v>7.4999999999999997E-2</v>
      </c>
      <c r="J21" s="188"/>
      <c r="K21" s="188"/>
      <c r="L21" s="188"/>
      <c r="M21" s="188"/>
      <c r="N21" s="236"/>
      <c r="O21" s="149"/>
      <c r="P21" s="188"/>
      <c r="Q21" s="379"/>
      <c r="S21" s="237"/>
      <c r="T21" s="237"/>
      <c r="U21" s="237"/>
      <c r="AJ21" s="379"/>
      <c r="AZ21" s="238"/>
      <c r="BJ21" s="190"/>
      <c r="BK21" s="190"/>
      <c r="BL21" s="190"/>
      <c r="BO21" s="149"/>
      <c r="BP21" s="190"/>
      <c r="BQ21" s="239"/>
      <c r="BR21" s="240"/>
      <c r="BS21" s="190"/>
      <c r="BT21" s="240"/>
      <c r="BX21" s="190"/>
      <c r="BY21" s="190"/>
      <c r="BZ21" s="149"/>
      <c r="CA21" s="149"/>
      <c r="CB21" s="149"/>
      <c r="CC21" s="149"/>
    </row>
    <row r="22" spans="1:81">
      <c r="A22" s="256" t="s">
        <v>38</v>
      </c>
      <c r="B22" s="257">
        <f>B44+15</f>
        <v>60.8</v>
      </c>
      <c r="C22" s="148" t="s">
        <v>32</v>
      </c>
      <c r="D22" s="258">
        <f>B22/1000000000</f>
        <v>6.0800000000000002E-8</v>
      </c>
      <c r="E22" s="148" t="s">
        <v>255</v>
      </c>
      <c r="F22" s="235"/>
      <c r="G22" s="235"/>
      <c r="H22" s="147">
        <v>16</v>
      </c>
      <c r="I22" s="389">
        <f t="shared" si="0"/>
        <v>0.08</v>
      </c>
      <c r="J22" s="188"/>
      <c r="K22" s="188"/>
      <c r="L22" s="188"/>
      <c r="M22" s="188"/>
      <c r="N22" s="236"/>
      <c r="O22" s="149"/>
      <c r="P22" s="188"/>
      <c r="Q22" s="379"/>
      <c r="S22" s="237"/>
      <c r="T22" s="237"/>
      <c r="U22" s="237"/>
      <c r="AJ22" s="379"/>
      <c r="AZ22" s="238"/>
      <c r="BJ22" s="190"/>
      <c r="BK22" s="190"/>
      <c r="BL22" s="190"/>
      <c r="BO22" s="149"/>
      <c r="BP22" s="190"/>
      <c r="BQ22" s="239"/>
      <c r="BR22" s="240"/>
      <c r="BS22" s="190"/>
      <c r="BT22" s="240"/>
      <c r="BX22" s="190"/>
      <c r="BY22" s="190"/>
      <c r="BZ22" s="149"/>
      <c r="CA22" s="149"/>
      <c r="CB22" s="149"/>
      <c r="CC22" s="149"/>
    </row>
    <row r="23" spans="1:81">
      <c r="A23" s="256" t="s">
        <v>39</v>
      </c>
      <c r="B23" s="257">
        <f>B44/2+25</f>
        <v>47.9</v>
      </c>
      <c r="C23" s="148" t="s">
        <v>32</v>
      </c>
      <c r="D23" s="258">
        <f>B23/1000000000</f>
        <v>4.7899999999999999E-8</v>
      </c>
      <c r="E23" s="148" t="s">
        <v>256</v>
      </c>
      <c r="F23" s="235"/>
      <c r="G23" s="235"/>
      <c r="H23" s="147">
        <v>17</v>
      </c>
      <c r="I23" s="389">
        <f t="shared" si="0"/>
        <v>8.5000000000000006E-2</v>
      </c>
      <c r="J23" s="188"/>
      <c r="K23" s="188"/>
      <c r="L23" s="188"/>
      <c r="M23" s="188"/>
      <c r="N23" s="236"/>
      <c r="O23" s="149"/>
      <c r="P23" s="188"/>
      <c r="Q23" s="379"/>
      <c r="S23" s="237"/>
      <c r="T23" s="237"/>
      <c r="U23" s="237"/>
      <c r="AJ23" s="379"/>
      <c r="AZ23" s="238"/>
      <c r="BJ23" s="190"/>
      <c r="BK23" s="190"/>
      <c r="BL23" s="190"/>
      <c r="BO23" s="149"/>
      <c r="BP23" s="190"/>
      <c r="BQ23" s="239"/>
      <c r="BR23" s="240"/>
      <c r="BS23" s="190"/>
      <c r="BT23" s="240"/>
      <c r="BX23" s="190"/>
      <c r="BY23" s="190"/>
      <c r="BZ23" s="149"/>
      <c r="CA23" s="149"/>
      <c r="CB23" s="149"/>
      <c r="CC23" s="149"/>
    </row>
    <row r="24" spans="1:81">
      <c r="A24" s="210"/>
      <c r="B24" s="210"/>
      <c r="C24" s="210"/>
      <c r="D24" s="210"/>
      <c r="E24" s="210"/>
      <c r="F24" s="235"/>
      <c r="G24" s="235"/>
      <c r="H24" s="147">
        <v>18</v>
      </c>
      <c r="I24" s="389">
        <f t="shared" si="0"/>
        <v>0.09</v>
      </c>
      <c r="J24" s="188"/>
      <c r="K24" s="188"/>
      <c r="L24" s="188"/>
      <c r="M24" s="188"/>
      <c r="N24" s="236"/>
      <c r="O24" s="149"/>
      <c r="P24" s="188"/>
      <c r="Q24" s="379"/>
      <c r="S24" s="237"/>
      <c r="T24" s="237"/>
      <c r="U24" s="237"/>
      <c r="AJ24" s="379"/>
      <c r="AZ24" s="238"/>
      <c r="BJ24" s="190"/>
      <c r="BK24" s="190"/>
      <c r="BL24" s="190"/>
      <c r="BO24" s="149"/>
      <c r="BP24" s="190"/>
      <c r="BQ24" s="239"/>
      <c r="BR24" s="240"/>
      <c r="BS24" s="190"/>
      <c r="BT24" s="240"/>
      <c r="BX24" s="190"/>
      <c r="BY24" s="190"/>
      <c r="BZ24" s="149"/>
      <c r="CA24" s="149"/>
      <c r="CB24" s="149"/>
      <c r="CC24" s="149"/>
    </row>
    <row r="25" spans="1:81">
      <c r="A25" s="231" t="s">
        <v>29</v>
      </c>
      <c r="B25" s="233" t="s">
        <v>43</v>
      </c>
      <c r="C25" s="232" t="s">
        <v>33</v>
      </c>
      <c r="D25" s="248" t="s">
        <v>90</v>
      </c>
      <c r="E25" s="234" t="s">
        <v>41</v>
      </c>
      <c r="F25" s="235"/>
      <c r="G25" s="235"/>
      <c r="H25" s="147">
        <v>19</v>
      </c>
      <c r="I25" s="389">
        <f t="shared" si="0"/>
        <v>9.5000000000000001E-2</v>
      </c>
      <c r="J25" s="188"/>
      <c r="K25" s="188"/>
      <c r="L25" s="188"/>
      <c r="M25" s="188"/>
      <c r="N25" s="236"/>
      <c r="O25" s="149"/>
      <c r="P25" s="188"/>
      <c r="Q25" s="379"/>
      <c r="S25" s="237"/>
      <c r="T25" s="237"/>
      <c r="U25" s="237"/>
      <c r="AJ25" s="379"/>
      <c r="AZ25" s="238"/>
      <c r="BJ25" s="190"/>
      <c r="BK25" s="190"/>
      <c r="BL25" s="190"/>
      <c r="BO25" s="149"/>
      <c r="BP25" s="190"/>
      <c r="BQ25" s="239"/>
      <c r="BR25" s="240"/>
      <c r="BS25" s="190"/>
      <c r="BT25" s="240"/>
      <c r="BX25" s="190"/>
      <c r="BY25" s="190"/>
      <c r="BZ25" s="149"/>
      <c r="CA25" s="149"/>
      <c r="CB25" s="149"/>
      <c r="CC25" s="149"/>
    </row>
    <row r="26" spans="1:81" ht="13.8" thickBot="1">
      <c r="A26" s="259" t="s">
        <v>27</v>
      </c>
      <c r="B26" s="148">
        <f>'Design Converter'!L7</f>
        <v>1.5</v>
      </c>
      <c r="C26" s="250" t="s">
        <v>96</v>
      </c>
      <c r="D26" s="169">
        <f>B26/1000000</f>
        <v>1.5E-6</v>
      </c>
      <c r="E26" s="148" t="s">
        <v>257</v>
      </c>
      <c r="F26" s="260"/>
      <c r="G26" s="235"/>
      <c r="H26" s="147">
        <v>20</v>
      </c>
      <c r="I26" s="389">
        <f t="shared" si="0"/>
        <v>0.1</v>
      </c>
      <c r="J26" s="188"/>
      <c r="K26" s="188"/>
      <c r="L26" s="188"/>
      <c r="M26" s="188"/>
      <c r="N26" s="236"/>
      <c r="O26" s="149"/>
      <c r="P26" s="188"/>
      <c r="Q26" s="379"/>
      <c r="S26" s="237"/>
      <c r="T26" s="237"/>
      <c r="U26" s="237"/>
      <c r="AJ26" s="379"/>
      <c r="AZ26" s="238"/>
      <c r="BJ26" s="190"/>
      <c r="BK26" s="190"/>
      <c r="BL26" s="190"/>
      <c r="BO26" s="149"/>
      <c r="BP26" s="190"/>
      <c r="BQ26" s="239"/>
      <c r="BR26" s="240"/>
      <c r="BS26" s="190"/>
      <c r="BT26" s="240"/>
      <c r="BX26" s="190"/>
      <c r="BY26" s="190"/>
      <c r="BZ26" s="149"/>
      <c r="CA26" s="149"/>
      <c r="CB26" s="149"/>
      <c r="CC26" s="149"/>
    </row>
    <row r="27" spans="1:81" ht="13.8" thickBot="1">
      <c r="A27" s="261" t="s">
        <v>385</v>
      </c>
      <c r="B27" s="262">
        <f>'Design Converter'!L8</f>
        <v>1.5</v>
      </c>
      <c r="C27" s="263" t="s">
        <v>258</v>
      </c>
      <c r="D27" s="169">
        <f>B27/1000</f>
        <v>1.5E-3</v>
      </c>
      <c r="E27" s="148" t="s">
        <v>480</v>
      </c>
      <c r="F27" s="235"/>
      <c r="G27" s="235"/>
      <c r="H27" s="147">
        <v>21</v>
      </c>
      <c r="I27" s="389">
        <f t="shared" si="0"/>
        <v>0.105</v>
      </c>
      <c r="J27" s="188"/>
      <c r="K27" s="188"/>
      <c r="L27" s="188"/>
      <c r="M27" s="188"/>
      <c r="N27" s="236"/>
      <c r="O27" s="149"/>
      <c r="P27" s="188"/>
      <c r="Q27" s="379"/>
      <c r="S27" s="237"/>
      <c r="T27" s="237"/>
      <c r="U27" s="237"/>
      <c r="AJ27" s="379"/>
      <c r="AZ27" s="238"/>
      <c r="BJ27" s="190"/>
      <c r="BK27" s="190"/>
      <c r="BL27" s="190"/>
      <c r="BO27" s="149"/>
      <c r="BP27" s="190"/>
      <c r="BQ27" s="239"/>
      <c r="BR27" s="240"/>
      <c r="BS27" s="190"/>
      <c r="BT27" s="240"/>
      <c r="BX27" s="190"/>
      <c r="BY27" s="190"/>
      <c r="BZ27" s="149"/>
      <c r="CA27" s="149"/>
      <c r="CB27" s="149"/>
      <c r="CC27" s="149"/>
    </row>
    <row r="28" spans="1:81" ht="13.8" thickBot="1">
      <c r="A28" s="261" t="s">
        <v>448</v>
      </c>
      <c r="B28" s="262">
        <f>'Design Converter'!L9</f>
        <v>200</v>
      </c>
      <c r="C28" s="263" t="s">
        <v>258</v>
      </c>
      <c r="D28" s="169">
        <f>B28/1000</f>
        <v>0.2</v>
      </c>
      <c r="E28" s="148" t="s">
        <v>646</v>
      </c>
      <c r="F28" s="235"/>
      <c r="G28" s="235"/>
      <c r="H28" s="147">
        <v>22</v>
      </c>
      <c r="I28" s="389">
        <f t="shared" si="0"/>
        <v>0.11</v>
      </c>
      <c r="J28" s="188"/>
      <c r="K28" s="188"/>
      <c r="L28" s="188"/>
      <c r="M28" s="188"/>
      <c r="N28" s="236"/>
      <c r="O28" s="149"/>
      <c r="P28" s="188"/>
      <c r="Q28" s="379"/>
      <c r="S28" s="237"/>
      <c r="T28" s="237"/>
      <c r="U28" s="237"/>
      <c r="AJ28" s="379"/>
      <c r="AZ28" s="238"/>
      <c r="BJ28" s="190"/>
      <c r="BK28" s="190"/>
      <c r="BL28" s="190"/>
      <c r="BO28" s="149"/>
      <c r="BP28" s="190"/>
      <c r="BQ28" s="239"/>
      <c r="BR28" s="240"/>
      <c r="BS28" s="190"/>
      <c r="BT28" s="240"/>
      <c r="BX28" s="190"/>
      <c r="BY28" s="190"/>
      <c r="BZ28" s="149"/>
      <c r="CA28" s="149"/>
      <c r="CB28" s="149"/>
      <c r="CC28" s="149"/>
    </row>
    <row r="29" spans="1:81" ht="13.8" thickBot="1">
      <c r="A29" s="261" t="s">
        <v>259</v>
      </c>
      <c r="B29" s="264">
        <f>0.00000005</f>
        <v>4.9999999999999998E-8</v>
      </c>
      <c r="C29" s="263"/>
      <c r="D29" s="258">
        <f>B29</f>
        <v>4.9999999999999998E-8</v>
      </c>
      <c r="E29" s="265" t="s">
        <v>479</v>
      </c>
      <c r="F29" s="235"/>
      <c r="G29" s="235"/>
      <c r="H29" s="147">
        <v>23</v>
      </c>
      <c r="I29" s="389">
        <f t="shared" si="0"/>
        <v>0.115</v>
      </c>
      <c r="J29" s="188"/>
      <c r="K29" s="188"/>
      <c r="L29" s="188"/>
      <c r="M29" s="188"/>
      <c r="N29" s="236"/>
      <c r="O29" s="149"/>
      <c r="P29" s="188"/>
      <c r="Q29" s="379"/>
      <c r="S29" s="237"/>
      <c r="T29" s="237"/>
      <c r="U29" s="237"/>
      <c r="AJ29" s="379"/>
      <c r="AZ29" s="238"/>
      <c r="BJ29" s="190"/>
      <c r="BK29" s="190"/>
      <c r="BL29" s="190"/>
      <c r="BO29" s="149"/>
      <c r="BP29" s="190"/>
      <c r="BQ29" s="239"/>
      <c r="BR29" s="240"/>
      <c r="BS29" s="190"/>
      <c r="BT29" s="240"/>
      <c r="BX29" s="190"/>
      <c r="BY29" s="190"/>
      <c r="BZ29" s="149"/>
      <c r="CA29" s="149"/>
      <c r="CB29" s="149"/>
      <c r="CC29" s="149"/>
    </row>
    <row r="30" spans="1:81" ht="13.8" thickBot="1">
      <c r="A30" s="266" t="s">
        <v>28</v>
      </c>
      <c r="B30" s="262">
        <f>'Design Converter'!E30</f>
        <v>120</v>
      </c>
      <c r="C30" s="267" t="s">
        <v>97</v>
      </c>
      <c r="D30" s="268">
        <f>B30/1000000</f>
        <v>1.2E-4</v>
      </c>
      <c r="E30" s="269" t="s">
        <v>60</v>
      </c>
      <c r="F30" s="235"/>
      <c r="G30" s="235"/>
      <c r="H30" s="147">
        <v>24</v>
      </c>
      <c r="I30" s="389">
        <f t="shared" si="0"/>
        <v>0.12</v>
      </c>
      <c r="J30" s="188"/>
      <c r="K30" s="188"/>
      <c r="L30" s="188"/>
      <c r="M30" s="188"/>
      <c r="N30" s="236"/>
      <c r="O30" s="149"/>
      <c r="P30" s="188"/>
      <c r="Q30" s="379"/>
      <c r="S30" s="237"/>
      <c r="T30" s="237"/>
      <c r="U30" s="237"/>
      <c r="AJ30" s="379"/>
      <c r="AZ30" s="238"/>
      <c r="BJ30" s="190"/>
      <c r="BK30" s="190"/>
      <c r="BL30" s="190"/>
      <c r="BO30" s="149"/>
      <c r="BP30" s="190"/>
      <c r="BQ30" s="239"/>
      <c r="BR30" s="240"/>
      <c r="BS30" s="190"/>
      <c r="BT30" s="240"/>
      <c r="BX30" s="190"/>
      <c r="BY30" s="190"/>
      <c r="BZ30" s="149"/>
      <c r="CA30" s="149"/>
      <c r="CB30" s="149"/>
      <c r="CC30" s="149"/>
    </row>
    <row r="31" spans="1:81" ht="13.8" thickBot="1">
      <c r="A31" s="261" t="s">
        <v>260</v>
      </c>
      <c r="B31" s="262">
        <f>'Design Converter'!E31</f>
        <v>15</v>
      </c>
      <c r="C31" s="263" t="s">
        <v>258</v>
      </c>
      <c r="D31" s="169">
        <f>B31/1000</f>
        <v>1.4999999999999999E-2</v>
      </c>
      <c r="E31" s="148" t="s">
        <v>261</v>
      </c>
      <c r="F31" s="235"/>
      <c r="G31" s="235"/>
      <c r="H31" s="147">
        <v>25</v>
      </c>
      <c r="I31" s="389">
        <f t="shared" si="0"/>
        <v>0.125</v>
      </c>
      <c r="J31" s="188"/>
      <c r="K31" s="188"/>
      <c r="L31" s="188"/>
      <c r="M31" s="188"/>
      <c r="N31" s="236"/>
      <c r="O31" s="149"/>
      <c r="P31" s="188"/>
      <c r="Q31" s="379"/>
      <c r="S31" s="237"/>
      <c r="T31" s="237"/>
      <c r="U31" s="237"/>
      <c r="AJ31" s="379"/>
      <c r="AZ31" s="238"/>
      <c r="BJ31" s="190"/>
      <c r="BK31" s="190"/>
      <c r="BL31" s="190"/>
      <c r="BO31" s="149"/>
      <c r="BP31" s="190"/>
      <c r="BQ31" s="239"/>
      <c r="BR31" s="240"/>
      <c r="BS31" s="190"/>
      <c r="BT31" s="240"/>
      <c r="BX31" s="190"/>
      <c r="BY31" s="190"/>
      <c r="BZ31" s="149"/>
      <c r="CA31" s="149"/>
      <c r="CB31" s="149"/>
      <c r="CC31" s="149"/>
    </row>
    <row r="32" spans="1:81" ht="13.8" thickBot="1">
      <c r="A32" s="259" t="s">
        <v>14</v>
      </c>
      <c r="B32" s="308">
        <f>'Design Converter'!E34</f>
        <v>6</v>
      </c>
      <c r="C32" s="250" t="s">
        <v>97</v>
      </c>
      <c r="D32" s="251">
        <f>B32/1000000</f>
        <v>6.0000000000000002E-6</v>
      </c>
      <c r="E32" s="148" t="s">
        <v>262</v>
      </c>
      <c r="F32" s="235"/>
      <c r="G32" s="235"/>
      <c r="H32" s="147">
        <v>26</v>
      </c>
      <c r="I32" s="389">
        <f t="shared" si="0"/>
        <v>0.13</v>
      </c>
      <c r="J32" s="188"/>
      <c r="K32" s="188"/>
      <c r="L32" s="188"/>
      <c r="M32" s="188"/>
      <c r="N32" s="236"/>
      <c r="O32" s="149"/>
      <c r="P32" s="188"/>
      <c r="Q32" s="379"/>
      <c r="S32" s="237"/>
      <c r="T32" s="237"/>
      <c r="U32" s="237"/>
      <c r="AJ32" s="379"/>
      <c r="AZ32" s="238"/>
      <c r="BJ32" s="190"/>
      <c r="BK32" s="190"/>
      <c r="BL32" s="190"/>
      <c r="BO32" s="149"/>
      <c r="BP32" s="190"/>
      <c r="BQ32" s="239"/>
      <c r="BR32" s="240"/>
      <c r="BS32" s="190"/>
      <c r="BT32" s="240"/>
      <c r="BX32" s="190"/>
      <c r="BY32" s="190"/>
      <c r="BZ32" s="149"/>
      <c r="CA32" s="149"/>
      <c r="CB32" s="149"/>
      <c r="CC32" s="149"/>
    </row>
    <row r="33" spans="1:81">
      <c r="A33" s="261" t="s">
        <v>263</v>
      </c>
      <c r="B33" s="308">
        <f>'Design Converter'!E35</f>
        <v>15</v>
      </c>
      <c r="C33" s="263" t="s">
        <v>258</v>
      </c>
      <c r="D33" s="169">
        <f>B33/1000</f>
        <v>1.4999999999999999E-2</v>
      </c>
      <c r="E33" s="148" t="s">
        <v>264</v>
      </c>
      <c r="F33" s="235"/>
      <c r="G33" s="235"/>
      <c r="H33" s="147">
        <v>27</v>
      </c>
      <c r="I33" s="389">
        <f t="shared" si="0"/>
        <v>0.13500000000000001</v>
      </c>
      <c r="J33" s="188"/>
      <c r="K33" s="188"/>
      <c r="L33" s="188"/>
      <c r="M33" s="188"/>
      <c r="N33" s="236"/>
      <c r="O33" s="149"/>
      <c r="P33" s="188"/>
      <c r="Q33" s="379"/>
      <c r="S33" s="237"/>
      <c r="T33" s="237"/>
      <c r="U33" s="237"/>
      <c r="AJ33" s="379"/>
      <c r="AZ33" s="238"/>
      <c r="BJ33" s="190"/>
      <c r="BK33" s="190"/>
      <c r="BL33" s="190"/>
      <c r="BO33" s="149"/>
      <c r="BP33" s="190"/>
      <c r="BQ33" s="239"/>
      <c r="BR33" s="240"/>
      <c r="BS33" s="190"/>
      <c r="BT33" s="240"/>
      <c r="BX33" s="190"/>
      <c r="BY33" s="190"/>
      <c r="BZ33" s="149"/>
      <c r="CA33" s="149"/>
      <c r="CB33" s="149"/>
      <c r="CC33" s="149"/>
    </row>
    <row r="34" spans="1:81">
      <c r="A34" s="270" t="s">
        <v>394</v>
      </c>
      <c r="B34" s="233"/>
      <c r="C34" s="270" t="s">
        <v>33</v>
      </c>
      <c r="D34" s="270" t="s">
        <v>90</v>
      </c>
      <c r="E34" s="271" t="s">
        <v>41</v>
      </c>
      <c r="F34" s="235"/>
      <c r="G34" s="235"/>
      <c r="H34" s="147">
        <v>28</v>
      </c>
      <c r="I34" s="389">
        <f t="shared" si="0"/>
        <v>0.14000000000000001</v>
      </c>
      <c r="J34" s="188"/>
      <c r="K34" s="188"/>
      <c r="L34" s="188"/>
      <c r="M34" s="188"/>
      <c r="N34" s="236"/>
      <c r="O34" s="149"/>
      <c r="P34" s="188"/>
      <c r="Q34" s="379"/>
      <c r="S34" s="237"/>
      <c r="T34" s="237"/>
      <c r="U34" s="237"/>
      <c r="AJ34" s="379"/>
      <c r="AZ34" s="238"/>
      <c r="BJ34" s="190"/>
      <c r="BK34" s="190"/>
      <c r="BL34" s="190"/>
      <c r="BO34" s="149"/>
      <c r="BP34" s="190"/>
      <c r="BQ34" s="239"/>
      <c r="BR34" s="240"/>
      <c r="BS34" s="190"/>
      <c r="BT34" s="240"/>
      <c r="BX34" s="190"/>
      <c r="BY34" s="190"/>
      <c r="BZ34" s="149"/>
      <c r="CA34" s="149"/>
      <c r="CB34" s="149"/>
      <c r="CC34" s="149"/>
    </row>
    <row r="35" spans="1:81">
      <c r="A35" s="261" t="s">
        <v>399</v>
      </c>
      <c r="B35" s="272">
        <f>100/RCS</f>
        <v>66.666666666666671</v>
      </c>
      <c r="C35" s="250" t="s">
        <v>1</v>
      </c>
      <c r="D35" s="238">
        <f>B35</f>
        <v>66.666666666666671</v>
      </c>
      <c r="E35" s="148" t="s">
        <v>398</v>
      </c>
      <c r="F35" s="235"/>
      <c r="G35" s="235"/>
      <c r="H35" s="147">
        <v>29</v>
      </c>
      <c r="I35" s="389">
        <f t="shared" si="0"/>
        <v>0.14499999999999999</v>
      </c>
      <c r="J35" s="188"/>
      <c r="K35" s="188"/>
      <c r="L35" s="188"/>
      <c r="M35" s="188"/>
      <c r="N35" s="236"/>
      <c r="O35" s="149"/>
      <c r="P35" s="188"/>
      <c r="Q35" s="379"/>
      <c r="S35" s="237"/>
      <c r="T35" s="237"/>
      <c r="U35" s="237"/>
      <c r="AJ35" s="379"/>
      <c r="AZ35" s="238"/>
      <c r="BJ35" s="190"/>
      <c r="BK35" s="190"/>
      <c r="BL35" s="190"/>
      <c r="BO35" s="149"/>
      <c r="BP35" s="190"/>
      <c r="BQ35" s="239"/>
      <c r="BR35" s="240"/>
      <c r="BS35" s="190"/>
      <c r="BT35" s="240"/>
      <c r="BX35" s="190"/>
      <c r="BY35" s="190"/>
      <c r="BZ35" s="149"/>
      <c r="CA35" s="149"/>
      <c r="CB35" s="149"/>
      <c r="CC35" s="149"/>
    </row>
    <row r="36" spans="1:81">
      <c r="A36" s="261" t="s">
        <v>407</v>
      </c>
      <c r="B36" s="272">
        <f>B35/5</f>
        <v>13.333333333333334</v>
      </c>
      <c r="C36" s="250" t="s">
        <v>1</v>
      </c>
      <c r="D36" s="238">
        <f>B36</f>
        <v>13.333333333333334</v>
      </c>
      <c r="E36" s="148" t="s">
        <v>408</v>
      </c>
      <c r="F36" s="235"/>
      <c r="G36" s="235"/>
      <c r="H36" s="147">
        <v>30</v>
      </c>
      <c r="I36" s="389">
        <f t="shared" si="0"/>
        <v>0.15</v>
      </c>
      <c r="J36" s="188"/>
      <c r="K36" s="188"/>
      <c r="L36" s="188"/>
      <c r="M36" s="188"/>
      <c r="N36" s="236"/>
      <c r="O36" s="149"/>
      <c r="P36" s="188"/>
      <c r="Q36" s="379"/>
      <c r="S36" s="237"/>
      <c r="T36" s="237"/>
      <c r="U36" s="237"/>
      <c r="AJ36" s="379"/>
      <c r="AZ36" s="238"/>
      <c r="BJ36" s="190"/>
      <c r="BK36" s="190"/>
      <c r="BL36" s="190"/>
      <c r="BO36" s="149"/>
      <c r="BP36" s="190"/>
      <c r="BQ36" s="239"/>
      <c r="BR36" s="240"/>
      <c r="BS36" s="190"/>
      <c r="BT36" s="240"/>
      <c r="BX36" s="190"/>
      <c r="BY36" s="190"/>
      <c r="BZ36" s="149"/>
      <c r="CA36" s="149"/>
      <c r="CB36" s="149"/>
      <c r="CC36" s="149"/>
    </row>
    <row r="37" spans="1:81" ht="13.8" thickBot="1">
      <c r="A37" s="261" t="s">
        <v>678</v>
      </c>
      <c r="B37" s="546">
        <v>30</v>
      </c>
      <c r="C37" s="147" t="s">
        <v>32</v>
      </c>
      <c r="D37" s="147">
        <f>B37*0.000000001</f>
        <v>3.0000000000000004E-8</v>
      </c>
      <c r="E37" s="147" t="s">
        <v>679</v>
      </c>
      <c r="F37" s="235"/>
      <c r="G37" s="235"/>
      <c r="H37" s="147">
        <v>31</v>
      </c>
      <c r="I37" s="389">
        <f t="shared" si="0"/>
        <v>0.155</v>
      </c>
      <c r="J37" s="188"/>
      <c r="K37" s="188"/>
      <c r="L37" s="188"/>
      <c r="M37" s="188"/>
      <c r="N37" s="236"/>
      <c r="O37" s="149"/>
      <c r="P37" s="188"/>
      <c r="Q37" s="379"/>
      <c r="S37" s="237"/>
      <c r="T37" s="237"/>
      <c r="U37" s="237"/>
      <c r="AJ37" s="379"/>
      <c r="AZ37" s="238"/>
      <c r="BJ37" s="190"/>
      <c r="BK37" s="190"/>
      <c r="BL37" s="190"/>
      <c r="BO37" s="149"/>
      <c r="BP37" s="190"/>
      <c r="BQ37" s="239"/>
      <c r="BR37" s="240"/>
      <c r="BS37" s="190"/>
      <c r="BT37" s="240"/>
      <c r="BX37" s="190"/>
      <c r="BY37" s="190"/>
      <c r="BZ37" s="149"/>
      <c r="CA37" s="149"/>
      <c r="CB37" s="149"/>
      <c r="CC37" s="149"/>
    </row>
    <row r="38" spans="1:81" ht="13.8" thickBot="1">
      <c r="A38" s="273" t="s">
        <v>47</v>
      </c>
      <c r="B38" s="454">
        <v>1</v>
      </c>
      <c r="C38" s="250"/>
      <c r="D38" s="238">
        <f>B38</f>
        <v>1</v>
      </c>
      <c r="E38" s="148" t="s">
        <v>409</v>
      </c>
      <c r="H38" s="147">
        <v>32</v>
      </c>
      <c r="I38" s="389">
        <f t="shared" ref="I38:I69" si="2">IF(PLOT_TYPE=1, H38/100*Iout_max, min_I*EXP(H38*rr/100))</f>
        <v>0.16</v>
      </c>
      <c r="J38" s="188"/>
      <c r="K38" s="188"/>
      <c r="L38" s="188"/>
      <c r="M38" s="188"/>
      <c r="N38" s="236"/>
      <c r="O38" s="149"/>
      <c r="P38" s="188"/>
      <c r="Q38" s="379"/>
      <c r="S38" s="237"/>
      <c r="T38" s="237"/>
      <c r="U38" s="237"/>
      <c r="AJ38" s="379"/>
      <c r="AZ38" s="238"/>
      <c r="BJ38" s="190"/>
      <c r="BK38" s="190"/>
      <c r="BL38" s="190"/>
      <c r="BO38" s="149"/>
      <c r="BP38" s="190"/>
      <c r="BQ38" s="239"/>
      <c r="BR38" s="240"/>
      <c r="BS38" s="190"/>
      <c r="BT38" s="240"/>
      <c r="BX38" s="190"/>
      <c r="BY38" s="190"/>
      <c r="BZ38" s="149"/>
      <c r="CA38" s="149"/>
      <c r="CB38" s="149"/>
      <c r="CC38" s="149"/>
    </row>
    <row r="39" spans="1:81">
      <c r="A39" s="261" t="s">
        <v>24</v>
      </c>
      <c r="B39" s="274">
        <v>450</v>
      </c>
      <c r="C39" s="250" t="s">
        <v>265</v>
      </c>
      <c r="D39" s="252">
        <f>B39/1000000</f>
        <v>4.4999999999999999E-4</v>
      </c>
      <c r="E39" s="148" t="s">
        <v>775</v>
      </c>
      <c r="H39" s="147">
        <v>33</v>
      </c>
      <c r="I39" s="389">
        <f t="shared" si="2"/>
        <v>0.16500000000000001</v>
      </c>
      <c r="J39" s="188"/>
      <c r="K39" s="188"/>
      <c r="L39" s="188"/>
      <c r="M39" s="188"/>
      <c r="N39" s="236"/>
      <c r="O39" s="149"/>
      <c r="P39" s="188"/>
      <c r="Q39" s="379"/>
      <c r="S39" s="237"/>
      <c r="T39" s="237"/>
      <c r="U39" s="237"/>
      <c r="AJ39" s="379"/>
      <c r="AZ39" s="238"/>
      <c r="BJ39" s="190"/>
      <c r="BK39" s="190"/>
      <c r="BL39" s="190"/>
      <c r="BO39" s="149"/>
      <c r="BP39" s="190"/>
      <c r="BQ39" s="239"/>
      <c r="BR39" s="240"/>
      <c r="BS39" s="190"/>
      <c r="BT39" s="240"/>
      <c r="BX39" s="190"/>
      <c r="BY39" s="190"/>
      <c r="BZ39" s="149"/>
      <c r="CA39" s="149"/>
      <c r="CB39" s="149"/>
      <c r="CC39" s="149"/>
    </row>
    <row r="40" spans="1:81" ht="13.8" thickBot="1">
      <c r="A40" s="270" t="s">
        <v>391</v>
      </c>
      <c r="B40" s="275"/>
      <c r="C40" s="270" t="s">
        <v>33</v>
      </c>
      <c r="D40" s="270" t="s">
        <v>90</v>
      </c>
      <c r="E40" s="276" t="s">
        <v>41</v>
      </c>
      <c r="H40" s="147">
        <v>34</v>
      </c>
      <c r="I40" s="389">
        <f t="shared" si="2"/>
        <v>0.17</v>
      </c>
      <c r="J40" s="188"/>
      <c r="K40" s="188"/>
      <c r="L40" s="188"/>
      <c r="M40" s="188"/>
      <c r="N40" s="236"/>
      <c r="O40" s="149"/>
      <c r="P40" s="188"/>
      <c r="Q40" s="379"/>
      <c r="S40" s="237"/>
      <c r="T40" s="237"/>
      <c r="U40" s="237"/>
      <c r="AJ40" s="379"/>
      <c r="AZ40" s="238"/>
      <c r="BJ40" s="190"/>
      <c r="BK40" s="190"/>
      <c r="BL40" s="190"/>
      <c r="BO40" s="149"/>
      <c r="BP40" s="190"/>
      <c r="BQ40" s="239"/>
      <c r="BR40" s="240"/>
      <c r="BS40" s="190"/>
      <c r="BT40" s="240"/>
      <c r="BX40" s="190"/>
      <c r="BY40" s="190"/>
      <c r="BZ40" s="149"/>
      <c r="CA40" s="149"/>
      <c r="CB40" s="149"/>
      <c r="CC40" s="149"/>
    </row>
    <row r="41" spans="1:81">
      <c r="A41" s="277" t="s">
        <v>392</v>
      </c>
      <c r="B41" s="278">
        <f>RON</f>
        <v>3.4</v>
      </c>
      <c r="C41" s="244" t="s">
        <v>258</v>
      </c>
      <c r="D41" s="148">
        <f>B41/1000</f>
        <v>3.3999999999999998E-3</v>
      </c>
      <c r="E41" s="148" t="s">
        <v>396</v>
      </c>
      <c r="H41" s="147">
        <v>35</v>
      </c>
      <c r="I41" s="389">
        <f t="shared" si="2"/>
        <v>0.17499999999999999</v>
      </c>
      <c r="J41" s="188"/>
      <c r="K41" s="188"/>
      <c r="L41" s="188"/>
      <c r="M41" s="188"/>
      <c r="N41" s="236"/>
      <c r="O41" s="149"/>
      <c r="P41" s="188"/>
      <c r="Q41" s="379"/>
      <c r="S41" s="237"/>
      <c r="T41" s="237"/>
      <c r="U41" s="237"/>
      <c r="AJ41" s="379"/>
      <c r="AZ41" s="238"/>
      <c r="BJ41" s="190"/>
      <c r="BK41" s="190"/>
      <c r="BL41" s="190"/>
      <c r="BO41" s="149"/>
      <c r="BP41" s="190"/>
      <c r="BQ41" s="239"/>
      <c r="BR41" s="240"/>
      <c r="BS41" s="190"/>
      <c r="BT41" s="240"/>
      <c r="BX41" s="190"/>
      <c r="BY41" s="190"/>
      <c r="BZ41" s="149"/>
      <c r="CA41" s="149"/>
      <c r="CB41" s="149"/>
      <c r="CC41" s="149"/>
    </row>
    <row r="42" spans="1:81" ht="13.8" thickBot="1">
      <c r="A42" s="147" t="s">
        <v>668</v>
      </c>
      <c r="B42" s="147">
        <v>4500</v>
      </c>
      <c r="C42" s="543" t="s">
        <v>669</v>
      </c>
      <c r="D42" s="148">
        <f>B42/1000000</f>
        <v>4.4999999999999997E-3</v>
      </c>
      <c r="E42" s="544" t="s">
        <v>670</v>
      </c>
      <c r="H42" s="147">
        <v>36</v>
      </c>
      <c r="I42" s="389">
        <f t="shared" si="2"/>
        <v>0.18</v>
      </c>
      <c r="J42" s="188"/>
      <c r="K42" s="188"/>
      <c r="L42" s="188"/>
      <c r="M42" s="188"/>
      <c r="N42" s="236"/>
      <c r="O42" s="149"/>
      <c r="P42" s="188"/>
      <c r="Q42" s="379"/>
      <c r="S42" s="237"/>
      <c r="T42" s="237"/>
      <c r="U42" s="237"/>
      <c r="AJ42" s="379"/>
      <c r="AZ42" s="238"/>
      <c r="BJ42" s="190"/>
      <c r="BK42" s="190"/>
      <c r="BL42" s="190"/>
      <c r="BO42" s="149"/>
      <c r="BP42" s="190"/>
      <c r="BQ42" s="239"/>
      <c r="BR42" s="240"/>
      <c r="BS42" s="190"/>
      <c r="BT42" s="240"/>
      <c r="BX42" s="190"/>
      <c r="BY42" s="190"/>
      <c r="BZ42" s="149"/>
      <c r="CA42" s="149"/>
      <c r="CB42" s="149"/>
      <c r="CC42" s="149"/>
    </row>
    <row r="43" spans="1:81" ht="13.8" thickBot="1">
      <c r="A43" s="261" t="s">
        <v>266</v>
      </c>
      <c r="B43" s="279"/>
      <c r="C43" s="147" t="s">
        <v>267</v>
      </c>
      <c r="D43" s="148"/>
      <c r="E43" s="148" t="s">
        <v>266</v>
      </c>
      <c r="H43" s="147">
        <v>37</v>
      </c>
      <c r="I43" s="389">
        <f t="shared" si="2"/>
        <v>0.185</v>
      </c>
      <c r="J43" s="188"/>
      <c r="K43" s="188"/>
      <c r="L43" s="188"/>
      <c r="M43" s="188"/>
      <c r="N43" s="236"/>
      <c r="O43" s="149"/>
      <c r="P43" s="188"/>
      <c r="Q43" s="379"/>
      <c r="S43" s="237"/>
      <c r="T43" s="237"/>
      <c r="U43" s="237"/>
      <c r="AJ43" s="379"/>
      <c r="AZ43" s="238"/>
      <c r="BJ43" s="190"/>
      <c r="BK43" s="190"/>
      <c r="BL43" s="190"/>
      <c r="BO43" s="149"/>
      <c r="BP43" s="190"/>
      <c r="BQ43" s="239"/>
      <c r="BR43" s="240"/>
      <c r="BS43" s="190"/>
      <c r="BT43" s="240"/>
      <c r="BX43" s="190"/>
      <c r="BY43" s="190"/>
      <c r="BZ43" s="149"/>
      <c r="CA43" s="149"/>
      <c r="CB43" s="149"/>
      <c r="CC43" s="149"/>
    </row>
    <row r="44" spans="1:81" ht="13.8" thickBot="1">
      <c r="A44" s="261" t="s">
        <v>393</v>
      </c>
      <c r="B44" s="278">
        <f>'Design Converter'!L24</f>
        <v>45.8</v>
      </c>
      <c r="C44" s="250" t="s">
        <v>31</v>
      </c>
      <c r="D44" s="148">
        <f>B44/1000000000</f>
        <v>4.58E-8</v>
      </c>
      <c r="E44" s="148" t="s">
        <v>395</v>
      </c>
      <c r="H44" s="147">
        <v>38</v>
      </c>
      <c r="I44" s="389">
        <f t="shared" si="2"/>
        <v>0.19</v>
      </c>
      <c r="J44" s="188"/>
      <c r="K44" s="188"/>
      <c r="L44" s="188"/>
      <c r="M44" s="188"/>
      <c r="N44" s="236"/>
      <c r="O44" s="149"/>
      <c r="P44" s="188"/>
      <c r="Q44" s="379"/>
      <c r="S44" s="237"/>
      <c r="T44" s="237"/>
      <c r="U44" s="237"/>
      <c r="AJ44" s="379"/>
      <c r="AZ44" s="238"/>
      <c r="BJ44" s="190"/>
      <c r="BK44" s="190"/>
      <c r="BL44" s="190"/>
      <c r="BO44" s="149"/>
      <c r="BP44" s="190"/>
      <c r="BQ44" s="239"/>
      <c r="BR44" s="240"/>
      <c r="BS44" s="190"/>
      <c r="BT44" s="240"/>
      <c r="BX44" s="190"/>
      <c r="BY44" s="190"/>
      <c r="BZ44" s="149"/>
      <c r="CA44" s="149"/>
      <c r="CB44" s="149"/>
      <c r="CC44" s="149"/>
    </row>
    <row r="45" spans="1:81" ht="13.8" thickBot="1">
      <c r="A45" s="261" t="s">
        <v>240</v>
      </c>
      <c r="B45" s="278">
        <f>'Design Converter'!L25</f>
        <v>1270</v>
      </c>
      <c r="C45" s="250" t="s">
        <v>15</v>
      </c>
      <c r="D45" s="280">
        <f>B45/1000000000000</f>
        <v>1.27E-9</v>
      </c>
      <c r="E45" s="148" t="s">
        <v>326</v>
      </c>
      <c r="H45" s="147">
        <v>39</v>
      </c>
      <c r="I45" s="389">
        <f t="shared" si="2"/>
        <v>0.19500000000000001</v>
      </c>
      <c r="J45" s="188"/>
      <c r="K45" s="188"/>
      <c r="L45" s="188"/>
      <c r="M45" s="188"/>
      <c r="N45" s="236"/>
      <c r="O45" s="149"/>
      <c r="P45" s="188"/>
      <c r="Q45" s="379"/>
      <c r="S45" s="237"/>
      <c r="T45" s="237"/>
      <c r="U45" s="237"/>
      <c r="AJ45" s="379"/>
      <c r="AZ45" s="238"/>
      <c r="BJ45" s="190"/>
      <c r="BK45" s="190"/>
      <c r="BL45" s="190"/>
      <c r="BO45" s="149"/>
      <c r="BP45" s="190"/>
      <c r="BQ45" s="239"/>
      <c r="BR45" s="240"/>
      <c r="BS45" s="190"/>
      <c r="BT45" s="240"/>
      <c r="BX45" s="190"/>
      <c r="BY45" s="190"/>
      <c r="BZ45" s="149"/>
      <c r="CA45" s="149"/>
      <c r="CB45" s="149"/>
      <c r="CC45" s="149"/>
    </row>
    <row r="46" spans="1:81">
      <c r="A46" s="277" t="s">
        <v>325</v>
      </c>
      <c r="B46" s="278">
        <f>CHOOSE(MODE, 50, 100)</f>
        <v>100</v>
      </c>
      <c r="C46" s="250" t="s">
        <v>15</v>
      </c>
      <c r="D46" s="252">
        <f>B46/1000000000000</f>
        <v>1E-10</v>
      </c>
      <c r="E46" s="148" t="s">
        <v>472</v>
      </c>
      <c r="H46" s="147">
        <v>40</v>
      </c>
      <c r="I46" s="389">
        <f t="shared" si="2"/>
        <v>0.2</v>
      </c>
      <c r="J46" s="188"/>
      <c r="K46" s="188"/>
      <c r="L46" s="188"/>
      <c r="M46" s="188"/>
      <c r="N46" s="236"/>
      <c r="O46" s="149"/>
      <c r="P46" s="188"/>
      <c r="Q46" s="379"/>
      <c r="S46" s="237"/>
      <c r="T46" s="237"/>
      <c r="U46" s="237"/>
      <c r="AJ46" s="379"/>
      <c r="AZ46" s="238"/>
      <c r="BJ46" s="190"/>
      <c r="BK46" s="190"/>
      <c r="BL46" s="190"/>
      <c r="BO46" s="149"/>
      <c r="BP46" s="190"/>
      <c r="BQ46" s="239"/>
      <c r="BR46" s="240"/>
      <c r="BS46" s="190"/>
      <c r="BT46" s="240"/>
      <c r="BX46" s="190"/>
      <c r="BY46" s="190"/>
      <c r="BZ46" s="149"/>
      <c r="CA46" s="149"/>
      <c r="CB46" s="149"/>
      <c r="CC46" s="149"/>
    </row>
    <row r="47" spans="1:81" ht="13.8" thickBot="1">
      <c r="A47" s="270" t="s">
        <v>397</v>
      </c>
      <c r="B47" s="281"/>
      <c r="C47" s="270" t="s">
        <v>33</v>
      </c>
      <c r="D47" s="270" t="s">
        <v>90</v>
      </c>
      <c r="E47" s="282" t="s">
        <v>41</v>
      </c>
      <c r="H47" s="147">
        <v>41</v>
      </c>
      <c r="I47" s="389">
        <f t="shared" si="2"/>
        <v>0.20499999999999999</v>
      </c>
      <c r="J47" s="188"/>
      <c r="K47" s="188"/>
      <c r="L47" s="188"/>
      <c r="M47" s="188"/>
      <c r="N47" s="236"/>
      <c r="O47" s="149"/>
      <c r="P47" s="188"/>
      <c r="Q47" s="379"/>
      <c r="S47" s="237"/>
      <c r="T47" s="237"/>
      <c r="U47" s="237"/>
      <c r="AJ47" s="379"/>
      <c r="AZ47" s="238"/>
      <c r="BJ47" s="190"/>
      <c r="BK47" s="190"/>
      <c r="BL47" s="190"/>
      <c r="BO47" s="149"/>
      <c r="BP47" s="190"/>
      <c r="BQ47" s="239"/>
      <c r="BR47" s="240"/>
      <c r="BS47" s="190"/>
      <c r="BT47" s="240"/>
      <c r="BX47" s="190"/>
      <c r="BY47" s="190"/>
      <c r="BZ47" s="149"/>
      <c r="CA47" s="149"/>
      <c r="CB47" s="149"/>
      <c r="CC47" s="149"/>
    </row>
    <row r="48" spans="1:81" ht="13.8" thickBot="1">
      <c r="A48" s="277" t="s">
        <v>644</v>
      </c>
      <c r="B48" s="278">
        <f>'Design Converter'!E80</f>
        <v>0.7</v>
      </c>
      <c r="C48" s="148" t="s">
        <v>0</v>
      </c>
      <c r="D48" s="148">
        <f>B48</f>
        <v>0.7</v>
      </c>
      <c r="E48" s="148" t="s">
        <v>643</v>
      </c>
      <c r="H48" s="147">
        <v>42</v>
      </c>
      <c r="I48" s="389">
        <f t="shared" si="2"/>
        <v>0.21</v>
      </c>
      <c r="J48" s="188"/>
      <c r="K48" s="188"/>
      <c r="L48" s="188"/>
      <c r="M48" s="188"/>
      <c r="N48" s="236"/>
      <c r="O48" s="149"/>
      <c r="P48" s="188"/>
      <c r="Q48" s="379"/>
      <c r="S48" s="237"/>
      <c r="T48" s="237"/>
      <c r="U48" s="237"/>
      <c r="AJ48" s="379"/>
      <c r="AZ48" s="238"/>
      <c r="BJ48" s="190"/>
      <c r="BK48" s="190"/>
      <c r="BL48" s="190"/>
      <c r="BO48" s="149"/>
      <c r="BP48" s="190"/>
      <c r="BQ48" s="239"/>
      <c r="BR48" s="240"/>
      <c r="BS48" s="190"/>
      <c r="BT48" s="240"/>
      <c r="BX48" s="190"/>
      <c r="BY48" s="190"/>
      <c r="BZ48" s="149"/>
      <c r="CA48" s="149"/>
      <c r="CB48" s="149"/>
      <c r="CC48" s="149"/>
    </row>
    <row r="49" spans="1:81" ht="13.8" thickBot="1">
      <c r="A49" s="277" t="s">
        <v>645</v>
      </c>
      <c r="B49" s="278">
        <f>'Design Converter'!E81</f>
        <v>2.5</v>
      </c>
      <c r="C49" s="148" t="s">
        <v>0</v>
      </c>
      <c r="D49" s="148">
        <f>B49</f>
        <v>2.5</v>
      </c>
      <c r="E49" s="148" t="s">
        <v>642</v>
      </c>
      <c r="H49" s="147">
        <v>43</v>
      </c>
      <c r="I49" s="389">
        <f t="shared" si="2"/>
        <v>0.215</v>
      </c>
      <c r="J49" s="188"/>
      <c r="K49" s="188"/>
      <c r="L49" s="188"/>
      <c r="M49" s="188"/>
      <c r="N49" s="236"/>
      <c r="O49" s="149"/>
      <c r="P49" s="188"/>
      <c r="Q49" s="379"/>
      <c r="S49" s="237"/>
      <c r="T49" s="237"/>
      <c r="U49" s="237"/>
      <c r="AJ49" s="379"/>
      <c r="AZ49" s="238"/>
      <c r="BJ49" s="190"/>
      <c r="BK49" s="190"/>
      <c r="BL49" s="190"/>
      <c r="BO49" s="149"/>
      <c r="BP49" s="190"/>
      <c r="BQ49" s="239"/>
      <c r="BR49" s="240"/>
      <c r="BS49" s="190"/>
      <c r="BT49" s="240"/>
      <c r="BX49" s="190"/>
      <c r="BY49" s="190"/>
      <c r="BZ49" s="149"/>
      <c r="CA49" s="149"/>
      <c r="CB49" s="149"/>
      <c r="CC49" s="149"/>
    </row>
    <row r="50" spans="1:81" ht="13.8" thickBot="1">
      <c r="A50" s="277" t="s">
        <v>268</v>
      </c>
      <c r="B50" s="278">
        <v>100</v>
      </c>
      <c r="C50" s="244" t="s">
        <v>258</v>
      </c>
      <c r="D50" s="148">
        <f>B50*0.001</f>
        <v>0.1</v>
      </c>
      <c r="E50" s="148" t="s">
        <v>269</v>
      </c>
      <c r="H50" s="147">
        <v>44</v>
      </c>
      <c r="I50" s="389">
        <f t="shared" si="2"/>
        <v>0.22</v>
      </c>
      <c r="J50" s="188"/>
      <c r="K50" s="188"/>
      <c r="L50" s="188"/>
      <c r="M50" s="188"/>
      <c r="N50" s="236"/>
      <c r="O50" s="149"/>
      <c r="P50" s="188"/>
      <c r="Q50" s="379"/>
      <c r="S50" s="237"/>
      <c r="T50" s="237"/>
      <c r="U50" s="237"/>
      <c r="AJ50" s="379"/>
      <c r="AZ50" s="238"/>
      <c r="BJ50" s="190"/>
      <c r="BK50" s="190"/>
      <c r="BL50" s="190"/>
      <c r="BO50" s="149"/>
      <c r="BP50" s="190"/>
      <c r="BQ50" s="239"/>
      <c r="BR50" s="240"/>
      <c r="BS50" s="190"/>
      <c r="BT50" s="240"/>
      <c r="BX50" s="190"/>
      <c r="BY50" s="190"/>
      <c r="BZ50" s="149"/>
      <c r="CA50" s="149"/>
      <c r="CB50" s="149"/>
      <c r="CC50" s="149"/>
    </row>
    <row r="51" spans="1:81" ht="13.8" thickBot="1">
      <c r="A51" s="261" t="s">
        <v>400</v>
      </c>
      <c r="B51" s="278">
        <v>2</v>
      </c>
      <c r="C51" s="250" t="s">
        <v>31</v>
      </c>
      <c r="D51" s="252">
        <f>B51*0.000000001</f>
        <v>2.0000000000000001E-9</v>
      </c>
      <c r="E51" s="148" t="s">
        <v>270</v>
      </c>
      <c r="H51" s="147">
        <v>45</v>
      </c>
      <c r="I51" s="389">
        <f t="shared" si="2"/>
        <v>0.22500000000000001</v>
      </c>
      <c r="J51" s="188"/>
      <c r="K51" s="188"/>
      <c r="L51" s="188"/>
      <c r="M51" s="188"/>
      <c r="N51" s="236"/>
      <c r="O51" s="149"/>
      <c r="P51" s="188"/>
      <c r="Q51" s="379"/>
      <c r="S51" s="237"/>
      <c r="T51" s="237"/>
      <c r="U51" s="237"/>
      <c r="AJ51" s="379"/>
      <c r="AZ51" s="238"/>
      <c r="BJ51" s="190"/>
      <c r="BK51" s="190"/>
      <c r="BL51" s="190"/>
      <c r="BO51" s="149"/>
      <c r="BP51" s="190"/>
      <c r="BQ51" s="239"/>
      <c r="BR51" s="240"/>
      <c r="BS51" s="190"/>
      <c r="BT51" s="240"/>
      <c r="BX51" s="190"/>
      <c r="BY51" s="190"/>
      <c r="BZ51" s="149"/>
      <c r="CA51" s="149"/>
      <c r="CB51" s="149"/>
      <c r="CC51" s="149"/>
    </row>
    <row r="52" spans="1:81" ht="13.8" thickBot="1">
      <c r="A52" s="261" t="s">
        <v>401</v>
      </c>
      <c r="B52" s="278">
        <v>10</v>
      </c>
      <c r="C52" s="250" t="s">
        <v>32</v>
      </c>
      <c r="D52" s="252">
        <f>B52*0.000000001</f>
        <v>1E-8</v>
      </c>
      <c r="E52" s="148" t="s">
        <v>271</v>
      </c>
      <c r="H52" s="147">
        <v>46</v>
      </c>
      <c r="I52" s="389">
        <f t="shared" si="2"/>
        <v>0.23</v>
      </c>
      <c r="J52" s="188"/>
      <c r="K52" s="188"/>
      <c r="L52" s="188"/>
      <c r="M52" s="188"/>
      <c r="N52" s="236"/>
      <c r="O52" s="149"/>
      <c r="P52" s="188"/>
      <c r="Q52" s="379"/>
      <c r="S52" s="237"/>
      <c r="T52" s="237"/>
      <c r="U52" s="237"/>
      <c r="AJ52" s="379"/>
      <c r="AZ52" s="238"/>
      <c r="BJ52" s="190"/>
      <c r="BK52" s="190"/>
      <c r="BL52" s="190"/>
      <c r="BO52" s="149"/>
      <c r="BP52" s="190"/>
      <c r="BQ52" s="239"/>
      <c r="BR52" s="240"/>
      <c r="BS52" s="190"/>
      <c r="BT52" s="240"/>
      <c r="BX52" s="190"/>
      <c r="BY52" s="190"/>
      <c r="BZ52" s="149"/>
      <c r="CA52" s="149"/>
      <c r="CB52" s="149"/>
      <c r="CC52" s="149"/>
    </row>
    <row r="53" spans="1:81">
      <c r="A53" s="277" t="s">
        <v>488</v>
      </c>
      <c r="B53" s="278">
        <v>0</v>
      </c>
      <c r="C53" s="148" t="s">
        <v>272</v>
      </c>
      <c r="D53" s="252">
        <f>B53/1000000</f>
        <v>0</v>
      </c>
      <c r="E53" s="148" t="s">
        <v>273</v>
      </c>
      <c r="H53" s="147">
        <v>47</v>
      </c>
      <c r="I53" s="389">
        <f t="shared" si="2"/>
        <v>0.23499999999999999</v>
      </c>
      <c r="J53" s="188"/>
      <c r="K53" s="188"/>
      <c r="L53" s="188"/>
      <c r="M53" s="188"/>
      <c r="N53" s="236"/>
      <c r="O53" s="149"/>
      <c r="P53" s="188"/>
      <c r="Q53" s="379"/>
      <c r="S53" s="237"/>
      <c r="T53" s="237"/>
      <c r="U53" s="237"/>
      <c r="AJ53" s="379"/>
      <c r="AZ53" s="238"/>
      <c r="BJ53" s="190"/>
      <c r="BK53" s="190"/>
      <c r="BL53" s="190"/>
      <c r="BO53" s="149"/>
      <c r="BP53" s="190"/>
      <c r="BQ53" s="239"/>
      <c r="BR53" s="240"/>
      <c r="BS53" s="190"/>
      <c r="BT53" s="240"/>
      <c r="BX53" s="190"/>
      <c r="BY53" s="190"/>
      <c r="BZ53" s="149"/>
      <c r="CA53" s="149"/>
      <c r="CB53" s="149"/>
      <c r="CC53" s="149"/>
    </row>
    <row r="54" spans="1:81">
      <c r="A54" s="147" t="s">
        <v>672</v>
      </c>
      <c r="B54" s="172">
        <f>'Design Converter'!E82</f>
        <v>52.8</v>
      </c>
      <c r="C54" s="543" t="s">
        <v>84</v>
      </c>
      <c r="D54" s="172">
        <f>B54</f>
        <v>52.8</v>
      </c>
      <c r="E54" s="147" t="s">
        <v>671</v>
      </c>
      <c r="H54" s="147">
        <v>48</v>
      </c>
      <c r="I54" s="389">
        <f t="shared" si="2"/>
        <v>0.24</v>
      </c>
      <c r="J54" s="188"/>
      <c r="K54" s="188"/>
      <c r="L54" s="188"/>
      <c r="M54" s="188"/>
      <c r="N54" s="236"/>
      <c r="O54" s="149"/>
      <c r="P54" s="188"/>
      <c r="Q54" s="379"/>
      <c r="S54" s="237"/>
      <c r="T54" s="237"/>
      <c r="U54" s="237"/>
      <c r="AJ54" s="379"/>
      <c r="AZ54" s="238"/>
      <c r="BJ54" s="190"/>
      <c r="BK54" s="190"/>
      <c r="BL54" s="190"/>
      <c r="BO54" s="149"/>
      <c r="BP54" s="190"/>
      <c r="BQ54" s="239"/>
      <c r="BR54" s="240"/>
      <c r="BS54" s="190"/>
      <c r="BT54" s="240"/>
      <c r="BX54" s="190"/>
      <c r="BY54" s="190"/>
      <c r="BZ54" s="149"/>
      <c r="CA54" s="149"/>
      <c r="CB54" s="149"/>
      <c r="CC54" s="149"/>
    </row>
    <row r="55" spans="1:81">
      <c r="H55" s="147">
        <v>49</v>
      </c>
      <c r="I55" s="389">
        <f t="shared" si="2"/>
        <v>0.245</v>
      </c>
      <c r="J55" s="188"/>
      <c r="K55" s="188"/>
      <c r="L55" s="188"/>
      <c r="M55" s="188"/>
      <c r="N55" s="236"/>
      <c r="O55" s="149"/>
      <c r="P55" s="188"/>
      <c r="Q55" s="379"/>
      <c r="S55" s="237"/>
      <c r="T55" s="237"/>
      <c r="U55" s="237"/>
      <c r="AJ55" s="379"/>
      <c r="AZ55" s="238"/>
      <c r="BJ55" s="190"/>
      <c r="BK55" s="190"/>
      <c r="BL55" s="190"/>
      <c r="BO55" s="149"/>
      <c r="BP55" s="190"/>
      <c r="BQ55" s="239"/>
      <c r="BR55" s="240"/>
      <c r="BS55" s="190"/>
      <c r="BT55" s="240"/>
      <c r="BX55" s="190"/>
      <c r="BY55" s="190"/>
      <c r="BZ55" s="149"/>
      <c r="CA55" s="149"/>
      <c r="CB55" s="149"/>
      <c r="CC55" s="149"/>
    </row>
    <row r="56" spans="1:81">
      <c r="H56" s="147">
        <v>50</v>
      </c>
      <c r="I56" s="389">
        <f t="shared" si="2"/>
        <v>0.25</v>
      </c>
      <c r="J56" s="188"/>
      <c r="K56" s="188"/>
      <c r="L56" s="188"/>
      <c r="M56" s="188"/>
      <c r="N56" s="236"/>
      <c r="O56" s="149"/>
      <c r="P56" s="188"/>
      <c r="Q56" s="379"/>
      <c r="S56" s="237"/>
      <c r="T56" s="237"/>
      <c r="U56" s="237"/>
      <c r="AJ56" s="379"/>
      <c r="AZ56" s="238"/>
      <c r="BJ56" s="190"/>
      <c r="BK56" s="190"/>
      <c r="BL56" s="190"/>
      <c r="BO56" s="149"/>
      <c r="BP56" s="190"/>
      <c r="BQ56" s="239"/>
      <c r="BR56" s="240"/>
      <c r="BS56" s="190"/>
      <c r="BT56" s="240"/>
      <c r="BX56" s="190"/>
      <c r="BY56" s="190"/>
      <c r="BZ56" s="149"/>
      <c r="CA56" s="149"/>
      <c r="CB56" s="149"/>
      <c r="CC56" s="149"/>
    </row>
    <row r="57" spans="1:81">
      <c r="H57" s="147">
        <v>51</v>
      </c>
      <c r="I57" s="389">
        <f t="shared" si="2"/>
        <v>0.255</v>
      </c>
      <c r="J57" s="188"/>
      <c r="K57" s="188"/>
      <c r="L57" s="188"/>
      <c r="M57" s="188"/>
      <c r="N57" s="236"/>
      <c r="O57" s="149"/>
      <c r="P57" s="188"/>
      <c r="Q57" s="379"/>
      <c r="S57" s="237"/>
      <c r="T57" s="237"/>
      <c r="U57" s="237"/>
      <c r="AJ57" s="379"/>
      <c r="AZ57" s="238"/>
      <c r="BJ57" s="190"/>
      <c r="BK57" s="190"/>
      <c r="BL57" s="190"/>
      <c r="BO57" s="149"/>
      <c r="BP57" s="190"/>
      <c r="BQ57" s="239"/>
      <c r="BR57" s="240"/>
      <c r="BS57" s="190"/>
      <c r="BT57" s="240"/>
      <c r="BX57" s="190"/>
      <c r="BY57" s="190"/>
      <c r="BZ57" s="149"/>
      <c r="CA57" s="149"/>
      <c r="CB57" s="149"/>
      <c r="CC57" s="149"/>
    </row>
    <row r="58" spans="1:81">
      <c r="H58" s="147">
        <v>52</v>
      </c>
      <c r="I58" s="389">
        <f t="shared" si="2"/>
        <v>0.26</v>
      </c>
      <c r="J58" s="188"/>
      <c r="K58" s="188"/>
      <c r="L58" s="188"/>
      <c r="M58" s="188"/>
      <c r="N58" s="236"/>
      <c r="O58" s="149"/>
      <c r="P58" s="188"/>
      <c r="Q58" s="379"/>
      <c r="S58" s="237"/>
      <c r="T58" s="237"/>
      <c r="U58" s="237"/>
      <c r="AJ58" s="379"/>
      <c r="AZ58" s="238"/>
      <c r="BJ58" s="190"/>
      <c r="BK58" s="190"/>
      <c r="BL58" s="190"/>
      <c r="BO58" s="149"/>
      <c r="BP58" s="190"/>
      <c r="BQ58" s="239"/>
      <c r="BR58" s="240"/>
      <c r="BS58" s="190"/>
      <c r="BT58" s="240"/>
      <c r="BX58" s="190"/>
      <c r="BY58" s="190"/>
      <c r="BZ58" s="149"/>
      <c r="CA58" s="149"/>
      <c r="CB58" s="149"/>
      <c r="CC58" s="149"/>
    </row>
    <row r="59" spans="1:81">
      <c r="H59" s="147">
        <v>53</v>
      </c>
      <c r="I59" s="389">
        <f t="shared" si="2"/>
        <v>0.26500000000000001</v>
      </c>
      <c r="J59" s="188"/>
      <c r="K59" s="188"/>
      <c r="L59" s="188"/>
      <c r="M59" s="188"/>
      <c r="N59" s="236"/>
      <c r="O59" s="149"/>
      <c r="P59" s="188"/>
      <c r="Q59" s="379"/>
      <c r="S59" s="237"/>
      <c r="T59" s="237"/>
      <c r="U59" s="237"/>
      <c r="AJ59" s="379"/>
      <c r="AZ59" s="238"/>
      <c r="BJ59" s="190"/>
      <c r="BK59" s="190"/>
      <c r="BL59" s="190"/>
      <c r="BO59" s="149"/>
      <c r="BP59" s="190"/>
      <c r="BQ59" s="239"/>
      <c r="BR59" s="240"/>
      <c r="BS59" s="190"/>
      <c r="BT59" s="240"/>
      <c r="BX59" s="190"/>
      <c r="BY59" s="190"/>
      <c r="BZ59" s="149"/>
      <c r="CA59" s="149"/>
      <c r="CB59" s="149"/>
      <c r="CC59" s="149"/>
    </row>
    <row r="60" spans="1:81">
      <c r="H60" s="147">
        <v>54</v>
      </c>
      <c r="I60" s="389">
        <f t="shared" si="2"/>
        <v>0.27</v>
      </c>
      <c r="J60" s="188"/>
      <c r="K60" s="188"/>
      <c r="L60" s="188"/>
      <c r="M60" s="188"/>
      <c r="N60" s="236"/>
      <c r="O60" s="149"/>
      <c r="P60" s="188"/>
      <c r="Q60" s="379"/>
      <c r="S60" s="237"/>
      <c r="T60" s="237"/>
      <c r="U60" s="237"/>
      <c r="AJ60" s="379"/>
      <c r="AZ60" s="238"/>
      <c r="BJ60" s="190"/>
      <c r="BK60" s="190"/>
      <c r="BL60" s="190"/>
      <c r="BO60" s="149"/>
      <c r="BP60" s="190"/>
      <c r="BQ60" s="239"/>
      <c r="BR60" s="240"/>
      <c r="BS60" s="190"/>
      <c r="BT60" s="240"/>
      <c r="BX60" s="190"/>
      <c r="BY60" s="190"/>
      <c r="BZ60" s="149"/>
      <c r="CA60" s="149"/>
      <c r="CB60" s="149"/>
      <c r="CC60" s="149"/>
    </row>
    <row r="61" spans="1:81">
      <c r="H61" s="147">
        <v>55</v>
      </c>
      <c r="I61" s="389">
        <f t="shared" si="2"/>
        <v>0.27500000000000002</v>
      </c>
      <c r="J61" s="188"/>
      <c r="K61" s="188"/>
      <c r="L61" s="188"/>
      <c r="M61" s="188"/>
      <c r="N61" s="236"/>
      <c r="O61" s="149"/>
      <c r="P61" s="188"/>
      <c r="Q61" s="379"/>
      <c r="S61" s="237"/>
      <c r="T61" s="237"/>
      <c r="U61" s="237"/>
      <c r="AJ61" s="379"/>
      <c r="AZ61" s="238"/>
      <c r="BJ61" s="190"/>
      <c r="BK61" s="190"/>
      <c r="BL61" s="190"/>
      <c r="BO61" s="149"/>
      <c r="BP61" s="190"/>
      <c r="BQ61" s="239"/>
      <c r="BR61" s="240"/>
      <c r="BS61" s="190"/>
      <c r="BT61" s="240"/>
      <c r="BX61" s="190"/>
      <c r="BY61" s="190"/>
      <c r="BZ61" s="149"/>
      <c r="CA61" s="149"/>
      <c r="CB61" s="149"/>
      <c r="CC61" s="149"/>
    </row>
    <row r="62" spans="1:81">
      <c r="H62" s="147">
        <v>56</v>
      </c>
      <c r="I62" s="389">
        <f t="shared" si="2"/>
        <v>0.28000000000000003</v>
      </c>
      <c r="J62" s="188"/>
      <c r="K62" s="188"/>
      <c r="L62" s="188"/>
      <c r="M62" s="188"/>
      <c r="N62" s="236"/>
      <c r="O62" s="149"/>
      <c r="P62" s="188"/>
      <c r="Q62" s="379"/>
      <c r="S62" s="237"/>
      <c r="T62" s="237"/>
      <c r="U62" s="237"/>
      <c r="AJ62" s="379"/>
      <c r="AZ62" s="238"/>
      <c r="BJ62" s="190"/>
      <c r="BK62" s="190"/>
      <c r="BL62" s="190"/>
      <c r="BO62" s="149"/>
      <c r="BP62" s="190"/>
      <c r="BQ62" s="239"/>
      <c r="BR62" s="240"/>
      <c r="BS62" s="190"/>
      <c r="BT62" s="240"/>
      <c r="BX62" s="190"/>
      <c r="BY62" s="190"/>
      <c r="BZ62" s="149"/>
      <c r="CA62" s="149"/>
      <c r="CB62" s="149"/>
      <c r="CC62" s="149"/>
    </row>
    <row r="63" spans="1:81">
      <c r="F63" s="260" t="s">
        <v>274</v>
      </c>
      <c r="G63" s="260" t="s">
        <v>275</v>
      </c>
      <c r="H63" s="147">
        <v>57</v>
      </c>
      <c r="I63" s="389">
        <f t="shared" si="2"/>
        <v>0.28499999999999998</v>
      </c>
      <c r="J63" s="188"/>
      <c r="K63" s="188"/>
      <c r="L63" s="188"/>
      <c r="M63" s="188"/>
      <c r="N63" s="236"/>
      <c r="O63" s="149"/>
      <c r="P63" s="188"/>
      <c r="Q63" s="379"/>
      <c r="S63" s="237"/>
      <c r="T63" s="237"/>
      <c r="U63" s="237"/>
      <c r="AJ63" s="379"/>
      <c r="AZ63" s="238"/>
      <c r="BJ63" s="190"/>
      <c r="BK63" s="190"/>
      <c r="BL63" s="190"/>
      <c r="BO63" s="149"/>
      <c r="BP63" s="190"/>
      <c r="BQ63" s="239"/>
      <c r="BR63" s="240"/>
      <c r="BS63" s="190"/>
      <c r="BT63" s="240"/>
      <c r="BX63" s="190"/>
      <c r="BY63" s="190"/>
      <c r="BZ63" s="149"/>
      <c r="CA63" s="149"/>
      <c r="CB63" s="149"/>
      <c r="CC63" s="149"/>
    </row>
    <row r="64" spans="1:81">
      <c r="F64" s="283">
        <f>BM56</f>
        <v>0</v>
      </c>
      <c r="G64" s="284">
        <f>I56*1000</f>
        <v>250</v>
      </c>
      <c r="H64" s="147">
        <v>58</v>
      </c>
      <c r="I64" s="389">
        <f t="shared" si="2"/>
        <v>0.28999999999999998</v>
      </c>
      <c r="J64" s="188"/>
      <c r="K64" s="188"/>
      <c r="L64" s="188"/>
      <c r="M64" s="188"/>
      <c r="N64" s="236"/>
      <c r="O64" s="149"/>
      <c r="P64" s="188"/>
      <c r="Q64" s="379"/>
      <c r="S64" s="237"/>
      <c r="T64" s="237"/>
      <c r="U64" s="237"/>
      <c r="AJ64" s="379"/>
      <c r="AZ64" s="238"/>
      <c r="BJ64" s="190"/>
      <c r="BK64" s="190"/>
      <c r="BL64" s="190"/>
      <c r="BO64" s="149"/>
      <c r="BP64" s="190"/>
      <c r="BQ64" s="239"/>
      <c r="BR64" s="240"/>
      <c r="BS64" s="190"/>
      <c r="BT64" s="240"/>
      <c r="BX64" s="190"/>
      <c r="BY64" s="190"/>
      <c r="BZ64" s="149"/>
      <c r="CA64" s="149"/>
      <c r="CB64" s="149"/>
      <c r="CC64" s="149"/>
    </row>
    <row r="65" spans="6:81">
      <c r="F65" s="283">
        <f>BM81</f>
        <v>0</v>
      </c>
      <c r="G65" s="284">
        <f>I81*1000</f>
        <v>375</v>
      </c>
      <c r="H65" s="147">
        <v>59</v>
      </c>
      <c r="I65" s="389">
        <f t="shared" si="2"/>
        <v>0.29499999999999998</v>
      </c>
      <c r="J65" s="188"/>
      <c r="K65" s="188"/>
      <c r="L65" s="188"/>
      <c r="M65" s="188"/>
      <c r="N65" s="236"/>
      <c r="O65" s="149"/>
      <c r="P65" s="188"/>
      <c r="Q65" s="379"/>
      <c r="S65" s="237"/>
      <c r="T65" s="237"/>
      <c r="U65" s="237"/>
      <c r="AJ65" s="379"/>
      <c r="AZ65" s="238"/>
      <c r="BJ65" s="190"/>
      <c r="BK65" s="190"/>
      <c r="BL65" s="190"/>
      <c r="BO65" s="149"/>
      <c r="BP65" s="190"/>
      <c r="BQ65" s="239"/>
      <c r="BR65" s="240"/>
      <c r="BS65" s="190"/>
      <c r="BT65" s="240"/>
      <c r="BX65" s="190"/>
      <c r="BY65" s="190"/>
      <c r="BZ65" s="149"/>
      <c r="CA65" s="149"/>
      <c r="CB65" s="149"/>
      <c r="CC65" s="149"/>
    </row>
    <row r="66" spans="6:81">
      <c r="F66" s="283">
        <f>BM106</f>
        <v>100</v>
      </c>
      <c r="G66" s="284">
        <f>I106*1000</f>
        <v>500</v>
      </c>
      <c r="H66" s="147">
        <v>60</v>
      </c>
      <c r="I66" s="389">
        <f t="shared" si="2"/>
        <v>0.3</v>
      </c>
      <c r="J66" s="188"/>
      <c r="K66" s="188"/>
      <c r="L66" s="188"/>
      <c r="M66" s="188"/>
      <c r="N66" s="236"/>
      <c r="O66" s="149"/>
      <c r="P66" s="188"/>
      <c r="Q66" s="379"/>
      <c r="S66" s="237"/>
      <c r="T66" s="237"/>
      <c r="U66" s="237"/>
      <c r="AJ66" s="379"/>
      <c r="AZ66" s="238"/>
      <c r="BJ66" s="190"/>
      <c r="BK66" s="190"/>
      <c r="BL66" s="190"/>
      <c r="BO66" s="149"/>
      <c r="BP66" s="190"/>
      <c r="BQ66" s="239"/>
      <c r="BR66" s="240"/>
      <c r="BS66" s="190"/>
      <c r="BT66" s="240"/>
      <c r="BX66" s="190"/>
      <c r="BY66" s="190"/>
      <c r="BZ66" s="149"/>
      <c r="CA66" s="149"/>
      <c r="CB66" s="149"/>
      <c r="CC66" s="149"/>
    </row>
    <row r="67" spans="6:81">
      <c r="H67" s="147">
        <v>61</v>
      </c>
      <c r="I67" s="389">
        <f t="shared" si="2"/>
        <v>0.30499999999999999</v>
      </c>
      <c r="J67" s="188"/>
      <c r="K67" s="188"/>
      <c r="L67" s="188"/>
      <c r="M67" s="188"/>
      <c r="N67" s="236"/>
      <c r="O67" s="149"/>
      <c r="P67" s="188"/>
      <c r="Q67" s="379"/>
      <c r="S67" s="237"/>
      <c r="T67" s="237"/>
      <c r="U67" s="237"/>
      <c r="AJ67" s="379"/>
      <c r="AZ67" s="238"/>
      <c r="BJ67" s="190"/>
      <c r="BK67" s="190"/>
      <c r="BL67" s="190"/>
      <c r="BO67" s="149"/>
      <c r="BP67" s="190"/>
      <c r="BQ67" s="239"/>
      <c r="BR67" s="240"/>
      <c r="BS67" s="190"/>
      <c r="BT67" s="240"/>
      <c r="BX67" s="190"/>
      <c r="BY67" s="190"/>
      <c r="BZ67" s="149"/>
      <c r="CA67" s="149"/>
      <c r="CB67" s="149"/>
      <c r="CC67" s="149"/>
    </row>
    <row r="68" spans="6:81">
      <c r="H68" s="147">
        <v>62</v>
      </c>
      <c r="I68" s="389">
        <f t="shared" si="2"/>
        <v>0.31</v>
      </c>
      <c r="J68" s="188"/>
      <c r="K68" s="188"/>
      <c r="L68" s="188"/>
      <c r="M68" s="188"/>
      <c r="N68" s="236"/>
      <c r="O68" s="149"/>
      <c r="P68" s="188"/>
      <c r="Q68" s="379"/>
      <c r="S68" s="237"/>
      <c r="T68" s="237"/>
      <c r="U68" s="237"/>
      <c r="AJ68" s="379"/>
      <c r="AZ68" s="238"/>
      <c r="BJ68" s="190"/>
      <c r="BK68" s="190"/>
      <c r="BL68" s="190"/>
      <c r="BO68" s="149"/>
      <c r="BP68" s="190"/>
      <c r="BQ68" s="239"/>
      <c r="BR68" s="240"/>
      <c r="BS68" s="190"/>
      <c r="BT68" s="240"/>
      <c r="BX68" s="190"/>
      <c r="BY68" s="190"/>
      <c r="BZ68" s="149"/>
      <c r="CA68" s="149"/>
      <c r="CB68" s="149"/>
      <c r="CC68" s="149"/>
    </row>
    <row r="69" spans="6:81">
      <c r="H69" s="147">
        <v>63</v>
      </c>
      <c r="I69" s="389">
        <f t="shared" si="2"/>
        <v>0.315</v>
      </c>
      <c r="J69" s="188"/>
      <c r="K69" s="188"/>
      <c r="L69" s="188"/>
      <c r="M69" s="188"/>
      <c r="N69" s="236"/>
      <c r="O69" s="149"/>
      <c r="P69" s="188"/>
      <c r="Q69" s="379"/>
      <c r="S69" s="237"/>
      <c r="T69" s="237"/>
      <c r="U69" s="237"/>
      <c r="AJ69" s="379"/>
      <c r="AZ69" s="238"/>
      <c r="BJ69" s="190"/>
      <c r="BK69" s="190"/>
      <c r="BL69" s="190"/>
      <c r="BO69" s="149"/>
      <c r="BP69" s="190"/>
      <c r="BQ69" s="239"/>
      <c r="BR69" s="240"/>
      <c r="BS69" s="190"/>
      <c r="BT69" s="240"/>
      <c r="BX69" s="190"/>
      <c r="BY69" s="190"/>
      <c r="BZ69" s="149"/>
      <c r="CA69" s="149"/>
      <c r="CB69" s="149"/>
      <c r="CC69" s="149"/>
    </row>
    <row r="70" spans="6:81">
      <c r="H70" s="147">
        <v>64</v>
      </c>
      <c r="I70" s="389">
        <f t="shared" ref="I70:I101" si="3">IF(PLOT_TYPE=1, H70/100*Iout_max, min_I*EXP(H70*rr/100))</f>
        <v>0.32</v>
      </c>
      <c r="J70" s="188"/>
      <c r="K70" s="188"/>
      <c r="L70" s="188"/>
      <c r="M70" s="188"/>
      <c r="N70" s="236"/>
      <c r="O70" s="149"/>
      <c r="P70" s="188"/>
      <c r="Q70" s="379"/>
      <c r="S70" s="237"/>
      <c r="T70" s="237"/>
      <c r="U70" s="237"/>
      <c r="AJ70" s="379"/>
      <c r="AZ70" s="238"/>
      <c r="BJ70" s="190"/>
      <c r="BK70" s="190"/>
      <c r="BL70" s="190"/>
      <c r="BO70" s="149"/>
      <c r="BP70" s="190"/>
      <c r="BQ70" s="239"/>
      <c r="BR70" s="240"/>
      <c r="BS70" s="190"/>
      <c r="BT70" s="240"/>
      <c r="BX70" s="190"/>
      <c r="BY70" s="190"/>
      <c r="BZ70" s="149"/>
      <c r="CA70" s="149"/>
      <c r="CB70" s="149"/>
      <c r="CC70" s="149"/>
    </row>
    <row r="71" spans="6:81">
      <c r="H71" s="147">
        <v>65</v>
      </c>
      <c r="I71" s="389">
        <f t="shared" si="3"/>
        <v>0.32500000000000001</v>
      </c>
      <c r="J71" s="188"/>
      <c r="K71" s="188"/>
      <c r="L71" s="188"/>
      <c r="M71" s="188"/>
      <c r="N71" s="236"/>
      <c r="O71" s="149"/>
      <c r="P71" s="188"/>
      <c r="Q71" s="379"/>
      <c r="S71" s="237"/>
      <c r="T71" s="237"/>
      <c r="U71" s="237"/>
      <c r="AJ71" s="379"/>
      <c r="AZ71" s="238"/>
      <c r="BJ71" s="190"/>
      <c r="BK71" s="190"/>
      <c r="BL71" s="190"/>
      <c r="BO71" s="149"/>
      <c r="BP71" s="190"/>
      <c r="BQ71" s="239"/>
      <c r="BR71" s="240"/>
      <c r="BS71" s="190"/>
      <c r="BT71" s="240"/>
      <c r="BX71" s="190"/>
      <c r="BY71" s="190"/>
      <c r="BZ71" s="149"/>
      <c r="CA71" s="149"/>
      <c r="CB71" s="149"/>
      <c r="CC71" s="149"/>
    </row>
    <row r="72" spans="6:81">
      <c r="H72" s="147">
        <v>66</v>
      </c>
      <c r="I72" s="389">
        <f t="shared" si="3"/>
        <v>0.33</v>
      </c>
      <c r="J72" s="188"/>
      <c r="K72" s="188"/>
      <c r="L72" s="188"/>
      <c r="M72" s="188"/>
      <c r="N72" s="236"/>
      <c r="O72" s="149"/>
      <c r="P72" s="188"/>
      <c r="Q72" s="379"/>
      <c r="S72" s="237"/>
      <c r="T72" s="237"/>
      <c r="U72" s="237"/>
      <c r="AJ72" s="379"/>
      <c r="AZ72" s="238"/>
      <c r="BJ72" s="190"/>
      <c r="BK72" s="190"/>
      <c r="BL72" s="190"/>
      <c r="BO72" s="149"/>
      <c r="BP72" s="190"/>
      <c r="BQ72" s="239"/>
      <c r="BR72" s="240"/>
      <c r="BS72" s="190"/>
      <c r="BT72" s="240"/>
      <c r="BX72" s="190"/>
      <c r="BY72" s="190"/>
      <c r="BZ72" s="149"/>
      <c r="CA72" s="149"/>
      <c r="CB72" s="149"/>
      <c r="CC72" s="149"/>
    </row>
    <row r="73" spans="6:81">
      <c r="H73" s="147">
        <v>67</v>
      </c>
      <c r="I73" s="389">
        <f t="shared" si="3"/>
        <v>0.33500000000000002</v>
      </c>
      <c r="J73" s="188"/>
      <c r="K73" s="188"/>
      <c r="L73" s="188"/>
      <c r="M73" s="188"/>
      <c r="N73" s="236"/>
      <c r="O73" s="149"/>
      <c r="P73" s="188"/>
      <c r="Q73" s="379"/>
      <c r="S73" s="237"/>
      <c r="T73" s="237"/>
      <c r="U73" s="237"/>
      <c r="AJ73" s="379"/>
      <c r="AZ73" s="238"/>
      <c r="BJ73" s="190"/>
      <c r="BK73" s="190"/>
      <c r="BL73" s="190"/>
      <c r="BO73" s="149"/>
      <c r="BP73" s="190"/>
      <c r="BQ73" s="239"/>
      <c r="BR73" s="240"/>
      <c r="BS73" s="190"/>
      <c r="BT73" s="240"/>
      <c r="BX73" s="190"/>
      <c r="BY73" s="190"/>
      <c r="BZ73" s="149"/>
      <c r="CA73" s="149"/>
      <c r="CB73" s="149"/>
      <c r="CC73" s="149"/>
    </row>
    <row r="74" spans="6:81">
      <c r="H74" s="147">
        <v>68</v>
      </c>
      <c r="I74" s="389">
        <f t="shared" si="3"/>
        <v>0.34</v>
      </c>
      <c r="J74" s="188"/>
      <c r="K74" s="188"/>
      <c r="L74" s="188"/>
      <c r="M74" s="188"/>
      <c r="N74" s="236"/>
      <c r="O74" s="149"/>
      <c r="P74" s="188"/>
      <c r="Q74" s="379"/>
      <c r="S74" s="237"/>
      <c r="T74" s="237"/>
      <c r="U74" s="237"/>
      <c r="AJ74" s="379"/>
      <c r="AZ74" s="238"/>
      <c r="BJ74" s="190"/>
      <c r="BK74" s="190"/>
      <c r="BL74" s="190"/>
      <c r="BO74" s="149"/>
      <c r="BP74" s="190"/>
      <c r="BQ74" s="239"/>
      <c r="BR74" s="240"/>
      <c r="BS74" s="190"/>
      <c r="BT74" s="240"/>
      <c r="BX74" s="190"/>
      <c r="BY74" s="190"/>
      <c r="BZ74" s="149"/>
      <c r="CA74" s="149"/>
      <c r="CB74" s="149"/>
      <c r="CC74" s="149"/>
    </row>
    <row r="75" spans="6:81">
      <c r="H75" s="147">
        <v>69</v>
      </c>
      <c r="I75" s="389">
        <f t="shared" si="3"/>
        <v>0.34499999999999997</v>
      </c>
      <c r="J75" s="188"/>
      <c r="K75" s="188"/>
      <c r="L75" s="188"/>
      <c r="M75" s="188"/>
      <c r="N75" s="236"/>
      <c r="O75" s="149"/>
      <c r="P75" s="188"/>
      <c r="Q75" s="379"/>
      <c r="S75" s="237"/>
      <c r="T75" s="237"/>
      <c r="U75" s="237"/>
      <c r="AJ75" s="379"/>
      <c r="AZ75" s="238"/>
      <c r="BJ75" s="190"/>
      <c r="BK75" s="190"/>
      <c r="BL75" s="190"/>
      <c r="BO75" s="149"/>
      <c r="BP75" s="190"/>
      <c r="BQ75" s="239"/>
      <c r="BR75" s="240"/>
      <c r="BS75" s="190"/>
      <c r="BT75" s="240"/>
      <c r="BX75" s="190"/>
      <c r="BY75" s="190"/>
      <c r="BZ75" s="149"/>
      <c r="CA75" s="149"/>
      <c r="CB75" s="149"/>
      <c r="CC75" s="149"/>
    </row>
    <row r="76" spans="6:81">
      <c r="H76" s="147">
        <v>70</v>
      </c>
      <c r="I76" s="389">
        <f t="shared" si="3"/>
        <v>0.35</v>
      </c>
      <c r="J76" s="188"/>
      <c r="K76" s="188"/>
      <c r="L76" s="188"/>
      <c r="M76" s="188"/>
      <c r="N76" s="236"/>
      <c r="O76" s="149"/>
      <c r="P76" s="188"/>
      <c r="Q76" s="379"/>
      <c r="S76" s="237"/>
      <c r="T76" s="237"/>
      <c r="U76" s="237"/>
      <c r="AJ76" s="379"/>
      <c r="AZ76" s="238"/>
      <c r="BJ76" s="190"/>
      <c r="BK76" s="190"/>
      <c r="BL76" s="190"/>
      <c r="BO76" s="149"/>
      <c r="BP76" s="190"/>
      <c r="BQ76" s="239"/>
      <c r="BR76" s="240"/>
      <c r="BS76" s="190"/>
      <c r="BT76" s="240"/>
      <c r="BX76" s="190"/>
      <c r="BY76" s="190"/>
      <c r="BZ76" s="149"/>
      <c r="CA76" s="149"/>
      <c r="CB76" s="149"/>
      <c r="CC76" s="149"/>
    </row>
    <row r="77" spans="6:81">
      <c r="H77" s="147">
        <v>71</v>
      </c>
      <c r="I77" s="389">
        <f t="shared" si="3"/>
        <v>0.35499999999999998</v>
      </c>
      <c r="J77" s="188"/>
      <c r="K77" s="188"/>
      <c r="L77" s="188"/>
      <c r="M77" s="188"/>
      <c r="N77" s="236"/>
      <c r="O77" s="149"/>
      <c r="P77" s="188"/>
      <c r="Q77" s="379"/>
      <c r="S77" s="237"/>
      <c r="T77" s="237"/>
      <c r="U77" s="237"/>
      <c r="AJ77" s="379"/>
      <c r="AZ77" s="238"/>
      <c r="BJ77" s="190"/>
      <c r="BK77" s="190"/>
      <c r="BL77" s="190"/>
      <c r="BO77" s="149"/>
      <c r="BP77" s="190"/>
      <c r="BQ77" s="239"/>
      <c r="BR77" s="240"/>
      <c r="BS77" s="190"/>
      <c r="BT77" s="240"/>
      <c r="BX77" s="190"/>
      <c r="BY77" s="190"/>
      <c r="BZ77" s="149"/>
      <c r="CA77" s="149"/>
      <c r="CB77" s="149"/>
      <c r="CC77" s="149"/>
    </row>
    <row r="78" spans="6:81">
      <c r="H78" s="147">
        <v>72</v>
      </c>
      <c r="I78" s="389">
        <f t="shared" si="3"/>
        <v>0.36</v>
      </c>
      <c r="J78" s="188"/>
      <c r="K78" s="188"/>
      <c r="L78" s="188"/>
      <c r="M78" s="188"/>
      <c r="N78" s="236"/>
      <c r="O78" s="149"/>
      <c r="P78" s="188"/>
      <c r="Q78" s="379"/>
      <c r="S78" s="237"/>
      <c r="T78" s="237"/>
      <c r="U78" s="237"/>
      <c r="AJ78" s="379"/>
      <c r="AZ78" s="238"/>
      <c r="BJ78" s="190"/>
      <c r="BK78" s="190"/>
      <c r="BL78" s="190"/>
      <c r="BO78" s="149"/>
      <c r="BP78" s="190"/>
      <c r="BQ78" s="239"/>
      <c r="BR78" s="240"/>
      <c r="BS78" s="190"/>
      <c r="BT78" s="240"/>
      <c r="BX78" s="190"/>
      <c r="BY78" s="190"/>
      <c r="BZ78" s="149"/>
      <c r="CA78" s="149"/>
      <c r="CB78" s="149"/>
      <c r="CC78" s="149"/>
    </row>
    <row r="79" spans="6:81">
      <c r="H79" s="147">
        <v>73</v>
      </c>
      <c r="I79" s="389">
        <f t="shared" si="3"/>
        <v>0.36499999999999999</v>
      </c>
      <c r="J79" s="188"/>
      <c r="K79" s="188"/>
      <c r="L79" s="188"/>
      <c r="M79" s="188"/>
      <c r="N79" s="236"/>
      <c r="O79" s="149"/>
      <c r="P79" s="188"/>
      <c r="Q79" s="379"/>
      <c r="S79" s="237"/>
      <c r="T79" s="237"/>
      <c r="U79" s="237"/>
      <c r="AJ79" s="379"/>
      <c r="AZ79" s="238"/>
      <c r="BJ79" s="190"/>
      <c r="BK79" s="190"/>
      <c r="BL79" s="190"/>
      <c r="BO79" s="149"/>
      <c r="BP79" s="190"/>
      <c r="BQ79" s="239"/>
      <c r="BR79" s="240"/>
      <c r="BS79" s="190"/>
      <c r="BT79" s="240"/>
      <c r="BX79" s="190"/>
      <c r="BY79" s="190"/>
      <c r="BZ79" s="149"/>
      <c r="CA79" s="149"/>
      <c r="CB79" s="149"/>
      <c r="CC79" s="149"/>
    </row>
    <row r="80" spans="6:81">
      <c r="H80" s="147">
        <v>74</v>
      </c>
      <c r="I80" s="389">
        <f t="shared" si="3"/>
        <v>0.37</v>
      </c>
      <c r="J80" s="188"/>
      <c r="K80" s="188"/>
      <c r="L80" s="188"/>
      <c r="M80" s="188"/>
      <c r="N80" s="236"/>
      <c r="O80" s="149"/>
      <c r="P80" s="188"/>
      <c r="Q80" s="379"/>
      <c r="S80" s="237"/>
      <c r="T80" s="237"/>
      <c r="U80" s="237"/>
      <c r="AJ80" s="379"/>
      <c r="AZ80" s="238"/>
      <c r="BJ80" s="190"/>
      <c r="BK80" s="190"/>
      <c r="BL80" s="190"/>
      <c r="BO80" s="149"/>
      <c r="BP80" s="190"/>
      <c r="BQ80" s="239"/>
      <c r="BR80" s="240"/>
      <c r="BS80" s="190"/>
      <c r="BT80" s="240"/>
      <c r="BX80" s="190"/>
      <c r="BY80" s="190"/>
      <c r="BZ80" s="149"/>
      <c r="CA80" s="149"/>
      <c r="CB80" s="149"/>
      <c r="CC80" s="149"/>
    </row>
    <row r="81" spans="6:81">
      <c r="H81" s="147">
        <v>75</v>
      </c>
      <c r="I81" s="389">
        <f t="shared" si="3"/>
        <v>0.375</v>
      </c>
      <c r="J81" s="188"/>
      <c r="K81" s="188"/>
      <c r="L81" s="188"/>
      <c r="M81" s="188"/>
      <c r="N81" s="236"/>
      <c r="O81" s="149"/>
      <c r="P81" s="188"/>
      <c r="Q81" s="379"/>
      <c r="S81" s="237"/>
      <c r="T81" s="237"/>
      <c r="U81" s="237"/>
      <c r="AJ81" s="379"/>
      <c r="AZ81" s="238"/>
      <c r="BJ81" s="190"/>
      <c r="BK81" s="190"/>
      <c r="BL81" s="190"/>
      <c r="BO81" s="149"/>
      <c r="BP81" s="190"/>
      <c r="BQ81" s="239"/>
      <c r="BR81" s="240"/>
      <c r="BS81" s="190"/>
      <c r="BT81" s="240"/>
      <c r="BX81" s="190"/>
      <c r="BY81" s="190"/>
      <c r="BZ81" s="149"/>
      <c r="CA81" s="149"/>
      <c r="CB81" s="149"/>
      <c r="CC81" s="149"/>
    </row>
    <row r="82" spans="6:81">
      <c r="H82" s="147">
        <v>76</v>
      </c>
      <c r="I82" s="389">
        <f t="shared" si="3"/>
        <v>0.38</v>
      </c>
      <c r="J82" s="188"/>
      <c r="K82" s="188"/>
      <c r="L82" s="188"/>
      <c r="M82" s="188"/>
      <c r="N82" s="236"/>
      <c r="O82" s="149"/>
      <c r="P82" s="188"/>
      <c r="Q82" s="379"/>
      <c r="S82" s="237"/>
      <c r="T82" s="237"/>
      <c r="U82" s="237"/>
      <c r="AJ82" s="379"/>
      <c r="AZ82" s="238"/>
      <c r="BJ82" s="190"/>
      <c r="BK82" s="190"/>
      <c r="BL82" s="190"/>
      <c r="BO82" s="149"/>
      <c r="BP82" s="190"/>
      <c r="BQ82" s="239"/>
      <c r="BR82" s="240"/>
      <c r="BS82" s="190"/>
      <c r="BT82" s="240"/>
      <c r="BX82" s="190"/>
      <c r="BY82" s="190"/>
      <c r="BZ82" s="149"/>
      <c r="CA82" s="149"/>
      <c r="CB82" s="149"/>
      <c r="CC82" s="149"/>
    </row>
    <row r="83" spans="6:81">
      <c r="H83" s="147">
        <v>77</v>
      </c>
      <c r="I83" s="389">
        <f t="shared" si="3"/>
        <v>0.38500000000000001</v>
      </c>
      <c r="J83" s="188"/>
      <c r="K83" s="188"/>
      <c r="L83" s="188"/>
      <c r="M83" s="188"/>
      <c r="N83" s="236"/>
      <c r="O83" s="149"/>
      <c r="P83" s="188"/>
      <c r="Q83" s="379"/>
      <c r="S83" s="237"/>
      <c r="T83" s="237"/>
      <c r="U83" s="237"/>
      <c r="AJ83" s="379"/>
      <c r="AZ83" s="238"/>
      <c r="BJ83" s="190"/>
      <c r="BK83" s="190"/>
      <c r="BL83" s="190"/>
      <c r="BO83" s="149"/>
      <c r="BP83" s="190"/>
      <c r="BQ83" s="239"/>
      <c r="BR83" s="240"/>
      <c r="BS83" s="190"/>
      <c r="BT83" s="240"/>
      <c r="BX83" s="190"/>
      <c r="BY83" s="190"/>
      <c r="BZ83" s="149"/>
      <c r="CA83" s="149"/>
      <c r="CB83" s="149"/>
      <c r="CC83" s="149"/>
    </row>
    <row r="84" spans="6:81">
      <c r="H84" s="147">
        <v>78</v>
      </c>
      <c r="I84" s="389">
        <f t="shared" si="3"/>
        <v>0.39</v>
      </c>
      <c r="J84" s="188"/>
      <c r="K84" s="188"/>
      <c r="L84" s="188"/>
      <c r="M84" s="188"/>
      <c r="N84" s="236"/>
      <c r="O84" s="149"/>
      <c r="P84" s="188"/>
      <c r="Q84" s="379"/>
      <c r="S84" s="237"/>
      <c r="T84" s="237"/>
      <c r="U84" s="237"/>
      <c r="AJ84" s="379"/>
      <c r="AZ84" s="238"/>
      <c r="BJ84" s="190"/>
      <c r="BK84" s="190"/>
      <c r="BL84" s="190"/>
      <c r="BO84" s="149"/>
      <c r="BP84" s="190"/>
      <c r="BQ84" s="239"/>
      <c r="BR84" s="240"/>
      <c r="BS84" s="190"/>
      <c r="BT84" s="240"/>
      <c r="BX84" s="190"/>
      <c r="BY84" s="190"/>
      <c r="BZ84" s="149"/>
      <c r="CA84" s="149"/>
      <c r="CB84" s="149"/>
      <c r="CC84" s="149"/>
    </row>
    <row r="85" spans="6:81">
      <c r="H85" s="147">
        <v>79</v>
      </c>
      <c r="I85" s="389">
        <f t="shared" si="3"/>
        <v>0.39500000000000002</v>
      </c>
      <c r="J85" s="188"/>
      <c r="K85" s="188"/>
      <c r="L85" s="188"/>
      <c r="M85" s="188"/>
      <c r="N85" s="236"/>
      <c r="O85" s="149"/>
      <c r="P85" s="188"/>
      <c r="Q85" s="379"/>
      <c r="S85" s="237"/>
      <c r="T85" s="237"/>
      <c r="U85" s="237"/>
      <c r="AJ85" s="379"/>
      <c r="AZ85" s="238"/>
      <c r="BJ85" s="190"/>
      <c r="BK85" s="190"/>
      <c r="BL85" s="190"/>
      <c r="BO85" s="149"/>
      <c r="BP85" s="190"/>
      <c r="BQ85" s="239"/>
      <c r="BR85" s="240"/>
      <c r="BS85" s="190"/>
      <c r="BT85" s="240"/>
      <c r="BX85" s="190"/>
      <c r="BY85" s="190"/>
      <c r="BZ85" s="149"/>
      <c r="CA85" s="149"/>
      <c r="CB85" s="149"/>
      <c r="CC85" s="149"/>
    </row>
    <row r="86" spans="6:81">
      <c r="H86" s="147">
        <v>80</v>
      </c>
      <c r="I86" s="389">
        <f t="shared" si="3"/>
        <v>0.4</v>
      </c>
      <c r="J86" s="188"/>
      <c r="K86" s="188"/>
      <c r="L86" s="188"/>
      <c r="M86" s="188"/>
      <c r="N86" s="236"/>
      <c r="O86" s="149"/>
      <c r="P86" s="188"/>
      <c r="Q86" s="379"/>
      <c r="S86" s="237"/>
      <c r="T86" s="237"/>
      <c r="U86" s="237"/>
      <c r="AJ86" s="379"/>
      <c r="AZ86" s="238"/>
      <c r="BJ86" s="190"/>
      <c r="BK86" s="190"/>
      <c r="BL86" s="190"/>
      <c r="BO86" s="149"/>
      <c r="BP86" s="190"/>
      <c r="BQ86" s="239"/>
      <c r="BR86" s="240"/>
      <c r="BS86" s="190"/>
      <c r="BT86" s="240"/>
      <c r="BX86" s="190"/>
      <c r="BY86" s="190"/>
      <c r="BZ86" s="149"/>
      <c r="CA86" s="149"/>
      <c r="CB86" s="149"/>
      <c r="CC86" s="149"/>
    </row>
    <row r="87" spans="6:81">
      <c r="H87" s="147">
        <v>81</v>
      </c>
      <c r="I87" s="389">
        <f t="shared" si="3"/>
        <v>0.40500000000000003</v>
      </c>
      <c r="J87" s="188"/>
      <c r="K87" s="188"/>
      <c r="L87" s="188"/>
      <c r="M87" s="188"/>
      <c r="N87" s="236"/>
      <c r="O87" s="149"/>
      <c r="P87" s="188"/>
      <c r="Q87" s="379"/>
      <c r="S87" s="237"/>
      <c r="T87" s="237"/>
      <c r="U87" s="237"/>
      <c r="AJ87" s="379"/>
      <c r="AZ87" s="238"/>
      <c r="BJ87" s="190"/>
      <c r="BK87" s="190"/>
      <c r="BL87" s="190"/>
      <c r="BO87" s="149"/>
      <c r="BP87" s="190"/>
      <c r="BQ87" s="239"/>
      <c r="BR87" s="240"/>
      <c r="BS87" s="190"/>
      <c r="BT87" s="240"/>
      <c r="BX87" s="190"/>
      <c r="BY87" s="190"/>
      <c r="BZ87" s="149"/>
      <c r="CA87" s="149"/>
      <c r="CB87" s="149"/>
      <c r="CC87" s="149"/>
    </row>
    <row r="88" spans="6:81">
      <c r="F88" s="260" t="s">
        <v>274</v>
      </c>
      <c r="G88" s="260" t="s">
        <v>275</v>
      </c>
      <c r="H88" s="147">
        <v>82</v>
      </c>
      <c r="I88" s="389">
        <f t="shared" si="3"/>
        <v>0.41</v>
      </c>
      <c r="J88" s="188"/>
      <c r="K88" s="188"/>
      <c r="L88" s="188"/>
      <c r="M88" s="188"/>
      <c r="N88" s="236"/>
      <c r="O88" s="149"/>
      <c r="P88" s="188"/>
      <c r="Q88" s="379"/>
      <c r="S88" s="237"/>
      <c r="T88" s="237"/>
      <c r="U88" s="237"/>
      <c r="AJ88" s="379"/>
      <c r="AZ88" s="238"/>
      <c r="BJ88" s="190"/>
      <c r="BK88" s="190"/>
      <c r="BL88" s="190"/>
      <c r="BO88" s="149"/>
      <c r="BP88" s="190"/>
      <c r="BQ88" s="239"/>
      <c r="BR88" s="240"/>
      <c r="BS88" s="190"/>
      <c r="BT88" s="240"/>
      <c r="BX88" s="190"/>
      <c r="BY88" s="190"/>
      <c r="BZ88" s="149"/>
      <c r="CA88" s="149"/>
      <c r="CB88" s="149"/>
      <c r="CC88" s="149"/>
    </row>
    <row r="89" spans="6:81">
      <c r="F89" s="283">
        <f>BO51</f>
        <v>0</v>
      </c>
      <c r="G89" s="284">
        <f>I56*1000</f>
        <v>250</v>
      </c>
      <c r="H89" s="147">
        <v>83</v>
      </c>
      <c r="I89" s="389">
        <f t="shared" si="3"/>
        <v>0.41499999999999998</v>
      </c>
      <c r="J89" s="188"/>
      <c r="K89" s="188"/>
      <c r="L89" s="188"/>
      <c r="M89" s="188"/>
      <c r="N89" s="236"/>
      <c r="O89" s="149"/>
      <c r="P89" s="188"/>
      <c r="Q89" s="379"/>
      <c r="S89" s="237"/>
      <c r="T89" s="237"/>
      <c r="U89" s="237"/>
      <c r="AJ89" s="379"/>
      <c r="AZ89" s="238"/>
      <c r="BJ89" s="190"/>
      <c r="BK89" s="190"/>
      <c r="BL89" s="190"/>
      <c r="BO89" s="149"/>
      <c r="BP89" s="190"/>
      <c r="BQ89" s="239"/>
      <c r="BR89" s="240"/>
      <c r="BS89" s="190"/>
      <c r="BT89" s="240"/>
      <c r="BX89" s="190"/>
      <c r="BY89" s="190"/>
      <c r="BZ89" s="149"/>
      <c r="CA89" s="149"/>
      <c r="CB89" s="149"/>
      <c r="CC89" s="149"/>
    </row>
    <row r="90" spans="6:81">
      <c r="F90" s="283">
        <f>BO81</f>
        <v>0</v>
      </c>
      <c r="G90" s="284">
        <f>I81*1000</f>
        <v>375</v>
      </c>
      <c r="H90" s="147">
        <v>84</v>
      </c>
      <c r="I90" s="389">
        <f t="shared" si="3"/>
        <v>0.42</v>
      </c>
      <c r="J90" s="188"/>
      <c r="K90" s="188"/>
      <c r="L90" s="188"/>
      <c r="M90" s="188"/>
      <c r="N90" s="236"/>
      <c r="O90" s="149"/>
      <c r="P90" s="188"/>
      <c r="Q90" s="379"/>
      <c r="S90" s="237"/>
      <c r="T90" s="237"/>
      <c r="U90" s="237"/>
      <c r="AJ90" s="379"/>
      <c r="AZ90" s="238"/>
      <c r="BJ90" s="190"/>
      <c r="BK90" s="190"/>
      <c r="BL90" s="190"/>
      <c r="BO90" s="149"/>
      <c r="BP90" s="190"/>
      <c r="BQ90" s="239"/>
      <c r="BR90" s="240"/>
      <c r="BS90" s="190"/>
      <c r="BT90" s="240"/>
      <c r="BX90" s="190"/>
      <c r="BY90" s="190"/>
      <c r="BZ90" s="149"/>
      <c r="CA90" s="149"/>
      <c r="CB90" s="149"/>
      <c r="CC90" s="149"/>
    </row>
    <row r="91" spans="6:81">
      <c r="F91" s="283">
        <f>BO106</f>
        <v>88.698181382326453</v>
      </c>
      <c r="G91" s="284">
        <f>I106*1000</f>
        <v>500</v>
      </c>
      <c r="H91" s="147">
        <v>85</v>
      </c>
      <c r="I91" s="389">
        <f t="shared" si="3"/>
        <v>0.42499999999999999</v>
      </c>
      <c r="J91" s="188"/>
      <c r="K91" s="188"/>
      <c r="L91" s="188"/>
      <c r="M91" s="188"/>
      <c r="N91" s="236"/>
      <c r="O91" s="149"/>
      <c r="P91" s="188"/>
      <c r="Q91" s="379"/>
      <c r="S91" s="237"/>
      <c r="T91" s="237"/>
      <c r="U91" s="237"/>
      <c r="AJ91" s="379"/>
      <c r="AZ91" s="238"/>
      <c r="BJ91" s="190"/>
      <c r="BK91" s="190"/>
      <c r="BL91" s="190"/>
      <c r="BO91" s="149"/>
      <c r="BP91" s="190"/>
      <c r="BQ91" s="239"/>
      <c r="BR91" s="240"/>
      <c r="BS91" s="190"/>
      <c r="BT91" s="240"/>
      <c r="BX91" s="190"/>
      <c r="BY91" s="190"/>
      <c r="BZ91" s="149"/>
      <c r="CA91" s="149"/>
      <c r="CB91" s="149"/>
      <c r="CC91" s="149"/>
    </row>
    <row r="92" spans="6:81">
      <c r="H92" s="147">
        <v>86</v>
      </c>
      <c r="I92" s="389">
        <f t="shared" si="3"/>
        <v>0.43</v>
      </c>
      <c r="J92" s="188"/>
      <c r="K92" s="188"/>
      <c r="L92" s="188"/>
      <c r="M92" s="188"/>
      <c r="N92" s="236"/>
      <c r="O92" s="149"/>
      <c r="P92" s="188"/>
      <c r="Q92" s="379"/>
      <c r="S92" s="237"/>
      <c r="T92" s="237"/>
      <c r="U92" s="237"/>
      <c r="AJ92" s="379"/>
      <c r="AZ92" s="238"/>
      <c r="BJ92" s="190"/>
      <c r="BK92" s="190"/>
      <c r="BL92" s="190"/>
      <c r="BO92" s="149"/>
      <c r="BP92" s="190"/>
      <c r="BQ92" s="239"/>
      <c r="BR92" s="240"/>
      <c r="BS92" s="190"/>
      <c r="BT92" s="240"/>
      <c r="BX92" s="190"/>
      <c r="BY92" s="190"/>
      <c r="BZ92" s="149"/>
      <c r="CA92" s="149"/>
      <c r="CB92" s="149"/>
      <c r="CC92" s="149"/>
    </row>
    <row r="93" spans="6:81">
      <c r="H93" s="147">
        <v>87</v>
      </c>
      <c r="I93" s="389">
        <f t="shared" si="3"/>
        <v>0.435</v>
      </c>
      <c r="J93" s="188"/>
      <c r="K93" s="188"/>
      <c r="L93" s="188"/>
      <c r="M93" s="188"/>
      <c r="N93" s="236"/>
      <c r="O93" s="149"/>
      <c r="P93" s="188"/>
      <c r="Q93" s="379"/>
      <c r="S93" s="237"/>
      <c r="T93" s="237"/>
      <c r="U93" s="237"/>
      <c r="AJ93" s="379"/>
      <c r="AZ93" s="238"/>
      <c r="BJ93" s="190"/>
      <c r="BK93" s="190"/>
      <c r="BL93" s="190"/>
      <c r="BO93" s="149"/>
      <c r="BP93" s="190"/>
      <c r="BQ93" s="239"/>
      <c r="BR93" s="240"/>
      <c r="BS93" s="190"/>
      <c r="BT93" s="240"/>
      <c r="BX93" s="190"/>
      <c r="BY93" s="190"/>
      <c r="BZ93" s="149"/>
      <c r="CA93" s="149"/>
      <c r="CB93" s="149"/>
      <c r="CC93" s="149"/>
    </row>
    <row r="94" spans="6:81">
      <c r="H94" s="147">
        <v>88</v>
      </c>
      <c r="I94" s="389">
        <f t="shared" si="3"/>
        <v>0.44</v>
      </c>
      <c r="J94" s="188"/>
      <c r="K94" s="188"/>
      <c r="L94" s="188"/>
      <c r="M94" s="188"/>
      <c r="N94" s="236"/>
      <c r="O94" s="149"/>
      <c r="P94" s="188"/>
      <c r="Q94" s="379"/>
      <c r="S94" s="237"/>
      <c r="T94" s="237"/>
      <c r="U94" s="237"/>
      <c r="AJ94" s="379"/>
      <c r="AZ94" s="238"/>
      <c r="BJ94" s="190"/>
      <c r="BK94" s="190"/>
      <c r="BL94" s="190"/>
      <c r="BO94" s="149"/>
      <c r="BP94" s="190"/>
      <c r="BQ94" s="239"/>
      <c r="BR94" s="240"/>
      <c r="BS94" s="190"/>
      <c r="BT94" s="240"/>
      <c r="BX94" s="190"/>
      <c r="BY94" s="190"/>
      <c r="BZ94" s="149"/>
      <c r="CA94" s="149"/>
      <c r="CB94" s="149"/>
      <c r="CC94" s="149"/>
    </row>
    <row r="95" spans="6:81">
      <c r="H95" s="147">
        <v>89</v>
      </c>
      <c r="I95" s="389">
        <f t="shared" si="3"/>
        <v>0.44500000000000001</v>
      </c>
      <c r="J95" s="188"/>
      <c r="K95" s="188"/>
      <c r="L95" s="188"/>
      <c r="M95" s="188"/>
      <c r="N95" s="236"/>
      <c r="O95" s="149"/>
      <c r="P95" s="188"/>
      <c r="Q95" s="379"/>
      <c r="S95" s="237"/>
      <c r="T95" s="237"/>
      <c r="U95" s="237"/>
      <c r="AJ95" s="379"/>
      <c r="AZ95" s="238"/>
      <c r="BJ95" s="190"/>
      <c r="BK95" s="190"/>
      <c r="BL95" s="190"/>
      <c r="BO95" s="149"/>
      <c r="BP95" s="190"/>
      <c r="BQ95" s="239"/>
      <c r="BR95" s="240"/>
      <c r="BS95" s="190"/>
      <c r="BT95" s="240"/>
      <c r="BX95" s="190"/>
      <c r="BY95" s="190"/>
      <c r="BZ95" s="149"/>
      <c r="CA95" s="149"/>
      <c r="CB95" s="149"/>
      <c r="CC95" s="149"/>
    </row>
    <row r="96" spans="6:81">
      <c r="H96" s="147">
        <v>90</v>
      </c>
      <c r="I96" s="389">
        <f t="shared" si="3"/>
        <v>0.45</v>
      </c>
      <c r="J96" s="188"/>
      <c r="K96" s="188"/>
      <c r="L96" s="188"/>
      <c r="M96" s="188"/>
      <c r="N96" s="236"/>
      <c r="O96" s="149"/>
      <c r="P96" s="188"/>
      <c r="Q96" s="379"/>
      <c r="S96" s="237"/>
      <c r="T96" s="237"/>
      <c r="U96" s="237"/>
      <c r="AJ96" s="379"/>
      <c r="AZ96" s="238"/>
      <c r="BJ96" s="190"/>
      <c r="BK96" s="190"/>
      <c r="BL96" s="190"/>
      <c r="BO96" s="149"/>
      <c r="BP96" s="190"/>
      <c r="BQ96" s="239"/>
      <c r="BR96" s="240"/>
      <c r="BS96" s="190"/>
      <c r="BT96" s="240"/>
      <c r="BX96" s="190"/>
      <c r="BY96" s="190"/>
      <c r="BZ96" s="149"/>
      <c r="CA96" s="149"/>
      <c r="CB96" s="149"/>
      <c r="CC96" s="149"/>
    </row>
    <row r="97" spans="8:81">
      <c r="H97" s="147">
        <v>91</v>
      </c>
      <c r="I97" s="389">
        <f t="shared" si="3"/>
        <v>0.45500000000000002</v>
      </c>
      <c r="J97" s="188"/>
      <c r="K97" s="188"/>
      <c r="L97" s="188"/>
      <c r="M97" s="188"/>
      <c r="N97" s="236"/>
      <c r="O97" s="149"/>
      <c r="P97" s="188"/>
      <c r="Q97" s="379"/>
      <c r="S97" s="237"/>
      <c r="T97" s="237"/>
      <c r="U97" s="237"/>
      <c r="AJ97" s="379"/>
      <c r="AZ97" s="238"/>
      <c r="BJ97" s="190"/>
      <c r="BK97" s="190"/>
      <c r="BL97" s="190"/>
      <c r="BO97" s="149"/>
      <c r="BP97" s="190"/>
      <c r="BQ97" s="239"/>
      <c r="BR97" s="240"/>
      <c r="BS97" s="190"/>
      <c r="BT97" s="240"/>
      <c r="BX97" s="190"/>
      <c r="BY97" s="190"/>
      <c r="BZ97" s="149"/>
      <c r="CA97" s="149"/>
      <c r="CB97" s="149"/>
      <c r="CC97" s="149"/>
    </row>
    <row r="98" spans="8:81">
      <c r="H98" s="147">
        <v>92</v>
      </c>
      <c r="I98" s="389">
        <f t="shared" si="3"/>
        <v>0.46</v>
      </c>
      <c r="J98" s="188"/>
      <c r="K98" s="188"/>
      <c r="L98" s="188"/>
      <c r="M98" s="188"/>
      <c r="N98" s="236"/>
      <c r="O98" s="149"/>
      <c r="P98" s="188"/>
      <c r="Q98" s="379"/>
      <c r="S98" s="237"/>
      <c r="T98" s="237"/>
      <c r="U98" s="237"/>
      <c r="AJ98" s="379"/>
      <c r="AZ98" s="238"/>
      <c r="BJ98" s="190"/>
      <c r="BK98" s="190"/>
      <c r="BL98" s="190"/>
      <c r="BO98" s="149"/>
      <c r="BP98" s="190"/>
      <c r="BQ98" s="239"/>
      <c r="BR98" s="240"/>
      <c r="BS98" s="190"/>
      <c r="BT98" s="240"/>
      <c r="BX98" s="190"/>
      <c r="BY98" s="190"/>
      <c r="BZ98" s="149"/>
      <c r="CA98" s="149"/>
      <c r="CB98" s="149"/>
      <c r="CC98" s="149"/>
    </row>
    <row r="99" spans="8:81">
      <c r="H99" s="147">
        <v>93</v>
      </c>
      <c r="I99" s="389">
        <f t="shared" si="3"/>
        <v>0.46500000000000002</v>
      </c>
      <c r="J99" s="188"/>
      <c r="K99" s="188"/>
      <c r="L99" s="188"/>
      <c r="M99" s="188"/>
      <c r="N99" s="236"/>
      <c r="O99" s="149"/>
      <c r="P99" s="188"/>
      <c r="Q99" s="379"/>
      <c r="S99" s="237"/>
      <c r="T99" s="237"/>
      <c r="U99" s="237"/>
      <c r="AJ99" s="379"/>
      <c r="AZ99" s="238"/>
      <c r="BJ99" s="190"/>
      <c r="BK99" s="190"/>
      <c r="BL99" s="190"/>
      <c r="BO99" s="149"/>
      <c r="BP99" s="190"/>
      <c r="BQ99" s="239"/>
      <c r="BR99" s="240"/>
      <c r="BS99" s="190"/>
      <c r="BT99" s="240"/>
      <c r="BX99" s="190"/>
      <c r="BY99" s="190"/>
      <c r="BZ99" s="149"/>
      <c r="CA99" s="149"/>
      <c r="CB99" s="149"/>
      <c r="CC99" s="149"/>
    </row>
    <row r="100" spans="8:81">
      <c r="H100" s="147">
        <v>94</v>
      </c>
      <c r="I100" s="389">
        <f t="shared" si="3"/>
        <v>0.47</v>
      </c>
      <c r="J100" s="188"/>
      <c r="K100" s="188"/>
      <c r="L100" s="188"/>
      <c r="M100" s="188"/>
      <c r="N100" s="236"/>
      <c r="O100" s="149"/>
      <c r="P100" s="188"/>
      <c r="Q100" s="379"/>
      <c r="S100" s="237"/>
      <c r="T100" s="237"/>
      <c r="U100" s="237"/>
      <c r="AJ100" s="379"/>
      <c r="AZ100" s="238"/>
      <c r="BJ100" s="190"/>
      <c r="BK100" s="190"/>
      <c r="BL100" s="190"/>
      <c r="BO100" s="149"/>
      <c r="BP100" s="190"/>
      <c r="BQ100" s="239"/>
      <c r="BR100" s="240"/>
      <c r="BS100" s="190"/>
      <c r="BT100" s="240"/>
      <c r="BX100" s="190"/>
      <c r="BY100" s="190"/>
      <c r="BZ100" s="149"/>
      <c r="CA100" s="149"/>
      <c r="CB100" s="149"/>
      <c r="CC100" s="149"/>
    </row>
    <row r="101" spans="8:81">
      <c r="H101" s="147">
        <v>95</v>
      </c>
      <c r="I101" s="389">
        <f t="shared" si="3"/>
        <v>0.47499999999999998</v>
      </c>
      <c r="J101" s="188"/>
      <c r="K101" s="188"/>
      <c r="L101" s="188"/>
      <c r="M101" s="188"/>
      <c r="N101" s="236"/>
      <c r="O101" s="149"/>
      <c r="P101" s="188"/>
      <c r="Q101" s="379"/>
      <c r="S101" s="237"/>
      <c r="T101" s="237"/>
      <c r="U101" s="237"/>
      <c r="AJ101" s="379"/>
      <c r="AZ101" s="238"/>
      <c r="BJ101" s="190"/>
      <c r="BK101" s="190"/>
      <c r="BL101" s="190"/>
      <c r="BO101" s="149"/>
      <c r="BP101" s="190"/>
      <c r="BQ101" s="239"/>
      <c r="BR101" s="240"/>
      <c r="BS101" s="190"/>
      <c r="BT101" s="240"/>
      <c r="BX101" s="190"/>
      <c r="BY101" s="190"/>
      <c r="BZ101" s="149"/>
      <c r="CA101" s="149"/>
      <c r="CB101" s="149"/>
      <c r="CC101" s="149"/>
    </row>
    <row r="102" spans="8:81">
      <c r="H102" s="147">
        <v>96</v>
      </c>
      <c r="I102" s="389">
        <f>IF(PLOT_TYPE=1, H102/100*Iout_max, min_I*EXP(H102*rr/100))</f>
        <v>0.48</v>
      </c>
      <c r="J102" s="188"/>
      <c r="K102" s="188"/>
      <c r="L102" s="188"/>
      <c r="M102" s="188"/>
      <c r="N102" s="236"/>
      <c r="O102" s="149"/>
      <c r="P102" s="188"/>
      <c r="Q102" s="379"/>
      <c r="S102" s="237"/>
      <c r="T102" s="237"/>
      <c r="U102" s="237"/>
      <c r="AJ102" s="379"/>
      <c r="AZ102" s="238"/>
      <c r="BJ102" s="190"/>
      <c r="BK102" s="190"/>
      <c r="BL102" s="190"/>
      <c r="BO102" s="149"/>
      <c r="BP102" s="190"/>
      <c r="BQ102" s="239"/>
      <c r="BR102" s="240"/>
      <c r="BS102" s="190"/>
      <c r="BT102" s="240"/>
      <c r="BX102" s="190"/>
      <c r="BY102" s="190"/>
      <c r="BZ102" s="149"/>
      <c r="CA102" s="149"/>
      <c r="CB102" s="149"/>
      <c r="CC102" s="149"/>
    </row>
    <row r="103" spans="8:81">
      <c r="H103" s="147">
        <v>97</v>
      </c>
      <c r="I103" s="389">
        <f>IF(PLOT_TYPE=1, H103/100*Iout_max, min_I*EXP(H103*rr/100))</f>
        <v>0.48499999999999999</v>
      </c>
      <c r="J103" s="188"/>
      <c r="K103" s="188"/>
      <c r="L103" s="188"/>
      <c r="M103" s="188"/>
      <c r="N103" s="236"/>
      <c r="O103" s="149"/>
      <c r="P103" s="188"/>
      <c r="Q103" s="379"/>
      <c r="S103" s="237"/>
      <c r="T103" s="237"/>
      <c r="U103" s="237"/>
      <c r="AJ103" s="379"/>
      <c r="AZ103" s="238"/>
      <c r="BJ103" s="190"/>
      <c r="BK103" s="190"/>
      <c r="BL103" s="190"/>
      <c r="BO103" s="149"/>
      <c r="BP103" s="190"/>
      <c r="BQ103" s="239"/>
      <c r="BR103" s="240"/>
      <c r="BS103" s="190"/>
      <c r="BT103" s="240"/>
      <c r="BX103" s="190"/>
      <c r="BY103" s="190"/>
      <c r="BZ103" s="149"/>
      <c r="CA103" s="149"/>
      <c r="CB103" s="149"/>
      <c r="CC103" s="149"/>
    </row>
    <row r="104" spans="8:81">
      <c r="H104" s="147">
        <v>98</v>
      </c>
      <c r="I104" s="389">
        <f>IF(PLOT_TYPE=1, H104/100*Iout_max, min_I*EXP(H104*rr/100))</f>
        <v>0.49</v>
      </c>
      <c r="J104" s="188"/>
      <c r="K104" s="188"/>
      <c r="L104" s="188"/>
      <c r="M104" s="188"/>
      <c r="N104" s="236"/>
      <c r="O104" s="149"/>
      <c r="P104" s="188"/>
      <c r="Q104" s="379"/>
      <c r="S104" s="237"/>
      <c r="T104" s="237"/>
      <c r="U104" s="237"/>
      <c r="AJ104" s="379"/>
      <c r="AZ104" s="238"/>
      <c r="BJ104" s="190"/>
      <c r="BK104" s="190"/>
      <c r="BL104" s="190"/>
      <c r="BO104" s="149"/>
      <c r="BP104" s="190"/>
      <c r="BQ104" s="239"/>
      <c r="BR104" s="240"/>
      <c r="BS104" s="190"/>
      <c r="BT104" s="240"/>
      <c r="BX104" s="190"/>
      <c r="BY104" s="190"/>
      <c r="BZ104" s="149"/>
      <c r="CA104" s="149"/>
      <c r="CB104" s="149"/>
      <c r="CC104" s="149"/>
    </row>
    <row r="105" spans="8:81">
      <c r="H105" s="147">
        <v>99</v>
      </c>
      <c r="I105" s="389">
        <f>IF(PLOT_TYPE=1, H105/100*Iout_max, min_I*EXP(H105*rr/100))</f>
        <v>0.495</v>
      </c>
      <c r="J105" s="188"/>
      <c r="K105" s="188"/>
      <c r="L105" s="188"/>
      <c r="M105" s="188"/>
      <c r="N105" s="236"/>
      <c r="O105" s="149"/>
      <c r="P105" s="188"/>
      <c r="Q105" s="379"/>
      <c r="S105" s="237"/>
      <c r="T105" s="237"/>
      <c r="U105" s="237"/>
      <c r="AJ105" s="379"/>
      <c r="AZ105" s="238"/>
      <c r="BJ105" s="190"/>
      <c r="BK105" s="190"/>
      <c r="BL105" s="190"/>
      <c r="BO105" s="149"/>
      <c r="BP105" s="190"/>
      <c r="BQ105" s="239"/>
      <c r="BR105" s="240"/>
      <c r="BS105" s="190"/>
      <c r="BT105" s="240"/>
      <c r="BX105" s="190"/>
      <c r="BY105" s="190"/>
      <c r="BZ105" s="149"/>
      <c r="CA105" s="149"/>
      <c r="CB105" s="149"/>
      <c r="CC105" s="149"/>
    </row>
    <row r="106" spans="8:81">
      <c r="H106" s="147">
        <v>100</v>
      </c>
      <c r="I106" s="389">
        <f>IF(PLOT_TYPE=1, H106/100*Iout_max, min_I*EXP(H106*rr/100))</f>
        <v>0.5</v>
      </c>
      <c r="J106" s="188"/>
      <c r="K106" s="188"/>
      <c r="L106" s="188"/>
      <c r="M106" s="188"/>
      <c r="N106" s="236"/>
      <c r="O106" s="149"/>
      <c r="P106" s="188"/>
      <c r="Q106" s="379"/>
      <c r="S106" s="237"/>
      <c r="T106" s="237"/>
      <c r="U106" s="237"/>
      <c r="AJ106" s="379"/>
      <c r="AY106" s="187">
        <f>Vout*I106</f>
        <v>85</v>
      </c>
      <c r="AZ106" s="238">
        <f>AY106/(AY106+AX106)</f>
        <v>1</v>
      </c>
      <c r="BA106" s="296">
        <f>AG106/($AY106+$AX106)</f>
        <v>0</v>
      </c>
      <c r="BB106" s="296">
        <f>AO106/($AY106+$AX106)</f>
        <v>0</v>
      </c>
      <c r="BC106" s="296" t="e">
        <f>Vin*R106*(QgBot+Qg)/($AY106+$AX106)</f>
        <v>#NAME?</v>
      </c>
      <c r="BD106" s="296">
        <f>AK106/($AY106+$AX106)</f>
        <v>0</v>
      </c>
      <c r="BE106" s="296">
        <f>AQ106/(AX106+AY106)</f>
        <v>0</v>
      </c>
      <c r="BF106" s="296">
        <f>AR106/($AY106+$AX106)</f>
        <v>0</v>
      </c>
      <c r="BG106" s="296">
        <f>W106/($AY106+$AX106)</f>
        <v>0</v>
      </c>
      <c r="BH106" s="296">
        <f>X106/($AY106+$AX106)</f>
        <v>0</v>
      </c>
      <c r="BI106" s="296">
        <f>(AB106+AE106)/($AY106+$AX106)</f>
        <v>0</v>
      </c>
      <c r="BJ106" s="190">
        <f>AT106/($AY106+$AX106)</f>
        <v>0</v>
      </c>
      <c r="BK106" s="190">
        <f>AX106/($AY106+$AX106)</f>
        <v>0</v>
      </c>
      <c r="BL106" s="190">
        <f>AZ106</f>
        <v>1</v>
      </c>
      <c r="BM106" s="149">
        <f>100*BL106</f>
        <v>100</v>
      </c>
      <c r="BN106" s="188" t="e">
        <f xml:space="preserve"> CHOOSE(MODE, I106*1000,#REF!)</f>
        <v>#REF!</v>
      </c>
      <c r="BO106" s="149">
        <v>88.698181382326453</v>
      </c>
      <c r="BP106" s="190">
        <f>BO106/100</f>
        <v>0.88698181382326458</v>
      </c>
      <c r="BQ106" s="239">
        <f>R106/1000</f>
        <v>0</v>
      </c>
      <c r="BR106" s="240"/>
      <c r="BS106" s="190">
        <f>AL106/($AY106+$AX106)</f>
        <v>0</v>
      </c>
      <c r="BT106" s="240"/>
      <c r="BU106" s="149">
        <f>1000*AW106</f>
        <v>0</v>
      </c>
      <c r="BV106" s="149">
        <f>1000*AU106</f>
        <v>0</v>
      </c>
      <c r="BW106" s="149">
        <f>1000*Y106</f>
        <v>0</v>
      </c>
      <c r="BX106" s="190"/>
      <c r="BY106" s="190"/>
      <c r="BZ106" s="149" t="e">
        <f xml:space="preserve"> IF(MODE=1, BM106,#REF!)</f>
        <v>#REF!</v>
      </c>
      <c r="CA106" s="149" t="e">
        <f xml:space="preserve"> IF(MODE=1, BU106,#REF!)</f>
        <v>#REF!</v>
      </c>
      <c r="CB106" s="149" t="e">
        <f xml:space="preserve"> IF(MODE=1, BV106,#REF!)</f>
        <v>#REF!</v>
      </c>
      <c r="CC106" s="149" t="e">
        <f xml:space="preserve"> IF(MODE=1, BW106,#REF!)</f>
        <v>#REF!</v>
      </c>
    </row>
    <row r="107" spans="8:81">
      <c r="BQ107" s="239"/>
      <c r="BR107" s="240"/>
      <c r="BS107" s="240"/>
      <c r="BT107" s="240"/>
      <c r="BX107" s="190"/>
      <c r="BY107" s="190"/>
    </row>
    <row r="108" spans="8:81">
      <c r="H108" s="285">
        <v>1.0000000000000001E-5</v>
      </c>
      <c r="I108" s="188" t="s">
        <v>1</v>
      </c>
      <c r="J108" s="187" t="s">
        <v>276</v>
      </c>
      <c r="AG108" s="187">
        <v>4.9516878778202269E-3</v>
      </c>
      <c r="AH108" s="187">
        <v>3.7188236700537959E-3</v>
      </c>
      <c r="AI108">
        <v>20</v>
      </c>
      <c r="AJ108" s="187">
        <v>18.943591787921068</v>
      </c>
      <c r="AK108" s="187">
        <v>4.1453367485397245E-3</v>
      </c>
      <c r="AL108" s="187">
        <v>7.1640215182307235E-3</v>
      </c>
      <c r="AN108" s="187">
        <v>9.1940431932401354E-2</v>
      </c>
      <c r="AO108" s="187">
        <v>8.4530430239165271E-3</v>
      </c>
      <c r="AP108" s="187">
        <v>9.3281530185295868E-4</v>
      </c>
      <c r="AQ108" s="187">
        <v>9.1178757202630047E-3</v>
      </c>
      <c r="AR108" s="187">
        <v>1.2140752334887425E-3</v>
      </c>
      <c r="AS108" s="187">
        <v>1.8784993977668273E-2</v>
      </c>
      <c r="AZ108" s="286" t="s">
        <v>280</v>
      </c>
      <c r="BA108" s="303">
        <v>3.6409104085968987E-3</v>
      </c>
      <c r="BB108" s="303">
        <v>6.5692245841190103E-3</v>
      </c>
      <c r="BC108" s="303">
        <v>5.4394694205683519E-2</v>
      </c>
      <c r="BD108" s="303">
        <v>4.5907837520612008E-3</v>
      </c>
      <c r="BE108" s="303">
        <v>0</v>
      </c>
      <c r="BF108" s="303">
        <v>7.3751579484765363E-4</v>
      </c>
      <c r="BG108" s="303">
        <v>7.2151246180390156E-3</v>
      </c>
      <c r="BH108" s="303">
        <v>1.4929120352630757E-2</v>
      </c>
      <c r="BI108" s="303">
        <v>5.5024434421027814E-6</v>
      </c>
      <c r="BJ108" s="303">
        <v>8.2551506228875166E-2</v>
      </c>
    </row>
    <row r="109" spans="8:81">
      <c r="H109" s="235">
        <f>Iout_max</f>
        <v>0.5</v>
      </c>
      <c r="I109" s="188" t="s">
        <v>1</v>
      </c>
      <c r="J109" s="187" t="s">
        <v>277</v>
      </c>
      <c r="AZ109" s="286" t="s">
        <v>278</v>
      </c>
      <c r="BA109" s="303">
        <v>8.1000709018000279E-3</v>
      </c>
      <c r="BB109" s="303">
        <v>1.4614802049391215E-2</v>
      </c>
      <c r="BC109" s="303">
        <v>2.4831534664325892E-2</v>
      </c>
      <c r="BD109" s="303">
        <v>9.9057039827182662E-3</v>
      </c>
      <c r="BE109" s="303">
        <v>1.1631608311305648E-2</v>
      </c>
      <c r="BF109" s="303">
        <v>1.6465542803473395E-3</v>
      </c>
      <c r="BG109" s="303">
        <v>1.6051760250250457E-2</v>
      </c>
      <c r="BH109" s="303">
        <v>6.8152413568584669E-3</v>
      </c>
      <c r="BI109" s="303">
        <v>1.7517781122613987E-5</v>
      </c>
      <c r="BJ109" s="303">
        <v>1.2837829865088564E-2</v>
      </c>
    </row>
    <row r="110" spans="8:81">
      <c r="H110" s="235">
        <f>LOG(max_I/min_I,EXP(1))</f>
        <v>10.819778284410283</v>
      </c>
      <c r="I110" s="188"/>
      <c r="J110" s="187" t="s">
        <v>279</v>
      </c>
    </row>
    <row r="111" spans="8:81">
      <c r="AZ111" s="286"/>
      <c r="BA111" s="303"/>
      <c r="BB111" s="303"/>
      <c r="BC111" s="303"/>
      <c r="BD111" s="303"/>
      <c r="BE111" s="303"/>
      <c r="BF111" s="303"/>
      <c r="BG111" s="303"/>
      <c r="BH111" s="303"/>
      <c r="BI111" s="303"/>
      <c r="BJ111" s="303"/>
    </row>
    <row r="112" spans="8:81">
      <c r="J112" s="287"/>
      <c r="R112" s="288"/>
      <c r="S112" s="288"/>
      <c r="T112" s="288"/>
      <c r="U112" s="288"/>
      <c r="V112" s="289"/>
    </row>
    <row r="113" spans="10:22">
      <c r="J113" s="287"/>
      <c r="R113" s="288"/>
      <c r="S113" s="288"/>
      <c r="T113" s="288"/>
      <c r="U113" s="288"/>
      <c r="V113" s="289"/>
    </row>
    <row r="114" spans="10:22">
      <c r="R114" s="288"/>
      <c r="S114" s="288"/>
      <c r="T114" s="288"/>
      <c r="U114" s="288"/>
      <c r="V114" s="289"/>
    </row>
    <row r="116" spans="10:22">
      <c r="R116" s="288"/>
      <c r="S116" s="288"/>
      <c r="T116" s="288"/>
      <c r="U116" s="288"/>
      <c r="V116" s="289"/>
    </row>
    <row r="126" spans="10:22">
      <c r="J126" s="147"/>
    </row>
    <row r="127" spans="10:22">
      <c r="J127" s="147"/>
    </row>
    <row r="128" spans="10:22">
      <c r="J128" s="147"/>
    </row>
    <row r="129" spans="10:10">
      <c r="J129" s="188"/>
    </row>
    <row r="130" spans="10:10">
      <c r="J130" s="188"/>
    </row>
    <row r="131" spans="10:10">
      <c r="J131" s="188"/>
    </row>
    <row r="132" spans="10:10">
      <c r="J132" s="188"/>
    </row>
    <row r="133" spans="10:10">
      <c r="J133" s="188"/>
    </row>
  </sheetData>
  <sheetProtection algorithmName="SHA-512" hashValue="0cUnFa7ufQE2QFQ9eSByCEfmn6EpWCL2i4IB/IyFIfGoQvvqfVNOyvPgZhiw12bINkeNpez8XmCsyRLDVC5XpQ==" saltValue="Wk0yaZAbwsKsRJCgaB8scA==" spinCount="100000" sheet="1" selectLockedCells="1" selectUnlockedCells="1"/>
  <mergeCells count="4">
    <mergeCell ref="A1:E3"/>
    <mergeCell ref="G2:H2"/>
    <mergeCell ref="A4:E4"/>
    <mergeCell ref="K4:U4"/>
  </mergeCells>
  <phoneticPr fontId="83"/>
  <conditionalFormatting sqref="B26:B28">
    <cfRule type="cellIs" dxfId="11" priority="8" stopIfTrue="1" operator="notEqual">
      <formula>G28</formula>
    </cfRule>
  </conditionalFormatting>
  <conditionalFormatting sqref="B29">
    <cfRule type="cellIs" dxfId="10" priority="145" stopIfTrue="1" operator="notEqual">
      <formula>G30</formula>
    </cfRule>
  </conditionalFormatting>
  <conditionalFormatting sqref="B30:B33">
    <cfRule type="cellIs" dxfId="9" priority="6" stopIfTrue="1" operator="notEqual">
      <formula>G36</formula>
    </cfRule>
  </conditionalFormatting>
  <conditionalFormatting sqref="B35:B36">
    <cfRule type="cellIs" dxfId="8" priority="5" stopIfTrue="1" operator="notEqual">
      <formula>G42</formula>
    </cfRule>
  </conditionalFormatting>
  <conditionalFormatting sqref="B38:B39">
    <cfRule type="cellIs" dxfId="7" priority="147" stopIfTrue="1" operator="notEqual">
      <formula>G43</formula>
    </cfRule>
  </conditionalFormatting>
  <conditionalFormatting sqref="B41">
    <cfRule type="cellIs" dxfId="6" priority="4" stopIfTrue="1" operator="notEqual">
      <formula>G53</formula>
    </cfRule>
  </conditionalFormatting>
  <conditionalFormatting sqref="B43:B45">
    <cfRule type="cellIs" dxfId="5" priority="13" stopIfTrue="1" operator="notEqual">
      <formula>G54</formula>
    </cfRule>
  </conditionalFormatting>
  <conditionalFormatting sqref="B46">
    <cfRule type="cellIs" dxfId="4" priority="2" stopIfTrue="1" operator="notEqual">
      <formula>G66</formula>
    </cfRule>
  </conditionalFormatting>
  <conditionalFormatting sqref="B48:B53">
    <cfRule type="cellIs" dxfId="3" priority="9" stopIfTrue="1" operator="notEqual">
      <formula>G68</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182880</xdr:colOff>
                <xdr:row>111</xdr:row>
                <xdr:rowOff>144780</xdr:rowOff>
              </from>
              <to>
                <xdr:col>36</xdr:col>
                <xdr:colOff>15240</xdr:colOff>
                <xdr:row>125</xdr:row>
                <xdr:rowOff>144780</xdr:rowOff>
              </to>
            </anchor>
          </objectPr>
        </oleObject>
      </mc:Choice>
      <mc:Fallback>
        <oleObject progId="Visio.Drawing.11" shapeId="68300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rgb="FF7030A0"/>
  </sheetPr>
  <dimension ref="B1:FL329"/>
  <sheetViews>
    <sheetView topLeftCell="G1" zoomScale="70" zoomScaleNormal="70" workbookViewId="0">
      <pane ySplit="3" topLeftCell="A4" activePane="bottomLeft" state="frozen"/>
      <selection pane="bottomLeft" activeCell="U216" sqref="U216:U316"/>
    </sheetView>
  </sheetViews>
  <sheetFormatPr defaultRowHeight="13.2"/>
  <cols>
    <col min="1" max="1" width="2.77734375" customWidth="1"/>
    <col min="2" max="2" width="3.5546875" customWidth="1"/>
    <col min="3" max="3" width="2.77734375" customWidth="1"/>
    <col min="4" max="4" width="3.77734375" customWidth="1"/>
    <col min="5" max="5" width="6.21875" customWidth="1"/>
    <col min="6" max="8" width="7.77734375" customWidth="1"/>
    <col min="9" max="9" width="6.21875" customWidth="1"/>
    <col min="10" max="10" width="9.5546875" customWidth="1"/>
    <col min="11" max="11" width="9.21875" customWidth="1"/>
    <col min="12" max="12" width="1.77734375" customWidth="1"/>
    <col min="13" max="13" width="8.44140625" customWidth="1"/>
    <col min="14" max="15" width="9.5546875" customWidth="1"/>
    <col min="16" max="16" width="8.77734375" customWidth="1"/>
    <col min="17" max="18" width="8.5546875" customWidth="1"/>
    <col min="19" max="19" width="15.44140625" customWidth="1"/>
    <col min="20" max="20" width="10.44140625" customWidth="1"/>
    <col min="21" max="21" width="7.5546875" customWidth="1"/>
    <col min="22" max="22" width="9" customWidth="1"/>
    <col min="23" max="23" width="8.77734375" customWidth="1"/>
    <col min="24" max="24" width="10" customWidth="1"/>
    <col min="25" max="25" width="9.5546875" customWidth="1"/>
    <col min="26" max="26" width="1.77734375" customWidth="1"/>
    <col min="27" max="27" width="9.77734375" customWidth="1"/>
    <col min="28" max="28" width="10.44140625" customWidth="1"/>
    <col min="29" max="29" width="10.21875" customWidth="1"/>
    <col min="30" max="30" width="2" customWidth="1"/>
    <col min="31" max="31" width="9.21875" customWidth="1"/>
    <col min="32" max="32" width="9.44140625" customWidth="1"/>
    <col min="33" max="33" width="10.44140625" customWidth="1"/>
    <col min="34" max="34" width="2.21875" customWidth="1"/>
    <col min="36" max="36" width="8" customWidth="1"/>
    <col min="38" max="38" width="2.21875" customWidth="1"/>
    <col min="39" max="39" width="6.5546875" customWidth="1"/>
    <col min="40" max="40" width="7.5546875" customWidth="1"/>
    <col min="41" max="41" width="2" customWidth="1"/>
    <col min="42" max="42" width="6.44140625" customWidth="1"/>
    <col min="43" max="43" width="7.5546875" customWidth="1"/>
    <col min="44" max="44" width="2.21875" customWidth="1"/>
    <col min="45" max="48" width="7" customWidth="1"/>
    <col min="49" max="50" width="8.44140625" customWidth="1"/>
    <col min="51" max="52" width="11" customWidth="1"/>
    <col min="53" max="53" width="9.44140625" customWidth="1"/>
    <col min="54" max="54" width="9.77734375" customWidth="1"/>
    <col min="55" max="55" width="2" customWidth="1"/>
    <col min="58" max="58" width="2.21875" customWidth="1"/>
    <col min="59" max="59" width="9" customWidth="1"/>
    <col min="60" max="61" width="8.21875" customWidth="1"/>
    <col min="62" max="62" width="8.77734375" customWidth="1"/>
    <col min="63" max="64" width="7.5546875" customWidth="1"/>
    <col min="65" max="65" width="10.5546875" customWidth="1"/>
    <col min="66" max="66" width="8.77734375" customWidth="1"/>
    <col min="67" max="68" width="10.21875" customWidth="1"/>
    <col min="69" max="70" width="10.5546875" customWidth="1"/>
    <col min="71" max="71" width="8.77734375" customWidth="1"/>
    <col min="73" max="73" width="9.77734375" customWidth="1"/>
    <col min="74" max="74" width="11.5546875" customWidth="1"/>
    <col min="75" max="75" width="12.21875" customWidth="1"/>
    <col min="76" max="76" width="9.21875" customWidth="1"/>
    <col min="78" max="78" width="7.77734375" customWidth="1"/>
    <col min="79" max="79" width="10.44140625" customWidth="1"/>
    <col min="80" max="80" width="12.44140625" bestFit="1" customWidth="1"/>
    <col min="81" max="81" width="4.5546875" customWidth="1"/>
    <col min="82" max="82" width="5" customWidth="1"/>
    <col min="83" max="83" width="9.5546875" customWidth="1"/>
    <col min="85" max="85" width="12.5546875" customWidth="1"/>
    <col min="86" max="86" width="11.5546875" customWidth="1"/>
    <col min="87" max="87" width="6.21875" customWidth="1"/>
    <col min="88" max="90" width="7.77734375" customWidth="1"/>
    <col min="91" max="91" width="6.21875" customWidth="1"/>
    <col min="92" max="92" width="9.5546875" customWidth="1"/>
    <col min="93" max="93" width="9.21875" customWidth="1"/>
    <col min="94" max="94" width="1.77734375" customWidth="1"/>
    <col min="95" max="95" width="8.44140625" customWidth="1"/>
    <col min="96" max="97" width="9.5546875" customWidth="1"/>
    <col min="98" max="98" width="8.77734375" customWidth="1"/>
    <col min="99" max="100" width="8.5546875" customWidth="1"/>
    <col min="101" max="101" width="15.44140625" customWidth="1"/>
    <col min="102" max="102" width="10.44140625" customWidth="1"/>
    <col min="103" max="103" width="7.5546875" customWidth="1"/>
    <col min="104" max="104" width="9" customWidth="1"/>
    <col min="105" max="105" width="8.77734375" customWidth="1"/>
    <col min="106" max="106" width="10" customWidth="1"/>
    <col min="107" max="107" width="9.5546875" customWidth="1"/>
    <col min="108" max="108" width="1.77734375" customWidth="1"/>
    <col min="109" max="109" width="9.77734375" customWidth="1"/>
    <col min="110" max="110" width="10.44140625" customWidth="1"/>
    <col min="111" max="111" width="10.21875" customWidth="1"/>
    <col min="112" max="112" width="2" customWidth="1"/>
    <col min="113" max="113" width="9.21875" customWidth="1"/>
    <col min="114" max="114" width="9.44140625" customWidth="1"/>
    <col min="115" max="115" width="10.44140625" customWidth="1"/>
    <col min="116" max="116" width="2.21875" customWidth="1"/>
    <col min="118" max="118" width="8" customWidth="1"/>
    <col min="120" max="120" width="2.21875" customWidth="1"/>
    <col min="121" max="121" width="6.5546875" customWidth="1"/>
    <col min="122" max="122" width="7.5546875" customWidth="1"/>
    <col min="123" max="123" width="2" customWidth="1"/>
    <col min="124" max="124" width="6.44140625" customWidth="1"/>
    <col min="125" max="125" width="7.5546875" customWidth="1"/>
    <col min="126" max="126" width="2.21875" customWidth="1"/>
    <col min="127" max="130" width="7" customWidth="1"/>
    <col min="131" max="132" width="8.44140625" customWidth="1"/>
    <col min="133" max="134" width="11" customWidth="1"/>
    <col min="135" max="135" width="9.44140625" customWidth="1"/>
    <col min="136" max="136" width="9.77734375" customWidth="1"/>
    <col min="137" max="137" width="2" customWidth="1"/>
    <col min="140" max="140" width="2.21875" customWidth="1"/>
    <col min="141" max="141" width="9" customWidth="1"/>
    <col min="142" max="143" width="8.21875" customWidth="1"/>
    <col min="145" max="146" width="7.5546875" customWidth="1"/>
    <col min="147" max="147" width="10.5546875" customWidth="1"/>
    <col min="149" max="150" width="10.21875" customWidth="1"/>
    <col min="151" max="152" width="10.5546875" customWidth="1"/>
    <col min="155" max="155" width="9.77734375" customWidth="1"/>
    <col min="156" max="156" width="11.5546875" customWidth="1"/>
    <col min="157" max="157" width="12.21875" customWidth="1"/>
    <col min="158" max="158" width="9.21875" customWidth="1"/>
    <col min="160" max="160" width="7.77734375" customWidth="1"/>
    <col min="161" max="161" width="10.44140625" customWidth="1"/>
    <col min="162" max="162" width="12.44140625" bestFit="1" customWidth="1"/>
    <col min="163" max="163" width="4.5546875" customWidth="1"/>
    <col min="164" max="164" width="5" customWidth="1"/>
    <col min="165" max="165" width="9.5546875" customWidth="1"/>
    <col min="168" max="168" width="12.21875" bestFit="1" customWidth="1"/>
  </cols>
  <sheetData>
    <row r="1" spans="2:168" ht="24.6">
      <c r="B1" s="159" t="s">
        <v>824</v>
      </c>
      <c r="M1">
        <f>Vfwd2</f>
        <v>2.5</v>
      </c>
      <c r="BB1">
        <f>Ltc</f>
        <v>4.0000000000000001E-3</v>
      </c>
      <c r="BT1">
        <f>Ta</f>
        <v>85</v>
      </c>
      <c r="CI1" s="665" t="s">
        <v>823</v>
      </c>
      <c r="CQ1">
        <f>Vfwd2</f>
        <v>2.5</v>
      </c>
      <c r="EF1">
        <f>Ltc</f>
        <v>4.0000000000000001E-3</v>
      </c>
      <c r="EX1">
        <f>Ta</f>
        <v>85</v>
      </c>
    </row>
    <row r="2" spans="2:168" ht="13.8" thickBot="1">
      <c r="M2">
        <f>Vfwd1</f>
        <v>0.7</v>
      </c>
      <c r="U2">
        <f>Isw_max</f>
        <v>66.666666666666671</v>
      </c>
      <c r="CQ2">
        <f>Vfwd1</f>
        <v>0.7</v>
      </c>
      <c r="CY2">
        <f>Isw_max</f>
        <v>66.666666666666671</v>
      </c>
    </row>
    <row r="3" spans="2:168">
      <c r="E3" s="191" t="s">
        <v>421</v>
      </c>
      <c r="F3" s="464"/>
      <c r="G3" s="464"/>
      <c r="H3" s="464"/>
      <c r="I3" s="192"/>
      <c r="J3" s="193"/>
      <c r="K3" s="452"/>
      <c r="L3" s="452"/>
      <c r="M3" s="814" t="s">
        <v>189</v>
      </c>
      <c r="N3" s="815"/>
      <c r="O3" s="817"/>
      <c r="P3" s="814"/>
      <c r="Q3" s="814"/>
      <c r="R3" s="817"/>
      <c r="S3" s="817"/>
      <c r="T3" s="817"/>
      <c r="U3" s="814"/>
      <c r="V3" s="815"/>
      <c r="W3" s="815"/>
      <c r="X3" s="814"/>
      <c r="Y3" s="815"/>
      <c r="Z3" s="814"/>
      <c r="AA3" s="816"/>
      <c r="AB3" s="461"/>
      <c r="AC3" s="461"/>
      <c r="AD3" s="461"/>
      <c r="AE3" s="461"/>
      <c r="AF3" s="461"/>
      <c r="AG3" s="461"/>
      <c r="AH3" s="461"/>
      <c r="AI3" s="461"/>
      <c r="AJ3" s="461"/>
      <c r="AK3" s="461"/>
      <c r="AL3" s="461"/>
      <c r="AM3" s="461"/>
      <c r="AN3" s="461"/>
      <c r="AO3" s="461"/>
      <c r="AP3" s="461"/>
      <c r="AQ3" s="461"/>
      <c r="AR3" s="461"/>
      <c r="AS3" s="461" t="s">
        <v>460</v>
      </c>
      <c r="AT3" s="461"/>
      <c r="AU3" s="461"/>
      <c r="AV3" s="461"/>
      <c r="AW3" s="461"/>
      <c r="AX3" s="461"/>
      <c r="AY3" s="461"/>
      <c r="AZ3" s="461"/>
      <c r="BA3" s="461" t="s">
        <v>470</v>
      </c>
      <c r="BB3" s="461"/>
      <c r="BC3" s="461"/>
      <c r="BD3" s="480" t="s">
        <v>471</v>
      </c>
      <c r="BE3" s="461"/>
      <c r="BF3" s="461"/>
      <c r="BG3" s="480" t="s">
        <v>888</v>
      </c>
      <c r="BH3" s="461"/>
      <c r="BI3" s="461"/>
      <c r="BJ3" s="461"/>
      <c r="BK3" s="461"/>
      <c r="BL3" s="461"/>
      <c r="BM3" s="461"/>
      <c r="BN3" s="461"/>
      <c r="BO3" s="480" t="s">
        <v>489</v>
      </c>
      <c r="BP3" s="461"/>
      <c r="BQ3" s="461"/>
      <c r="BR3" s="461"/>
      <c r="BS3" s="481" t="s">
        <v>490</v>
      </c>
      <c r="BT3" s="461"/>
      <c r="BU3" s="461"/>
      <c r="BV3" s="461"/>
      <c r="BW3" s="461"/>
      <c r="BX3" s="461"/>
      <c r="BY3" s="480"/>
      <c r="BZ3" s="461"/>
      <c r="CA3" s="461"/>
      <c r="CB3" s="461"/>
      <c r="CC3" s="461"/>
      <c r="CI3" s="191" t="s">
        <v>421</v>
      </c>
      <c r="CJ3" s="464"/>
      <c r="CK3" s="464"/>
      <c r="CL3" s="464"/>
      <c r="CM3" s="192"/>
      <c r="CN3" s="193"/>
      <c r="CO3" s="452"/>
      <c r="CP3" s="452"/>
      <c r="CQ3" s="814" t="s">
        <v>189</v>
      </c>
      <c r="CR3" s="815"/>
      <c r="CS3" s="817"/>
      <c r="CT3" s="814"/>
      <c r="CU3" s="814"/>
      <c r="CV3" s="817"/>
      <c r="CW3" s="817"/>
      <c r="CX3" s="817"/>
      <c r="CY3" s="814"/>
      <c r="CZ3" s="815"/>
      <c r="DA3" s="815"/>
      <c r="DB3" s="814"/>
      <c r="DC3" s="815"/>
      <c r="DD3" s="814"/>
      <c r="DE3" s="816"/>
      <c r="DF3" s="461"/>
      <c r="DG3" s="461"/>
      <c r="DH3" s="461"/>
      <c r="DI3" s="461"/>
      <c r="DJ3" s="461"/>
      <c r="DK3" s="461"/>
      <c r="DL3" s="461"/>
      <c r="DM3" s="461"/>
      <c r="DN3" s="461"/>
      <c r="DO3" s="461"/>
      <c r="DP3" s="461"/>
      <c r="DQ3" s="461"/>
      <c r="DR3" s="461"/>
      <c r="DS3" s="461"/>
      <c r="DT3" s="461"/>
      <c r="DU3" s="461"/>
      <c r="DV3" s="461"/>
      <c r="DW3" s="461" t="s">
        <v>460</v>
      </c>
      <c r="DX3" s="461"/>
      <c r="DY3" s="461"/>
      <c r="DZ3" s="461"/>
      <c r="EA3" s="461"/>
      <c r="EB3" s="461"/>
      <c r="EC3" s="461"/>
      <c r="ED3" s="461"/>
      <c r="EE3" s="461" t="s">
        <v>470</v>
      </c>
      <c r="EF3" s="461"/>
      <c r="EG3" s="461"/>
      <c r="EH3" s="480" t="s">
        <v>471</v>
      </c>
      <c r="EI3" s="461"/>
      <c r="EJ3" s="461"/>
      <c r="EK3" s="480" t="s">
        <v>493</v>
      </c>
      <c r="EL3" s="461"/>
      <c r="EM3" s="461"/>
      <c r="EN3" s="461"/>
      <c r="EO3" s="461"/>
      <c r="EP3" s="461"/>
      <c r="EQ3" s="461"/>
      <c r="ER3" s="461"/>
      <c r="ES3" s="480" t="s">
        <v>489</v>
      </c>
      <c r="ET3" s="461"/>
      <c r="EU3" s="461"/>
      <c r="EV3" s="461"/>
      <c r="EW3" s="481" t="s">
        <v>490</v>
      </c>
      <c r="EX3" s="461"/>
      <c r="EY3" s="461"/>
      <c r="EZ3" s="461"/>
      <c r="FA3" s="461"/>
      <c r="FB3" s="461"/>
      <c r="FC3" s="480"/>
      <c r="FD3" s="461"/>
      <c r="FE3" s="461"/>
      <c r="FF3" s="461"/>
      <c r="FG3" s="461"/>
    </row>
    <row r="4" spans="2:168" ht="45" customHeight="1" thickBot="1">
      <c r="E4" s="211" t="s">
        <v>25</v>
      </c>
      <c r="F4" s="380" t="s">
        <v>194</v>
      </c>
      <c r="G4" s="230"/>
      <c r="H4" s="455" t="s">
        <v>223</v>
      </c>
      <c r="I4" s="212" t="s">
        <v>412</v>
      </c>
      <c r="J4" s="213" t="s">
        <v>418</v>
      </c>
      <c r="K4" s="455" t="s">
        <v>413</v>
      </c>
      <c r="L4" s="455"/>
      <c r="M4" s="214" t="s">
        <v>48</v>
      </c>
      <c r="N4" s="455" t="s">
        <v>402</v>
      </c>
      <c r="O4" s="455" t="s">
        <v>656</v>
      </c>
      <c r="P4" s="455" t="s">
        <v>403</v>
      </c>
      <c r="Q4" s="455" t="s">
        <v>433</v>
      </c>
      <c r="R4" s="455" t="s">
        <v>654</v>
      </c>
      <c r="S4" s="455" t="s">
        <v>657</v>
      </c>
      <c r="T4" s="455" t="s">
        <v>655</v>
      </c>
      <c r="U4" s="455" t="s">
        <v>414</v>
      </c>
      <c r="V4" s="455" t="s">
        <v>466</v>
      </c>
      <c r="W4" s="455" t="s">
        <v>465</v>
      </c>
      <c r="X4" s="469" t="s">
        <v>420</v>
      </c>
      <c r="Y4" s="466" t="s">
        <v>425</v>
      </c>
      <c r="AA4" s="215" t="s">
        <v>417</v>
      </c>
      <c r="AB4" s="215" t="s">
        <v>464</v>
      </c>
      <c r="AC4" s="215" t="s">
        <v>423</v>
      </c>
      <c r="AD4" s="468"/>
      <c r="AE4" s="215" t="s">
        <v>463</v>
      </c>
      <c r="AF4" s="215" t="s">
        <v>681</v>
      </c>
      <c r="AG4" s="215" t="s">
        <v>427</v>
      </c>
      <c r="AH4" s="468"/>
      <c r="AI4" s="215" t="s">
        <v>429</v>
      </c>
      <c r="AJ4" s="470" t="s">
        <v>430</v>
      </c>
      <c r="AK4" s="470" t="s">
        <v>431</v>
      </c>
      <c r="AM4" s="467" t="s">
        <v>275</v>
      </c>
      <c r="AN4" s="467" t="s">
        <v>432</v>
      </c>
      <c r="AP4" s="215" t="s">
        <v>275</v>
      </c>
      <c r="AQ4" s="215" t="s">
        <v>432</v>
      </c>
      <c r="AR4" s="471"/>
      <c r="AS4" s="215" t="s">
        <v>467</v>
      </c>
      <c r="AT4" s="215" t="s">
        <v>461</v>
      </c>
      <c r="AU4" s="215" t="s">
        <v>462</v>
      </c>
      <c r="AV4" s="215" t="s">
        <v>653</v>
      </c>
      <c r="AW4" s="215" t="s">
        <v>48</v>
      </c>
      <c r="AX4" s="471" t="s">
        <v>651</v>
      </c>
      <c r="AY4" s="468" t="s">
        <v>650</v>
      </c>
      <c r="AZ4" s="468" t="s">
        <v>652</v>
      </c>
      <c r="BA4" s="215" t="s">
        <v>481</v>
      </c>
      <c r="BB4" s="215" t="s">
        <v>514</v>
      </c>
      <c r="BC4" s="468"/>
      <c r="BD4" s="479" t="s">
        <v>456</v>
      </c>
      <c r="BE4" s="215" t="s">
        <v>457</v>
      </c>
      <c r="BF4" s="468"/>
      <c r="BG4" s="479" t="s">
        <v>474</v>
      </c>
      <c r="BH4" s="215" t="s">
        <v>475</v>
      </c>
      <c r="BI4" s="215" t="s">
        <v>473</v>
      </c>
      <c r="BJ4" s="215" t="s">
        <v>469</v>
      </c>
      <c r="BK4" s="215" t="s">
        <v>478</v>
      </c>
      <c r="BL4" s="215" t="s">
        <v>777</v>
      </c>
      <c r="BM4" s="215" t="s">
        <v>776</v>
      </c>
      <c r="BN4" s="215" t="s">
        <v>491</v>
      </c>
      <c r="BO4" s="479" t="s">
        <v>476</v>
      </c>
      <c r="BP4" s="215" t="s">
        <v>477</v>
      </c>
      <c r="BQ4" s="215" t="s">
        <v>483</v>
      </c>
      <c r="BR4" s="215" t="s">
        <v>487</v>
      </c>
      <c r="BS4" s="479" t="s">
        <v>458</v>
      </c>
      <c r="BT4" s="215" t="s">
        <v>459</v>
      </c>
      <c r="BU4" s="215" t="s">
        <v>468</v>
      </c>
      <c r="BV4" s="215" t="s">
        <v>666</v>
      </c>
      <c r="BW4" s="215" t="s">
        <v>484</v>
      </c>
      <c r="BX4" s="215" t="s">
        <v>667</v>
      </c>
      <c r="BY4" s="479" t="s">
        <v>482</v>
      </c>
      <c r="BZ4" s="215" t="s">
        <v>223</v>
      </c>
      <c r="CA4" s="215" t="s">
        <v>47</v>
      </c>
      <c r="CB4" s="215" t="s">
        <v>485</v>
      </c>
      <c r="CC4" s="215"/>
      <c r="CE4" s="490" t="s">
        <v>664</v>
      </c>
      <c r="CF4" s="490" t="s">
        <v>665</v>
      </c>
      <c r="CG4" s="667" t="s">
        <v>828</v>
      </c>
      <c r="CI4" s="211" t="s">
        <v>25</v>
      </c>
      <c r="CJ4" s="380" t="s">
        <v>194</v>
      </c>
      <c r="CK4" s="230"/>
      <c r="CL4" s="455" t="s">
        <v>223</v>
      </c>
      <c r="CM4" s="212" t="s">
        <v>412</v>
      </c>
      <c r="CN4" s="213" t="s">
        <v>418</v>
      </c>
      <c r="CO4" s="455" t="s">
        <v>413</v>
      </c>
      <c r="CP4" s="455"/>
      <c r="CQ4" s="214" t="s">
        <v>48</v>
      </c>
      <c r="CR4" s="455" t="s">
        <v>402</v>
      </c>
      <c r="CS4" s="455" t="s">
        <v>656</v>
      </c>
      <c r="CT4" s="455" t="s">
        <v>403</v>
      </c>
      <c r="CU4" s="455" t="s">
        <v>433</v>
      </c>
      <c r="CV4" s="455" t="s">
        <v>654</v>
      </c>
      <c r="CW4" s="455" t="s">
        <v>657</v>
      </c>
      <c r="CX4" s="455" t="s">
        <v>655</v>
      </c>
      <c r="CY4" s="455" t="s">
        <v>414</v>
      </c>
      <c r="CZ4" s="455" t="s">
        <v>466</v>
      </c>
      <c r="DA4" s="455" t="s">
        <v>465</v>
      </c>
      <c r="DB4" s="469" t="s">
        <v>420</v>
      </c>
      <c r="DC4" s="466" t="s">
        <v>425</v>
      </c>
      <c r="DE4" s="215" t="s">
        <v>417</v>
      </c>
      <c r="DF4" s="215" t="s">
        <v>464</v>
      </c>
      <c r="DG4" s="215" t="s">
        <v>423</v>
      </c>
      <c r="DH4" s="468"/>
      <c r="DI4" s="215" t="s">
        <v>463</v>
      </c>
      <c r="DJ4" s="215" t="s">
        <v>681</v>
      </c>
      <c r="DK4" s="215" t="s">
        <v>427</v>
      </c>
      <c r="DL4" s="468"/>
      <c r="DM4" s="215" t="s">
        <v>429</v>
      </c>
      <c r="DN4" s="470" t="s">
        <v>430</v>
      </c>
      <c r="DO4" s="470" t="s">
        <v>431</v>
      </c>
      <c r="DQ4" s="467" t="s">
        <v>275</v>
      </c>
      <c r="DR4" s="467" t="s">
        <v>432</v>
      </c>
      <c r="DT4" s="215" t="s">
        <v>275</v>
      </c>
      <c r="DU4" s="215" t="s">
        <v>432</v>
      </c>
      <c r="DV4" s="471"/>
      <c r="DW4" s="215" t="s">
        <v>467</v>
      </c>
      <c r="DX4" s="215" t="s">
        <v>461</v>
      </c>
      <c r="DY4" s="215" t="s">
        <v>462</v>
      </c>
      <c r="DZ4" s="215" t="s">
        <v>653</v>
      </c>
      <c r="EA4" s="215" t="s">
        <v>48</v>
      </c>
      <c r="EB4" s="471" t="s">
        <v>651</v>
      </c>
      <c r="EC4" s="468" t="s">
        <v>650</v>
      </c>
      <c r="ED4" s="468" t="s">
        <v>652</v>
      </c>
      <c r="EE4" s="215" t="s">
        <v>481</v>
      </c>
      <c r="EF4" s="215" t="s">
        <v>514</v>
      </c>
      <c r="EG4" s="468"/>
      <c r="EH4" s="479" t="s">
        <v>456</v>
      </c>
      <c r="EI4" s="215" t="s">
        <v>457</v>
      </c>
      <c r="EJ4" s="468"/>
      <c r="EK4" s="479" t="s">
        <v>474</v>
      </c>
      <c r="EL4" s="215" t="s">
        <v>475</v>
      </c>
      <c r="EM4" s="215" t="s">
        <v>473</v>
      </c>
      <c r="EN4" s="215" t="s">
        <v>469</v>
      </c>
      <c r="EO4" s="215" t="s">
        <v>478</v>
      </c>
      <c r="EP4" s="215" t="s">
        <v>777</v>
      </c>
      <c r="EQ4" s="215" t="s">
        <v>776</v>
      </c>
      <c r="ER4" s="215" t="s">
        <v>491</v>
      </c>
      <c r="ES4" s="479" t="s">
        <v>476</v>
      </c>
      <c r="ET4" s="215" t="s">
        <v>477</v>
      </c>
      <c r="EU4" s="215" t="s">
        <v>483</v>
      </c>
      <c r="EV4" s="215" t="s">
        <v>487</v>
      </c>
      <c r="EW4" s="479" t="s">
        <v>458</v>
      </c>
      <c r="EX4" s="215" t="s">
        <v>459</v>
      </c>
      <c r="EY4" s="215" t="s">
        <v>468</v>
      </c>
      <c r="EZ4" s="215" t="s">
        <v>666</v>
      </c>
      <c r="FA4" s="215" t="s">
        <v>484</v>
      </c>
      <c r="FB4" s="215" t="s">
        <v>667</v>
      </c>
      <c r="FC4" s="479" t="s">
        <v>482</v>
      </c>
      <c r="FD4" s="215" t="s">
        <v>223</v>
      </c>
      <c r="FE4" s="215" t="s">
        <v>47</v>
      </c>
      <c r="FF4" s="215" t="s">
        <v>485</v>
      </c>
      <c r="FG4" s="215"/>
      <c r="FI4" s="490" t="s">
        <v>664</v>
      </c>
      <c r="FJ4" s="490" t="s">
        <v>665</v>
      </c>
      <c r="FL4" t="s">
        <v>825</v>
      </c>
    </row>
    <row r="5" spans="2:168">
      <c r="E5" s="147">
        <v>0.1</v>
      </c>
      <c r="F5" s="188">
        <v>1.0000000000000001E-9</v>
      </c>
      <c r="G5" s="188"/>
      <c r="H5" s="188">
        <f t="shared" ref="H5:H36" si="0">F5*Vout</f>
        <v>1.7000000000000001E-7</v>
      </c>
      <c r="I5" s="465">
        <f t="shared" ref="I5:I36" si="1">Vin-F5*(Rdcr_pri+RON/1000)/CG5/Nps</f>
        <v>11.999989351969404</v>
      </c>
      <c r="J5" s="149">
        <f t="shared" ref="J5:J36" si="2">(T5+Vfwd1+F5/CG5*Rdcr_sec)*Nps</f>
        <v>8.5350010865337342</v>
      </c>
      <c r="K5" s="149">
        <f t="shared" ref="K5:K36" si="3">(Vout+Vfwd1+F5/CG5*Rdcr_sec)*Nps+VIN_nom</f>
        <v>20.535001086533732</v>
      </c>
      <c r="L5" s="379"/>
      <c r="M5" s="188">
        <f t="shared" ref="M5:M36" si="4">(Vout+Vfwd1+F5/FL5*Rdcr_sec)*Nps/((Vout+Vfwd1+F5/FL5*Rdcr_sec)*Nps+I5)</f>
        <v>0.41563209456559913</v>
      </c>
      <c r="N5" s="149">
        <f t="shared" ref="N5:N36" si="5">M5*I5*(Isw_max+VIN_nom/Lmag*ILIM_delay)*0.5*Efficiency</f>
        <v>166.85119998922585</v>
      </c>
      <c r="O5" s="149">
        <f>T5*F5</f>
        <v>1.7000000000000001E-7</v>
      </c>
      <c r="P5" s="188">
        <f t="shared" ref="P5:P36" si="6">N5/Vout</f>
        <v>0.98147764699544615</v>
      </c>
      <c r="Q5" s="188">
        <f t="shared" ref="Q5:Q36" si="7">MIN(Vout,N5/F5)</f>
        <v>170</v>
      </c>
      <c r="R5" s="188">
        <f t="shared" ref="R5:R36" si="8">Isw_max/2*I5*Nps*(Q5+Vfwd1+F5/FL5*Rdcr_sec)/Q5/(I5+Nps*(Q5+Vfwd1+F5/FL5*Rdcr_sec))</f>
        <v>0.97795700178900602</v>
      </c>
      <c r="S5" s="149">
        <f t="shared" ref="S5:S36" si="9">(SQRT(Isw_max^2*Nps^2*I5^2+4*Isw_max*F5/Efficiency*(Nps^2*Vfwd1*I5-Nps*I5^2)+4*(F5/Efficiency)^2*Nps^2*Vfwd1^2+8*(F5/Efficiency)^2*Nps*Vfwd1*I5+4*(F5/Efficiency)^2*I5^2)-2*F5/Efficiency*I5-2*F5/Efficiency*Nps*Vfwd1+Isw_max*Nps*I5)/(4*F5/Efficiency*Nps)</f>
        <v>399999644825.64697</v>
      </c>
      <c r="T5" s="149">
        <f t="shared" ref="T5:T36" si="10">MIN(Vout, S5)</f>
        <v>170</v>
      </c>
      <c r="U5" s="188">
        <f>MIN(2*(Vout+Vfwd1+F5/FL5*Rdcr_sec)*F5/(I5*M5), Isw_max)</f>
        <v>6.8450028873959559E-8</v>
      </c>
      <c r="V5" s="188">
        <f t="shared" ref="V5:V68" si="11">L*U5/I5*1000000</f>
        <v>8.5562612015225346E-9</v>
      </c>
      <c r="W5" s="188">
        <f t="shared" ref="W5:W36" si="12">L*U5/J5*1000000</f>
        <v>1.2029880520218904E-8</v>
      </c>
      <c r="X5" s="172">
        <f t="shared" ref="X5:X36" si="13">IF(1/((350000*L)*(1/I5+1/J5))&gt;Isw_min, 350, 0.001/((Isw_min*L)*(1/I5+1/J5)))</f>
        <v>249.37903541804087</v>
      </c>
      <c r="Y5" s="379">
        <f t="shared" ref="Y5:Y68" si="14">MIN(1/(V5+W5+0.2)*1000, 350)</f>
        <v>350</v>
      </c>
      <c r="AA5" s="188">
        <f t="shared" ref="AA5:AA36" si="15">1/((X5*1000*L)*(1/I5+1/J5))</f>
        <v>13.333333333333332</v>
      </c>
      <c r="AB5" s="150">
        <f t="shared" ref="AB5:AB36" si="16">L*AA5/J5*1000000</f>
        <v>2.3432920274088063</v>
      </c>
      <c r="AC5" s="150">
        <f t="shared" ref="AC5:AC36" si="17">0.5*AB5*AA5*Nps*X5/1000</f>
        <v>0.19478930183266449</v>
      </c>
      <c r="AD5" s="150"/>
      <c r="AE5" s="150">
        <f t="shared" ref="AE5:AE36" si="18">L*Isw_min/J5*1000000</f>
        <v>2.3432920274088067</v>
      </c>
      <c r="AF5" s="314">
        <f>MAX(12, F5/(0.5*AE5/1000000*Isw_min*Nps)/1000)</f>
        <v>12</v>
      </c>
      <c r="AG5" s="456">
        <f t="shared" ref="AG5:AG36" si="19">0.5*AE5/1000000*Isw_min*Nps*X5*1000</f>
        <v>0.19478930183266455</v>
      </c>
      <c r="AI5" s="150">
        <f t="shared" ref="AI5:AI36" si="20">SQRT(F5/Efficiency/(0.5*L/J5*Fsw_DCM*Nps))</f>
        <v>8.0640299916929679E-4</v>
      </c>
      <c r="AJ5" s="150">
        <f t="shared" ref="AJ5:AJ36" si="21">MAX(IF(F5&gt;AC5,U5,AI5),Isw_min)</f>
        <v>13.333333333333334</v>
      </c>
      <c r="AK5" s="150">
        <f t="shared" ref="AK5:AK36" si="22">IF(F5&gt;AG5, (AJ5-Isw_min)/1.08*0.8+1.2, AF5*0.2/350+1)</f>
        <v>1.0068571428571429</v>
      </c>
      <c r="AM5" s="314">
        <f t="shared" ref="AM5:AM36" si="23">F5*1000</f>
        <v>1.0000000000000002E-6</v>
      </c>
      <c r="AN5" s="144">
        <f t="shared" ref="AN5:AN36" si="24">IF(F5&gt;AG5, Y5, AF5)</f>
        <v>12</v>
      </c>
      <c r="AP5">
        <f t="shared" ref="AP5:AP36" si="25">IF(H5&gt;N5, "",AM5)</f>
        <v>1.0000000000000002E-6</v>
      </c>
      <c r="AQ5" s="144">
        <f t="shared" ref="AQ5:AQ36" si="26">IF(H5&gt;N5, "",AN5)</f>
        <v>12</v>
      </c>
      <c r="AR5" s="144"/>
      <c r="AS5" s="5">
        <f>1/AN5*1000</f>
        <v>83.333333333333329</v>
      </c>
      <c r="AT5" s="5">
        <f t="shared" ref="AT5:AT36" si="27">L*AJ5/I5*1000000</f>
        <v>1.6666681455611174</v>
      </c>
      <c r="AU5" s="5">
        <f>AS5-AT5</f>
        <v>81.66666518777221</v>
      </c>
      <c r="AV5" s="5">
        <f t="shared" ref="AV5:AV36" si="28">L*AJ5/J5*1000000</f>
        <v>2.3432920274088067</v>
      </c>
      <c r="AW5" s="150">
        <f>AT5/AS5</f>
        <v>2.000001774673341E-2</v>
      </c>
      <c r="AX5" s="150">
        <f t="shared" ref="AX5:AX36" si="29">0.5*L*AJ5^2*AN5*1000</f>
        <v>1.6000000000000003</v>
      </c>
      <c r="AY5" s="150">
        <f t="shared" ref="AY5:AY36" si="30">AJ5*Nps/2*(1-AW5)</f>
        <v>0.32666666075108891</v>
      </c>
      <c r="AZ5" s="150">
        <f>AX5/AY5</f>
        <v>4.8979592723701817</v>
      </c>
      <c r="BA5" s="144">
        <f t="shared" ref="BA5:BA36" si="31">F5*AT5/Vout_ripple*1000</f>
        <v>9.8039302680065731E-10</v>
      </c>
      <c r="BB5" s="5">
        <f t="shared" ref="BB5:BB36" si="32">H5/Efficiency/I5*AU5/Vinripple1</f>
        <v>1.9282424168210868E-6</v>
      </c>
      <c r="BC5" s="5"/>
      <c r="BD5" s="150">
        <f>AJ5*SQRT(AW5/3)</f>
        <v>1.0886625909084326</v>
      </c>
      <c r="BE5" s="150">
        <f t="shared" ref="BE5:BE36" si="33">AJ5*Nps*SQRT((1-AW5)/3)</f>
        <v>0.38103173431623716</v>
      </c>
      <c r="BF5" s="150"/>
      <c r="BG5" s="456">
        <f t="shared" ref="BG5:BG36" si="34">Rdson*BD5^2</f>
        <v>4.0296332052677684E-3</v>
      </c>
      <c r="BH5" s="456">
        <f t="shared" ref="BH5:BH36" si="35">0.5*K5*AJ5*AN5*1000*Tfall</f>
        <v>7.8690124163597275E-2</v>
      </c>
      <c r="BI5" s="456">
        <f t="shared" ref="BI5:BI36" si="36">Qg*Vdd*AN5*1000*0+Qg*I5*AN5*1000</f>
        <v>6.5951941478423846E-3</v>
      </c>
      <c r="BJ5" s="456">
        <f t="shared" ref="BJ5:BJ36" si="37">0.5*(Coss+Csw)*K5^2*AN5*1000</f>
        <v>3.4662611363088002E-3</v>
      </c>
      <c r="BK5">
        <f t="shared" ref="BK5:BK36" si="38">I5*IQ</f>
        <v>5.3999952083862313E-3</v>
      </c>
      <c r="BL5" s="144">
        <f>(BK5+BI5)*1000</f>
        <v>11.995189356228616</v>
      </c>
      <c r="BM5" s="456">
        <f t="shared" ref="BM5:BM36" si="39">(BH5+BI5*0+BJ5+BK5*0+BG5*(1+RdsonTC*(Ta-25)))/(1-BG5*RdsonTC*ThetaJA)</f>
        <v>8.7357659262096626E-2</v>
      </c>
      <c r="BN5" s="144">
        <f>BM5*1000</f>
        <v>87.357659262096632</v>
      </c>
      <c r="BO5" s="456">
        <f>Vfwd2*F5*(1+Diode_TC/1000*(Ta-25))</f>
        <v>2.21875E-9</v>
      </c>
      <c r="BP5" s="456"/>
      <c r="BR5" s="144">
        <f>SUM(BO5:BQ5)*1000</f>
        <v>2.2187500000000001E-6</v>
      </c>
      <c r="BS5" s="456">
        <f t="shared" ref="BS5:BS36" si="40">Rdcr_pri*BD5^2</f>
        <v>1.777779355265192E-3</v>
      </c>
      <c r="BT5" s="456">
        <f t="shared" ref="BT5:BT36" si="41">Rdcr_sec*BE5^2</f>
        <v>2.9037036511207912E-2</v>
      </c>
      <c r="BU5" s="456">
        <f t="shared" ref="BU5:BU36" si="42">AJ5^2.5*AN5^2.5*k_core*0+BZ5*0.015</f>
        <v>2.5500000000000001E-9</v>
      </c>
      <c r="BV5" s="456">
        <f t="shared" ref="BV5:BV36" si="43">(BU5+(BS5+BT5)*(1+Ltc*(Ta-25)))/(1-(BS5+BT5)*Ltc*ThetaCa)</f>
        <v>3.8304802659687436E-2</v>
      </c>
      <c r="BW5" s="456">
        <f t="shared" ref="BW5:BW36" si="44">0.5*Lleak*0.000000001*AJ5^2*AN5*1000</f>
        <v>2.1333333333333339E-3</v>
      </c>
      <c r="BX5" s="144">
        <f>1000*(BV5+BW5)</f>
        <v>40.438135993020772</v>
      </c>
      <c r="BY5" s="150">
        <f t="shared" ref="BY5:BY68" si="45">SUM(BM5,BO5:BQ5,BV5, BW5)+BK5+BI5</f>
        <v>0.139790986830096</v>
      </c>
      <c r="BZ5" s="5">
        <f>MIN(H5,O5)</f>
        <v>1.7000000000000001E-7</v>
      </c>
      <c r="CA5" s="150">
        <f>BZ5/(BZ5+BY5)</f>
        <v>1.2160998152881748E-6</v>
      </c>
      <c r="CB5" s="5">
        <f>CA5*100</f>
        <v>1.2160998152881747E-4</v>
      </c>
      <c r="CE5" s="59">
        <f t="shared" ref="CE5:CE36" si="46">IF(ABS(F5-Ioutmax_Vinnom)&lt;Iout/200, AN5, -50)</f>
        <v>-50</v>
      </c>
      <c r="CF5">
        <f t="shared" ref="CF5:CF36" si="47">IF(ABS(F5-Ioutmax_Vinnom)&lt;Iout/200, N5*CA5, -50)</f>
        <v>-50</v>
      </c>
      <c r="CG5" s="150">
        <f t="shared" ref="CG5:CG36" si="48">MIN(SQRT(2*DU5*1000*Ls1_*CL5)/CU5,1-EA5-0.00000005*DU5*1000)</f>
        <v>9.2035798661684451E-6</v>
      </c>
      <c r="CI5" s="147">
        <v>0.1</v>
      </c>
      <c r="CJ5" s="188">
        <v>1.0000000000000001E-9</v>
      </c>
      <c r="CK5" s="188"/>
      <c r="CL5" s="188">
        <f t="shared" ref="CL5:CL68" si="49">CJ5*Vout</f>
        <v>1.7000000000000001E-7</v>
      </c>
      <c r="CM5" s="465">
        <f t="shared" ref="CM5:CM68" si="50">Vin</f>
        <v>12</v>
      </c>
      <c r="CN5" s="149">
        <f t="shared" ref="CN5:CN68" si="51">(CX5+Vfwd1)*Nps</f>
        <v>8.5350000000000001</v>
      </c>
      <c r="CO5" s="379">
        <f t="shared" ref="CO5:CO68" si="52">(Vout+Vfwd1)*Nps+CM5</f>
        <v>20.535</v>
      </c>
      <c r="CP5" s="379"/>
      <c r="CQ5" s="188">
        <f t="shared" ref="CQ5:CQ68" si="53">(Vout+Vfwd1)*Nps/((Vout+Vfwd1)*Nps+CM5)</f>
        <v>0.4156318480642805</v>
      </c>
      <c r="CR5" s="149">
        <f t="shared" ref="CR5:CR68" si="54">CQ5*CM5*(Isw_max+VIN_nom/Lmag*ILIM_delay)*0.5*Efficiency</f>
        <v>166.85124908692478</v>
      </c>
      <c r="CS5" s="149">
        <f>CX5*CJ5</f>
        <v>1.7000000000000001E-7</v>
      </c>
      <c r="CT5" s="188">
        <f t="shared" ref="CT5:CT68" si="55">CR5/Vout</f>
        <v>0.98147793580543985</v>
      </c>
      <c r="CU5" s="188">
        <f t="shared" ref="CU5:CU68" si="56">MIN(Vout,CR5/CJ5)</f>
        <v>170</v>
      </c>
      <c r="CV5" s="188">
        <f t="shared" ref="CV5:CV68" si="57">Isw_max/2*CM5*Nps*(CU5+Vfwd1)/CU5/(CM5+Nps*(CU5+Vfwd1))</f>
        <v>0.97795728956301287</v>
      </c>
      <c r="CW5" s="149">
        <f t="shared" ref="CW5:CW68" si="58">(SQRT(Isw_max^2*Nps^2*CM5^2+4*Isw_max*CJ5/Efficiency*(Nps^2*Vfwd1*CM5-Nps*CM5^2)+4*(CJ5/Efficiency)^2*Nps^2*Vfwd1^2+8*(CJ5/Efficiency)^2*Nps*Vfwd1*CM5+4*(CJ5/Efficiency)^2*CM5^2)-2*CJ5/Efficiency*CM5-2*CJ5/Efficiency*Nps*Vfwd1+Isw_max*Nps*CM5)/(4*CJ5/Efficiency*Nps)</f>
        <v>399999999760</v>
      </c>
      <c r="CX5" s="149">
        <f t="shared" ref="CX5:CX68" si="59">MIN(Vout, CW5)</f>
        <v>170</v>
      </c>
      <c r="CY5" s="188">
        <f t="shared" ref="CY5:CY68" si="60">MIN(2*Vout*CJ5/(CM5*CQ5), Isw_max)</f>
        <v>6.8169302870533099E-8</v>
      </c>
      <c r="CZ5" s="188">
        <f t="shared" ref="CZ5:CZ68" si="61">L*CY5/CM5*1000000</f>
        <v>8.5211628588166374E-9</v>
      </c>
      <c r="DA5" s="188">
        <f t="shared" ref="DA5:DA68" si="62">L*CY5/CN5*1000000</f>
        <v>1.1980545319953092E-8</v>
      </c>
      <c r="DB5" s="172">
        <f t="shared" ref="DB5:DB68" si="63">IF(1/((350000*L)*(1/CM5+1/CN5))&gt;Isw_min, 350, 0.001/((Isw_min*L)*(1/CM5+1/CN5)))</f>
        <v>249.37910883856827</v>
      </c>
      <c r="DC5" s="379">
        <f>MIN(1/(CZ5+DA5)*1000, 350)</f>
        <v>350</v>
      </c>
      <c r="DE5" s="188">
        <f t="shared" ref="DE5:DE68" si="64">1/((DB5*1000*L)*(1/CM5+1/CN5))</f>
        <v>13.333333333333334</v>
      </c>
      <c r="DF5" s="150">
        <f t="shared" ref="DF5:DF68" si="65">L*DE5/CN5*1000000</f>
        <v>2.3432923257176337</v>
      </c>
      <c r="DG5" s="150">
        <f t="shared" ref="DG5:DG68" si="66">0.5*DF5*DE5*Nps*DB5/1000</f>
        <v>0.19478938397857323</v>
      </c>
      <c r="DH5" s="150"/>
      <c r="DI5" s="150">
        <f t="shared" ref="DI5:DI68" si="67">L*Isw_min/CN5*1000000</f>
        <v>2.3432923257176337</v>
      </c>
      <c r="DJ5" s="314">
        <f>MAX(12, CJ5/(0.5*DI5/1000000*Isw_min*Nps)/1000)</f>
        <v>12</v>
      </c>
      <c r="DK5" s="456">
        <f t="shared" ref="DK5:DK68" si="68">0.5*DI5/1000000*Isw_min*Nps*DB5*1000</f>
        <v>0.19478938397857321</v>
      </c>
      <c r="DM5" s="150">
        <f t="shared" ref="DM5:DM68" si="69">SQRT(CJ5/Efficiency/(0.5*L/CN5*Fsw_DCM*Nps))</f>
        <v>8.0640294784041695E-4</v>
      </c>
      <c r="DN5" s="150">
        <f t="shared" ref="DN5:DN68" si="70">MAX(IF(CJ5&gt;DG5,CY5,DM5),Isw_min)</f>
        <v>13.333333333333334</v>
      </c>
      <c r="DO5" s="150">
        <f t="shared" ref="DO5:DO68" si="71">IF(CJ5&gt;DK5, (DN5-Isw_min)/1.08*0.8+1.2, DJ5*0.2/350+1)</f>
        <v>1.0068571428571429</v>
      </c>
      <c r="DQ5" s="314">
        <f t="shared" ref="DQ5:DQ68" si="72">CJ5*1000</f>
        <v>1.0000000000000002E-6</v>
      </c>
      <c r="DR5" s="144">
        <f t="shared" ref="DR5:DR68" si="73">IF(CJ5&gt;DK5, DC5, DJ5)</f>
        <v>12</v>
      </c>
      <c r="DT5">
        <f t="shared" ref="DT5:DT68" si="74">IF(CL5&gt;CR5, "",DQ5)</f>
        <v>1.0000000000000002E-6</v>
      </c>
      <c r="DU5" s="144">
        <f t="shared" ref="DU5:DU68" si="75">IF(CL5&gt;CR5, "",DR5)</f>
        <v>12</v>
      </c>
      <c r="DV5" s="144"/>
      <c r="DW5" s="5">
        <f>1/DR5*1000</f>
        <v>83.333333333333329</v>
      </c>
      <c r="DX5" s="5">
        <f t="shared" ref="DX5:DX68" si="76">L*DN5/CM5*1000000</f>
        <v>1.666666666666667</v>
      </c>
      <c r="DY5" s="5">
        <f>DW5-DX5</f>
        <v>81.666666666666657</v>
      </c>
      <c r="DZ5" s="5">
        <f t="shared" ref="DZ5:DZ68" si="77">L*DN5/CN5*1000000</f>
        <v>2.3432923257176337</v>
      </c>
      <c r="EA5" s="150">
        <f>DX5/DW5</f>
        <v>2.0000000000000004E-2</v>
      </c>
      <c r="EB5" s="150">
        <f t="shared" ref="EB5:EB68" si="78">0.5*L*DN5^2*DR5*1000</f>
        <v>1.6000000000000003</v>
      </c>
      <c r="EC5" s="150">
        <f t="shared" ref="EC5:EC68" si="79">DN5*Nps/2*(1-EA5)</f>
        <v>0.32666666666666672</v>
      </c>
      <c r="ED5" s="150">
        <f>EB5/EC5</f>
        <v>4.8979591836734695</v>
      </c>
      <c r="EE5" s="144">
        <f t="shared" ref="EE5:EE68" si="80">CJ5*DX5/Vout_ripple*1000</f>
        <v>9.8039215686274534E-10</v>
      </c>
      <c r="EF5" s="5">
        <f t="shared" ref="EF5:EF68" si="81">CL5/Efficiency/CM5*DY5/Vinripple1</f>
        <v>1.9282407407407405E-6</v>
      </c>
      <c r="EG5" s="5"/>
      <c r="EH5" s="150">
        <f>DN5*SQRT(EA5/3)</f>
        <v>1.0886621079036349</v>
      </c>
      <c r="EI5" s="150">
        <f t="shared" ref="EI5:EI68" si="82">DN5*Nps*SQRT((1-EA5)/3)</f>
        <v>0.38103173776627214</v>
      </c>
      <c r="EJ5" s="150"/>
      <c r="EK5" s="456">
        <f t="shared" ref="EK5:EK68" si="83">Rdson*EH5^2</f>
        <v>4.0296296296296304E-3</v>
      </c>
      <c r="EL5" s="456">
        <f t="shared" ref="EL5:EL68" si="84">0.5*CO5*DN5*DR5*1000*Trise</f>
        <v>9.9882240000000011E-2</v>
      </c>
      <c r="EM5" s="456">
        <f t="shared" ref="EM5:EM68" si="85">Qg*Vdd*DR5*1000</f>
        <v>2.7479999999999996E-3</v>
      </c>
      <c r="EN5" s="456">
        <f t="shared" ref="EN5:EN68" si="86">0.5*(Coss+Csw)*CO5^2*DR5*1000</f>
        <v>3.4662607694999998E-3</v>
      </c>
      <c r="EO5">
        <f t="shared" ref="EO5:EO68" si="87">CM5*IQ</f>
        <v>5.4000000000000003E-3</v>
      </c>
      <c r="EP5" s="144">
        <f>(EO5+EM5)*1000</f>
        <v>8.1479999999999997</v>
      </c>
      <c r="EQ5" s="456">
        <f t="shared" ref="EQ5:EQ68" si="88">(EL5+EM5+EN5+EO5+EK5*(1+RdsonTC*(Ta-25)))/(1-EK5*RdsonTC*ThetaJA)</f>
        <v>0.11672588843375165</v>
      </c>
      <c r="ER5" s="144">
        <f>EQ5*1000</f>
        <v>116.72588843375165</v>
      </c>
      <c r="ES5" s="456">
        <f>Vfwd2*CJ5*(1+Diode_TC/1000*(Ta-25))</f>
        <v>2.21875E-9</v>
      </c>
      <c r="ET5" s="456"/>
      <c r="EV5" s="144">
        <f>SUM(ES5:EU5)*1000</f>
        <v>2.2187500000000001E-6</v>
      </c>
      <c r="EW5" s="456">
        <f t="shared" ref="EW5:EW68" si="89">Rdcr_pri*EH5^2</f>
        <v>1.7777777777777783E-3</v>
      </c>
      <c r="EX5" s="456">
        <f t="shared" ref="EX5:EX68" si="90">Rdcr_sec*EI5^2</f>
        <v>2.9037037037037035E-2</v>
      </c>
      <c r="EY5" s="456">
        <f t="shared" ref="EY5:EY68" si="91">DN5^2.5*DR5^2.5*k_core</f>
        <v>1.6190861620062107E-2</v>
      </c>
      <c r="EZ5" s="456">
        <f t="shared" ref="EZ5:EZ68" si="92">(EY5+(EW5+EX5)*(1+Ltc*(Ta-25)))/(1-(EW5+EX5)*Ltc*ThetaCa)</f>
        <v>5.4535672522398805E-2</v>
      </c>
      <c r="FA5" s="456">
        <f t="shared" ref="FA5:FA68" si="93">0.5*Lleak*0.000000001*DN5^2*DR5*1000</f>
        <v>2.1333333333333339E-3</v>
      </c>
      <c r="FB5" s="144">
        <f>1000*(EZ5+FA5)</f>
        <v>56.669005855732138</v>
      </c>
      <c r="FC5" s="150">
        <f>SUM(EQ5,ES5:EU5,EZ5, FA5)</f>
        <v>0.17339489650823378</v>
      </c>
      <c r="FD5" s="5">
        <f>MIN(CL5,CS5)</f>
        <v>1.7000000000000001E-7</v>
      </c>
      <c r="FE5" s="150">
        <f>FD5/(FD5+FC5)</f>
        <v>9.8042005129325547E-7</v>
      </c>
      <c r="FF5" s="5">
        <f>FE5*100</f>
        <v>9.8042005129325547E-5</v>
      </c>
      <c r="FI5" s="59">
        <f t="shared" ref="FI5:FI68" si="94">IF(ABS(CJ5-Ioutmax_Vinnom)&lt;Iout/200, DR5, -50)</f>
        <v>-50</v>
      </c>
      <c r="FJ5">
        <f t="shared" ref="FJ5:FJ68" si="95">IF(ABS(CJ5-Ioutmax_Vinnom)&lt;Iout/200, CR5*FE5, -50)</f>
        <v>-50</v>
      </c>
      <c r="FL5">
        <f t="shared" ref="FL5:FL36" si="96">MIN(SQRT(2*L*DR5*1000*CJ5*(CX5+Vfwd1))/(Nps*(CX5+Vfwd1)), 1-EA5)</f>
        <v>9.1846896368813035E-6</v>
      </c>
    </row>
    <row r="6" spans="2:168">
      <c r="E6" s="147">
        <v>1</v>
      </c>
      <c r="F6" s="188">
        <f t="shared" ref="F6:F37" si="97">IF(PLOT_TYPE=1, E6/100*Iout_max, min_I*EXP(N6*rr/100))</f>
        <v>5.0000000000000001E-3</v>
      </c>
      <c r="G6" s="188"/>
      <c r="H6" s="188">
        <f t="shared" si="0"/>
        <v>0.85</v>
      </c>
      <c r="I6" s="465">
        <f t="shared" si="1"/>
        <v>11.976190279762715</v>
      </c>
      <c r="J6" s="149">
        <f t="shared" si="2"/>
        <v>8.5374295632895194</v>
      </c>
      <c r="K6" s="149">
        <f t="shared" si="3"/>
        <v>20.537429563289521</v>
      </c>
      <c r="L6" s="379"/>
      <c r="M6" s="188">
        <f t="shared" si="4"/>
        <v>0.41618361585535507</v>
      </c>
      <c r="N6" s="149">
        <f t="shared" si="5"/>
        <v>166.74125446108985</v>
      </c>
      <c r="O6" s="149">
        <f t="shared" ref="O6:O69" si="98">T6*F6</f>
        <v>0.85</v>
      </c>
      <c r="P6" s="188">
        <f t="shared" si="6"/>
        <v>0.98083090859464617</v>
      </c>
      <c r="Q6" s="188">
        <f t="shared" si="7"/>
        <v>170</v>
      </c>
      <c r="R6" s="188">
        <f t="shared" si="8"/>
        <v>0.97731258329478499</v>
      </c>
      <c r="S6" s="149">
        <f t="shared" si="9"/>
        <v>79601.746832456585</v>
      </c>
      <c r="T6" s="149">
        <f t="shared" si="10"/>
        <v>170</v>
      </c>
      <c r="U6" s="188">
        <f t="shared" ref="U6:U36" si="99">MIN(2*(Vout+Vfwd1+F6/FL6*Rdcr_sec)*F6/(I6*M6), Isw_max)</f>
        <v>0.34257346219055146</v>
      </c>
      <c r="V6" s="188">
        <f t="shared" si="11"/>
        <v>4.2906816047682934E-2</v>
      </c>
      <c r="W6" s="188">
        <f t="shared" si="12"/>
        <v>6.0189099011182239E-2</v>
      </c>
      <c r="X6" s="172">
        <f t="shared" si="13"/>
        <v>249.21462358252796</v>
      </c>
      <c r="Y6" s="379">
        <f t="shared" si="14"/>
        <v>350</v>
      </c>
      <c r="AA6" s="188">
        <f t="shared" si="15"/>
        <v>13.333333333333334</v>
      </c>
      <c r="AB6" s="150">
        <f t="shared" si="16"/>
        <v>2.3426254766421626</v>
      </c>
      <c r="AC6" s="150">
        <f t="shared" si="17"/>
        <v>0.19460550878540561</v>
      </c>
      <c r="AD6" s="150"/>
      <c r="AE6" s="150">
        <f t="shared" si="18"/>
        <v>2.3426254766421626</v>
      </c>
      <c r="AF6" s="314">
        <f t="shared" ref="AF6:AF36" si="100">MAX(12, F6/(0.5*AE6/1000000*Isw_min*Nps)/1000)</f>
        <v>12</v>
      </c>
      <c r="AG6" s="456">
        <f t="shared" si="19"/>
        <v>0.19460550878540561</v>
      </c>
      <c r="AI6" s="150">
        <f t="shared" si="20"/>
        <v>1.8034284347731653</v>
      </c>
      <c r="AJ6" s="150">
        <f t="shared" si="21"/>
        <v>13.333333333333334</v>
      </c>
      <c r="AK6" s="150">
        <f t="shared" si="22"/>
        <v>1.0068571428571429</v>
      </c>
      <c r="AM6" s="314">
        <f t="shared" si="23"/>
        <v>5</v>
      </c>
      <c r="AN6" s="144">
        <f t="shared" si="24"/>
        <v>12</v>
      </c>
      <c r="AP6">
        <f t="shared" si="25"/>
        <v>5</v>
      </c>
      <c r="AQ6" s="144">
        <f t="shared" si="26"/>
        <v>12</v>
      </c>
      <c r="AR6" s="144"/>
      <c r="AS6" s="5">
        <f t="shared" ref="AS6:AS69" si="101">1/AN6*1000</f>
        <v>83.333333333333329</v>
      </c>
      <c r="AT6" s="5">
        <f t="shared" si="27"/>
        <v>1.6699801466745119</v>
      </c>
      <c r="AU6" s="5">
        <f t="shared" ref="AU6:AU69" si="102">AS6-AT6</f>
        <v>81.66335318665881</v>
      </c>
      <c r="AV6" s="5">
        <f t="shared" si="28"/>
        <v>2.3426254766421626</v>
      </c>
      <c r="AW6" s="150">
        <f t="shared" ref="AW6:AW69" si="103">AT6/AS6</f>
        <v>2.0039761760094144E-2</v>
      </c>
      <c r="AX6" s="150">
        <f t="shared" si="29"/>
        <v>1.6000000000000003</v>
      </c>
      <c r="AY6" s="150">
        <f t="shared" si="30"/>
        <v>0.32665341274663534</v>
      </c>
      <c r="AZ6" s="150">
        <f t="shared" ref="AZ6:AZ69" si="104">AX6/AY6</f>
        <v>4.8981579177347232</v>
      </c>
      <c r="BA6" s="144">
        <f t="shared" si="31"/>
        <v>4.9117063137485636E-3</v>
      </c>
      <c r="BB6" s="5">
        <f t="shared" si="32"/>
        <v>9.6599793127250475</v>
      </c>
      <c r="BC6" s="5"/>
      <c r="BD6" s="150">
        <f t="shared" ref="BD6:BD69" si="105">AJ6*SQRT(AW6/3)</f>
        <v>1.0897437486102908</v>
      </c>
      <c r="BE6" s="150">
        <f t="shared" si="33"/>
        <v>0.38102400784472906</v>
      </c>
      <c r="BF6" s="150"/>
      <c r="BG6" s="456">
        <f t="shared" si="34"/>
        <v>4.0376408879597096E-3</v>
      </c>
      <c r="BH6" s="456">
        <f t="shared" si="35"/>
        <v>7.869943008652544E-2</v>
      </c>
      <c r="BI6" s="456">
        <f t="shared" si="36"/>
        <v>6.5821141777575882E-3</v>
      </c>
      <c r="BJ6" s="456">
        <f t="shared" si="37"/>
        <v>3.4670810274113843E-3</v>
      </c>
      <c r="BK6">
        <f t="shared" si="38"/>
        <v>5.3892856258932215E-3</v>
      </c>
      <c r="BL6" s="144">
        <f t="shared" ref="BL6:BL69" si="106">(BK6+BI6)*1000</f>
        <v>11.97139980365081</v>
      </c>
      <c r="BM6" s="456">
        <f t="shared" si="39"/>
        <v>8.7378140690773168E-2</v>
      </c>
      <c r="BN6" s="144">
        <f t="shared" ref="BN6:BN69" si="107">BM6*1000</f>
        <v>87.378140690773165</v>
      </c>
      <c r="BO6" s="456">
        <f t="shared" ref="BO6:BO36" si="108">Vfwd2*F6*(1+Diode_TC/1000*(Ta-25))</f>
        <v>1.1093749999999999E-2</v>
      </c>
      <c r="BP6" s="456"/>
      <c r="BR6" s="144">
        <f t="shared" ref="BR6:BR69" si="109">SUM(BO6:BQ6)*1000</f>
        <v>11.09375</v>
      </c>
      <c r="BS6" s="456">
        <f t="shared" si="40"/>
        <v>1.7813121564528131E-3</v>
      </c>
      <c r="BT6" s="456">
        <f t="shared" si="41"/>
        <v>2.9035858910812031E-2</v>
      </c>
      <c r="BU6" s="456">
        <f t="shared" si="42"/>
        <v>1.2749999999999999E-2</v>
      </c>
      <c r="BV6" s="456">
        <f t="shared" si="43"/>
        <v>5.1089246206612142E-2</v>
      </c>
      <c r="BW6" s="456">
        <f t="shared" si="44"/>
        <v>2.1333333333333339E-3</v>
      </c>
      <c r="BX6" s="144">
        <f t="shared" ref="BX6:BX69" si="110">1000*(BV6+BW6)</f>
        <v>53.222579539945478</v>
      </c>
      <c r="BY6" s="150">
        <f t="shared" si="45"/>
        <v>0.16366587003436944</v>
      </c>
      <c r="BZ6" s="5">
        <f t="shared" ref="BZ6:BZ69" si="111">MIN(H6,O6)</f>
        <v>0.85</v>
      </c>
      <c r="CA6" s="150">
        <f t="shared" ref="CA6:CA69" si="112">BZ6/(BZ6+BY6)</f>
        <v>0.83854061296468407</v>
      </c>
      <c r="CB6" s="5">
        <f t="shared" ref="CB6:CB69" si="113">CA6*100</f>
        <v>83.854061296468402</v>
      </c>
      <c r="CE6" s="59">
        <f t="shared" si="46"/>
        <v>-50</v>
      </c>
      <c r="CF6">
        <f t="shared" si="47"/>
        <v>-50</v>
      </c>
      <c r="CG6" s="150">
        <f t="shared" si="48"/>
        <v>2.057983021710106E-2</v>
      </c>
      <c r="CI6" s="147">
        <v>1</v>
      </c>
      <c r="CJ6" s="188">
        <f t="shared" ref="CJ6:CJ69" si="114">IF(PLOT_TYPE=1, CI6/100*Iout_max, min_I*EXP(CR6*rr/100))</f>
        <v>5.0000000000000001E-3</v>
      </c>
      <c r="CK6" s="188"/>
      <c r="CL6" s="188">
        <f t="shared" si="49"/>
        <v>0.85</v>
      </c>
      <c r="CM6" s="465">
        <f t="shared" si="50"/>
        <v>12</v>
      </c>
      <c r="CN6" s="149">
        <f t="shared" si="51"/>
        <v>8.5350000000000001</v>
      </c>
      <c r="CO6" s="379">
        <f t="shared" si="52"/>
        <v>20.535</v>
      </c>
      <c r="CP6" s="379"/>
      <c r="CQ6" s="188">
        <f t="shared" si="53"/>
        <v>0.4156318480642805</v>
      </c>
      <c r="CR6" s="149">
        <f t="shared" si="54"/>
        <v>166.85124908692478</v>
      </c>
      <c r="CS6" s="149">
        <f t="shared" ref="CS6:CS69" si="115">CX6*CJ6</f>
        <v>0.85</v>
      </c>
      <c r="CT6" s="188">
        <f t="shared" si="55"/>
        <v>0.98147793580543985</v>
      </c>
      <c r="CU6" s="188">
        <f t="shared" si="56"/>
        <v>170</v>
      </c>
      <c r="CV6" s="188">
        <f t="shared" si="57"/>
        <v>0.97795728956301287</v>
      </c>
      <c r="CW6" s="149">
        <f t="shared" si="58"/>
        <v>79760.002106300439</v>
      </c>
      <c r="CX6" s="149">
        <f t="shared" si="59"/>
        <v>170</v>
      </c>
      <c r="CY6" s="188">
        <f t="shared" si="60"/>
        <v>0.3408465143526655</v>
      </c>
      <c r="CZ6" s="188">
        <f t="shared" si="61"/>
        <v>4.2605814294083187E-2</v>
      </c>
      <c r="DA6" s="188">
        <f t="shared" si="62"/>
        <v>5.9902726599765463E-2</v>
      </c>
      <c r="DB6" s="172">
        <f t="shared" si="63"/>
        <v>249.37910883856827</v>
      </c>
      <c r="DC6" s="379">
        <f t="shared" ref="DC6:DC69" si="116">MIN(1/(CZ6+DA6)*1000, 350)</f>
        <v>350</v>
      </c>
      <c r="DE6" s="188">
        <f t="shared" si="64"/>
        <v>13.333333333333334</v>
      </c>
      <c r="DF6" s="150">
        <f t="shared" si="65"/>
        <v>2.3432923257176337</v>
      </c>
      <c r="DG6" s="150">
        <f t="shared" si="66"/>
        <v>0.19478938397857323</v>
      </c>
      <c r="DH6" s="150"/>
      <c r="DI6" s="150">
        <f t="shared" si="67"/>
        <v>2.3432923257176337</v>
      </c>
      <c r="DJ6" s="314">
        <f t="shared" ref="DJ6:DJ69" si="117">MAX(12, CJ6/(0.5*DI6/1000000*Isw_min*Nps)/1000)</f>
        <v>12</v>
      </c>
      <c r="DK6" s="456">
        <f t="shared" si="68"/>
        <v>0.19478938397857321</v>
      </c>
      <c r="DM6" s="150">
        <f t="shared" si="69"/>
        <v>1.8031718086273896</v>
      </c>
      <c r="DN6" s="150">
        <f t="shared" si="70"/>
        <v>13.333333333333334</v>
      </c>
      <c r="DO6" s="150">
        <f t="shared" si="71"/>
        <v>1.0068571428571429</v>
      </c>
      <c r="DQ6" s="314">
        <f t="shared" si="72"/>
        <v>5</v>
      </c>
      <c r="DR6" s="144">
        <f t="shared" si="73"/>
        <v>12</v>
      </c>
      <c r="DT6">
        <f t="shared" si="74"/>
        <v>5</v>
      </c>
      <c r="DU6" s="144">
        <f t="shared" si="75"/>
        <v>12</v>
      </c>
      <c r="DV6" s="144"/>
      <c r="DW6" s="5">
        <f t="shared" ref="DW6:DW69" si="118">1/DR6*1000</f>
        <v>83.333333333333329</v>
      </c>
      <c r="DX6" s="5">
        <f t="shared" si="76"/>
        <v>1.666666666666667</v>
      </c>
      <c r="DY6" s="5">
        <f t="shared" ref="DY6:DY69" si="119">DW6-DX6</f>
        <v>81.666666666666657</v>
      </c>
      <c r="DZ6" s="5">
        <f t="shared" si="77"/>
        <v>2.3432923257176337</v>
      </c>
      <c r="EA6" s="150">
        <f t="shared" ref="EA6:EA69" si="120">DX6/DW6</f>
        <v>2.0000000000000004E-2</v>
      </c>
      <c r="EB6" s="150">
        <f t="shared" si="78"/>
        <v>1.6000000000000003</v>
      </c>
      <c r="EC6" s="150">
        <f t="shared" si="79"/>
        <v>0.32666666666666672</v>
      </c>
      <c r="ED6" s="150">
        <f t="shared" ref="ED6:ED69" si="121">EB6/EC6</f>
        <v>4.8979591836734695</v>
      </c>
      <c r="EE6" s="144">
        <f t="shared" si="80"/>
        <v>4.9019607843137263E-3</v>
      </c>
      <c r="EF6" s="5">
        <f t="shared" si="81"/>
        <v>9.6412037037037006</v>
      </c>
      <c r="EG6" s="5"/>
      <c r="EH6" s="150">
        <f t="shared" ref="EH6:EH69" si="122">DN6*SQRT(EA6/3)</f>
        <v>1.0886621079036349</v>
      </c>
      <c r="EI6" s="150">
        <f t="shared" si="82"/>
        <v>0.38103173776627214</v>
      </c>
      <c r="EJ6" s="150"/>
      <c r="EK6" s="456">
        <f t="shared" si="83"/>
        <v>4.0296296296296304E-3</v>
      </c>
      <c r="EL6" s="456">
        <f t="shared" si="84"/>
        <v>9.9882240000000011E-2</v>
      </c>
      <c r="EM6" s="456">
        <f t="shared" si="85"/>
        <v>2.7479999999999996E-3</v>
      </c>
      <c r="EN6" s="456">
        <f t="shared" si="86"/>
        <v>3.4662607694999998E-3</v>
      </c>
      <c r="EO6">
        <f t="shared" si="87"/>
        <v>5.4000000000000003E-3</v>
      </c>
      <c r="EP6" s="144">
        <f t="shared" ref="EP6:EP69" si="123">(EO6+EM6)*1000</f>
        <v>8.1479999999999997</v>
      </c>
      <c r="EQ6" s="456">
        <f t="shared" si="88"/>
        <v>0.11672588843375165</v>
      </c>
      <c r="ER6" s="144">
        <f t="shared" ref="ER6:ER69" si="124">EQ6*1000</f>
        <v>116.72588843375165</v>
      </c>
      <c r="ES6" s="456">
        <f t="shared" ref="ES6:ES69" si="125">Vfwd2*CJ6*(1+Diode_TC/1000*(Ta-25))</f>
        <v>1.1093749999999999E-2</v>
      </c>
      <c r="ET6" s="456"/>
      <c r="EV6" s="144">
        <f t="shared" ref="EV6:EV69" si="126">SUM(ES6:EU6)*1000</f>
        <v>11.09375</v>
      </c>
      <c r="EW6" s="456">
        <f t="shared" si="89"/>
        <v>1.7777777777777783E-3</v>
      </c>
      <c r="EX6" s="456">
        <f t="shared" si="90"/>
        <v>2.9037037037037035E-2</v>
      </c>
      <c r="EY6" s="456">
        <f t="shared" si="91"/>
        <v>1.6190861620062107E-2</v>
      </c>
      <c r="EZ6" s="456">
        <f t="shared" si="92"/>
        <v>5.4535672522398805E-2</v>
      </c>
      <c r="FA6" s="456">
        <f t="shared" si="93"/>
        <v>2.1333333333333339E-3</v>
      </c>
      <c r="FB6" s="144">
        <f t="shared" ref="FB6:FB69" si="127">1000*(EZ6+FA6)</f>
        <v>56.669005855732138</v>
      </c>
      <c r="FC6" s="150">
        <f t="shared" ref="FC6:FC69" si="128">SUM(EQ6,ES6:EU6,EZ6, FA6)</f>
        <v>0.18448864428948378</v>
      </c>
      <c r="FD6" s="5">
        <f t="shared" ref="FD6:FD69" si="129">MIN(CL6,CS6)</f>
        <v>0.85</v>
      </c>
      <c r="FE6" s="150">
        <f t="shared" ref="FE6:FE69" si="130">FD6/(FD6+FC6)</f>
        <v>0.82166199183733346</v>
      </c>
      <c r="FF6" s="5">
        <f t="shared" ref="FF6:FF69" si="131">FE6*100</f>
        <v>82.16619918373334</v>
      </c>
      <c r="FI6" s="59">
        <f t="shared" si="94"/>
        <v>-50</v>
      </c>
      <c r="FJ6">
        <f t="shared" si="95"/>
        <v>-50</v>
      </c>
      <c r="FL6">
        <f t="shared" si="96"/>
        <v>2.0537590380304453E-2</v>
      </c>
    </row>
    <row r="7" spans="2:168">
      <c r="E7" s="147">
        <v>2</v>
      </c>
      <c r="F7" s="188">
        <f t="shared" si="97"/>
        <v>0.01</v>
      </c>
      <c r="G7" s="188"/>
      <c r="H7" s="188">
        <f t="shared" si="0"/>
        <v>1.7</v>
      </c>
      <c r="I7" s="465">
        <f t="shared" si="1"/>
        <v>11.967400381246467</v>
      </c>
      <c r="J7" s="149">
        <f t="shared" si="2"/>
        <v>8.5383264917095438</v>
      </c>
      <c r="K7" s="149">
        <f t="shared" si="3"/>
        <v>20.538326491709544</v>
      </c>
      <c r="L7" s="379"/>
      <c r="M7" s="188">
        <f t="shared" si="4"/>
        <v>0.41638760417836135</v>
      </c>
      <c r="N7" s="149">
        <f t="shared" si="5"/>
        <v>166.700541693773</v>
      </c>
      <c r="O7" s="149">
        <f t="shared" si="98"/>
        <v>1.7</v>
      </c>
      <c r="P7" s="188">
        <f t="shared" si="6"/>
        <v>0.98059142172807645</v>
      </c>
      <c r="Q7" s="188">
        <f t="shared" si="7"/>
        <v>170</v>
      </c>
      <c r="R7" s="188">
        <f t="shared" si="8"/>
        <v>0.97707395548831877</v>
      </c>
      <c r="S7" s="149">
        <f t="shared" si="9"/>
        <v>39651.990821807049</v>
      </c>
      <c r="T7" s="149">
        <f t="shared" si="10"/>
        <v>170</v>
      </c>
      <c r="U7" s="188">
        <f t="shared" si="99"/>
        <v>0.6853864017690372</v>
      </c>
      <c r="V7" s="188">
        <f t="shared" si="11"/>
        <v>8.5906677298489109E-2</v>
      </c>
      <c r="W7" s="188">
        <f t="shared" si="12"/>
        <v>0.12040762363114015</v>
      </c>
      <c r="X7" s="172">
        <f t="shared" si="13"/>
        <v>249.15374213545641</v>
      </c>
      <c r="Y7" s="379">
        <f t="shared" si="14"/>
        <v>350</v>
      </c>
      <c r="AA7" s="188">
        <f t="shared" si="15"/>
        <v>13.333333333333332</v>
      </c>
      <c r="AB7" s="150">
        <f t="shared" si="16"/>
        <v>2.3423793900853278</v>
      </c>
      <c r="AC7" s="150">
        <f t="shared" si="17"/>
        <v>0.1945375301802425</v>
      </c>
      <c r="AD7" s="150"/>
      <c r="AE7" s="150">
        <f t="shared" si="18"/>
        <v>2.3423793900853283</v>
      </c>
      <c r="AF7" s="314">
        <f t="shared" si="100"/>
        <v>12.807489737564312</v>
      </c>
      <c r="AG7" s="456">
        <f t="shared" si="19"/>
        <v>0.19453753018024256</v>
      </c>
      <c r="AI7" s="150">
        <f t="shared" si="20"/>
        <v>2.5505669198692047</v>
      </c>
      <c r="AJ7" s="150">
        <f t="shared" si="21"/>
        <v>13.333333333333334</v>
      </c>
      <c r="AK7" s="150">
        <f t="shared" si="22"/>
        <v>1.0073185655643224</v>
      </c>
      <c r="AM7" s="314">
        <f t="shared" si="23"/>
        <v>10</v>
      </c>
      <c r="AN7" s="144">
        <f t="shared" si="24"/>
        <v>12.807489737564312</v>
      </c>
      <c r="AP7">
        <f t="shared" si="25"/>
        <v>10</v>
      </c>
      <c r="AQ7" s="144">
        <f t="shared" si="26"/>
        <v>12.807489737564312</v>
      </c>
      <c r="AR7" s="144"/>
      <c r="AS7" s="5">
        <f t="shared" si="101"/>
        <v>78.079313002844287</v>
      </c>
      <c r="AT7" s="5">
        <f t="shared" si="27"/>
        <v>1.6712067251749205</v>
      </c>
      <c r="AU7" s="5">
        <f t="shared" si="102"/>
        <v>76.408106277669361</v>
      </c>
      <c r="AV7" s="5">
        <f t="shared" si="28"/>
        <v>2.3423793900853283</v>
      </c>
      <c r="AW7" s="150">
        <f t="shared" si="103"/>
        <v>2.1403962982026258E-2</v>
      </c>
      <c r="AX7" s="150">
        <f t="shared" si="29"/>
        <v>1.7076652983419087</v>
      </c>
      <c r="AY7" s="150">
        <f t="shared" si="30"/>
        <v>0.32619867900599125</v>
      </c>
      <c r="AZ7" s="150">
        <f t="shared" si="104"/>
        <v>5.2350466395069128</v>
      </c>
      <c r="BA7" s="144">
        <f t="shared" si="31"/>
        <v>9.8306277951465907E-3</v>
      </c>
      <c r="BB7" s="5">
        <f t="shared" si="32"/>
        <v>18.089946651458817</v>
      </c>
      <c r="BC7" s="5"/>
      <c r="BD7" s="150">
        <f t="shared" si="105"/>
        <v>1.1262251069513065</v>
      </c>
      <c r="BE7" s="150">
        <f t="shared" si="33"/>
        <v>0.38075870399680883</v>
      </c>
      <c r="BF7" s="150"/>
      <c r="BG7" s="456">
        <f t="shared" si="34"/>
        <v>4.3125021711934381E-3</v>
      </c>
      <c r="BH7" s="456">
        <f t="shared" si="35"/>
        <v>8.3998846909001335E-2</v>
      </c>
      <c r="BI7" s="456">
        <f t="shared" si="36"/>
        <v>7.0198739766206917E-3</v>
      </c>
      <c r="BJ7" s="456">
        <f t="shared" si="37"/>
        <v>3.7007069429429267E-3</v>
      </c>
      <c r="BK7">
        <f t="shared" si="38"/>
        <v>5.3853301715609102E-3</v>
      </c>
      <c r="BL7" s="144">
        <f t="shared" si="106"/>
        <v>12.405204148181602</v>
      </c>
      <c r="BM7" s="456">
        <f t="shared" si="39"/>
        <v>9.3272002815161223E-2</v>
      </c>
      <c r="BN7" s="144">
        <f t="shared" si="107"/>
        <v>93.27200281516123</v>
      </c>
      <c r="BO7" s="456">
        <f t="shared" si="108"/>
        <v>2.2187499999999999E-2</v>
      </c>
      <c r="BP7" s="456"/>
      <c r="BR7" s="144">
        <f t="shared" si="109"/>
        <v>22.1875</v>
      </c>
      <c r="BS7" s="456">
        <f t="shared" si="40"/>
        <v>1.9025744872912228E-3</v>
      </c>
      <c r="BT7" s="456">
        <f t="shared" si="41"/>
        <v>2.8995438133865899E-2</v>
      </c>
      <c r="BU7" s="456">
        <f t="shared" si="42"/>
        <v>2.5499999999999998E-2</v>
      </c>
      <c r="BV7" s="456">
        <f t="shared" si="43"/>
        <v>6.3971663431362721E-2</v>
      </c>
      <c r="BW7" s="456">
        <f t="shared" si="44"/>
        <v>2.2768870644558781E-3</v>
      </c>
      <c r="BX7" s="144">
        <f t="shared" si="110"/>
        <v>66.248550495818591</v>
      </c>
      <c r="BY7" s="150">
        <f t="shared" si="45"/>
        <v>0.19411325745916141</v>
      </c>
      <c r="BZ7" s="5">
        <f t="shared" si="111"/>
        <v>1.7</v>
      </c>
      <c r="CA7" s="150">
        <f t="shared" si="112"/>
        <v>0.89751760793884483</v>
      </c>
      <c r="CB7" s="5">
        <f t="shared" si="113"/>
        <v>89.751760793884486</v>
      </c>
      <c r="CE7" s="59">
        <f t="shared" si="46"/>
        <v>-50</v>
      </c>
      <c r="CF7">
        <f t="shared" si="47"/>
        <v>-50</v>
      </c>
      <c r="CG7" s="150">
        <f t="shared" si="48"/>
        <v>3.0061701255134261E-2</v>
      </c>
      <c r="CI7" s="147">
        <v>2</v>
      </c>
      <c r="CJ7" s="188">
        <f t="shared" si="114"/>
        <v>0.01</v>
      </c>
      <c r="CK7" s="188"/>
      <c r="CL7" s="188">
        <f t="shared" si="49"/>
        <v>1.7</v>
      </c>
      <c r="CM7" s="465">
        <f t="shared" si="50"/>
        <v>12</v>
      </c>
      <c r="CN7" s="149">
        <f t="shared" si="51"/>
        <v>8.5350000000000001</v>
      </c>
      <c r="CO7" s="379">
        <f t="shared" si="52"/>
        <v>20.535</v>
      </c>
      <c r="CP7" s="379"/>
      <c r="CQ7" s="188">
        <f t="shared" si="53"/>
        <v>0.4156318480642805</v>
      </c>
      <c r="CR7" s="149">
        <f t="shared" si="54"/>
        <v>166.85124908692478</v>
      </c>
      <c r="CS7" s="149">
        <f t="shared" si="115"/>
        <v>1.7</v>
      </c>
      <c r="CT7" s="188">
        <f t="shared" si="55"/>
        <v>0.98147793580543985</v>
      </c>
      <c r="CU7" s="188">
        <f t="shared" si="56"/>
        <v>170</v>
      </c>
      <c r="CV7" s="188">
        <f t="shared" si="57"/>
        <v>0.97795728956301287</v>
      </c>
      <c r="CW7" s="149">
        <f t="shared" si="58"/>
        <v>39760.004225277284</v>
      </c>
      <c r="CX7" s="149">
        <f t="shared" si="59"/>
        <v>170</v>
      </c>
      <c r="CY7" s="188">
        <f t="shared" si="60"/>
        <v>0.68169302870533099</v>
      </c>
      <c r="CZ7" s="188">
        <f t="shared" si="61"/>
        <v>8.5211628588166374E-2</v>
      </c>
      <c r="DA7" s="188">
        <f t="shared" si="62"/>
        <v>0.11980545319953093</v>
      </c>
      <c r="DB7" s="172">
        <f t="shared" si="63"/>
        <v>249.37910883856827</v>
      </c>
      <c r="DC7" s="379">
        <f t="shared" si="116"/>
        <v>350</v>
      </c>
      <c r="DE7" s="188">
        <f t="shared" si="64"/>
        <v>13.333333333333334</v>
      </c>
      <c r="DF7" s="150">
        <f t="shared" si="65"/>
        <v>2.3432923257176337</v>
      </c>
      <c r="DG7" s="150">
        <f t="shared" si="66"/>
        <v>0.19478938397857323</v>
      </c>
      <c r="DH7" s="150"/>
      <c r="DI7" s="150">
        <f t="shared" si="67"/>
        <v>2.3432923257176337</v>
      </c>
      <c r="DJ7" s="314">
        <f t="shared" si="117"/>
        <v>12.802499999999997</v>
      </c>
      <c r="DK7" s="456">
        <f t="shared" si="68"/>
        <v>0.19478938397857321</v>
      </c>
      <c r="DM7" s="150">
        <f t="shared" si="69"/>
        <v>2.5500700270496774</v>
      </c>
      <c r="DN7" s="150">
        <f t="shared" si="70"/>
        <v>13.333333333333334</v>
      </c>
      <c r="DO7" s="150">
        <f t="shared" si="71"/>
        <v>1.0073157142857143</v>
      </c>
      <c r="DQ7" s="314">
        <f t="shared" si="72"/>
        <v>10</v>
      </c>
      <c r="DR7" s="144">
        <f t="shared" si="73"/>
        <v>12.802499999999997</v>
      </c>
      <c r="DT7">
        <f t="shared" si="74"/>
        <v>10</v>
      </c>
      <c r="DU7" s="144">
        <f t="shared" si="75"/>
        <v>12.802499999999997</v>
      </c>
      <c r="DV7" s="144"/>
      <c r="DW7" s="5">
        <f t="shared" si="118"/>
        <v>78.10974419058779</v>
      </c>
      <c r="DX7" s="5">
        <f t="shared" si="76"/>
        <v>1.666666666666667</v>
      </c>
      <c r="DY7" s="5">
        <f t="shared" si="119"/>
        <v>76.443077523921119</v>
      </c>
      <c r="DZ7" s="5">
        <f t="shared" si="77"/>
        <v>2.3432923257176337</v>
      </c>
      <c r="EA7" s="150">
        <f t="shared" si="120"/>
        <v>2.1337499999999999E-2</v>
      </c>
      <c r="EB7" s="150">
        <f t="shared" si="78"/>
        <v>1.7070000000000001</v>
      </c>
      <c r="EC7" s="150">
        <f t="shared" si="79"/>
        <v>0.32622083333333335</v>
      </c>
      <c r="ED7" s="150">
        <f t="shared" si="121"/>
        <v>5.2326517057719082</v>
      </c>
      <c r="EE7" s="144">
        <f t="shared" si="80"/>
        <v>9.8039215686274526E-3</v>
      </c>
      <c r="EF7" s="5">
        <f t="shared" si="81"/>
        <v>18.049059970925818</v>
      </c>
      <c r="EG7" s="5"/>
      <c r="EH7" s="150">
        <f t="shared" si="122"/>
        <v>1.1244751862288669</v>
      </c>
      <c r="EI7" s="150">
        <f t="shared" si="82"/>
        <v>0.38077163370849604</v>
      </c>
      <c r="EJ7" s="150"/>
      <c r="EK7" s="456">
        <f t="shared" si="83"/>
        <v>4.2991111111111129E-3</v>
      </c>
      <c r="EL7" s="456">
        <f t="shared" si="84"/>
        <v>0.10656186479999998</v>
      </c>
      <c r="EM7" s="456">
        <f t="shared" si="85"/>
        <v>2.9317724999999993E-3</v>
      </c>
      <c r="EN7" s="456">
        <f t="shared" si="86"/>
        <v>3.698066958460311E-3</v>
      </c>
      <c r="EO7">
        <f t="shared" si="87"/>
        <v>5.4000000000000003E-3</v>
      </c>
      <c r="EP7" s="144">
        <f t="shared" si="123"/>
        <v>8.3317724999999996</v>
      </c>
      <c r="EQ7" s="456">
        <f t="shared" si="88"/>
        <v>0.12417841975098033</v>
      </c>
      <c r="ER7" s="144">
        <f t="shared" si="124"/>
        <v>124.17841975098032</v>
      </c>
      <c r="ES7" s="456">
        <f t="shared" si="125"/>
        <v>2.2187499999999999E-2</v>
      </c>
      <c r="ET7" s="456"/>
      <c r="EV7" s="144">
        <f t="shared" si="126"/>
        <v>22.1875</v>
      </c>
      <c r="EW7" s="456">
        <f t="shared" si="89"/>
        <v>1.8966666666666674E-3</v>
      </c>
      <c r="EX7" s="456">
        <f t="shared" si="90"/>
        <v>2.8997407407407416E-2</v>
      </c>
      <c r="EY7" s="456">
        <f t="shared" si="91"/>
        <v>1.9035040585145397E-2</v>
      </c>
      <c r="EZ7" s="456">
        <f t="shared" si="92"/>
        <v>5.7485770007943707E-2</v>
      </c>
      <c r="FA7" s="456">
        <f t="shared" si="93"/>
        <v>2.2759999999999998E-3</v>
      </c>
      <c r="FB7" s="144">
        <f t="shared" si="127"/>
        <v>59.76177000794371</v>
      </c>
      <c r="FC7" s="150">
        <f t="shared" si="128"/>
        <v>0.20612768975892404</v>
      </c>
      <c r="FD7" s="5">
        <f t="shared" si="129"/>
        <v>1.7</v>
      </c>
      <c r="FE7" s="150">
        <f t="shared" si="130"/>
        <v>0.89186050291048768</v>
      </c>
      <c r="FF7" s="5">
        <f t="shared" si="131"/>
        <v>89.186050291048772</v>
      </c>
      <c r="FI7" s="59">
        <f t="shared" si="94"/>
        <v>-50</v>
      </c>
      <c r="FJ7">
        <f t="shared" si="95"/>
        <v>-50</v>
      </c>
      <c r="FL7">
        <f t="shared" si="96"/>
        <v>2.9999999999999992E-2</v>
      </c>
    </row>
    <row r="8" spans="2:168">
      <c r="E8" s="147">
        <v>3</v>
      </c>
      <c r="F8" s="188">
        <f t="shared" si="97"/>
        <v>1.4999999999999999E-2</v>
      </c>
      <c r="G8" s="188"/>
      <c r="H8" s="188">
        <f t="shared" si="0"/>
        <v>2.5499999999999998</v>
      </c>
      <c r="I8" s="465">
        <f t="shared" si="1"/>
        <v>11.967400381246467</v>
      </c>
      <c r="J8" s="149">
        <f t="shared" si="2"/>
        <v>8.5383264917095438</v>
      </c>
      <c r="K8" s="149">
        <f t="shared" si="3"/>
        <v>20.538326491709544</v>
      </c>
      <c r="L8" s="379"/>
      <c r="M8" s="188">
        <f t="shared" si="4"/>
        <v>0.41638760417836135</v>
      </c>
      <c r="N8" s="149">
        <f t="shared" si="5"/>
        <v>166.700541693773</v>
      </c>
      <c r="O8" s="149">
        <f t="shared" si="98"/>
        <v>2.5499999999999998</v>
      </c>
      <c r="P8" s="188">
        <f t="shared" si="6"/>
        <v>0.98059142172807645</v>
      </c>
      <c r="Q8" s="188">
        <f t="shared" si="7"/>
        <v>170</v>
      </c>
      <c r="R8" s="188">
        <f t="shared" si="8"/>
        <v>0.97707395548831877</v>
      </c>
      <c r="S8" s="149">
        <f t="shared" si="9"/>
        <v>26354.881418856221</v>
      </c>
      <c r="T8" s="149">
        <f t="shared" si="10"/>
        <v>170</v>
      </c>
      <c r="U8" s="188">
        <f t="shared" si="99"/>
        <v>1.0280796026535557</v>
      </c>
      <c r="V8" s="188">
        <f t="shared" si="11"/>
        <v>0.12886001594773366</v>
      </c>
      <c r="W8" s="188">
        <f t="shared" si="12"/>
        <v>0.18061143544671016</v>
      </c>
      <c r="X8" s="172">
        <f t="shared" si="13"/>
        <v>249.15374213545641</v>
      </c>
      <c r="Y8" s="379">
        <f t="shared" si="14"/>
        <v>350</v>
      </c>
      <c r="AA8" s="188">
        <f t="shared" si="15"/>
        <v>13.333333333333332</v>
      </c>
      <c r="AB8" s="150">
        <f t="shared" si="16"/>
        <v>2.3423793900853278</v>
      </c>
      <c r="AC8" s="150">
        <f t="shared" si="17"/>
        <v>0.1945375301802425</v>
      </c>
      <c r="AD8" s="150"/>
      <c r="AE8" s="150">
        <f t="shared" si="18"/>
        <v>2.3423793900853283</v>
      </c>
      <c r="AF8" s="314">
        <f t="shared" si="100"/>
        <v>19.211234606346469</v>
      </c>
      <c r="AG8" s="456">
        <f t="shared" si="19"/>
        <v>0.19453753018024256</v>
      </c>
      <c r="AI8" s="150">
        <f t="shared" si="20"/>
        <v>3.1237937542508503</v>
      </c>
      <c r="AJ8" s="150">
        <f t="shared" si="21"/>
        <v>13.333333333333334</v>
      </c>
      <c r="AK8" s="150">
        <f t="shared" si="22"/>
        <v>1.0109778483464837</v>
      </c>
      <c r="AM8" s="314">
        <f t="shared" si="23"/>
        <v>15</v>
      </c>
      <c r="AN8" s="144">
        <f t="shared" si="24"/>
        <v>19.211234606346469</v>
      </c>
      <c r="AP8">
        <f t="shared" si="25"/>
        <v>15</v>
      </c>
      <c r="AQ8" s="144">
        <f t="shared" si="26"/>
        <v>19.211234606346469</v>
      </c>
      <c r="AR8" s="144"/>
      <c r="AS8" s="5">
        <f t="shared" si="101"/>
        <v>52.052875335229523</v>
      </c>
      <c r="AT8" s="5">
        <f t="shared" si="27"/>
        <v>1.6712067251749205</v>
      </c>
      <c r="AU8" s="5">
        <f t="shared" si="102"/>
        <v>50.381668610054604</v>
      </c>
      <c r="AV8" s="5">
        <f t="shared" si="28"/>
        <v>2.3423793900853283</v>
      </c>
      <c r="AW8" s="150">
        <f t="shared" si="103"/>
        <v>3.210594447303939E-2</v>
      </c>
      <c r="AX8" s="150">
        <f t="shared" si="29"/>
        <v>2.561497947512863</v>
      </c>
      <c r="AY8" s="150">
        <f t="shared" si="30"/>
        <v>0.32263135184232022</v>
      </c>
      <c r="AZ8" s="150">
        <f t="shared" si="104"/>
        <v>7.9393956380430915</v>
      </c>
      <c r="BA8" s="144">
        <f t="shared" si="31"/>
        <v>1.4745941692719887E-2</v>
      </c>
      <c r="BB8" s="5">
        <f t="shared" si="32"/>
        <v>17.8921139739147</v>
      </c>
      <c r="BC8" s="5"/>
      <c r="BD8" s="150">
        <f t="shared" si="105"/>
        <v>1.3793384237710569</v>
      </c>
      <c r="BE8" s="150">
        <f t="shared" si="33"/>
        <v>0.37867098110354341</v>
      </c>
      <c r="BF8" s="150"/>
      <c r="BG8" s="456">
        <f t="shared" si="34"/>
        <v>6.4687532567901601E-3</v>
      </c>
      <c r="BH8" s="456">
        <f t="shared" si="35"/>
        <v>0.125998270363502</v>
      </c>
      <c r="BI8" s="456">
        <f t="shared" si="36"/>
        <v>1.0529810964931037E-2</v>
      </c>
      <c r="BJ8" s="456">
        <f t="shared" si="37"/>
        <v>5.55106041441439E-3</v>
      </c>
      <c r="BK8">
        <f t="shared" si="38"/>
        <v>5.3853301715609102E-3</v>
      </c>
      <c r="BL8" s="144">
        <f t="shared" si="106"/>
        <v>15.915141136491947</v>
      </c>
      <c r="BM8" s="456">
        <f t="shared" si="39"/>
        <v>0.13997979296464996</v>
      </c>
      <c r="BN8" s="144">
        <f t="shared" si="107"/>
        <v>139.97979296464996</v>
      </c>
      <c r="BO8" s="456">
        <f t="shared" si="108"/>
        <v>3.3281249999999998E-2</v>
      </c>
      <c r="BP8" s="456"/>
      <c r="BR8" s="144">
        <f t="shared" si="109"/>
        <v>33.28125</v>
      </c>
      <c r="BS8" s="456">
        <f t="shared" si="40"/>
        <v>2.8538617309368354E-3</v>
      </c>
      <c r="BT8" s="456">
        <f t="shared" si="41"/>
        <v>2.8678342385984032E-2</v>
      </c>
      <c r="BU8" s="456">
        <f t="shared" si="42"/>
        <v>3.8249999999999999E-2</v>
      </c>
      <c r="BV8" s="456">
        <f t="shared" si="43"/>
        <v>7.7545547667975889E-2</v>
      </c>
      <c r="BW8" s="456">
        <f t="shared" si="44"/>
        <v>3.4153305966838176E-3</v>
      </c>
      <c r="BX8" s="144">
        <f t="shared" si="110"/>
        <v>80.960878264659712</v>
      </c>
      <c r="BY8" s="150">
        <f t="shared" si="45"/>
        <v>0.27013706236580159</v>
      </c>
      <c r="BZ8" s="5">
        <f t="shared" si="111"/>
        <v>2.5499999999999998</v>
      </c>
      <c r="CA8" s="150">
        <f t="shared" si="112"/>
        <v>0.90421137115258343</v>
      </c>
      <c r="CB8" s="5">
        <f t="shared" si="113"/>
        <v>90.421137115258347</v>
      </c>
      <c r="CE8" s="59">
        <f t="shared" si="46"/>
        <v>-50</v>
      </c>
      <c r="CF8">
        <f t="shared" si="47"/>
        <v>-50</v>
      </c>
      <c r="CG8" s="150">
        <f t="shared" si="48"/>
        <v>4.5092551882701386E-2</v>
      </c>
      <c r="CI8" s="147">
        <v>3</v>
      </c>
      <c r="CJ8" s="188">
        <f t="shared" si="114"/>
        <v>1.4999999999999999E-2</v>
      </c>
      <c r="CK8" s="188"/>
      <c r="CL8" s="188">
        <f t="shared" si="49"/>
        <v>2.5499999999999998</v>
      </c>
      <c r="CM8" s="465">
        <f t="shared" si="50"/>
        <v>12</v>
      </c>
      <c r="CN8" s="149">
        <f t="shared" si="51"/>
        <v>8.5350000000000001</v>
      </c>
      <c r="CO8" s="379">
        <f t="shared" si="52"/>
        <v>20.535</v>
      </c>
      <c r="CP8" s="379"/>
      <c r="CQ8" s="188">
        <f t="shared" si="53"/>
        <v>0.4156318480642805</v>
      </c>
      <c r="CR8" s="149">
        <f t="shared" si="54"/>
        <v>166.85124908692478</v>
      </c>
      <c r="CS8" s="149">
        <f t="shared" si="115"/>
        <v>2.5499999999999998</v>
      </c>
      <c r="CT8" s="188">
        <f t="shared" si="55"/>
        <v>0.98147793580543985</v>
      </c>
      <c r="CU8" s="188">
        <f t="shared" si="56"/>
        <v>170</v>
      </c>
      <c r="CV8" s="188">
        <f t="shared" si="57"/>
        <v>0.97795728956301287</v>
      </c>
      <c r="CW8" s="149">
        <f t="shared" si="58"/>
        <v>26426.673023711686</v>
      </c>
      <c r="CX8" s="149">
        <f t="shared" si="59"/>
        <v>170</v>
      </c>
      <c r="CY8" s="188">
        <f t="shared" si="60"/>
        <v>1.0225395430579964</v>
      </c>
      <c r="CZ8" s="188">
        <f t="shared" si="61"/>
        <v>0.12781744288224955</v>
      </c>
      <c r="DA8" s="188">
        <f t="shared" si="62"/>
        <v>0.1797081797992964</v>
      </c>
      <c r="DB8" s="172">
        <f t="shared" si="63"/>
        <v>249.37910883856827</v>
      </c>
      <c r="DC8" s="379">
        <f t="shared" si="116"/>
        <v>350</v>
      </c>
      <c r="DE8" s="188">
        <f t="shared" si="64"/>
        <v>13.333333333333334</v>
      </c>
      <c r="DF8" s="150">
        <f t="shared" si="65"/>
        <v>2.3432923257176337</v>
      </c>
      <c r="DG8" s="150">
        <f t="shared" si="66"/>
        <v>0.19478938397857323</v>
      </c>
      <c r="DH8" s="150"/>
      <c r="DI8" s="150">
        <f t="shared" si="67"/>
        <v>2.3432923257176337</v>
      </c>
      <c r="DJ8" s="314">
        <f t="shared" si="117"/>
        <v>19.203749999999992</v>
      </c>
      <c r="DK8" s="456">
        <f t="shared" si="68"/>
        <v>0.19478938397857321</v>
      </c>
      <c r="DM8" s="150">
        <f t="shared" si="69"/>
        <v>3.1231851873185028</v>
      </c>
      <c r="DN8" s="150">
        <f t="shared" si="70"/>
        <v>13.333333333333334</v>
      </c>
      <c r="DO8" s="150">
        <f t="shared" si="71"/>
        <v>1.0109735714285715</v>
      </c>
      <c r="DQ8" s="314">
        <f t="shared" si="72"/>
        <v>15</v>
      </c>
      <c r="DR8" s="144">
        <f t="shared" si="73"/>
        <v>19.203749999999992</v>
      </c>
      <c r="DT8">
        <f t="shared" si="74"/>
        <v>15</v>
      </c>
      <c r="DU8" s="144">
        <f t="shared" si="75"/>
        <v>19.203749999999992</v>
      </c>
      <c r="DV8" s="144"/>
      <c r="DW8" s="5">
        <f t="shared" si="118"/>
        <v>52.073162793725203</v>
      </c>
      <c r="DX8" s="5">
        <f t="shared" si="76"/>
        <v>1.666666666666667</v>
      </c>
      <c r="DY8" s="5">
        <f t="shared" si="119"/>
        <v>50.406496127058539</v>
      </c>
      <c r="DZ8" s="5">
        <f t="shared" si="77"/>
        <v>2.3432923257176337</v>
      </c>
      <c r="EA8" s="150">
        <f t="shared" si="120"/>
        <v>3.2006249999999993E-2</v>
      </c>
      <c r="EB8" s="150">
        <f t="shared" si="78"/>
        <v>2.5604999999999993</v>
      </c>
      <c r="EC8" s="150">
        <f t="shared" si="79"/>
        <v>0.32266458333333337</v>
      </c>
      <c r="ED8" s="150">
        <f t="shared" si="121"/>
        <v>7.9354851206425634</v>
      </c>
      <c r="EE8" s="144">
        <f t="shared" si="80"/>
        <v>1.4705882352941178E-2</v>
      </c>
      <c r="EF8" s="5">
        <f t="shared" si="81"/>
        <v>17.852300711666562</v>
      </c>
      <c r="EG8" s="5"/>
      <c r="EH8" s="150">
        <f t="shared" si="122"/>
        <v>1.3771952173409063</v>
      </c>
      <c r="EI8" s="150">
        <f t="shared" si="82"/>
        <v>0.3786904824279077</v>
      </c>
      <c r="EJ8" s="150"/>
      <c r="EK8" s="456">
        <f t="shared" si="83"/>
        <v>6.448666666666665E-3</v>
      </c>
      <c r="EL8" s="456">
        <f t="shared" si="84"/>
        <v>0.15984279719999994</v>
      </c>
      <c r="EM8" s="456">
        <f t="shared" si="85"/>
        <v>4.3976587499999983E-3</v>
      </c>
      <c r="EN8" s="456">
        <f t="shared" si="86"/>
        <v>5.5471004376904665E-3</v>
      </c>
      <c r="EO8">
        <f t="shared" si="87"/>
        <v>5.4000000000000003E-3</v>
      </c>
      <c r="EP8" s="144">
        <f t="shared" si="123"/>
        <v>9.7976587499999983</v>
      </c>
      <c r="EQ8" s="456">
        <f t="shared" si="88"/>
        <v>0.1836587656027216</v>
      </c>
      <c r="ER8" s="144">
        <f t="shared" si="124"/>
        <v>183.65876560272159</v>
      </c>
      <c r="ES8" s="456">
        <f t="shared" si="125"/>
        <v>3.3281249999999998E-2</v>
      </c>
      <c r="ET8" s="456"/>
      <c r="EV8" s="144">
        <f t="shared" si="126"/>
        <v>33.28125</v>
      </c>
      <c r="EW8" s="456">
        <f t="shared" si="89"/>
        <v>2.8449999999999994E-3</v>
      </c>
      <c r="EX8" s="456">
        <f t="shared" si="90"/>
        <v>2.8681296296296295E-2</v>
      </c>
      <c r="EY8" s="456">
        <f t="shared" si="91"/>
        <v>5.2454403750122058E-2</v>
      </c>
      <c r="EZ8" s="456">
        <f t="shared" si="92"/>
        <v>9.1778486017033353E-2</v>
      </c>
      <c r="FA8" s="456">
        <f t="shared" si="93"/>
        <v>3.4139999999999995E-3</v>
      </c>
      <c r="FB8" s="144">
        <f t="shared" si="127"/>
        <v>95.19248601703336</v>
      </c>
      <c r="FC8" s="150">
        <f t="shared" si="128"/>
        <v>0.31213250161975492</v>
      </c>
      <c r="FD8" s="5">
        <f t="shared" si="129"/>
        <v>2.5499999999999998</v>
      </c>
      <c r="FE8" s="150">
        <f t="shared" si="130"/>
        <v>0.89094407703238376</v>
      </c>
      <c r="FF8" s="5">
        <f t="shared" si="131"/>
        <v>89.094407703238375</v>
      </c>
      <c r="FI8" s="59">
        <f t="shared" si="94"/>
        <v>-50</v>
      </c>
      <c r="FJ8">
        <f t="shared" si="95"/>
        <v>-50</v>
      </c>
      <c r="FL8">
        <f t="shared" si="96"/>
        <v>4.4999999999999984E-2</v>
      </c>
    </row>
    <row r="9" spans="2:168">
      <c r="E9" s="147">
        <v>4</v>
      </c>
      <c r="F9" s="188">
        <f t="shared" si="97"/>
        <v>0.02</v>
      </c>
      <c r="G9" s="188"/>
      <c r="H9" s="188">
        <f t="shared" si="0"/>
        <v>3.4</v>
      </c>
      <c r="I9" s="465">
        <f t="shared" si="1"/>
        <v>11.967400381246467</v>
      </c>
      <c r="J9" s="149">
        <f t="shared" si="2"/>
        <v>8.5383264917095438</v>
      </c>
      <c r="K9" s="149">
        <f t="shared" si="3"/>
        <v>20.538326491709544</v>
      </c>
      <c r="L9" s="379"/>
      <c r="M9" s="188">
        <f t="shared" si="4"/>
        <v>0.41638760417836135</v>
      </c>
      <c r="N9" s="149">
        <f t="shared" si="5"/>
        <v>166.700541693773</v>
      </c>
      <c r="O9" s="149">
        <f t="shared" si="98"/>
        <v>3.4</v>
      </c>
      <c r="P9" s="188">
        <f t="shared" si="6"/>
        <v>0.98059142172807645</v>
      </c>
      <c r="Q9" s="188">
        <f t="shared" si="7"/>
        <v>170</v>
      </c>
      <c r="R9" s="188">
        <f t="shared" si="8"/>
        <v>0.97707395548831877</v>
      </c>
      <c r="S9" s="149">
        <f t="shared" si="9"/>
        <v>19706.327796171146</v>
      </c>
      <c r="T9" s="149">
        <f t="shared" si="10"/>
        <v>170</v>
      </c>
      <c r="U9" s="188">
        <f t="shared" si="99"/>
        <v>1.3707728035380744</v>
      </c>
      <c r="V9" s="188">
        <f t="shared" si="11"/>
        <v>0.17181335459697822</v>
      </c>
      <c r="W9" s="188">
        <f t="shared" si="12"/>
        <v>0.24081524726228029</v>
      </c>
      <c r="X9" s="172">
        <f t="shared" si="13"/>
        <v>249.15374213545641</v>
      </c>
      <c r="Y9" s="379">
        <f t="shared" si="14"/>
        <v>350</v>
      </c>
      <c r="AA9" s="188">
        <f t="shared" si="15"/>
        <v>13.333333333333332</v>
      </c>
      <c r="AB9" s="150">
        <f t="shared" si="16"/>
        <v>2.3423793900853278</v>
      </c>
      <c r="AC9" s="150">
        <f t="shared" si="17"/>
        <v>0.1945375301802425</v>
      </c>
      <c r="AD9" s="150"/>
      <c r="AE9" s="150">
        <f t="shared" si="18"/>
        <v>2.3423793900853283</v>
      </c>
      <c r="AF9" s="314">
        <f t="shared" si="100"/>
        <v>25.614979475128624</v>
      </c>
      <c r="AG9" s="456">
        <f t="shared" si="19"/>
        <v>0.19453753018024256</v>
      </c>
      <c r="AI9" s="150">
        <f t="shared" si="20"/>
        <v>3.6070463298192004</v>
      </c>
      <c r="AJ9" s="150">
        <f t="shared" si="21"/>
        <v>13.333333333333334</v>
      </c>
      <c r="AK9" s="150">
        <f t="shared" si="22"/>
        <v>1.0146371311286448</v>
      </c>
      <c r="AM9" s="314">
        <f t="shared" si="23"/>
        <v>20</v>
      </c>
      <c r="AN9" s="144">
        <f t="shared" si="24"/>
        <v>25.614979475128624</v>
      </c>
      <c r="AP9">
        <f t="shared" si="25"/>
        <v>20</v>
      </c>
      <c r="AQ9" s="144">
        <f t="shared" si="26"/>
        <v>25.614979475128624</v>
      </c>
      <c r="AR9" s="144"/>
      <c r="AS9" s="5">
        <f t="shared" si="101"/>
        <v>39.039656501422144</v>
      </c>
      <c r="AT9" s="5">
        <f t="shared" si="27"/>
        <v>1.6712067251749205</v>
      </c>
      <c r="AU9" s="5">
        <f t="shared" si="102"/>
        <v>37.368449776247225</v>
      </c>
      <c r="AV9" s="5">
        <f t="shared" si="28"/>
        <v>2.3423793900853283</v>
      </c>
      <c r="AW9" s="150">
        <f t="shared" si="103"/>
        <v>4.2807925964052515E-2</v>
      </c>
      <c r="AX9" s="150">
        <f t="shared" si="29"/>
        <v>3.4153305966838174</v>
      </c>
      <c r="AY9" s="150">
        <f t="shared" si="30"/>
        <v>0.31906402467864919</v>
      </c>
      <c r="AZ9" s="150">
        <f t="shared" si="104"/>
        <v>10.704217124207677</v>
      </c>
      <c r="BA9" s="144">
        <f t="shared" si="31"/>
        <v>1.9661255590293181E-2</v>
      </c>
      <c r="BB9" s="5">
        <f t="shared" si="32"/>
        <v>17.694281296370587</v>
      </c>
      <c r="BC9" s="5"/>
      <c r="BD9" s="150">
        <f t="shared" si="105"/>
        <v>1.5927228205356272</v>
      </c>
      <c r="BE9" s="150">
        <f t="shared" si="33"/>
        <v>0.37657168399988705</v>
      </c>
      <c r="BF9" s="150"/>
      <c r="BG9" s="456">
        <f t="shared" si="34"/>
        <v>8.6250043423868761E-3</v>
      </c>
      <c r="BH9" s="456">
        <f t="shared" si="35"/>
        <v>0.16799769381800267</v>
      </c>
      <c r="BI9" s="456">
        <f t="shared" si="36"/>
        <v>1.4039747953241383E-2</v>
      </c>
      <c r="BJ9" s="456">
        <f t="shared" si="37"/>
        <v>7.4014138858858533E-3</v>
      </c>
      <c r="BK9">
        <f t="shared" si="38"/>
        <v>5.3853301715609102E-3</v>
      </c>
      <c r="BL9" s="144">
        <f t="shared" si="106"/>
        <v>19.42507812480229</v>
      </c>
      <c r="BM9" s="456">
        <f t="shared" si="39"/>
        <v>0.18673554055464309</v>
      </c>
      <c r="BN9" s="144">
        <f t="shared" si="107"/>
        <v>186.73554055464308</v>
      </c>
      <c r="BO9" s="456">
        <f t="shared" si="108"/>
        <v>4.4374999999999998E-2</v>
      </c>
      <c r="BP9" s="456"/>
      <c r="BR9" s="144">
        <f t="shared" si="109"/>
        <v>44.375</v>
      </c>
      <c r="BS9" s="456">
        <f t="shared" si="40"/>
        <v>3.8051489745824455E-3</v>
      </c>
      <c r="BT9" s="456">
        <f t="shared" si="41"/>
        <v>2.8361246638102158E-2</v>
      </c>
      <c r="BU9" s="456">
        <f t="shared" si="42"/>
        <v>5.0999999999999997E-2</v>
      </c>
      <c r="BV9" s="456">
        <f t="shared" si="43"/>
        <v>9.1120812808797469E-2</v>
      </c>
      <c r="BW9" s="456">
        <f t="shared" si="44"/>
        <v>4.5537741289117563E-3</v>
      </c>
      <c r="BX9" s="144">
        <f t="shared" si="110"/>
        <v>95.674586937709222</v>
      </c>
      <c r="BY9" s="150">
        <f t="shared" si="45"/>
        <v>0.3462102056171546</v>
      </c>
      <c r="BZ9" s="5">
        <f t="shared" si="111"/>
        <v>3.4</v>
      </c>
      <c r="CA9" s="150">
        <f t="shared" si="112"/>
        <v>0.90758388167913295</v>
      </c>
      <c r="CB9" s="5">
        <f t="shared" si="113"/>
        <v>90.758388167913296</v>
      </c>
      <c r="CE9" s="59">
        <f t="shared" si="46"/>
        <v>-50</v>
      </c>
      <c r="CF9">
        <f t="shared" si="47"/>
        <v>-50</v>
      </c>
      <c r="CG9" s="150">
        <f t="shared" si="48"/>
        <v>6.0123402510268521E-2</v>
      </c>
      <c r="CI9" s="147">
        <v>4</v>
      </c>
      <c r="CJ9" s="188">
        <f t="shared" si="114"/>
        <v>0.02</v>
      </c>
      <c r="CK9" s="188"/>
      <c r="CL9" s="188">
        <f t="shared" si="49"/>
        <v>3.4</v>
      </c>
      <c r="CM9" s="465">
        <f t="shared" si="50"/>
        <v>12</v>
      </c>
      <c r="CN9" s="149">
        <f t="shared" si="51"/>
        <v>8.5350000000000001</v>
      </c>
      <c r="CO9" s="379">
        <f t="shared" si="52"/>
        <v>20.535</v>
      </c>
      <c r="CP9" s="379"/>
      <c r="CQ9" s="188">
        <f t="shared" si="53"/>
        <v>0.4156318480642805</v>
      </c>
      <c r="CR9" s="149">
        <f t="shared" si="54"/>
        <v>166.85124908692478</v>
      </c>
      <c r="CS9" s="149">
        <f t="shared" si="115"/>
        <v>3.4</v>
      </c>
      <c r="CT9" s="188">
        <f t="shared" si="55"/>
        <v>0.98147793580543985</v>
      </c>
      <c r="CU9" s="188">
        <f t="shared" si="56"/>
        <v>170</v>
      </c>
      <c r="CV9" s="188">
        <f t="shared" si="57"/>
        <v>0.97795728956301287</v>
      </c>
      <c r="CW9" s="149">
        <f t="shared" si="58"/>
        <v>19760.008501719465</v>
      </c>
      <c r="CX9" s="149">
        <f t="shared" si="59"/>
        <v>170</v>
      </c>
      <c r="CY9" s="188">
        <f t="shared" si="60"/>
        <v>1.363386057410662</v>
      </c>
      <c r="CZ9" s="188">
        <f t="shared" si="61"/>
        <v>0.17042325717633275</v>
      </c>
      <c r="DA9" s="188">
        <f t="shared" si="62"/>
        <v>0.23961090639906185</v>
      </c>
      <c r="DB9" s="172">
        <f t="shared" si="63"/>
        <v>249.37910883856827</v>
      </c>
      <c r="DC9" s="379">
        <f t="shared" si="116"/>
        <v>350</v>
      </c>
      <c r="DE9" s="188">
        <f t="shared" si="64"/>
        <v>13.333333333333334</v>
      </c>
      <c r="DF9" s="150">
        <f t="shared" si="65"/>
        <v>2.3432923257176337</v>
      </c>
      <c r="DG9" s="150">
        <f t="shared" si="66"/>
        <v>0.19478938397857323</v>
      </c>
      <c r="DH9" s="150"/>
      <c r="DI9" s="150">
        <f t="shared" si="67"/>
        <v>2.3432923257176337</v>
      </c>
      <c r="DJ9" s="314">
        <f t="shared" si="117"/>
        <v>25.604999999999993</v>
      </c>
      <c r="DK9" s="456">
        <f t="shared" si="68"/>
        <v>0.19478938397857321</v>
      </c>
      <c r="DM9" s="150">
        <f t="shared" si="69"/>
        <v>3.6063436172547791</v>
      </c>
      <c r="DN9" s="150">
        <f t="shared" si="70"/>
        <v>13.333333333333334</v>
      </c>
      <c r="DO9" s="150">
        <f t="shared" si="71"/>
        <v>1.0146314285714286</v>
      </c>
      <c r="DQ9" s="314">
        <f t="shared" si="72"/>
        <v>20</v>
      </c>
      <c r="DR9" s="144">
        <f t="shared" si="73"/>
        <v>25.604999999999993</v>
      </c>
      <c r="DT9">
        <f t="shared" si="74"/>
        <v>20</v>
      </c>
      <c r="DU9" s="144">
        <f t="shared" si="75"/>
        <v>25.604999999999993</v>
      </c>
      <c r="DV9" s="144"/>
      <c r="DW9" s="5">
        <f t="shared" si="118"/>
        <v>39.054872095293895</v>
      </c>
      <c r="DX9" s="5">
        <f t="shared" si="76"/>
        <v>1.666666666666667</v>
      </c>
      <c r="DY9" s="5">
        <f t="shared" si="119"/>
        <v>37.388205428627231</v>
      </c>
      <c r="DZ9" s="5">
        <f t="shared" si="77"/>
        <v>2.3432923257176337</v>
      </c>
      <c r="EA9" s="150">
        <f t="shared" si="120"/>
        <v>4.2674999999999998E-2</v>
      </c>
      <c r="EB9" s="150">
        <f t="shared" si="78"/>
        <v>3.4140000000000001</v>
      </c>
      <c r="EC9" s="150">
        <f t="shared" si="79"/>
        <v>0.31910833333333338</v>
      </c>
      <c r="ED9" s="150">
        <f t="shared" si="121"/>
        <v>10.698561094717048</v>
      </c>
      <c r="EE9" s="144">
        <f t="shared" si="80"/>
        <v>1.9607843137254905E-2</v>
      </c>
      <c r="EF9" s="5">
        <f t="shared" si="81"/>
        <v>17.655541452407302</v>
      </c>
      <c r="EG9" s="5"/>
      <c r="EH9" s="150">
        <f t="shared" si="122"/>
        <v>1.5902480589168753</v>
      </c>
      <c r="EI9" s="150">
        <f t="shared" si="82"/>
        <v>0.37659783048488998</v>
      </c>
      <c r="EJ9" s="150"/>
      <c r="EK9" s="456">
        <f t="shared" si="83"/>
        <v>8.5982222222222241E-3</v>
      </c>
      <c r="EL9" s="456">
        <f t="shared" si="84"/>
        <v>0.21312372959999995</v>
      </c>
      <c r="EM9" s="456">
        <f t="shared" si="85"/>
        <v>5.8635449999999987E-3</v>
      </c>
      <c r="EN9" s="456">
        <f t="shared" si="86"/>
        <v>7.3961339169206219E-3</v>
      </c>
      <c r="EO9">
        <f t="shared" si="87"/>
        <v>5.4000000000000003E-3</v>
      </c>
      <c r="EP9" s="144">
        <f t="shared" si="123"/>
        <v>11.263545000000001</v>
      </c>
      <c r="EQ9" s="456">
        <f t="shared" si="88"/>
        <v>0.24319999314946755</v>
      </c>
      <c r="ER9" s="144">
        <f t="shared" si="124"/>
        <v>243.19999314946756</v>
      </c>
      <c r="ES9" s="456">
        <f t="shared" si="125"/>
        <v>4.4374999999999998E-2</v>
      </c>
      <c r="ET9" s="456"/>
      <c r="EV9" s="144">
        <f t="shared" si="126"/>
        <v>44.375</v>
      </c>
      <c r="EW9" s="456">
        <f t="shared" si="89"/>
        <v>3.7933333333333343E-3</v>
      </c>
      <c r="EX9" s="456">
        <f t="shared" si="90"/>
        <v>2.8365185185185188E-2</v>
      </c>
      <c r="EY9" s="456">
        <f t="shared" si="91"/>
        <v>0.10767845022333958</v>
      </c>
      <c r="EZ9" s="456">
        <f t="shared" si="92"/>
        <v>0.14793560437613279</v>
      </c>
      <c r="FA9" s="456">
        <f t="shared" si="93"/>
        <v>4.5519999999999996E-3</v>
      </c>
      <c r="FB9" s="144">
        <f t="shared" si="127"/>
        <v>152.48760437613279</v>
      </c>
      <c r="FC9" s="150">
        <f t="shared" si="128"/>
        <v>0.44006259752560034</v>
      </c>
      <c r="FD9" s="5">
        <f t="shared" si="129"/>
        <v>3.4</v>
      </c>
      <c r="FE9" s="150">
        <f t="shared" si="130"/>
        <v>0.88540223333620627</v>
      </c>
      <c r="FF9" s="5">
        <f t="shared" si="131"/>
        <v>88.540223333620631</v>
      </c>
      <c r="FI9" s="59">
        <f t="shared" si="94"/>
        <v>-50</v>
      </c>
      <c r="FJ9">
        <f t="shared" si="95"/>
        <v>-50</v>
      </c>
      <c r="FL9">
        <f t="shared" si="96"/>
        <v>5.9999999999999984E-2</v>
      </c>
    </row>
    <row r="10" spans="2:168">
      <c r="E10" s="147">
        <v>5</v>
      </c>
      <c r="F10" s="188">
        <f t="shared" si="97"/>
        <v>2.5000000000000001E-2</v>
      </c>
      <c r="G10" s="188"/>
      <c r="H10" s="188">
        <f t="shared" si="0"/>
        <v>4.25</v>
      </c>
      <c r="I10" s="465">
        <f t="shared" si="1"/>
        <v>11.967400381246467</v>
      </c>
      <c r="J10" s="149">
        <f t="shared" si="2"/>
        <v>8.5383264917095438</v>
      </c>
      <c r="K10" s="149">
        <f t="shared" si="3"/>
        <v>20.538326491709544</v>
      </c>
      <c r="L10" s="379"/>
      <c r="M10" s="188">
        <f t="shared" si="4"/>
        <v>0.41638760417836135</v>
      </c>
      <c r="N10" s="149">
        <f t="shared" si="5"/>
        <v>166.700541693773</v>
      </c>
      <c r="O10" s="149">
        <f t="shared" si="98"/>
        <v>4.25</v>
      </c>
      <c r="P10" s="188">
        <f t="shared" si="6"/>
        <v>0.98059142172807645</v>
      </c>
      <c r="Q10" s="188">
        <f t="shared" si="7"/>
        <v>170</v>
      </c>
      <c r="R10" s="188">
        <f t="shared" si="8"/>
        <v>0.97707395548831877</v>
      </c>
      <c r="S10" s="149">
        <f t="shared" si="9"/>
        <v>15717.196493453534</v>
      </c>
      <c r="T10" s="149">
        <f t="shared" si="10"/>
        <v>170</v>
      </c>
      <c r="U10" s="188">
        <f t="shared" si="99"/>
        <v>1.7134660044225929</v>
      </c>
      <c r="V10" s="188">
        <f t="shared" si="11"/>
        <v>0.21476669324622277</v>
      </c>
      <c r="W10" s="188">
        <f t="shared" si="12"/>
        <v>0.30101905907785026</v>
      </c>
      <c r="X10" s="172">
        <f t="shared" si="13"/>
        <v>249.15374213545641</v>
      </c>
      <c r="Y10" s="379">
        <f t="shared" si="14"/>
        <v>350</v>
      </c>
      <c r="AA10" s="188">
        <f t="shared" si="15"/>
        <v>13.333333333333332</v>
      </c>
      <c r="AB10" s="150">
        <f t="shared" si="16"/>
        <v>2.3423793900853278</v>
      </c>
      <c r="AC10" s="150">
        <f t="shared" si="17"/>
        <v>0.1945375301802425</v>
      </c>
      <c r="AD10" s="150"/>
      <c r="AE10" s="150">
        <f t="shared" si="18"/>
        <v>2.3423793900853283</v>
      </c>
      <c r="AF10" s="314">
        <f t="shared" si="100"/>
        <v>32.018724343910783</v>
      </c>
      <c r="AG10" s="456">
        <f t="shared" si="19"/>
        <v>0.19453753018024256</v>
      </c>
      <c r="AI10" s="150">
        <f t="shared" si="20"/>
        <v>4.0328003957334291</v>
      </c>
      <c r="AJ10" s="150">
        <f t="shared" si="21"/>
        <v>13.333333333333334</v>
      </c>
      <c r="AK10" s="150">
        <f t="shared" si="22"/>
        <v>1.0182964139108062</v>
      </c>
      <c r="AM10" s="314">
        <f t="shared" si="23"/>
        <v>25</v>
      </c>
      <c r="AN10" s="144">
        <f t="shared" si="24"/>
        <v>32.018724343910783</v>
      </c>
      <c r="AP10">
        <f t="shared" si="25"/>
        <v>25</v>
      </c>
      <c r="AQ10" s="144">
        <f t="shared" si="26"/>
        <v>32.018724343910783</v>
      </c>
      <c r="AR10" s="144"/>
      <c r="AS10" s="5">
        <f t="shared" si="101"/>
        <v>31.231725201137714</v>
      </c>
      <c r="AT10" s="5">
        <f t="shared" si="27"/>
        <v>1.6712067251749205</v>
      </c>
      <c r="AU10" s="5">
        <f t="shared" si="102"/>
        <v>29.560518475962795</v>
      </c>
      <c r="AV10" s="5">
        <f t="shared" si="28"/>
        <v>2.3423793900853283</v>
      </c>
      <c r="AW10" s="150">
        <f t="shared" si="103"/>
        <v>5.3509907455065647E-2</v>
      </c>
      <c r="AX10" s="150">
        <f t="shared" si="29"/>
        <v>4.2691632458547719</v>
      </c>
      <c r="AY10" s="150">
        <f t="shared" si="30"/>
        <v>0.31549669751497816</v>
      </c>
      <c r="AZ10" s="150">
        <f t="shared" si="104"/>
        <v>13.531562388706442</v>
      </c>
      <c r="BA10" s="144">
        <f t="shared" si="31"/>
        <v>2.4576569487866483E-2</v>
      </c>
      <c r="BB10" s="5">
        <f t="shared" si="32"/>
        <v>17.496448618826467</v>
      </c>
      <c r="BC10" s="5"/>
      <c r="BD10" s="150">
        <f t="shared" si="105"/>
        <v>1.7807182480164305</v>
      </c>
      <c r="BE10" s="150">
        <f t="shared" si="33"/>
        <v>0.37446061802424752</v>
      </c>
      <c r="BF10" s="150"/>
      <c r="BG10" s="456">
        <f t="shared" si="34"/>
        <v>1.0781255427983598E-2</v>
      </c>
      <c r="BH10" s="456">
        <f t="shared" si="35"/>
        <v>0.20999711727250336</v>
      </c>
      <c r="BI10" s="456">
        <f t="shared" si="36"/>
        <v>1.7549684941551728E-2</v>
      </c>
      <c r="BJ10" s="456">
        <f t="shared" si="37"/>
        <v>9.2517673573573166E-3</v>
      </c>
      <c r="BK10">
        <f t="shared" si="38"/>
        <v>5.3853301715609102E-3</v>
      </c>
      <c r="BL10" s="144">
        <f t="shared" si="106"/>
        <v>22.935015113112641</v>
      </c>
      <c r="BM10" s="456">
        <f t="shared" si="39"/>
        <v>0.23353931948386578</v>
      </c>
      <c r="BN10" s="144">
        <f t="shared" si="107"/>
        <v>233.53931948386577</v>
      </c>
      <c r="BO10" s="456">
        <f t="shared" si="108"/>
        <v>5.5468749999999997E-2</v>
      </c>
      <c r="BP10" s="456"/>
      <c r="BR10" s="144">
        <f t="shared" si="109"/>
        <v>55.46875</v>
      </c>
      <c r="BS10" s="456">
        <f t="shared" si="40"/>
        <v>4.7564362182280582E-3</v>
      </c>
      <c r="BT10" s="456">
        <f t="shared" si="41"/>
        <v>2.8044150890220283E-2</v>
      </c>
      <c r="BU10" s="456">
        <f t="shared" si="42"/>
        <v>6.3750000000000001E-2</v>
      </c>
      <c r="BV10" s="456">
        <f t="shared" si="43"/>
        <v>0.10469745906456238</v>
      </c>
      <c r="BW10" s="456">
        <f t="shared" si="44"/>
        <v>5.6922176611396962E-3</v>
      </c>
      <c r="BX10" s="144">
        <f t="shared" si="110"/>
        <v>110.38967672570207</v>
      </c>
      <c r="BY10" s="150">
        <f t="shared" si="45"/>
        <v>0.42233276132268044</v>
      </c>
      <c r="BZ10" s="5">
        <f t="shared" si="111"/>
        <v>4.25</v>
      </c>
      <c r="CA10" s="150">
        <f t="shared" si="112"/>
        <v>0.90960987093669177</v>
      </c>
      <c r="CB10" s="5">
        <f t="shared" si="113"/>
        <v>90.960987093669175</v>
      </c>
      <c r="CE10" s="59">
        <f t="shared" si="46"/>
        <v>-50</v>
      </c>
      <c r="CF10">
        <f t="shared" si="47"/>
        <v>-50</v>
      </c>
      <c r="CG10" s="150">
        <f t="shared" si="48"/>
        <v>7.515425313783565E-2</v>
      </c>
      <c r="CI10" s="147">
        <v>5</v>
      </c>
      <c r="CJ10" s="188">
        <f t="shared" si="114"/>
        <v>2.5000000000000001E-2</v>
      </c>
      <c r="CK10" s="188"/>
      <c r="CL10" s="188">
        <f t="shared" si="49"/>
        <v>4.25</v>
      </c>
      <c r="CM10" s="465">
        <f t="shared" si="50"/>
        <v>12</v>
      </c>
      <c r="CN10" s="149">
        <f t="shared" si="51"/>
        <v>8.5350000000000001</v>
      </c>
      <c r="CO10" s="379">
        <f t="shared" si="52"/>
        <v>20.535</v>
      </c>
      <c r="CP10" s="379"/>
      <c r="CQ10" s="188">
        <f t="shared" si="53"/>
        <v>0.4156318480642805</v>
      </c>
      <c r="CR10" s="149">
        <f t="shared" si="54"/>
        <v>166.85124908692478</v>
      </c>
      <c r="CS10" s="149">
        <f t="shared" si="115"/>
        <v>4.25</v>
      </c>
      <c r="CT10" s="188">
        <f t="shared" si="55"/>
        <v>0.98147793580543985</v>
      </c>
      <c r="CU10" s="188">
        <f t="shared" si="56"/>
        <v>170</v>
      </c>
      <c r="CV10" s="188">
        <f t="shared" si="57"/>
        <v>0.97795728956301287</v>
      </c>
      <c r="CW10" s="149">
        <f t="shared" si="58"/>
        <v>15760.010659417816</v>
      </c>
      <c r="CX10" s="149">
        <f t="shared" si="59"/>
        <v>170</v>
      </c>
      <c r="CY10" s="188">
        <f t="shared" si="60"/>
        <v>1.7042325717633273</v>
      </c>
      <c r="CZ10" s="188">
        <f t="shared" si="61"/>
        <v>0.21302907147041594</v>
      </c>
      <c r="DA10" s="188">
        <f t="shared" si="62"/>
        <v>0.29951363299882727</v>
      </c>
      <c r="DB10" s="172">
        <f t="shared" si="63"/>
        <v>249.37910883856827</v>
      </c>
      <c r="DC10" s="379">
        <f t="shared" si="116"/>
        <v>350</v>
      </c>
      <c r="DE10" s="188">
        <f t="shared" si="64"/>
        <v>13.333333333333334</v>
      </c>
      <c r="DF10" s="150">
        <f t="shared" si="65"/>
        <v>2.3432923257176337</v>
      </c>
      <c r="DG10" s="150">
        <f t="shared" si="66"/>
        <v>0.19478938397857323</v>
      </c>
      <c r="DH10" s="150"/>
      <c r="DI10" s="150">
        <f t="shared" si="67"/>
        <v>2.3432923257176337</v>
      </c>
      <c r="DJ10" s="314">
        <f t="shared" si="117"/>
        <v>32.006249999999994</v>
      </c>
      <c r="DK10" s="456">
        <f t="shared" si="68"/>
        <v>0.19478938397857321</v>
      </c>
      <c r="DM10" s="150">
        <f t="shared" si="69"/>
        <v>4.0320147392020846</v>
      </c>
      <c r="DN10" s="150">
        <f t="shared" si="70"/>
        <v>13.333333333333334</v>
      </c>
      <c r="DO10" s="150">
        <f t="shared" si="71"/>
        <v>1.0182892857142858</v>
      </c>
      <c r="DQ10" s="314">
        <f t="shared" si="72"/>
        <v>25</v>
      </c>
      <c r="DR10" s="144">
        <f t="shared" si="73"/>
        <v>32.006249999999994</v>
      </c>
      <c r="DT10">
        <f t="shared" si="74"/>
        <v>25</v>
      </c>
      <c r="DU10" s="144">
        <f t="shared" si="75"/>
        <v>32.006249999999994</v>
      </c>
      <c r="DV10" s="144"/>
      <c r="DW10" s="5">
        <f t="shared" si="118"/>
        <v>31.243897676235115</v>
      </c>
      <c r="DX10" s="5">
        <f t="shared" si="76"/>
        <v>1.666666666666667</v>
      </c>
      <c r="DY10" s="5">
        <f t="shared" si="119"/>
        <v>29.577231009568447</v>
      </c>
      <c r="DZ10" s="5">
        <f t="shared" si="77"/>
        <v>2.3432923257176337</v>
      </c>
      <c r="EA10" s="150">
        <f t="shared" si="120"/>
        <v>5.3343750000000002E-2</v>
      </c>
      <c r="EB10" s="150">
        <f t="shared" si="78"/>
        <v>4.2675000000000001</v>
      </c>
      <c r="EC10" s="150">
        <f t="shared" si="79"/>
        <v>0.31555208333333334</v>
      </c>
      <c r="ED10" s="150">
        <f t="shared" si="121"/>
        <v>13.523916416333806</v>
      </c>
      <c r="EE10" s="144">
        <f t="shared" si="80"/>
        <v>2.4509803921568634E-2</v>
      </c>
      <c r="EF10" s="5">
        <f t="shared" si="81"/>
        <v>17.458782193148039</v>
      </c>
      <c r="EG10" s="5"/>
      <c r="EH10" s="150">
        <f t="shared" si="122"/>
        <v>1.7779513804126117</v>
      </c>
      <c r="EI10" s="150">
        <f t="shared" si="82"/>
        <v>0.3744934850840137</v>
      </c>
      <c r="EJ10" s="150"/>
      <c r="EK10" s="456">
        <f t="shared" si="83"/>
        <v>1.0747777777777778E-2</v>
      </c>
      <c r="EL10" s="456">
        <f t="shared" si="84"/>
        <v>0.26640466199999996</v>
      </c>
      <c r="EM10" s="456">
        <f t="shared" si="85"/>
        <v>7.3294312499999981E-3</v>
      </c>
      <c r="EN10" s="456">
        <f t="shared" si="86"/>
        <v>9.2451673961507792E-3</v>
      </c>
      <c r="EO10">
        <f t="shared" si="87"/>
        <v>5.4000000000000003E-3</v>
      </c>
      <c r="EP10" s="144">
        <f t="shared" si="123"/>
        <v>12.729431249999999</v>
      </c>
      <c r="EQ10" s="456">
        <f t="shared" si="88"/>
        <v>0.30280219591317054</v>
      </c>
      <c r="ER10" s="144">
        <f t="shared" si="124"/>
        <v>302.80219591317052</v>
      </c>
      <c r="ES10" s="456">
        <f t="shared" si="125"/>
        <v>5.5468749999999997E-2</v>
      </c>
      <c r="ET10" s="456"/>
      <c r="EV10" s="144">
        <f t="shared" si="126"/>
        <v>55.46875</v>
      </c>
      <c r="EW10" s="456">
        <f t="shared" si="89"/>
        <v>4.7416666666666675E-3</v>
      </c>
      <c r="EX10" s="456">
        <f t="shared" si="90"/>
        <v>2.8049074074074077E-2</v>
      </c>
      <c r="EY10" s="456">
        <f t="shared" si="91"/>
        <v>0.18810651125876177</v>
      </c>
      <c r="EZ10" s="456">
        <f t="shared" si="92"/>
        <v>0.22936872340473624</v>
      </c>
      <c r="FA10" s="456">
        <f t="shared" si="93"/>
        <v>5.6900000000000006E-3</v>
      </c>
      <c r="FB10" s="144">
        <f t="shared" si="127"/>
        <v>235.05872340473624</v>
      </c>
      <c r="FC10" s="150">
        <f t="shared" si="128"/>
        <v>0.59332966931790676</v>
      </c>
      <c r="FD10" s="5">
        <f t="shared" si="129"/>
        <v>4.25</v>
      </c>
      <c r="FE10" s="150">
        <f t="shared" si="130"/>
        <v>0.87749550209712113</v>
      </c>
      <c r="FF10" s="5">
        <f t="shared" si="131"/>
        <v>87.749550209712112</v>
      </c>
      <c r="FI10" s="59">
        <f t="shared" si="94"/>
        <v>-50</v>
      </c>
      <c r="FJ10">
        <f t="shared" si="95"/>
        <v>-50</v>
      </c>
      <c r="FL10">
        <f t="shared" si="96"/>
        <v>7.4999999999999997E-2</v>
      </c>
    </row>
    <row r="11" spans="2:168">
      <c r="E11" s="147">
        <v>6</v>
      </c>
      <c r="F11" s="188">
        <f t="shared" si="97"/>
        <v>0.03</v>
      </c>
      <c r="G11" s="188"/>
      <c r="H11" s="188">
        <f t="shared" si="0"/>
        <v>5.0999999999999996</v>
      </c>
      <c r="I11" s="465">
        <f t="shared" si="1"/>
        <v>11.967400381246467</v>
      </c>
      <c r="J11" s="149">
        <f t="shared" si="2"/>
        <v>8.5383264917095438</v>
      </c>
      <c r="K11" s="149">
        <f t="shared" si="3"/>
        <v>20.538326491709544</v>
      </c>
      <c r="L11" s="379"/>
      <c r="M11" s="188">
        <f t="shared" si="4"/>
        <v>0.41638760417836135</v>
      </c>
      <c r="N11" s="149">
        <f t="shared" si="5"/>
        <v>166.700541693773</v>
      </c>
      <c r="O11" s="149">
        <f t="shared" si="98"/>
        <v>5.0999999999999996</v>
      </c>
      <c r="P11" s="188">
        <f t="shared" si="6"/>
        <v>0.98059142172807645</v>
      </c>
      <c r="Q11" s="188">
        <f t="shared" si="7"/>
        <v>170</v>
      </c>
      <c r="R11" s="188">
        <f t="shared" si="8"/>
        <v>0.97707395548831877</v>
      </c>
      <c r="S11" s="149">
        <f t="shared" si="9"/>
        <v>13057.776357350191</v>
      </c>
      <c r="T11" s="149">
        <f t="shared" si="10"/>
        <v>170</v>
      </c>
      <c r="U11" s="188">
        <f t="shared" si="99"/>
        <v>2.0561592053071114</v>
      </c>
      <c r="V11" s="188">
        <f t="shared" si="11"/>
        <v>0.25772003189546733</v>
      </c>
      <c r="W11" s="188">
        <f t="shared" si="12"/>
        <v>0.36122287089342031</v>
      </c>
      <c r="X11" s="172">
        <f t="shared" si="13"/>
        <v>249.15374213545641</v>
      </c>
      <c r="Y11" s="379">
        <f t="shared" si="14"/>
        <v>350</v>
      </c>
      <c r="AA11" s="188">
        <f t="shared" si="15"/>
        <v>13.333333333333332</v>
      </c>
      <c r="AB11" s="150">
        <f t="shared" si="16"/>
        <v>2.3423793900853278</v>
      </c>
      <c r="AC11" s="150">
        <f t="shared" si="17"/>
        <v>0.1945375301802425</v>
      </c>
      <c r="AD11" s="150"/>
      <c r="AE11" s="150">
        <f t="shared" si="18"/>
        <v>2.3423793900853283</v>
      </c>
      <c r="AF11" s="314">
        <f t="shared" si="100"/>
        <v>38.422469212692938</v>
      </c>
      <c r="AG11" s="456">
        <f t="shared" si="19"/>
        <v>0.19453753018024256</v>
      </c>
      <c r="AI11" s="150">
        <f t="shared" si="20"/>
        <v>4.4177114933179196</v>
      </c>
      <c r="AJ11" s="150">
        <f t="shared" si="21"/>
        <v>13.333333333333334</v>
      </c>
      <c r="AK11" s="150">
        <f t="shared" si="22"/>
        <v>1.0219556966929675</v>
      </c>
      <c r="AM11" s="314">
        <f t="shared" si="23"/>
        <v>30</v>
      </c>
      <c r="AN11" s="144">
        <f t="shared" si="24"/>
        <v>38.422469212692938</v>
      </c>
      <c r="AP11">
        <f t="shared" si="25"/>
        <v>30</v>
      </c>
      <c r="AQ11" s="144">
        <f t="shared" si="26"/>
        <v>38.422469212692938</v>
      </c>
      <c r="AR11" s="144"/>
      <c r="AS11" s="5">
        <f t="shared" si="101"/>
        <v>26.026437667614761</v>
      </c>
      <c r="AT11" s="5">
        <f t="shared" si="27"/>
        <v>1.6712067251749205</v>
      </c>
      <c r="AU11" s="5">
        <f t="shared" si="102"/>
        <v>24.355230942439842</v>
      </c>
      <c r="AV11" s="5">
        <f t="shared" si="28"/>
        <v>2.3423793900853283</v>
      </c>
      <c r="AW11" s="150">
        <f t="shared" si="103"/>
        <v>6.421188894607878E-2</v>
      </c>
      <c r="AX11" s="150">
        <f t="shared" si="29"/>
        <v>5.1229958950257259</v>
      </c>
      <c r="AY11" s="150">
        <f t="shared" si="30"/>
        <v>0.31192937035130713</v>
      </c>
      <c r="AZ11" s="150">
        <f t="shared" si="104"/>
        <v>16.423576559193531</v>
      </c>
      <c r="BA11" s="144">
        <f t="shared" si="31"/>
        <v>2.9491883385439774E-2</v>
      </c>
      <c r="BB11" s="5">
        <f t="shared" si="32"/>
        <v>17.298615941282353</v>
      </c>
      <c r="BC11" s="5"/>
      <c r="BD11" s="150">
        <f t="shared" si="105"/>
        <v>1.950679105999356</v>
      </c>
      <c r="BE11" s="150">
        <f t="shared" si="33"/>
        <v>0.3723375829965222</v>
      </c>
      <c r="BF11" s="150"/>
      <c r="BG11" s="456">
        <f t="shared" si="34"/>
        <v>1.2937506513580319E-2</v>
      </c>
      <c r="BH11" s="456">
        <f t="shared" si="35"/>
        <v>0.251996540727004</v>
      </c>
      <c r="BI11" s="456">
        <f t="shared" si="36"/>
        <v>2.1059621929862073E-2</v>
      </c>
      <c r="BJ11" s="456">
        <f t="shared" si="37"/>
        <v>1.110212082882878E-2</v>
      </c>
      <c r="BK11">
        <f t="shared" si="38"/>
        <v>5.3853301715609102E-3</v>
      </c>
      <c r="BL11" s="144">
        <f t="shared" si="106"/>
        <v>26.444952101422981</v>
      </c>
      <c r="BM11" s="456">
        <f t="shared" si="39"/>
        <v>0.28039120380295079</v>
      </c>
      <c r="BN11" s="144">
        <f t="shared" si="107"/>
        <v>280.39120380295077</v>
      </c>
      <c r="BO11" s="456">
        <f t="shared" si="108"/>
        <v>6.6562499999999997E-2</v>
      </c>
      <c r="BP11" s="456"/>
      <c r="BR11" s="144">
        <f t="shared" si="109"/>
        <v>66.5625</v>
      </c>
      <c r="BS11" s="456">
        <f t="shared" si="40"/>
        <v>5.70772346187367E-3</v>
      </c>
      <c r="BT11" s="456">
        <f t="shared" si="41"/>
        <v>2.7727055142338416E-2</v>
      </c>
      <c r="BU11" s="456">
        <f t="shared" si="42"/>
        <v>7.6499999999999999E-2</v>
      </c>
      <c r="BV11" s="456">
        <f t="shared" si="43"/>
        <v>0.11827548664604827</v>
      </c>
      <c r="BW11" s="456">
        <f t="shared" si="44"/>
        <v>6.8306611933676353E-3</v>
      </c>
      <c r="BX11" s="144">
        <f t="shared" si="110"/>
        <v>125.1061478394159</v>
      </c>
      <c r="BY11" s="150">
        <f t="shared" si="45"/>
        <v>0.49850480374378958</v>
      </c>
      <c r="BZ11" s="5">
        <f t="shared" si="111"/>
        <v>5.0999999999999996</v>
      </c>
      <c r="CA11" s="150">
        <f t="shared" si="112"/>
        <v>0.9109575107606529</v>
      </c>
      <c r="CB11" s="5">
        <f t="shared" si="113"/>
        <v>91.095751076065284</v>
      </c>
      <c r="CE11" s="59">
        <f t="shared" si="46"/>
        <v>-50</v>
      </c>
      <c r="CF11">
        <f t="shared" si="47"/>
        <v>-50</v>
      </c>
      <c r="CG11" s="150">
        <f t="shared" si="48"/>
        <v>9.0185103765402772E-2</v>
      </c>
      <c r="CI11" s="147">
        <v>6</v>
      </c>
      <c r="CJ11" s="188">
        <f t="shared" si="114"/>
        <v>0.03</v>
      </c>
      <c r="CK11" s="188"/>
      <c r="CL11" s="188">
        <f t="shared" si="49"/>
        <v>5.0999999999999996</v>
      </c>
      <c r="CM11" s="465">
        <f t="shared" si="50"/>
        <v>12</v>
      </c>
      <c r="CN11" s="149">
        <f t="shared" si="51"/>
        <v>8.5350000000000001</v>
      </c>
      <c r="CO11" s="379">
        <f t="shared" si="52"/>
        <v>20.535</v>
      </c>
      <c r="CP11" s="379"/>
      <c r="CQ11" s="188">
        <f t="shared" si="53"/>
        <v>0.4156318480642805</v>
      </c>
      <c r="CR11" s="149">
        <f t="shared" si="54"/>
        <v>166.85124908692478</v>
      </c>
      <c r="CS11" s="149">
        <f t="shared" si="115"/>
        <v>5.0999999999999996</v>
      </c>
      <c r="CT11" s="188">
        <f t="shared" si="55"/>
        <v>0.98147793580543985</v>
      </c>
      <c r="CU11" s="188">
        <f t="shared" si="56"/>
        <v>170</v>
      </c>
      <c r="CV11" s="188">
        <f t="shared" si="57"/>
        <v>0.97795728956301287</v>
      </c>
      <c r="CW11" s="149">
        <f t="shared" si="58"/>
        <v>13093.346163592059</v>
      </c>
      <c r="CX11" s="149">
        <f t="shared" si="59"/>
        <v>170</v>
      </c>
      <c r="CY11" s="188">
        <f t="shared" si="60"/>
        <v>2.0450790861159929</v>
      </c>
      <c r="CZ11" s="188">
        <f t="shared" si="61"/>
        <v>0.25563488576449911</v>
      </c>
      <c r="DA11" s="188">
        <f t="shared" si="62"/>
        <v>0.35941635959859281</v>
      </c>
      <c r="DB11" s="172">
        <f t="shared" si="63"/>
        <v>249.37910883856827</v>
      </c>
      <c r="DC11" s="379">
        <f t="shared" si="116"/>
        <v>350</v>
      </c>
      <c r="DE11" s="188">
        <f t="shared" si="64"/>
        <v>13.333333333333334</v>
      </c>
      <c r="DF11" s="150">
        <f t="shared" si="65"/>
        <v>2.3432923257176337</v>
      </c>
      <c r="DG11" s="150">
        <f t="shared" si="66"/>
        <v>0.19478938397857323</v>
      </c>
      <c r="DH11" s="150"/>
      <c r="DI11" s="150">
        <f t="shared" si="67"/>
        <v>2.3432923257176337</v>
      </c>
      <c r="DJ11" s="314">
        <f t="shared" si="117"/>
        <v>38.407499999999985</v>
      </c>
      <c r="DK11" s="456">
        <f t="shared" si="68"/>
        <v>0.19478938397857321</v>
      </c>
      <c r="DM11" s="150">
        <f t="shared" si="69"/>
        <v>4.4168508497085819</v>
      </c>
      <c r="DN11" s="150">
        <f t="shared" si="70"/>
        <v>13.333333333333334</v>
      </c>
      <c r="DO11" s="150">
        <f t="shared" si="71"/>
        <v>1.0219471428571429</v>
      </c>
      <c r="DQ11" s="314">
        <f t="shared" si="72"/>
        <v>30</v>
      </c>
      <c r="DR11" s="144">
        <f t="shared" si="73"/>
        <v>38.407499999999985</v>
      </c>
      <c r="DT11">
        <f t="shared" si="74"/>
        <v>30</v>
      </c>
      <c r="DU11" s="144">
        <f t="shared" si="75"/>
        <v>38.407499999999985</v>
      </c>
      <c r="DV11" s="144"/>
      <c r="DW11" s="5">
        <f t="shared" si="118"/>
        <v>26.036581396862601</v>
      </c>
      <c r="DX11" s="5">
        <f t="shared" si="76"/>
        <v>1.666666666666667</v>
      </c>
      <c r="DY11" s="5">
        <f t="shared" si="119"/>
        <v>24.369914730195934</v>
      </c>
      <c r="DZ11" s="5">
        <f t="shared" si="77"/>
        <v>2.3432923257176337</v>
      </c>
      <c r="EA11" s="150">
        <f t="shared" si="120"/>
        <v>6.4012499999999986E-2</v>
      </c>
      <c r="EB11" s="150">
        <f t="shared" si="78"/>
        <v>5.1209999999999987</v>
      </c>
      <c r="EC11" s="150">
        <f t="shared" si="79"/>
        <v>0.31199583333333336</v>
      </c>
      <c r="ED11" s="150">
        <f t="shared" si="121"/>
        <v>16.413680738257717</v>
      </c>
      <c r="EE11" s="144">
        <f t="shared" si="80"/>
        <v>2.9411764705882356E-2</v>
      </c>
      <c r="EF11" s="5">
        <f t="shared" si="81"/>
        <v>17.262022933888783</v>
      </c>
      <c r="EG11" s="5"/>
      <c r="EH11" s="150">
        <f t="shared" si="122"/>
        <v>1.9476481543988722</v>
      </c>
      <c r="EI11" s="150">
        <f t="shared" si="82"/>
        <v>0.3723772479822241</v>
      </c>
      <c r="EJ11" s="150"/>
      <c r="EK11" s="456">
        <f t="shared" si="83"/>
        <v>1.2897333333333332E-2</v>
      </c>
      <c r="EL11" s="456">
        <f t="shared" si="84"/>
        <v>0.31968559439999988</v>
      </c>
      <c r="EM11" s="456">
        <f t="shared" si="85"/>
        <v>8.7953174999999967E-3</v>
      </c>
      <c r="EN11" s="456">
        <f t="shared" si="86"/>
        <v>1.1094200875380933E-2</v>
      </c>
      <c r="EO11">
        <f t="shared" si="87"/>
        <v>5.4000000000000003E-3</v>
      </c>
      <c r="EP11" s="144">
        <f t="shared" si="123"/>
        <v>14.195317499999996</v>
      </c>
      <c r="EQ11" s="456">
        <f t="shared" si="88"/>
        <v>0.36246546760742937</v>
      </c>
      <c r="ER11" s="144">
        <f t="shared" si="124"/>
        <v>362.46546760742939</v>
      </c>
      <c r="ES11" s="456">
        <f t="shared" si="125"/>
        <v>6.6562499999999997E-2</v>
      </c>
      <c r="ET11" s="456"/>
      <c r="EV11" s="144">
        <f t="shared" si="126"/>
        <v>66.5625</v>
      </c>
      <c r="EW11" s="456">
        <f t="shared" si="89"/>
        <v>5.6899999999999997E-3</v>
      </c>
      <c r="EX11" s="456">
        <f t="shared" si="90"/>
        <v>2.7732962962962966E-2</v>
      </c>
      <c r="EY11" s="456">
        <f t="shared" si="91"/>
        <v>0.2967269167584668</v>
      </c>
      <c r="EZ11" s="456">
        <f t="shared" si="92"/>
        <v>0.33907803022821065</v>
      </c>
      <c r="FA11" s="456">
        <f t="shared" si="93"/>
        <v>6.827999999999999E-3</v>
      </c>
      <c r="FB11" s="144">
        <f t="shared" si="127"/>
        <v>345.90603022821062</v>
      </c>
      <c r="FC11" s="150">
        <f t="shared" si="128"/>
        <v>0.77493399783563988</v>
      </c>
      <c r="FD11" s="5">
        <f t="shared" si="129"/>
        <v>5.0999999999999996</v>
      </c>
      <c r="FE11" s="150">
        <f t="shared" si="130"/>
        <v>0.8680948589173717</v>
      </c>
      <c r="FF11" s="5">
        <f t="shared" si="131"/>
        <v>86.809485891737168</v>
      </c>
      <c r="FI11" s="59">
        <f t="shared" si="94"/>
        <v>-50</v>
      </c>
      <c r="FJ11">
        <f t="shared" si="95"/>
        <v>-50</v>
      </c>
      <c r="FL11">
        <f t="shared" si="96"/>
        <v>8.9999999999999969E-2</v>
      </c>
    </row>
    <row r="12" spans="2:168">
      <c r="E12" s="147">
        <v>7</v>
      </c>
      <c r="F12" s="188">
        <f t="shared" si="97"/>
        <v>3.5000000000000003E-2</v>
      </c>
      <c r="G12" s="188"/>
      <c r="H12" s="188">
        <f t="shared" si="0"/>
        <v>5.95</v>
      </c>
      <c r="I12" s="465">
        <f t="shared" si="1"/>
        <v>11.967400381246467</v>
      </c>
      <c r="J12" s="149">
        <f t="shared" si="2"/>
        <v>8.5383264917095438</v>
      </c>
      <c r="K12" s="149">
        <f t="shared" si="3"/>
        <v>20.538326491709544</v>
      </c>
      <c r="L12" s="379"/>
      <c r="M12" s="188">
        <f t="shared" si="4"/>
        <v>0.41638760417836135</v>
      </c>
      <c r="N12" s="149">
        <f t="shared" si="5"/>
        <v>166.700541693773</v>
      </c>
      <c r="O12" s="149">
        <f t="shared" si="98"/>
        <v>5.95</v>
      </c>
      <c r="P12" s="188">
        <f t="shared" si="6"/>
        <v>0.98059142172807645</v>
      </c>
      <c r="Q12" s="188">
        <f t="shared" si="7"/>
        <v>170</v>
      </c>
      <c r="R12" s="188">
        <f t="shared" si="8"/>
        <v>0.97707395548831877</v>
      </c>
      <c r="S12" s="149">
        <f t="shared" si="9"/>
        <v>11158.191179350393</v>
      </c>
      <c r="T12" s="149">
        <f t="shared" si="10"/>
        <v>170</v>
      </c>
      <c r="U12" s="188">
        <f t="shared" si="99"/>
        <v>2.3988524061916303</v>
      </c>
      <c r="V12" s="188">
        <f t="shared" si="11"/>
        <v>0.30067337054471188</v>
      </c>
      <c r="W12" s="188">
        <f t="shared" si="12"/>
        <v>0.42142668270899042</v>
      </c>
      <c r="X12" s="172">
        <f t="shared" si="13"/>
        <v>249.15374213545641</v>
      </c>
      <c r="Y12" s="379">
        <f t="shared" si="14"/>
        <v>350</v>
      </c>
      <c r="AA12" s="188">
        <f t="shared" si="15"/>
        <v>13.333333333333332</v>
      </c>
      <c r="AB12" s="150">
        <f t="shared" si="16"/>
        <v>2.3423793900853278</v>
      </c>
      <c r="AC12" s="150">
        <f t="shared" si="17"/>
        <v>0.1945375301802425</v>
      </c>
      <c r="AD12" s="150"/>
      <c r="AE12" s="150">
        <f t="shared" si="18"/>
        <v>2.3423793900853283</v>
      </c>
      <c r="AF12" s="314">
        <f t="shared" si="100"/>
        <v>44.826214081475094</v>
      </c>
      <c r="AG12" s="456">
        <f t="shared" si="19"/>
        <v>0.19453753018024256</v>
      </c>
      <c r="AI12" s="150">
        <f t="shared" si="20"/>
        <v>4.7716737780949341</v>
      </c>
      <c r="AJ12" s="150">
        <f t="shared" si="21"/>
        <v>13.333333333333334</v>
      </c>
      <c r="AK12" s="150">
        <f t="shared" si="22"/>
        <v>1.0256149794751286</v>
      </c>
      <c r="AM12" s="314">
        <f t="shared" si="23"/>
        <v>35</v>
      </c>
      <c r="AN12" s="144">
        <f t="shared" si="24"/>
        <v>44.826214081475094</v>
      </c>
      <c r="AP12">
        <f t="shared" si="25"/>
        <v>35</v>
      </c>
      <c r="AQ12" s="144">
        <f t="shared" si="26"/>
        <v>44.826214081475094</v>
      </c>
      <c r="AR12" s="144"/>
      <c r="AS12" s="5">
        <f t="shared" si="101"/>
        <v>22.308375143669796</v>
      </c>
      <c r="AT12" s="5">
        <f t="shared" si="27"/>
        <v>1.6712067251749205</v>
      </c>
      <c r="AU12" s="5">
        <f t="shared" si="102"/>
        <v>20.637168418494877</v>
      </c>
      <c r="AV12" s="5">
        <f t="shared" si="28"/>
        <v>2.3423793900853283</v>
      </c>
      <c r="AW12" s="150">
        <f t="shared" si="103"/>
        <v>7.4913870437091898E-2</v>
      </c>
      <c r="AX12" s="150">
        <f t="shared" si="29"/>
        <v>5.9768285441966809</v>
      </c>
      <c r="AY12" s="150">
        <f t="shared" si="30"/>
        <v>0.3083620431876361</v>
      </c>
      <c r="AZ12" s="150">
        <f t="shared" si="104"/>
        <v>19.382504028097333</v>
      </c>
      <c r="BA12" s="144">
        <f t="shared" si="31"/>
        <v>3.4407197283013072E-2</v>
      </c>
      <c r="BB12" s="5">
        <f t="shared" si="32"/>
        <v>17.100783263738236</v>
      </c>
      <c r="BC12" s="5"/>
      <c r="BD12" s="150">
        <f t="shared" si="105"/>
        <v>2.1069742452973141</v>
      </c>
      <c r="BE12" s="150">
        <f t="shared" si="33"/>
        <v>0.37020237299655812</v>
      </c>
      <c r="BF12" s="150"/>
      <c r="BG12" s="456">
        <f t="shared" si="34"/>
        <v>1.5093757599177034E-2</v>
      </c>
      <c r="BH12" s="456">
        <f t="shared" si="35"/>
        <v>0.29399596418150464</v>
      </c>
      <c r="BI12" s="456">
        <f t="shared" si="36"/>
        <v>2.4569558918172418E-2</v>
      </c>
      <c r="BJ12" s="456">
        <f t="shared" si="37"/>
        <v>1.2952474300300243E-2</v>
      </c>
      <c r="BK12">
        <f t="shared" si="38"/>
        <v>5.3853301715609102E-3</v>
      </c>
      <c r="BL12" s="144">
        <f t="shared" si="106"/>
        <v>29.954889089733332</v>
      </c>
      <c r="BM12" s="456">
        <f t="shared" si="39"/>
        <v>0.32729126771482914</v>
      </c>
      <c r="BN12" s="144">
        <f t="shared" si="107"/>
        <v>327.29126771482913</v>
      </c>
      <c r="BO12" s="456">
        <f t="shared" si="108"/>
        <v>7.765625000000001E-2</v>
      </c>
      <c r="BP12" s="456"/>
      <c r="BR12" s="144">
        <f t="shared" si="109"/>
        <v>77.656250000000014</v>
      </c>
      <c r="BS12" s="456">
        <f t="shared" si="40"/>
        <v>6.6590107055192801E-3</v>
      </c>
      <c r="BT12" s="456">
        <f t="shared" si="41"/>
        <v>2.7409959394456548E-2</v>
      </c>
      <c r="BU12" s="456">
        <f t="shared" si="42"/>
        <v>8.9249999999999996E-2</v>
      </c>
      <c r="BV12" s="456">
        <f t="shared" si="43"/>
        <v>0.13185489576407575</v>
      </c>
      <c r="BW12" s="456">
        <f t="shared" si="44"/>
        <v>7.9691047255955744E-3</v>
      </c>
      <c r="BX12" s="144">
        <f t="shared" si="110"/>
        <v>139.82400048967131</v>
      </c>
      <c r="BY12" s="150">
        <f t="shared" si="45"/>
        <v>0.57472640729423374</v>
      </c>
      <c r="BZ12" s="5">
        <f t="shared" si="111"/>
        <v>5.95</v>
      </c>
      <c r="CA12" s="150">
        <f t="shared" si="112"/>
        <v>0.91191563118237018</v>
      </c>
      <c r="CB12" s="5">
        <f t="shared" si="113"/>
        <v>91.191563118237013</v>
      </c>
      <c r="CE12" s="59">
        <f t="shared" si="46"/>
        <v>-50</v>
      </c>
      <c r="CF12">
        <f t="shared" si="47"/>
        <v>-50</v>
      </c>
      <c r="CG12" s="150">
        <f t="shared" si="48"/>
        <v>0.10521595439296992</v>
      </c>
      <c r="CI12" s="147">
        <v>7</v>
      </c>
      <c r="CJ12" s="188">
        <f t="shared" si="114"/>
        <v>3.5000000000000003E-2</v>
      </c>
      <c r="CK12" s="188"/>
      <c r="CL12" s="188">
        <f t="shared" si="49"/>
        <v>5.95</v>
      </c>
      <c r="CM12" s="465">
        <f t="shared" si="50"/>
        <v>12</v>
      </c>
      <c r="CN12" s="149">
        <f t="shared" si="51"/>
        <v>8.5350000000000001</v>
      </c>
      <c r="CO12" s="379">
        <f t="shared" si="52"/>
        <v>20.535</v>
      </c>
      <c r="CP12" s="379"/>
      <c r="CQ12" s="188">
        <f t="shared" si="53"/>
        <v>0.4156318480642805</v>
      </c>
      <c r="CR12" s="149">
        <f t="shared" si="54"/>
        <v>166.85124908692478</v>
      </c>
      <c r="CS12" s="149">
        <f t="shared" si="115"/>
        <v>5.95</v>
      </c>
      <c r="CT12" s="188">
        <f t="shared" si="55"/>
        <v>0.98147793580543985</v>
      </c>
      <c r="CU12" s="188">
        <f t="shared" si="56"/>
        <v>170</v>
      </c>
      <c r="CV12" s="188">
        <f t="shared" si="57"/>
        <v>0.97795728956301287</v>
      </c>
      <c r="CW12" s="149">
        <f t="shared" si="58"/>
        <v>11188.586442933682</v>
      </c>
      <c r="CX12" s="149">
        <f t="shared" si="59"/>
        <v>170</v>
      </c>
      <c r="CY12" s="188">
        <f t="shared" si="60"/>
        <v>2.3859256004686586</v>
      </c>
      <c r="CZ12" s="188">
        <f t="shared" si="61"/>
        <v>0.29824070005858233</v>
      </c>
      <c r="DA12" s="188">
        <f t="shared" si="62"/>
        <v>0.41931908619835834</v>
      </c>
      <c r="DB12" s="172">
        <f t="shared" si="63"/>
        <v>249.37910883856827</v>
      </c>
      <c r="DC12" s="379">
        <f t="shared" si="116"/>
        <v>350</v>
      </c>
      <c r="DE12" s="188">
        <f t="shared" si="64"/>
        <v>13.333333333333334</v>
      </c>
      <c r="DF12" s="150">
        <f t="shared" si="65"/>
        <v>2.3432923257176337</v>
      </c>
      <c r="DG12" s="150">
        <f t="shared" si="66"/>
        <v>0.19478938397857323</v>
      </c>
      <c r="DH12" s="150"/>
      <c r="DI12" s="150">
        <f t="shared" si="67"/>
        <v>2.3432923257176337</v>
      </c>
      <c r="DJ12" s="314">
        <f t="shared" si="117"/>
        <v>44.808749999999989</v>
      </c>
      <c r="DK12" s="456">
        <f t="shared" si="68"/>
        <v>0.19478938397857321</v>
      </c>
      <c r="DM12" s="150">
        <f t="shared" si="69"/>
        <v>4.7707441767506253</v>
      </c>
      <c r="DN12" s="150">
        <f t="shared" si="70"/>
        <v>13.333333333333334</v>
      </c>
      <c r="DO12" s="150">
        <f t="shared" si="71"/>
        <v>1.0256050000000001</v>
      </c>
      <c r="DQ12" s="314">
        <f t="shared" si="72"/>
        <v>35</v>
      </c>
      <c r="DR12" s="144">
        <f t="shared" si="73"/>
        <v>44.808749999999989</v>
      </c>
      <c r="DT12">
        <f t="shared" si="74"/>
        <v>35</v>
      </c>
      <c r="DU12" s="144">
        <f t="shared" si="75"/>
        <v>44.808749999999989</v>
      </c>
      <c r="DV12" s="144"/>
      <c r="DW12" s="5">
        <f t="shared" si="118"/>
        <v>22.317069768739369</v>
      </c>
      <c r="DX12" s="5">
        <f t="shared" si="76"/>
        <v>1.666666666666667</v>
      </c>
      <c r="DY12" s="5">
        <f t="shared" si="119"/>
        <v>20.650403102072701</v>
      </c>
      <c r="DZ12" s="5">
        <f t="shared" si="77"/>
        <v>2.3432923257176337</v>
      </c>
      <c r="EA12" s="150">
        <f t="shared" si="120"/>
        <v>7.4681250000000005E-2</v>
      </c>
      <c r="EB12" s="150">
        <f t="shared" si="78"/>
        <v>5.9744999999999999</v>
      </c>
      <c r="EC12" s="150">
        <f t="shared" si="79"/>
        <v>0.30843958333333338</v>
      </c>
      <c r="ED12" s="150">
        <f t="shared" si="121"/>
        <v>19.370081931226398</v>
      </c>
      <c r="EE12" s="144">
        <f t="shared" si="80"/>
        <v>3.4313725490196081E-2</v>
      </c>
      <c r="EF12" s="5">
        <f t="shared" si="81"/>
        <v>17.06526367462952</v>
      </c>
      <c r="EG12" s="5"/>
      <c r="EH12" s="150">
        <f t="shared" si="122"/>
        <v>2.1037004433986213</v>
      </c>
      <c r="EI12" s="150">
        <f t="shared" si="82"/>
        <v>0.37024891527087461</v>
      </c>
      <c r="EJ12" s="150"/>
      <c r="EK12" s="456">
        <f t="shared" si="83"/>
        <v>1.5046888888888887E-2</v>
      </c>
      <c r="EL12" s="456">
        <f t="shared" si="84"/>
        <v>0.37296652679999998</v>
      </c>
      <c r="EM12" s="456">
        <f t="shared" si="85"/>
        <v>1.0261203749999998E-2</v>
      </c>
      <c r="EN12" s="456">
        <f t="shared" si="86"/>
        <v>1.294323435461109E-2</v>
      </c>
      <c r="EO12">
        <f t="shared" si="87"/>
        <v>5.4000000000000003E-3</v>
      </c>
      <c r="EP12" s="144">
        <f t="shared" si="123"/>
        <v>15.661203749999999</v>
      </c>
      <c r="EQ12" s="456">
        <f t="shared" si="88"/>
        <v>0.42218990213798147</v>
      </c>
      <c r="ER12" s="144">
        <f t="shared" si="124"/>
        <v>422.18990213798145</v>
      </c>
      <c r="ES12" s="456">
        <f t="shared" si="125"/>
        <v>7.765625000000001E-2</v>
      </c>
      <c r="ET12" s="456"/>
      <c r="EV12" s="144">
        <f t="shared" si="126"/>
        <v>77.656250000000014</v>
      </c>
      <c r="EW12" s="456">
        <f t="shared" si="89"/>
        <v>6.6383333333333338E-3</v>
      </c>
      <c r="EX12" s="456">
        <f t="shared" si="90"/>
        <v>2.7416851851851859E-2</v>
      </c>
      <c r="EY12" s="456">
        <f t="shared" si="91"/>
        <v>0.43623842630432519</v>
      </c>
      <c r="EZ12" s="456">
        <f t="shared" si="92"/>
        <v>0.4797739592162058</v>
      </c>
      <c r="FA12" s="456">
        <f t="shared" si="93"/>
        <v>7.9659999999999991E-3</v>
      </c>
      <c r="FB12" s="144">
        <f t="shared" si="127"/>
        <v>487.73995921620576</v>
      </c>
      <c r="FC12" s="150">
        <f t="shared" si="128"/>
        <v>0.98758611135418728</v>
      </c>
      <c r="FD12" s="5">
        <f t="shared" si="129"/>
        <v>5.95</v>
      </c>
      <c r="FE12" s="150">
        <f t="shared" si="130"/>
        <v>0.85764701215918815</v>
      </c>
      <c r="FF12" s="5">
        <f t="shared" si="131"/>
        <v>85.764701215918819</v>
      </c>
      <c r="FI12" s="59">
        <f t="shared" si="94"/>
        <v>-50</v>
      </c>
      <c r="FJ12">
        <f t="shared" si="95"/>
        <v>-50</v>
      </c>
      <c r="FL12">
        <f t="shared" si="96"/>
        <v>0.105</v>
      </c>
    </row>
    <row r="13" spans="2:168" s="59" customFormat="1">
      <c r="E13" s="147">
        <v>8</v>
      </c>
      <c r="F13" s="188">
        <f t="shared" si="97"/>
        <v>0.04</v>
      </c>
      <c r="G13" s="188"/>
      <c r="H13" s="188">
        <f t="shared" si="0"/>
        <v>6.8</v>
      </c>
      <c r="I13" s="465">
        <f t="shared" si="1"/>
        <v>11.967400381246467</v>
      </c>
      <c r="J13" s="149">
        <f t="shared" si="2"/>
        <v>8.5383264917095438</v>
      </c>
      <c r="K13" s="149">
        <f t="shared" si="3"/>
        <v>20.538326491709544</v>
      </c>
      <c r="L13" s="379"/>
      <c r="M13" s="188">
        <f t="shared" si="4"/>
        <v>0.41638760417836135</v>
      </c>
      <c r="N13" s="149">
        <f t="shared" si="5"/>
        <v>166.700541693773</v>
      </c>
      <c r="O13" s="149">
        <f t="shared" si="98"/>
        <v>6.8</v>
      </c>
      <c r="P13" s="188">
        <f t="shared" si="6"/>
        <v>0.98059142172807645</v>
      </c>
      <c r="Q13" s="188">
        <f t="shared" si="7"/>
        <v>170</v>
      </c>
      <c r="R13" s="188">
        <f t="shared" si="8"/>
        <v>0.97707395548831877</v>
      </c>
      <c r="S13" s="149">
        <f t="shared" si="9"/>
        <v>9733.5028552602944</v>
      </c>
      <c r="T13" s="149">
        <f t="shared" si="10"/>
        <v>170</v>
      </c>
      <c r="U13" s="188">
        <f t="shared" si="99"/>
        <v>2.7415456070761488</v>
      </c>
      <c r="V13" s="188">
        <f t="shared" si="11"/>
        <v>0.34362670919395644</v>
      </c>
      <c r="W13" s="188">
        <f t="shared" si="12"/>
        <v>0.48163049452456058</v>
      </c>
      <c r="X13" s="172">
        <f t="shared" si="13"/>
        <v>249.15374213545641</v>
      </c>
      <c r="Y13" s="379">
        <f t="shared" si="14"/>
        <v>350</v>
      </c>
      <c r="AA13" s="188">
        <f t="shared" si="15"/>
        <v>13.333333333333332</v>
      </c>
      <c r="AB13" s="150">
        <f t="shared" si="16"/>
        <v>2.3423793900853278</v>
      </c>
      <c r="AC13" s="462">
        <f t="shared" si="17"/>
        <v>0.1945375301802425</v>
      </c>
      <c r="AD13" s="462"/>
      <c r="AE13" s="150">
        <f t="shared" si="18"/>
        <v>2.3423793900853283</v>
      </c>
      <c r="AF13" s="314">
        <f t="shared" si="100"/>
        <v>51.229958950257249</v>
      </c>
      <c r="AG13" s="456">
        <f t="shared" si="19"/>
        <v>0.19453753018024256</v>
      </c>
      <c r="AH13"/>
      <c r="AI13" s="150">
        <f t="shared" si="20"/>
        <v>5.1011338397384094</v>
      </c>
      <c r="AJ13" s="150">
        <f t="shared" si="21"/>
        <v>13.333333333333334</v>
      </c>
      <c r="AK13" s="150">
        <f t="shared" si="22"/>
        <v>1.0292742622572899</v>
      </c>
      <c r="AM13" s="314">
        <f t="shared" si="23"/>
        <v>40</v>
      </c>
      <c r="AN13" s="144">
        <f t="shared" si="24"/>
        <v>51.229958950257249</v>
      </c>
      <c r="AP13">
        <f t="shared" si="25"/>
        <v>40</v>
      </c>
      <c r="AQ13" s="144">
        <f t="shared" si="26"/>
        <v>51.229958950257249</v>
      </c>
      <c r="AR13" s="144"/>
      <c r="AS13" s="5">
        <f t="shared" si="101"/>
        <v>19.519828250711072</v>
      </c>
      <c r="AT13" s="5">
        <f t="shared" si="27"/>
        <v>1.6712067251749205</v>
      </c>
      <c r="AU13" s="5">
        <f t="shared" si="102"/>
        <v>17.848621525536153</v>
      </c>
      <c r="AV13" s="5">
        <f t="shared" si="28"/>
        <v>2.3423793900853283</v>
      </c>
      <c r="AW13" s="150">
        <f t="shared" si="103"/>
        <v>8.561585192810503E-2</v>
      </c>
      <c r="AX13" s="150">
        <f t="shared" si="29"/>
        <v>6.8306611933676349</v>
      </c>
      <c r="AY13" s="150">
        <f t="shared" si="30"/>
        <v>0.30479471602396502</v>
      </c>
      <c r="AZ13" s="150">
        <f t="shared" si="104"/>
        <v>22.410694261611024</v>
      </c>
      <c r="BA13" s="144">
        <f t="shared" si="31"/>
        <v>3.9322511180586363E-2</v>
      </c>
      <c r="BB13" s="5">
        <f t="shared" si="32"/>
        <v>16.90295058619412</v>
      </c>
      <c r="BC13" s="5"/>
      <c r="BD13" s="150">
        <f t="shared" si="105"/>
        <v>2.252450213902613</v>
      </c>
      <c r="BE13" s="150">
        <f t="shared" si="33"/>
        <v>0.36805477613104459</v>
      </c>
      <c r="BF13" s="150"/>
      <c r="BG13" s="456">
        <f t="shared" si="34"/>
        <v>1.7250008684773752E-2</v>
      </c>
      <c r="BH13" s="456">
        <f t="shared" si="35"/>
        <v>0.33599538763600534</v>
      </c>
      <c r="BI13" s="456">
        <f t="shared" si="36"/>
        <v>2.8079495906482767E-2</v>
      </c>
      <c r="BJ13" s="456">
        <f t="shared" si="37"/>
        <v>1.4802827771771707E-2</v>
      </c>
      <c r="BK13">
        <f t="shared" si="38"/>
        <v>5.3853301715609102E-3</v>
      </c>
      <c r="BL13" s="144">
        <f t="shared" si="106"/>
        <v>33.464826078043679</v>
      </c>
      <c r="BM13" s="456">
        <f t="shared" si="39"/>
        <v>0.3742395855751221</v>
      </c>
      <c r="BN13" s="144">
        <f t="shared" si="107"/>
        <v>374.23958557512208</v>
      </c>
      <c r="BO13" s="456">
        <f t="shared" si="108"/>
        <v>8.8749999999999996E-2</v>
      </c>
      <c r="BP13" s="456"/>
      <c r="BR13" s="144">
        <f t="shared" si="109"/>
        <v>88.75</v>
      </c>
      <c r="BS13" s="456">
        <f t="shared" si="40"/>
        <v>7.610297949164891E-3</v>
      </c>
      <c r="BT13" s="456">
        <f t="shared" si="41"/>
        <v>2.7092863646574674E-2</v>
      </c>
      <c r="BU13" s="456">
        <f t="shared" si="42"/>
        <v>0.10199999999999999</v>
      </c>
      <c r="BV13" s="456">
        <f t="shared" si="43"/>
        <v>0.14543568662950834</v>
      </c>
      <c r="BW13" s="456">
        <f t="shared" si="44"/>
        <v>9.1075482578235126E-3</v>
      </c>
      <c r="BX13" s="144">
        <f t="shared" si="110"/>
        <v>154.54323488733183</v>
      </c>
      <c r="BY13" s="150">
        <f t="shared" si="45"/>
        <v>0.65099764654049763</v>
      </c>
      <c r="BZ13" s="5">
        <f t="shared" si="111"/>
        <v>6.8</v>
      </c>
      <c r="CA13" s="150">
        <f t="shared" si="112"/>
        <v>0.91262946555314561</v>
      </c>
      <c r="CB13" s="5">
        <f t="shared" si="113"/>
        <v>91.262946555314556</v>
      </c>
      <c r="CE13" s="59">
        <f t="shared" si="46"/>
        <v>-50</v>
      </c>
      <c r="CF13">
        <f t="shared" si="47"/>
        <v>-50</v>
      </c>
      <c r="CG13" s="150">
        <f t="shared" si="48"/>
        <v>0.12024680502053704</v>
      </c>
      <c r="CH13"/>
      <c r="CI13" s="147">
        <v>8</v>
      </c>
      <c r="CJ13" s="188">
        <f t="shared" si="114"/>
        <v>0.04</v>
      </c>
      <c r="CK13" s="188"/>
      <c r="CL13" s="188">
        <f t="shared" si="49"/>
        <v>6.8</v>
      </c>
      <c r="CM13" s="465">
        <f t="shared" si="50"/>
        <v>12</v>
      </c>
      <c r="CN13" s="149">
        <f t="shared" si="51"/>
        <v>8.5350000000000001</v>
      </c>
      <c r="CO13" s="379">
        <f t="shared" si="52"/>
        <v>20.535</v>
      </c>
      <c r="CP13" s="379"/>
      <c r="CQ13" s="188">
        <f t="shared" si="53"/>
        <v>0.4156318480642805</v>
      </c>
      <c r="CR13" s="149">
        <f t="shared" si="54"/>
        <v>166.85124908692478</v>
      </c>
      <c r="CS13" s="149">
        <f t="shared" si="115"/>
        <v>6.8</v>
      </c>
      <c r="CT13" s="188">
        <f t="shared" si="55"/>
        <v>0.98147793580543985</v>
      </c>
      <c r="CU13" s="188">
        <f t="shared" si="56"/>
        <v>170</v>
      </c>
      <c r="CV13" s="188">
        <f t="shared" si="57"/>
        <v>0.97795728956301287</v>
      </c>
      <c r="CW13" s="149">
        <f t="shared" si="58"/>
        <v>9760.0172118499449</v>
      </c>
      <c r="CX13" s="149">
        <f t="shared" si="59"/>
        <v>170</v>
      </c>
      <c r="CY13" s="188">
        <f t="shared" si="60"/>
        <v>2.726772114821324</v>
      </c>
      <c r="CZ13" s="188">
        <f t="shared" si="61"/>
        <v>0.3408465143526655</v>
      </c>
      <c r="DA13" s="188">
        <f t="shared" si="62"/>
        <v>0.4792218127981237</v>
      </c>
      <c r="DB13" s="172">
        <f t="shared" si="63"/>
        <v>249.37910883856827</v>
      </c>
      <c r="DC13" s="379">
        <f t="shared" si="116"/>
        <v>350</v>
      </c>
      <c r="DE13" s="188">
        <f t="shared" si="64"/>
        <v>13.333333333333334</v>
      </c>
      <c r="DF13" s="150">
        <f t="shared" si="65"/>
        <v>2.3432923257176337</v>
      </c>
      <c r="DG13" s="462">
        <f t="shared" si="66"/>
        <v>0.19478938397857323</v>
      </c>
      <c r="DH13" s="462"/>
      <c r="DI13" s="150">
        <f t="shared" si="67"/>
        <v>2.3432923257176337</v>
      </c>
      <c r="DJ13" s="314">
        <f t="shared" si="117"/>
        <v>51.209999999999987</v>
      </c>
      <c r="DK13" s="456">
        <f t="shared" si="68"/>
        <v>0.19478938397857321</v>
      </c>
      <c r="DL13"/>
      <c r="DM13" s="150">
        <f t="shared" si="69"/>
        <v>5.1001400540993549</v>
      </c>
      <c r="DN13" s="150">
        <f t="shared" si="70"/>
        <v>13.333333333333334</v>
      </c>
      <c r="DO13" s="150">
        <f t="shared" si="71"/>
        <v>1.029262857142857</v>
      </c>
      <c r="DQ13" s="314">
        <f t="shared" si="72"/>
        <v>40</v>
      </c>
      <c r="DR13" s="144">
        <f t="shared" si="73"/>
        <v>51.209999999999987</v>
      </c>
      <c r="DT13">
        <f t="shared" si="74"/>
        <v>40</v>
      </c>
      <c r="DU13" s="144">
        <f t="shared" si="75"/>
        <v>51.209999999999987</v>
      </c>
      <c r="DV13" s="144"/>
      <c r="DW13" s="5">
        <f t="shared" si="118"/>
        <v>19.527436047646948</v>
      </c>
      <c r="DX13" s="5">
        <f t="shared" si="76"/>
        <v>1.666666666666667</v>
      </c>
      <c r="DY13" s="5">
        <f t="shared" si="119"/>
        <v>17.86076938098028</v>
      </c>
      <c r="DZ13" s="5">
        <f t="shared" si="77"/>
        <v>2.3432923257176337</v>
      </c>
      <c r="EA13" s="150">
        <f t="shared" si="120"/>
        <v>8.5349999999999995E-2</v>
      </c>
      <c r="EB13" s="150">
        <f t="shared" si="78"/>
        <v>6.8280000000000003</v>
      </c>
      <c r="EC13" s="150">
        <f t="shared" si="79"/>
        <v>0.30488333333333334</v>
      </c>
      <c r="ED13" s="150">
        <f t="shared" si="121"/>
        <v>22.395451812168588</v>
      </c>
      <c r="EE13" s="144">
        <f t="shared" si="80"/>
        <v>3.921568627450981E-2</v>
      </c>
      <c r="EF13" s="5">
        <f t="shared" si="81"/>
        <v>16.868504415370261</v>
      </c>
      <c r="EG13" s="5"/>
      <c r="EH13" s="150">
        <f t="shared" si="122"/>
        <v>2.2489503724577338</v>
      </c>
      <c r="EI13" s="150">
        <f t="shared" si="82"/>
        <v>0.36810827714641753</v>
      </c>
      <c r="EJ13" s="150"/>
      <c r="EK13" s="456">
        <f t="shared" si="83"/>
        <v>1.7196444444444452E-2</v>
      </c>
      <c r="EL13" s="456">
        <f t="shared" si="84"/>
        <v>0.4262474591999999</v>
      </c>
      <c r="EM13" s="456">
        <f t="shared" si="85"/>
        <v>1.1727089999999997E-2</v>
      </c>
      <c r="EN13" s="456">
        <f t="shared" si="86"/>
        <v>1.4792267833841244E-2</v>
      </c>
      <c r="EO13">
        <f t="shared" si="87"/>
        <v>5.4000000000000003E-3</v>
      </c>
      <c r="EP13" s="144">
        <f t="shared" si="123"/>
        <v>17.127089999999999</v>
      </c>
      <c r="EQ13" s="456">
        <f t="shared" si="88"/>
        <v>0.4819755936031942</v>
      </c>
      <c r="ER13" s="144">
        <f t="shared" si="124"/>
        <v>481.97559360319417</v>
      </c>
      <c r="ES13" s="456">
        <f t="shared" si="125"/>
        <v>8.8749999999999996E-2</v>
      </c>
      <c r="ET13" s="456"/>
      <c r="EV13" s="144">
        <f t="shared" si="126"/>
        <v>88.75</v>
      </c>
      <c r="EW13" s="456">
        <f t="shared" si="89"/>
        <v>7.5866666666666695E-3</v>
      </c>
      <c r="EX13" s="456">
        <f t="shared" si="90"/>
        <v>2.7100740740740748E-2</v>
      </c>
      <c r="EY13" s="456">
        <f t="shared" si="91"/>
        <v>0.60912129872465293</v>
      </c>
      <c r="EZ13" s="456">
        <f t="shared" si="92"/>
        <v>0.6539483858364723</v>
      </c>
      <c r="FA13" s="456">
        <f t="shared" si="93"/>
        <v>9.1039999999999992E-3</v>
      </c>
      <c r="FB13" s="144">
        <f t="shared" si="127"/>
        <v>663.05238583647235</v>
      </c>
      <c r="FC13" s="150">
        <f t="shared" si="128"/>
        <v>1.2337779794396664</v>
      </c>
      <c r="FD13" s="5">
        <f t="shared" si="129"/>
        <v>6.8</v>
      </c>
      <c r="FE13" s="150">
        <f t="shared" si="130"/>
        <v>0.84642617924005426</v>
      </c>
      <c r="FF13" s="5">
        <f t="shared" si="131"/>
        <v>84.642617924005421</v>
      </c>
      <c r="FI13" s="59">
        <f t="shared" si="94"/>
        <v>-50</v>
      </c>
      <c r="FJ13">
        <f t="shared" si="95"/>
        <v>-50</v>
      </c>
      <c r="FL13">
        <f t="shared" si="96"/>
        <v>0.11999999999999997</v>
      </c>
    </row>
    <row r="14" spans="2:168">
      <c r="E14" s="147">
        <v>9</v>
      </c>
      <c r="F14" s="188">
        <f t="shared" si="97"/>
        <v>4.4999999999999998E-2</v>
      </c>
      <c r="G14" s="188"/>
      <c r="H14" s="188">
        <f t="shared" si="0"/>
        <v>7.6499999999999995</v>
      </c>
      <c r="I14" s="465">
        <f t="shared" si="1"/>
        <v>11.967400381246467</v>
      </c>
      <c r="J14" s="149">
        <f t="shared" si="2"/>
        <v>8.5383264917095438</v>
      </c>
      <c r="K14" s="149">
        <f t="shared" si="3"/>
        <v>20.538326491709544</v>
      </c>
      <c r="L14" s="379"/>
      <c r="M14" s="188">
        <f t="shared" si="4"/>
        <v>0.41638760417836135</v>
      </c>
      <c r="N14" s="149">
        <f t="shared" si="5"/>
        <v>166.700541693773</v>
      </c>
      <c r="O14" s="149">
        <f t="shared" si="98"/>
        <v>7.6499999999999995</v>
      </c>
      <c r="P14" s="188">
        <f t="shared" si="6"/>
        <v>0.98059142172807645</v>
      </c>
      <c r="Q14" s="188">
        <f t="shared" si="7"/>
        <v>170</v>
      </c>
      <c r="R14" s="188">
        <f t="shared" si="8"/>
        <v>0.97707395548831877</v>
      </c>
      <c r="S14" s="149">
        <f t="shared" si="9"/>
        <v>8625.4124383610251</v>
      </c>
      <c r="T14" s="149">
        <f t="shared" si="10"/>
        <v>170</v>
      </c>
      <c r="U14" s="188">
        <f t="shared" si="99"/>
        <v>3.0842388079606673</v>
      </c>
      <c r="V14" s="188">
        <f t="shared" si="11"/>
        <v>0.38658004784320099</v>
      </c>
      <c r="W14" s="188">
        <f t="shared" si="12"/>
        <v>0.54183430634013052</v>
      </c>
      <c r="X14" s="172">
        <f t="shared" si="13"/>
        <v>249.15374213545641</v>
      </c>
      <c r="Y14" s="379">
        <f t="shared" si="14"/>
        <v>350</v>
      </c>
      <c r="AA14" s="188">
        <f t="shared" si="15"/>
        <v>13.333333333333332</v>
      </c>
      <c r="AB14" s="150">
        <f t="shared" si="16"/>
        <v>2.3423793900853278</v>
      </c>
      <c r="AC14" s="150">
        <f t="shared" si="17"/>
        <v>0.1945375301802425</v>
      </c>
      <c r="AD14" s="150"/>
      <c r="AE14" s="150">
        <f t="shared" si="18"/>
        <v>2.3423793900853283</v>
      </c>
      <c r="AF14" s="314">
        <f t="shared" si="100"/>
        <v>57.633703819039404</v>
      </c>
      <c r="AG14" s="456">
        <f t="shared" si="19"/>
        <v>0.19453753018024256</v>
      </c>
      <c r="AI14" s="150">
        <f t="shared" si="20"/>
        <v>5.4105694947287999</v>
      </c>
      <c r="AJ14" s="150">
        <f t="shared" si="21"/>
        <v>13.333333333333334</v>
      </c>
      <c r="AK14" s="150">
        <f t="shared" si="22"/>
        <v>1.032933545039451</v>
      </c>
      <c r="AM14" s="314">
        <f t="shared" si="23"/>
        <v>45</v>
      </c>
      <c r="AN14" s="144">
        <f t="shared" si="24"/>
        <v>57.633703819039404</v>
      </c>
      <c r="AP14">
        <f t="shared" si="25"/>
        <v>45</v>
      </c>
      <c r="AQ14" s="144">
        <f t="shared" si="26"/>
        <v>57.633703819039404</v>
      </c>
      <c r="AR14" s="144"/>
      <c r="AS14" s="5">
        <f t="shared" si="101"/>
        <v>17.350958445076511</v>
      </c>
      <c r="AT14" s="5">
        <f t="shared" si="27"/>
        <v>1.6712067251749205</v>
      </c>
      <c r="AU14" s="5">
        <f t="shared" si="102"/>
        <v>15.67975171990159</v>
      </c>
      <c r="AV14" s="5">
        <f t="shared" si="28"/>
        <v>2.3423793900853283</v>
      </c>
      <c r="AW14" s="150">
        <f t="shared" si="103"/>
        <v>9.6317833419118148E-2</v>
      </c>
      <c r="AX14" s="150">
        <f t="shared" si="29"/>
        <v>7.6844938425385889</v>
      </c>
      <c r="AY14" s="150">
        <f t="shared" si="30"/>
        <v>0.30122738886029399</v>
      </c>
      <c r="AZ14" s="150">
        <f t="shared" si="104"/>
        <v>25.510608021445801</v>
      </c>
      <c r="BA14" s="144">
        <f t="shared" si="31"/>
        <v>4.4237825078159661E-2</v>
      </c>
      <c r="BB14" s="5">
        <f t="shared" si="32"/>
        <v>16.705117908650003</v>
      </c>
      <c r="BC14" s="5"/>
      <c r="BD14" s="150">
        <f t="shared" si="105"/>
        <v>2.3890842308034408</v>
      </c>
      <c r="BE14" s="150">
        <f t="shared" si="33"/>
        <v>0.36589457428809186</v>
      </c>
      <c r="BF14" s="150"/>
      <c r="BG14" s="456">
        <f t="shared" si="34"/>
        <v>1.9406259770370474E-2</v>
      </c>
      <c r="BH14" s="456">
        <f t="shared" si="35"/>
        <v>0.37799481109050598</v>
      </c>
      <c r="BI14" s="456">
        <f t="shared" si="36"/>
        <v>3.1589432894793108E-2</v>
      </c>
      <c r="BJ14" s="456">
        <f t="shared" si="37"/>
        <v>1.6653181243243168E-2</v>
      </c>
      <c r="BK14">
        <f t="shared" si="38"/>
        <v>5.3853301715609102E-3</v>
      </c>
      <c r="BL14" s="144">
        <f t="shared" si="106"/>
        <v>36.974763066354022</v>
      </c>
      <c r="BM14" s="456">
        <f t="shared" si="39"/>
        <v>0.42123623189253334</v>
      </c>
      <c r="BN14" s="144">
        <f t="shared" si="107"/>
        <v>421.23623189253334</v>
      </c>
      <c r="BO14" s="456">
        <f t="shared" si="108"/>
        <v>9.9843749999999981E-2</v>
      </c>
      <c r="BP14" s="456"/>
      <c r="BR14" s="144">
        <f t="shared" si="109"/>
        <v>99.843749999999986</v>
      </c>
      <c r="BS14" s="456">
        <f t="shared" si="40"/>
        <v>8.5615851928105037E-3</v>
      </c>
      <c r="BT14" s="456">
        <f t="shared" si="41"/>
        <v>2.6775767898692793E-2</v>
      </c>
      <c r="BU14" s="456">
        <f t="shared" si="42"/>
        <v>0.11474999999999999</v>
      </c>
      <c r="BV14" s="456">
        <f t="shared" si="43"/>
        <v>0.15901785945325247</v>
      </c>
      <c r="BW14" s="456">
        <f t="shared" si="44"/>
        <v>1.0245991790051453E-2</v>
      </c>
      <c r="BX14" s="144">
        <f t="shared" si="110"/>
        <v>169.26385124330392</v>
      </c>
      <c r="BY14" s="150">
        <f t="shared" si="45"/>
        <v>0.72731859620219141</v>
      </c>
      <c r="BZ14" s="5">
        <f t="shared" si="111"/>
        <v>7.6499999999999995</v>
      </c>
      <c r="CA14" s="150">
        <f t="shared" si="112"/>
        <v>0.9131800243896756</v>
      </c>
      <c r="CB14" s="5">
        <f t="shared" si="113"/>
        <v>91.318002438967554</v>
      </c>
      <c r="CE14" s="59">
        <f t="shared" si="46"/>
        <v>-50</v>
      </c>
      <c r="CF14">
        <f t="shared" si="47"/>
        <v>-50</v>
      </c>
      <c r="CG14" s="150">
        <f t="shared" si="48"/>
        <v>0.13527765564810418</v>
      </c>
      <c r="CI14" s="147">
        <v>9</v>
      </c>
      <c r="CJ14" s="188">
        <f t="shared" si="114"/>
        <v>4.4999999999999998E-2</v>
      </c>
      <c r="CK14" s="188"/>
      <c r="CL14" s="188">
        <f t="shared" si="49"/>
        <v>7.6499999999999995</v>
      </c>
      <c r="CM14" s="465">
        <f t="shared" si="50"/>
        <v>12</v>
      </c>
      <c r="CN14" s="149">
        <f t="shared" si="51"/>
        <v>8.5350000000000001</v>
      </c>
      <c r="CO14" s="379">
        <f t="shared" si="52"/>
        <v>20.535</v>
      </c>
      <c r="CP14" s="379"/>
      <c r="CQ14" s="188">
        <f t="shared" si="53"/>
        <v>0.4156318480642805</v>
      </c>
      <c r="CR14" s="149">
        <f t="shared" si="54"/>
        <v>166.85124908692478</v>
      </c>
      <c r="CS14" s="149">
        <f t="shared" si="115"/>
        <v>7.6499999999999995</v>
      </c>
      <c r="CT14" s="188">
        <f t="shared" si="55"/>
        <v>0.98147793580543985</v>
      </c>
      <c r="CU14" s="188">
        <f t="shared" si="56"/>
        <v>170</v>
      </c>
      <c r="CV14" s="188">
        <f t="shared" si="57"/>
        <v>0.97795728956301287</v>
      </c>
      <c r="CW14" s="149">
        <f t="shared" si="58"/>
        <v>8648.9083117337123</v>
      </c>
      <c r="CX14" s="149">
        <f t="shared" si="59"/>
        <v>170</v>
      </c>
      <c r="CY14" s="188">
        <f t="shared" si="60"/>
        <v>3.0676186291739893</v>
      </c>
      <c r="CZ14" s="188">
        <f t="shared" si="61"/>
        <v>0.38345232864674872</v>
      </c>
      <c r="DA14" s="188">
        <f t="shared" si="62"/>
        <v>0.53912453939788918</v>
      </c>
      <c r="DB14" s="172">
        <f t="shared" si="63"/>
        <v>249.37910883856827</v>
      </c>
      <c r="DC14" s="379">
        <f t="shared" si="116"/>
        <v>350</v>
      </c>
      <c r="DE14" s="188">
        <f t="shared" si="64"/>
        <v>13.333333333333334</v>
      </c>
      <c r="DF14" s="150">
        <f t="shared" si="65"/>
        <v>2.3432923257176337</v>
      </c>
      <c r="DG14" s="150">
        <f t="shared" si="66"/>
        <v>0.19478938397857323</v>
      </c>
      <c r="DH14" s="150"/>
      <c r="DI14" s="150">
        <f t="shared" si="67"/>
        <v>2.3432923257176337</v>
      </c>
      <c r="DJ14" s="314">
        <f t="shared" si="117"/>
        <v>57.611249999999984</v>
      </c>
      <c r="DK14" s="456">
        <f t="shared" si="68"/>
        <v>0.19478938397857321</v>
      </c>
      <c r="DM14" s="150">
        <f t="shared" si="69"/>
        <v>5.4095154258821685</v>
      </c>
      <c r="DN14" s="150">
        <f t="shared" si="70"/>
        <v>13.333333333333334</v>
      </c>
      <c r="DO14" s="150">
        <f t="shared" si="71"/>
        <v>1.0329207142857142</v>
      </c>
      <c r="DQ14" s="314">
        <f t="shared" si="72"/>
        <v>45</v>
      </c>
      <c r="DR14" s="144">
        <f t="shared" si="73"/>
        <v>57.611249999999984</v>
      </c>
      <c r="DT14">
        <f t="shared" si="74"/>
        <v>45</v>
      </c>
      <c r="DU14" s="144">
        <f t="shared" si="75"/>
        <v>57.611249999999984</v>
      </c>
      <c r="DV14" s="144"/>
      <c r="DW14" s="5">
        <f t="shared" si="118"/>
        <v>17.357720931241733</v>
      </c>
      <c r="DX14" s="5">
        <f t="shared" si="76"/>
        <v>1.666666666666667</v>
      </c>
      <c r="DY14" s="5">
        <f t="shared" si="119"/>
        <v>15.691054264575065</v>
      </c>
      <c r="DZ14" s="5">
        <f t="shared" si="77"/>
        <v>2.3432923257176337</v>
      </c>
      <c r="EA14" s="150">
        <f t="shared" si="120"/>
        <v>9.6018749999999986E-2</v>
      </c>
      <c r="EB14" s="150">
        <f t="shared" si="78"/>
        <v>7.6814999999999998</v>
      </c>
      <c r="EC14" s="150">
        <f t="shared" si="79"/>
        <v>0.30132708333333336</v>
      </c>
      <c r="ED14" s="150">
        <f t="shared" si="121"/>
        <v>25.492232278047801</v>
      </c>
      <c r="EE14" s="144">
        <f t="shared" si="80"/>
        <v>4.4117647058823539E-2</v>
      </c>
      <c r="EF14" s="5">
        <f t="shared" si="81"/>
        <v>16.671745156111005</v>
      </c>
      <c r="EG14" s="5"/>
      <c r="EH14" s="150">
        <f t="shared" si="122"/>
        <v>2.3853720883753122</v>
      </c>
      <c r="EI14" s="150">
        <f t="shared" si="82"/>
        <v>0.36595511766902261</v>
      </c>
      <c r="EJ14" s="150"/>
      <c r="EK14" s="456">
        <f t="shared" si="83"/>
        <v>1.9345999999999995E-2</v>
      </c>
      <c r="EL14" s="456">
        <f t="shared" si="84"/>
        <v>0.47952839159999988</v>
      </c>
      <c r="EM14" s="456">
        <f t="shared" si="85"/>
        <v>1.3192976249999995E-2</v>
      </c>
      <c r="EN14" s="456">
        <f t="shared" si="86"/>
        <v>1.6641301313071399E-2</v>
      </c>
      <c r="EO14">
        <f t="shared" si="87"/>
        <v>5.4000000000000003E-3</v>
      </c>
      <c r="EP14" s="144">
        <f t="shared" si="123"/>
        <v>18.592976249999996</v>
      </c>
      <c r="EQ14" s="456">
        <f t="shared" si="88"/>
        <v>0.54182263629456007</v>
      </c>
      <c r="ER14" s="144">
        <f t="shared" si="124"/>
        <v>541.82263629456008</v>
      </c>
      <c r="ES14" s="456">
        <f t="shared" si="125"/>
        <v>9.9843749999999981E-2</v>
      </c>
      <c r="ET14" s="456"/>
      <c r="EV14" s="144">
        <f t="shared" si="126"/>
        <v>99.843749999999986</v>
      </c>
      <c r="EW14" s="456">
        <f t="shared" si="89"/>
        <v>8.5349999999999974E-3</v>
      </c>
      <c r="EX14" s="456">
        <f t="shared" si="90"/>
        <v>2.6784629629629637E-2</v>
      </c>
      <c r="EY14" s="456">
        <f t="shared" si="91"/>
        <v>0.8176832313834852</v>
      </c>
      <c r="EZ14" s="456">
        <f t="shared" si="92"/>
        <v>0.86392064068890795</v>
      </c>
      <c r="FA14" s="456">
        <f t="shared" si="93"/>
        <v>1.0241999999999999E-2</v>
      </c>
      <c r="FB14" s="144">
        <f t="shared" si="127"/>
        <v>874.16264068890791</v>
      </c>
      <c r="FC14" s="150">
        <f t="shared" si="128"/>
        <v>1.5158290269834682</v>
      </c>
      <c r="FD14" s="5">
        <f t="shared" si="129"/>
        <v>7.6499999999999995</v>
      </c>
      <c r="FE14" s="150">
        <f t="shared" si="130"/>
        <v>0.83462172133900936</v>
      </c>
      <c r="FF14" s="5">
        <f t="shared" si="131"/>
        <v>83.462172133900935</v>
      </c>
      <c r="FI14" s="59">
        <f t="shared" si="94"/>
        <v>-50</v>
      </c>
      <c r="FJ14">
        <f t="shared" si="95"/>
        <v>-50</v>
      </c>
      <c r="FL14">
        <f t="shared" si="96"/>
        <v>0.13499999999999998</v>
      </c>
    </row>
    <row r="15" spans="2:168">
      <c r="E15" s="147">
        <v>10</v>
      </c>
      <c r="F15" s="188">
        <f t="shared" si="97"/>
        <v>0.05</v>
      </c>
      <c r="G15" s="188"/>
      <c r="H15" s="188">
        <f t="shared" si="0"/>
        <v>8.5</v>
      </c>
      <c r="I15" s="465">
        <f t="shared" si="1"/>
        <v>11.967400381246467</v>
      </c>
      <c r="J15" s="149">
        <f t="shared" si="2"/>
        <v>8.5383264917095438</v>
      </c>
      <c r="K15" s="149">
        <f t="shared" si="3"/>
        <v>20.538326491709544</v>
      </c>
      <c r="L15" s="379"/>
      <c r="M15" s="188">
        <f t="shared" si="4"/>
        <v>0.41638760417836135</v>
      </c>
      <c r="N15" s="149">
        <f t="shared" si="5"/>
        <v>166.700541693773</v>
      </c>
      <c r="O15" s="149">
        <f t="shared" si="98"/>
        <v>8.5</v>
      </c>
      <c r="P15" s="188">
        <f t="shared" si="6"/>
        <v>0.98059142172807645</v>
      </c>
      <c r="Q15" s="188">
        <f t="shared" si="7"/>
        <v>170</v>
      </c>
      <c r="R15" s="188">
        <f t="shared" si="8"/>
        <v>0.97707395548831877</v>
      </c>
      <c r="S15" s="149">
        <f t="shared" si="9"/>
        <v>7738.9405606719774</v>
      </c>
      <c r="T15" s="149">
        <f t="shared" si="10"/>
        <v>170</v>
      </c>
      <c r="U15" s="188">
        <f t="shared" si="99"/>
        <v>3.4269320088451858</v>
      </c>
      <c r="V15" s="188">
        <f t="shared" si="11"/>
        <v>0.42953338649244555</v>
      </c>
      <c r="W15" s="188">
        <f t="shared" si="12"/>
        <v>0.60203811815570052</v>
      </c>
      <c r="X15" s="172">
        <f t="shared" si="13"/>
        <v>249.15374213545641</v>
      </c>
      <c r="Y15" s="379">
        <f t="shared" si="14"/>
        <v>350</v>
      </c>
      <c r="AA15" s="188">
        <f t="shared" si="15"/>
        <v>13.333333333333332</v>
      </c>
      <c r="AB15" s="150">
        <f t="shared" si="16"/>
        <v>2.3423793900853278</v>
      </c>
      <c r="AC15" s="150">
        <f t="shared" si="17"/>
        <v>0.1945375301802425</v>
      </c>
      <c r="AD15" s="150"/>
      <c r="AE15" s="150">
        <f t="shared" si="18"/>
        <v>2.3423793900853283</v>
      </c>
      <c r="AF15" s="314">
        <f t="shared" si="100"/>
        <v>64.037448687821566</v>
      </c>
      <c r="AG15" s="456">
        <f t="shared" si="19"/>
        <v>0.19453753018024256</v>
      </c>
      <c r="AI15" s="150">
        <f t="shared" si="20"/>
        <v>5.7032410139898007</v>
      </c>
      <c r="AJ15" s="150">
        <f t="shared" si="21"/>
        <v>13.333333333333334</v>
      </c>
      <c r="AK15" s="150">
        <f t="shared" si="22"/>
        <v>1.0365928278216123</v>
      </c>
      <c r="AM15" s="314">
        <f t="shared" si="23"/>
        <v>50</v>
      </c>
      <c r="AN15" s="144">
        <f t="shared" si="24"/>
        <v>64.037448687821566</v>
      </c>
      <c r="AP15">
        <f t="shared" si="25"/>
        <v>50</v>
      </c>
      <c r="AQ15" s="144">
        <f t="shared" si="26"/>
        <v>64.037448687821566</v>
      </c>
      <c r="AR15" s="144"/>
      <c r="AS15" s="5">
        <f t="shared" si="101"/>
        <v>15.615862600568857</v>
      </c>
      <c r="AT15" s="5">
        <f t="shared" si="27"/>
        <v>1.6712067251749205</v>
      </c>
      <c r="AU15" s="5">
        <f t="shared" si="102"/>
        <v>13.944655875393936</v>
      </c>
      <c r="AV15" s="5">
        <f t="shared" si="28"/>
        <v>2.3423793900853283</v>
      </c>
      <c r="AW15" s="150">
        <f t="shared" si="103"/>
        <v>0.10701981491013129</v>
      </c>
      <c r="AX15" s="150">
        <f t="shared" si="29"/>
        <v>8.5383264917095438</v>
      </c>
      <c r="AY15" s="150">
        <f t="shared" si="30"/>
        <v>0.2976600616966229</v>
      </c>
      <c r="AZ15" s="150">
        <f t="shared" si="104"/>
        <v>28.684824033974241</v>
      </c>
      <c r="BA15" s="144">
        <f t="shared" si="31"/>
        <v>4.9153138975732966E-2</v>
      </c>
      <c r="BB15" s="5">
        <f t="shared" si="32"/>
        <v>16.507285231105882</v>
      </c>
      <c r="BC15" s="5"/>
      <c r="BD15" s="150">
        <f t="shared" si="105"/>
        <v>2.5183158971100927</v>
      </c>
      <c r="BE15" s="150">
        <f t="shared" si="33"/>
        <v>0.36372154287868991</v>
      </c>
      <c r="BF15" s="150"/>
      <c r="BG15" s="456">
        <f t="shared" si="34"/>
        <v>2.1562510855967196E-2</v>
      </c>
      <c r="BH15" s="456">
        <f t="shared" si="35"/>
        <v>0.41999423454500673</v>
      </c>
      <c r="BI15" s="456">
        <f t="shared" si="36"/>
        <v>3.5099369883103457E-2</v>
      </c>
      <c r="BJ15" s="456">
        <f t="shared" si="37"/>
        <v>1.8503534714714633E-2</v>
      </c>
      <c r="BK15">
        <f t="shared" si="38"/>
        <v>5.3853301715609102E-3</v>
      </c>
      <c r="BL15" s="144">
        <f t="shared" si="106"/>
        <v>40.484700054664366</v>
      </c>
      <c r="BM15" s="456">
        <f t="shared" si="39"/>
        <v>0.46828128132924407</v>
      </c>
      <c r="BN15" s="144">
        <f t="shared" si="107"/>
        <v>468.28128132924405</v>
      </c>
      <c r="BO15" s="456">
        <f t="shared" si="108"/>
        <v>0.11093749999999999</v>
      </c>
      <c r="BP15" s="456"/>
      <c r="BR15" s="144">
        <f t="shared" si="109"/>
        <v>110.9375</v>
      </c>
      <c r="BS15" s="456">
        <f t="shared" si="40"/>
        <v>9.5128724364561164E-3</v>
      </c>
      <c r="BT15" s="456">
        <f t="shared" si="41"/>
        <v>2.6458672150810932E-2</v>
      </c>
      <c r="BU15" s="456">
        <f t="shared" si="42"/>
        <v>0.1275</v>
      </c>
      <c r="BV15" s="456">
        <f t="shared" si="43"/>
        <v>0.17260141444625746</v>
      </c>
      <c r="BW15" s="456">
        <f t="shared" si="44"/>
        <v>1.1384435322279392E-2</v>
      </c>
      <c r="BX15" s="144">
        <f t="shared" si="110"/>
        <v>183.98584976853687</v>
      </c>
      <c r="BY15" s="150">
        <f t="shared" si="45"/>
        <v>0.80368933115244534</v>
      </c>
      <c r="BZ15" s="5">
        <f t="shared" si="111"/>
        <v>8.5</v>
      </c>
      <c r="CA15" s="150">
        <f t="shared" si="112"/>
        <v>0.91361606105425575</v>
      </c>
      <c r="CB15" s="5">
        <f t="shared" si="113"/>
        <v>91.361606105425579</v>
      </c>
      <c r="CE15" s="59">
        <f t="shared" si="46"/>
        <v>-50</v>
      </c>
      <c r="CF15">
        <f t="shared" si="47"/>
        <v>-50</v>
      </c>
      <c r="CG15" s="150">
        <f t="shared" si="48"/>
        <v>0.1503085062756713</v>
      </c>
      <c r="CI15" s="147">
        <v>10</v>
      </c>
      <c r="CJ15" s="188">
        <f t="shared" si="114"/>
        <v>0.05</v>
      </c>
      <c r="CK15" s="188"/>
      <c r="CL15" s="188">
        <f t="shared" si="49"/>
        <v>8.5</v>
      </c>
      <c r="CM15" s="465">
        <f t="shared" si="50"/>
        <v>12</v>
      </c>
      <c r="CN15" s="149">
        <f t="shared" si="51"/>
        <v>8.5350000000000001</v>
      </c>
      <c r="CO15" s="379">
        <f t="shared" si="52"/>
        <v>20.535</v>
      </c>
      <c r="CP15" s="379"/>
      <c r="CQ15" s="188">
        <f t="shared" si="53"/>
        <v>0.4156318480642805</v>
      </c>
      <c r="CR15" s="149">
        <f t="shared" si="54"/>
        <v>166.85124908692478</v>
      </c>
      <c r="CS15" s="149">
        <f t="shared" si="115"/>
        <v>8.5</v>
      </c>
      <c r="CT15" s="188">
        <f t="shared" si="55"/>
        <v>0.98147793580543985</v>
      </c>
      <c r="CU15" s="188">
        <f t="shared" si="56"/>
        <v>170</v>
      </c>
      <c r="CV15" s="188">
        <f t="shared" si="57"/>
        <v>0.97795728956301287</v>
      </c>
      <c r="CW15" s="149">
        <f t="shared" si="58"/>
        <v>7760.0216474714116</v>
      </c>
      <c r="CX15" s="149">
        <f t="shared" si="59"/>
        <v>170</v>
      </c>
      <c r="CY15" s="188">
        <f t="shared" si="60"/>
        <v>3.4084651435266546</v>
      </c>
      <c r="CZ15" s="188">
        <f t="shared" si="61"/>
        <v>0.42605814294083189</v>
      </c>
      <c r="DA15" s="188">
        <f t="shared" si="62"/>
        <v>0.59902726599765455</v>
      </c>
      <c r="DB15" s="172">
        <f t="shared" si="63"/>
        <v>249.37910883856827</v>
      </c>
      <c r="DC15" s="379">
        <f t="shared" si="116"/>
        <v>350</v>
      </c>
      <c r="DE15" s="188">
        <f t="shared" si="64"/>
        <v>13.333333333333334</v>
      </c>
      <c r="DF15" s="150">
        <f t="shared" si="65"/>
        <v>2.3432923257176337</v>
      </c>
      <c r="DG15" s="150">
        <f t="shared" si="66"/>
        <v>0.19478938397857323</v>
      </c>
      <c r="DH15" s="150"/>
      <c r="DI15" s="150">
        <f t="shared" si="67"/>
        <v>2.3432923257176337</v>
      </c>
      <c r="DJ15" s="314">
        <f t="shared" si="117"/>
        <v>64.012499999999989</v>
      </c>
      <c r="DK15" s="456">
        <f t="shared" si="68"/>
        <v>0.19478938397857321</v>
      </c>
      <c r="DM15" s="150">
        <f t="shared" si="69"/>
        <v>5.7021299278678059</v>
      </c>
      <c r="DN15" s="150">
        <f t="shared" si="70"/>
        <v>13.333333333333334</v>
      </c>
      <c r="DO15" s="150">
        <f t="shared" si="71"/>
        <v>1.0365785714285713</v>
      </c>
      <c r="DQ15" s="314">
        <f t="shared" si="72"/>
        <v>50</v>
      </c>
      <c r="DR15" s="144">
        <f t="shared" si="73"/>
        <v>64.012499999999989</v>
      </c>
      <c r="DT15">
        <f t="shared" si="74"/>
        <v>50</v>
      </c>
      <c r="DU15" s="144">
        <f t="shared" si="75"/>
        <v>64.012499999999989</v>
      </c>
      <c r="DV15" s="144"/>
      <c r="DW15" s="5">
        <f t="shared" si="118"/>
        <v>15.621948838117557</v>
      </c>
      <c r="DX15" s="5">
        <f t="shared" si="76"/>
        <v>1.666666666666667</v>
      </c>
      <c r="DY15" s="5">
        <f t="shared" si="119"/>
        <v>13.955282171450889</v>
      </c>
      <c r="DZ15" s="5">
        <f t="shared" si="77"/>
        <v>2.3432923257176337</v>
      </c>
      <c r="EA15" s="150">
        <f t="shared" si="120"/>
        <v>0.1066875</v>
      </c>
      <c r="EB15" s="150">
        <f t="shared" si="78"/>
        <v>8.5350000000000001</v>
      </c>
      <c r="EC15" s="150">
        <f t="shared" si="79"/>
        <v>0.29777083333333337</v>
      </c>
      <c r="ED15" s="150">
        <f t="shared" si="121"/>
        <v>28.662981879241585</v>
      </c>
      <c r="EE15" s="144">
        <f t="shared" si="80"/>
        <v>4.9019607843137268E-2</v>
      </c>
      <c r="EF15" s="5">
        <f t="shared" si="81"/>
        <v>16.474985896851742</v>
      </c>
      <c r="EG15" s="5"/>
      <c r="EH15" s="150">
        <f t="shared" si="122"/>
        <v>2.5144029554194813</v>
      </c>
      <c r="EI15" s="150">
        <f t="shared" si="82"/>
        <v>0.36378921450833668</v>
      </c>
      <c r="EJ15" s="150"/>
      <c r="EK15" s="456">
        <f t="shared" si="83"/>
        <v>2.1495555555555552E-2</v>
      </c>
      <c r="EL15" s="456">
        <f t="shared" si="84"/>
        <v>0.53280932399999992</v>
      </c>
      <c r="EM15" s="456">
        <f t="shared" si="85"/>
        <v>1.4658862499999996E-2</v>
      </c>
      <c r="EN15" s="456">
        <f t="shared" si="86"/>
        <v>1.8490334792301558E-2</v>
      </c>
      <c r="EO15">
        <f t="shared" si="87"/>
        <v>5.4000000000000003E-3</v>
      </c>
      <c r="EP15" s="144">
        <f t="shared" si="123"/>
        <v>20.058862499999996</v>
      </c>
      <c r="EQ15" s="456">
        <f t="shared" si="88"/>
        <v>0.60173112469719248</v>
      </c>
      <c r="ER15" s="144">
        <f t="shared" si="124"/>
        <v>601.73112469719251</v>
      </c>
      <c r="ES15" s="456">
        <f t="shared" si="125"/>
        <v>0.11093749999999999</v>
      </c>
      <c r="ET15" s="456"/>
      <c r="EV15" s="144">
        <f t="shared" si="126"/>
        <v>110.9375</v>
      </c>
      <c r="EW15" s="456">
        <f t="shared" si="89"/>
        <v>9.4833333333333332E-3</v>
      </c>
      <c r="EX15" s="456">
        <f t="shared" si="90"/>
        <v>2.646851851851852E-2</v>
      </c>
      <c r="EY15" s="456">
        <f t="shared" si="91"/>
        <v>1.0640911175713139</v>
      </c>
      <c r="EZ15" s="456">
        <f t="shared" si="92"/>
        <v>1.1118693147381771</v>
      </c>
      <c r="FA15" s="456">
        <f t="shared" si="93"/>
        <v>1.1380000000000001E-2</v>
      </c>
      <c r="FB15" s="144">
        <f t="shared" si="127"/>
        <v>1123.249314738177</v>
      </c>
      <c r="FC15" s="150">
        <f t="shared" si="128"/>
        <v>1.8359179394353695</v>
      </c>
      <c r="FD15" s="5">
        <f t="shared" si="129"/>
        <v>8.5</v>
      </c>
      <c r="FE15" s="150">
        <f t="shared" si="130"/>
        <v>0.82237495013087714</v>
      </c>
      <c r="FF15" s="5">
        <f t="shared" si="131"/>
        <v>82.23749501308771</v>
      </c>
      <c r="FI15" s="59">
        <f t="shared" si="94"/>
        <v>-50</v>
      </c>
      <c r="FJ15">
        <f t="shared" si="95"/>
        <v>-50</v>
      </c>
      <c r="FL15">
        <f t="shared" si="96"/>
        <v>0.15</v>
      </c>
    </row>
    <row r="16" spans="2:168">
      <c r="E16" s="147">
        <v>11</v>
      </c>
      <c r="F16" s="188">
        <f t="shared" si="97"/>
        <v>5.5E-2</v>
      </c>
      <c r="G16" s="188"/>
      <c r="H16" s="188">
        <f t="shared" si="0"/>
        <v>9.35</v>
      </c>
      <c r="I16" s="465">
        <f t="shared" si="1"/>
        <v>11.967400381246467</v>
      </c>
      <c r="J16" s="149">
        <f t="shared" si="2"/>
        <v>8.5383264917095438</v>
      </c>
      <c r="K16" s="149">
        <f t="shared" si="3"/>
        <v>20.538326491709544</v>
      </c>
      <c r="L16" s="379"/>
      <c r="M16" s="188">
        <f t="shared" si="4"/>
        <v>0.41638760417836135</v>
      </c>
      <c r="N16" s="149">
        <f t="shared" si="5"/>
        <v>166.700541693773</v>
      </c>
      <c r="O16" s="149">
        <f t="shared" si="98"/>
        <v>9.35</v>
      </c>
      <c r="P16" s="188">
        <f t="shared" si="6"/>
        <v>0.98059142172807645</v>
      </c>
      <c r="Q16" s="188">
        <f t="shared" si="7"/>
        <v>170</v>
      </c>
      <c r="R16" s="188">
        <f t="shared" si="8"/>
        <v>0.97707395548831877</v>
      </c>
      <c r="S16" s="149">
        <f t="shared" si="9"/>
        <v>7013.6458062523152</v>
      </c>
      <c r="T16" s="149">
        <f t="shared" si="10"/>
        <v>170</v>
      </c>
      <c r="U16" s="188">
        <f t="shared" si="99"/>
        <v>3.7696252097297047</v>
      </c>
      <c r="V16" s="188">
        <f t="shared" si="11"/>
        <v>0.47248672514169021</v>
      </c>
      <c r="W16" s="188">
        <f t="shared" si="12"/>
        <v>0.66224192997127074</v>
      </c>
      <c r="X16" s="172">
        <f t="shared" si="13"/>
        <v>249.15374213545641</v>
      </c>
      <c r="Y16" s="379">
        <f t="shared" si="14"/>
        <v>350</v>
      </c>
      <c r="AA16" s="188">
        <f t="shared" si="15"/>
        <v>13.333333333333332</v>
      </c>
      <c r="AB16" s="150">
        <f t="shared" si="16"/>
        <v>2.3423793900853278</v>
      </c>
      <c r="AC16" s="150">
        <f t="shared" si="17"/>
        <v>0.1945375301802425</v>
      </c>
      <c r="AD16" s="150"/>
      <c r="AE16" s="150">
        <f t="shared" si="18"/>
        <v>2.3423793900853283</v>
      </c>
      <c r="AF16" s="314">
        <f t="shared" si="100"/>
        <v>70.441193556603707</v>
      </c>
      <c r="AG16" s="456">
        <f t="shared" si="19"/>
        <v>0.19453753018024256</v>
      </c>
      <c r="AI16" s="150">
        <f t="shared" si="20"/>
        <v>5.9816096387194095</v>
      </c>
      <c r="AJ16" s="150">
        <f t="shared" si="21"/>
        <v>13.333333333333334</v>
      </c>
      <c r="AK16" s="150">
        <f t="shared" si="22"/>
        <v>1.0402521106037736</v>
      </c>
      <c r="AM16" s="314">
        <f t="shared" si="23"/>
        <v>55</v>
      </c>
      <c r="AN16" s="144">
        <f t="shared" si="24"/>
        <v>70.441193556603707</v>
      </c>
      <c r="AP16">
        <f t="shared" si="25"/>
        <v>55</v>
      </c>
      <c r="AQ16" s="144">
        <f t="shared" si="26"/>
        <v>70.441193556603707</v>
      </c>
      <c r="AR16" s="144"/>
      <c r="AS16" s="5">
        <f t="shared" si="101"/>
        <v>14.196238727789874</v>
      </c>
      <c r="AT16" s="5">
        <f t="shared" si="27"/>
        <v>1.6712067251749205</v>
      </c>
      <c r="AU16" s="5">
        <f t="shared" si="102"/>
        <v>12.525032002614953</v>
      </c>
      <c r="AV16" s="5">
        <f t="shared" si="28"/>
        <v>2.3423793900853283</v>
      </c>
      <c r="AW16" s="150">
        <f t="shared" si="103"/>
        <v>0.11772179640114439</v>
      </c>
      <c r="AX16" s="150">
        <f t="shared" si="29"/>
        <v>9.3921591408804979</v>
      </c>
      <c r="AY16" s="150">
        <f t="shared" si="30"/>
        <v>0.29409273453295193</v>
      </c>
      <c r="AZ16" s="150">
        <f t="shared" si="104"/>
        <v>31.936046144751472</v>
      </c>
      <c r="BA16" s="144">
        <f t="shared" si="31"/>
        <v>5.406845287330625E-2</v>
      </c>
      <c r="BB16" s="5">
        <f t="shared" si="32"/>
        <v>16.309452553561769</v>
      </c>
      <c r="BC16" s="5"/>
      <c r="BD16" s="150">
        <f t="shared" si="105"/>
        <v>2.6412319953766179</v>
      </c>
      <c r="BE16" s="150">
        <f t="shared" si="33"/>
        <v>0.3615354505641809</v>
      </c>
      <c r="BF16" s="150"/>
      <c r="BG16" s="456">
        <f t="shared" si="34"/>
        <v>2.3718761941563908E-2</v>
      </c>
      <c r="BH16" s="456">
        <f t="shared" si="35"/>
        <v>0.4619936579995072</v>
      </c>
      <c r="BI16" s="456">
        <f t="shared" si="36"/>
        <v>3.8609306871413791E-2</v>
      </c>
      <c r="BJ16" s="456">
        <f t="shared" si="37"/>
        <v>2.0353888186186095E-2</v>
      </c>
      <c r="BK16">
        <f t="shared" si="38"/>
        <v>5.3853301715609102E-3</v>
      </c>
      <c r="BL16" s="144">
        <f t="shared" si="106"/>
        <v>43.994637042974702</v>
      </c>
      <c r="BM16" s="456">
        <f t="shared" si="39"/>
        <v>0.51537480870130725</v>
      </c>
      <c r="BN16" s="144">
        <f t="shared" si="107"/>
        <v>515.3748087013073</v>
      </c>
      <c r="BO16" s="456">
        <f t="shared" si="108"/>
        <v>0.12203125000000001</v>
      </c>
      <c r="BP16" s="456"/>
      <c r="BR16" s="144">
        <f t="shared" si="109"/>
        <v>122.03125000000001</v>
      </c>
      <c r="BS16" s="456">
        <f t="shared" si="40"/>
        <v>1.0464159680101726E-2</v>
      </c>
      <c r="BT16" s="456">
        <f t="shared" si="41"/>
        <v>2.6141576402929058E-2</v>
      </c>
      <c r="BU16" s="456">
        <f t="shared" si="42"/>
        <v>0.14024999999999999</v>
      </c>
      <c r="BV16" s="456">
        <f t="shared" si="43"/>
        <v>0.18618635181951557</v>
      </c>
      <c r="BW16" s="456">
        <f t="shared" si="44"/>
        <v>1.2522878854507329E-2</v>
      </c>
      <c r="BX16" s="144">
        <f t="shared" si="110"/>
        <v>198.7092306740229</v>
      </c>
      <c r="BY16" s="150">
        <f t="shared" si="45"/>
        <v>0.88010992641830499</v>
      </c>
      <c r="BZ16" s="5">
        <f t="shared" si="111"/>
        <v>9.35</v>
      </c>
      <c r="CA16" s="150">
        <f t="shared" si="112"/>
        <v>0.91396867357744582</v>
      </c>
      <c r="CB16" s="5">
        <f t="shared" si="113"/>
        <v>91.396867357744583</v>
      </c>
      <c r="CE16" s="59">
        <f t="shared" si="46"/>
        <v>-50</v>
      </c>
      <c r="CF16">
        <f t="shared" si="47"/>
        <v>-50</v>
      </c>
      <c r="CG16" s="150">
        <f t="shared" si="48"/>
        <v>0.16533935690323842</v>
      </c>
      <c r="CI16" s="147">
        <v>11</v>
      </c>
      <c r="CJ16" s="188">
        <f t="shared" si="114"/>
        <v>5.5E-2</v>
      </c>
      <c r="CK16" s="188"/>
      <c r="CL16" s="188">
        <f t="shared" si="49"/>
        <v>9.35</v>
      </c>
      <c r="CM16" s="465">
        <f t="shared" si="50"/>
        <v>12</v>
      </c>
      <c r="CN16" s="149">
        <f t="shared" si="51"/>
        <v>8.5350000000000001</v>
      </c>
      <c r="CO16" s="379">
        <f t="shared" si="52"/>
        <v>20.535</v>
      </c>
      <c r="CP16" s="379"/>
      <c r="CQ16" s="188">
        <f t="shared" si="53"/>
        <v>0.4156318480642805</v>
      </c>
      <c r="CR16" s="149">
        <f t="shared" si="54"/>
        <v>166.85124908692478</v>
      </c>
      <c r="CS16" s="149">
        <f t="shared" si="115"/>
        <v>9.35</v>
      </c>
      <c r="CT16" s="188">
        <f t="shared" si="55"/>
        <v>0.98147793580543985</v>
      </c>
      <c r="CU16" s="188">
        <f t="shared" si="56"/>
        <v>170</v>
      </c>
      <c r="CV16" s="188">
        <f t="shared" si="57"/>
        <v>0.97795728956301287</v>
      </c>
      <c r="CW16" s="149">
        <f t="shared" si="58"/>
        <v>7032.7511585830516</v>
      </c>
      <c r="CX16" s="149">
        <f t="shared" si="59"/>
        <v>170</v>
      </c>
      <c r="CY16" s="188">
        <f t="shared" si="60"/>
        <v>3.74931165787932</v>
      </c>
      <c r="CZ16" s="188">
        <f t="shared" si="61"/>
        <v>0.468663957234915</v>
      </c>
      <c r="DA16" s="188">
        <f t="shared" si="62"/>
        <v>0.65892999259742002</v>
      </c>
      <c r="DB16" s="172">
        <f t="shared" si="63"/>
        <v>249.37910883856827</v>
      </c>
      <c r="DC16" s="379">
        <f t="shared" si="116"/>
        <v>350</v>
      </c>
      <c r="DE16" s="188">
        <f t="shared" si="64"/>
        <v>13.333333333333334</v>
      </c>
      <c r="DF16" s="150">
        <f t="shared" si="65"/>
        <v>2.3432923257176337</v>
      </c>
      <c r="DG16" s="150">
        <f t="shared" si="66"/>
        <v>0.19478938397857323</v>
      </c>
      <c r="DH16" s="150"/>
      <c r="DI16" s="150">
        <f t="shared" si="67"/>
        <v>2.3432923257176337</v>
      </c>
      <c r="DJ16" s="314">
        <f t="shared" si="117"/>
        <v>70.413749999999979</v>
      </c>
      <c r="DK16" s="456">
        <f t="shared" si="68"/>
        <v>0.19478938397857321</v>
      </c>
      <c r="DM16" s="150">
        <f t="shared" si="69"/>
        <v>5.9804443217635832</v>
      </c>
      <c r="DN16" s="150">
        <f t="shared" si="70"/>
        <v>13.333333333333334</v>
      </c>
      <c r="DO16" s="150">
        <f t="shared" si="71"/>
        <v>1.0402364285714285</v>
      </c>
      <c r="DQ16" s="314">
        <f t="shared" si="72"/>
        <v>55</v>
      </c>
      <c r="DR16" s="144">
        <f t="shared" si="73"/>
        <v>70.413749999999979</v>
      </c>
      <c r="DT16">
        <f t="shared" si="74"/>
        <v>55</v>
      </c>
      <c r="DU16" s="144">
        <f t="shared" si="75"/>
        <v>70.413749999999979</v>
      </c>
      <c r="DV16" s="144"/>
      <c r="DW16" s="5">
        <f t="shared" si="118"/>
        <v>14.201771671015964</v>
      </c>
      <c r="DX16" s="5">
        <f t="shared" si="76"/>
        <v>1.666666666666667</v>
      </c>
      <c r="DY16" s="5">
        <f t="shared" si="119"/>
        <v>12.535105004349298</v>
      </c>
      <c r="DZ16" s="5">
        <f t="shared" si="77"/>
        <v>2.3432923257176337</v>
      </c>
      <c r="EA16" s="150">
        <f t="shared" si="120"/>
        <v>0.11735624999999998</v>
      </c>
      <c r="EB16" s="150">
        <f t="shared" si="78"/>
        <v>9.3884999999999987</v>
      </c>
      <c r="EC16" s="150">
        <f t="shared" si="79"/>
        <v>0.29421458333333339</v>
      </c>
      <c r="ED16" s="150">
        <f t="shared" si="121"/>
        <v>31.910382869645868</v>
      </c>
      <c r="EE16" s="144">
        <f t="shared" si="80"/>
        <v>5.3921568627450997E-2</v>
      </c>
      <c r="EF16" s="5">
        <f t="shared" si="81"/>
        <v>16.278226637592489</v>
      </c>
      <c r="EG16" s="5"/>
      <c r="EH16" s="150">
        <f t="shared" si="122"/>
        <v>2.6371280675091309</v>
      </c>
      <c r="EI16" s="150">
        <f t="shared" si="82"/>
        <v>0.36161033867553771</v>
      </c>
      <c r="EJ16" s="150"/>
      <c r="EK16" s="456">
        <f t="shared" si="83"/>
        <v>2.3645111111111106E-2</v>
      </c>
      <c r="EL16" s="456">
        <f t="shared" si="84"/>
        <v>0.5860902563999999</v>
      </c>
      <c r="EM16" s="456">
        <f t="shared" si="85"/>
        <v>1.6124748749999997E-2</v>
      </c>
      <c r="EN16" s="456">
        <f t="shared" si="86"/>
        <v>2.033936827153171E-2</v>
      </c>
      <c r="EO16">
        <f t="shared" si="87"/>
        <v>5.4000000000000003E-3</v>
      </c>
      <c r="EP16" s="144">
        <f t="shared" si="123"/>
        <v>21.524748749999997</v>
      </c>
      <c r="EQ16" s="456">
        <f t="shared" si="88"/>
        <v>0.66170115349032166</v>
      </c>
      <c r="ER16" s="144">
        <f t="shared" si="124"/>
        <v>661.70115349032164</v>
      </c>
      <c r="ES16" s="456">
        <f t="shared" si="125"/>
        <v>0.12203125000000001</v>
      </c>
      <c r="ET16" s="456"/>
      <c r="EV16" s="144">
        <f t="shared" si="126"/>
        <v>122.03125000000001</v>
      </c>
      <c r="EW16" s="456">
        <f t="shared" si="89"/>
        <v>1.0431666666666665E-2</v>
      </c>
      <c r="EX16" s="456">
        <f t="shared" si="90"/>
        <v>2.6152407407407419E-2</v>
      </c>
      <c r="EY16" s="456">
        <f t="shared" si="91"/>
        <v>1.3503940970353492</v>
      </c>
      <c r="EZ16" s="456">
        <f t="shared" si="92"/>
        <v>1.3998553418086181</v>
      </c>
      <c r="FA16" s="456">
        <f t="shared" si="93"/>
        <v>1.2518E-2</v>
      </c>
      <c r="FB16" s="144">
        <f t="shared" si="127"/>
        <v>1412.3733418086181</v>
      </c>
      <c r="FC16" s="150">
        <f t="shared" si="128"/>
        <v>2.1961057452989401</v>
      </c>
      <c r="FD16" s="5">
        <f t="shared" si="129"/>
        <v>9.35</v>
      </c>
      <c r="FE16" s="150">
        <f t="shared" si="130"/>
        <v>0.80979684460337664</v>
      </c>
      <c r="FF16" s="5">
        <f t="shared" si="131"/>
        <v>80.979684460337666</v>
      </c>
      <c r="FI16" s="59">
        <f t="shared" si="94"/>
        <v>-50</v>
      </c>
      <c r="FJ16">
        <f t="shared" si="95"/>
        <v>-50</v>
      </c>
      <c r="FL16">
        <f t="shared" si="96"/>
        <v>0.16499999999999998</v>
      </c>
    </row>
    <row r="17" spans="5:168">
      <c r="E17" s="147">
        <v>12</v>
      </c>
      <c r="F17" s="188">
        <f t="shared" si="97"/>
        <v>0.06</v>
      </c>
      <c r="G17" s="188"/>
      <c r="H17" s="188">
        <f t="shared" si="0"/>
        <v>10.199999999999999</v>
      </c>
      <c r="I17" s="465">
        <f t="shared" si="1"/>
        <v>11.967400381246467</v>
      </c>
      <c r="J17" s="149">
        <f t="shared" si="2"/>
        <v>8.5383264917095438</v>
      </c>
      <c r="K17" s="149">
        <f t="shared" si="3"/>
        <v>20.538326491709544</v>
      </c>
      <c r="L17" s="379"/>
      <c r="M17" s="188">
        <f t="shared" si="4"/>
        <v>0.41638760417836135</v>
      </c>
      <c r="N17" s="149">
        <f t="shared" si="5"/>
        <v>166.700541693773</v>
      </c>
      <c r="O17" s="149">
        <f t="shared" si="98"/>
        <v>10.199999999999999</v>
      </c>
      <c r="P17" s="188">
        <f t="shared" si="6"/>
        <v>0.98059142172807645</v>
      </c>
      <c r="Q17" s="188">
        <f t="shared" si="7"/>
        <v>170</v>
      </c>
      <c r="R17" s="188">
        <f t="shared" si="8"/>
        <v>0.97707395548831877</v>
      </c>
      <c r="S17" s="149">
        <f t="shared" si="9"/>
        <v>6409.2338978517118</v>
      </c>
      <c r="T17" s="149">
        <f t="shared" si="10"/>
        <v>170</v>
      </c>
      <c r="U17" s="188">
        <f t="shared" si="99"/>
        <v>4.1123184106142228</v>
      </c>
      <c r="V17" s="188">
        <f t="shared" si="11"/>
        <v>0.51544006379093465</v>
      </c>
      <c r="W17" s="188">
        <f t="shared" si="12"/>
        <v>0.72244574178684062</v>
      </c>
      <c r="X17" s="172">
        <f t="shared" si="13"/>
        <v>249.15374213545641</v>
      </c>
      <c r="Y17" s="379">
        <f t="shared" si="14"/>
        <v>350</v>
      </c>
      <c r="AA17" s="188">
        <f t="shared" si="15"/>
        <v>13.333333333333332</v>
      </c>
      <c r="AB17" s="150">
        <f t="shared" si="16"/>
        <v>2.3423793900853278</v>
      </c>
      <c r="AC17" s="150">
        <f t="shared" si="17"/>
        <v>0.1945375301802425</v>
      </c>
      <c r="AD17" s="150"/>
      <c r="AE17" s="150">
        <f t="shared" si="18"/>
        <v>2.3423793900853283</v>
      </c>
      <c r="AF17" s="314">
        <f t="shared" si="100"/>
        <v>76.844938425385877</v>
      </c>
      <c r="AG17" s="456">
        <f t="shared" si="19"/>
        <v>0.19453753018024256</v>
      </c>
      <c r="AI17" s="150">
        <f t="shared" si="20"/>
        <v>6.2475875085017005</v>
      </c>
      <c r="AJ17" s="150">
        <f t="shared" si="21"/>
        <v>13.333333333333334</v>
      </c>
      <c r="AK17" s="150">
        <f t="shared" si="22"/>
        <v>1.0439113933859347</v>
      </c>
      <c r="AM17" s="314">
        <f t="shared" si="23"/>
        <v>60</v>
      </c>
      <c r="AN17" s="144">
        <f t="shared" si="24"/>
        <v>76.844938425385877</v>
      </c>
      <c r="AP17">
        <f t="shared" si="25"/>
        <v>60</v>
      </c>
      <c r="AQ17" s="144">
        <f t="shared" si="26"/>
        <v>76.844938425385877</v>
      </c>
      <c r="AR17" s="144"/>
      <c r="AS17" s="5">
        <f t="shared" si="101"/>
        <v>13.013218833807381</v>
      </c>
      <c r="AT17" s="5">
        <f t="shared" si="27"/>
        <v>1.6712067251749205</v>
      </c>
      <c r="AU17" s="5">
        <f t="shared" si="102"/>
        <v>11.34201210863246</v>
      </c>
      <c r="AV17" s="5">
        <f t="shared" si="28"/>
        <v>2.3423793900853283</v>
      </c>
      <c r="AW17" s="150">
        <f t="shared" si="103"/>
        <v>0.12842377789215756</v>
      </c>
      <c r="AX17" s="150">
        <f t="shared" si="29"/>
        <v>10.245991790051452</v>
      </c>
      <c r="AY17" s="150">
        <f t="shared" si="30"/>
        <v>0.29052540736928084</v>
      </c>
      <c r="AZ17" s="150">
        <f t="shared" si="104"/>
        <v>35.267111000133575</v>
      </c>
      <c r="BA17" s="144">
        <f t="shared" si="31"/>
        <v>5.8983766770879548E-2</v>
      </c>
      <c r="BB17" s="5">
        <f t="shared" si="32"/>
        <v>16.111619876017649</v>
      </c>
      <c r="BC17" s="5"/>
      <c r="BD17" s="150">
        <f t="shared" si="105"/>
        <v>2.7586768475421137</v>
      </c>
      <c r="BE17" s="150">
        <f t="shared" si="33"/>
        <v>0.35933605896880982</v>
      </c>
      <c r="BF17" s="150"/>
      <c r="BG17" s="456">
        <f t="shared" si="34"/>
        <v>2.5875013027160641E-2</v>
      </c>
      <c r="BH17" s="456">
        <f t="shared" si="35"/>
        <v>0.50399308145400801</v>
      </c>
      <c r="BI17" s="456">
        <f t="shared" si="36"/>
        <v>4.2119243859724147E-2</v>
      </c>
      <c r="BJ17" s="456">
        <f t="shared" si="37"/>
        <v>2.220424165765756E-2</v>
      </c>
      <c r="BK17">
        <f t="shared" si="38"/>
        <v>5.3853301715609102E-3</v>
      </c>
      <c r="BL17" s="144">
        <f t="shared" si="106"/>
        <v>47.50457403128506</v>
      </c>
      <c r="BM17" s="456">
        <f t="shared" si="39"/>
        <v>0.56251688897904617</v>
      </c>
      <c r="BN17" s="144">
        <f t="shared" si="107"/>
        <v>562.51688897904614</v>
      </c>
      <c r="BO17" s="456">
        <f t="shared" si="108"/>
        <v>0.13312499999999999</v>
      </c>
      <c r="BP17" s="456"/>
      <c r="BR17" s="144">
        <f t="shared" si="109"/>
        <v>133.125</v>
      </c>
      <c r="BS17" s="456">
        <f t="shared" si="40"/>
        <v>1.1415446923747342E-2</v>
      </c>
      <c r="BT17" s="456">
        <f t="shared" si="41"/>
        <v>2.5824480655047194E-2</v>
      </c>
      <c r="BU17" s="456">
        <f t="shared" si="42"/>
        <v>0.153</v>
      </c>
      <c r="BV17" s="456">
        <f t="shared" si="43"/>
        <v>0.19977267178406208</v>
      </c>
      <c r="BW17" s="456">
        <f t="shared" si="44"/>
        <v>1.3661322386735271E-2</v>
      </c>
      <c r="BX17" s="144">
        <f t="shared" si="110"/>
        <v>213.43399417079735</v>
      </c>
      <c r="BY17" s="150">
        <f t="shared" si="45"/>
        <v>0.9565804571811285</v>
      </c>
      <c r="BZ17" s="5">
        <f t="shared" si="111"/>
        <v>10.199999999999999</v>
      </c>
      <c r="CA17" s="150">
        <f t="shared" si="112"/>
        <v>0.91425863320284584</v>
      </c>
      <c r="CB17" s="5">
        <f t="shared" si="113"/>
        <v>91.425863320284577</v>
      </c>
      <c r="CE17" s="59">
        <f t="shared" si="46"/>
        <v>-50</v>
      </c>
      <c r="CF17">
        <f t="shared" si="47"/>
        <v>-50</v>
      </c>
      <c r="CG17" s="150">
        <f t="shared" si="48"/>
        <v>0.18037020753080554</v>
      </c>
      <c r="CI17" s="147">
        <v>12</v>
      </c>
      <c r="CJ17" s="188">
        <f t="shared" si="114"/>
        <v>0.06</v>
      </c>
      <c r="CK17" s="188"/>
      <c r="CL17" s="188">
        <f t="shared" si="49"/>
        <v>10.199999999999999</v>
      </c>
      <c r="CM17" s="465">
        <f t="shared" si="50"/>
        <v>12</v>
      </c>
      <c r="CN17" s="149">
        <f t="shared" si="51"/>
        <v>8.5350000000000001</v>
      </c>
      <c r="CO17" s="379">
        <f t="shared" si="52"/>
        <v>20.535</v>
      </c>
      <c r="CP17" s="379"/>
      <c r="CQ17" s="188">
        <f t="shared" si="53"/>
        <v>0.4156318480642805</v>
      </c>
      <c r="CR17" s="149">
        <f t="shared" si="54"/>
        <v>166.85124908692478</v>
      </c>
      <c r="CS17" s="149">
        <f t="shared" si="115"/>
        <v>10.199999999999999</v>
      </c>
      <c r="CT17" s="188">
        <f t="shared" si="55"/>
        <v>0.98147793580543985</v>
      </c>
      <c r="CU17" s="188">
        <f t="shared" si="56"/>
        <v>170</v>
      </c>
      <c r="CV17" s="188">
        <f t="shared" si="57"/>
        <v>0.97795728956301287</v>
      </c>
      <c r="CW17" s="149">
        <f t="shared" si="58"/>
        <v>6426.6928047922038</v>
      </c>
      <c r="CX17" s="149">
        <f t="shared" si="59"/>
        <v>170</v>
      </c>
      <c r="CY17" s="188">
        <f t="shared" si="60"/>
        <v>4.0901581722319857</v>
      </c>
      <c r="CZ17" s="188">
        <f t="shared" si="61"/>
        <v>0.51126977152899822</v>
      </c>
      <c r="DA17" s="188">
        <f t="shared" si="62"/>
        <v>0.71883271919718561</v>
      </c>
      <c r="DB17" s="172">
        <f t="shared" si="63"/>
        <v>249.37910883856827</v>
      </c>
      <c r="DC17" s="379">
        <f t="shared" si="116"/>
        <v>350</v>
      </c>
      <c r="DE17" s="188">
        <f t="shared" si="64"/>
        <v>13.333333333333334</v>
      </c>
      <c r="DF17" s="150">
        <f t="shared" si="65"/>
        <v>2.3432923257176337</v>
      </c>
      <c r="DG17" s="150">
        <f t="shared" si="66"/>
        <v>0.19478938397857323</v>
      </c>
      <c r="DH17" s="150"/>
      <c r="DI17" s="150">
        <f t="shared" si="67"/>
        <v>2.3432923257176337</v>
      </c>
      <c r="DJ17" s="314">
        <f t="shared" si="117"/>
        <v>76.814999999999969</v>
      </c>
      <c r="DK17" s="456">
        <f t="shared" si="68"/>
        <v>0.19478938397857321</v>
      </c>
      <c r="DM17" s="150">
        <f t="shared" si="69"/>
        <v>6.2463703746370056</v>
      </c>
      <c r="DN17" s="150">
        <f t="shared" si="70"/>
        <v>13.333333333333334</v>
      </c>
      <c r="DO17" s="150">
        <f t="shared" si="71"/>
        <v>1.0438942857142857</v>
      </c>
      <c r="DQ17" s="314">
        <f t="shared" si="72"/>
        <v>60</v>
      </c>
      <c r="DR17" s="144">
        <f t="shared" si="73"/>
        <v>76.814999999999969</v>
      </c>
      <c r="DT17">
        <f t="shared" si="74"/>
        <v>60</v>
      </c>
      <c r="DU17" s="144">
        <f t="shared" si="75"/>
        <v>76.814999999999969</v>
      </c>
      <c r="DV17" s="144"/>
      <c r="DW17" s="5">
        <f t="shared" si="118"/>
        <v>13.018290698431301</v>
      </c>
      <c r="DX17" s="5">
        <f t="shared" si="76"/>
        <v>1.666666666666667</v>
      </c>
      <c r="DY17" s="5">
        <f t="shared" si="119"/>
        <v>11.351624031764633</v>
      </c>
      <c r="DZ17" s="5">
        <f t="shared" si="77"/>
        <v>2.3432923257176337</v>
      </c>
      <c r="EA17" s="150">
        <f t="shared" si="120"/>
        <v>0.12802499999999997</v>
      </c>
      <c r="EB17" s="150">
        <f t="shared" si="78"/>
        <v>10.241999999999997</v>
      </c>
      <c r="EC17" s="150">
        <f t="shared" si="79"/>
        <v>0.29065833333333341</v>
      </c>
      <c r="ED17" s="150">
        <f t="shared" si="121"/>
        <v>35.237248774334105</v>
      </c>
      <c r="EE17" s="144">
        <f t="shared" si="80"/>
        <v>5.8823529411764712E-2</v>
      </c>
      <c r="EF17" s="5">
        <f t="shared" si="81"/>
        <v>16.081467378333226</v>
      </c>
      <c r="EG17" s="5"/>
      <c r="EH17" s="150">
        <f t="shared" si="122"/>
        <v>2.7543904346818127</v>
      </c>
      <c r="EI17" s="150">
        <f t="shared" si="82"/>
        <v>0.35941825424076829</v>
      </c>
      <c r="EJ17" s="150"/>
      <c r="EK17" s="456">
        <f t="shared" si="83"/>
        <v>2.579466666666666E-2</v>
      </c>
      <c r="EL17" s="456">
        <f t="shared" si="84"/>
        <v>0.63937118879999977</v>
      </c>
      <c r="EM17" s="456">
        <f t="shared" si="85"/>
        <v>1.7590634999999993E-2</v>
      </c>
      <c r="EN17" s="456">
        <f t="shared" si="86"/>
        <v>2.2188401750761866E-2</v>
      </c>
      <c r="EO17">
        <f t="shared" si="87"/>
        <v>5.4000000000000003E-3</v>
      </c>
      <c r="EP17" s="144">
        <f t="shared" si="123"/>
        <v>22.990634999999994</v>
      </c>
      <c r="EQ17" s="456">
        <f t="shared" si="88"/>
        <v>0.72173281754779528</v>
      </c>
      <c r="ER17" s="144">
        <f t="shared" si="124"/>
        <v>721.73281754779532</v>
      </c>
      <c r="ES17" s="456">
        <f t="shared" si="125"/>
        <v>0.13312499999999999</v>
      </c>
      <c r="ET17" s="456"/>
      <c r="EV17" s="144">
        <f t="shared" si="126"/>
        <v>133.125</v>
      </c>
      <c r="EW17" s="456">
        <f t="shared" si="89"/>
        <v>1.1379999999999998E-2</v>
      </c>
      <c r="EX17" s="456">
        <f t="shared" si="90"/>
        <v>2.5836296296296316E-2</v>
      </c>
      <c r="EY17" s="456">
        <f t="shared" si="91"/>
        <v>1.6785409200039036</v>
      </c>
      <c r="EZ17" s="456">
        <f t="shared" si="92"/>
        <v>1.7298393846179465</v>
      </c>
      <c r="FA17" s="456">
        <f t="shared" si="93"/>
        <v>1.3655999999999998E-2</v>
      </c>
      <c r="FB17" s="144">
        <f t="shared" si="127"/>
        <v>1743.4953846179465</v>
      </c>
      <c r="FC17" s="150">
        <f t="shared" si="128"/>
        <v>2.5983532021657418</v>
      </c>
      <c r="FD17" s="5">
        <f t="shared" si="129"/>
        <v>10.199999999999999</v>
      </c>
      <c r="FE17" s="150">
        <f t="shared" si="130"/>
        <v>0.7969775360062693</v>
      </c>
      <c r="FF17" s="5">
        <f t="shared" si="131"/>
        <v>79.697753600626925</v>
      </c>
      <c r="FI17" s="59">
        <f t="shared" si="94"/>
        <v>-50</v>
      </c>
      <c r="FJ17">
        <f t="shared" si="95"/>
        <v>-50</v>
      </c>
      <c r="FL17">
        <f t="shared" si="96"/>
        <v>0.17999999999999994</v>
      </c>
    </row>
    <row r="18" spans="5:168">
      <c r="E18" s="147">
        <v>13</v>
      </c>
      <c r="F18" s="188">
        <f t="shared" si="97"/>
        <v>6.5000000000000002E-2</v>
      </c>
      <c r="G18" s="188"/>
      <c r="H18" s="188">
        <f t="shared" si="0"/>
        <v>11.05</v>
      </c>
      <c r="I18" s="465">
        <f t="shared" si="1"/>
        <v>11.967400381246467</v>
      </c>
      <c r="J18" s="149">
        <f t="shared" si="2"/>
        <v>8.5383264917095438</v>
      </c>
      <c r="K18" s="149">
        <f t="shared" si="3"/>
        <v>20.538326491709544</v>
      </c>
      <c r="L18" s="379"/>
      <c r="M18" s="188">
        <f t="shared" si="4"/>
        <v>0.41638760417836135</v>
      </c>
      <c r="N18" s="149">
        <f t="shared" si="5"/>
        <v>166.700541693773</v>
      </c>
      <c r="O18" s="149">
        <f t="shared" si="98"/>
        <v>11.05</v>
      </c>
      <c r="P18" s="188">
        <f t="shared" si="6"/>
        <v>0.98059142172807645</v>
      </c>
      <c r="Q18" s="188">
        <f t="shared" si="7"/>
        <v>170</v>
      </c>
      <c r="R18" s="188">
        <f t="shared" si="8"/>
        <v>0.97707395548831877</v>
      </c>
      <c r="S18" s="149">
        <f t="shared" si="9"/>
        <v>5897.8087974146338</v>
      </c>
      <c r="T18" s="149">
        <f t="shared" si="10"/>
        <v>170</v>
      </c>
      <c r="U18" s="188">
        <f t="shared" si="99"/>
        <v>4.4550116114987421</v>
      </c>
      <c r="V18" s="188">
        <f t="shared" si="11"/>
        <v>0.55839340244017932</v>
      </c>
      <c r="W18" s="188">
        <f t="shared" si="12"/>
        <v>0.78264955360241084</v>
      </c>
      <c r="X18" s="172">
        <f t="shared" si="13"/>
        <v>249.15374213545641</v>
      </c>
      <c r="Y18" s="379">
        <f t="shared" si="14"/>
        <v>350</v>
      </c>
      <c r="AA18" s="188">
        <f t="shared" si="15"/>
        <v>13.333333333333332</v>
      </c>
      <c r="AB18" s="150">
        <f t="shared" si="16"/>
        <v>2.3423793900853278</v>
      </c>
      <c r="AC18" s="150">
        <f t="shared" si="17"/>
        <v>0.1945375301802425</v>
      </c>
      <c r="AD18" s="150"/>
      <c r="AE18" s="150">
        <f t="shared" si="18"/>
        <v>2.3423793900853283</v>
      </c>
      <c r="AF18" s="314">
        <f t="shared" si="100"/>
        <v>83.248683294168032</v>
      </c>
      <c r="AG18" s="456">
        <f t="shared" si="19"/>
        <v>0.19453753018024256</v>
      </c>
      <c r="AI18" s="150">
        <f t="shared" si="20"/>
        <v>6.502695247568659</v>
      </c>
      <c r="AJ18" s="150">
        <f t="shared" si="21"/>
        <v>13.333333333333334</v>
      </c>
      <c r="AK18" s="150">
        <f t="shared" si="22"/>
        <v>1.0475706761680961</v>
      </c>
      <c r="AM18" s="314">
        <f t="shared" si="23"/>
        <v>65</v>
      </c>
      <c r="AN18" s="144">
        <f t="shared" si="24"/>
        <v>83.248683294168032</v>
      </c>
      <c r="AP18">
        <f t="shared" si="25"/>
        <v>65</v>
      </c>
      <c r="AQ18" s="144">
        <f t="shared" si="26"/>
        <v>83.248683294168032</v>
      </c>
      <c r="AR18" s="144"/>
      <c r="AS18" s="5">
        <f t="shared" si="101"/>
        <v>12.012202000437583</v>
      </c>
      <c r="AT18" s="5">
        <f t="shared" si="27"/>
        <v>1.6712067251749205</v>
      </c>
      <c r="AU18" s="5">
        <f t="shared" si="102"/>
        <v>10.340995275262662</v>
      </c>
      <c r="AV18" s="5">
        <f t="shared" si="28"/>
        <v>2.3423793900853283</v>
      </c>
      <c r="AW18" s="150">
        <f t="shared" si="103"/>
        <v>0.13912575938317068</v>
      </c>
      <c r="AX18" s="150">
        <f t="shared" si="29"/>
        <v>11.099824439222408</v>
      </c>
      <c r="AY18" s="150">
        <f t="shared" si="30"/>
        <v>0.28695808020560981</v>
      </c>
      <c r="AZ18" s="150">
        <f t="shared" si="104"/>
        <v>38.680996301861285</v>
      </c>
      <c r="BA18" s="144">
        <f t="shared" si="31"/>
        <v>6.3899080668452859E-2</v>
      </c>
      <c r="BB18" s="5">
        <f t="shared" si="32"/>
        <v>15.913787198473537</v>
      </c>
      <c r="BC18" s="5"/>
      <c r="BD18" s="150">
        <f t="shared" si="105"/>
        <v>2.8713218985214168</v>
      </c>
      <c r="BE18" s="150">
        <f t="shared" si="33"/>
        <v>0.35712312237634036</v>
      </c>
      <c r="BF18" s="150"/>
      <c r="BG18" s="456">
        <f t="shared" si="34"/>
        <v>2.8031264112757356E-2</v>
      </c>
      <c r="BH18" s="456">
        <f t="shared" si="35"/>
        <v>0.5459925049085087</v>
      </c>
      <c r="BI18" s="456">
        <f t="shared" si="36"/>
        <v>4.5629180848034488E-2</v>
      </c>
      <c r="BJ18" s="456">
        <f t="shared" si="37"/>
        <v>2.4054595129129022E-2</v>
      </c>
      <c r="BK18">
        <f t="shared" si="38"/>
        <v>5.3853301715609102E-3</v>
      </c>
      <c r="BL18" s="144">
        <f t="shared" si="106"/>
        <v>51.014511019595403</v>
      </c>
      <c r="BM18" s="456">
        <f t="shared" si="39"/>
        <v>0.60970759728744939</v>
      </c>
      <c r="BN18" s="144">
        <f t="shared" si="107"/>
        <v>609.7075972874494</v>
      </c>
      <c r="BO18" s="456">
        <f t="shared" si="108"/>
        <v>0.14421875000000001</v>
      </c>
      <c r="BP18" s="456"/>
      <c r="BR18" s="144">
        <f t="shared" si="109"/>
        <v>144.21875</v>
      </c>
      <c r="BS18" s="456">
        <f t="shared" si="40"/>
        <v>1.2366734167392951E-2</v>
      </c>
      <c r="BT18" s="456">
        <f t="shared" si="41"/>
        <v>2.5507384907165316E-2</v>
      </c>
      <c r="BU18" s="456">
        <f t="shared" si="42"/>
        <v>0.16575000000000001</v>
      </c>
      <c r="BV18" s="456">
        <f t="shared" si="43"/>
        <v>0.21336037455097515</v>
      </c>
      <c r="BW18" s="456">
        <f t="shared" si="44"/>
        <v>1.4799765918963209E-2</v>
      </c>
      <c r="BX18" s="144">
        <f t="shared" si="110"/>
        <v>228.16014046993834</v>
      </c>
      <c r="BY18" s="150">
        <f t="shared" si="45"/>
        <v>1.0331009987769832</v>
      </c>
      <c r="BZ18" s="5">
        <f t="shared" si="111"/>
        <v>11.05</v>
      </c>
      <c r="CA18" s="150">
        <f t="shared" si="112"/>
        <v>0.91450034234741961</v>
      </c>
      <c r="CB18" s="5">
        <f t="shared" si="113"/>
        <v>91.450034234741963</v>
      </c>
      <c r="CE18" s="59">
        <f t="shared" si="46"/>
        <v>-50</v>
      </c>
      <c r="CF18">
        <f t="shared" si="47"/>
        <v>-50</v>
      </c>
      <c r="CG18" s="150">
        <f t="shared" si="48"/>
        <v>0.19540105815837269</v>
      </c>
      <c r="CI18" s="147">
        <v>13</v>
      </c>
      <c r="CJ18" s="188">
        <f t="shared" si="114"/>
        <v>6.5000000000000002E-2</v>
      </c>
      <c r="CK18" s="188"/>
      <c r="CL18" s="188">
        <f t="shared" si="49"/>
        <v>11.05</v>
      </c>
      <c r="CM18" s="465">
        <f t="shared" si="50"/>
        <v>12</v>
      </c>
      <c r="CN18" s="149">
        <f t="shared" si="51"/>
        <v>8.5350000000000001</v>
      </c>
      <c r="CO18" s="379">
        <f t="shared" si="52"/>
        <v>20.535</v>
      </c>
      <c r="CP18" s="379"/>
      <c r="CQ18" s="188">
        <f t="shared" si="53"/>
        <v>0.4156318480642805</v>
      </c>
      <c r="CR18" s="149">
        <f t="shared" si="54"/>
        <v>166.85124908692478</v>
      </c>
      <c r="CS18" s="149">
        <f t="shared" si="115"/>
        <v>11.05</v>
      </c>
      <c r="CT18" s="188">
        <f t="shared" si="55"/>
        <v>0.98147793580543985</v>
      </c>
      <c r="CU18" s="188">
        <f t="shared" si="56"/>
        <v>170</v>
      </c>
      <c r="CV18" s="188">
        <f t="shared" si="57"/>
        <v>0.97795728956301287</v>
      </c>
      <c r="CW18" s="149">
        <f t="shared" si="58"/>
        <v>5913.8745582560314</v>
      </c>
      <c r="CX18" s="149">
        <f t="shared" si="59"/>
        <v>170</v>
      </c>
      <c r="CY18" s="188">
        <f t="shared" si="60"/>
        <v>4.431004686584652</v>
      </c>
      <c r="CZ18" s="188">
        <f t="shared" si="61"/>
        <v>0.5538755858230815</v>
      </c>
      <c r="DA18" s="188">
        <f t="shared" si="62"/>
        <v>0.7787354457969512</v>
      </c>
      <c r="DB18" s="172">
        <f t="shared" si="63"/>
        <v>249.37910883856827</v>
      </c>
      <c r="DC18" s="379">
        <f t="shared" si="116"/>
        <v>350</v>
      </c>
      <c r="DE18" s="188">
        <f t="shared" si="64"/>
        <v>13.333333333333334</v>
      </c>
      <c r="DF18" s="150">
        <f t="shared" si="65"/>
        <v>2.3432923257176337</v>
      </c>
      <c r="DG18" s="150">
        <f t="shared" si="66"/>
        <v>0.19478938397857323</v>
      </c>
      <c r="DH18" s="150"/>
      <c r="DI18" s="150">
        <f t="shared" si="67"/>
        <v>2.3432923257176337</v>
      </c>
      <c r="DJ18" s="314">
        <f t="shared" si="117"/>
        <v>83.216249999999988</v>
      </c>
      <c r="DK18" s="456">
        <f t="shared" si="68"/>
        <v>0.19478938397857321</v>
      </c>
      <c r="DM18" s="150">
        <f t="shared" si="69"/>
        <v>6.5014284144771928</v>
      </c>
      <c r="DN18" s="150">
        <f t="shared" si="70"/>
        <v>13.333333333333334</v>
      </c>
      <c r="DO18" s="150">
        <f t="shared" si="71"/>
        <v>1.0475521428571428</v>
      </c>
      <c r="DQ18" s="314">
        <f t="shared" si="72"/>
        <v>65</v>
      </c>
      <c r="DR18" s="144">
        <f t="shared" si="73"/>
        <v>83.216249999999988</v>
      </c>
      <c r="DT18">
        <f t="shared" si="74"/>
        <v>65</v>
      </c>
      <c r="DU18" s="144">
        <f t="shared" si="75"/>
        <v>83.216249999999988</v>
      </c>
      <c r="DV18" s="144"/>
      <c r="DW18" s="5">
        <f t="shared" si="118"/>
        <v>12.016883721628892</v>
      </c>
      <c r="DX18" s="5">
        <f t="shared" si="76"/>
        <v>1.666666666666667</v>
      </c>
      <c r="DY18" s="5">
        <f t="shared" si="119"/>
        <v>10.350217054962226</v>
      </c>
      <c r="DZ18" s="5">
        <f t="shared" si="77"/>
        <v>2.3432923257176337</v>
      </c>
      <c r="EA18" s="150">
        <f t="shared" si="120"/>
        <v>0.13869374999999998</v>
      </c>
      <c r="EB18" s="150">
        <f t="shared" si="78"/>
        <v>11.095500000000001</v>
      </c>
      <c r="EC18" s="150">
        <f t="shared" si="79"/>
        <v>0.28710208333333337</v>
      </c>
      <c r="ED18" s="150">
        <f t="shared" si="121"/>
        <v>38.646532519646755</v>
      </c>
      <c r="EE18" s="144">
        <f t="shared" si="80"/>
        <v>6.3725490196078455E-2</v>
      </c>
      <c r="EF18" s="5">
        <f t="shared" si="81"/>
        <v>15.884708119073972</v>
      </c>
      <c r="EG18" s="5"/>
      <c r="EH18" s="150">
        <f t="shared" si="122"/>
        <v>2.8668604585659359</v>
      </c>
      <c r="EI18" s="150">
        <f t="shared" si="82"/>
        <v>0.35721271803496302</v>
      </c>
      <c r="EJ18" s="150"/>
      <c r="EK18" s="456">
        <f t="shared" si="83"/>
        <v>2.7944222222222218E-2</v>
      </c>
      <c r="EL18" s="456">
        <f t="shared" si="84"/>
        <v>0.69265212119999986</v>
      </c>
      <c r="EM18" s="456">
        <f t="shared" si="85"/>
        <v>1.9056521249999996E-2</v>
      </c>
      <c r="EN18" s="456">
        <f t="shared" si="86"/>
        <v>2.4037435229992028E-2</v>
      </c>
      <c r="EO18">
        <f t="shared" si="87"/>
        <v>5.4000000000000003E-3</v>
      </c>
      <c r="EP18" s="144">
        <f t="shared" si="123"/>
        <v>24.456521249999994</v>
      </c>
      <c r="EQ18" s="456">
        <f t="shared" si="88"/>
        <v>0.78182621193857749</v>
      </c>
      <c r="ER18" s="144">
        <f t="shared" si="124"/>
        <v>781.82621193857744</v>
      </c>
      <c r="ES18" s="456">
        <f t="shared" si="125"/>
        <v>0.14421875000000001</v>
      </c>
      <c r="ET18" s="456"/>
      <c r="EV18" s="144">
        <f t="shared" si="126"/>
        <v>144.21875</v>
      </c>
      <c r="EW18" s="456">
        <f t="shared" si="89"/>
        <v>1.2328333333333332E-2</v>
      </c>
      <c r="EX18" s="456">
        <f t="shared" si="90"/>
        <v>2.5520185185185201E-2</v>
      </c>
      <c r="EY18" s="456">
        <f t="shared" si="91"/>
        <v>2.0503934165226405</v>
      </c>
      <c r="EZ18" s="456">
        <f t="shared" si="92"/>
        <v>2.1036953195864587</v>
      </c>
      <c r="FA18" s="456">
        <f t="shared" si="93"/>
        <v>1.4794000000000002E-2</v>
      </c>
      <c r="FB18" s="144">
        <f t="shared" si="127"/>
        <v>2118.4893195864588</v>
      </c>
      <c r="FC18" s="150">
        <f t="shared" si="128"/>
        <v>3.0445342815250367</v>
      </c>
      <c r="FD18" s="5">
        <f t="shared" si="129"/>
        <v>11.05</v>
      </c>
      <c r="FE18" s="150">
        <f t="shared" si="130"/>
        <v>0.78399184955576862</v>
      </c>
      <c r="FF18" s="5">
        <f t="shared" si="131"/>
        <v>78.399184955576857</v>
      </c>
      <c r="FI18" s="59">
        <f t="shared" si="94"/>
        <v>-50</v>
      </c>
      <c r="FJ18">
        <f t="shared" si="95"/>
        <v>-50</v>
      </c>
      <c r="FL18">
        <f t="shared" si="96"/>
        <v>0.19499999999999998</v>
      </c>
    </row>
    <row r="19" spans="5:168">
      <c r="E19" s="147">
        <v>14</v>
      </c>
      <c r="F19" s="188">
        <f t="shared" si="97"/>
        <v>7.0000000000000007E-2</v>
      </c>
      <c r="G19" s="188"/>
      <c r="H19" s="188">
        <f t="shared" si="0"/>
        <v>11.9</v>
      </c>
      <c r="I19" s="465">
        <f t="shared" si="1"/>
        <v>11.967400381246467</v>
      </c>
      <c r="J19" s="149">
        <f t="shared" si="2"/>
        <v>8.5383264917095438</v>
      </c>
      <c r="K19" s="149">
        <f t="shared" si="3"/>
        <v>20.538326491709544</v>
      </c>
      <c r="L19" s="379"/>
      <c r="M19" s="188">
        <f t="shared" si="4"/>
        <v>0.41638760417836135</v>
      </c>
      <c r="N19" s="149">
        <f t="shared" si="5"/>
        <v>166.700541693773</v>
      </c>
      <c r="O19" s="149">
        <f t="shared" si="98"/>
        <v>11.9</v>
      </c>
      <c r="P19" s="188">
        <f t="shared" si="6"/>
        <v>0.98059142172807645</v>
      </c>
      <c r="Q19" s="188">
        <f t="shared" si="7"/>
        <v>170</v>
      </c>
      <c r="R19" s="188">
        <f t="shared" si="8"/>
        <v>0.97707395548831877</v>
      </c>
      <c r="S19" s="149">
        <f t="shared" si="9"/>
        <v>5459.4447635113538</v>
      </c>
      <c r="T19" s="149">
        <f t="shared" si="10"/>
        <v>170</v>
      </c>
      <c r="U19" s="188">
        <f t="shared" si="99"/>
        <v>4.7977048123832606</v>
      </c>
      <c r="V19" s="188">
        <f t="shared" si="11"/>
        <v>0.60134674108942376</v>
      </c>
      <c r="W19" s="188">
        <f t="shared" si="12"/>
        <v>0.84285336541798084</v>
      </c>
      <c r="X19" s="172">
        <f t="shared" si="13"/>
        <v>249.15374213545641</v>
      </c>
      <c r="Y19" s="379">
        <f t="shared" si="14"/>
        <v>350</v>
      </c>
      <c r="AA19" s="188">
        <f t="shared" si="15"/>
        <v>13.333333333333332</v>
      </c>
      <c r="AB19" s="150">
        <f t="shared" si="16"/>
        <v>2.3423793900853278</v>
      </c>
      <c r="AC19" s="150">
        <f t="shared" si="17"/>
        <v>0.1945375301802425</v>
      </c>
      <c r="AD19" s="150"/>
      <c r="AE19" s="150">
        <f t="shared" si="18"/>
        <v>2.3423793900853283</v>
      </c>
      <c r="AF19" s="314">
        <f t="shared" si="100"/>
        <v>89.652428162950187</v>
      </c>
      <c r="AG19" s="456">
        <f t="shared" si="19"/>
        <v>0.19453753018024256</v>
      </c>
      <c r="AI19" s="150">
        <f t="shared" si="20"/>
        <v>6.7481657722019222</v>
      </c>
      <c r="AJ19" s="150">
        <f t="shared" si="21"/>
        <v>13.333333333333334</v>
      </c>
      <c r="AK19" s="150">
        <f t="shared" si="22"/>
        <v>1.0512299589502572</v>
      </c>
      <c r="AM19" s="314">
        <f t="shared" si="23"/>
        <v>70</v>
      </c>
      <c r="AN19" s="144">
        <f t="shared" si="24"/>
        <v>89.652428162950187</v>
      </c>
      <c r="AP19">
        <f t="shared" si="25"/>
        <v>70</v>
      </c>
      <c r="AQ19" s="144">
        <f t="shared" si="26"/>
        <v>89.652428162950187</v>
      </c>
      <c r="AR19" s="144"/>
      <c r="AS19" s="5">
        <f t="shared" si="101"/>
        <v>11.154187571834898</v>
      </c>
      <c r="AT19" s="5">
        <f t="shared" si="27"/>
        <v>1.6712067251749205</v>
      </c>
      <c r="AU19" s="5">
        <f t="shared" si="102"/>
        <v>9.4829808466599772</v>
      </c>
      <c r="AV19" s="5">
        <f t="shared" si="28"/>
        <v>2.3423793900853283</v>
      </c>
      <c r="AW19" s="150">
        <f t="shared" si="103"/>
        <v>0.1498277408741838</v>
      </c>
      <c r="AX19" s="150">
        <f t="shared" si="29"/>
        <v>11.953657088393362</v>
      </c>
      <c r="AY19" s="150">
        <f t="shared" si="30"/>
        <v>0.28339075304193878</v>
      </c>
      <c r="AZ19" s="150">
        <f t="shared" si="104"/>
        <v>42.180829685096853</v>
      </c>
      <c r="BA19" s="144">
        <f t="shared" si="31"/>
        <v>6.8814394566026144E-2</v>
      </c>
      <c r="BB19" s="5">
        <f t="shared" si="32"/>
        <v>15.715954520929419</v>
      </c>
      <c r="BC19" s="5"/>
      <c r="BD19" s="150">
        <f t="shared" si="105"/>
        <v>2.979711553270278</v>
      </c>
      <c r="BE19" s="150">
        <f t="shared" si="33"/>
        <v>0.35489638740964552</v>
      </c>
      <c r="BF19" s="150"/>
      <c r="BG19" s="456">
        <f t="shared" si="34"/>
        <v>3.0187515198354067E-2</v>
      </c>
      <c r="BH19" s="456">
        <f t="shared" si="35"/>
        <v>0.58799192836300929</v>
      </c>
      <c r="BI19" s="456">
        <f t="shared" si="36"/>
        <v>4.9139117836344837E-2</v>
      </c>
      <c r="BJ19" s="456">
        <f t="shared" si="37"/>
        <v>2.5904948600600487E-2</v>
      </c>
      <c r="BK19">
        <f t="shared" si="38"/>
        <v>5.3853301715609102E-3</v>
      </c>
      <c r="BL19" s="144">
        <f t="shared" si="106"/>
        <v>54.524448007905747</v>
      </c>
      <c r="BM19" s="456">
        <f t="shared" si="39"/>
        <v>0.65694700890657254</v>
      </c>
      <c r="BN19" s="144">
        <f t="shared" si="107"/>
        <v>656.94700890657259</v>
      </c>
      <c r="BO19" s="456">
        <f t="shared" si="108"/>
        <v>0.15531250000000002</v>
      </c>
      <c r="BP19" s="456"/>
      <c r="BR19" s="144">
        <f t="shared" si="109"/>
        <v>155.31250000000003</v>
      </c>
      <c r="BS19" s="456">
        <f t="shared" si="40"/>
        <v>1.331802141103856E-2</v>
      </c>
      <c r="BT19" s="456">
        <f t="shared" si="41"/>
        <v>2.5190289159283442E-2</v>
      </c>
      <c r="BU19" s="456">
        <f t="shared" si="42"/>
        <v>0.17849999999999999</v>
      </c>
      <c r="BV19" s="456">
        <f t="shared" si="43"/>
        <v>0.22694946033137589</v>
      </c>
      <c r="BW19" s="456">
        <f t="shared" si="44"/>
        <v>1.5938209451191149E-2</v>
      </c>
      <c r="BX19" s="144">
        <f t="shared" si="110"/>
        <v>242.88766978256703</v>
      </c>
      <c r="BY19" s="150">
        <f t="shared" si="45"/>
        <v>1.1096716266970454</v>
      </c>
      <c r="BZ19" s="5">
        <f t="shared" si="111"/>
        <v>11.9</v>
      </c>
      <c r="CA19" s="150">
        <f t="shared" si="112"/>
        <v>0.91470410179916484</v>
      </c>
      <c r="CB19" s="5">
        <f t="shared" si="113"/>
        <v>91.470410179916485</v>
      </c>
      <c r="CE19" s="59">
        <f t="shared" si="46"/>
        <v>-50</v>
      </c>
      <c r="CF19">
        <f t="shared" si="47"/>
        <v>-50</v>
      </c>
      <c r="CG19" s="150">
        <f t="shared" si="48"/>
        <v>0.21043190878593984</v>
      </c>
      <c r="CI19" s="147">
        <v>14</v>
      </c>
      <c r="CJ19" s="188">
        <f t="shared" si="114"/>
        <v>7.0000000000000007E-2</v>
      </c>
      <c r="CK19" s="188"/>
      <c r="CL19" s="188">
        <f t="shared" si="49"/>
        <v>11.9</v>
      </c>
      <c r="CM19" s="465">
        <f t="shared" si="50"/>
        <v>12</v>
      </c>
      <c r="CN19" s="149">
        <f t="shared" si="51"/>
        <v>8.5350000000000001</v>
      </c>
      <c r="CO19" s="379">
        <f t="shared" si="52"/>
        <v>20.535</v>
      </c>
      <c r="CP19" s="379"/>
      <c r="CQ19" s="188">
        <f t="shared" si="53"/>
        <v>0.4156318480642805</v>
      </c>
      <c r="CR19" s="149">
        <f t="shared" si="54"/>
        <v>166.85124908692478</v>
      </c>
      <c r="CS19" s="149">
        <f t="shared" si="115"/>
        <v>11.9</v>
      </c>
      <c r="CT19" s="188">
        <f t="shared" si="55"/>
        <v>0.98147793580543985</v>
      </c>
      <c r="CU19" s="188">
        <f t="shared" si="56"/>
        <v>170</v>
      </c>
      <c r="CV19" s="188">
        <f t="shared" si="57"/>
        <v>0.97795728956301287</v>
      </c>
      <c r="CW19" s="149">
        <f t="shared" si="58"/>
        <v>5474.3163991253123</v>
      </c>
      <c r="CX19" s="149">
        <f t="shared" si="59"/>
        <v>170</v>
      </c>
      <c r="CY19" s="188">
        <f t="shared" si="60"/>
        <v>4.7718512009373173</v>
      </c>
      <c r="CZ19" s="188">
        <f t="shared" si="61"/>
        <v>0.59648140011716466</v>
      </c>
      <c r="DA19" s="188">
        <f t="shared" si="62"/>
        <v>0.83863817239671667</v>
      </c>
      <c r="DB19" s="172">
        <f t="shared" si="63"/>
        <v>249.37910883856827</v>
      </c>
      <c r="DC19" s="379">
        <f t="shared" si="116"/>
        <v>350</v>
      </c>
      <c r="DE19" s="188">
        <f t="shared" si="64"/>
        <v>13.333333333333334</v>
      </c>
      <c r="DF19" s="150">
        <f t="shared" si="65"/>
        <v>2.3432923257176337</v>
      </c>
      <c r="DG19" s="150">
        <f t="shared" si="66"/>
        <v>0.19478938397857323</v>
      </c>
      <c r="DH19" s="150"/>
      <c r="DI19" s="150">
        <f t="shared" si="67"/>
        <v>2.3432923257176337</v>
      </c>
      <c r="DJ19" s="314">
        <f t="shared" si="117"/>
        <v>89.617499999999978</v>
      </c>
      <c r="DK19" s="456">
        <f t="shared" si="68"/>
        <v>0.19478938397857321</v>
      </c>
      <c r="DM19" s="150">
        <f t="shared" si="69"/>
        <v>6.7468511173731995</v>
      </c>
      <c r="DN19" s="150">
        <f t="shared" si="70"/>
        <v>13.333333333333334</v>
      </c>
      <c r="DO19" s="150">
        <f t="shared" si="71"/>
        <v>1.05121</v>
      </c>
      <c r="DQ19" s="314">
        <f t="shared" si="72"/>
        <v>70</v>
      </c>
      <c r="DR19" s="144">
        <f t="shared" si="73"/>
        <v>89.617499999999978</v>
      </c>
      <c r="DT19">
        <f t="shared" si="74"/>
        <v>70</v>
      </c>
      <c r="DU19" s="144">
        <f t="shared" si="75"/>
        <v>89.617499999999978</v>
      </c>
      <c r="DV19" s="144"/>
      <c r="DW19" s="5">
        <f t="shared" si="118"/>
        <v>11.158534884369685</v>
      </c>
      <c r="DX19" s="5">
        <f t="shared" si="76"/>
        <v>1.666666666666667</v>
      </c>
      <c r="DY19" s="5">
        <f t="shared" si="119"/>
        <v>9.4918682177030185</v>
      </c>
      <c r="DZ19" s="5">
        <f t="shared" si="77"/>
        <v>2.3432923257176337</v>
      </c>
      <c r="EA19" s="150">
        <f t="shared" si="120"/>
        <v>0.14936250000000001</v>
      </c>
      <c r="EB19" s="150">
        <f t="shared" si="78"/>
        <v>11.949</v>
      </c>
      <c r="EC19" s="150">
        <f t="shared" si="79"/>
        <v>0.28354583333333333</v>
      </c>
      <c r="ED19" s="150">
        <f t="shared" si="121"/>
        <v>42.141335175089274</v>
      </c>
      <c r="EE19" s="144">
        <f t="shared" si="80"/>
        <v>6.8627450980392163E-2</v>
      </c>
      <c r="EF19" s="5">
        <f t="shared" si="81"/>
        <v>15.687948859814709</v>
      </c>
      <c r="EG19" s="5"/>
      <c r="EH19" s="150">
        <f t="shared" si="122"/>
        <v>2.9750816982246238</v>
      </c>
      <c r="EI19" s="150">
        <f t="shared" si="82"/>
        <v>0.35499347933500186</v>
      </c>
      <c r="EJ19" s="150"/>
      <c r="EK19" s="456">
        <f t="shared" si="83"/>
        <v>3.0093777777777775E-2</v>
      </c>
      <c r="EL19" s="456">
        <f t="shared" si="84"/>
        <v>0.74593305359999995</v>
      </c>
      <c r="EM19" s="456">
        <f t="shared" si="85"/>
        <v>2.0522407499999996E-2</v>
      </c>
      <c r="EN19" s="456">
        <f t="shared" si="86"/>
        <v>2.588646870922218E-2</v>
      </c>
      <c r="EO19">
        <f t="shared" si="87"/>
        <v>5.4000000000000003E-3</v>
      </c>
      <c r="EP19" s="144">
        <f t="shared" si="123"/>
        <v>25.922407499999995</v>
      </c>
      <c r="EQ19" s="456">
        <f t="shared" si="88"/>
        <v>0.84198143192725095</v>
      </c>
      <c r="ER19" s="144">
        <f t="shared" si="124"/>
        <v>841.98143192725092</v>
      </c>
      <c r="ES19" s="456">
        <f t="shared" si="125"/>
        <v>0.15531250000000002</v>
      </c>
      <c r="ET19" s="456"/>
      <c r="EV19" s="144">
        <f t="shared" si="126"/>
        <v>155.31250000000003</v>
      </c>
      <c r="EW19" s="456">
        <f t="shared" si="89"/>
        <v>1.3276666666666668E-2</v>
      </c>
      <c r="EX19" s="456">
        <f t="shared" si="90"/>
        <v>2.520407407407408E-2</v>
      </c>
      <c r="EY19" s="456">
        <f t="shared" si="91"/>
        <v>2.4677371956314933</v>
      </c>
      <c r="EZ19" s="456">
        <f t="shared" si="92"/>
        <v>2.5232209470375766</v>
      </c>
      <c r="FA19" s="456">
        <f t="shared" si="93"/>
        <v>1.5931999999999998E-2</v>
      </c>
      <c r="FB19" s="144">
        <f t="shared" si="127"/>
        <v>2539.1529470375763</v>
      </c>
      <c r="FC19" s="150">
        <f t="shared" si="128"/>
        <v>3.5364468789648273</v>
      </c>
      <c r="FD19" s="5">
        <f t="shared" si="129"/>
        <v>11.9</v>
      </c>
      <c r="FE19" s="150">
        <f t="shared" si="130"/>
        <v>0.77090279215847746</v>
      </c>
      <c r="FF19" s="5">
        <f t="shared" si="131"/>
        <v>77.090279215847744</v>
      </c>
      <c r="FI19" s="59">
        <f t="shared" si="94"/>
        <v>-50</v>
      </c>
      <c r="FJ19">
        <f t="shared" si="95"/>
        <v>-50</v>
      </c>
      <c r="FL19">
        <f t="shared" si="96"/>
        <v>0.21</v>
      </c>
    </row>
    <row r="20" spans="5:168">
      <c r="E20" s="147">
        <v>15</v>
      </c>
      <c r="F20" s="188">
        <f t="shared" si="97"/>
        <v>7.4999999999999997E-2</v>
      </c>
      <c r="G20" s="188"/>
      <c r="H20" s="188">
        <f t="shared" si="0"/>
        <v>12.75</v>
      </c>
      <c r="I20" s="465">
        <f t="shared" si="1"/>
        <v>11.967400381246467</v>
      </c>
      <c r="J20" s="149">
        <f t="shared" si="2"/>
        <v>8.5383264917095438</v>
      </c>
      <c r="K20" s="149">
        <f t="shared" si="3"/>
        <v>20.538326491709544</v>
      </c>
      <c r="L20" s="379"/>
      <c r="M20" s="188">
        <f t="shared" si="4"/>
        <v>0.41638760417836135</v>
      </c>
      <c r="N20" s="149">
        <f t="shared" si="5"/>
        <v>166.700541693773</v>
      </c>
      <c r="O20" s="149">
        <f t="shared" si="98"/>
        <v>12.75</v>
      </c>
      <c r="P20" s="188">
        <f t="shared" si="6"/>
        <v>0.98059142172807645</v>
      </c>
      <c r="Q20" s="188">
        <f t="shared" si="7"/>
        <v>170</v>
      </c>
      <c r="R20" s="188">
        <f t="shared" si="8"/>
        <v>0.97707395548831877</v>
      </c>
      <c r="S20" s="149">
        <f t="shared" si="9"/>
        <v>5079.5295857965848</v>
      </c>
      <c r="T20" s="149">
        <f t="shared" si="10"/>
        <v>170</v>
      </c>
      <c r="U20" s="188">
        <f t="shared" si="99"/>
        <v>5.1403980132677791</v>
      </c>
      <c r="V20" s="188">
        <f t="shared" si="11"/>
        <v>0.64430007973866832</v>
      </c>
      <c r="W20" s="188">
        <f t="shared" si="12"/>
        <v>0.90305717723355083</v>
      </c>
      <c r="X20" s="172">
        <f t="shared" si="13"/>
        <v>249.15374213545641</v>
      </c>
      <c r="Y20" s="379">
        <f t="shared" si="14"/>
        <v>350</v>
      </c>
      <c r="AA20" s="188">
        <f t="shared" si="15"/>
        <v>13.333333333333332</v>
      </c>
      <c r="AB20" s="150">
        <f t="shared" si="16"/>
        <v>2.3423793900853278</v>
      </c>
      <c r="AC20" s="150">
        <f t="shared" si="17"/>
        <v>0.1945375301802425</v>
      </c>
      <c r="AD20" s="150"/>
      <c r="AE20" s="150">
        <f t="shared" si="18"/>
        <v>2.3423793900853283</v>
      </c>
      <c r="AF20" s="314">
        <f t="shared" si="100"/>
        <v>96.056173031732342</v>
      </c>
      <c r="AG20" s="456">
        <f t="shared" si="19"/>
        <v>0.19453753018024256</v>
      </c>
      <c r="AI20" s="150">
        <f t="shared" si="20"/>
        <v>6.9850151821941742</v>
      </c>
      <c r="AJ20" s="150">
        <f t="shared" si="21"/>
        <v>13.333333333333334</v>
      </c>
      <c r="AK20" s="150">
        <f t="shared" si="22"/>
        <v>1.0548892417324185</v>
      </c>
      <c r="AM20" s="314">
        <f t="shared" si="23"/>
        <v>75</v>
      </c>
      <c r="AN20" s="144">
        <f t="shared" si="24"/>
        <v>96.056173031732342</v>
      </c>
      <c r="AP20">
        <f t="shared" si="25"/>
        <v>75</v>
      </c>
      <c r="AQ20" s="144">
        <f t="shared" si="26"/>
        <v>96.056173031732342</v>
      </c>
      <c r="AR20" s="144"/>
      <c r="AS20" s="5">
        <f t="shared" si="101"/>
        <v>10.410575067045905</v>
      </c>
      <c r="AT20" s="5">
        <f t="shared" si="27"/>
        <v>1.6712067251749205</v>
      </c>
      <c r="AU20" s="5">
        <f t="shared" si="102"/>
        <v>8.7393683418709838</v>
      </c>
      <c r="AV20" s="5">
        <f t="shared" si="28"/>
        <v>2.3423793900853283</v>
      </c>
      <c r="AW20" s="150">
        <f t="shared" si="103"/>
        <v>0.16052972236519694</v>
      </c>
      <c r="AX20" s="150">
        <f t="shared" si="29"/>
        <v>12.807489737564316</v>
      </c>
      <c r="AY20" s="150">
        <f t="shared" si="30"/>
        <v>0.27982342587826775</v>
      </c>
      <c r="AZ20" s="150">
        <f t="shared" si="104"/>
        <v>45.769898275550339</v>
      </c>
      <c r="BA20" s="144">
        <f t="shared" si="31"/>
        <v>7.3729708463599428E-2</v>
      </c>
      <c r="BB20" s="5">
        <f t="shared" si="32"/>
        <v>15.5181218433853</v>
      </c>
      <c r="BC20" s="5"/>
      <c r="BD20" s="150">
        <f t="shared" si="105"/>
        <v>3.0842944795294942</v>
      </c>
      <c r="BE20" s="150">
        <f t="shared" si="33"/>
        <v>0.35265559269208807</v>
      </c>
      <c r="BF20" s="150"/>
      <c r="BG20" s="456">
        <f t="shared" si="34"/>
        <v>3.2343766283950783E-2</v>
      </c>
      <c r="BH20" s="456">
        <f t="shared" si="35"/>
        <v>0.62999135181750998</v>
      </c>
      <c r="BI20" s="456">
        <f t="shared" si="36"/>
        <v>5.2649054824655185E-2</v>
      </c>
      <c r="BJ20" s="456">
        <f t="shared" si="37"/>
        <v>2.7755302072071952E-2</v>
      </c>
      <c r="BK20">
        <f t="shared" si="38"/>
        <v>5.3853301715609102E-3</v>
      </c>
      <c r="BL20" s="144">
        <f t="shared" si="106"/>
        <v>58.034384996216097</v>
      </c>
      <c r="BM20" s="456">
        <f t="shared" si="39"/>
        <v>0.70423519927193734</v>
      </c>
      <c r="BN20" s="144">
        <f t="shared" si="107"/>
        <v>704.23519927193729</v>
      </c>
      <c r="BO20" s="456">
        <f t="shared" si="108"/>
        <v>0.16640624999999998</v>
      </c>
      <c r="BP20" s="456"/>
      <c r="BR20" s="144">
        <f t="shared" si="109"/>
        <v>166.40624999999997</v>
      </c>
      <c r="BS20" s="456">
        <f t="shared" si="40"/>
        <v>1.4269308654684171E-2</v>
      </c>
      <c r="BT20" s="456">
        <f t="shared" si="41"/>
        <v>2.4873193411401585E-2</v>
      </c>
      <c r="BU20" s="456">
        <f t="shared" si="42"/>
        <v>0.19125</v>
      </c>
      <c r="BV20" s="456">
        <f t="shared" si="43"/>
        <v>0.24053992933642854</v>
      </c>
      <c r="BW20" s="456">
        <f t="shared" si="44"/>
        <v>1.7076652983419087E-2</v>
      </c>
      <c r="BX20" s="144">
        <f t="shared" si="110"/>
        <v>257.61658231984762</v>
      </c>
      <c r="BY20" s="150">
        <f t="shared" si="45"/>
        <v>1.1862924165880009</v>
      </c>
      <c r="BZ20" s="5">
        <f t="shared" si="111"/>
        <v>12.75</v>
      </c>
      <c r="CA20" s="150">
        <f t="shared" si="112"/>
        <v>0.91487747378377415</v>
      </c>
      <c r="CB20" s="5">
        <f t="shared" si="113"/>
        <v>91.487747378377421</v>
      </c>
      <c r="CE20" s="59">
        <f t="shared" si="46"/>
        <v>-50</v>
      </c>
      <c r="CF20">
        <f t="shared" si="47"/>
        <v>-50</v>
      </c>
      <c r="CG20" s="150">
        <f t="shared" si="48"/>
        <v>0.22546275941350696</v>
      </c>
      <c r="CI20" s="147">
        <v>15</v>
      </c>
      <c r="CJ20" s="188">
        <f t="shared" si="114"/>
        <v>7.4999999999999997E-2</v>
      </c>
      <c r="CK20" s="188"/>
      <c r="CL20" s="188">
        <f t="shared" si="49"/>
        <v>12.75</v>
      </c>
      <c r="CM20" s="465">
        <f t="shared" si="50"/>
        <v>12</v>
      </c>
      <c r="CN20" s="149">
        <f t="shared" si="51"/>
        <v>8.5350000000000001</v>
      </c>
      <c r="CO20" s="379">
        <f t="shared" si="52"/>
        <v>20.535</v>
      </c>
      <c r="CP20" s="379"/>
      <c r="CQ20" s="188">
        <f t="shared" si="53"/>
        <v>0.4156318480642805</v>
      </c>
      <c r="CR20" s="149">
        <f t="shared" si="54"/>
        <v>166.85124908692478</v>
      </c>
      <c r="CS20" s="149">
        <f t="shared" si="115"/>
        <v>12.75</v>
      </c>
      <c r="CT20" s="188">
        <f t="shared" si="55"/>
        <v>0.98147793580543985</v>
      </c>
      <c r="CU20" s="188">
        <f t="shared" si="56"/>
        <v>170</v>
      </c>
      <c r="CV20" s="188">
        <f t="shared" si="57"/>
        <v>0.97795728956301287</v>
      </c>
      <c r="CW20" s="149">
        <f t="shared" si="58"/>
        <v>5093.3663128804565</v>
      </c>
      <c r="CX20" s="149">
        <f t="shared" si="59"/>
        <v>170</v>
      </c>
      <c r="CY20" s="188">
        <f t="shared" si="60"/>
        <v>5.1126977152899826</v>
      </c>
      <c r="CZ20" s="188">
        <f t="shared" si="61"/>
        <v>0.63908721441124783</v>
      </c>
      <c r="DA20" s="188">
        <f t="shared" si="62"/>
        <v>0.89854089899648204</v>
      </c>
      <c r="DB20" s="172">
        <f t="shared" si="63"/>
        <v>249.37910883856827</v>
      </c>
      <c r="DC20" s="379">
        <f t="shared" si="116"/>
        <v>350</v>
      </c>
      <c r="DE20" s="188">
        <f t="shared" si="64"/>
        <v>13.333333333333334</v>
      </c>
      <c r="DF20" s="150">
        <f t="shared" si="65"/>
        <v>2.3432923257176337</v>
      </c>
      <c r="DG20" s="150">
        <f t="shared" si="66"/>
        <v>0.19478938397857323</v>
      </c>
      <c r="DH20" s="150"/>
      <c r="DI20" s="150">
        <f t="shared" si="67"/>
        <v>2.3432923257176337</v>
      </c>
      <c r="DJ20" s="314">
        <f t="shared" si="117"/>
        <v>96.018749999999969</v>
      </c>
      <c r="DK20" s="456">
        <f t="shared" si="68"/>
        <v>0.19478938397857321</v>
      </c>
      <c r="DM20" s="150">
        <f t="shared" si="69"/>
        <v>6.9836543851645869</v>
      </c>
      <c r="DN20" s="150">
        <f t="shared" si="70"/>
        <v>13.333333333333334</v>
      </c>
      <c r="DO20" s="150">
        <f t="shared" si="71"/>
        <v>1.0548678571428571</v>
      </c>
      <c r="DQ20" s="314">
        <f t="shared" si="72"/>
        <v>75</v>
      </c>
      <c r="DR20" s="144">
        <f t="shared" si="73"/>
        <v>96.018749999999969</v>
      </c>
      <c r="DT20">
        <f t="shared" si="74"/>
        <v>75</v>
      </c>
      <c r="DU20" s="144">
        <f t="shared" si="75"/>
        <v>96.018749999999969</v>
      </c>
      <c r="DV20" s="144"/>
      <c r="DW20" s="5">
        <f t="shared" si="118"/>
        <v>10.414632558745041</v>
      </c>
      <c r="DX20" s="5">
        <f t="shared" si="76"/>
        <v>1.666666666666667</v>
      </c>
      <c r="DY20" s="5">
        <f t="shared" si="119"/>
        <v>8.7479658920783727</v>
      </c>
      <c r="DZ20" s="5">
        <f t="shared" si="77"/>
        <v>2.3432923257176337</v>
      </c>
      <c r="EA20" s="150">
        <f t="shared" si="120"/>
        <v>0.16003124999999996</v>
      </c>
      <c r="EB20" s="150">
        <f t="shared" si="78"/>
        <v>12.8025</v>
      </c>
      <c r="EC20" s="150">
        <f t="shared" si="79"/>
        <v>0.2799895833333334</v>
      </c>
      <c r="ED20" s="150">
        <f t="shared" si="121"/>
        <v>45.724915361434569</v>
      </c>
      <c r="EE20" s="144">
        <f t="shared" si="80"/>
        <v>7.3529411764705899E-2</v>
      </c>
      <c r="EF20" s="5">
        <f t="shared" si="81"/>
        <v>15.491189600555451</v>
      </c>
      <c r="EG20" s="5"/>
      <c r="EH20" s="150">
        <f t="shared" si="122"/>
        <v>3.0795021242618636</v>
      </c>
      <c r="EI20" s="150">
        <f t="shared" si="82"/>
        <v>0.35276027953103622</v>
      </c>
      <c r="EJ20" s="150"/>
      <c r="EK20" s="456">
        <f t="shared" si="83"/>
        <v>3.2243333333333325E-2</v>
      </c>
      <c r="EL20" s="456">
        <f t="shared" si="84"/>
        <v>0.79921398599999982</v>
      </c>
      <c r="EM20" s="456">
        <f t="shared" si="85"/>
        <v>2.1988293749999992E-2</v>
      </c>
      <c r="EN20" s="456">
        <f t="shared" si="86"/>
        <v>2.7735502188452332E-2</v>
      </c>
      <c r="EO20">
        <f t="shared" si="87"/>
        <v>5.4000000000000003E-3</v>
      </c>
      <c r="EP20" s="144">
        <f t="shared" si="123"/>
        <v>27.388293749999995</v>
      </c>
      <c r="EQ20" s="456">
        <f t="shared" si="88"/>
        <v>0.90219857297452044</v>
      </c>
      <c r="ER20" s="144">
        <f t="shared" si="124"/>
        <v>902.1985729745204</v>
      </c>
      <c r="ES20" s="456">
        <f t="shared" si="125"/>
        <v>0.16640624999999998</v>
      </c>
      <c r="ET20" s="456"/>
      <c r="EV20" s="144">
        <f t="shared" si="126"/>
        <v>166.40624999999997</v>
      </c>
      <c r="EW20" s="456">
        <f t="shared" si="89"/>
        <v>1.4224999999999996E-2</v>
      </c>
      <c r="EX20" s="456">
        <f t="shared" si="90"/>
        <v>2.4887962962962962E-2</v>
      </c>
      <c r="EY20" s="456">
        <f t="shared" si="91"/>
        <v>2.9322903126123143</v>
      </c>
      <c r="EZ20" s="456">
        <f t="shared" si="92"/>
        <v>2.9901466663515754</v>
      </c>
      <c r="FA20" s="456">
        <f t="shared" si="93"/>
        <v>1.7069999999999998E-2</v>
      </c>
      <c r="FB20" s="144">
        <f t="shared" si="127"/>
        <v>3007.2166663515754</v>
      </c>
      <c r="FC20" s="150">
        <f t="shared" si="128"/>
        <v>4.0758214893260964</v>
      </c>
      <c r="FD20" s="5">
        <f t="shared" si="129"/>
        <v>12.75</v>
      </c>
      <c r="FE20" s="150">
        <f t="shared" si="130"/>
        <v>0.75776389331648975</v>
      </c>
      <c r="FF20" s="5">
        <f t="shared" si="131"/>
        <v>75.776389331648971</v>
      </c>
      <c r="FI20" s="59">
        <f t="shared" si="94"/>
        <v>-50</v>
      </c>
      <c r="FJ20">
        <f t="shared" si="95"/>
        <v>-50</v>
      </c>
      <c r="FL20">
        <f t="shared" si="96"/>
        <v>0.22499999999999995</v>
      </c>
    </row>
    <row r="21" spans="5:168" s="59" customFormat="1">
      <c r="E21" s="147">
        <v>16</v>
      </c>
      <c r="F21" s="188">
        <f t="shared" si="97"/>
        <v>0.08</v>
      </c>
      <c r="G21" s="188"/>
      <c r="H21" s="188">
        <f t="shared" si="0"/>
        <v>13.6</v>
      </c>
      <c r="I21" s="465">
        <f t="shared" si="1"/>
        <v>11.967400381246467</v>
      </c>
      <c r="J21" s="149">
        <f t="shared" si="2"/>
        <v>8.5383264917095438</v>
      </c>
      <c r="K21" s="149">
        <f t="shared" si="3"/>
        <v>20.538326491709544</v>
      </c>
      <c r="L21" s="379"/>
      <c r="M21" s="188">
        <f t="shared" si="4"/>
        <v>0.41638760417836135</v>
      </c>
      <c r="N21" s="149">
        <f t="shared" si="5"/>
        <v>166.700541693773</v>
      </c>
      <c r="O21" s="149">
        <f t="shared" si="98"/>
        <v>13.6</v>
      </c>
      <c r="P21" s="188">
        <f t="shared" si="6"/>
        <v>0.98059142172807645</v>
      </c>
      <c r="Q21" s="188">
        <f t="shared" si="7"/>
        <v>170</v>
      </c>
      <c r="R21" s="188">
        <f t="shared" si="8"/>
        <v>0.97707395548831877</v>
      </c>
      <c r="S21" s="149">
        <f t="shared" si="9"/>
        <v>4747.1041065461077</v>
      </c>
      <c r="T21" s="149">
        <f t="shared" si="10"/>
        <v>170</v>
      </c>
      <c r="U21" s="188">
        <f t="shared" si="99"/>
        <v>5.4830912141522976</v>
      </c>
      <c r="V21" s="188">
        <f t="shared" si="11"/>
        <v>0.68725341838791287</v>
      </c>
      <c r="W21" s="188">
        <f t="shared" si="12"/>
        <v>0.96326098904912116</v>
      </c>
      <c r="X21" s="172">
        <f t="shared" si="13"/>
        <v>249.15374213545641</v>
      </c>
      <c r="Y21" s="379">
        <f t="shared" si="14"/>
        <v>350</v>
      </c>
      <c r="AA21" s="188">
        <f t="shared" si="15"/>
        <v>13.333333333333332</v>
      </c>
      <c r="AB21" s="150">
        <f t="shared" si="16"/>
        <v>2.3423793900853278</v>
      </c>
      <c r="AC21" s="462">
        <f t="shared" si="17"/>
        <v>0.1945375301802425</v>
      </c>
      <c r="AD21" s="462"/>
      <c r="AE21" s="150">
        <f t="shared" si="18"/>
        <v>2.3423793900853283</v>
      </c>
      <c r="AF21" s="314">
        <f t="shared" si="100"/>
        <v>102.4599179005145</v>
      </c>
      <c r="AG21" s="456">
        <f t="shared" si="19"/>
        <v>0.19453753018024256</v>
      </c>
      <c r="AH21"/>
      <c r="AI21" s="150">
        <f t="shared" si="20"/>
        <v>7.2140926596384007</v>
      </c>
      <c r="AJ21" s="150">
        <f t="shared" si="21"/>
        <v>13.333333333333334</v>
      </c>
      <c r="AK21" s="150">
        <f t="shared" si="22"/>
        <v>1.0585485245145798</v>
      </c>
      <c r="AM21" s="314">
        <f t="shared" si="23"/>
        <v>80</v>
      </c>
      <c r="AN21" s="144">
        <f t="shared" si="24"/>
        <v>102.4599179005145</v>
      </c>
      <c r="AP21">
        <f t="shared" si="25"/>
        <v>80</v>
      </c>
      <c r="AQ21" s="144">
        <f t="shared" si="26"/>
        <v>102.4599179005145</v>
      </c>
      <c r="AR21" s="144"/>
      <c r="AS21" s="5">
        <f t="shared" si="101"/>
        <v>9.7599141253555359</v>
      </c>
      <c r="AT21" s="5">
        <f t="shared" si="27"/>
        <v>1.6712067251749205</v>
      </c>
      <c r="AU21" s="5">
        <f t="shared" si="102"/>
        <v>8.0887074001806152</v>
      </c>
      <c r="AV21" s="5">
        <f t="shared" si="28"/>
        <v>2.3423793900853283</v>
      </c>
      <c r="AW21" s="150">
        <f t="shared" si="103"/>
        <v>0.17123170385621006</v>
      </c>
      <c r="AX21" s="150">
        <f t="shared" si="29"/>
        <v>13.66132238673527</v>
      </c>
      <c r="AY21" s="150">
        <f t="shared" si="30"/>
        <v>0.27625609871459667</v>
      </c>
      <c r="AZ21" s="150">
        <f t="shared" si="104"/>
        <v>49.451658987079732</v>
      </c>
      <c r="BA21" s="144">
        <f t="shared" si="31"/>
        <v>7.8645022361172726E-2</v>
      </c>
      <c r="BB21" s="5">
        <f t="shared" si="32"/>
        <v>15.320289165841187</v>
      </c>
      <c r="BC21" s="5"/>
      <c r="BD21" s="150">
        <f t="shared" si="105"/>
        <v>3.1854456410712544</v>
      </c>
      <c r="BE21" s="150">
        <f t="shared" si="33"/>
        <v>0.35040046848941075</v>
      </c>
      <c r="BF21" s="150"/>
      <c r="BG21" s="456">
        <f t="shared" si="34"/>
        <v>3.4500017369547505E-2</v>
      </c>
      <c r="BH21" s="456">
        <f t="shared" si="35"/>
        <v>0.67199077527201068</v>
      </c>
      <c r="BI21" s="456">
        <f t="shared" si="36"/>
        <v>5.6158991812965534E-2</v>
      </c>
      <c r="BJ21" s="456">
        <f t="shared" si="37"/>
        <v>2.9605655543543413E-2</v>
      </c>
      <c r="BK21">
        <f t="shared" si="38"/>
        <v>5.3853301715609102E-3</v>
      </c>
      <c r="BL21" s="144">
        <f t="shared" si="106"/>
        <v>61.544321984526448</v>
      </c>
      <c r="BM21" s="456">
        <f t="shared" si="39"/>
        <v>0.75157224397493283</v>
      </c>
      <c r="BN21" s="144">
        <f t="shared" si="107"/>
        <v>751.5722439749328</v>
      </c>
      <c r="BO21" s="456">
        <f t="shared" si="108"/>
        <v>0.17749999999999999</v>
      </c>
      <c r="BP21" s="456"/>
      <c r="BR21" s="144">
        <f t="shared" si="109"/>
        <v>177.5</v>
      </c>
      <c r="BS21" s="456">
        <f t="shared" si="40"/>
        <v>1.5220595898329782E-2</v>
      </c>
      <c r="BT21" s="456">
        <f t="shared" si="41"/>
        <v>2.455609766351971E-2</v>
      </c>
      <c r="BU21" s="456">
        <f t="shared" si="42"/>
        <v>0.20399999999999999</v>
      </c>
      <c r="BV21" s="456">
        <f t="shared" si="43"/>
        <v>0.25413178177734008</v>
      </c>
      <c r="BW21" s="456">
        <f t="shared" si="44"/>
        <v>1.8215096515647025E-2</v>
      </c>
      <c r="BX21" s="144">
        <f t="shared" si="110"/>
        <v>272.34687829298707</v>
      </c>
      <c r="BY21" s="150">
        <f t="shared" si="45"/>
        <v>1.2629634442524464</v>
      </c>
      <c r="BZ21" s="5">
        <f t="shared" si="111"/>
        <v>13.6</v>
      </c>
      <c r="CA21" s="150">
        <f t="shared" si="112"/>
        <v>0.91502613533367472</v>
      </c>
      <c r="CB21" s="5">
        <f t="shared" si="113"/>
        <v>91.502613533367466</v>
      </c>
      <c r="CE21" s="59">
        <f t="shared" si="46"/>
        <v>-50</v>
      </c>
      <c r="CF21">
        <f t="shared" si="47"/>
        <v>-50</v>
      </c>
      <c r="CG21" s="150">
        <f t="shared" si="48"/>
        <v>0.24049361004107409</v>
      </c>
      <c r="CH21"/>
      <c r="CI21" s="147">
        <v>16</v>
      </c>
      <c r="CJ21" s="188">
        <f t="shared" si="114"/>
        <v>0.08</v>
      </c>
      <c r="CK21" s="188"/>
      <c r="CL21" s="188">
        <f t="shared" si="49"/>
        <v>13.6</v>
      </c>
      <c r="CM21" s="465">
        <f t="shared" si="50"/>
        <v>12</v>
      </c>
      <c r="CN21" s="149">
        <f t="shared" si="51"/>
        <v>8.5350000000000001</v>
      </c>
      <c r="CO21" s="379">
        <f t="shared" si="52"/>
        <v>20.535</v>
      </c>
      <c r="CP21" s="379"/>
      <c r="CQ21" s="188">
        <f t="shared" si="53"/>
        <v>0.4156318480642805</v>
      </c>
      <c r="CR21" s="149">
        <f t="shared" si="54"/>
        <v>166.85124908692478</v>
      </c>
      <c r="CS21" s="149">
        <f t="shared" si="115"/>
        <v>13.6</v>
      </c>
      <c r="CT21" s="188">
        <f t="shared" si="55"/>
        <v>0.98147793580543985</v>
      </c>
      <c r="CU21" s="188">
        <f t="shared" si="56"/>
        <v>170</v>
      </c>
      <c r="CV21" s="188">
        <f t="shared" si="57"/>
        <v>0.97795728956301287</v>
      </c>
      <c r="CW21" s="149">
        <f t="shared" si="58"/>
        <v>4760.0352886665223</v>
      </c>
      <c r="CX21" s="149">
        <f t="shared" si="59"/>
        <v>170</v>
      </c>
      <c r="CY21" s="188">
        <f t="shared" si="60"/>
        <v>5.453544229642648</v>
      </c>
      <c r="CZ21" s="188">
        <f t="shared" si="61"/>
        <v>0.68169302870533099</v>
      </c>
      <c r="DA21" s="188">
        <f t="shared" si="62"/>
        <v>0.95844362559624741</v>
      </c>
      <c r="DB21" s="172">
        <f t="shared" si="63"/>
        <v>249.37910883856827</v>
      </c>
      <c r="DC21" s="379">
        <f t="shared" si="116"/>
        <v>350</v>
      </c>
      <c r="DE21" s="188">
        <f t="shared" si="64"/>
        <v>13.333333333333334</v>
      </c>
      <c r="DF21" s="150">
        <f t="shared" si="65"/>
        <v>2.3432923257176337</v>
      </c>
      <c r="DG21" s="462">
        <f t="shared" si="66"/>
        <v>0.19478938397857323</v>
      </c>
      <c r="DH21" s="462"/>
      <c r="DI21" s="150">
        <f t="shared" si="67"/>
        <v>2.3432923257176337</v>
      </c>
      <c r="DJ21" s="314">
        <f t="shared" si="117"/>
        <v>102.41999999999997</v>
      </c>
      <c r="DK21" s="456">
        <f t="shared" si="68"/>
        <v>0.19478938397857321</v>
      </c>
      <c r="DL21"/>
      <c r="DM21" s="150">
        <f t="shared" si="69"/>
        <v>7.2126872345095583</v>
      </c>
      <c r="DN21" s="150">
        <f t="shared" si="70"/>
        <v>13.333333333333334</v>
      </c>
      <c r="DO21" s="150">
        <f t="shared" si="71"/>
        <v>1.0585257142857143</v>
      </c>
      <c r="DQ21" s="314">
        <f t="shared" si="72"/>
        <v>80</v>
      </c>
      <c r="DR21" s="144">
        <f t="shared" si="73"/>
        <v>102.41999999999997</v>
      </c>
      <c r="DT21">
        <f t="shared" si="74"/>
        <v>80</v>
      </c>
      <c r="DU21" s="144">
        <f t="shared" si="75"/>
        <v>102.41999999999997</v>
      </c>
      <c r="DV21" s="144"/>
      <c r="DW21" s="5">
        <f t="shared" si="118"/>
        <v>9.7637180238234738</v>
      </c>
      <c r="DX21" s="5">
        <f t="shared" si="76"/>
        <v>1.666666666666667</v>
      </c>
      <c r="DY21" s="5">
        <f t="shared" si="119"/>
        <v>8.0970513571568077</v>
      </c>
      <c r="DZ21" s="5">
        <f t="shared" si="77"/>
        <v>2.3432923257176337</v>
      </c>
      <c r="EA21" s="150">
        <f t="shared" si="120"/>
        <v>0.17069999999999999</v>
      </c>
      <c r="EB21" s="150">
        <f t="shared" si="78"/>
        <v>13.656000000000001</v>
      </c>
      <c r="EC21" s="150">
        <f t="shared" si="79"/>
        <v>0.27643333333333336</v>
      </c>
      <c r="ED21" s="150">
        <f t="shared" si="121"/>
        <v>49.400699385023508</v>
      </c>
      <c r="EE21" s="144">
        <f t="shared" si="80"/>
        <v>7.8431372549019621E-2</v>
      </c>
      <c r="EF21" s="5">
        <f t="shared" si="81"/>
        <v>15.294430341296188</v>
      </c>
      <c r="EG21" s="5"/>
      <c r="EH21" s="150">
        <f t="shared" si="122"/>
        <v>3.1804961178337505</v>
      </c>
      <c r="EI21" s="150">
        <f t="shared" si="82"/>
        <v>0.35051285177473773</v>
      </c>
      <c r="EJ21" s="150"/>
      <c r="EK21" s="456">
        <f t="shared" si="83"/>
        <v>3.4392888888888896E-2</v>
      </c>
      <c r="EL21" s="456">
        <f t="shared" si="84"/>
        <v>0.8524949183999998</v>
      </c>
      <c r="EM21" s="456">
        <f t="shared" si="85"/>
        <v>2.3454179999999995E-2</v>
      </c>
      <c r="EN21" s="456">
        <f t="shared" si="86"/>
        <v>2.9584535667682488E-2</v>
      </c>
      <c r="EO21">
        <f t="shared" si="87"/>
        <v>5.4000000000000003E-3</v>
      </c>
      <c r="EP21" s="144">
        <f t="shared" si="123"/>
        <v>28.854179999999992</v>
      </c>
      <c r="EQ21" s="456">
        <f t="shared" si="88"/>
        <v>0.96247773073771814</v>
      </c>
      <c r="ER21" s="144">
        <f t="shared" si="124"/>
        <v>962.47773073771816</v>
      </c>
      <c r="ES21" s="456">
        <f t="shared" si="125"/>
        <v>0.17749999999999999</v>
      </c>
      <c r="ET21" s="456"/>
      <c r="EV21" s="144">
        <f t="shared" si="126"/>
        <v>177.5</v>
      </c>
      <c r="EW21" s="456">
        <f t="shared" si="89"/>
        <v>1.5173333333333337E-2</v>
      </c>
      <c r="EX21" s="456">
        <f t="shared" si="90"/>
        <v>2.4571851851851855E-2</v>
      </c>
      <c r="EY21" s="456">
        <f t="shared" si="91"/>
        <v>3.4457104071468629</v>
      </c>
      <c r="EZ21" s="456">
        <f t="shared" si="92"/>
        <v>3.5061426197932404</v>
      </c>
      <c r="FA21" s="456">
        <f t="shared" si="93"/>
        <v>1.8207999999999998E-2</v>
      </c>
      <c r="FB21" s="144">
        <f t="shared" si="127"/>
        <v>3524.3506197932402</v>
      </c>
      <c r="FC21" s="150">
        <f t="shared" si="128"/>
        <v>4.6643283505309583</v>
      </c>
      <c r="FD21" s="5">
        <f t="shared" si="129"/>
        <v>13.6</v>
      </c>
      <c r="FE21" s="150">
        <f t="shared" si="130"/>
        <v>0.74462086636789115</v>
      </c>
      <c r="FF21" s="5">
        <f t="shared" si="131"/>
        <v>74.46208663678911</v>
      </c>
      <c r="FI21" s="59">
        <f t="shared" si="94"/>
        <v>-50</v>
      </c>
      <c r="FJ21">
        <f t="shared" si="95"/>
        <v>-50</v>
      </c>
      <c r="FL21">
        <f t="shared" si="96"/>
        <v>0.23999999999999994</v>
      </c>
    </row>
    <row r="22" spans="5:168">
      <c r="E22" s="147">
        <v>17</v>
      </c>
      <c r="F22" s="188">
        <f t="shared" si="97"/>
        <v>8.5000000000000006E-2</v>
      </c>
      <c r="G22" s="188"/>
      <c r="H22" s="188">
        <f t="shared" si="0"/>
        <v>14.450000000000001</v>
      </c>
      <c r="I22" s="465">
        <f t="shared" si="1"/>
        <v>11.967400381246467</v>
      </c>
      <c r="J22" s="149">
        <f t="shared" si="2"/>
        <v>8.5383264917095438</v>
      </c>
      <c r="K22" s="149">
        <f t="shared" si="3"/>
        <v>20.538326491709544</v>
      </c>
      <c r="L22" s="379"/>
      <c r="M22" s="188">
        <f t="shared" si="4"/>
        <v>0.41638760417836135</v>
      </c>
      <c r="N22" s="149">
        <f t="shared" si="5"/>
        <v>166.700541693773</v>
      </c>
      <c r="O22" s="149">
        <f t="shared" si="98"/>
        <v>14.450000000000001</v>
      </c>
      <c r="P22" s="188">
        <f t="shared" si="6"/>
        <v>0.98059142172807645</v>
      </c>
      <c r="Q22" s="188">
        <f t="shared" si="7"/>
        <v>170</v>
      </c>
      <c r="R22" s="188">
        <f t="shared" si="8"/>
        <v>0.97707395548831877</v>
      </c>
      <c r="S22" s="149">
        <f t="shared" si="9"/>
        <v>4453.7877934158132</v>
      </c>
      <c r="T22" s="149">
        <f t="shared" si="10"/>
        <v>170</v>
      </c>
      <c r="U22" s="188">
        <f t="shared" si="99"/>
        <v>5.8257844150368161</v>
      </c>
      <c r="V22" s="188">
        <f t="shared" si="11"/>
        <v>0.73020675703715743</v>
      </c>
      <c r="W22" s="188">
        <f t="shared" si="12"/>
        <v>1.0234648008646912</v>
      </c>
      <c r="X22" s="172">
        <f t="shared" si="13"/>
        <v>249.15374213545641</v>
      </c>
      <c r="Y22" s="379">
        <f t="shared" si="14"/>
        <v>350</v>
      </c>
      <c r="AA22" s="188">
        <f t="shared" si="15"/>
        <v>13.333333333333332</v>
      </c>
      <c r="AB22" s="150">
        <f t="shared" si="16"/>
        <v>2.3423793900853278</v>
      </c>
      <c r="AC22" s="150">
        <f t="shared" si="17"/>
        <v>0.1945375301802425</v>
      </c>
      <c r="AD22" s="150"/>
      <c r="AE22" s="150">
        <f t="shared" si="18"/>
        <v>2.3423793900853283</v>
      </c>
      <c r="AF22" s="314">
        <f t="shared" si="100"/>
        <v>108.86366276929665</v>
      </c>
      <c r="AG22" s="456">
        <f t="shared" si="19"/>
        <v>0.19453753018024256</v>
      </c>
      <c r="AI22" s="150">
        <f t="shared" si="20"/>
        <v>7.4361165071705404</v>
      </c>
      <c r="AJ22" s="150">
        <f t="shared" si="21"/>
        <v>13.333333333333334</v>
      </c>
      <c r="AK22" s="150">
        <f t="shared" si="22"/>
        <v>1.0622078072967409</v>
      </c>
      <c r="AM22" s="314">
        <f t="shared" si="23"/>
        <v>85</v>
      </c>
      <c r="AN22" s="144">
        <f t="shared" si="24"/>
        <v>108.86366276929665</v>
      </c>
      <c r="AP22">
        <f t="shared" si="25"/>
        <v>85</v>
      </c>
      <c r="AQ22" s="144">
        <f t="shared" si="26"/>
        <v>108.86366276929665</v>
      </c>
      <c r="AR22" s="144"/>
      <c r="AS22" s="5">
        <f t="shared" si="101"/>
        <v>9.1858015297463886</v>
      </c>
      <c r="AT22" s="5">
        <f t="shared" si="27"/>
        <v>1.6712067251749205</v>
      </c>
      <c r="AU22" s="5">
        <f t="shared" si="102"/>
        <v>7.5145948045714679</v>
      </c>
      <c r="AV22" s="5">
        <f t="shared" si="28"/>
        <v>2.3423793900853283</v>
      </c>
      <c r="AW22" s="150">
        <f t="shared" si="103"/>
        <v>0.18193368534722315</v>
      </c>
      <c r="AX22" s="150">
        <f t="shared" si="29"/>
        <v>14.515155035906224</v>
      </c>
      <c r="AY22" s="150">
        <f t="shared" si="30"/>
        <v>0.27268877155092569</v>
      </c>
      <c r="AZ22" s="150">
        <f t="shared" si="104"/>
        <v>53.229749627572993</v>
      </c>
      <c r="BA22" s="144">
        <f t="shared" si="31"/>
        <v>8.3560336258746037E-2</v>
      </c>
      <c r="BB22" s="5">
        <f t="shared" si="32"/>
        <v>15.122456488297074</v>
      </c>
      <c r="BC22" s="5"/>
      <c r="BD22" s="150">
        <f t="shared" si="105"/>
        <v>3.2834822107000359</v>
      </c>
      <c r="BE22" s="150">
        <f t="shared" si="33"/>
        <v>0.34813073633074859</v>
      </c>
      <c r="BF22" s="150"/>
      <c r="BG22" s="456">
        <f t="shared" si="34"/>
        <v>3.665626845514422E-2</v>
      </c>
      <c r="BH22" s="456">
        <f t="shared" si="35"/>
        <v>0.71399019872651126</v>
      </c>
      <c r="BI22" s="456">
        <f t="shared" si="36"/>
        <v>5.9668928801275875E-2</v>
      </c>
      <c r="BJ22" s="456">
        <f t="shared" si="37"/>
        <v>3.1456009015014878E-2</v>
      </c>
      <c r="BK22">
        <f t="shared" si="38"/>
        <v>5.3853301715609102E-3</v>
      </c>
      <c r="BL22" s="144">
        <f t="shared" si="106"/>
        <v>65.054258972836791</v>
      </c>
      <c r="BM22" s="456">
        <f t="shared" si="39"/>
        <v>0.79895821876321871</v>
      </c>
      <c r="BN22" s="144">
        <f t="shared" si="107"/>
        <v>798.95821876321872</v>
      </c>
      <c r="BO22" s="456">
        <f t="shared" si="108"/>
        <v>0.18859375</v>
      </c>
      <c r="BP22" s="456"/>
      <c r="BR22" s="144">
        <f t="shared" si="109"/>
        <v>188.59375</v>
      </c>
      <c r="BS22" s="456">
        <f t="shared" si="40"/>
        <v>1.6171883141975391E-2</v>
      </c>
      <c r="BT22" s="456">
        <f t="shared" si="41"/>
        <v>2.4239001915637839E-2</v>
      </c>
      <c r="BU22" s="456">
        <f t="shared" si="42"/>
        <v>0.21675</v>
      </c>
      <c r="BV22" s="456">
        <f t="shared" si="43"/>
        <v>0.26772501786536074</v>
      </c>
      <c r="BW22" s="456">
        <f t="shared" si="44"/>
        <v>1.9353540047874967E-2</v>
      </c>
      <c r="BX22" s="144">
        <f t="shared" si="110"/>
        <v>287.07855791323573</v>
      </c>
      <c r="BY22" s="150">
        <f t="shared" si="45"/>
        <v>1.3396847856492915</v>
      </c>
      <c r="BZ22" s="5">
        <f t="shared" si="111"/>
        <v>14.450000000000001</v>
      </c>
      <c r="CA22" s="150">
        <f t="shared" si="112"/>
        <v>0.91515443127358154</v>
      </c>
      <c r="CB22" s="5">
        <f t="shared" si="113"/>
        <v>91.515443127358154</v>
      </c>
      <c r="CE22" s="59">
        <f t="shared" si="46"/>
        <v>-50</v>
      </c>
      <c r="CF22">
        <f t="shared" si="47"/>
        <v>-50</v>
      </c>
      <c r="CG22" s="150">
        <f t="shared" si="48"/>
        <v>0.25552446066864126</v>
      </c>
      <c r="CI22" s="147">
        <v>17</v>
      </c>
      <c r="CJ22" s="188">
        <f t="shared" si="114"/>
        <v>8.5000000000000006E-2</v>
      </c>
      <c r="CK22" s="188"/>
      <c r="CL22" s="188">
        <f t="shared" si="49"/>
        <v>14.450000000000001</v>
      </c>
      <c r="CM22" s="465">
        <f t="shared" si="50"/>
        <v>12</v>
      </c>
      <c r="CN22" s="149">
        <f t="shared" si="51"/>
        <v>8.5350000000000001</v>
      </c>
      <c r="CO22" s="379">
        <f t="shared" si="52"/>
        <v>20.535</v>
      </c>
      <c r="CP22" s="379"/>
      <c r="CQ22" s="188">
        <f t="shared" si="53"/>
        <v>0.4156318480642805</v>
      </c>
      <c r="CR22" s="149">
        <f t="shared" si="54"/>
        <v>166.85124908692478</v>
      </c>
      <c r="CS22" s="149">
        <f t="shared" si="115"/>
        <v>14.450000000000001</v>
      </c>
      <c r="CT22" s="188">
        <f t="shared" si="55"/>
        <v>0.98147793580543985</v>
      </c>
      <c r="CU22" s="188">
        <f t="shared" si="56"/>
        <v>170</v>
      </c>
      <c r="CV22" s="188">
        <f t="shared" si="57"/>
        <v>0.97795728956301287</v>
      </c>
      <c r="CW22" s="149">
        <f t="shared" si="58"/>
        <v>4465.919965274732</v>
      </c>
      <c r="CX22" s="149">
        <f t="shared" si="59"/>
        <v>170</v>
      </c>
      <c r="CY22" s="188">
        <f t="shared" si="60"/>
        <v>5.7943907439953133</v>
      </c>
      <c r="CZ22" s="188">
        <f t="shared" si="61"/>
        <v>0.72429884299941405</v>
      </c>
      <c r="DA22" s="188">
        <f t="shared" si="62"/>
        <v>1.0183463521960128</v>
      </c>
      <c r="DB22" s="172">
        <f t="shared" si="63"/>
        <v>249.37910883856827</v>
      </c>
      <c r="DC22" s="379">
        <f t="shared" si="116"/>
        <v>350</v>
      </c>
      <c r="DE22" s="188">
        <f t="shared" si="64"/>
        <v>13.333333333333334</v>
      </c>
      <c r="DF22" s="150">
        <f t="shared" si="65"/>
        <v>2.3432923257176337</v>
      </c>
      <c r="DG22" s="150">
        <f t="shared" si="66"/>
        <v>0.19478938397857323</v>
      </c>
      <c r="DH22" s="150"/>
      <c r="DI22" s="150">
        <f t="shared" si="67"/>
        <v>2.3432923257176337</v>
      </c>
      <c r="DJ22" s="314">
        <f t="shared" si="117"/>
        <v>108.82124999999998</v>
      </c>
      <c r="DK22" s="456">
        <f t="shared" si="68"/>
        <v>0.19478938397857321</v>
      </c>
      <c r="DM22" s="150">
        <f t="shared" si="69"/>
        <v>7.4346678281067611</v>
      </c>
      <c r="DN22" s="150">
        <f t="shared" si="70"/>
        <v>13.333333333333334</v>
      </c>
      <c r="DO22" s="150">
        <f t="shared" si="71"/>
        <v>1.0621835714285714</v>
      </c>
      <c r="DQ22" s="314">
        <f t="shared" si="72"/>
        <v>85</v>
      </c>
      <c r="DR22" s="144">
        <f t="shared" si="73"/>
        <v>108.82124999999998</v>
      </c>
      <c r="DT22">
        <f t="shared" si="74"/>
        <v>85</v>
      </c>
      <c r="DU22" s="144">
        <f t="shared" si="75"/>
        <v>108.82124999999998</v>
      </c>
      <c r="DV22" s="144"/>
      <c r="DW22" s="5">
        <f t="shared" si="118"/>
        <v>9.1893816694809161</v>
      </c>
      <c r="DX22" s="5">
        <f t="shared" si="76"/>
        <v>1.666666666666667</v>
      </c>
      <c r="DY22" s="5">
        <f t="shared" si="119"/>
        <v>7.5227150028142491</v>
      </c>
      <c r="DZ22" s="5">
        <f t="shared" si="77"/>
        <v>2.3432923257176337</v>
      </c>
      <c r="EA22" s="150">
        <f t="shared" si="120"/>
        <v>0.18136875</v>
      </c>
      <c r="EB22" s="150">
        <f t="shared" si="78"/>
        <v>14.509499999999999</v>
      </c>
      <c r="EC22" s="150">
        <f t="shared" si="79"/>
        <v>0.27287708333333338</v>
      </c>
      <c r="ED22" s="150">
        <f t="shared" si="121"/>
        <v>53.172292164512399</v>
      </c>
      <c r="EE22" s="144">
        <f t="shared" si="80"/>
        <v>8.3333333333333343E-2</v>
      </c>
      <c r="EF22" s="5">
        <f t="shared" si="81"/>
        <v>15.09767108203693</v>
      </c>
      <c r="EG22" s="5"/>
      <c r="EH22" s="150">
        <f t="shared" si="122"/>
        <v>3.2783803589238665</v>
      </c>
      <c r="EI22" s="150">
        <f t="shared" si="82"/>
        <v>0.34825092060711588</v>
      </c>
      <c r="EJ22" s="150"/>
      <c r="EK22" s="456">
        <f t="shared" si="83"/>
        <v>3.6542444444444447E-2</v>
      </c>
      <c r="EL22" s="456">
        <f t="shared" si="84"/>
        <v>0.90577585079999989</v>
      </c>
      <c r="EM22" s="456">
        <f t="shared" si="85"/>
        <v>2.4920066249999994E-2</v>
      </c>
      <c r="EN22" s="456">
        <f t="shared" si="86"/>
        <v>3.1433569146912643E-2</v>
      </c>
      <c r="EO22">
        <f t="shared" si="87"/>
        <v>5.4000000000000003E-3</v>
      </c>
      <c r="EP22" s="144">
        <f t="shared" si="123"/>
        <v>30.320066249999993</v>
      </c>
      <c r="EQ22" s="456">
        <f t="shared" si="88"/>
        <v>1.0228190010713096</v>
      </c>
      <c r="ER22" s="144">
        <f t="shared" si="124"/>
        <v>1022.8190010713097</v>
      </c>
      <c r="ES22" s="456">
        <f t="shared" si="125"/>
        <v>0.18859375</v>
      </c>
      <c r="ET22" s="456"/>
      <c r="EV22" s="144">
        <f t="shared" si="126"/>
        <v>188.59375</v>
      </c>
      <c r="EW22" s="456">
        <f t="shared" si="89"/>
        <v>1.612166666666667E-2</v>
      </c>
      <c r="EX22" s="456">
        <f t="shared" si="90"/>
        <v>2.4255740740740744E-2</v>
      </c>
      <c r="EY22" s="456">
        <f t="shared" si="91"/>
        <v>4.0096006656088399</v>
      </c>
      <c r="EZ22" s="456">
        <f t="shared" si="92"/>
        <v>4.0728246588379315</v>
      </c>
      <c r="FA22" s="456">
        <f t="shared" si="93"/>
        <v>1.9346000000000002E-2</v>
      </c>
      <c r="FB22" s="144">
        <f t="shared" si="127"/>
        <v>4092.1706588379311</v>
      </c>
      <c r="FC22" s="150">
        <f t="shared" si="128"/>
        <v>5.3035834099092414</v>
      </c>
      <c r="FD22" s="5">
        <f t="shared" si="129"/>
        <v>14.450000000000001</v>
      </c>
      <c r="FE22" s="150">
        <f t="shared" si="130"/>
        <v>0.73151284504416869</v>
      </c>
      <c r="FF22" s="5">
        <f t="shared" si="131"/>
        <v>73.151284504416864</v>
      </c>
      <c r="FI22" s="59">
        <f t="shared" si="94"/>
        <v>-50</v>
      </c>
      <c r="FJ22">
        <f t="shared" si="95"/>
        <v>-50</v>
      </c>
      <c r="FL22">
        <f t="shared" si="96"/>
        <v>0.25499999999999995</v>
      </c>
    </row>
    <row r="23" spans="5:168">
      <c r="E23" s="147">
        <v>18</v>
      </c>
      <c r="F23" s="188">
        <f t="shared" si="97"/>
        <v>0.09</v>
      </c>
      <c r="G23" s="188"/>
      <c r="H23" s="188">
        <f t="shared" si="0"/>
        <v>15.299999999999999</v>
      </c>
      <c r="I23" s="465">
        <f t="shared" si="1"/>
        <v>11.967400381246467</v>
      </c>
      <c r="J23" s="149">
        <f t="shared" si="2"/>
        <v>8.5383264917095438</v>
      </c>
      <c r="K23" s="149">
        <f t="shared" si="3"/>
        <v>20.538326491709544</v>
      </c>
      <c r="L23" s="379"/>
      <c r="M23" s="188">
        <f t="shared" si="4"/>
        <v>0.41638760417836135</v>
      </c>
      <c r="N23" s="149">
        <f t="shared" si="5"/>
        <v>166.700541693773</v>
      </c>
      <c r="O23" s="149">
        <f t="shared" si="98"/>
        <v>15.299999999999999</v>
      </c>
      <c r="P23" s="188">
        <f t="shared" si="6"/>
        <v>0.98059142172807645</v>
      </c>
      <c r="Q23" s="188">
        <f t="shared" si="7"/>
        <v>170</v>
      </c>
      <c r="R23" s="188">
        <f t="shared" si="8"/>
        <v>0.97707395548831877</v>
      </c>
      <c r="S23" s="149">
        <f t="shared" si="9"/>
        <v>4193.062454614369</v>
      </c>
      <c r="T23" s="149">
        <f t="shared" si="10"/>
        <v>170</v>
      </c>
      <c r="U23" s="188">
        <f t="shared" si="99"/>
        <v>6.1684776159213346</v>
      </c>
      <c r="V23" s="188">
        <f t="shared" si="11"/>
        <v>0.77316009568640198</v>
      </c>
      <c r="W23" s="188">
        <f t="shared" si="12"/>
        <v>1.083668612680261</v>
      </c>
      <c r="X23" s="172">
        <f t="shared" si="13"/>
        <v>249.15374213545641</v>
      </c>
      <c r="Y23" s="379">
        <f t="shared" si="14"/>
        <v>350</v>
      </c>
      <c r="AA23" s="188">
        <f t="shared" si="15"/>
        <v>13.333333333333332</v>
      </c>
      <c r="AB23" s="150">
        <f t="shared" si="16"/>
        <v>2.3423793900853278</v>
      </c>
      <c r="AC23" s="150">
        <f t="shared" si="17"/>
        <v>0.1945375301802425</v>
      </c>
      <c r="AD23" s="150"/>
      <c r="AE23" s="150">
        <f t="shared" si="18"/>
        <v>2.3423793900853283</v>
      </c>
      <c r="AF23" s="314">
        <f t="shared" si="100"/>
        <v>115.26740763807881</v>
      </c>
      <c r="AG23" s="456">
        <f t="shared" si="19"/>
        <v>0.19453753018024256</v>
      </c>
      <c r="AI23" s="150">
        <f t="shared" si="20"/>
        <v>7.6517007596076132</v>
      </c>
      <c r="AJ23" s="150">
        <f t="shared" si="21"/>
        <v>13.333333333333334</v>
      </c>
      <c r="AK23" s="150">
        <f t="shared" si="22"/>
        <v>1.0658670900789022</v>
      </c>
      <c r="AM23" s="314">
        <f t="shared" si="23"/>
        <v>90</v>
      </c>
      <c r="AN23" s="144">
        <f t="shared" si="24"/>
        <v>115.26740763807881</v>
      </c>
      <c r="AP23">
        <f t="shared" si="25"/>
        <v>90</v>
      </c>
      <c r="AQ23" s="144">
        <f t="shared" si="26"/>
        <v>115.26740763807881</v>
      </c>
      <c r="AR23" s="144"/>
      <c r="AS23" s="5">
        <f t="shared" si="101"/>
        <v>8.6754792225382555</v>
      </c>
      <c r="AT23" s="5">
        <f t="shared" si="27"/>
        <v>1.6712067251749205</v>
      </c>
      <c r="AU23" s="5">
        <f t="shared" si="102"/>
        <v>7.0042724973633348</v>
      </c>
      <c r="AV23" s="5">
        <f t="shared" si="28"/>
        <v>2.3423793900853283</v>
      </c>
      <c r="AW23" s="150">
        <f t="shared" si="103"/>
        <v>0.1926356668382363</v>
      </c>
      <c r="AX23" s="150">
        <f t="shared" si="29"/>
        <v>15.368987685077178</v>
      </c>
      <c r="AY23" s="150">
        <f t="shared" si="30"/>
        <v>0.2691214443872546</v>
      </c>
      <c r="AZ23" s="150">
        <f t="shared" si="104"/>
        <v>57.108000888111469</v>
      </c>
      <c r="BA23" s="144">
        <f t="shared" si="31"/>
        <v>8.8475650156319322E-2</v>
      </c>
      <c r="BB23" s="5">
        <f t="shared" si="32"/>
        <v>14.924623810752953</v>
      </c>
      <c r="BC23" s="5"/>
      <c r="BD23" s="150">
        <f t="shared" si="105"/>
        <v>3.3786753208539198</v>
      </c>
      <c r="BE23" s="150">
        <f t="shared" si="33"/>
        <v>0.34584610860725296</v>
      </c>
      <c r="BF23" s="150"/>
      <c r="BG23" s="456">
        <f t="shared" si="34"/>
        <v>3.8812519540740949E-2</v>
      </c>
      <c r="BH23" s="456">
        <f t="shared" si="35"/>
        <v>0.75598962218101196</v>
      </c>
      <c r="BI23" s="456">
        <f t="shared" si="36"/>
        <v>6.3178865789586217E-2</v>
      </c>
      <c r="BJ23" s="456">
        <f t="shared" si="37"/>
        <v>3.3306362486486336E-2</v>
      </c>
      <c r="BK23">
        <f t="shared" si="38"/>
        <v>5.3853301715609102E-3</v>
      </c>
      <c r="BL23" s="144">
        <f t="shared" si="106"/>
        <v>68.564195961147135</v>
      </c>
      <c r="BM23" s="456">
        <f t="shared" si="39"/>
        <v>0.84639319954112979</v>
      </c>
      <c r="BN23" s="144">
        <f t="shared" si="107"/>
        <v>846.39319954112977</v>
      </c>
      <c r="BO23" s="456">
        <f t="shared" si="108"/>
        <v>0.19968749999999996</v>
      </c>
      <c r="BP23" s="456"/>
      <c r="BR23" s="144">
        <f t="shared" si="109"/>
        <v>199.68749999999997</v>
      </c>
      <c r="BS23" s="456">
        <f t="shared" si="40"/>
        <v>1.7123170385621007E-2</v>
      </c>
      <c r="BT23" s="456">
        <f t="shared" si="41"/>
        <v>2.3921906167755962E-2</v>
      </c>
      <c r="BU23" s="456">
        <f t="shared" si="42"/>
        <v>0.22949999999999998</v>
      </c>
      <c r="BV23" s="456">
        <f t="shared" si="43"/>
        <v>0.28131963781178365</v>
      </c>
      <c r="BW23" s="456">
        <f t="shared" si="44"/>
        <v>2.0491983580102905E-2</v>
      </c>
      <c r="BX23" s="144">
        <f t="shared" si="110"/>
        <v>301.81162139188655</v>
      </c>
      <c r="BY23" s="150">
        <f t="shared" si="45"/>
        <v>1.4164565168941636</v>
      </c>
      <c r="BZ23" s="5">
        <f t="shared" si="111"/>
        <v>15.299999999999999</v>
      </c>
      <c r="CA23" s="150">
        <f t="shared" si="112"/>
        <v>0.91526574334323496</v>
      </c>
      <c r="CB23" s="5">
        <f t="shared" si="113"/>
        <v>91.526574334323499</v>
      </c>
      <c r="CE23" s="59">
        <f t="shared" si="46"/>
        <v>-50</v>
      </c>
      <c r="CF23">
        <f t="shared" si="47"/>
        <v>-50</v>
      </c>
      <c r="CG23" s="150">
        <f t="shared" si="48"/>
        <v>0.27055531129620836</v>
      </c>
      <c r="CI23" s="147">
        <v>18</v>
      </c>
      <c r="CJ23" s="188">
        <f t="shared" si="114"/>
        <v>0.09</v>
      </c>
      <c r="CK23" s="188"/>
      <c r="CL23" s="188">
        <f t="shared" si="49"/>
        <v>15.299999999999999</v>
      </c>
      <c r="CM23" s="465">
        <f t="shared" si="50"/>
        <v>12</v>
      </c>
      <c r="CN23" s="149">
        <f t="shared" si="51"/>
        <v>8.5350000000000001</v>
      </c>
      <c r="CO23" s="379">
        <f t="shared" si="52"/>
        <v>20.535</v>
      </c>
      <c r="CP23" s="379"/>
      <c r="CQ23" s="188">
        <f t="shared" si="53"/>
        <v>0.4156318480642805</v>
      </c>
      <c r="CR23" s="149">
        <f t="shared" si="54"/>
        <v>166.85124908692478</v>
      </c>
      <c r="CS23" s="149">
        <f t="shared" si="115"/>
        <v>15.299999999999999</v>
      </c>
      <c r="CT23" s="188">
        <f t="shared" si="55"/>
        <v>0.98147793580543985</v>
      </c>
      <c r="CU23" s="188">
        <f t="shared" si="56"/>
        <v>170</v>
      </c>
      <c r="CV23" s="188">
        <f t="shared" si="57"/>
        <v>0.97795728956301287</v>
      </c>
      <c r="CW23" s="149">
        <f t="shared" si="58"/>
        <v>4204.4843951301264</v>
      </c>
      <c r="CX23" s="149">
        <f t="shared" si="59"/>
        <v>170</v>
      </c>
      <c r="CY23" s="188">
        <f t="shared" si="60"/>
        <v>6.1352372583479786</v>
      </c>
      <c r="CZ23" s="188">
        <f t="shared" si="61"/>
        <v>0.76690465729349744</v>
      </c>
      <c r="DA23" s="188">
        <f t="shared" si="62"/>
        <v>1.0782490787957784</v>
      </c>
      <c r="DB23" s="172">
        <f t="shared" si="63"/>
        <v>249.37910883856827</v>
      </c>
      <c r="DC23" s="379">
        <f t="shared" si="116"/>
        <v>350</v>
      </c>
      <c r="DE23" s="188">
        <f t="shared" si="64"/>
        <v>13.333333333333334</v>
      </c>
      <c r="DF23" s="150">
        <f t="shared" si="65"/>
        <v>2.3432923257176337</v>
      </c>
      <c r="DG23" s="150">
        <f t="shared" si="66"/>
        <v>0.19478938397857323</v>
      </c>
      <c r="DH23" s="150"/>
      <c r="DI23" s="150">
        <f t="shared" si="67"/>
        <v>2.3432923257176337</v>
      </c>
      <c r="DJ23" s="314">
        <f t="shared" si="117"/>
        <v>115.22249999999997</v>
      </c>
      <c r="DK23" s="456">
        <f t="shared" si="68"/>
        <v>0.19478938397857321</v>
      </c>
      <c r="DM23" s="150">
        <f t="shared" si="69"/>
        <v>7.6502100811490319</v>
      </c>
      <c r="DN23" s="150">
        <f t="shared" si="70"/>
        <v>13.333333333333334</v>
      </c>
      <c r="DO23" s="150">
        <f t="shared" si="71"/>
        <v>1.0658414285714286</v>
      </c>
      <c r="DQ23" s="314">
        <f t="shared" si="72"/>
        <v>90</v>
      </c>
      <c r="DR23" s="144">
        <f t="shared" si="73"/>
        <v>115.22249999999997</v>
      </c>
      <c r="DT23">
        <f t="shared" si="74"/>
        <v>90</v>
      </c>
      <c r="DU23" s="144">
        <f t="shared" si="75"/>
        <v>115.22249999999997</v>
      </c>
      <c r="DV23" s="144"/>
      <c r="DW23" s="5">
        <f t="shared" si="118"/>
        <v>8.6788604656208665</v>
      </c>
      <c r="DX23" s="5">
        <f t="shared" si="76"/>
        <v>1.666666666666667</v>
      </c>
      <c r="DY23" s="5">
        <f t="shared" si="119"/>
        <v>7.0121937989541996</v>
      </c>
      <c r="DZ23" s="5">
        <f t="shared" si="77"/>
        <v>2.3432923257176337</v>
      </c>
      <c r="EA23" s="150">
        <f t="shared" si="120"/>
        <v>0.19203749999999997</v>
      </c>
      <c r="EB23" s="150">
        <f t="shared" si="78"/>
        <v>15.363</v>
      </c>
      <c r="EC23" s="150">
        <f t="shared" si="79"/>
        <v>0.2693208333333334</v>
      </c>
      <c r="ED23" s="150">
        <f t="shared" si="121"/>
        <v>57.043489023314805</v>
      </c>
      <c r="EE23" s="144">
        <f t="shared" si="80"/>
        <v>8.8235294117647078E-2</v>
      </c>
      <c r="EF23" s="5">
        <f t="shared" si="81"/>
        <v>14.900911822777671</v>
      </c>
      <c r="EG23" s="5"/>
      <c r="EH23" s="150">
        <f t="shared" si="122"/>
        <v>3.3734255586865998</v>
      </c>
      <c r="EI23" s="150">
        <f t="shared" si="82"/>
        <v>0.34597420156443481</v>
      </c>
      <c r="EJ23" s="150"/>
      <c r="EK23" s="456">
        <f t="shared" si="83"/>
        <v>3.869199999999999E-2</v>
      </c>
      <c r="EL23" s="456">
        <f t="shared" si="84"/>
        <v>0.95905678319999976</v>
      </c>
      <c r="EM23" s="456">
        <f t="shared" si="85"/>
        <v>2.638595249999999E-2</v>
      </c>
      <c r="EN23" s="456">
        <f t="shared" si="86"/>
        <v>3.3282602626142799E-2</v>
      </c>
      <c r="EO23">
        <f t="shared" si="87"/>
        <v>5.4000000000000003E-3</v>
      </c>
      <c r="EP23" s="144">
        <f t="shared" si="123"/>
        <v>31.785952499999993</v>
      </c>
      <c r="EQ23" s="456">
        <f t="shared" si="88"/>
        <v>1.0832224800274022</v>
      </c>
      <c r="ER23" s="144">
        <f t="shared" si="124"/>
        <v>1083.2224800274021</v>
      </c>
      <c r="ES23" s="456">
        <f t="shared" si="125"/>
        <v>0.19968749999999996</v>
      </c>
      <c r="ET23" s="456"/>
      <c r="EV23" s="144">
        <f t="shared" si="126"/>
        <v>199.68749999999997</v>
      </c>
      <c r="EW23" s="456">
        <f t="shared" si="89"/>
        <v>1.7069999999999995E-2</v>
      </c>
      <c r="EX23" s="456">
        <f t="shared" si="90"/>
        <v>2.3939629629629634E-2</v>
      </c>
      <c r="EY23" s="456">
        <f t="shared" si="91"/>
        <v>4.625514862190335</v>
      </c>
      <c r="EZ23" s="456">
        <f t="shared" si="92"/>
        <v>4.691759388116516</v>
      </c>
      <c r="FA23" s="456">
        <f t="shared" si="93"/>
        <v>2.0483999999999999E-2</v>
      </c>
      <c r="FB23" s="144">
        <f t="shared" si="127"/>
        <v>4712.2433881165161</v>
      </c>
      <c r="FC23" s="150">
        <f t="shared" si="128"/>
        <v>5.9951533681439182</v>
      </c>
      <c r="FD23" s="5">
        <f t="shared" si="129"/>
        <v>15.299999999999999</v>
      </c>
      <c r="FE23" s="150">
        <f t="shared" si="130"/>
        <v>0.71847334158615384</v>
      </c>
      <c r="FF23" s="5">
        <f t="shared" si="131"/>
        <v>71.847334158615382</v>
      </c>
      <c r="FI23" s="59">
        <f t="shared" si="94"/>
        <v>-50</v>
      </c>
      <c r="FJ23">
        <f t="shared" si="95"/>
        <v>-50</v>
      </c>
      <c r="FL23">
        <f t="shared" si="96"/>
        <v>0.26999999999999996</v>
      </c>
    </row>
    <row r="24" spans="5:168">
      <c r="E24" s="147">
        <v>19</v>
      </c>
      <c r="F24" s="188">
        <f t="shared" si="97"/>
        <v>9.5000000000000001E-2</v>
      </c>
      <c r="G24" s="188"/>
      <c r="H24" s="188">
        <f t="shared" si="0"/>
        <v>16.149999999999999</v>
      </c>
      <c r="I24" s="465">
        <f t="shared" si="1"/>
        <v>11.967400381246467</v>
      </c>
      <c r="J24" s="149">
        <f t="shared" si="2"/>
        <v>8.5383264917095438</v>
      </c>
      <c r="K24" s="149">
        <f t="shared" si="3"/>
        <v>20.538326491709544</v>
      </c>
      <c r="L24" s="379"/>
      <c r="M24" s="188">
        <f t="shared" si="4"/>
        <v>0.41638760417836135</v>
      </c>
      <c r="N24" s="149">
        <f t="shared" si="5"/>
        <v>166.700541693773</v>
      </c>
      <c r="O24" s="149">
        <f t="shared" si="98"/>
        <v>16.149999999999999</v>
      </c>
      <c r="P24" s="188">
        <f t="shared" si="6"/>
        <v>0.98059142172807645</v>
      </c>
      <c r="Q24" s="188">
        <f t="shared" si="7"/>
        <v>170</v>
      </c>
      <c r="R24" s="188">
        <f t="shared" si="8"/>
        <v>0.97707395548831877</v>
      </c>
      <c r="S24" s="149">
        <f t="shared" si="9"/>
        <v>3959.7821492845551</v>
      </c>
      <c r="T24" s="149">
        <f t="shared" si="10"/>
        <v>170</v>
      </c>
      <c r="U24" s="188">
        <f t="shared" si="99"/>
        <v>6.5111708168058522</v>
      </c>
      <c r="V24" s="188">
        <f t="shared" si="11"/>
        <v>0.81611343433564643</v>
      </c>
      <c r="W24" s="188">
        <f t="shared" si="12"/>
        <v>1.1438724244958309</v>
      </c>
      <c r="X24" s="172">
        <f t="shared" si="13"/>
        <v>249.15374213545641</v>
      </c>
      <c r="Y24" s="379">
        <f t="shared" si="14"/>
        <v>350</v>
      </c>
      <c r="AA24" s="188">
        <f t="shared" si="15"/>
        <v>13.333333333333332</v>
      </c>
      <c r="AB24" s="150">
        <f t="shared" si="16"/>
        <v>2.3423793900853278</v>
      </c>
      <c r="AC24" s="150">
        <f t="shared" si="17"/>
        <v>0.1945375301802425</v>
      </c>
      <c r="AD24" s="150"/>
      <c r="AE24" s="150">
        <f t="shared" si="18"/>
        <v>2.3423793900853283</v>
      </c>
      <c r="AF24" s="314">
        <f t="shared" si="100"/>
        <v>121.67115250686096</v>
      </c>
      <c r="AG24" s="456">
        <f t="shared" si="19"/>
        <v>0.19453753018024256</v>
      </c>
      <c r="AI24" s="150">
        <f t="shared" si="20"/>
        <v>7.8613752181755876</v>
      </c>
      <c r="AJ24" s="150">
        <f t="shared" si="21"/>
        <v>13.333333333333334</v>
      </c>
      <c r="AK24" s="150">
        <f t="shared" si="22"/>
        <v>1.0695263728610633</v>
      </c>
      <c r="AM24" s="314">
        <f t="shared" si="23"/>
        <v>95</v>
      </c>
      <c r="AN24" s="144">
        <f t="shared" si="24"/>
        <v>121.67115250686096</v>
      </c>
      <c r="AP24">
        <f t="shared" si="25"/>
        <v>95</v>
      </c>
      <c r="AQ24" s="144">
        <f t="shared" si="26"/>
        <v>121.67115250686096</v>
      </c>
      <c r="AR24" s="144"/>
      <c r="AS24" s="5">
        <f t="shared" si="101"/>
        <v>8.2188750529309775</v>
      </c>
      <c r="AT24" s="5">
        <f t="shared" si="27"/>
        <v>1.6712067251749205</v>
      </c>
      <c r="AU24" s="5">
        <f t="shared" si="102"/>
        <v>6.5476683277560568</v>
      </c>
      <c r="AV24" s="5">
        <f t="shared" si="28"/>
        <v>2.3423793900853283</v>
      </c>
      <c r="AW24" s="150">
        <f t="shared" si="103"/>
        <v>0.20333764832924944</v>
      </c>
      <c r="AX24" s="150">
        <f t="shared" si="29"/>
        <v>16.22282033424813</v>
      </c>
      <c r="AY24" s="150">
        <f t="shared" si="30"/>
        <v>0.26555411722358352</v>
      </c>
      <c r="AZ24" s="150">
        <f t="shared" si="104"/>
        <v>61.090449298473175</v>
      </c>
      <c r="BA24" s="144">
        <f t="shared" si="31"/>
        <v>9.3390964053892619E-2</v>
      </c>
      <c r="BB24" s="5">
        <f t="shared" si="32"/>
        <v>14.726791133208835</v>
      </c>
      <c r="BC24" s="5"/>
      <c r="BD24" s="150">
        <f t="shared" si="105"/>
        <v>3.4712589098929336</v>
      </c>
      <c r="BE24" s="150">
        <f t="shared" si="33"/>
        <v>0.3435462881466928</v>
      </c>
      <c r="BF24" s="150"/>
      <c r="BG24" s="456">
        <f t="shared" si="34"/>
        <v>4.0968770626337664E-2</v>
      </c>
      <c r="BH24" s="456">
        <f t="shared" si="35"/>
        <v>0.79798904563551265</v>
      </c>
      <c r="BI24" s="456">
        <f t="shared" si="36"/>
        <v>6.6688802777896558E-2</v>
      </c>
      <c r="BJ24" s="456">
        <f t="shared" si="37"/>
        <v>3.5156715957957801E-2</v>
      </c>
      <c r="BK24">
        <f t="shared" si="38"/>
        <v>5.3853301715609102E-3</v>
      </c>
      <c r="BL24" s="144">
        <f t="shared" si="106"/>
        <v>72.074132949457464</v>
      </c>
      <c r="BM24" s="456">
        <f t="shared" si="39"/>
        <v>0.89387726237008014</v>
      </c>
      <c r="BN24" s="144">
        <f t="shared" si="107"/>
        <v>893.87726237008019</v>
      </c>
      <c r="BO24" s="456">
        <f t="shared" si="108"/>
        <v>0.21078124999999998</v>
      </c>
      <c r="BP24" s="456"/>
      <c r="BR24" s="144">
        <f t="shared" si="109"/>
        <v>210.78124999999997</v>
      </c>
      <c r="BS24" s="456">
        <f t="shared" si="40"/>
        <v>1.8074457629266617E-2</v>
      </c>
      <c r="BT24" s="456">
        <f t="shared" si="41"/>
        <v>2.3604810419874098E-2</v>
      </c>
      <c r="BU24" s="456">
        <f t="shared" si="42"/>
        <v>0.24224999999999997</v>
      </c>
      <c r="BV24" s="456">
        <f t="shared" si="43"/>
        <v>0.29491564182794494</v>
      </c>
      <c r="BW24" s="456">
        <f t="shared" si="44"/>
        <v>2.1630427112330843E-2</v>
      </c>
      <c r="BX24" s="144">
        <f t="shared" si="110"/>
        <v>316.54606894027575</v>
      </c>
      <c r="BY24" s="150">
        <f t="shared" si="45"/>
        <v>1.4932787142598132</v>
      </c>
      <c r="BZ24" s="5">
        <f t="shared" si="111"/>
        <v>16.149999999999999</v>
      </c>
      <c r="CA24" s="150">
        <f t="shared" si="112"/>
        <v>0.91536274303409937</v>
      </c>
      <c r="CB24" s="5">
        <f t="shared" si="113"/>
        <v>91.53627430340994</v>
      </c>
      <c r="CE24" s="59">
        <f t="shared" si="46"/>
        <v>-50</v>
      </c>
      <c r="CF24">
        <f t="shared" si="47"/>
        <v>-50</v>
      </c>
      <c r="CG24" s="150">
        <f t="shared" si="48"/>
        <v>0.28558616192377545</v>
      </c>
      <c r="CI24" s="147">
        <v>19</v>
      </c>
      <c r="CJ24" s="188">
        <f t="shared" si="114"/>
        <v>9.5000000000000001E-2</v>
      </c>
      <c r="CK24" s="188"/>
      <c r="CL24" s="188">
        <f t="shared" si="49"/>
        <v>16.149999999999999</v>
      </c>
      <c r="CM24" s="465">
        <f t="shared" si="50"/>
        <v>12</v>
      </c>
      <c r="CN24" s="149">
        <f t="shared" si="51"/>
        <v>8.5350000000000001</v>
      </c>
      <c r="CO24" s="379">
        <f t="shared" si="52"/>
        <v>20.535</v>
      </c>
      <c r="CP24" s="379"/>
      <c r="CQ24" s="188">
        <f t="shared" si="53"/>
        <v>0.4156318480642805</v>
      </c>
      <c r="CR24" s="149">
        <f t="shared" si="54"/>
        <v>166.85124908692478</v>
      </c>
      <c r="CS24" s="149">
        <f t="shared" si="115"/>
        <v>16.149999999999999</v>
      </c>
      <c r="CT24" s="188">
        <f t="shared" si="55"/>
        <v>0.98147793580543985</v>
      </c>
      <c r="CU24" s="188">
        <f t="shared" si="56"/>
        <v>170</v>
      </c>
      <c r="CV24" s="188">
        <f t="shared" si="57"/>
        <v>0.97795728956301287</v>
      </c>
      <c r="CW24" s="149">
        <f t="shared" si="58"/>
        <v>3970.5686196515617</v>
      </c>
      <c r="CX24" s="149">
        <f t="shared" si="59"/>
        <v>170</v>
      </c>
      <c r="CY24" s="188">
        <f t="shared" si="60"/>
        <v>6.4760837727006439</v>
      </c>
      <c r="CZ24" s="188">
        <f t="shared" si="61"/>
        <v>0.80951047158758049</v>
      </c>
      <c r="DA24" s="188">
        <f t="shared" si="62"/>
        <v>1.1381518053955437</v>
      </c>
      <c r="DB24" s="172">
        <f t="shared" si="63"/>
        <v>249.37910883856827</v>
      </c>
      <c r="DC24" s="379">
        <f t="shared" si="116"/>
        <v>350</v>
      </c>
      <c r="DE24" s="188">
        <f t="shared" si="64"/>
        <v>13.333333333333334</v>
      </c>
      <c r="DF24" s="150">
        <f t="shared" si="65"/>
        <v>2.3432923257176337</v>
      </c>
      <c r="DG24" s="150">
        <f t="shared" si="66"/>
        <v>0.19478938397857323</v>
      </c>
      <c r="DH24" s="150"/>
      <c r="DI24" s="150">
        <f t="shared" si="67"/>
        <v>2.3432923257176337</v>
      </c>
      <c r="DJ24" s="314">
        <f t="shared" si="117"/>
        <v>121.62374999999997</v>
      </c>
      <c r="DK24" s="456">
        <f t="shared" si="68"/>
        <v>0.19478938397857321</v>
      </c>
      <c r="DM24" s="150">
        <f t="shared" si="69"/>
        <v>7.8598436916482539</v>
      </c>
      <c r="DN24" s="150">
        <f t="shared" si="70"/>
        <v>13.333333333333334</v>
      </c>
      <c r="DO24" s="150">
        <f t="shared" si="71"/>
        <v>1.0694992857142858</v>
      </c>
      <c r="DQ24" s="314">
        <f t="shared" si="72"/>
        <v>95</v>
      </c>
      <c r="DR24" s="144">
        <f t="shared" si="73"/>
        <v>121.62374999999997</v>
      </c>
      <c r="DT24">
        <f t="shared" si="74"/>
        <v>95</v>
      </c>
      <c r="DU24" s="144">
        <f t="shared" si="75"/>
        <v>121.62374999999997</v>
      </c>
      <c r="DV24" s="144"/>
      <c r="DW24" s="5">
        <f t="shared" si="118"/>
        <v>8.2220783358513483</v>
      </c>
      <c r="DX24" s="5">
        <f t="shared" si="76"/>
        <v>1.666666666666667</v>
      </c>
      <c r="DY24" s="5">
        <f t="shared" si="119"/>
        <v>6.5554116691846813</v>
      </c>
      <c r="DZ24" s="5">
        <f t="shared" si="77"/>
        <v>2.3432923257176337</v>
      </c>
      <c r="EA24" s="150">
        <f t="shared" si="120"/>
        <v>0.20270624999999995</v>
      </c>
      <c r="EB24" s="150">
        <f t="shared" si="78"/>
        <v>16.216500000000003</v>
      </c>
      <c r="EC24" s="150">
        <f t="shared" si="79"/>
        <v>0.26576458333333336</v>
      </c>
      <c r="ED24" s="150">
        <f t="shared" si="121"/>
        <v>61.018288428825642</v>
      </c>
      <c r="EE24" s="144">
        <f t="shared" si="80"/>
        <v>9.31372549019608E-2</v>
      </c>
      <c r="EF24" s="5">
        <f t="shared" si="81"/>
        <v>14.704152563518415</v>
      </c>
      <c r="EG24" s="5"/>
      <c r="EH24" s="150">
        <f t="shared" si="122"/>
        <v>3.4658652919901862</v>
      </c>
      <c r="EI24" s="150">
        <f t="shared" si="82"/>
        <v>0.34368240076063344</v>
      </c>
      <c r="EJ24" s="150"/>
      <c r="EK24" s="456">
        <f t="shared" si="83"/>
        <v>4.0841555555555541E-2</v>
      </c>
      <c r="EL24" s="456">
        <f t="shared" si="84"/>
        <v>1.0123377155999997</v>
      </c>
      <c r="EM24" s="456">
        <f t="shared" si="85"/>
        <v>2.7851838749999993E-2</v>
      </c>
      <c r="EN24" s="456">
        <f t="shared" si="86"/>
        <v>3.5131636105372961E-2</v>
      </c>
      <c r="EO24">
        <f t="shared" si="87"/>
        <v>5.4000000000000003E-3</v>
      </c>
      <c r="EP24" s="144">
        <f t="shared" si="123"/>
        <v>33.25183874999999</v>
      </c>
      <c r="EQ24" s="456">
        <f t="shared" si="88"/>
        <v>1.143688263856254</v>
      </c>
      <c r="ER24" s="144">
        <f t="shared" si="124"/>
        <v>1143.688263856254</v>
      </c>
      <c r="ES24" s="456">
        <f t="shared" si="125"/>
        <v>0.21078124999999998</v>
      </c>
      <c r="ET24" s="456"/>
      <c r="EV24" s="144">
        <f t="shared" si="126"/>
        <v>210.78124999999997</v>
      </c>
      <c r="EW24" s="456">
        <f t="shared" si="89"/>
        <v>1.8018333333333327E-2</v>
      </c>
      <c r="EX24" s="456">
        <f t="shared" si="90"/>
        <v>2.362351851851853E-2</v>
      </c>
      <c r="EY24" s="456">
        <f t="shared" si="91"/>
        <v>5.2949616666981534</v>
      </c>
      <c r="EZ24" s="456">
        <f t="shared" si="92"/>
        <v>5.3644684751148226</v>
      </c>
      <c r="FA24" s="456">
        <f t="shared" si="93"/>
        <v>2.1622000000000002E-2</v>
      </c>
      <c r="FB24" s="144">
        <f t="shared" si="127"/>
        <v>5386.0904751148228</v>
      </c>
      <c r="FC24" s="150">
        <f t="shared" si="128"/>
        <v>6.7405599889710759</v>
      </c>
      <c r="FD24" s="5">
        <f t="shared" si="129"/>
        <v>16.149999999999999</v>
      </c>
      <c r="FE24" s="150">
        <f t="shared" si="130"/>
        <v>0.70553101399796458</v>
      </c>
      <c r="FF24" s="5">
        <f t="shared" si="131"/>
        <v>70.553101399796461</v>
      </c>
      <c r="FI24" s="59">
        <f t="shared" si="94"/>
        <v>-50</v>
      </c>
      <c r="FJ24">
        <f t="shared" si="95"/>
        <v>-50</v>
      </c>
      <c r="FL24">
        <f t="shared" si="96"/>
        <v>0.28499999999999998</v>
      </c>
    </row>
    <row r="25" spans="5:168">
      <c r="E25" s="147">
        <v>20</v>
      </c>
      <c r="F25" s="188">
        <f t="shared" si="97"/>
        <v>0.1</v>
      </c>
      <c r="G25" s="188"/>
      <c r="H25" s="188">
        <f t="shared" si="0"/>
        <v>17</v>
      </c>
      <c r="I25" s="465">
        <f t="shared" si="1"/>
        <v>11.967400381246467</v>
      </c>
      <c r="J25" s="149">
        <f t="shared" si="2"/>
        <v>8.5383264917095438</v>
      </c>
      <c r="K25" s="149">
        <f t="shared" si="3"/>
        <v>20.538326491709544</v>
      </c>
      <c r="L25" s="379"/>
      <c r="M25" s="188">
        <f t="shared" si="4"/>
        <v>0.41638760417836135</v>
      </c>
      <c r="N25" s="149">
        <f t="shared" si="5"/>
        <v>166.700541693773</v>
      </c>
      <c r="O25" s="149">
        <f t="shared" si="98"/>
        <v>17</v>
      </c>
      <c r="P25" s="188">
        <f t="shared" si="6"/>
        <v>0.98059142172807645</v>
      </c>
      <c r="Q25" s="188">
        <f t="shared" si="7"/>
        <v>170</v>
      </c>
      <c r="R25" s="188">
        <f t="shared" si="8"/>
        <v>0.97707395548831877</v>
      </c>
      <c r="S25" s="149">
        <f t="shared" si="9"/>
        <v>3749.8301247701902</v>
      </c>
      <c r="T25" s="149">
        <f t="shared" si="10"/>
        <v>170</v>
      </c>
      <c r="U25" s="188">
        <f t="shared" si="99"/>
        <v>6.8538640176903716</v>
      </c>
      <c r="V25" s="188">
        <f t="shared" si="11"/>
        <v>0.85906677298489109</v>
      </c>
      <c r="W25" s="188">
        <f t="shared" si="12"/>
        <v>1.204076236311401</v>
      </c>
      <c r="X25" s="172">
        <f t="shared" si="13"/>
        <v>249.15374213545641</v>
      </c>
      <c r="Y25" s="379">
        <f t="shared" si="14"/>
        <v>350</v>
      </c>
      <c r="AA25" s="188">
        <f t="shared" si="15"/>
        <v>13.333333333333332</v>
      </c>
      <c r="AB25" s="150">
        <f t="shared" si="16"/>
        <v>2.3423793900853278</v>
      </c>
      <c r="AC25" s="150">
        <f t="shared" si="17"/>
        <v>0.1945375301802425</v>
      </c>
      <c r="AD25" s="150"/>
      <c r="AE25" s="150">
        <f t="shared" si="18"/>
        <v>2.3423793900853283</v>
      </c>
      <c r="AF25" s="314">
        <f t="shared" si="100"/>
        <v>128.07489737564313</v>
      </c>
      <c r="AG25" s="456">
        <f t="shared" si="19"/>
        <v>0.19453753018024256</v>
      </c>
      <c r="AI25" s="150">
        <f t="shared" si="20"/>
        <v>8.0656007914668582</v>
      </c>
      <c r="AJ25" s="150">
        <f t="shared" si="21"/>
        <v>13.333333333333334</v>
      </c>
      <c r="AK25" s="150">
        <f t="shared" si="22"/>
        <v>1.0731856556432247</v>
      </c>
      <c r="AM25" s="314">
        <f t="shared" si="23"/>
        <v>100</v>
      </c>
      <c r="AN25" s="144">
        <f t="shared" si="24"/>
        <v>128.07489737564313</v>
      </c>
      <c r="AP25">
        <f t="shared" si="25"/>
        <v>100</v>
      </c>
      <c r="AQ25" s="144">
        <f t="shared" si="26"/>
        <v>128.07489737564313</v>
      </c>
      <c r="AR25" s="144"/>
      <c r="AS25" s="5">
        <f t="shared" si="101"/>
        <v>7.8079313002844284</v>
      </c>
      <c r="AT25" s="5">
        <f t="shared" si="27"/>
        <v>1.6712067251749205</v>
      </c>
      <c r="AU25" s="5">
        <f t="shared" si="102"/>
        <v>6.1367245751095076</v>
      </c>
      <c r="AV25" s="5">
        <f t="shared" si="28"/>
        <v>2.3423793900853283</v>
      </c>
      <c r="AW25" s="150">
        <f t="shared" si="103"/>
        <v>0.21403962982026259</v>
      </c>
      <c r="AX25" s="150">
        <f t="shared" si="29"/>
        <v>17.076652983419088</v>
      </c>
      <c r="AY25" s="150">
        <f t="shared" si="30"/>
        <v>0.26198679005991249</v>
      </c>
      <c r="AZ25" s="150">
        <f t="shared" si="104"/>
        <v>65.18135124108322</v>
      </c>
      <c r="BA25" s="144">
        <f t="shared" si="31"/>
        <v>9.8306277951465931E-2</v>
      </c>
      <c r="BB25" s="5">
        <f t="shared" si="32"/>
        <v>14.528958455664718</v>
      </c>
      <c r="BC25" s="5"/>
      <c r="BD25" s="150">
        <f t="shared" si="105"/>
        <v>3.5614364960328611</v>
      </c>
      <c r="BE25" s="150">
        <f t="shared" si="33"/>
        <v>0.3412309677622492</v>
      </c>
      <c r="BF25" s="150"/>
      <c r="BG25" s="456">
        <f t="shared" si="34"/>
        <v>4.3125021711934393E-2</v>
      </c>
      <c r="BH25" s="456">
        <f t="shared" si="35"/>
        <v>0.83998846909001346</v>
      </c>
      <c r="BI25" s="456">
        <f t="shared" si="36"/>
        <v>7.0198739766206913E-2</v>
      </c>
      <c r="BJ25" s="456">
        <f t="shared" si="37"/>
        <v>3.7007069429429267E-2</v>
      </c>
      <c r="BK25">
        <f t="shared" si="38"/>
        <v>5.3853301715609102E-3</v>
      </c>
      <c r="BL25" s="144">
        <f t="shared" si="106"/>
        <v>75.584069937767822</v>
      </c>
      <c r="BM25" s="456">
        <f t="shared" si="39"/>
        <v>0.94141048346897072</v>
      </c>
      <c r="BN25" s="144">
        <f t="shared" si="107"/>
        <v>941.41048346897071</v>
      </c>
      <c r="BO25" s="456">
        <f t="shared" si="108"/>
        <v>0.22187499999999999</v>
      </c>
      <c r="BP25" s="456"/>
      <c r="BR25" s="144">
        <f t="shared" si="109"/>
        <v>221.875</v>
      </c>
      <c r="BS25" s="456">
        <f t="shared" si="40"/>
        <v>1.9025744872912233E-2</v>
      </c>
      <c r="BT25" s="456">
        <f t="shared" si="41"/>
        <v>2.3287714671992234E-2</v>
      </c>
      <c r="BU25" s="456">
        <f t="shared" si="42"/>
        <v>0.255</v>
      </c>
      <c r="BV25" s="456">
        <f t="shared" si="43"/>
        <v>0.30851303012522391</v>
      </c>
      <c r="BW25" s="456">
        <f t="shared" si="44"/>
        <v>2.2768870644558785E-2</v>
      </c>
      <c r="BX25" s="144">
        <f t="shared" si="110"/>
        <v>331.28190076978268</v>
      </c>
      <c r="BY25" s="150">
        <f t="shared" si="45"/>
        <v>1.5701514541765214</v>
      </c>
      <c r="BZ25" s="5">
        <f t="shared" si="111"/>
        <v>17</v>
      </c>
      <c r="CA25" s="150">
        <f t="shared" si="112"/>
        <v>0.91544756874756739</v>
      </c>
      <c r="CB25" s="5">
        <f t="shared" si="113"/>
        <v>91.544756874756743</v>
      </c>
      <c r="CE25" s="59">
        <f t="shared" si="46"/>
        <v>-50</v>
      </c>
      <c r="CF25">
        <f t="shared" si="47"/>
        <v>-50</v>
      </c>
      <c r="CG25" s="150">
        <f t="shared" si="48"/>
        <v>0.3006170125513426</v>
      </c>
      <c r="CI25" s="147">
        <v>20</v>
      </c>
      <c r="CJ25" s="188">
        <f t="shared" si="114"/>
        <v>0.1</v>
      </c>
      <c r="CK25" s="188"/>
      <c r="CL25" s="188">
        <f t="shared" si="49"/>
        <v>17</v>
      </c>
      <c r="CM25" s="465">
        <f t="shared" si="50"/>
        <v>12</v>
      </c>
      <c r="CN25" s="149">
        <f t="shared" si="51"/>
        <v>8.5350000000000001</v>
      </c>
      <c r="CO25" s="379">
        <f t="shared" si="52"/>
        <v>20.535</v>
      </c>
      <c r="CP25" s="379"/>
      <c r="CQ25" s="188">
        <f t="shared" si="53"/>
        <v>0.4156318480642805</v>
      </c>
      <c r="CR25" s="149">
        <f t="shared" si="54"/>
        <v>166.85124908692478</v>
      </c>
      <c r="CS25" s="149">
        <f t="shared" si="115"/>
        <v>17</v>
      </c>
      <c r="CT25" s="188">
        <f t="shared" si="55"/>
        <v>0.98147793580543985</v>
      </c>
      <c r="CU25" s="188">
        <f t="shared" si="56"/>
        <v>170</v>
      </c>
      <c r="CV25" s="188">
        <f t="shared" si="57"/>
        <v>0.97795728956301287</v>
      </c>
      <c r="CW25" s="149">
        <f t="shared" si="58"/>
        <v>3760.0446720037262</v>
      </c>
      <c r="CX25" s="149">
        <f t="shared" si="59"/>
        <v>170</v>
      </c>
      <c r="CY25" s="188">
        <f t="shared" si="60"/>
        <v>6.8169302870533093</v>
      </c>
      <c r="CZ25" s="188">
        <f t="shared" si="61"/>
        <v>0.85211628588166377</v>
      </c>
      <c r="DA25" s="188">
        <f t="shared" si="62"/>
        <v>1.1980545319953091</v>
      </c>
      <c r="DB25" s="172">
        <f t="shared" si="63"/>
        <v>249.37910883856827</v>
      </c>
      <c r="DC25" s="379">
        <f t="shared" si="116"/>
        <v>350</v>
      </c>
      <c r="DE25" s="188">
        <f t="shared" si="64"/>
        <v>13.333333333333334</v>
      </c>
      <c r="DF25" s="150">
        <f t="shared" si="65"/>
        <v>2.3432923257176337</v>
      </c>
      <c r="DG25" s="150">
        <f t="shared" si="66"/>
        <v>0.19478938397857323</v>
      </c>
      <c r="DH25" s="150"/>
      <c r="DI25" s="150">
        <f t="shared" si="67"/>
        <v>2.3432923257176337</v>
      </c>
      <c r="DJ25" s="314">
        <f t="shared" si="117"/>
        <v>128.02499999999998</v>
      </c>
      <c r="DK25" s="456">
        <f t="shared" si="68"/>
        <v>0.19478938397857321</v>
      </c>
      <c r="DM25" s="150">
        <f t="shared" si="69"/>
        <v>8.0640294784041693</v>
      </c>
      <c r="DN25" s="150">
        <f t="shared" si="70"/>
        <v>13.333333333333334</v>
      </c>
      <c r="DO25" s="150">
        <f t="shared" si="71"/>
        <v>1.0731571428571429</v>
      </c>
      <c r="DQ25" s="314">
        <f t="shared" si="72"/>
        <v>100</v>
      </c>
      <c r="DR25" s="144">
        <f t="shared" si="73"/>
        <v>128.02499999999998</v>
      </c>
      <c r="DT25">
        <f t="shared" si="74"/>
        <v>100</v>
      </c>
      <c r="DU25" s="144">
        <f t="shared" si="75"/>
        <v>128.02499999999998</v>
      </c>
      <c r="DV25" s="144"/>
      <c r="DW25" s="5">
        <f t="shared" si="118"/>
        <v>7.8109744190587787</v>
      </c>
      <c r="DX25" s="5">
        <f t="shared" si="76"/>
        <v>1.666666666666667</v>
      </c>
      <c r="DY25" s="5">
        <f t="shared" si="119"/>
        <v>6.1443077523921117</v>
      </c>
      <c r="DZ25" s="5">
        <f t="shared" si="77"/>
        <v>2.3432923257176337</v>
      </c>
      <c r="EA25" s="150">
        <f t="shared" si="120"/>
        <v>0.21337500000000001</v>
      </c>
      <c r="EB25" s="150">
        <f t="shared" si="78"/>
        <v>17.07</v>
      </c>
      <c r="EC25" s="150">
        <f t="shared" si="79"/>
        <v>0.26220833333333338</v>
      </c>
      <c r="ED25" s="150">
        <f t="shared" si="121"/>
        <v>65.100905768313993</v>
      </c>
      <c r="EE25" s="144">
        <f t="shared" si="80"/>
        <v>9.8039215686274536E-2</v>
      </c>
      <c r="EF25" s="5">
        <f t="shared" si="81"/>
        <v>14.50739330425915</v>
      </c>
      <c r="EG25" s="5"/>
      <c r="EH25" s="150">
        <f t="shared" si="122"/>
        <v>3.5559027608252234</v>
      </c>
      <c r="EI25" s="150">
        <f t="shared" si="82"/>
        <v>0.34137521444451274</v>
      </c>
      <c r="EJ25" s="150"/>
      <c r="EK25" s="456">
        <f t="shared" si="83"/>
        <v>4.2991111111111112E-2</v>
      </c>
      <c r="EL25" s="456">
        <f t="shared" si="84"/>
        <v>1.0656186479999998</v>
      </c>
      <c r="EM25" s="456">
        <f t="shared" si="85"/>
        <v>2.9317724999999992E-2</v>
      </c>
      <c r="EN25" s="456">
        <f t="shared" si="86"/>
        <v>3.6980669584603117E-2</v>
      </c>
      <c r="EO25">
        <f t="shared" si="87"/>
        <v>5.4000000000000003E-3</v>
      </c>
      <c r="EP25" s="144">
        <f t="shared" si="123"/>
        <v>34.717724999999994</v>
      </c>
      <c r="EQ25" s="456">
        <f t="shared" si="88"/>
        <v>1.2042164490067864</v>
      </c>
      <c r="ER25" s="144">
        <f t="shared" si="124"/>
        <v>1204.2164490067864</v>
      </c>
      <c r="ES25" s="456">
        <f t="shared" si="125"/>
        <v>0.22187499999999999</v>
      </c>
      <c r="ET25" s="456"/>
      <c r="EV25" s="144">
        <f t="shared" si="126"/>
        <v>221.875</v>
      </c>
      <c r="EW25" s="456">
        <f t="shared" si="89"/>
        <v>1.896666666666667E-2</v>
      </c>
      <c r="EX25" s="456">
        <f t="shared" si="90"/>
        <v>2.3307407407407416E-2</v>
      </c>
      <c r="EY25" s="456">
        <f t="shared" si="91"/>
        <v>6.0194083602803783</v>
      </c>
      <c r="EZ25" s="456">
        <f t="shared" si="92"/>
        <v>6.0924323671064977</v>
      </c>
      <c r="FA25" s="456">
        <f t="shared" si="93"/>
        <v>2.2760000000000002E-2</v>
      </c>
      <c r="FB25" s="144">
        <f t="shared" si="127"/>
        <v>6115.1923671064978</v>
      </c>
      <c r="FC25" s="150">
        <f t="shared" si="128"/>
        <v>7.5412838161132836</v>
      </c>
      <c r="FD25" s="5">
        <f t="shared" si="129"/>
        <v>17</v>
      </c>
      <c r="FE25" s="150">
        <f t="shared" si="130"/>
        <v>0.69271029695839148</v>
      </c>
      <c r="FF25" s="5">
        <f t="shared" si="131"/>
        <v>69.271029695839147</v>
      </c>
      <c r="FI25" s="59">
        <f t="shared" si="94"/>
        <v>-50</v>
      </c>
      <c r="FJ25">
        <f t="shared" si="95"/>
        <v>-50</v>
      </c>
      <c r="FL25">
        <f t="shared" si="96"/>
        <v>0.3</v>
      </c>
    </row>
    <row r="26" spans="5:168">
      <c r="E26" s="147">
        <v>21</v>
      </c>
      <c r="F26" s="188">
        <f t="shared" si="97"/>
        <v>0.105</v>
      </c>
      <c r="G26" s="188"/>
      <c r="H26" s="188">
        <f t="shared" si="0"/>
        <v>17.849999999999998</v>
      </c>
      <c r="I26" s="465">
        <f t="shared" si="1"/>
        <v>11.967400381246467</v>
      </c>
      <c r="J26" s="149">
        <f t="shared" si="2"/>
        <v>8.5383264917095438</v>
      </c>
      <c r="K26" s="149">
        <f t="shared" si="3"/>
        <v>20.538326491709544</v>
      </c>
      <c r="L26" s="379"/>
      <c r="M26" s="188">
        <f t="shared" si="4"/>
        <v>0.41638760417836135</v>
      </c>
      <c r="N26" s="149">
        <f t="shared" si="5"/>
        <v>166.700541693773</v>
      </c>
      <c r="O26" s="149">
        <f t="shared" si="98"/>
        <v>17.849999999999998</v>
      </c>
      <c r="P26" s="188">
        <f t="shared" si="6"/>
        <v>0.98059142172807645</v>
      </c>
      <c r="Q26" s="188">
        <f t="shared" si="7"/>
        <v>170</v>
      </c>
      <c r="R26" s="188">
        <f t="shared" si="8"/>
        <v>0.97707395548831877</v>
      </c>
      <c r="S26" s="149">
        <f t="shared" si="9"/>
        <v>3559.8737718068082</v>
      </c>
      <c r="T26" s="149">
        <f t="shared" si="10"/>
        <v>170</v>
      </c>
      <c r="U26" s="188">
        <f t="shared" si="99"/>
        <v>7.1965572185748901</v>
      </c>
      <c r="V26" s="188">
        <f t="shared" si="11"/>
        <v>0.90202011163413554</v>
      </c>
      <c r="W26" s="188">
        <f t="shared" si="12"/>
        <v>1.2642800481269711</v>
      </c>
      <c r="X26" s="172">
        <f t="shared" si="13"/>
        <v>249.15374213545641</v>
      </c>
      <c r="Y26" s="379">
        <f t="shared" si="14"/>
        <v>350</v>
      </c>
      <c r="AA26" s="188">
        <f t="shared" si="15"/>
        <v>13.333333333333332</v>
      </c>
      <c r="AB26" s="150">
        <f t="shared" si="16"/>
        <v>2.3423793900853278</v>
      </c>
      <c r="AC26" s="150">
        <f t="shared" si="17"/>
        <v>0.1945375301802425</v>
      </c>
      <c r="AD26" s="150"/>
      <c r="AE26" s="150">
        <f t="shared" si="18"/>
        <v>2.3423793900853283</v>
      </c>
      <c r="AF26" s="314">
        <f t="shared" si="100"/>
        <v>134.47864224442529</v>
      </c>
      <c r="AG26" s="456">
        <f t="shared" si="19"/>
        <v>0.19453753018024256</v>
      </c>
      <c r="AI26" s="150">
        <f t="shared" si="20"/>
        <v>8.2647814208045673</v>
      </c>
      <c r="AJ26" s="150">
        <f t="shared" si="21"/>
        <v>13.333333333333334</v>
      </c>
      <c r="AK26" s="150">
        <f t="shared" si="22"/>
        <v>1.076844938425386</v>
      </c>
      <c r="AM26" s="314">
        <f t="shared" si="23"/>
        <v>105</v>
      </c>
      <c r="AN26" s="144">
        <f t="shared" si="24"/>
        <v>134.47864224442529</v>
      </c>
      <c r="AP26">
        <f t="shared" si="25"/>
        <v>105</v>
      </c>
      <c r="AQ26" s="144">
        <f t="shared" si="26"/>
        <v>134.47864224442529</v>
      </c>
      <c r="AR26" s="144"/>
      <c r="AS26" s="5">
        <f t="shared" si="101"/>
        <v>7.4361250478899317</v>
      </c>
      <c r="AT26" s="5">
        <f t="shared" si="27"/>
        <v>1.6712067251749205</v>
      </c>
      <c r="AU26" s="5">
        <f t="shared" si="102"/>
        <v>5.7649183227150109</v>
      </c>
      <c r="AV26" s="5">
        <f t="shared" si="28"/>
        <v>2.3423793900853283</v>
      </c>
      <c r="AW26" s="150">
        <f t="shared" si="103"/>
        <v>0.22474161131127571</v>
      </c>
      <c r="AX26" s="150">
        <f t="shared" si="29"/>
        <v>17.930485632590042</v>
      </c>
      <c r="AY26" s="150">
        <f t="shared" si="30"/>
        <v>0.25841946289624146</v>
      </c>
      <c r="AZ26" s="150">
        <f t="shared" si="104"/>
        <v>69.38519812568974</v>
      </c>
      <c r="BA26" s="144">
        <f t="shared" si="31"/>
        <v>0.10322159184903922</v>
      </c>
      <c r="BB26" s="5">
        <f t="shared" si="32"/>
        <v>14.331125778120599</v>
      </c>
      <c r="BC26" s="5"/>
      <c r="BD26" s="150">
        <f t="shared" si="105"/>
        <v>3.649386443094039</v>
      </c>
      <c r="BE26" s="150">
        <f t="shared" si="33"/>
        <v>0.33889982977356564</v>
      </c>
      <c r="BF26" s="150"/>
      <c r="BG26" s="456">
        <f t="shared" si="34"/>
        <v>4.5281272797531108E-2</v>
      </c>
      <c r="BH26" s="456">
        <f t="shared" si="35"/>
        <v>0.88198789254451404</v>
      </c>
      <c r="BI26" s="456">
        <f t="shared" si="36"/>
        <v>7.3708676754517255E-2</v>
      </c>
      <c r="BJ26" s="456">
        <f t="shared" si="37"/>
        <v>3.8857422900900732E-2</v>
      </c>
      <c r="BK26">
        <f t="shared" si="38"/>
        <v>5.3853301715609102E-3</v>
      </c>
      <c r="BL26" s="144">
        <f t="shared" si="106"/>
        <v>79.094006926078166</v>
      </c>
      <c r="BM26" s="456">
        <f t="shared" si="39"/>
        <v>0.9889929392145963</v>
      </c>
      <c r="BN26" s="144">
        <f t="shared" si="107"/>
        <v>988.99293921459628</v>
      </c>
      <c r="BO26" s="456">
        <f t="shared" si="108"/>
        <v>0.23296875</v>
      </c>
      <c r="BP26" s="456"/>
      <c r="BR26" s="144">
        <f t="shared" si="109"/>
        <v>232.96875</v>
      </c>
      <c r="BS26" s="456">
        <f t="shared" si="40"/>
        <v>1.9977032116557842E-2</v>
      </c>
      <c r="BT26" s="456">
        <f t="shared" si="41"/>
        <v>2.2970618924110356E-2</v>
      </c>
      <c r="BU26" s="456">
        <f t="shared" si="42"/>
        <v>0.26774999999999993</v>
      </c>
      <c r="BV26" s="456">
        <f t="shared" si="43"/>
        <v>0.32211180291504254</v>
      </c>
      <c r="BW26" s="456">
        <f t="shared" si="44"/>
        <v>2.3907314176786723E-2</v>
      </c>
      <c r="BX26" s="144">
        <f t="shared" si="110"/>
        <v>346.01911709182923</v>
      </c>
      <c r="BY26" s="150">
        <f t="shared" si="45"/>
        <v>1.6470748132325037</v>
      </c>
      <c r="BZ26" s="5">
        <f t="shared" si="111"/>
        <v>17.849999999999998</v>
      </c>
      <c r="CA26" s="150">
        <f t="shared" si="112"/>
        <v>0.91552195244618706</v>
      </c>
      <c r="CB26" s="5">
        <f t="shared" si="113"/>
        <v>91.552195244618702</v>
      </c>
      <c r="CE26" s="59">
        <f t="shared" si="46"/>
        <v>-50</v>
      </c>
      <c r="CF26">
        <f t="shared" si="47"/>
        <v>-50</v>
      </c>
      <c r="CG26" s="150">
        <f t="shared" si="48"/>
        <v>0.31564786317890969</v>
      </c>
      <c r="CI26" s="147">
        <v>21</v>
      </c>
      <c r="CJ26" s="188">
        <f t="shared" si="114"/>
        <v>0.105</v>
      </c>
      <c r="CK26" s="188"/>
      <c r="CL26" s="188">
        <f t="shared" si="49"/>
        <v>17.849999999999998</v>
      </c>
      <c r="CM26" s="465">
        <f t="shared" si="50"/>
        <v>12</v>
      </c>
      <c r="CN26" s="149">
        <f t="shared" si="51"/>
        <v>8.5350000000000001</v>
      </c>
      <c r="CO26" s="379">
        <f t="shared" si="52"/>
        <v>20.535</v>
      </c>
      <c r="CP26" s="379"/>
      <c r="CQ26" s="188">
        <f t="shared" si="53"/>
        <v>0.4156318480642805</v>
      </c>
      <c r="CR26" s="149">
        <f t="shared" si="54"/>
        <v>166.85124908692478</v>
      </c>
      <c r="CS26" s="149">
        <f t="shared" si="115"/>
        <v>17.849999999999998</v>
      </c>
      <c r="CT26" s="188">
        <f t="shared" si="55"/>
        <v>0.98147793580543985</v>
      </c>
      <c r="CU26" s="188">
        <f t="shared" si="56"/>
        <v>170</v>
      </c>
      <c r="CV26" s="188">
        <f t="shared" si="57"/>
        <v>0.97795728956301287</v>
      </c>
      <c r="CW26" s="149">
        <f t="shared" si="58"/>
        <v>3569.5708647771398</v>
      </c>
      <c r="CX26" s="149">
        <f t="shared" si="59"/>
        <v>170</v>
      </c>
      <c r="CY26" s="188">
        <f t="shared" si="60"/>
        <v>7.1577768014059746</v>
      </c>
      <c r="CZ26" s="188">
        <f t="shared" si="61"/>
        <v>0.89472210017574683</v>
      </c>
      <c r="DA26" s="188">
        <f t="shared" si="62"/>
        <v>1.2579572585950745</v>
      </c>
      <c r="DB26" s="172">
        <f t="shared" si="63"/>
        <v>249.37910883856827</v>
      </c>
      <c r="DC26" s="379">
        <f t="shared" si="116"/>
        <v>350</v>
      </c>
      <c r="DE26" s="188">
        <f t="shared" si="64"/>
        <v>13.333333333333334</v>
      </c>
      <c r="DF26" s="150">
        <f t="shared" si="65"/>
        <v>2.3432923257176337</v>
      </c>
      <c r="DG26" s="150">
        <f t="shared" si="66"/>
        <v>0.19478938397857323</v>
      </c>
      <c r="DH26" s="150"/>
      <c r="DI26" s="150">
        <f t="shared" si="67"/>
        <v>2.3432923257176337</v>
      </c>
      <c r="DJ26" s="314">
        <f t="shared" si="117"/>
        <v>134.42624999999998</v>
      </c>
      <c r="DK26" s="456">
        <f t="shared" si="68"/>
        <v>0.19478938397857321</v>
      </c>
      <c r="DM26" s="150">
        <f t="shared" si="69"/>
        <v>8.2631713040454375</v>
      </c>
      <c r="DN26" s="150">
        <f t="shared" si="70"/>
        <v>13.333333333333334</v>
      </c>
      <c r="DO26" s="150">
        <f t="shared" si="71"/>
        <v>1.0768150000000001</v>
      </c>
      <c r="DQ26" s="314">
        <f t="shared" si="72"/>
        <v>105</v>
      </c>
      <c r="DR26" s="144">
        <f t="shared" si="73"/>
        <v>134.42624999999998</v>
      </c>
      <c r="DT26">
        <f t="shared" si="74"/>
        <v>105</v>
      </c>
      <c r="DU26" s="144">
        <f t="shared" si="75"/>
        <v>134.42624999999998</v>
      </c>
      <c r="DV26" s="144"/>
      <c r="DW26" s="5">
        <f t="shared" si="118"/>
        <v>7.4390232562464558</v>
      </c>
      <c r="DX26" s="5">
        <f t="shared" si="76"/>
        <v>1.666666666666667</v>
      </c>
      <c r="DY26" s="5">
        <f t="shared" si="119"/>
        <v>5.7723565895797888</v>
      </c>
      <c r="DZ26" s="5">
        <f t="shared" si="77"/>
        <v>2.3432923257176337</v>
      </c>
      <c r="EA26" s="150">
        <f t="shared" si="120"/>
        <v>0.22404375000000001</v>
      </c>
      <c r="EB26" s="150">
        <f t="shared" si="78"/>
        <v>17.923500000000001</v>
      </c>
      <c r="EC26" s="150">
        <f t="shared" si="79"/>
        <v>0.25865208333333339</v>
      </c>
      <c r="ED26" s="150">
        <f t="shared" si="121"/>
        <v>69.295788261258267</v>
      </c>
      <c r="EE26" s="144">
        <f t="shared" si="80"/>
        <v>0.10294117647058824</v>
      </c>
      <c r="EF26" s="5">
        <f t="shared" si="81"/>
        <v>14.310634044999889</v>
      </c>
      <c r="EG26" s="5"/>
      <c r="EH26" s="150">
        <f t="shared" si="122"/>
        <v>3.6437160518715879</v>
      </c>
      <c r="EI26" s="150">
        <f t="shared" si="82"/>
        <v>0.3390523285298031</v>
      </c>
      <c r="EJ26" s="150"/>
      <c r="EK26" s="456">
        <f t="shared" si="83"/>
        <v>4.5140666666666683E-2</v>
      </c>
      <c r="EL26" s="456">
        <f t="shared" si="84"/>
        <v>1.1188995803999999</v>
      </c>
      <c r="EM26" s="456">
        <f t="shared" si="85"/>
        <v>3.0783611249999995E-2</v>
      </c>
      <c r="EN26" s="456">
        <f t="shared" si="86"/>
        <v>3.8829703063833272E-2</v>
      </c>
      <c r="EO26">
        <f t="shared" si="87"/>
        <v>5.4000000000000003E-3</v>
      </c>
      <c r="EP26" s="144">
        <f t="shared" si="123"/>
        <v>36.183611249999998</v>
      </c>
      <c r="EQ26" s="456">
        <f t="shared" si="88"/>
        <v>1.2648071321270957</v>
      </c>
      <c r="ER26" s="144">
        <f t="shared" si="124"/>
        <v>1264.8071321270957</v>
      </c>
      <c r="ES26" s="456">
        <f t="shared" si="125"/>
        <v>0.23296875</v>
      </c>
      <c r="ET26" s="456"/>
      <c r="EV26" s="144">
        <f t="shared" si="126"/>
        <v>232.96875</v>
      </c>
      <c r="EW26" s="456">
        <f t="shared" si="89"/>
        <v>1.9915000000000009E-2</v>
      </c>
      <c r="EX26" s="456">
        <f t="shared" si="90"/>
        <v>2.2991296296296308E-2</v>
      </c>
      <c r="EY26" s="456">
        <f t="shared" si="91"/>
        <v>6.8002840671568388</v>
      </c>
      <c r="EZ26" s="456">
        <f t="shared" si="92"/>
        <v>6.8770935235545645</v>
      </c>
      <c r="FA26" s="456">
        <f t="shared" si="93"/>
        <v>2.3897999999999999E-2</v>
      </c>
      <c r="FB26" s="144">
        <f t="shared" si="127"/>
        <v>6900.9915235545641</v>
      </c>
      <c r="FC26" s="150">
        <f t="shared" si="128"/>
        <v>8.3987674056816619</v>
      </c>
      <c r="FD26" s="5">
        <f t="shared" si="129"/>
        <v>17.849999999999998</v>
      </c>
      <c r="FE26" s="150">
        <f t="shared" si="130"/>
        <v>0.68003193156171926</v>
      </c>
      <c r="FF26" s="5">
        <f t="shared" si="131"/>
        <v>68.003193156171932</v>
      </c>
      <c r="FI26" s="59">
        <f t="shared" si="94"/>
        <v>-50</v>
      </c>
      <c r="FJ26">
        <f t="shared" si="95"/>
        <v>-50</v>
      </c>
      <c r="FL26">
        <f t="shared" si="96"/>
        <v>0.315</v>
      </c>
    </row>
    <row r="27" spans="5:168">
      <c r="E27" s="147">
        <v>22</v>
      </c>
      <c r="F27" s="188">
        <f t="shared" si="97"/>
        <v>0.11</v>
      </c>
      <c r="G27" s="188"/>
      <c r="H27" s="188">
        <f t="shared" si="0"/>
        <v>18.7</v>
      </c>
      <c r="I27" s="465">
        <f t="shared" si="1"/>
        <v>11.967400381246467</v>
      </c>
      <c r="J27" s="149">
        <f t="shared" si="2"/>
        <v>8.5383264917095438</v>
      </c>
      <c r="K27" s="149">
        <f t="shared" si="3"/>
        <v>20.538326491709544</v>
      </c>
      <c r="L27" s="379"/>
      <c r="M27" s="188">
        <f t="shared" si="4"/>
        <v>0.41638760417836135</v>
      </c>
      <c r="N27" s="149">
        <f t="shared" si="5"/>
        <v>166.700541693773</v>
      </c>
      <c r="O27" s="149">
        <f t="shared" si="98"/>
        <v>18.7</v>
      </c>
      <c r="P27" s="188">
        <f t="shared" si="6"/>
        <v>0.98059142172807645</v>
      </c>
      <c r="Q27" s="188">
        <f t="shared" si="7"/>
        <v>170</v>
      </c>
      <c r="R27" s="188">
        <f t="shared" si="8"/>
        <v>0.97707395548831877</v>
      </c>
      <c r="S27" s="149">
        <f t="shared" si="9"/>
        <v>3387.1864101148844</v>
      </c>
      <c r="T27" s="149">
        <f t="shared" si="10"/>
        <v>170</v>
      </c>
      <c r="U27" s="188">
        <f t="shared" si="99"/>
        <v>7.5392504194594094</v>
      </c>
      <c r="V27" s="188">
        <f t="shared" si="11"/>
        <v>0.94497345028338042</v>
      </c>
      <c r="W27" s="188">
        <f t="shared" si="12"/>
        <v>1.3244838599425415</v>
      </c>
      <c r="X27" s="172">
        <f t="shared" si="13"/>
        <v>249.15374213545641</v>
      </c>
      <c r="Y27" s="379">
        <f t="shared" si="14"/>
        <v>350</v>
      </c>
      <c r="AA27" s="188">
        <f t="shared" si="15"/>
        <v>13.333333333333332</v>
      </c>
      <c r="AB27" s="150">
        <f t="shared" si="16"/>
        <v>2.3423793900853278</v>
      </c>
      <c r="AC27" s="150">
        <f t="shared" si="17"/>
        <v>0.1945375301802425</v>
      </c>
      <c r="AD27" s="150"/>
      <c r="AE27" s="150">
        <f t="shared" si="18"/>
        <v>2.3423793900853283</v>
      </c>
      <c r="AF27" s="314">
        <f t="shared" si="100"/>
        <v>140.88238711320741</v>
      </c>
      <c r="AG27" s="456">
        <f t="shared" si="19"/>
        <v>0.19453753018024256</v>
      </c>
      <c r="AI27" s="150">
        <f t="shared" si="20"/>
        <v>8.4592734758986179</v>
      </c>
      <c r="AJ27" s="150">
        <f t="shared" si="21"/>
        <v>13.333333333333334</v>
      </c>
      <c r="AK27" s="150">
        <f t="shared" si="22"/>
        <v>1.0805042212075471</v>
      </c>
      <c r="AM27" s="314">
        <f t="shared" si="23"/>
        <v>110</v>
      </c>
      <c r="AN27" s="144">
        <f t="shared" si="24"/>
        <v>140.88238711320741</v>
      </c>
      <c r="AP27">
        <f t="shared" si="25"/>
        <v>110</v>
      </c>
      <c r="AQ27" s="144">
        <f t="shared" si="26"/>
        <v>140.88238711320741</v>
      </c>
      <c r="AR27" s="144"/>
      <c r="AS27" s="5">
        <f t="shared" si="101"/>
        <v>7.0981193638949369</v>
      </c>
      <c r="AT27" s="5">
        <f t="shared" si="27"/>
        <v>1.6712067251749205</v>
      </c>
      <c r="AU27" s="5">
        <f t="shared" si="102"/>
        <v>5.4269126387200162</v>
      </c>
      <c r="AV27" s="5">
        <f t="shared" si="28"/>
        <v>2.3423793900853283</v>
      </c>
      <c r="AW27" s="150">
        <f t="shared" si="103"/>
        <v>0.23544359280228877</v>
      </c>
      <c r="AX27" s="150">
        <f t="shared" si="29"/>
        <v>18.784318281760996</v>
      </c>
      <c r="AY27" s="150">
        <f t="shared" si="30"/>
        <v>0.25485213573257043</v>
      </c>
      <c r="AZ27" s="150">
        <f t="shared" si="104"/>
        <v>73.706732838497203</v>
      </c>
      <c r="BA27" s="144">
        <f t="shared" si="31"/>
        <v>0.1081369057466125</v>
      </c>
      <c r="BB27" s="5">
        <f t="shared" si="32"/>
        <v>14.133293100576489</v>
      </c>
      <c r="BC27" s="5"/>
      <c r="BD27" s="150">
        <f t="shared" si="105"/>
        <v>3.7352661092353645</v>
      </c>
      <c r="BE27" s="150">
        <f t="shared" si="33"/>
        <v>0.33655254549793917</v>
      </c>
      <c r="BF27" s="150"/>
      <c r="BG27" s="456">
        <f t="shared" si="34"/>
        <v>4.7437523883127809E-2</v>
      </c>
      <c r="BH27" s="456">
        <f t="shared" si="35"/>
        <v>0.9239873159990144</v>
      </c>
      <c r="BI27" s="456">
        <f t="shared" si="36"/>
        <v>7.7218613742827583E-2</v>
      </c>
      <c r="BJ27" s="456">
        <f t="shared" si="37"/>
        <v>4.070777637237219E-2</v>
      </c>
      <c r="BK27">
        <f t="shared" si="38"/>
        <v>5.3853301715609102E-3</v>
      </c>
      <c r="BL27" s="144">
        <f t="shared" si="106"/>
        <v>82.603943914388495</v>
      </c>
      <c r="BM27" s="456">
        <f t="shared" si="39"/>
        <v>1.0366247061420548</v>
      </c>
      <c r="BN27" s="144">
        <f t="shared" si="107"/>
        <v>1036.6247061420547</v>
      </c>
      <c r="BO27" s="456">
        <f t="shared" si="108"/>
        <v>0.24406250000000002</v>
      </c>
      <c r="BP27" s="456"/>
      <c r="BR27" s="144">
        <f t="shared" si="109"/>
        <v>244.06250000000003</v>
      </c>
      <c r="BS27" s="456">
        <f t="shared" si="40"/>
        <v>2.0928319360203448E-2</v>
      </c>
      <c r="BT27" s="456">
        <f t="shared" si="41"/>
        <v>2.2653523176228485E-2</v>
      </c>
      <c r="BU27" s="456">
        <f t="shared" si="42"/>
        <v>0.28049999999999997</v>
      </c>
      <c r="BV27" s="456">
        <f t="shared" si="43"/>
        <v>0.33571196040886647</v>
      </c>
      <c r="BW27" s="456">
        <f t="shared" si="44"/>
        <v>2.5045757709014658E-2</v>
      </c>
      <c r="BX27" s="144">
        <f t="shared" si="110"/>
        <v>360.75771811788115</v>
      </c>
      <c r="BY27" s="150">
        <f>SUM(BM27,BO27:BQ27,BV27, BW27)+BK27+BI27</f>
        <v>1.7240488681743247</v>
      </c>
      <c r="BZ27" s="5">
        <f t="shared" si="111"/>
        <v>18.7</v>
      </c>
      <c r="CA27" s="150">
        <f t="shared" si="112"/>
        <v>0.91558731183507813</v>
      </c>
      <c r="CB27" s="5">
        <f t="shared" si="113"/>
        <v>91.558731183507817</v>
      </c>
      <c r="CE27" s="59">
        <f t="shared" si="46"/>
        <v>-50</v>
      </c>
      <c r="CF27">
        <f t="shared" si="47"/>
        <v>-50</v>
      </c>
      <c r="CG27" s="150">
        <f t="shared" si="48"/>
        <v>0.33067871380647684</v>
      </c>
      <c r="CI27" s="147">
        <v>22</v>
      </c>
      <c r="CJ27" s="188">
        <f t="shared" si="114"/>
        <v>0.11</v>
      </c>
      <c r="CK27" s="188"/>
      <c r="CL27" s="188">
        <f t="shared" si="49"/>
        <v>18.7</v>
      </c>
      <c r="CM27" s="465">
        <f t="shared" si="50"/>
        <v>12</v>
      </c>
      <c r="CN27" s="149">
        <f t="shared" si="51"/>
        <v>8.5350000000000001</v>
      </c>
      <c r="CO27" s="379">
        <f t="shared" si="52"/>
        <v>20.535</v>
      </c>
      <c r="CP27" s="379"/>
      <c r="CQ27" s="188">
        <f t="shared" si="53"/>
        <v>0.4156318480642805</v>
      </c>
      <c r="CR27" s="149">
        <f t="shared" si="54"/>
        <v>166.85124908692478</v>
      </c>
      <c r="CS27" s="149">
        <f t="shared" si="115"/>
        <v>18.7</v>
      </c>
      <c r="CT27" s="188">
        <f t="shared" si="55"/>
        <v>0.98147793580543985</v>
      </c>
      <c r="CU27" s="188">
        <f t="shared" si="56"/>
        <v>170</v>
      </c>
      <c r="CV27" s="188">
        <f t="shared" si="57"/>
        <v>0.97795728956301287</v>
      </c>
      <c r="CW27" s="149">
        <f t="shared" si="58"/>
        <v>3396.4130901190883</v>
      </c>
      <c r="CX27" s="149">
        <f t="shared" si="59"/>
        <v>170</v>
      </c>
      <c r="CY27" s="188">
        <f t="shared" si="60"/>
        <v>7.4986233157586399</v>
      </c>
      <c r="CZ27" s="188">
        <f t="shared" si="61"/>
        <v>0.93732791446982999</v>
      </c>
      <c r="DA27" s="188">
        <f t="shared" si="62"/>
        <v>1.31785998519484</v>
      </c>
      <c r="DB27" s="172">
        <f t="shared" si="63"/>
        <v>249.37910883856827</v>
      </c>
      <c r="DC27" s="379">
        <f t="shared" si="116"/>
        <v>350</v>
      </c>
      <c r="DE27" s="188">
        <f t="shared" si="64"/>
        <v>13.333333333333334</v>
      </c>
      <c r="DF27" s="150">
        <f t="shared" si="65"/>
        <v>2.3432923257176337</v>
      </c>
      <c r="DG27" s="150">
        <f t="shared" si="66"/>
        <v>0.19478938397857323</v>
      </c>
      <c r="DH27" s="150"/>
      <c r="DI27" s="150">
        <f t="shared" si="67"/>
        <v>2.3432923257176337</v>
      </c>
      <c r="DJ27" s="314">
        <f t="shared" si="117"/>
        <v>140.82749999999996</v>
      </c>
      <c r="DK27" s="456">
        <f t="shared" si="68"/>
        <v>0.19478938397857321</v>
      </c>
      <c r="DM27" s="150">
        <f t="shared" si="69"/>
        <v>8.457625468855225</v>
      </c>
      <c r="DN27" s="150">
        <f t="shared" si="70"/>
        <v>13.333333333333334</v>
      </c>
      <c r="DO27" s="150">
        <f t="shared" si="71"/>
        <v>1.080472857142857</v>
      </c>
      <c r="DQ27" s="314">
        <f t="shared" si="72"/>
        <v>110</v>
      </c>
      <c r="DR27" s="144">
        <f t="shared" si="73"/>
        <v>140.82749999999996</v>
      </c>
      <c r="DT27">
        <f t="shared" si="74"/>
        <v>110</v>
      </c>
      <c r="DU27" s="144">
        <f t="shared" si="75"/>
        <v>140.82749999999996</v>
      </c>
      <c r="DV27" s="144"/>
      <c r="DW27" s="5">
        <f t="shared" si="118"/>
        <v>7.1008858355079818</v>
      </c>
      <c r="DX27" s="5">
        <f t="shared" si="76"/>
        <v>1.666666666666667</v>
      </c>
      <c r="DY27" s="5">
        <f t="shared" si="119"/>
        <v>5.4342191688413148</v>
      </c>
      <c r="DZ27" s="5">
        <f t="shared" si="77"/>
        <v>2.3432923257176337</v>
      </c>
      <c r="EA27" s="150">
        <f t="shared" si="120"/>
        <v>0.23471249999999996</v>
      </c>
      <c r="EB27" s="150">
        <f t="shared" si="78"/>
        <v>18.776999999999997</v>
      </c>
      <c r="EC27" s="150">
        <f t="shared" si="79"/>
        <v>0.25509583333333335</v>
      </c>
      <c r="ED27" s="150">
        <f t="shared" si="121"/>
        <v>73.607631119023878</v>
      </c>
      <c r="EE27" s="144">
        <f t="shared" si="80"/>
        <v>0.10784313725490199</v>
      </c>
      <c r="EF27" s="5">
        <f t="shared" si="81"/>
        <v>14.113874785740634</v>
      </c>
      <c r="EG27" s="5"/>
      <c r="EH27" s="150">
        <f t="shared" si="122"/>
        <v>3.7294622787861642</v>
      </c>
      <c r="EI27" s="150">
        <f t="shared" si="82"/>
        <v>0.33671341809605088</v>
      </c>
      <c r="EJ27" s="150"/>
      <c r="EK27" s="456">
        <f t="shared" si="83"/>
        <v>4.729022222222222E-2</v>
      </c>
      <c r="EL27" s="456">
        <f t="shared" si="84"/>
        <v>1.1721805127999998</v>
      </c>
      <c r="EM27" s="456">
        <f t="shared" si="85"/>
        <v>3.2249497499999995E-2</v>
      </c>
      <c r="EN27" s="456">
        <f t="shared" si="86"/>
        <v>4.0678736543063421E-2</v>
      </c>
      <c r="EO27">
        <f t="shared" si="87"/>
        <v>5.4000000000000003E-3</v>
      </c>
      <c r="EP27" s="144">
        <f t="shared" si="123"/>
        <v>37.649497499999995</v>
      </c>
      <c r="EQ27" s="456">
        <f t="shared" si="88"/>
        <v>1.3254604100649678</v>
      </c>
      <c r="ER27" s="144">
        <f t="shared" si="124"/>
        <v>1325.4604100649678</v>
      </c>
      <c r="ES27" s="456">
        <f t="shared" si="125"/>
        <v>0.24406250000000002</v>
      </c>
      <c r="ET27" s="456"/>
      <c r="EV27" s="144">
        <f t="shared" si="126"/>
        <v>244.06250000000003</v>
      </c>
      <c r="EW27" s="456">
        <f t="shared" si="89"/>
        <v>2.0863333333333334E-2</v>
      </c>
      <c r="EX27" s="456">
        <f t="shared" si="90"/>
        <v>2.2675185185185194E-2</v>
      </c>
      <c r="EY27" s="456">
        <f t="shared" si="91"/>
        <v>7.6389825863038494</v>
      </c>
      <c r="EZ27" s="456">
        <f t="shared" si="92"/>
        <v>7.7198592480533508</v>
      </c>
      <c r="FA27" s="456">
        <f t="shared" si="93"/>
        <v>2.5035999999999999E-2</v>
      </c>
      <c r="FB27" s="144">
        <f t="shared" si="127"/>
        <v>7744.8952480533508</v>
      </c>
      <c r="FC27" s="150">
        <f t="shared" si="128"/>
        <v>9.3144181581183183</v>
      </c>
      <c r="FD27" s="5">
        <f t="shared" si="129"/>
        <v>18.7</v>
      </c>
      <c r="FE27" s="150">
        <f t="shared" si="130"/>
        <v>0.66751341735723013</v>
      </c>
      <c r="FF27" s="5">
        <f t="shared" si="131"/>
        <v>66.751341735723017</v>
      </c>
      <c r="FI27" s="59">
        <f t="shared" si="94"/>
        <v>-50</v>
      </c>
      <c r="FJ27">
        <f t="shared" si="95"/>
        <v>-50</v>
      </c>
      <c r="FL27">
        <f t="shared" si="96"/>
        <v>0.32999999999999996</v>
      </c>
    </row>
    <row r="28" spans="5:168">
      <c r="E28" s="147">
        <v>23</v>
      </c>
      <c r="F28" s="188">
        <f t="shared" si="97"/>
        <v>0.115</v>
      </c>
      <c r="G28" s="188"/>
      <c r="H28" s="188">
        <f t="shared" si="0"/>
        <v>19.55</v>
      </c>
      <c r="I28" s="465">
        <f t="shared" si="1"/>
        <v>11.967400381246467</v>
      </c>
      <c r="J28" s="149">
        <f t="shared" si="2"/>
        <v>8.5383264917095438</v>
      </c>
      <c r="K28" s="149">
        <f t="shared" si="3"/>
        <v>20.538326491709544</v>
      </c>
      <c r="L28" s="379"/>
      <c r="M28" s="188">
        <f t="shared" si="4"/>
        <v>0.41638760417836135</v>
      </c>
      <c r="N28" s="149">
        <f t="shared" si="5"/>
        <v>166.700541693773</v>
      </c>
      <c r="O28" s="149">
        <f t="shared" si="98"/>
        <v>19.55</v>
      </c>
      <c r="P28" s="188">
        <f t="shared" si="6"/>
        <v>0.98059142172807645</v>
      </c>
      <c r="Q28" s="188">
        <f t="shared" si="7"/>
        <v>170</v>
      </c>
      <c r="R28" s="188">
        <f t="shared" si="8"/>
        <v>0.97707395548831877</v>
      </c>
      <c r="S28" s="149">
        <f t="shared" si="9"/>
        <v>3229.5155647078791</v>
      </c>
      <c r="T28" s="149">
        <f t="shared" si="10"/>
        <v>170</v>
      </c>
      <c r="U28" s="188">
        <f t="shared" si="99"/>
        <v>7.8819436203439279</v>
      </c>
      <c r="V28" s="188">
        <f t="shared" si="11"/>
        <v>0.98792678893262487</v>
      </c>
      <c r="W28" s="188">
        <f t="shared" si="12"/>
        <v>1.3846876717581116</v>
      </c>
      <c r="X28" s="172">
        <f t="shared" si="13"/>
        <v>249.15374213545641</v>
      </c>
      <c r="Y28" s="379">
        <f t="shared" si="14"/>
        <v>350</v>
      </c>
      <c r="AA28" s="188">
        <f t="shared" si="15"/>
        <v>13.333333333333332</v>
      </c>
      <c r="AB28" s="150">
        <f t="shared" si="16"/>
        <v>2.3423793900853278</v>
      </c>
      <c r="AC28" s="150">
        <f t="shared" si="17"/>
        <v>0.1945375301802425</v>
      </c>
      <c r="AD28" s="150"/>
      <c r="AE28" s="150">
        <f t="shared" si="18"/>
        <v>2.3423793900853283</v>
      </c>
      <c r="AF28" s="314">
        <f t="shared" si="100"/>
        <v>147.2861319819896</v>
      </c>
      <c r="AG28" s="456">
        <f t="shared" si="19"/>
        <v>0.19453753018024256</v>
      </c>
      <c r="AI28" s="150">
        <f t="shared" si="20"/>
        <v>8.6493932472981854</v>
      </c>
      <c r="AJ28" s="150">
        <f t="shared" si="21"/>
        <v>13.333333333333334</v>
      </c>
      <c r="AK28" s="150">
        <f t="shared" si="22"/>
        <v>1.0841635039897084</v>
      </c>
      <c r="AM28" s="314">
        <f t="shared" si="23"/>
        <v>115</v>
      </c>
      <c r="AN28" s="144">
        <f t="shared" si="24"/>
        <v>147.2861319819896</v>
      </c>
      <c r="AP28">
        <f t="shared" si="25"/>
        <v>115</v>
      </c>
      <c r="AQ28" s="144">
        <f t="shared" si="26"/>
        <v>147.2861319819896</v>
      </c>
      <c r="AR28" s="144"/>
      <c r="AS28" s="5">
        <f t="shared" si="101"/>
        <v>6.7895054785081985</v>
      </c>
      <c r="AT28" s="5">
        <f t="shared" si="27"/>
        <v>1.6712067251749205</v>
      </c>
      <c r="AU28" s="5">
        <f t="shared" si="102"/>
        <v>5.1182987533332778</v>
      </c>
      <c r="AV28" s="5">
        <f t="shared" si="28"/>
        <v>2.3423793900853283</v>
      </c>
      <c r="AW28" s="150">
        <f t="shared" si="103"/>
        <v>0.24614557429330197</v>
      </c>
      <c r="AX28" s="150">
        <f t="shared" si="29"/>
        <v>19.63815093093195</v>
      </c>
      <c r="AY28" s="150">
        <f t="shared" si="30"/>
        <v>0.2512848085688994</v>
      </c>
      <c r="AZ28" s="150">
        <f t="shared" si="104"/>
        <v>78.150967592405792</v>
      </c>
      <c r="BA28" s="144">
        <f t="shared" si="31"/>
        <v>0.1130522196441858</v>
      </c>
      <c r="BB28" s="5">
        <f t="shared" si="32"/>
        <v>13.935460423032369</v>
      </c>
      <c r="BC28" s="5"/>
      <c r="BD28" s="150">
        <f t="shared" si="105"/>
        <v>3.8192151553121545</v>
      </c>
      <c r="BE28" s="150">
        <f t="shared" si="33"/>
        <v>0.33418877470934455</v>
      </c>
      <c r="BF28" s="150"/>
      <c r="BG28" s="456">
        <f t="shared" si="34"/>
        <v>4.9593774968724545E-2</v>
      </c>
      <c r="BH28" s="456">
        <f t="shared" si="35"/>
        <v>0.96598673945351532</v>
      </c>
      <c r="BI28" s="456">
        <f t="shared" si="36"/>
        <v>8.0728550731137938E-2</v>
      </c>
      <c r="BJ28" s="456">
        <f t="shared" si="37"/>
        <v>4.2558129843843662E-2</v>
      </c>
      <c r="BK28">
        <f t="shared" si="38"/>
        <v>5.3853301715609102E-3</v>
      </c>
      <c r="BL28" s="144">
        <f t="shared" si="106"/>
        <v>86.113880902698853</v>
      </c>
      <c r="BM28" s="456">
        <f t="shared" si="39"/>
        <v>1.0843058609451592</v>
      </c>
      <c r="BN28" s="144">
        <f t="shared" si="107"/>
        <v>1084.3058609451593</v>
      </c>
      <c r="BO28" s="456">
        <f t="shared" si="108"/>
        <v>0.25515625000000003</v>
      </c>
      <c r="BP28" s="456"/>
      <c r="BR28" s="144">
        <f t="shared" si="109"/>
        <v>255.15625000000003</v>
      </c>
      <c r="BS28" s="456">
        <f t="shared" si="40"/>
        <v>2.1879606603849067E-2</v>
      </c>
      <c r="BT28" s="456">
        <f t="shared" si="41"/>
        <v>2.2336427428346611E-2</v>
      </c>
      <c r="BU28" s="456">
        <f t="shared" si="42"/>
        <v>0.29325000000000001</v>
      </c>
      <c r="BV28" s="456">
        <f t="shared" si="43"/>
        <v>0.34931350281820389</v>
      </c>
      <c r="BW28" s="456">
        <f t="shared" si="44"/>
        <v>2.6184201241242603E-2</v>
      </c>
      <c r="BX28" s="144">
        <f t="shared" si="110"/>
        <v>375.49770405944651</v>
      </c>
      <c r="BY28" s="150">
        <f t="shared" si="45"/>
        <v>1.8010736959073046</v>
      </c>
      <c r="BZ28" s="5">
        <f t="shared" si="111"/>
        <v>19.55</v>
      </c>
      <c r="CA28" s="150">
        <f t="shared" si="112"/>
        <v>0.91564481854359647</v>
      </c>
      <c r="CB28" s="5">
        <f t="shared" si="113"/>
        <v>91.564481854359641</v>
      </c>
      <c r="CE28" s="59">
        <f t="shared" si="46"/>
        <v>-50</v>
      </c>
      <c r="CF28">
        <f t="shared" si="47"/>
        <v>-50</v>
      </c>
      <c r="CG28" s="150">
        <f t="shared" si="48"/>
        <v>0.34570956443404399</v>
      </c>
      <c r="CI28" s="147">
        <v>23</v>
      </c>
      <c r="CJ28" s="188">
        <f t="shared" si="114"/>
        <v>0.115</v>
      </c>
      <c r="CK28" s="188"/>
      <c r="CL28" s="188">
        <f t="shared" si="49"/>
        <v>19.55</v>
      </c>
      <c r="CM28" s="465">
        <f t="shared" si="50"/>
        <v>12</v>
      </c>
      <c r="CN28" s="149">
        <f t="shared" si="51"/>
        <v>8.5350000000000001</v>
      </c>
      <c r="CO28" s="379">
        <f t="shared" si="52"/>
        <v>20.535</v>
      </c>
      <c r="CP28" s="379"/>
      <c r="CQ28" s="188">
        <f t="shared" si="53"/>
        <v>0.4156318480642805</v>
      </c>
      <c r="CR28" s="149">
        <f t="shared" si="54"/>
        <v>166.85124908692478</v>
      </c>
      <c r="CS28" s="149">
        <f t="shared" si="115"/>
        <v>19.55</v>
      </c>
      <c r="CT28" s="188">
        <f t="shared" si="55"/>
        <v>0.98147793580543985</v>
      </c>
      <c r="CU28" s="188">
        <f t="shared" si="56"/>
        <v>170</v>
      </c>
      <c r="CV28" s="188">
        <f t="shared" si="57"/>
        <v>0.97795728956301287</v>
      </c>
      <c r="CW28" s="149">
        <f t="shared" si="58"/>
        <v>3238.3127372217014</v>
      </c>
      <c r="CX28" s="149">
        <f t="shared" si="59"/>
        <v>170</v>
      </c>
      <c r="CY28" s="188">
        <f t="shared" si="60"/>
        <v>7.8394698301113062</v>
      </c>
      <c r="CZ28" s="188">
        <f t="shared" si="61"/>
        <v>0.97993372876391327</v>
      </c>
      <c r="DA28" s="188">
        <f t="shared" si="62"/>
        <v>1.3777627117946056</v>
      </c>
      <c r="DB28" s="172">
        <f t="shared" si="63"/>
        <v>249.37910883856827</v>
      </c>
      <c r="DC28" s="379">
        <f t="shared" si="116"/>
        <v>350</v>
      </c>
      <c r="DE28" s="188">
        <f t="shared" si="64"/>
        <v>13.333333333333334</v>
      </c>
      <c r="DF28" s="150">
        <f t="shared" si="65"/>
        <v>2.3432923257176337</v>
      </c>
      <c r="DG28" s="150">
        <f t="shared" si="66"/>
        <v>0.19478938397857323</v>
      </c>
      <c r="DH28" s="150"/>
      <c r="DI28" s="150">
        <f t="shared" si="67"/>
        <v>2.3432923257176337</v>
      </c>
      <c r="DJ28" s="314">
        <f t="shared" si="117"/>
        <v>147.22874999999996</v>
      </c>
      <c r="DK28" s="456">
        <f t="shared" si="68"/>
        <v>0.19478938397857321</v>
      </c>
      <c r="DM28" s="150">
        <f t="shared" si="69"/>
        <v>8.6477082017640452</v>
      </c>
      <c r="DN28" s="150">
        <f t="shared" si="70"/>
        <v>13.333333333333334</v>
      </c>
      <c r="DO28" s="150">
        <f t="shared" si="71"/>
        <v>1.0841307142857142</v>
      </c>
      <c r="DQ28" s="314">
        <f t="shared" si="72"/>
        <v>115</v>
      </c>
      <c r="DR28" s="144">
        <f t="shared" si="73"/>
        <v>147.22874999999996</v>
      </c>
      <c r="DT28">
        <f t="shared" si="74"/>
        <v>115</v>
      </c>
      <c r="DU28" s="144">
        <f t="shared" si="75"/>
        <v>147.22874999999996</v>
      </c>
      <c r="DV28" s="144"/>
      <c r="DW28" s="5">
        <f t="shared" si="118"/>
        <v>6.7921516687467651</v>
      </c>
      <c r="DX28" s="5">
        <f t="shared" si="76"/>
        <v>1.666666666666667</v>
      </c>
      <c r="DY28" s="5">
        <f t="shared" si="119"/>
        <v>5.1254850020800982</v>
      </c>
      <c r="DZ28" s="5">
        <f t="shared" si="77"/>
        <v>2.3432923257176337</v>
      </c>
      <c r="EA28" s="150">
        <f t="shared" si="120"/>
        <v>0.24538124999999997</v>
      </c>
      <c r="EB28" s="150">
        <f t="shared" si="78"/>
        <v>19.630499999999998</v>
      </c>
      <c r="EC28" s="150">
        <f t="shared" si="79"/>
        <v>0.25153958333333337</v>
      </c>
      <c r="ED28" s="150">
        <f t="shared" si="121"/>
        <v>78.041395075327756</v>
      </c>
      <c r="EE28" s="144">
        <f t="shared" si="80"/>
        <v>0.1127450980392157</v>
      </c>
      <c r="EF28" s="5">
        <f t="shared" si="81"/>
        <v>13.917115526481377</v>
      </c>
      <c r="EG28" s="5"/>
      <c r="EH28" s="150">
        <f t="shared" si="122"/>
        <v>3.8132808854202058</v>
      </c>
      <c r="EI28" s="150">
        <f t="shared" si="82"/>
        <v>0.33435814685808152</v>
      </c>
      <c r="EJ28" s="150"/>
      <c r="EK28" s="456">
        <f t="shared" si="83"/>
        <v>4.943977777777777E-2</v>
      </c>
      <c r="EL28" s="456">
        <f t="shared" si="84"/>
        <v>1.2254614451999999</v>
      </c>
      <c r="EM28" s="456">
        <f t="shared" si="85"/>
        <v>3.3715383749999987E-2</v>
      </c>
      <c r="EN28" s="456">
        <f t="shared" si="86"/>
        <v>4.2527770022293583E-2</v>
      </c>
      <c r="EO28">
        <f t="shared" si="87"/>
        <v>5.4000000000000003E-3</v>
      </c>
      <c r="EP28" s="144">
        <f t="shared" si="123"/>
        <v>39.115383749999992</v>
      </c>
      <c r="EQ28" s="456">
        <f t="shared" si="88"/>
        <v>1.3861763798683953</v>
      </c>
      <c r="ER28" s="144">
        <f t="shared" si="124"/>
        <v>1386.1763798683953</v>
      </c>
      <c r="ES28" s="456">
        <f t="shared" si="125"/>
        <v>0.25515625000000003</v>
      </c>
      <c r="ET28" s="456"/>
      <c r="EV28" s="144">
        <f t="shared" si="126"/>
        <v>255.15625000000003</v>
      </c>
      <c r="EW28" s="456">
        <f t="shared" si="89"/>
        <v>2.1811666666666663E-2</v>
      </c>
      <c r="EX28" s="456">
        <f t="shared" si="90"/>
        <v>2.2359074074074083E-2</v>
      </c>
      <c r="EY28" s="456">
        <f t="shared" si="91"/>
        <v>8.536864889193442</v>
      </c>
      <c r="EZ28" s="456">
        <f t="shared" si="92"/>
        <v>8.6221041860031278</v>
      </c>
      <c r="FA28" s="456">
        <f t="shared" si="93"/>
        <v>2.6173999999999999E-2</v>
      </c>
      <c r="FB28" s="144">
        <f t="shared" si="127"/>
        <v>8648.2781860031264</v>
      </c>
      <c r="FC28" s="150">
        <f t="shared" si="128"/>
        <v>10.289610815871523</v>
      </c>
      <c r="FD28" s="5">
        <f t="shared" si="129"/>
        <v>19.55</v>
      </c>
      <c r="FE28" s="150">
        <f t="shared" si="130"/>
        <v>0.65516940286638936</v>
      </c>
      <c r="FF28" s="5">
        <f t="shared" si="131"/>
        <v>65.516940286638942</v>
      </c>
      <c r="FI28" s="59">
        <f t="shared" si="94"/>
        <v>-50</v>
      </c>
      <c r="FJ28">
        <f t="shared" si="95"/>
        <v>-50</v>
      </c>
      <c r="FL28">
        <f t="shared" si="96"/>
        <v>0.34499999999999992</v>
      </c>
    </row>
    <row r="29" spans="5:168">
      <c r="E29" s="147">
        <v>24</v>
      </c>
      <c r="F29" s="188">
        <f t="shared" si="97"/>
        <v>0.12</v>
      </c>
      <c r="G29" s="188"/>
      <c r="H29" s="188">
        <f t="shared" si="0"/>
        <v>20.399999999999999</v>
      </c>
      <c r="I29" s="465">
        <f t="shared" si="1"/>
        <v>11.967400381246467</v>
      </c>
      <c r="J29" s="149">
        <f t="shared" si="2"/>
        <v>8.5383264917095438</v>
      </c>
      <c r="K29" s="149">
        <f t="shared" si="3"/>
        <v>20.538326491709544</v>
      </c>
      <c r="L29" s="379"/>
      <c r="M29" s="188">
        <f t="shared" si="4"/>
        <v>0.41638760417836135</v>
      </c>
      <c r="N29" s="149">
        <f t="shared" si="5"/>
        <v>166.700541693773</v>
      </c>
      <c r="O29" s="149">
        <f t="shared" si="98"/>
        <v>20.399999999999999</v>
      </c>
      <c r="P29" s="188">
        <f t="shared" si="6"/>
        <v>0.98059142172807645</v>
      </c>
      <c r="Q29" s="188">
        <f t="shared" si="7"/>
        <v>170</v>
      </c>
      <c r="R29" s="188">
        <f t="shared" si="8"/>
        <v>0.97707395548831877</v>
      </c>
      <c r="S29" s="149">
        <f t="shared" si="9"/>
        <v>3084.9841731232814</v>
      </c>
      <c r="T29" s="149">
        <f t="shared" si="10"/>
        <v>170</v>
      </c>
      <c r="U29" s="188">
        <f t="shared" si="99"/>
        <v>8.2246368212284455</v>
      </c>
      <c r="V29" s="188">
        <f t="shared" si="11"/>
        <v>1.0308801275818693</v>
      </c>
      <c r="W29" s="188">
        <f t="shared" si="12"/>
        <v>1.4448914835736812</v>
      </c>
      <c r="X29" s="172">
        <f t="shared" si="13"/>
        <v>249.15374213545641</v>
      </c>
      <c r="Y29" s="379">
        <f t="shared" si="14"/>
        <v>350</v>
      </c>
      <c r="AA29" s="188">
        <f t="shared" si="15"/>
        <v>13.333333333333332</v>
      </c>
      <c r="AB29" s="150">
        <f t="shared" si="16"/>
        <v>2.3423793900853278</v>
      </c>
      <c r="AC29" s="150">
        <f t="shared" si="17"/>
        <v>0.1945375301802425</v>
      </c>
      <c r="AD29" s="150"/>
      <c r="AE29" s="150">
        <f t="shared" si="18"/>
        <v>2.3423793900853283</v>
      </c>
      <c r="AF29" s="314">
        <f t="shared" si="100"/>
        <v>153.68987685077175</v>
      </c>
      <c r="AG29" s="456">
        <f t="shared" si="19"/>
        <v>0.19453753018024256</v>
      </c>
      <c r="AI29" s="150">
        <f t="shared" si="20"/>
        <v>8.8354229866358391</v>
      </c>
      <c r="AJ29" s="150">
        <f t="shared" si="21"/>
        <v>13.333333333333334</v>
      </c>
      <c r="AK29" s="150">
        <f t="shared" si="22"/>
        <v>1.0878227867718695</v>
      </c>
      <c r="AM29" s="314">
        <f t="shared" si="23"/>
        <v>120</v>
      </c>
      <c r="AN29" s="144">
        <f t="shared" si="24"/>
        <v>153.68987685077175</v>
      </c>
      <c r="AP29">
        <f t="shared" si="25"/>
        <v>120</v>
      </c>
      <c r="AQ29" s="144">
        <f t="shared" si="26"/>
        <v>153.68987685077175</v>
      </c>
      <c r="AR29" s="144"/>
      <c r="AS29" s="5">
        <f t="shared" si="101"/>
        <v>6.5066094169036903</v>
      </c>
      <c r="AT29" s="5">
        <f t="shared" si="27"/>
        <v>1.6712067251749205</v>
      </c>
      <c r="AU29" s="5">
        <f t="shared" si="102"/>
        <v>4.8354026917287696</v>
      </c>
      <c r="AV29" s="5">
        <f t="shared" si="28"/>
        <v>2.3423793900853283</v>
      </c>
      <c r="AW29" s="150">
        <f t="shared" si="103"/>
        <v>0.25684755578431512</v>
      </c>
      <c r="AX29" s="150">
        <f t="shared" si="29"/>
        <v>20.491983580102904</v>
      </c>
      <c r="AY29" s="150">
        <f t="shared" si="30"/>
        <v>0.24771748140522834</v>
      </c>
      <c r="AZ29" s="150">
        <f t="shared" si="104"/>
        <v>82.723203319595825</v>
      </c>
      <c r="BA29" s="144">
        <f t="shared" si="31"/>
        <v>0.1179675335417591</v>
      </c>
      <c r="BB29" s="5">
        <f t="shared" si="32"/>
        <v>13.73762774548825</v>
      </c>
      <c r="BC29" s="5"/>
      <c r="BD29" s="150">
        <f t="shared" si="105"/>
        <v>3.901358211998712</v>
      </c>
      <c r="BE29" s="150">
        <f t="shared" si="33"/>
        <v>0.33180816506277194</v>
      </c>
      <c r="BF29" s="150"/>
      <c r="BG29" s="456">
        <f t="shared" si="34"/>
        <v>5.1750026054321274E-2</v>
      </c>
      <c r="BH29" s="456">
        <f t="shared" si="35"/>
        <v>1.007986162908016</v>
      </c>
      <c r="BI29" s="456">
        <f t="shared" si="36"/>
        <v>8.4238487719448293E-2</v>
      </c>
      <c r="BJ29" s="456">
        <f t="shared" si="37"/>
        <v>4.440848331531512E-2</v>
      </c>
      <c r="BK29">
        <f t="shared" si="38"/>
        <v>5.3853301715609102E-3</v>
      </c>
      <c r="BL29" s="144">
        <f t="shared" si="106"/>
        <v>89.62381789100921</v>
      </c>
      <c r="BM29" s="456">
        <f t="shared" si="39"/>
        <v>1.1320364804768459</v>
      </c>
      <c r="BN29" s="144">
        <f t="shared" si="107"/>
        <v>1132.036480476846</v>
      </c>
      <c r="BO29" s="456">
        <f t="shared" si="108"/>
        <v>0.26624999999999999</v>
      </c>
      <c r="BP29" s="456"/>
      <c r="BR29" s="144">
        <f t="shared" si="109"/>
        <v>266.25</v>
      </c>
      <c r="BS29" s="456">
        <f t="shared" si="40"/>
        <v>2.283089384749468E-2</v>
      </c>
      <c r="BT29" s="456">
        <f t="shared" si="41"/>
        <v>2.2019331680464743E-2</v>
      </c>
      <c r="BU29" s="456">
        <f t="shared" si="42"/>
        <v>0.30599999999999999</v>
      </c>
      <c r="BV29" s="456">
        <f t="shared" si="43"/>
        <v>0.36291643035460619</v>
      </c>
      <c r="BW29" s="456">
        <f t="shared" si="44"/>
        <v>2.7322644773470541E-2</v>
      </c>
      <c r="BX29" s="144">
        <f t="shared" si="110"/>
        <v>390.23907512807671</v>
      </c>
      <c r="BY29" s="150">
        <f t="shared" si="45"/>
        <v>1.8781493734959318</v>
      </c>
      <c r="BZ29" s="5">
        <f t="shared" si="111"/>
        <v>20.399999999999999</v>
      </c>
      <c r="CA29" s="150">
        <f t="shared" si="112"/>
        <v>0.91569544929390112</v>
      </c>
      <c r="CB29" s="5">
        <f t="shared" si="113"/>
        <v>91.569544929390105</v>
      </c>
      <c r="CE29" s="59">
        <f t="shared" si="46"/>
        <v>-50</v>
      </c>
      <c r="CF29">
        <f t="shared" si="47"/>
        <v>-50</v>
      </c>
      <c r="CG29" s="150">
        <f t="shared" si="48"/>
        <v>0.36074041506161109</v>
      </c>
      <c r="CI29" s="147">
        <v>24</v>
      </c>
      <c r="CJ29" s="188">
        <f t="shared" si="114"/>
        <v>0.12</v>
      </c>
      <c r="CK29" s="188"/>
      <c r="CL29" s="188">
        <f t="shared" si="49"/>
        <v>20.399999999999999</v>
      </c>
      <c r="CM29" s="465">
        <f t="shared" si="50"/>
        <v>12</v>
      </c>
      <c r="CN29" s="149">
        <f t="shared" si="51"/>
        <v>8.5350000000000001</v>
      </c>
      <c r="CO29" s="379">
        <f t="shared" si="52"/>
        <v>20.535</v>
      </c>
      <c r="CP29" s="379"/>
      <c r="CQ29" s="188">
        <f t="shared" si="53"/>
        <v>0.4156318480642805</v>
      </c>
      <c r="CR29" s="149">
        <f t="shared" si="54"/>
        <v>166.85124908692478</v>
      </c>
      <c r="CS29" s="149">
        <f t="shared" si="115"/>
        <v>20.399999999999999</v>
      </c>
      <c r="CT29" s="188">
        <f t="shared" si="55"/>
        <v>0.98147793580543985</v>
      </c>
      <c r="CU29" s="188">
        <f t="shared" si="56"/>
        <v>170</v>
      </c>
      <c r="CV29" s="188">
        <f t="shared" si="57"/>
        <v>0.97795728956301287</v>
      </c>
      <c r="CW29" s="149">
        <f t="shared" si="58"/>
        <v>3093.3876304380269</v>
      </c>
      <c r="CX29" s="149">
        <f t="shared" si="59"/>
        <v>170</v>
      </c>
      <c r="CY29" s="188">
        <f t="shared" si="60"/>
        <v>8.1803163444639715</v>
      </c>
      <c r="CZ29" s="188">
        <f t="shared" si="61"/>
        <v>1.0225395430579964</v>
      </c>
      <c r="DA29" s="188">
        <f t="shared" si="62"/>
        <v>1.4376654383943712</v>
      </c>
      <c r="DB29" s="172">
        <f t="shared" si="63"/>
        <v>249.37910883856827</v>
      </c>
      <c r="DC29" s="379">
        <f t="shared" si="116"/>
        <v>350</v>
      </c>
      <c r="DE29" s="188">
        <f t="shared" si="64"/>
        <v>13.333333333333334</v>
      </c>
      <c r="DF29" s="150">
        <f t="shared" si="65"/>
        <v>2.3432923257176337</v>
      </c>
      <c r="DG29" s="150">
        <f t="shared" si="66"/>
        <v>0.19478938397857323</v>
      </c>
      <c r="DH29" s="150"/>
      <c r="DI29" s="150">
        <f t="shared" si="67"/>
        <v>2.3432923257176337</v>
      </c>
      <c r="DJ29" s="314">
        <f t="shared" si="117"/>
        <v>153.62999999999994</v>
      </c>
      <c r="DK29" s="456">
        <f t="shared" si="68"/>
        <v>0.19478938397857321</v>
      </c>
      <c r="DM29" s="150">
        <f t="shared" si="69"/>
        <v>8.8337016994171638</v>
      </c>
      <c r="DN29" s="150">
        <f t="shared" si="70"/>
        <v>13.333333333333334</v>
      </c>
      <c r="DO29" s="150">
        <f t="shared" si="71"/>
        <v>1.0877885714285713</v>
      </c>
      <c r="DQ29" s="314">
        <f t="shared" si="72"/>
        <v>120</v>
      </c>
      <c r="DR29" s="144">
        <f t="shared" si="73"/>
        <v>153.62999999999994</v>
      </c>
      <c r="DT29">
        <f t="shared" si="74"/>
        <v>120</v>
      </c>
      <c r="DU29" s="144">
        <f t="shared" si="75"/>
        <v>153.62999999999994</v>
      </c>
      <c r="DV29" s="144"/>
      <c r="DW29" s="5">
        <f t="shared" si="118"/>
        <v>6.5091453492156504</v>
      </c>
      <c r="DX29" s="5">
        <f t="shared" si="76"/>
        <v>1.666666666666667</v>
      </c>
      <c r="DY29" s="5">
        <f t="shared" si="119"/>
        <v>4.8424786825489834</v>
      </c>
      <c r="DZ29" s="5">
        <f t="shared" si="77"/>
        <v>2.3432923257176337</v>
      </c>
      <c r="EA29" s="150">
        <f t="shared" si="120"/>
        <v>0.25604999999999994</v>
      </c>
      <c r="EB29" s="150">
        <f t="shared" si="78"/>
        <v>20.483999999999995</v>
      </c>
      <c r="EC29" s="150">
        <f t="shared" si="79"/>
        <v>0.24798333333333339</v>
      </c>
      <c r="ED29" s="150">
        <f t="shared" si="121"/>
        <v>82.602325425095728</v>
      </c>
      <c r="EE29" s="144">
        <f t="shared" si="80"/>
        <v>0.11764705882352942</v>
      </c>
      <c r="EF29" s="5">
        <f t="shared" si="81"/>
        <v>13.720356267222117</v>
      </c>
      <c r="EG29" s="5"/>
      <c r="EH29" s="150">
        <f t="shared" si="122"/>
        <v>3.8952963087977444</v>
      </c>
      <c r="EI29" s="150">
        <f t="shared" si="82"/>
        <v>0.33198616660158425</v>
      </c>
      <c r="EJ29" s="150"/>
      <c r="EK29" s="456">
        <f t="shared" si="83"/>
        <v>5.1589333333333327E-2</v>
      </c>
      <c r="EL29" s="456">
        <f t="shared" si="84"/>
        <v>1.2787423775999995</v>
      </c>
      <c r="EM29" s="456">
        <f t="shared" si="85"/>
        <v>3.5181269999999987E-2</v>
      </c>
      <c r="EN29" s="456">
        <f t="shared" si="86"/>
        <v>4.4376803501523732E-2</v>
      </c>
      <c r="EO29">
        <f t="shared" si="87"/>
        <v>5.4000000000000003E-3</v>
      </c>
      <c r="EP29" s="144">
        <f t="shared" si="123"/>
        <v>40.581269999999989</v>
      </c>
      <c r="EQ29" s="456">
        <f t="shared" si="88"/>
        <v>1.4469551387860926</v>
      </c>
      <c r="ER29" s="144">
        <f t="shared" si="124"/>
        <v>1446.9551387860927</v>
      </c>
      <c r="ES29" s="456">
        <f t="shared" si="125"/>
        <v>0.26624999999999999</v>
      </c>
      <c r="ET29" s="456"/>
      <c r="EV29" s="144">
        <f t="shared" si="126"/>
        <v>266.25</v>
      </c>
      <c r="EW29" s="456">
        <f t="shared" si="89"/>
        <v>2.2759999999999999E-2</v>
      </c>
      <c r="EX29" s="456">
        <f t="shared" si="90"/>
        <v>2.2042962962962973E-2</v>
      </c>
      <c r="EY29" s="456">
        <f t="shared" si="91"/>
        <v>9.495261336270941</v>
      </c>
      <c r="EZ29" s="456">
        <f t="shared" si="92"/>
        <v>9.5851725407720405</v>
      </c>
      <c r="FA29" s="456">
        <f t="shared" si="93"/>
        <v>2.7311999999999996E-2</v>
      </c>
      <c r="FB29" s="144">
        <f t="shared" si="127"/>
        <v>9612.4845407720404</v>
      </c>
      <c r="FC29" s="150">
        <f t="shared" si="128"/>
        <v>11.325689679558133</v>
      </c>
      <c r="FD29" s="5">
        <f t="shared" si="129"/>
        <v>20.399999999999999</v>
      </c>
      <c r="FE29" s="150">
        <f t="shared" si="130"/>
        <v>0.64301202609140962</v>
      </c>
      <c r="FF29" s="5">
        <f t="shared" si="131"/>
        <v>64.301202609140958</v>
      </c>
      <c r="FI29" s="59">
        <f t="shared" si="94"/>
        <v>-50</v>
      </c>
      <c r="FJ29">
        <f t="shared" si="95"/>
        <v>-50</v>
      </c>
      <c r="FL29">
        <f t="shared" si="96"/>
        <v>0.35999999999999988</v>
      </c>
    </row>
    <row r="30" spans="5:168">
      <c r="E30" s="147">
        <v>25</v>
      </c>
      <c r="F30" s="188">
        <f t="shared" si="97"/>
        <v>0.125</v>
      </c>
      <c r="G30" s="188"/>
      <c r="H30" s="188">
        <f t="shared" si="0"/>
        <v>21.25</v>
      </c>
      <c r="I30" s="465">
        <f t="shared" si="1"/>
        <v>11.967400381246467</v>
      </c>
      <c r="J30" s="149">
        <f t="shared" si="2"/>
        <v>8.5383264917095438</v>
      </c>
      <c r="K30" s="149">
        <f t="shared" si="3"/>
        <v>20.538326491709544</v>
      </c>
      <c r="L30" s="379"/>
      <c r="M30" s="188">
        <f t="shared" si="4"/>
        <v>0.41638760417836135</v>
      </c>
      <c r="N30" s="149">
        <f t="shared" si="5"/>
        <v>166.700541693773</v>
      </c>
      <c r="O30" s="149">
        <f t="shared" si="98"/>
        <v>21.25</v>
      </c>
      <c r="P30" s="188">
        <f t="shared" si="6"/>
        <v>0.98059142172807645</v>
      </c>
      <c r="Q30" s="188">
        <f t="shared" si="7"/>
        <v>170</v>
      </c>
      <c r="R30" s="188">
        <f t="shared" si="8"/>
        <v>0.97707395548831877</v>
      </c>
      <c r="S30" s="149">
        <f t="shared" si="9"/>
        <v>2952.0155029182079</v>
      </c>
      <c r="T30" s="149">
        <f t="shared" si="10"/>
        <v>170</v>
      </c>
      <c r="U30" s="188">
        <f t="shared" si="99"/>
        <v>8.567330022112964</v>
      </c>
      <c r="V30" s="188">
        <f t="shared" si="11"/>
        <v>1.0738334662311138</v>
      </c>
      <c r="W30" s="188">
        <f t="shared" si="12"/>
        <v>1.5050952953892514</v>
      </c>
      <c r="X30" s="172">
        <f t="shared" si="13"/>
        <v>249.15374213545641</v>
      </c>
      <c r="Y30" s="379">
        <f t="shared" si="14"/>
        <v>350</v>
      </c>
      <c r="AA30" s="188">
        <f t="shared" si="15"/>
        <v>13.333333333333332</v>
      </c>
      <c r="AB30" s="150">
        <f t="shared" si="16"/>
        <v>2.3423793900853278</v>
      </c>
      <c r="AC30" s="150">
        <f t="shared" si="17"/>
        <v>0.1945375301802425</v>
      </c>
      <c r="AD30" s="150"/>
      <c r="AE30" s="150">
        <f t="shared" si="18"/>
        <v>2.3423793900853283</v>
      </c>
      <c r="AF30" s="314">
        <f t="shared" si="100"/>
        <v>160.09362171955388</v>
      </c>
      <c r="AG30" s="456">
        <f t="shared" si="19"/>
        <v>0.19453753018024256</v>
      </c>
      <c r="AI30" s="150">
        <f t="shared" si="20"/>
        <v>9.0176158245480007</v>
      </c>
      <c r="AJ30" s="150">
        <f t="shared" si="21"/>
        <v>13.333333333333334</v>
      </c>
      <c r="AK30" s="150">
        <f t="shared" si="22"/>
        <v>1.0914820695540308</v>
      </c>
      <c r="AM30" s="314">
        <f t="shared" si="23"/>
        <v>125</v>
      </c>
      <c r="AN30" s="144">
        <f t="shared" si="24"/>
        <v>160.09362171955388</v>
      </c>
      <c r="AP30">
        <f t="shared" si="25"/>
        <v>125</v>
      </c>
      <c r="AQ30" s="144">
        <f t="shared" si="26"/>
        <v>160.09362171955388</v>
      </c>
      <c r="AR30" s="144"/>
      <c r="AS30" s="5">
        <f t="shared" si="101"/>
        <v>6.2463450402275438</v>
      </c>
      <c r="AT30" s="5">
        <f t="shared" si="27"/>
        <v>1.6712067251749205</v>
      </c>
      <c r="AU30" s="5">
        <f t="shared" si="102"/>
        <v>4.575138315052623</v>
      </c>
      <c r="AV30" s="5">
        <f t="shared" si="28"/>
        <v>2.3423793900853283</v>
      </c>
      <c r="AW30" s="150">
        <f t="shared" si="103"/>
        <v>0.26754953727532815</v>
      </c>
      <c r="AX30" s="150">
        <f t="shared" si="29"/>
        <v>21.345816229273858</v>
      </c>
      <c r="AY30" s="150">
        <f t="shared" si="30"/>
        <v>0.24415015424155731</v>
      </c>
      <c r="AZ30" s="150">
        <f t="shared" si="104"/>
        <v>87.429050764206082</v>
      </c>
      <c r="BA30" s="144">
        <f t="shared" si="31"/>
        <v>0.12288284743933238</v>
      </c>
      <c r="BB30" s="5">
        <f t="shared" si="32"/>
        <v>13.539795067944137</v>
      </c>
      <c r="BC30" s="5"/>
      <c r="BD30" s="150">
        <f t="shared" si="105"/>
        <v>3.9818070513390675</v>
      </c>
      <c r="BE30" s="150">
        <f t="shared" si="33"/>
        <v>0.32941035148111902</v>
      </c>
      <c r="BF30" s="150"/>
      <c r="BG30" s="456">
        <f t="shared" si="34"/>
        <v>5.3906277139917969E-2</v>
      </c>
      <c r="BH30" s="456">
        <f t="shared" si="35"/>
        <v>1.0499855863625165</v>
      </c>
      <c r="BI30" s="456">
        <f t="shared" si="36"/>
        <v>8.7748424707758621E-2</v>
      </c>
      <c r="BJ30" s="456">
        <f t="shared" si="37"/>
        <v>4.6258836786786571E-2</v>
      </c>
      <c r="BK30">
        <f t="shared" si="38"/>
        <v>5.3853301715609102E-3</v>
      </c>
      <c r="BL30" s="144">
        <f t="shared" si="106"/>
        <v>93.13375487931954</v>
      </c>
      <c r="BM30" s="456">
        <f t="shared" si="39"/>
        <v>1.1798166417495901</v>
      </c>
      <c r="BN30" s="144">
        <f t="shared" si="107"/>
        <v>1179.8166417495902</v>
      </c>
      <c r="BO30" s="456">
        <f t="shared" si="108"/>
        <v>0.27734375</v>
      </c>
      <c r="BP30" s="456"/>
      <c r="BR30" s="144">
        <f t="shared" si="109"/>
        <v>277.34375</v>
      </c>
      <c r="BS30" s="456">
        <f t="shared" si="40"/>
        <v>2.3782181091140282E-2</v>
      </c>
      <c r="BT30" s="456">
        <f t="shared" si="41"/>
        <v>2.1702235932582876E-2</v>
      </c>
      <c r="BU30" s="456">
        <f t="shared" si="42"/>
        <v>0.31874999999999998</v>
      </c>
      <c r="BV30" s="456">
        <f t="shared" si="43"/>
        <v>0.37652074322966794</v>
      </c>
      <c r="BW30" s="456">
        <f t="shared" si="44"/>
        <v>2.8461088305698476E-2</v>
      </c>
      <c r="BX30" s="144">
        <f t="shared" si="110"/>
        <v>404.98183153536644</v>
      </c>
      <c r="BY30" s="150">
        <f t="shared" si="45"/>
        <v>1.9552759781642761</v>
      </c>
      <c r="BZ30" s="5">
        <f t="shared" si="111"/>
        <v>21.25</v>
      </c>
      <c r="CA30" s="150">
        <f t="shared" si="112"/>
        <v>0.91574002481141981</v>
      </c>
      <c r="CB30" s="5">
        <f t="shared" si="113"/>
        <v>91.574002481141974</v>
      </c>
      <c r="CE30" s="59">
        <f t="shared" si="46"/>
        <v>-50</v>
      </c>
      <c r="CF30">
        <f t="shared" si="47"/>
        <v>-50</v>
      </c>
      <c r="CG30" s="150">
        <f t="shared" si="48"/>
        <v>0.37577126568917824</v>
      </c>
      <c r="CI30" s="147">
        <v>25</v>
      </c>
      <c r="CJ30" s="188">
        <f t="shared" si="114"/>
        <v>0.125</v>
      </c>
      <c r="CK30" s="188"/>
      <c r="CL30" s="188">
        <f t="shared" si="49"/>
        <v>21.25</v>
      </c>
      <c r="CM30" s="465">
        <f t="shared" si="50"/>
        <v>12</v>
      </c>
      <c r="CN30" s="149">
        <f t="shared" si="51"/>
        <v>8.5350000000000001</v>
      </c>
      <c r="CO30" s="379">
        <f t="shared" si="52"/>
        <v>20.535</v>
      </c>
      <c r="CP30" s="379"/>
      <c r="CQ30" s="188">
        <f t="shared" si="53"/>
        <v>0.4156318480642805</v>
      </c>
      <c r="CR30" s="149">
        <f t="shared" si="54"/>
        <v>166.85124908692478</v>
      </c>
      <c r="CS30" s="149">
        <f t="shared" si="115"/>
        <v>21.25</v>
      </c>
      <c r="CT30" s="188">
        <f t="shared" si="55"/>
        <v>0.98147793580543985</v>
      </c>
      <c r="CU30" s="188">
        <f t="shared" si="56"/>
        <v>170</v>
      </c>
      <c r="CV30" s="188">
        <f t="shared" si="57"/>
        <v>0.97795728956301287</v>
      </c>
      <c r="CW30" s="149">
        <f t="shared" si="58"/>
        <v>2960.0567422502513</v>
      </c>
      <c r="CX30" s="149">
        <f t="shared" si="59"/>
        <v>170</v>
      </c>
      <c r="CY30" s="188">
        <f t="shared" si="60"/>
        <v>8.5211628588166377</v>
      </c>
      <c r="CZ30" s="188">
        <f t="shared" si="61"/>
        <v>1.0651453573520797</v>
      </c>
      <c r="DA30" s="188">
        <f t="shared" si="62"/>
        <v>1.4975681649941368</v>
      </c>
      <c r="DB30" s="172">
        <f t="shared" si="63"/>
        <v>249.37910883856827</v>
      </c>
      <c r="DC30" s="379">
        <f t="shared" si="116"/>
        <v>350</v>
      </c>
      <c r="DE30" s="188">
        <f t="shared" si="64"/>
        <v>13.333333333333334</v>
      </c>
      <c r="DF30" s="150">
        <f t="shared" si="65"/>
        <v>2.3432923257176337</v>
      </c>
      <c r="DG30" s="150">
        <f t="shared" si="66"/>
        <v>0.19478938397857323</v>
      </c>
      <c r="DH30" s="150"/>
      <c r="DI30" s="150">
        <f t="shared" si="67"/>
        <v>2.3432923257176337</v>
      </c>
      <c r="DJ30" s="314">
        <f t="shared" si="117"/>
        <v>160.03124999999994</v>
      </c>
      <c r="DK30" s="456">
        <f t="shared" si="68"/>
        <v>0.19478938397857321</v>
      </c>
      <c r="DM30" s="150">
        <f t="shared" si="69"/>
        <v>9.0158590431369472</v>
      </c>
      <c r="DN30" s="150">
        <f t="shared" si="70"/>
        <v>13.333333333333334</v>
      </c>
      <c r="DO30" s="150">
        <f t="shared" si="71"/>
        <v>1.0914464285714285</v>
      </c>
      <c r="DQ30" s="314">
        <f t="shared" si="72"/>
        <v>125</v>
      </c>
      <c r="DR30" s="144">
        <f t="shared" si="73"/>
        <v>160.03124999999994</v>
      </c>
      <c r="DT30">
        <f t="shared" si="74"/>
        <v>125</v>
      </c>
      <c r="DU30" s="144">
        <f t="shared" si="75"/>
        <v>160.03124999999994</v>
      </c>
      <c r="DV30" s="144"/>
      <c r="DW30" s="5">
        <f t="shared" si="118"/>
        <v>6.2487795352470243</v>
      </c>
      <c r="DX30" s="5">
        <f t="shared" si="76"/>
        <v>1.666666666666667</v>
      </c>
      <c r="DY30" s="5">
        <f t="shared" si="119"/>
        <v>4.5821128685803574</v>
      </c>
      <c r="DZ30" s="5">
        <f t="shared" si="77"/>
        <v>2.3432923257176337</v>
      </c>
      <c r="EA30" s="150">
        <f t="shared" si="120"/>
        <v>0.26671874999999995</v>
      </c>
      <c r="EB30" s="150">
        <f t="shared" si="78"/>
        <v>21.337499999999999</v>
      </c>
      <c r="EC30" s="150">
        <f t="shared" si="79"/>
        <v>0.24442708333333341</v>
      </c>
      <c r="ED30" s="150">
        <f t="shared" si="121"/>
        <v>87.295972725335574</v>
      </c>
      <c r="EE30" s="144">
        <f t="shared" si="80"/>
        <v>0.12254901960784316</v>
      </c>
      <c r="EF30" s="5">
        <f t="shared" si="81"/>
        <v>13.523597007962859</v>
      </c>
      <c r="EG30" s="5"/>
      <c r="EH30" s="150">
        <f t="shared" si="122"/>
        <v>3.975620147292187</v>
      </c>
      <c r="EI30" s="150">
        <f t="shared" si="82"/>
        <v>0.32959711658213775</v>
      </c>
      <c r="EJ30" s="150"/>
      <c r="EK30" s="456">
        <f t="shared" si="83"/>
        <v>5.3738888888888871E-2</v>
      </c>
      <c r="EL30" s="456">
        <f t="shared" si="84"/>
        <v>1.3320233099999996</v>
      </c>
      <c r="EM30" s="456">
        <f t="shared" si="85"/>
        <v>3.6647156249999986E-2</v>
      </c>
      <c r="EN30" s="456">
        <f t="shared" si="86"/>
        <v>4.6225836980753887E-2</v>
      </c>
      <c r="EO30">
        <f t="shared" si="87"/>
        <v>5.4000000000000003E-3</v>
      </c>
      <c r="EP30" s="144">
        <f t="shared" si="123"/>
        <v>42.047156249999986</v>
      </c>
      <c r="EQ30" s="456">
        <f t="shared" si="88"/>
        <v>1.5077967842680191</v>
      </c>
      <c r="ER30" s="144">
        <f t="shared" si="124"/>
        <v>1507.7967842680191</v>
      </c>
      <c r="ES30" s="456">
        <f t="shared" si="125"/>
        <v>0.27734375</v>
      </c>
      <c r="ET30" s="456"/>
      <c r="EV30" s="144">
        <f t="shared" si="126"/>
        <v>277.34375</v>
      </c>
      <c r="EW30" s="456">
        <f t="shared" si="89"/>
        <v>2.3708333333333328E-2</v>
      </c>
      <c r="EX30" s="456">
        <f t="shared" si="90"/>
        <v>2.1726851851851862E-2</v>
      </c>
      <c r="EY30" s="456">
        <f t="shared" si="91"/>
        <v>10.515473654622999</v>
      </c>
      <c r="EZ30" s="456">
        <f t="shared" si="92"/>
        <v>10.610380050852283</v>
      </c>
      <c r="FA30" s="456">
        <f t="shared" si="93"/>
        <v>2.8449999999999996E-2</v>
      </c>
      <c r="FB30" s="144">
        <f t="shared" si="127"/>
        <v>10638.830050852283</v>
      </c>
      <c r="FC30" s="150">
        <f t="shared" si="128"/>
        <v>12.423970585120301</v>
      </c>
      <c r="FD30" s="5">
        <f t="shared" si="129"/>
        <v>21.25</v>
      </c>
      <c r="FE30" s="150">
        <f t="shared" si="130"/>
        <v>0.6310512134672307</v>
      </c>
      <c r="FF30" s="5">
        <f t="shared" si="131"/>
        <v>63.105121346723067</v>
      </c>
      <c r="FI30" s="59">
        <f t="shared" si="94"/>
        <v>-50</v>
      </c>
      <c r="FJ30">
        <f t="shared" si="95"/>
        <v>-50</v>
      </c>
      <c r="FL30">
        <f t="shared" si="96"/>
        <v>0.37499999999999989</v>
      </c>
    </row>
    <row r="31" spans="5:168">
      <c r="E31" s="147">
        <v>26</v>
      </c>
      <c r="F31" s="188">
        <f t="shared" si="97"/>
        <v>0.13</v>
      </c>
      <c r="G31" s="188"/>
      <c r="H31" s="188">
        <f t="shared" si="0"/>
        <v>22.1</v>
      </c>
      <c r="I31" s="465">
        <f t="shared" si="1"/>
        <v>11.967400381246467</v>
      </c>
      <c r="J31" s="149">
        <f t="shared" si="2"/>
        <v>8.5383264917095438</v>
      </c>
      <c r="K31" s="149">
        <f t="shared" si="3"/>
        <v>20.538326491709544</v>
      </c>
      <c r="L31" s="379"/>
      <c r="M31" s="188">
        <f t="shared" si="4"/>
        <v>0.41638760417836135</v>
      </c>
      <c r="N31" s="149">
        <f t="shared" si="5"/>
        <v>166.700541693773</v>
      </c>
      <c r="O31" s="149">
        <f t="shared" si="98"/>
        <v>22.1</v>
      </c>
      <c r="P31" s="188">
        <f t="shared" si="6"/>
        <v>0.98059142172807645</v>
      </c>
      <c r="Q31" s="188">
        <f t="shared" si="7"/>
        <v>170</v>
      </c>
      <c r="R31" s="188">
        <f t="shared" si="8"/>
        <v>0.97707395548831877</v>
      </c>
      <c r="S31" s="149">
        <f t="shared" si="9"/>
        <v>2829.2753958967905</v>
      </c>
      <c r="T31" s="149">
        <f t="shared" si="10"/>
        <v>170</v>
      </c>
      <c r="U31" s="188">
        <f t="shared" si="99"/>
        <v>8.9100232229974843</v>
      </c>
      <c r="V31" s="188">
        <f t="shared" si="11"/>
        <v>1.1167868048803586</v>
      </c>
      <c r="W31" s="188">
        <f t="shared" si="12"/>
        <v>1.5652991072048217</v>
      </c>
      <c r="X31" s="172">
        <f t="shared" si="13"/>
        <v>249.15374213545641</v>
      </c>
      <c r="Y31" s="379">
        <f t="shared" si="14"/>
        <v>346.9709198489864</v>
      </c>
      <c r="AA31" s="188">
        <f t="shared" si="15"/>
        <v>13.333333333333332</v>
      </c>
      <c r="AB31" s="150">
        <f t="shared" si="16"/>
        <v>2.3423793900853278</v>
      </c>
      <c r="AC31" s="150">
        <f t="shared" si="17"/>
        <v>0.1945375301802425</v>
      </c>
      <c r="AD31" s="150"/>
      <c r="AE31" s="150">
        <f t="shared" si="18"/>
        <v>2.3423793900853283</v>
      </c>
      <c r="AF31" s="314">
        <f t="shared" si="100"/>
        <v>166.49736658833606</v>
      </c>
      <c r="AG31" s="456">
        <f t="shared" si="19"/>
        <v>0.19453753018024256</v>
      </c>
      <c r="AI31" s="150">
        <f t="shared" si="20"/>
        <v>9.1961998110906684</v>
      </c>
      <c r="AJ31" s="150">
        <f t="shared" si="21"/>
        <v>13.333333333333334</v>
      </c>
      <c r="AK31" s="150">
        <f t="shared" si="22"/>
        <v>1.0951413523361921</v>
      </c>
      <c r="AM31" s="314">
        <f t="shared" si="23"/>
        <v>130</v>
      </c>
      <c r="AN31" s="144">
        <f t="shared" si="24"/>
        <v>166.49736658833606</v>
      </c>
      <c r="AP31">
        <f t="shared" si="25"/>
        <v>130</v>
      </c>
      <c r="AQ31" s="144">
        <f t="shared" si="26"/>
        <v>166.49736658833606</v>
      </c>
      <c r="AR31" s="144"/>
      <c r="AS31" s="5">
        <f t="shared" si="101"/>
        <v>6.0061010002187913</v>
      </c>
      <c r="AT31" s="5">
        <f t="shared" si="27"/>
        <v>1.6712067251749205</v>
      </c>
      <c r="AU31" s="5">
        <f t="shared" si="102"/>
        <v>4.3348942750438706</v>
      </c>
      <c r="AV31" s="5">
        <f t="shared" si="28"/>
        <v>2.3423793900853283</v>
      </c>
      <c r="AW31" s="150">
        <f t="shared" si="103"/>
        <v>0.27825151876634135</v>
      </c>
      <c r="AX31" s="150">
        <f t="shared" si="29"/>
        <v>22.199648878444815</v>
      </c>
      <c r="AY31" s="150">
        <f t="shared" si="30"/>
        <v>0.24058282707788625</v>
      </c>
      <c r="AZ31" s="150">
        <f t="shared" si="104"/>
        <v>92.274453451567027</v>
      </c>
      <c r="BA31" s="144">
        <f t="shared" si="31"/>
        <v>0.12779816133690572</v>
      </c>
      <c r="BB31" s="5">
        <f t="shared" si="32"/>
        <v>13.341962390400019</v>
      </c>
      <c r="BC31" s="5"/>
      <c r="BD31" s="150">
        <f t="shared" si="105"/>
        <v>4.0606623708278518</v>
      </c>
      <c r="BE31" s="150">
        <f t="shared" si="33"/>
        <v>0.32699495550161778</v>
      </c>
      <c r="BF31" s="150"/>
      <c r="BG31" s="456">
        <f t="shared" si="34"/>
        <v>5.6062528225514711E-2</v>
      </c>
      <c r="BH31" s="456">
        <f t="shared" si="35"/>
        <v>1.0919850098170174</v>
      </c>
      <c r="BI31" s="456">
        <f t="shared" si="36"/>
        <v>9.1258361696068976E-2</v>
      </c>
      <c r="BJ31" s="456">
        <f t="shared" si="37"/>
        <v>4.8109190258258043E-2</v>
      </c>
      <c r="BK31">
        <f t="shared" si="38"/>
        <v>5.3853301715609102E-3</v>
      </c>
      <c r="BL31" s="144">
        <f t="shared" si="106"/>
        <v>96.643691867629883</v>
      </c>
      <c r="BM31" s="456">
        <f t="shared" si="39"/>
        <v>1.2276464219358201</v>
      </c>
      <c r="BN31" s="144">
        <f t="shared" si="107"/>
        <v>1227.6464219358202</v>
      </c>
      <c r="BO31" s="456">
        <f t="shared" si="108"/>
        <v>0.28843750000000001</v>
      </c>
      <c r="BP31" s="456"/>
      <c r="BR31" s="144">
        <f t="shared" si="109"/>
        <v>288.4375</v>
      </c>
      <c r="BS31" s="456">
        <f t="shared" si="40"/>
        <v>2.4733468334785902E-2</v>
      </c>
      <c r="BT31" s="456">
        <f t="shared" si="41"/>
        <v>2.1385140184701001E-2</v>
      </c>
      <c r="BU31" s="456">
        <f t="shared" si="42"/>
        <v>0.33150000000000002</v>
      </c>
      <c r="BV31" s="456">
        <f t="shared" si="43"/>
        <v>0.39012644165502686</v>
      </c>
      <c r="BW31" s="456">
        <f t="shared" si="44"/>
        <v>2.9599531837926418E-2</v>
      </c>
      <c r="BX31" s="144">
        <f t="shared" si="110"/>
        <v>419.72597349295324</v>
      </c>
      <c r="BY31" s="150">
        <f t="shared" si="45"/>
        <v>2.0324535872964034</v>
      </c>
      <c r="BZ31" s="5">
        <f t="shared" si="111"/>
        <v>22.1</v>
      </c>
      <c r="CA31" s="150">
        <f t="shared" si="112"/>
        <v>0.91577923977169451</v>
      </c>
      <c r="CB31" s="5">
        <f t="shared" si="113"/>
        <v>91.577923977169448</v>
      </c>
      <c r="CE31" s="59">
        <f t="shared" si="46"/>
        <v>-50</v>
      </c>
      <c r="CF31">
        <f t="shared" si="47"/>
        <v>-50</v>
      </c>
      <c r="CG31" s="150">
        <f t="shared" si="48"/>
        <v>0.39080211631674538</v>
      </c>
      <c r="CI31" s="147">
        <v>26</v>
      </c>
      <c r="CJ31" s="188">
        <f t="shared" si="114"/>
        <v>0.13</v>
      </c>
      <c r="CK31" s="188"/>
      <c r="CL31" s="188">
        <f t="shared" si="49"/>
        <v>22.1</v>
      </c>
      <c r="CM31" s="465">
        <f t="shared" si="50"/>
        <v>12</v>
      </c>
      <c r="CN31" s="149">
        <f t="shared" si="51"/>
        <v>8.5350000000000001</v>
      </c>
      <c r="CO31" s="379">
        <f t="shared" si="52"/>
        <v>20.535</v>
      </c>
      <c r="CP31" s="379"/>
      <c r="CQ31" s="188">
        <f t="shared" si="53"/>
        <v>0.4156318480642805</v>
      </c>
      <c r="CR31" s="149">
        <f t="shared" si="54"/>
        <v>166.85124908692478</v>
      </c>
      <c r="CS31" s="149">
        <f t="shared" si="115"/>
        <v>22.1</v>
      </c>
      <c r="CT31" s="188">
        <f t="shared" si="55"/>
        <v>0.98147793580543985</v>
      </c>
      <c r="CU31" s="188">
        <f t="shared" si="56"/>
        <v>170</v>
      </c>
      <c r="CV31" s="188">
        <f t="shared" si="57"/>
        <v>0.97795728956301287</v>
      </c>
      <c r="CW31" s="149">
        <f t="shared" si="58"/>
        <v>2836.9822801683367</v>
      </c>
      <c r="CX31" s="149">
        <f t="shared" si="59"/>
        <v>170</v>
      </c>
      <c r="CY31" s="188">
        <f t="shared" si="60"/>
        <v>8.8620093731693039</v>
      </c>
      <c r="CZ31" s="188">
        <f t="shared" si="61"/>
        <v>1.107751171646163</v>
      </c>
      <c r="DA31" s="188">
        <f t="shared" si="62"/>
        <v>1.5574708915939024</v>
      </c>
      <c r="DB31" s="172">
        <f t="shared" si="63"/>
        <v>249.37910883856827</v>
      </c>
      <c r="DC31" s="379">
        <f t="shared" si="116"/>
        <v>350</v>
      </c>
      <c r="DE31" s="188">
        <f t="shared" si="64"/>
        <v>13.333333333333334</v>
      </c>
      <c r="DF31" s="150">
        <f t="shared" si="65"/>
        <v>2.3432923257176337</v>
      </c>
      <c r="DG31" s="150">
        <f t="shared" si="66"/>
        <v>0.19478938397857323</v>
      </c>
      <c r="DH31" s="150"/>
      <c r="DI31" s="150">
        <f t="shared" si="67"/>
        <v>2.3432923257176337</v>
      </c>
      <c r="DJ31" s="314">
        <f t="shared" si="117"/>
        <v>166.43249999999998</v>
      </c>
      <c r="DK31" s="456">
        <f t="shared" si="68"/>
        <v>0.19478938397857321</v>
      </c>
      <c r="DM31" s="150">
        <f t="shared" si="69"/>
        <v>9.1944082385514534</v>
      </c>
      <c r="DN31" s="150">
        <f t="shared" si="70"/>
        <v>13.333333333333334</v>
      </c>
      <c r="DO31" s="150">
        <f t="shared" si="71"/>
        <v>1.0951042857142856</v>
      </c>
      <c r="DQ31" s="314">
        <f t="shared" si="72"/>
        <v>130</v>
      </c>
      <c r="DR31" s="144">
        <f t="shared" si="73"/>
        <v>166.43249999999998</v>
      </c>
      <c r="DT31">
        <f t="shared" si="74"/>
        <v>130</v>
      </c>
      <c r="DU31" s="144">
        <f t="shared" si="75"/>
        <v>166.43249999999998</v>
      </c>
      <c r="DV31" s="144"/>
      <c r="DW31" s="5">
        <f t="shared" si="118"/>
        <v>6.0084418608144459</v>
      </c>
      <c r="DX31" s="5">
        <f t="shared" si="76"/>
        <v>1.666666666666667</v>
      </c>
      <c r="DY31" s="5">
        <f t="shared" si="119"/>
        <v>4.3417751941477789</v>
      </c>
      <c r="DZ31" s="5">
        <f t="shared" si="77"/>
        <v>2.3432923257176337</v>
      </c>
      <c r="EA31" s="150">
        <f t="shared" si="120"/>
        <v>0.27738749999999995</v>
      </c>
      <c r="EB31" s="150">
        <f t="shared" si="78"/>
        <v>22.191000000000003</v>
      </c>
      <c r="EC31" s="150">
        <f t="shared" si="79"/>
        <v>0.2408708333333334</v>
      </c>
      <c r="ED31" s="150">
        <f t="shared" si="121"/>
        <v>92.128215329792923</v>
      </c>
      <c r="EE31" s="144">
        <f t="shared" si="80"/>
        <v>0.12745098039215691</v>
      </c>
      <c r="EF31" s="5">
        <f t="shared" si="81"/>
        <v>13.326837748703598</v>
      </c>
      <c r="EG31" s="5"/>
      <c r="EH31" s="150">
        <f t="shared" si="122"/>
        <v>4.0543529419350968</v>
      </c>
      <c r="EI31" s="150">
        <f t="shared" si="82"/>
        <v>0.32719062288473938</v>
      </c>
      <c r="EJ31" s="150"/>
      <c r="EK31" s="456">
        <f t="shared" si="83"/>
        <v>5.5888444444444435E-2</v>
      </c>
      <c r="EL31" s="456">
        <f t="shared" si="84"/>
        <v>1.3853042423999997</v>
      </c>
      <c r="EM31" s="456">
        <f t="shared" si="85"/>
        <v>3.8113042499999993E-2</v>
      </c>
      <c r="EN31" s="456">
        <f t="shared" si="86"/>
        <v>4.8074870459984057E-2</v>
      </c>
      <c r="EO31">
        <f t="shared" si="87"/>
        <v>5.4000000000000003E-3</v>
      </c>
      <c r="EP31" s="144">
        <f t="shared" si="123"/>
        <v>43.513042499999997</v>
      </c>
      <c r="EQ31" s="456">
        <f t="shared" si="88"/>
        <v>1.5687014139658948</v>
      </c>
      <c r="ER31" s="144">
        <f t="shared" si="124"/>
        <v>1568.7014139658947</v>
      </c>
      <c r="ES31" s="456">
        <f t="shared" si="125"/>
        <v>0.28843750000000001</v>
      </c>
      <c r="ET31" s="456"/>
      <c r="EV31" s="144">
        <f t="shared" si="126"/>
        <v>288.4375</v>
      </c>
      <c r="EW31" s="456">
        <f t="shared" si="89"/>
        <v>2.4656666666666664E-2</v>
      </c>
      <c r="EX31" s="456">
        <f t="shared" si="90"/>
        <v>2.1410740740740748E-2</v>
      </c>
      <c r="EY31" s="456">
        <f t="shared" si="91"/>
        <v>11.598776711387272</v>
      </c>
      <c r="EZ31" s="456">
        <f t="shared" si="92"/>
        <v>11.699015762604583</v>
      </c>
      <c r="FA31" s="456">
        <f t="shared" si="93"/>
        <v>2.9588000000000003E-2</v>
      </c>
      <c r="FB31" s="144">
        <f t="shared" si="127"/>
        <v>11728.603762604584</v>
      </c>
      <c r="FC31" s="150">
        <f t="shared" si="128"/>
        <v>13.585742676570479</v>
      </c>
      <c r="FD31" s="5">
        <f t="shared" si="129"/>
        <v>22.1</v>
      </c>
      <c r="FE31" s="150">
        <f t="shared" si="130"/>
        <v>0.61929494365013682</v>
      </c>
      <c r="FF31" s="5">
        <f t="shared" si="131"/>
        <v>61.929494365013682</v>
      </c>
      <c r="FI31" s="59">
        <f t="shared" si="94"/>
        <v>-50</v>
      </c>
      <c r="FJ31">
        <f t="shared" si="95"/>
        <v>-50</v>
      </c>
      <c r="FL31">
        <f t="shared" si="96"/>
        <v>0.38999999999999996</v>
      </c>
    </row>
    <row r="32" spans="5:168">
      <c r="E32" s="147">
        <v>27</v>
      </c>
      <c r="F32" s="188">
        <f t="shared" si="97"/>
        <v>0.13500000000000001</v>
      </c>
      <c r="G32" s="188"/>
      <c r="H32" s="188">
        <f t="shared" si="0"/>
        <v>22.950000000000003</v>
      </c>
      <c r="I32" s="465">
        <f t="shared" si="1"/>
        <v>11.967400381246467</v>
      </c>
      <c r="J32" s="149">
        <f t="shared" si="2"/>
        <v>8.5383264917095438</v>
      </c>
      <c r="K32" s="149">
        <f t="shared" si="3"/>
        <v>20.538326491709544</v>
      </c>
      <c r="L32" s="379"/>
      <c r="M32" s="188">
        <f t="shared" si="4"/>
        <v>0.41638760417836135</v>
      </c>
      <c r="N32" s="149">
        <f t="shared" si="5"/>
        <v>166.700541693773</v>
      </c>
      <c r="O32" s="149">
        <f t="shared" si="98"/>
        <v>22.950000000000003</v>
      </c>
      <c r="P32" s="188">
        <f t="shared" si="6"/>
        <v>0.98059142172807645</v>
      </c>
      <c r="Q32" s="188">
        <f t="shared" si="7"/>
        <v>170</v>
      </c>
      <c r="R32" s="188">
        <f t="shared" si="8"/>
        <v>0.97707395548831877</v>
      </c>
      <c r="S32" s="149">
        <f t="shared" si="9"/>
        <v>2715.6273469537164</v>
      </c>
      <c r="T32" s="149">
        <f t="shared" si="10"/>
        <v>170</v>
      </c>
      <c r="U32" s="188">
        <f t="shared" si="99"/>
        <v>9.2527164238820028</v>
      </c>
      <c r="V32" s="188">
        <f t="shared" si="11"/>
        <v>1.1597401435296031</v>
      </c>
      <c r="W32" s="188">
        <f t="shared" si="12"/>
        <v>1.6255029190203918</v>
      </c>
      <c r="X32" s="172">
        <f t="shared" si="13"/>
        <v>249.15374213545641</v>
      </c>
      <c r="Y32" s="379">
        <f t="shared" si="14"/>
        <v>334.98109837186922</v>
      </c>
      <c r="AA32" s="188">
        <f t="shared" si="15"/>
        <v>13.333333333333332</v>
      </c>
      <c r="AB32" s="150">
        <f t="shared" si="16"/>
        <v>2.3423793900853278</v>
      </c>
      <c r="AC32" s="150">
        <f t="shared" si="17"/>
        <v>0.1945375301802425</v>
      </c>
      <c r="AD32" s="150"/>
      <c r="AE32" s="150">
        <f t="shared" si="18"/>
        <v>2.3423793900853283</v>
      </c>
      <c r="AF32" s="314">
        <f t="shared" si="100"/>
        <v>172.90111145711822</v>
      </c>
      <c r="AG32" s="456">
        <f t="shared" si="19"/>
        <v>0.19453753018024256</v>
      </c>
      <c r="AI32" s="150">
        <f t="shared" si="20"/>
        <v>9.3713812627525517</v>
      </c>
      <c r="AJ32" s="150">
        <f t="shared" si="21"/>
        <v>13.333333333333334</v>
      </c>
      <c r="AK32" s="150">
        <f t="shared" si="22"/>
        <v>1.0988006351183532</v>
      </c>
      <c r="AM32" s="314">
        <f t="shared" si="23"/>
        <v>135</v>
      </c>
      <c r="AN32" s="144">
        <f t="shared" si="24"/>
        <v>172.90111145711822</v>
      </c>
      <c r="AP32">
        <f t="shared" si="25"/>
        <v>135</v>
      </c>
      <c r="AQ32" s="144">
        <f t="shared" si="26"/>
        <v>172.90111145711822</v>
      </c>
      <c r="AR32" s="144"/>
      <c r="AS32" s="5">
        <f t="shared" si="101"/>
        <v>5.7836528150255031</v>
      </c>
      <c r="AT32" s="5">
        <f t="shared" si="27"/>
        <v>1.6712067251749205</v>
      </c>
      <c r="AU32" s="5">
        <f t="shared" si="102"/>
        <v>4.1124460898505824</v>
      </c>
      <c r="AV32" s="5">
        <f t="shared" si="28"/>
        <v>2.3423793900853283</v>
      </c>
      <c r="AW32" s="150">
        <f t="shared" si="103"/>
        <v>0.28895350025735445</v>
      </c>
      <c r="AX32" s="150">
        <f t="shared" si="29"/>
        <v>23.053481527615769</v>
      </c>
      <c r="AY32" s="150">
        <f t="shared" si="30"/>
        <v>0.23701549991421522</v>
      </c>
      <c r="AZ32" s="150">
        <f t="shared" si="104"/>
        <v>97.265712731697661</v>
      </c>
      <c r="BA32" s="144">
        <f t="shared" si="31"/>
        <v>0.13271347523447902</v>
      </c>
      <c r="BB32" s="5">
        <f t="shared" si="32"/>
        <v>13.144129712855905</v>
      </c>
      <c r="BC32" s="5"/>
      <c r="BD32" s="150">
        <f t="shared" si="105"/>
        <v>4.1380152713131704</v>
      </c>
      <c r="BE32" s="150">
        <f t="shared" si="33"/>
        <v>0.32456158457848283</v>
      </c>
      <c r="BF32" s="150"/>
      <c r="BG32" s="456">
        <f t="shared" si="34"/>
        <v>5.821877931111144E-2</v>
      </c>
      <c r="BH32" s="456">
        <f t="shared" si="35"/>
        <v>1.1339844332715179</v>
      </c>
      <c r="BI32" s="456">
        <f t="shared" si="36"/>
        <v>9.4768298684379318E-2</v>
      </c>
      <c r="BJ32" s="456">
        <f t="shared" si="37"/>
        <v>4.9959543729729508E-2</v>
      </c>
      <c r="BK32">
        <f t="shared" si="38"/>
        <v>5.3853301715609102E-3</v>
      </c>
      <c r="BL32" s="144">
        <f t="shared" si="106"/>
        <v>100.15362885594023</v>
      </c>
      <c r="BM32" s="456">
        <f t="shared" si="39"/>
        <v>1.2755258983683315</v>
      </c>
      <c r="BN32" s="144">
        <f t="shared" si="107"/>
        <v>1275.5258983683316</v>
      </c>
      <c r="BO32" s="456">
        <f t="shared" si="108"/>
        <v>0.29953125000000003</v>
      </c>
      <c r="BP32" s="456"/>
      <c r="BR32" s="144">
        <f t="shared" si="109"/>
        <v>299.53125</v>
      </c>
      <c r="BS32" s="456">
        <f t="shared" si="40"/>
        <v>2.5684755578431518E-2</v>
      </c>
      <c r="BT32" s="456">
        <f t="shared" si="41"/>
        <v>2.1068044436819134E-2</v>
      </c>
      <c r="BU32" s="456">
        <f t="shared" si="42"/>
        <v>0.34425000000000006</v>
      </c>
      <c r="BV32" s="456">
        <f t="shared" si="43"/>
        <v>0.40373352584236366</v>
      </c>
      <c r="BW32" s="456">
        <f t="shared" si="44"/>
        <v>3.0737975370154356E-2</v>
      </c>
      <c r="BX32" s="144">
        <f t="shared" si="110"/>
        <v>434.47150121251804</v>
      </c>
      <c r="BY32" s="150">
        <f t="shared" si="45"/>
        <v>2.1096822784367895</v>
      </c>
      <c r="BZ32" s="5">
        <f t="shared" si="111"/>
        <v>22.950000000000003</v>
      </c>
      <c r="CA32" s="150">
        <f t="shared" si="112"/>
        <v>0.91581368610358971</v>
      </c>
      <c r="CB32" s="5">
        <f t="shared" si="113"/>
        <v>91.581368610358965</v>
      </c>
      <c r="CE32" s="59">
        <f t="shared" si="46"/>
        <v>-50</v>
      </c>
      <c r="CF32">
        <f t="shared" si="47"/>
        <v>-50</v>
      </c>
      <c r="CG32" s="150">
        <f t="shared" si="48"/>
        <v>0.40583296694431253</v>
      </c>
      <c r="CI32" s="147">
        <v>27</v>
      </c>
      <c r="CJ32" s="188">
        <f t="shared" si="114"/>
        <v>0.13500000000000001</v>
      </c>
      <c r="CK32" s="188"/>
      <c r="CL32" s="188">
        <f t="shared" si="49"/>
        <v>22.950000000000003</v>
      </c>
      <c r="CM32" s="465">
        <f t="shared" si="50"/>
        <v>12</v>
      </c>
      <c r="CN32" s="149">
        <f t="shared" si="51"/>
        <v>8.5350000000000001</v>
      </c>
      <c r="CO32" s="379">
        <f t="shared" si="52"/>
        <v>20.535</v>
      </c>
      <c r="CP32" s="379"/>
      <c r="CQ32" s="188">
        <f t="shared" si="53"/>
        <v>0.4156318480642805</v>
      </c>
      <c r="CR32" s="149">
        <f t="shared" si="54"/>
        <v>166.85124908692478</v>
      </c>
      <c r="CS32" s="149">
        <f t="shared" si="115"/>
        <v>22.950000000000003</v>
      </c>
      <c r="CT32" s="188">
        <f t="shared" si="55"/>
        <v>0.98147793580543985</v>
      </c>
      <c r="CU32" s="188">
        <f t="shared" si="56"/>
        <v>170</v>
      </c>
      <c r="CV32" s="188">
        <f t="shared" si="57"/>
        <v>0.97795728956301287</v>
      </c>
      <c r="CW32" s="149">
        <f t="shared" si="58"/>
        <v>2723.0246432067493</v>
      </c>
      <c r="CX32" s="149">
        <f t="shared" si="59"/>
        <v>170</v>
      </c>
      <c r="CY32" s="188">
        <f t="shared" si="60"/>
        <v>9.2028558875219684</v>
      </c>
      <c r="CZ32" s="188">
        <f t="shared" si="61"/>
        <v>1.150356985940246</v>
      </c>
      <c r="DA32" s="188">
        <f t="shared" si="62"/>
        <v>1.6173736181936678</v>
      </c>
      <c r="DB32" s="172">
        <f t="shared" si="63"/>
        <v>249.37910883856827</v>
      </c>
      <c r="DC32" s="379">
        <f t="shared" si="116"/>
        <v>350</v>
      </c>
      <c r="DE32" s="188">
        <f t="shared" si="64"/>
        <v>13.333333333333334</v>
      </c>
      <c r="DF32" s="150">
        <f t="shared" si="65"/>
        <v>2.3432923257176337</v>
      </c>
      <c r="DG32" s="150">
        <f t="shared" si="66"/>
        <v>0.19478938397857323</v>
      </c>
      <c r="DH32" s="150"/>
      <c r="DI32" s="150">
        <f t="shared" si="67"/>
        <v>2.3432923257176337</v>
      </c>
      <c r="DJ32" s="314">
        <f t="shared" si="117"/>
        <v>172.83374999999998</v>
      </c>
      <c r="DK32" s="456">
        <f t="shared" si="68"/>
        <v>0.19478938397857321</v>
      </c>
      <c r="DM32" s="150">
        <f t="shared" si="69"/>
        <v>9.3695555619555098</v>
      </c>
      <c r="DN32" s="150">
        <f t="shared" si="70"/>
        <v>13.333333333333334</v>
      </c>
      <c r="DO32" s="150">
        <f t="shared" si="71"/>
        <v>1.0987621428571428</v>
      </c>
      <c r="DQ32" s="314">
        <f t="shared" si="72"/>
        <v>135</v>
      </c>
      <c r="DR32" s="144">
        <f t="shared" si="73"/>
        <v>172.83374999999998</v>
      </c>
      <c r="DT32">
        <f t="shared" si="74"/>
        <v>135</v>
      </c>
      <c r="DU32" s="144">
        <f t="shared" si="75"/>
        <v>172.83374999999998</v>
      </c>
      <c r="DV32" s="144"/>
      <c r="DW32" s="5">
        <f t="shared" si="118"/>
        <v>5.7859069770805762</v>
      </c>
      <c r="DX32" s="5">
        <f t="shared" si="76"/>
        <v>1.666666666666667</v>
      </c>
      <c r="DY32" s="5">
        <f t="shared" si="119"/>
        <v>4.1192403104139093</v>
      </c>
      <c r="DZ32" s="5">
        <f t="shared" si="77"/>
        <v>2.3432923257176337</v>
      </c>
      <c r="EA32" s="150">
        <f t="shared" si="120"/>
        <v>0.28805625000000001</v>
      </c>
      <c r="EB32" s="150">
        <f t="shared" si="78"/>
        <v>23.044500000000003</v>
      </c>
      <c r="EC32" s="150">
        <f t="shared" si="79"/>
        <v>0.23731458333333336</v>
      </c>
      <c r="ED32" s="150">
        <f t="shared" si="121"/>
        <v>97.105283949750245</v>
      </c>
      <c r="EE32" s="144">
        <f t="shared" si="80"/>
        <v>0.13235294117647062</v>
      </c>
      <c r="EF32" s="5">
        <f t="shared" si="81"/>
        <v>13.130078489444337</v>
      </c>
      <c r="EG32" s="5"/>
      <c r="EH32" s="150">
        <f t="shared" si="122"/>
        <v>4.1315856520227197</v>
      </c>
      <c r="EI32" s="150">
        <f t="shared" si="82"/>
        <v>0.32476629774061866</v>
      </c>
      <c r="EJ32" s="150"/>
      <c r="EK32" s="456">
        <f t="shared" si="83"/>
        <v>5.8037999999999999E-2</v>
      </c>
      <c r="EL32" s="456">
        <f t="shared" si="84"/>
        <v>1.4385851748</v>
      </c>
      <c r="EM32" s="456">
        <f t="shared" si="85"/>
        <v>3.9578928749999992E-2</v>
      </c>
      <c r="EN32" s="456">
        <f t="shared" si="86"/>
        <v>4.9923903939214205E-2</v>
      </c>
      <c r="EO32">
        <f t="shared" si="87"/>
        <v>5.4000000000000003E-3</v>
      </c>
      <c r="EP32" s="144">
        <f t="shared" si="123"/>
        <v>44.978928749999994</v>
      </c>
      <c r="EQ32" s="456">
        <f t="shared" si="88"/>
        <v>1.6296691257337281</v>
      </c>
      <c r="ER32" s="144">
        <f t="shared" si="124"/>
        <v>1629.6691257337282</v>
      </c>
      <c r="ES32" s="456">
        <f t="shared" si="125"/>
        <v>0.29953125000000003</v>
      </c>
      <c r="ET32" s="456"/>
      <c r="EV32" s="144">
        <f t="shared" si="126"/>
        <v>299.53125</v>
      </c>
      <c r="EW32" s="456">
        <f t="shared" si="89"/>
        <v>2.5604999999999999E-2</v>
      </c>
      <c r="EX32" s="456">
        <f t="shared" si="90"/>
        <v>2.1094629629629633E-2</v>
      </c>
      <c r="EY32" s="456">
        <f t="shared" si="91"/>
        <v>12.746420111279669</v>
      </c>
      <c r="EZ32" s="456">
        <f t="shared" si="92"/>
        <v>12.852343627000703</v>
      </c>
      <c r="FA32" s="456">
        <f t="shared" si="93"/>
        <v>3.0726000000000003E-2</v>
      </c>
      <c r="FB32" s="144">
        <f t="shared" si="127"/>
        <v>12883.069627000703</v>
      </c>
      <c r="FC32" s="150">
        <f t="shared" si="128"/>
        <v>14.812270002734431</v>
      </c>
      <c r="FD32" s="5">
        <f t="shared" si="129"/>
        <v>22.950000000000003</v>
      </c>
      <c r="FE32" s="150">
        <f t="shared" si="130"/>
        <v>0.60774948111800886</v>
      </c>
      <c r="FF32" s="5">
        <f t="shared" si="131"/>
        <v>60.774948111800889</v>
      </c>
      <c r="FI32" s="59">
        <f t="shared" si="94"/>
        <v>-50</v>
      </c>
      <c r="FJ32">
        <f t="shared" si="95"/>
        <v>-50</v>
      </c>
      <c r="FL32">
        <f t="shared" si="96"/>
        <v>0.40499999999999997</v>
      </c>
    </row>
    <row r="33" spans="5:168">
      <c r="E33" s="147">
        <v>28</v>
      </c>
      <c r="F33" s="188">
        <f t="shared" si="97"/>
        <v>0.14000000000000001</v>
      </c>
      <c r="G33" s="188"/>
      <c r="H33" s="188">
        <f t="shared" si="0"/>
        <v>23.8</v>
      </c>
      <c r="I33" s="465">
        <f t="shared" si="1"/>
        <v>11.967400381246467</v>
      </c>
      <c r="J33" s="149">
        <f t="shared" si="2"/>
        <v>8.5383264917095438</v>
      </c>
      <c r="K33" s="149">
        <f t="shared" si="3"/>
        <v>20.538326491709544</v>
      </c>
      <c r="L33" s="379"/>
      <c r="M33" s="188">
        <f t="shared" si="4"/>
        <v>0.41638760417836135</v>
      </c>
      <c r="N33" s="149">
        <f t="shared" si="5"/>
        <v>166.700541693773</v>
      </c>
      <c r="O33" s="149">
        <f t="shared" si="98"/>
        <v>23.8</v>
      </c>
      <c r="P33" s="188">
        <f t="shared" si="6"/>
        <v>0.98059142172807645</v>
      </c>
      <c r="Q33" s="188">
        <f t="shared" si="7"/>
        <v>170</v>
      </c>
      <c r="R33" s="188">
        <f t="shared" si="8"/>
        <v>0.97707395548831877</v>
      </c>
      <c r="S33" s="149">
        <f t="shared" si="9"/>
        <v>2610.0972088798626</v>
      </c>
      <c r="T33" s="149">
        <f t="shared" si="10"/>
        <v>170</v>
      </c>
      <c r="U33" s="188">
        <f t="shared" si="99"/>
        <v>9.5954096247665213</v>
      </c>
      <c r="V33" s="188">
        <f t="shared" si="11"/>
        <v>1.2026934821788475</v>
      </c>
      <c r="W33" s="188">
        <f t="shared" si="12"/>
        <v>1.6857067308359617</v>
      </c>
      <c r="X33" s="172">
        <f t="shared" si="13"/>
        <v>249.15374213545641</v>
      </c>
      <c r="Y33" s="379">
        <f t="shared" si="14"/>
        <v>323.79223255648861</v>
      </c>
      <c r="AA33" s="188">
        <f t="shared" si="15"/>
        <v>13.333333333333332</v>
      </c>
      <c r="AB33" s="150">
        <f t="shared" si="16"/>
        <v>2.3423793900853278</v>
      </c>
      <c r="AC33" s="150">
        <f t="shared" si="17"/>
        <v>0.1945375301802425</v>
      </c>
      <c r="AD33" s="150"/>
      <c r="AE33" s="150">
        <f t="shared" si="18"/>
        <v>2.3423793900853283</v>
      </c>
      <c r="AF33" s="314">
        <f t="shared" si="100"/>
        <v>179.30485632590037</v>
      </c>
      <c r="AG33" s="456">
        <f t="shared" si="19"/>
        <v>0.19453753018024256</v>
      </c>
      <c r="AI33" s="150">
        <f t="shared" si="20"/>
        <v>9.5433475561898682</v>
      </c>
      <c r="AJ33" s="150">
        <f t="shared" si="21"/>
        <v>13.333333333333334</v>
      </c>
      <c r="AK33" s="150">
        <f t="shared" si="22"/>
        <v>1.1024599179005146</v>
      </c>
      <c r="AM33" s="314">
        <f t="shared" si="23"/>
        <v>140</v>
      </c>
      <c r="AN33" s="144">
        <f t="shared" si="24"/>
        <v>179.30485632590037</v>
      </c>
      <c r="AP33">
        <f t="shared" si="25"/>
        <v>140</v>
      </c>
      <c r="AQ33" s="144">
        <f t="shared" si="26"/>
        <v>179.30485632590037</v>
      </c>
      <c r="AR33" s="144"/>
      <c r="AS33" s="5">
        <f t="shared" si="101"/>
        <v>5.577093785917449</v>
      </c>
      <c r="AT33" s="5">
        <f t="shared" si="27"/>
        <v>1.6712067251749205</v>
      </c>
      <c r="AU33" s="5">
        <f t="shared" si="102"/>
        <v>3.9058870607425282</v>
      </c>
      <c r="AV33" s="5">
        <f t="shared" si="28"/>
        <v>2.3423793900853283</v>
      </c>
      <c r="AW33" s="150">
        <f t="shared" si="103"/>
        <v>0.29965548174836759</v>
      </c>
      <c r="AX33" s="150">
        <f t="shared" si="29"/>
        <v>23.907314176786723</v>
      </c>
      <c r="AY33" s="150">
        <f t="shared" si="30"/>
        <v>0.23344817275054414</v>
      </c>
      <c r="AZ33" s="150">
        <f t="shared" si="104"/>
        <v>102.4095151189441</v>
      </c>
      <c r="BA33" s="144">
        <f t="shared" si="31"/>
        <v>0.13762878913205229</v>
      </c>
      <c r="BB33" s="5">
        <f t="shared" si="32"/>
        <v>12.946297035311785</v>
      </c>
      <c r="BC33" s="5"/>
      <c r="BD33" s="150">
        <f t="shared" si="105"/>
        <v>4.2139484905946283</v>
      </c>
      <c r="BE33" s="150">
        <f t="shared" si="33"/>
        <v>0.32210983133814203</v>
      </c>
      <c r="BF33" s="150"/>
      <c r="BG33" s="456">
        <f t="shared" si="34"/>
        <v>6.0375030396708135E-2</v>
      </c>
      <c r="BH33" s="456">
        <f t="shared" si="35"/>
        <v>1.1759838567260186</v>
      </c>
      <c r="BI33" s="456">
        <f t="shared" si="36"/>
        <v>9.8278235672689673E-2</v>
      </c>
      <c r="BJ33" s="456">
        <f t="shared" si="37"/>
        <v>5.1809897201200973E-2</v>
      </c>
      <c r="BK33">
        <f t="shared" si="38"/>
        <v>5.3853301715609102E-3</v>
      </c>
      <c r="BL33" s="144">
        <f t="shared" si="106"/>
        <v>103.66356584425058</v>
      </c>
      <c r="BM33" s="456">
        <f t="shared" si="39"/>
        <v>1.3234551485407045</v>
      </c>
      <c r="BN33" s="144">
        <f t="shared" si="107"/>
        <v>1323.4551485407044</v>
      </c>
      <c r="BO33" s="456">
        <f t="shared" si="108"/>
        <v>0.31062500000000004</v>
      </c>
      <c r="BP33" s="456"/>
      <c r="BR33" s="144">
        <f t="shared" si="109"/>
        <v>310.62500000000006</v>
      </c>
      <c r="BS33" s="456">
        <f t="shared" si="40"/>
        <v>2.663604282207712E-2</v>
      </c>
      <c r="BT33" s="456">
        <f t="shared" si="41"/>
        <v>2.075094868893726E-2</v>
      </c>
      <c r="BU33" s="456">
        <f t="shared" si="42"/>
        <v>0.35699999999999998</v>
      </c>
      <c r="BV33" s="456">
        <f t="shared" si="43"/>
        <v>0.41734199600340205</v>
      </c>
      <c r="BW33" s="456">
        <f t="shared" si="44"/>
        <v>3.1876418902382297E-2</v>
      </c>
      <c r="BX33" s="144">
        <f t="shared" si="110"/>
        <v>449.21841490578436</v>
      </c>
      <c r="BY33" s="150">
        <f t="shared" si="45"/>
        <v>2.1869621292907393</v>
      </c>
      <c r="BZ33" s="5">
        <f t="shared" si="111"/>
        <v>23.8</v>
      </c>
      <c r="CA33" s="150">
        <f t="shared" si="112"/>
        <v>0.9158438713070759</v>
      </c>
      <c r="CB33" s="5">
        <f t="shared" si="113"/>
        <v>91.584387130707583</v>
      </c>
      <c r="CE33" s="59">
        <f t="shared" si="46"/>
        <v>-50</v>
      </c>
      <c r="CF33">
        <f t="shared" si="47"/>
        <v>-50</v>
      </c>
      <c r="CG33" s="150">
        <f t="shared" si="48"/>
        <v>0.42086381757187968</v>
      </c>
      <c r="CI33" s="147">
        <v>28</v>
      </c>
      <c r="CJ33" s="188">
        <f t="shared" si="114"/>
        <v>0.14000000000000001</v>
      </c>
      <c r="CK33" s="188"/>
      <c r="CL33" s="188">
        <f t="shared" si="49"/>
        <v>23.8</v>
      </c>
      <c r="CM33" s="465">
        <f t="shared" si="50"/>
        <v>12</v>
      </c>
      <c r="CN33" s="149">
        <f t="shared" si="51"/>
        <v>8.5350000000000001</v>
      </c>
      <c r="CO33" s="379">
        <f t="shared" si="52"/>
        <v>20.535</v>
      </c>
      <c r="CP33" s="379"/>
      <c r="CQ33" s="188">
        <f t="shared" si="53"/>
        <v>0.4156318480642805</v>
      </c>
      <c r="CR33" s="149">
        <f t="shared" si="54"/>
        <v>166.85124908692478</v>
      </c>
      <c r="CS33" s="149">
        <f t="shared" si="115"/>
        <v>23.8</v>
      </c>
      <c r="CT33" s="188">
        <f t="shared" si="55"/>
        <v>0.98147793580543985</v>
      </c>
      <c r="CU33" s="188">
        <f t="shared" si="56"/>
        <v>170</v>
      </c>
      <c r="CV33" s="188">
        <f t="shared" si="57"/>
        <v>0.97795728956301287</v>
      </c>
      <c r="CW33" s="149">
        <f t="shared" si="58"/>
        <v>2617.2070305447546</v>
      </c>
      <c r="CX33" s="149">
        <f t="shared" si="59"/>
        <v>170</v>
      </c>
      <c r="CY33" s="188">
        <f t="shared" si="60"/>
        <v>9.5437024018746346</v>
      </c>
      <c r="CZ33" s="188">
        <f t="shared" si="61"/>
        <v>1.1929628002343293</v>
      </c>
      <c r="DA33" s="188">
        <f t="shared" si="62"/>
        <v>1.6772763447934333</v>
      </c>
      <c r="DB33" s="172">
        <f t="shared" si="63"/>
        <v>249.37910883856827</v>
      </c>
      <c r="DC33" s="379">
        <f t="shared" si="116"/>
        <v>348.40302479057971</v>
      </c>
      <c r="DE33" s="188">
        <f t="shared" si="64"/>
        <v>13.333333333333334</v>
      </c>
      <c r="DF33" s="150">
        <f t="shared" si="65"/>
        <v>2.3432923257176337</v>
      </c>
      <c r="DG33" s="150">
        <f t="shared" si="66"/>
        <v>0.19478938397857323</v>
      </c>
      <c r="DH33" s="150"/>
      <c r="DI33" s="150">
        <f t="shared" si="67"/>
        <v>2.3432923257176337</v>
      </c>
      <c r="DJ33" s="314">
        <f t="shared" si="117"/>
        <v>179.23499999999996</v>
      </c>
      <c r="DK33" s="456">
        <f t="shared" si="68"/>
        <v>0.19478938397857321</v>
      </c>
      <c r="DM33" s="150">
        <f t="shared" si="69"/>
        <v>9.5414883535012507</v>
      </c>
      <c r="DN33" s="150">
        <f t="shared" si="70"/>
        <v>13.333333333333334</v>
      </c>
      <c r="DO33" s="150">
        <f t="shared" si="71"/>
        <v>1.10242</v>
      </c>
      <c r="DQ33" s="314">
        <f t="shared" si="72"/>
        <v>140</v>
      </c>
      <c r="DR33" s="144">
        <f t="shared" si="73"/>
        <v>179.23499999999996</v>
      </c>
      <c r="DT33">
        <f t="shared" si="74"/>
        <v>140</v>
      </c>
      <c r="DU33" s="144">
        <f t="shared" si="75"/>
        <v>179.23499999999996</v>
      </c>
      <c r="DV33" s="144"/>
      <c r="DW33" s="5">
        <f t="shared" si="118"/>
        <v>5.5792674421848423</v>
      </c>
      <c r="DX33" s="5">
        <f t="shared" si="76"/>
        <v>1.666666666666667</v>
      </c>
      <c r="DY33" s="5">
        <f t="shared" si="119"/>
        <v>3.9126007755181753</v>
      </c>
      <c r="DZ33" s="5">
        <f t="shared" si="77"/>
        <v>2.3432923257176337</v>
      </c>
      <c r="EA33" s="150">
        <f t="shared" si="120"/>
        <v>0.29872500000000002</v>
      </c>
      <c r="EB33" s="150">
        <f t="shared" si="78"/>
        <v>23.898</v>
      </c>
      <c r="EC33" s="150">
        <f t="shared" si="79"/>
        <v>0.23375833333333335</v>
      </c>
      <c r="ED33" s="150">
        <f t="shared" si="121"/>
        <v>102.2337884567395</v>
      </c>
      <c r="EE33" s="144">
        <f t="shared" si="80"/>
        <v>0.13725490196078433</v>
      </c>
      <c r="EF33" s="5">
        <f t="shared" si="81"/>
        <v>12.933319230185077</v>
      </c>
      <c r="EG33" s="5"/>
      <c r="EH33" s="150">
        <f t="shared" si="122"/>
        <v>4.2074008867972426</v>
      </c>
      <c r="EI33" s="150">
        <f t="shared" si="82"/>
        <v>0.32232373879780035</v>
      </c>
      <c r="EJ33" s="150"/>
      <c r="EK33" s="456">
        <f t="shared" si="83"/>
        <v>6.018755555555555E-2</v>
      </c>
      <c r="EL33" s="456">
        <f t="shared" si="84"/>
        <v>1.4918661071999999</v>
      </c>
      <c r="EM33" s="456">
        <f t="shared" si="85"/>
        <v>4.1044814999999991E-2</v>
      </c>
      <c r="EN33" s="456">
        <f t="shared" si="86"/>
        <v>5.1772937418444361E-2</v>
      </c>
      <c r="EO33">
        <f t="shared" si="87"/>
        <v>5.4000000000000003E-3</v>
      </c>
      <c r="EP33" s="144">
        <f t="shared" si="123"/>
        <v>46.444814999999991</v>
      </c>
      <c r="EQ33" s="456">
        <f t="shared" si="88"/>
        <v>1.6907000176283349</v>
      </c>
      <c r="ER33" s="144">
        <f t="shared" si="124"/>
        <v>1690.700017628335</v>
      </c>
      <c r="ES33" s="456">
        <f t="shared" si="125"/>
        <v>0.31062500000000004</v>
      </c>
      <c r="ET33" s="456"/>
      <c r="EV33" s="144">
        <f t="shared" si="126"/>
        <v>310.62500000000006</v>
      </c>
      <c r="EW33" s="456">
        <f t="shared" si="89"/>
        <v>2.6553333333333335E-2</v>
      </c>
      <c r="EX33" s="456">
        <f t="shared" si="90"/>
        <v>2.0778518518518529E-2</v>
      </c>
      <c r="EY33" s="456">
        <f t="shared" si="91"/>
        <v>13.959629641738415</v>
      </c>
      <c r="EZ33" s="456">
        <f t="shared" si="92"/>
        <v>14.071603943889922</v>
      </c>
      <c r="FA33" s="456">
        <f t="shared" si="93"/>
        <v>3.1863999999999996E-2</v>
      </c>
      <c r="FB33" s="144">
        <f t="shared" si="127"/>
        <v>14103.467943889922</v>
      </c>
      <c r="FC33" s="150">
        <f t="shared" si="128"/>
        <v>16.104792961518257</v>
      </c>
      <c r="FD33" s="5">
        <f t="shared" si="129"/>
        <v>23.8</v>
      </c>
      <c r="FE33" s="150">
        <f t="shared" si="130"/>
        <v>0.59641958355607227</v>
      </c>
      <c r="FF33" s="5">
        <f t="shared" si="131"/>
        <v>59.64195835560723</v>
      </c>
      <c r="FI33" s="59">
        <f t="shared" si="94"/>
        <v>-50</v>
      </c>
      <c r="FJ33">
        <f t="shared" si="95"/>
        <v>-50</v>
      </c>
      <c r="FL33">
        <f t="shared" si="96"/>
        <v>0.42</v>
      </c>
    </row>
    <row r="34" spans="5:168">
      <c r="E34" s="147">
        <v>29</v>
      </c>
      <c r="F34" s="188">
        <f t="shared" si="97"/>
        <v>0.14499999999999999</v>
      </c>
      <c r="G34" s="188"/>
      <c r="H34" s="188">
        <f t="shared" si="0"/>
        <v>24.65</v>
      </c>
      <c r="I34" s="465">
        <f t="shared" si="1"/>
        <v>11.967400381246467</v>
      </c>
      <c r="J34" s="149">
        <f t="shared" si="2"/>
        <v>8.5383264917095438</v>
      </c>
      <c r="K34" s="149">
        <f t="shared" si="3"/>
        <v>20.538326491709544</v>
      </c>
      <c r="L34" s="379"/>
      <c r="M34" s="188">
        <f t="shared" si="4"/>
        <v>0.41638760417836135</v>
      </c>
      <c r="N34" s="149">
        <f t="shared" si="5"/>
        <v>166.700541693773</v>
      </c>
      <c r="O34" s="149">
        <f t="shared" si="98"/>
        <v>24.65</v>
      </c>
      <c r="P34" s="188">
        <f t="shared" si="6"/>
        <v>0.98059142172807645</v>
      </c>
      <c r="Q34" s="188">
        <f t="shared" si="7"/>
        <v>170</v>
      </c>
      <c r="R34" s="188">
        <f t="shared" si="8"/>
        <v>0.97707395548831877</v>
      </c>
      <c r="S34" s="149">
        <f t="shared" si="9"/>
        <v>2511.8451996219542</v>
      </c>
      <c r="T34" s="149">
        <f t="shared" si="10"/>
        <v>170</v>
      </c>
      <c r="U34" s="188">
        <f t="shared" si="99"/>
        <v>9.9381028256510398</v>
      </c>
      <c r="V34" s="188">
        <f t="shared" si="11"/>
        <v>1.2456468208280922</v>
      </c>
      <c r="W34" s="188">
        <f t="shared" si="12"/>
        <v>1.745910542651532</v>
      </c>
      <c r="X34" s="172">
        <f t="shared" si="13"/>
        <v>249.15374213545641</v>
      </c>
      <c r="Y34" s="379">
        <f t="shared" si="14"/>
        <v>313.32665721218336</v>
      </c>
      <c r="AA34" s="188">
        <f t="shared" si="15"/>
        <v>13.333333333333332</v>
      </c>
      <c r="AB34" s="150">
        <f t="shared" si="16"/>
        <v>2.3423793900853278</v>
      </c>
      <c r="AC34" s="150">
        <f t="shared" si="17"/>
        <v>0.1945375301802425</v>
      </c>
      <c r="AD34" s="150"/>
      <c r="AE34" s="150">
        <f t="shared" si="18"/>
        <v>2.3423793900853283</v>
      </c>
      <c r="AF34" s="314">
        <f t="shared" si="100"/>
        <v>185.7086011946825</v>
      </c>
      <c r="AG34" s="456">
        <f t="shared" si="19"/>
        <v>0.19453753018024256</v>
      </c>
      <c r="AI34" s="150">
        <f t="shared" si="20"/>
        <v>9.7122694765230158</v>
      </c>
      <c r="AJ34" s="150">
        <f t="shared" si="21"/>
        <v>13.333333333333334</v>
      </c>
      <c r="AK34" s="150">
        <f t="shared" si="22"/>
        <v>1.1061192006826757</v>
      </c>
      <c r="AM34" s="314">
        <f t="shared" si="23"/>
        <v>145</v>
      </c>
      <c r="AN34" s="144">
        <f t="shared" si="24"/>
        <v>185.7086011946825</v>
      </c>
      <c r="AP34">
        <f t="shared" si="25"/>
        <v>145</v>
      </c>
      <c r="AQ34" s="144">
        <f t="shared" si="26"/>
        <v>185.7086011946825</v>
      </c>
      <c r="AR34" s="144"/>
      <c r="AS34" s="5">
        <f t="shared" si="101"/>
        <v>5.3847802070927102</v>
      </c>
      <c r="AT34" s="5">
        <f t="shared" si="27"/>
        <v>1.6712067251749205</v>
      </c>
      <c r="AU34" s="5">
        <f t="shared" si="102"/>
        <v>3.7135734819177895</v>
      </c>
      <c r="AV34" s="5">
        <f t="shared" si="28"/>
        <v>2.3423793900853283</v>
      </c>
      <c r="AW34" s="150">
        <f t="shared" si="103"/>
        <v>0.31035746323938068</v>
      </c>
      <c r="AX34" s="150">
        <f t="shared" si="29"/>
        <v>24.76114682595767</v>
      </c>
      <c r="AY34" s="150">
        <f t="shared" si="30"/>
        <v>0.22988084558687316</v>
      </c>
      <c r="AZ34" s="150">
        <f t="shared" si="104"/>
        <v>107.7129621771828</v>
      </c>
      <c r="BA34" s="144">
        <f t="shared" si="31"/>
        <v>0.14254410302962556</v>
      </c>
      <c r="BB34" s="5">
        <f t="shared" si="32"/>
        <v>12.74846435776767</v>
      </c>
      <c r="BC34" s="5"/>
      <c r="BD34" s="150">
        <f t="shared" si="105"/>
        <v>4.288537440334232</v>
      </c>
      <c r="BE34" s="150">
        <f t="shared" si="33"/>
        <v>0.31963927278304988</v>
      </c>
      <c r="BF34" s="150"/>
      <c r="BG34" s="456">
        <f t="shared" si="34"/>
        <v>6.2531281482304857E-2</v>
      </c>
      <c r="BH34" s="456">
        <f t="shared" si="35"/>
        <v>1.217983280180519</v>
      </c>
      <c r="BI34" s="456">
        <f t="shared" si="36"/>
        <v>0.10178817266100001</v>
      </c>
      <c r="BJ34" s="456">
        <f t="shared" si="37"/>
        <v>5.3660250672672431E-2</v>
      </c>
      <c r="BK34">
        <f t="shared" si="38"/>
        <v>5.3853301715609102E-3</v>
      </c>
      <c r="BL34" s="144">
        <f t="shared" si="106"/>
        <v>107.17350283256093</v>
      </c>
      <c r="BM34" s="456">
        <f t="shared" si="39"/>
        <v>1.3714342501077219</v>
      </c>
      <c r="BN34" s="144">
        <f t="shared" si="107"/>
        <v>1371.4342501077219</v>
      </c>
      <c r="BO34" s="456">
        <f t="shared" si="108"/>
        <v>0.32171875</v>
      </c>
      <c r="BP34" s="456"/>
      <c r="BR34" s="144">
        <f t="shared" si="109"/>
        <v>321.71875</v>
      </c>
      <c r="BS34" s="456">
        <f t="shared" si="40"/>
        <v>2.758733006572273E-2</v>
      </c>
      <c r="BT34" s="456">
        <f t="shared" si="41"/>
        <v>2.0433852941055396E-2</v>
      </c>
      <c r="BU34" s="456">
        <f t="shared" si="42"/>
        <v>0.36974999999999997</v>
      </c>
      <c r="BV34" s="456">
        <f t="shared" si="43"/>
        <v>0.43095185234990924</v>
      </c>
      <c r="BW34" s="456">
        <f t="shared" si="44"/>
        <v>3.3014862434610229E-2</v>
      </c>
      <c r="BX34" s="144">
        <f t="shared" si="110"/>
        <v>463.96671478451947</v>
      </c>
      <c r="BY34" s="150">
        <f t="shared" si="45"/>
        <v>2.2642932177248021</v>
      </c>
      <c r="BZ34" s="5">
        <f t="shared" si="111"/>
        <v>24.65</v>
      </c>
      <c r="CA34" s="150">
        <f t="shared" si="112"/>
        <v>0.91587023298707249</v>
      </c>
      <c r="CB34" s="5">
        <f t="shared" si="113"/>
        <v>91.587023298707251</v>
      </c>
      <c r="CE34" s="59">
        <f t="shared" si="46"/>
        <v>-50</v>
      </c>
      <c r="CF34">
        <f t="shared" si="47"/>
        <v>-50</v>
      </c>
      <c r="CG34" s="150">
        <f t="shared" si="48"/>
        <v>0.43589466819944678</v>
      </c>
      <c r="CI34" s="147">
        <v>29</v>
      </c>
      <c r="CJ34" s="188">
        <f t="shared" si="114"/>
        <v>0.14499999999999999</v>
      </c>
      <c r="CK34" s="188"/>
      <c r="CL34" s="188">
        <f t="shared" si="49"/>
        <v>24.65</v>
      </c>
      <c r="CM34" s="465">
        <f t="shared" si="50"/>
        <v>12</v>
      </c>
      <c r="CN34" s="149">
        <f t="shared" si="51"/>
        <v>8.5350000000000001</v>
      </c>
      <c r="CO34" s="379">
        <f t="shared" si="52"/>
        <v>20.535</v>
      </c>
      <c r="CP34" s="379"/>
      <c r="CQ34" s="188">
        <f t="shared" si="53"/>
        <v>0.4156318480642805</v>
      </c>
      <c r="CR34" s="149">
        <f t="shared" si="54"/>
        <v>166.85124908692478</v>
      </c>
      <c r="CS34" s="149">
        <f t="shared" si="115"/>
        <v>24.65</v>
      </c>
      <c r="CT34" s="188">
        <f t="shared" si="55"/>
        <v>0.98147793580543985</v>
      </c>
      <c r="CU34" s="188">
        <f t="shared" si="56"/>
        <v>170</v>
      </c>
      <c r="CV34" s="188">
        <f t="shared" si="57"/>
        <v>0.97795728956301287</v>
      </c>
      <c r="CW34" s="149">
        <f t="shared" si="58"/>
        <v>2518.6873725328569</v>
      </c>
      <c r="CX34" s="149">
        <f t="shared" si="59"/>
        <v>170</v>
      </c>
      <c r="CY34" s="188">
        <f t="shared" si="60"/>
        <v>9.884548916227299</v>
      </c>
      <c r="CZ34" s="188">
        <f t="shared" si="61"/>
        <v>1.2355686145284124</v>
      </c>
      <c r="DA34" s="188">
        <f t="shared" si="62"/>
        <v>1.7371790713931985</v>
      </c>
      <c r="DB34" s="172">
        <f t="shared" si="63"/>
        <v>249.37910883856827</v>
      </c>
      <c r="DC34" s="379">
        <f t="shared" si="116"/>
        <v>336.38912738400808</v>
      </c>
      <c r="DE34" s="188">
        <f t="shared" si="64"/>
        <v>13.333333333333334</v>
      </c>
      <c r="DF34" s="150">
        <f t="shared" si="65"/>
        <v>2.3432923257176337</v>
      </c>
      <c r="DG34" s="150">
        <f t="shared" si="66"/>
        <v>0.19478938397857323</v>
      </c>
      <c r="DH34" s="150"/>
      <c r="DI34" s="150">
        <f t="shared" si="67"/>
        <v>2.3432923257176337</v>
      </c>
      <c r="DJ34" s="314">
        <f t="shared" si="117"/>
        <v>185.63624999999993</v>
      </c>
      <c r="DK34" s="456">
        <f t="shared" si="68"/>
        <v>0.19478938397857321</v>
      </c>
      <c r="DM34" s="150">
        <f t="shared" si="69"/>
        <v>9.7103773650372904</v>
      </c>
      <c r="DN34" s="150">
        <f t="shared" si="70"/>
        <v>13.333333333333334</v>
      </c>
      <c r="DO34" s="150">
        <f t="shared" si="71"/>
        <v>1.1060778571428571</v>
      </c>
      <c r="DQ34" s="314">
        <f t="shared" si="72"/>
        <v>145</v>
      </c>
      <c r="DR34" s="144">
        <f t="shared" si="73"/>
        <v>185.63624999999993</v>
      </c>
      <c r="DT34">
        <f t="shared" si="74"/>
        <v>145</v>
      </c>
      <c r="DU34" s="144">
        <f t="shared" si="75"/>
        <v>185.63624999999993</v>
      </c>
      <c r="DV34" s="144"/>
      <c r="DW34" s="5">
        <f t="shared" si="118"/>
        <v>5.3868789096957101</v>
      </c>
      <c r="DX34" s="5">
        <f t="shared" si="76"/>
        <v>1.666666666666667</v>
      </c>
      <c r="DY34" s="5">
        <f t="shared" si="119"/>
        <v>3.7202122430290432</v>
      </c>
      <c r="DZ34" s="5">
        <f t="shared" si="77"/>
        <v>2.3432923257176337</v>
      </c>
      <c r="EA34" s="150">
        <f t="shared" si="120"/>
        <v>0.30939374999999997</v>
      </c>
      <c r="EB34" s="150">
        <f t="shared" si="78"/>
        <v>24.751499999999997</v>
      </c>
      <c r="EC34" s="150">
        <f t="shared" si="79"/>
        <v>0.23020208333333339</v>
      </c>
      <c r="ED34" s="150">
        <f t="shared" si="121"/>
        <v>107.52074716960637</v>
      </c>
      <c r="EE34" s="144">
        <f t="shared" si="80"/>
        <v>0.14215686274509803</v>
      </c>
      <c r="EF34" s="5">
        <f t="shared" si="81"/>
        <v>12.736559970925819</v>
      </c>
      <c r="EG34" s="5"/>
      <c r="EH34" s="150">
        <f t="shared" si="122"/>
        <v>4.2818739407465563</v>
      </c>
      <c r="EI34" s="150">
        <f t="shared" si="82"/>
        <v>0.31986252834153156</v>
      </c>
      <c r="EJ34" s="150"/>
      <c r="EK34" s="456">
        <f t="shared" si="83"/>
        <v>6.2337111111111107E-2</v>
      </c>
      <c r="EL34" s="456">
        <f t="shared" si="84"/>
        <v>1.5451470395999995</v>
      </c>
      <c r="EM34" s="456">
        <f t="shared" si="85"/>
        <v>4.2510701249999991E-2</v>
      </c>
      <c r="EN34" s="456">
        <f t="shared" si="86"/>
        <v>5.3621970897674509E-2</v>
      </c>
      <c r="EO34">
        <f t="shared" si="87"/>
        <v>5.4000000000000003E-3</v>
      </c>
      <c r="EP34" s="144">
        <f t="shared" si="123"/>
        <v>47.910701249999995</v>
      </c>
      <c r="EQ34" s="456">
        <f t="shared" si="88"/>
        <v>1.7517941879098686</v>
      </c>
      <c r="ER34" s="144">
        <f t="shared" si="124"/>
        <v>1751.7941879098687</v>
      </c>
      <c r="ES34" s="456">
        <f t="shared" si="125"/>
        <v>0.32171875</v>
      </c>
      <c r="ET34" s="456"/>
      <c r="EV34" s="144">
        <f t="shared" si="126"/>
        <v>321.71875</v>
      </c>
      <c r="EW34" s="456">
        <f t="shared" si="89"/>
        <v>2.7501666666666667E-2</v>
      </c>
      <c r="EX34" s="456">
        <f t="shared" si="90"/>
        <v>2.0462407407407415E-2</v>
      </c>
      <c r="EY34" s="456">
        <f t="shared" si="91"/>
        <v>15.239608585294372</v>
      </c>
      <c r="EZ34" s="456">
        <f t="shared" si="92"/>
        <v>15.358014673420355</v>
      </c>
      <c r="FA34" s="456">
        <f t="shared" si="93"/>
        <v>3.3001999999999997E-2</v>
      </c>
      <c r="FB34" s="144">
        <f t="shared" si="127"/>
        <v>15391.016673420354</v>
      </c>
      <c r="FC34" s="150">
        <f t="shared" si="128"/>
        <v>17.464529611330224</v>
      </c>
      <c r="FD34" s="5">
        <f t="shared" si="129"/>
        <v>24.65</v>
      </c>
      <c r="FE34" s="150">
        <f t="shared" si="130"/>
        <v>0.58530868627743904</v>
      </c>
      <c r="FF34" s="5">
        <f t="shared" si="131"/>
        <v>58.530868627743907</v>
      </c>
      <c r="FI34" s="59">
        <f t="shared" si="94"/>
        <v>-50</v>
      </c>
      <c r="FJ34">
        <f t="shared" si="95"/>
        <v>-50</v>
      </c>
      <c r="FL34">
        <f t="shared" si="96"/>
        <v>0.43499999999999989</v>
      </c>
    </row>
    <row r="35" spans="5:168">
      <c r="E35" s="147">
        <v>30</v>
      </c>
      <c r="F35" s="188">
        <f t="shared" si="97"/>
        <v>0.15</v>
      </c>
      <c r="G35" s="188"/>
      <c r="H35" s="188">
        <f t="shared" si="0"/>
        <v>25.5</v>
      </c>
      <c r="I35" s="465">
        <f t="shared" si="1"/>
        <v>11.967400381246467</v>
      </c>
      <c r="J35" s="149">
        <f t="shared" si="2"/>
        <v>8.5383264917095438</v>
      </c>
      <c r="K35" s="149">
        <f t="shared" si="3"/>
        <v>20.538326491709544</v>
      </c>
      <c r="L35" s="379"/>
      <c r="M35" s="188">
        <f t="shared" si="4"/>
        <v>0.41638760417836135</v>
      </c>
      <c r="N35" s="149">
        <f t="shared" si="5"/>
        <v>166.700541693773</v>
      </c>
      <c r="O35" s="149">
        <f t="shared" si="98"/>
        <v>25.5</v>
      </c>
      <c r="P35" s="188">
        <f t="shared" si="6"/>
        <v>0.98059142172807645</v>
      </c>
      <c r="Q35" s="188">
        <f t="shared" si="7"/>
        <v>170</v>
      </c>
      <c r="R35" s="188">
        <f t="shared" si="8"/>
        <v>0.97707395548831877</v>
      </c>
      <c r="S35" s="149">
        <f t="shared" si="9"/>
        <v>2420.143508090292</v>
      </c>
      <c r="T35" s="149">
        <f t="shared" si="10"/>
        <v>170</v>
      </c>
      <c r="U35" s="188">
        <f t="shared" si="99"/>
        <v>10.280796026535558</v>
      </c>
      <c r="V35" s="188">
        <f t="shared" si="11"/>
        <v>1.2886001594773366</v>
      </c>
      <c r="W35" s="188">
        <f t="shared" si="12"/>
        <v>1.8061143544671017</v>
      </c>
      <c r="X35" s="172">
        <f t="shared" si="13"/>
        <v>249.15374213545641</v>
      </c>
      <c r="Y35" s="379">
        <f t="shared" si="14"/>
        <v>303.51643390273534</v>
      </c>
      <c r="AA35" s="188">
        <f t="shared" si="15"/>
        <v>13.333333333333332</v>
      </c>
      <c r="AB35" s="150">
        <f t="shared" si="16"/>
        <v>2.3423793900853278</v>
      </c>
      <c r="AC35" s="150">
        <f t="shared" si="17"/>
        <v>0.1945375301802425</v>
      </c>
      <c r="AD35" s="150"/>
      <c r="AE35" s="150">
        <f t="shared" si="18"/>
        <v>2.3423793900853283</v>
      </c>
      <c r="AF35" s="314">
        <f t="shared" si="100"/>
        <v>192.11234606346468</v>
      </c>
      <c r="AG35" s="456">
        <f t="shared" si="19"/>
        <v>0.19453753018024256</v>
      </c>
      <c r="AI35" s="150">
        <f t="shared" si="20"/>
        <v>9.8783032040409768</v>
      </c>
      <c r="AJ35" s="150">
        <f t="shared" si="21"/>
        <v>13.333333333333334</v>
      </c>
      <c r="AK35" s="150">
        <f t="shared" si="22"/>
        <v>1.109778483464837</v>
      </c>
      <c r="AM35" s="314">
        <f t="shared" si="23"/>
        <v>150</v>
      </c>
      <c r="AN35" s="144">
        <f t="shared" si="24"/>
        <v>192.11234606346468</v>
      </c>
      <c r="AP35">
        <f t="shared" si="25"/>
        <v>150</v>
      </c>
      <c r="AQ35" s="144">
        <f t="shared" si="26"/>
        <v>192.11234606346468</v>
      </c>
      <c r="AR35" s="144"/>
      <c r="AS35" s="5">
        <f t="shared" si="101"/>
        <v>5.2052875335229523</v>
      </c>
      <c r="AT35" s="5">
        <f t="shared" si="27"/>
        <v>1.6712067251749205</v>
      </c>
      <c r="AU35" s="5">
        <f t="shared" si="102"/>
        <v>3.5340808083480315</v>
      </c>
      <c r="AV35" s="5">
        <f t="shared" si="28"/>
        <v>2.3423793900853283</v>
      </c>
      <c r="AW35" s="150">
        <f t="shared" si="103"/>
        <v>0.32105944473039388</v>
      </c>
      <c r="AX35" s="150">
        <f t="shared" si="29"/>
        <v>25.614979475128631</v>
      </c>
      <c r="AY35" s="150">
        <f t="shared" si="30"/>
        <v>0.22631351842320208</v>
      </c>
      <c r="AZ35" s="150">
        <f t="shared" si="104"/>
        <v>113.18360323146537</v>
      </c>
      <c r="BA35" s="144">
        <f t="shared" si="31"/>
        <v>0.14745941692719886</v>
      </c>
      <c r="BB35" s="5">
        <f t="shared" si="32"/>
        <v>12.550631680223551</v>
      </c>
      <c r="BC35" s="5"/>
      <c r="BD35" s="150">
        <f t="shared" si="105"/>
        <v>4.3618510833030779</v>
      </c>
      <c r="BE35" s="150">
        <f t="shared" si="33"/>
        <v>0.31714946943967542</v>
      </c>
      <c r="BF35" s="150"/>
      <c r="BG35" s="456">
        <f t="shared" si="34"/>
        <v>6.4687532567901593E-2</v>
      </c>
      <c r="BH35" s="456">
        <f t="shared" si="35"/>
        <v>1.25998270363502</v>
      </c>
      <c r="BI35" s="456">
        <f t="shared" si="36"/>
        <v>0.10529810964931037</v>
      </c>
      <c r="BJ35" s="456">
        <f t="shared" si="37"/>
        <v>5.5510604144143903E-2</v>
      </c>
      <c r="BK35">
        <f t="shared" si="38"/>
        <v>5.3853301715609102E-3</v>
      </c>
      <c r="BL35" s="144">
        <f t="shared" si="106"/>
        <v>110.68343982087129</v>
      </c>
      <c r="BM35" s="456">
        <f t="shared" si="39"/>
        <v>1.4194632808857894</v>
      </c>
      <c r="BN35" s="144">
        <f t="shared" si="107"/>
        <v>1419.4632808857893</v>
      </c>
      <c r="BO35" s="456">
        <f t="shared" si="108"/>
        <v>0.33281249999999996</v>
      </c>
      <c r="BP35" s="456"/>
      <c r="BR35" s="144">
        <f t="shared" si="109"/>
        <v>332.81249999999994</v>
      </c>
      <c r="BS35" s="456">
        <f t="shared" si="40"/>
        <v>2.8538617309368353E-2</v>
      </c>
      <c r="BT35" s="456">
        <f t="shared" si="41"/>
        <v>2.0116757193173525E-2</v>
      </c>
      <c r="BU35" s="456">
        <f t="shared" si="42"/>
        <v>0.38250000000000001</v>
      </c>
      <c r="BV35" s="456">
        <f t="shared" si="43"/>
        <v>0.44456309509369535</v>
      </c>
      <c r="BW35" s="456">
        <f t="shared" si="44"/>
        <v>3.4153305966838174E-2</v>
      </c>
      <c r="BX35" s="144">
        <f t="shared" si="110"/>
        <v>478.71640106053354</v>
      </c>
      <c r="BY35" s="150">
        <f t="shared" si="45"/>
        <v>2.3416756217671937</v>
      </c>
      <c r="BZ35" s="5">
        <f t="shared" si="111"/>
        <v>25.5</v>
      </c>
      <c r="CA35" s="150">
        <f t="shared" si="112"/>
        <v>0.91589315048493614</v>
      </c>
      <c r="CB35" s="5">
        <f t="shared" si="113"/>
        <v>91.589315048493617</v>
      </c>
      <c r="CE35" s="59">
        <f t="shared" si="46"/>
        <v>-50</v>
      </c>
      <c r="CF35">
        <f t="shared" si="47"/>
        <v>-50</v>
      </c>
      <c r="CG35" s="150">
        <f t="shared" si="48"/>
        <v>0.45092551882701393</v>
      </c>
      <c r="CI35" s="147">
        <v>30</v>
      </c>
      <c r="CJ35" s="188">
        <f t="shared" si="114"/>
        <v>0.15</v>
      </c>
      <c r="CK35" s="188"/>
      <c r="CL35" s="188">
        <f t="shared" si="49"/>
        <v>25.5</v>
      </c>
      <c r="CM35" s="465">
        <f t="shared" si="50"/>
        <v>12</v>
      </c>
      <c r="CN35" s="149">
        <f t="shared" si="51"/>
        <v>8.5350000000000001</v>
      </c>
      <c r="CO35" s="379">
        <f t="shared" si="52"/>
        <v>20.535</v>
      </c>
      <c r="CP35" s="379"/>
      <c r="CQ35" s="188">
        <f t="shared" si="53"/>
        <v>0.4156318480642805</v>
      </c>
      <c r="CR35" s="149">
        <f t="shared" si="54"/>
        <v>166.85124908692478</v>
      </c>
      <c r="CS35" s="149">
        <f t="shared" si="115"/>
        <v>25.5</v>
      </c>
      <c r="CT35" s="188">
        <f t="shared" si="55"/>
        <v>0.98147793580543985</v>
      </c>
      <c r="CU35" s="188">
        <f t="shared" si="56"/>
        <v>170</v>
      </c>
      <c r="CV35" s="188">
        <f t="shared" si="57"/>
        <v>0.97795728956301287</v>
      </c>
      <c r="CW35" s="149">
        <f t="shared" si="58"/>
        <v>2426.7358754979673</v>
      </c>
      <c r="CX35" s="149">
        <f t="shared" si="59"/>
        <v>170</v>
      </c>
      <c r="CY35" s="188">
        <f t="shared" si="60"/>
        <v>10.225395430579965</v>
      </c>
      <c r="CZ35" s="188">
        <f t="shared" si="61"/>
        <v>1.2781744288224957</v>
      </c>
      <c r="DA35" s="188">
        <f t="shared" si="62"/>
        <v>1.7970817979929641</v>
      </c>
      <c r="DB35" s="172">
        <f t="shared" si="63"/>
        <v>249.37910883856827</v>
      </c>
      <c r="DC35" s="379">
        <f t="shared" si="116"/>
        <v>325.17615647120778</v>
      </c>
      <c r="DE35" s="188">
        <f t="shared" si="64"/>
        <v>13.333333333333334</v>
      </c>
      <c r="DF35" s="150">
        <f t="shared" si="65"/>
        <v>2.3432923257176337</v>
      </c>
      <c r="DG35" s="150">
        <f t="shared" si="66"/>
        <v>0.19478938397857323</v>
      </c>
      <c r="DH35" s="150"/>
      <c r="DI35" s="150">
        <f t="shared" si="67"/>
        <v>2.3432923257176337</v>
      </c>
      <c r="DJ35" s="314">
        <f t="shared" si="117"/>
        <v>192.03749999999994</v>
      </c>
      <c r="DK35" s="456">
        <f t="shared" si="68"/>
        <v>0.19478938397857321</v>
      </c>
      <c r="DM35" s="150">
        <f t="shared" si="69"/>
        <v>9.8763787464260968</v>
      </c>
      <c r="DN35" s="150">
        <f t="shared" si="70"/>
        <v>13.333333333333334</v>
      </c>
      <c r="DO35" s="150">
        <f t="shared" si="71"/>
        <v>1.1097357142857143</v>
      </c>
      <c r="DQ35" s="314">
        <f t="shared" si="72"/>
        <v>150</v>
      </c>
      <c r="DR35" s="144">
        <f t="shared" si="73"/>
        <v>192.03749999999994</v>
      </c>
      <c r="DT35">
        <f t="shared" si="74"/>
        <v>150</v>
      </c>
      <c r="DU35" s="144">
        <f t="shared" si="75"/>
        <v>192.03749999999994</v>
      </c>
      <c r="DV35" s="144"/>
      <c r="DW35" s="5">
        <f t="shared" si="118"/>
        <v>5.2073162793725203</v>
      </c>
      <c r="DX35" s="5">
        <f t="shared" si="76"/>
        <v>1.666666666666667</v>
      </c>
      <c r="DY35" s="5">
        <f t="shared" si="119"/>
        <v>3.5406496127058533</v>
      </c>
      <c r="DZ35" s="5">
        <f t="shared" si="77"/>
        <v>2.3432923257176337</v>
      </c>
      <c r="EA35" s="150">
        <f t="shared" si="120"/>
        <v>0.32006249999999992</v>
      </c>
      <c r="EB35" s="150">
        <f t="shared" si="78"/>
        <v>25.605</v>
      </c>
      <c r="EC35" s="150">
        <f t="shared" si="79"/>
        <v>0.22664583333333338</v>
      </c>
      <c r="ED35" s="150">
        <f t="shared" si="121"/>
        <v>112.97361889879582</v>
      </c>
      <c r="EE35" s="144">
        <f t="shared" si="80"/>
        <v>0.1470588235294118</v>
      </c>
      <c r="EF35" s="5">
        <f t="shared" si="81"/>
        <v>12.539800711666562</v>
      </c>
      <c r="EG35" s="5"/>
      <c r="EH35" s="150">
        <f t="shared" si="122"/>
        <v>4.3550736694878847</v>
      </c>
      <c r="EI35" s="150">
        <f t="shared" si="82"/>
        <v>0.31738223246029623</v>
      </c>
      <c r="EJ35" s="150"/>
      <c r="EK35" s="456">
        <f t="shared" si="83"/>
        <v>6.4486666666666664E-2</v>
      </c>
      <c r="EL35" s="456">
        <f t="shared" si="84"/>
        <v>1.5984279719999996</v>
      </c>
      <c r="EM35" s="456">
        <f t="shared" si="85"/>
        <v>4.3976587499999983E-2</v>
      </c>
      <c r="EN35" s="456">
        <f t="shared" si="86"/>
        <v>5.5471004376904665E-2</v>
      </c>
      <c r="EO35">
        <f t="shared" si="87"/>
        <v>5.4000000000000003E-3</v>
      </c>
      <c r="EP35" s="144">
        <f t="shared" si="123"/>
        <v>49.376587499999985</v>
      </c>
      <c r="EQ35" s="456">
        <f t="shared" si="88"/>
        <v>1.8129517350423454</v>
      </c>
      <c r="ER35" s="144">
        <f t="shared" si="124"/>
        <v>1812.9517350423455</v>
      </c>
      <c r="ES35" s="456">
        <f t="shared" si="125"/>
        <v>0.33281249999999996</v>
      </c>
      <c r="ET35" s="456"/>
      <c r="EV35" s="144">
        <f t="shared" si="126"/>
        <v>332.81249999999994</v>
      </c>
      <c r="EW35" s="456">
        <f t="shared" si="89"/>
        <v>2.8450000000000003E-2</v>
      </c>
      <c r="EX35" s="456">
        <f t="shared" si="90"/>
        <v>2.0146296296296305E-2</v>
      </c>
      <c r="EY35" s="456">
        <f t="shared" si="91"/>
        <v>16.587538915646327</v>
      </c>
      <c r="EZ35" s="456">
        <f t="shared" si="92"/>
        <v>16.712772631110862</v>
      </c>
      <c r="FA35" s="456">
        <f t="shared" si="93"/>
        <v>3.4139999999999997E-2</v>
      </c>
      <c r="FB35" s="144">
        <f t="shared" si="127"/>
        <v>16746.912631110863</v>
      </c>
      <c r="FC35" s="150">
        <f t="shared" si="128"/>
        <v>18.892676866153209</v>
      </c>
      <c r="FD35" s="5">
        <f t="shared" si="129"/>
        <v>25.5</v>
      </c>
      <c r="FE35" s="150">
        <f t="shared" si="130"/>
        <v>0.57441906638980456</v>
      </c>
      <c r="FF35" s="5">
        <f t="shared" si="131"/>
        <v>57.441906638980456</v>
      </c>
      <c r="FI35" s="59">
        <f t="shared" si="94"/>
        <v>-50</v>
      </c>
      <c r="FJ35">
        <f t="shared" si="95"/>
        <v>-50</v>
      </c>
      <c r="FL35">
        <f t="shared" si="96"/>
        <v>0.4499999999999999</v>
      </c>
    </row>
    <row r="36" spans="5:168">
      <c r="E36" s="147">
        <v>31</v>
      </c>
      <c r="F36" s="188">
        <f t="shared" si="97"/>
        <v>0.155</v>
      </c>
      <c r="G36" s="188"/>
      <c r="H36" s="188">
        <f t="shared" si="0"/>
        <v>26.35</v>
      </c>
      <c r="I36" s="465">
        <f t="shared" si="1"/>
        <v>11.967400381246467</v>
      </c>
      <c r="J36" s="149">
        <f t="shared" si="2"/>
        <v>8.5383264917095438</v>
      </c>
      <c r="K36" s="149">
        <f t="shared" si="3"/>
        <v>20.538326491709544</v>
      </c>
      <c r="L36" s="379"/>
      <c r="M36" s="188">
        <f t="shared" si="4"/>
        <v>0.41638760417836135</v>
      </c>
      <c r="N36" s="149">
        <f t="shared" si="5"/>
        <v>166.700541693773</v>
      </c>
      <c r="O36" s="149">
        <f t="shared" si="98"/>
        <v>26.35</v>
      </c>
      <c r="P36" s="188">
        <f t="shared" si="6"/>
        <v>0.98059142172807645</v>
      </c>
      <c r="Q36" s="188">
        <f t="shared" si="7"/>
        <v>170</v>
      </c>
      <c r="R36" s="188">
        <f t="shared" si="8"/>
        <v>0.97707395548831877</v>
      </c>
      <c r="S36" s="149">
        <f t="shared" si="9"/>
        <v>2334.3582343262851</v>
      </c>
      <c r="T36" s="149">
        <f t="shared" si="10"/>
        <v>170</v>
      </c>
      <c r="U36" s="188">
        <f t="shared" si="99"/>
        <v>10.623489227420077</v>
      </c>
      <c r="V36" s="188">
        <f t="shared" si="11"/>
        <v>1.3315534981265815</v>
      </c>
      <c r="W36" s="188">
        <f t="shared" si="12"/>
        <v>1.8663181662826722</v>
      </c>
      <c r="X36" s="172">
        <f t="shared" si="13"/>
        <v>249.15374213545641</v>
      </c>
      <c r="Y36" s="379">
        <f t="shared" si="14"/>
        <v>294.30187445700886</v>
      </c>
      <c r="AA36" s="188">
        <f t="shared" si="15"/>
        <v>13.333333333333332</v>
      </c>
      <c r="AB36" s="150">
        <f t="shared" si="16"/>
        <v>2.3423793900853278</v>
      </c>
      <c r="AC36" s="150">
        <f t="shared" si="17"/>
        <v>0.1945375301802425</v>
      </c>
      <c r="AD36" s="150"/>
      <c r="AE36" s="150">
        <f t="shared" si="18"/>
        <v>2.3423793900853283</v>
      </c>
      <c r="AF36" s="314">
        <f t="shared" si="100"/>
        <v>198.51609093224681</v>
      </c>
      <c r="AG36" s="456">
        <f t="shared" si="19"/>
        <v>0.19453753018024256</v>
      </c>
      <c r="AI36" s="150">
        <f t="shared" si="20"/>
        <v>10.041592005122084</v>
      </c>
      <c r="AJ36" s="150">
        <f t="shared" si="21"/>
        <v>13.333333333333334</v>
      </c>
      <c r="AK36" s="150">
        <f t="shared" si="22"/>
        <v>1.1134377662469981</v>
      </c>
      <c r="AM36" s="314">
        <f t="shared" si="23"/>
        <v>155</v>
      </c>
      <c r="AN36" s="144">
        <f t="shared" si="24"/>
        <v>198.51609093224681</v>
      </c>
      <c r="AP36">
        <f t="shared" si="25"/>
        <v>155</v>
      </c>
      <c r="AQ36" s="144">
        <f t="shared" si="26"/>
        <v>198.51609093224681</v>
      </c>
      <c r="AR36" s="144"/>
      <c r="AS36" s="5">
        <f t="shared" si="101"/>
        <v>5.0373750324415676</v>
      </c>
      <c r="AT36" s="5">
        <f t="shared" si="27"/>
        <v>1.6712067251749205</v>
      </c>
      <c r="AU36" s="5">
        <f t="shared" si="102"/>
        <v>3.3661683072666468</v>
      </c>
      <c r="AV36" s="5">
        <f t="shared" si="28"/>
        <v>2.3423793900853283</v>
      </c>
      <c r="AW36" s="150">
        <f t="shared" si="103"/>
        <v>0.33176142622140692</v>
      </c>
      <c r="AX36" s="150">
        <f t="shared" si="29"/>
        <v>26.468812124299582</v>
      </c>
      <c r="AY36" s="150">
        <f t="shared" si="30"/>
        <v>0.22274619125953105</v>
      </c>
      <c r="AZ36" s="150">
        <f t="shared" si="104"/>
        <v>118.82947122296535</v>
      </c>
      <c r="BA36" s="144">
        <f t="shared" si="31"/>
        <v>0.15237473082477215</v>
      </c>
      <c r="BB36" s="5">
        <f t="shared" si="32"/>
        <v>12.352799002679438</v>
      </c>
      <c r="BC36" s="5"/>
      <c r="BD36" s="150">
        <f t="shared" si="105"/>
        <v>4.4339526800221911</v>
      </c>
      <c r="BE36" s="150">
        <f t="shared" si="33"/>
        <v>0.31463996444580627</v>
      </c>
      <c r="BF36" s="150"/>
      <c r="BG36" s="456">
        <f t="shared" si="34"/>
        <v>6.6843783653498301E-2</v>
      </c>
      <c r="BH36" s="456">
        <f t="shared" si="35"/>
        <v>1.3019821270895204</v>
      </c>
      <c r="BI36" s="456">
        <f t="shared" si="36"/>
        <v>0.1088080466376207</v>
      </c>
      <c r="BJ36" s="456">
        <f t="shared" si="37"/>
        <v>5.7360957615615354E-2</v>
      </c>
      <c r="BK36">
        <f t="shared" si="38"/>
        <v>5.3853301715609102E-3</v>
      </c>
      <c r="BL36" s="144">
        <f t="shared" si="106"/>
        <v>114.19337680918161</v>
      </c>
      <c r="BM36" s="456">
        <f t="shared" si="39"/>
        <v>1.4675423188533543</v>
      </c>
      <c r="BN36" s="144">
        <f t="shared" si="107"/>
        <v>1467.5423188533543</v>
      </c>
      <c r="BO36" s="456">
        <f t="shared" si="108"/>
        <v>0.34390624999999997</v>
      </c>
      <c r="BP36" s="456"/>
      <c r="BR36" s="144">
        <f t="shared" si="109"/>
        <v>343.90624999999994</v>
      </c>
      <c r="BS36" s="456">
        <f t="shared" si="40"/>
        <v>2.9489904553013958E-2</v>
      </c>
      <c r="BT36" s="456">
        <f t="shared" si="41"/>
        <v>1.9799661445291647E-2</v>
      </c>
      <c r="BU36" s="456">
        <f t="shared" si="42"/>
        <v>0.39524999999999999</v>
      </c>
      <c r="BV36" s="456">
        <f t="shared" si="43"/>
        <v>0.45817572444661359</v>
      </c>
      <c r="BW36" s="456">
        <f t="shared" si="44"/>
        <v>3.5291749499066105E-2</v>
      </c>
      <c r="BX36" s="144">
        <f t="shared" si="110"/>
        <v>493.46747394567967</v>
      </c>
      <c r="BY36" s="150">
        <f t="shared" si="45"/>
        <v>2.4191094196082155</v>
      </c>
      <c r="BZ36" s="5">
        <f t="shared" si="111"/>
        <v>26.35</v>
      </c>
      <c r="CA36" s="150">
        <f t="shared" si="112"/>
        <v>0.91591295426199681</v>
      </c>
      <c r="CB36" s="5">
        <f t="shared" si="113"/>
        <v>91.591295426199679</v>
      </c>
      <c r="CE36" s="59">
        <f t="shared" si="46"/>
        <v>-50</v>
      </c>
      <c r="CF36">
        <f t="shared" si="47"/>
        <v>-50</v>
      </c>
      <c r="CG36" s="150">
        <f t="shared" si="48"/>
        <v>0.46595636945458108</v>
      </c>
      <c r="CI36" s="147">
        <v>31</v>
      </c>
      <c r="CJ36" s="188">
        <f t="shared" si="114"/>
        <v>0.155</v>
      </c>
      <c r="CK36" s="188"/>
      <c r="CL36" s="188">
        <f t="shared" si="49"/>
        <v>26.35</v>
      </c>
      <c r="CM36" s="465">
        <f t="shared" si="50"/>
        <v>12</v>
      </c>
      <c r="CN36" s="149">
        <f t="shared" si="51"/>
        <v>8.5350000000000001</v>
      </c>
      <c r="CO36" s="379">
        <f t="shared" si="52"/>
        <v>20.535</v>
      </c>
      <c r="CP36" s="379"/>
      <c r="CQ36" s="188">
        <f t="shared" si="53"/>
        <v>0.4156318480642805</v>
      </c>
      <c r="CR36" s="149">
        <f t="shared" si="54"/>
        <v>166.85124908692478</v>
      </c>
      <c r="CS36" s="149">
        <f t="shared" si="115"/>
        <v>26.35</v>
      </c>
      <c r="CT36" s="188">
        <f t="shared" si="55"/>
        <v>0.98147793580543985</v>
      </c>
      <c r="CU36" s="188">
        <f t="shared" si="56"/>
        <v>170</v>
      </c>
      <c r="CV36" s="188">
        <f t="shared" si="57"/>
        <v>0.97795728956301287</v>
      </c>
      <c r="CW36" s="149">
        <f t="shared" si="58"/>
        <v>2340.7169127153206</v>
      </c>
      <c r="CX36" s="149">
        <f t="shared" si="59"/>
        <v>170</v>
      </c>
      <c r="CY36" s="188">
        <f t="shared" si="60"/>
        <v>10.56624194493263</v>
      </c>
      <c r="CZ36" s="188">
        <f t="shared" si="61"/>
        <v>1.3207802431165787</v>
      </c>
      <c r="DA36" s="188">
        <f t="shared" si="62"/>
        <v>1.8569845245927294</v>
      </c>
      <c r="DB36" s="172">
        <f t="shared" si="63"/>
        <v>249.37910883856827</v>
      </c>
      <c r="DC36" s="379">
        <f t="shared" si="116"/>
        <v>314.68660303665268</v>
      </c>
      <c r="DE36" s="188">
        <f t="shared" si="64"/>
        <v>13.333333333333334</v>
      </c>
      <c r="DF36" s="150">
        <f t="shared" si="65"/>
        <v>2.3432923257176337</v>
      </c>
      <c r="DG36" s="150">
        <f t="shared" si="66"/>
        <v>0.19478938397857323</v>
      </c>
      <c r="DH36" s="150"/>
      <c r="DI36" s="150">
        <f t="shared" si="67"/>
        <v>2.3432923257176337</v>
      </c>
      <c r="DJ36" s="314">
        <f t="shared" si="117"/>
        <v>198.43874999999994</v>
      </c>
      <c r="DK36" s="456">
        <f t="shared" si="68"/>
        <v>0.19478938397857321</v>
      </c>
      <c r="DM36" s="150">
        <f t="shared" si="69"/>
        <v>10.039635736135336</v>
      </c>
      <c r="DN36" s="150">
        <f t="shared" si="70"/>
        <v>13.333333333333334</v>
      </c>
      <c r="DO36" s="150">
        <f t="shared" si="71"/>
        <v>1.1133935714285714</v>
      </c>
      <c r="DQ36" s="314">
        <f t="shared" si="72"/>
        <v>155</v>
      </c>
      <c r="DR36" s="144">
        <f t="shared" si="73"/>
        <v>198.43874999999994</v>
      </c>
      <c r="DT36">
        <f t="shared" si="74"/>
        <v>155</v>
      </c>
      <c r="DU36" s="144">
        <f t="shared" si="75"/>
        <v>198.43874999999994</v>
      </c>
      <c r="DV36" s="144"/>
      <c r="DW36" s="5">
        <f t="shared" si="118"/>
        <v>5.0393383348766321</v>
      </c>
      <c r="DX36" s="5">
        <f t="shared" si="76"/>
        <v>1.666666666666667</v>
      </c>
      <c r="DY36" s="5">
        <f t="shared" si="119"/>
        <v>3.3726716682099651</v>
      </c>
      <c r="DZ36" s="5">
        <f t="shared" si="77"/>
        <v>2.3432923257176337</v>
      </c>
      <c r="EA36" s="150">
        <f t="shared" si="120"/>
        <v>0.33073124999999998</v>
      </c>
      <c r="EB36" s="150">
        <f t="shared" si="78"/>
        <v>26.458500000000001</v>
      </c>
      <c r="EC36" s="150">
        <f t="shared" si="79"/>
        <v>0.2230895833333334</v>
      </c>
      <c r="ED36" s="150">
        <f t="shared" si="121"/>
        <v>118.60033805552699</v>
      </c>
      <c r="EE36" s="144">
        <f t="shared" si="80"/>
        <v>0.15196078431372551</v>
      </c>
      <c r="EF36" s="5">
        <f t="shared" si="81"/>
        <v>12.3430414524073</v>
      </c>
      <c r="EG36" s="5"/>
      <c r="EH36" s="150">
        <f t="shared" si="122"/>
        <v>4.4270632352484975</v>
      </c>
      <c r="EI36" s="150">
        <f t="shared" si="82"/>
        <v>0.31488240015270141</v>
      </c>
      <c r="EJ36" s="150"/>
      <c r="EK36" s="456">
        <f t="shared" si="83"/>
        <v>6.6636222222222236E-2</v>
      </c>
      <c r="EL36" s="456">
        <f t="shared" si="84"/>
        <v>1.6517089043999995</v>
      </c>
      <c r="EM36" s="456">
        <f t="shared" si="85"/>
        <v>4.544247374999999E-2</v>
      </c>
      <c r="EN36" s="456">
        <f t="shared" si="86"/>
        <v>5.7320037856134827E-2</v>
      </c>
      <c r="EO36">
        <f t="shared" si="87"/>
        <v>5.4000000000000003E-3</v>
      </c>
      <c r="EP36" s="144">
        <f t="shared" si="123"/>
        <v>50.842473749999989</v>
      </c>
      <c r="EQ36" s="456">
        <f t="shared" si="88"/>
        <v>1.8741727576941725</v>
      </c>
      <c r="ER36" s="144">
        <f t="shared" si="124"/>
        <v>1874.1727576941726</v>
      </c>
      <c r="ES36" s="456">
        <f t="shared" si="125"/>
        <v>0.34390624999999997</v>
      </c>
      <c r="ET36" s="456"/>
      <c r="EV36" s="144">
        <f t="shared" si="126"/>
        <v>343.90624999999994</v>
      </c>
      <c r="EW36" s="456">
        <f t="shared" si="89"/>
        <v>2.9398333333333342E-2</v>
      </c>
      <c r="EX36" s="456">
        <f t="shared" si="90"/>
        <v>1.9830185185185197E-2</v>
      </c>
      <c r="EY36" s="456">
        <f t="shared" si="91"/>
        <v>18.004582391379511</v>
      </c>
      <c r="EZ36" s="456">
        <f t="shared" si="92"/>
        <v>18.137054580525575</v>
      </c>
      <c r="FA36" s="456">
        <f t="shared" si="93"/>
        <v>3.5277999999999997E-2</v>
      </c>
      <c r="FB36" s="144">
        <f t="shared" si="127"/>
        <v>18172.332580525577</v>
      </c>
      <c r="FC36" s="150">
        <f t="shared" si="128"/>
        <v>20.390411588219749</v>
      </c>
      <c r="FD36" s="5">
        <f t="shared" si="129"/>
        <v>26.35</v>
      </c>
      <c r="FE36" s="150">
        <f t="shared" si="130"/>
        <v>0.56375198900989443</v>
      </c>
      <c r="FF36" s="5">
        <f t="shared" si="131"/>
        <v>56.375198900989446</v>
      </c>
      <c r="FI36" s="59">
        <f t="shared" si="94"/>
        <v>-50</v>
      </c>
      <c r="FJ36">
        <f t="shared" si="95"/>
        <v>-50</v>
      </c>
      <c r="FL36">
        <f t="shared" si="96"/>
        <v>0.46499999999999986</v>
      </c>
    </row>
    <row r="37" spans="5:168">
      <c r="E37" s="147">
        <v>32</v>
      </c>
      <c r="F37" s="188">
        <f t="shared" si="97"/>
        <v>0.16</v>
      </c>
      <c r="G37" s="188"/>
      <c r="H37" s="188">
        <f t="shared" ref="H37:H68" si="132">F37*Vout</f>
        <v>27.2</v>
      </c>
      <c r="I37" s="465">
        <f t="shared" ref="I37:I68" si="133">Vin-F37*(Rdcr_pri+RON/1000)/CG37/Nps</f>
        <v>11.967400381246467</v>
      </c>
      <c r="J37" s="149">
        <f t="shared" ref="J37:J68" si="134">(T37+Vfwd1+F37/CG37*Rdcr_sec)*Nps</f>
        <v>8.5383264917095438</v>
      </c>
      <c r="K37" s="149">
        <f t="shared" ref="K37:K68" si="135">(Vout+Vfwd1+F37/CG37*Rdcr_sec)*Nps+VIN_nom</f>
        <v>20.538326491709544</v>
      </c>
      <c r="L37" s="379"/>
      <c r="M37" s="188">
        <f t="shared" ref="M37:M68" si="136">(Vout+Vfwd1+F37/FL37*Rdcr_sec)*Nps/((Vout+Vfwd1+F37/FL37*Rdcr_sec)*Nps+I37)</f>
        <v>0.41638760417836135</v>
      </c>
      <c r="N37" s="149">
        <f t="shared" ref="N37:N68" si="137">M37*I37*(Isw_max+VIN_nom/Lmag*ILIM_delay)*0.5*Efficiency</f>
        <v>166.700541693773</v>
      </c>
      <c r="O37" s="149">
        <f t="shared" si="98"/>
        <v>27.2</v>
      </c>
      <c r="P37" s="188">
        <f t="shared" ref="P37:P68" si="138">N37/Vout</f>
        <v>0.98059142172807645</v>
      </c>
      <c r="Q37" s="188">
        <f t="shared" ref="Q37:Q68" si="139">MIN(Vout,N37/F37)</f>
        <v>170</v>
      </c>
      <c r="R37" s="188">
        <f t="shared" ref="R37:R68" si="140">Isw_max/2*I37*Nps*(Q37+Vfwd1+F37/FL37*Rdcr_sec)/Q37/(I37+Nps*(Q37+Vfwd1+F37/FL37*Rdcr_sec))</f>
        <v>0.97707395548831877</v>
      </c>
      <c r="S37" s="149">
        <f t="shared" ref="S37:S68" si="141">(SQRT(Isw_max^2*Nps^2*I37^2+4*Isw_max*F37/Efficiency*(Nps^2*Vfwd1*I37-Nps*I37^2)+4*(F37/Efficiency)^2*Nps^2*Vfwd1^2+8*(F37/Efficiency)^2*Nps*Vfwd1*I37+4*(F37/Efficiency)^2*I37^2)-2*F37/Efficiency*I37-2*F37/Efficiency*Nps*Vfwd1+Isw_max*Nps*I37)/(4*F37/Efficiency*Nps)</f>
        <v>2253.9347158885766</v>
      </c>
      <c r="T37" s="149">
        <f t="shared" ref="T37:T68" si="142">MIN(Vout, S37)</f>
        <v>170</v>
      </c>
      <c r="U37" s="188">
        <f t="shared" ref="U37:U68" si="143">MIN(2*(Vout+Vfwd1+F37/FL37*Rdcr_sec)*F37/(I37*M37), Isw_max)</f>
        <v>10.966182428304595</v>
      </c>
      <c r="V37" s="188">
        <f t="shared" si="11"/>
        <v>1.3745068367758257</v>
      </c>
      <c r="W37" s="188">
        <f t="shared" ref="W37:W68" si="144">L*U37/J37*1000000</f>
        <v>1.9265219780982423</v>
      </c>
      <c r="X37" s="172">
        <f t="shared" ref="X37:X68" si="145">IF(1/((350000*L)*(1/I37+1/J37))&gt;Isw_min, 350, 0.001/((Isw_min*L)*(1/I37+1/J37)))</f>
        <v>249.15374213545641</v>
      </c>
      <c r="Y37" s="379">
        <f t="shared" si="14"/>
        <v>285.63032550646682</v>
      </c>
      <c r="AA37" s="188">
        <f t="shared" ref="AA37:AA68" si="146">1/((X37*1000*L)*(1/I37+1/J37))</f>
        <v>13.333333333333332</v>
      </c>
      <c r="AB37" s="150">
        <f t="shared" ref="AB37:AB68" si="147">L*AA37/J37*1000000</f>
        <v>2.3423793900853278</v>
      </c>
      <c r="AC37" s="150">
        <f t="shared" ref="AC37:AC68" si="148">0.5*AB37*AA37*Nps*X37/1000</f>
        <v>0.1945375301802425</v>
      </c>
      <c r="AD37" s="150"/>
      <c r="AE37" s="150">
        <f t="shared" ref="AE37:AE68" si="149">L*Isw_min/J37*1000000</f>
        <v>2.3423793900853283</v>
      </c>
      <c r="AF37" s="314">
        <f t="shared" ref="AF37:AF68" si="150">MAX(12, F37/(0.5*AE37/1000000*Isw_min*Nps)/1000)</f>
        <v>204.919835801029</v>
      </c>
      <c r="AG37" s="456">
        <f t="shared" ref="AG37:AG68" si="151">0.5*AE37/1000000*Isw_min*Nps*X37*1000</f>
        <v>0.19453753018024256</v>
      </c>
      <c r="AI37" s="150">
        <f t="shared" ref="AI37:AI68" si="152">SQRT(F37/Efficiency/(0.5*L/J37*Fsw_DCM*Nps))</f>
        <v>10.202267679476819</v>
      </c>
      <c r="AJ37" s="150">
        <f t="shared" ref="AJ37:AJ71" si="153">MAX(IF(F37&gt;AC37,U37,AI37),Isw_min)</f>
        <v>13.333333333333334</v>
      </c>
      <c r="AK37" s="150">
        <f t="shared" ref="AK37:AK68" si="154">IF(F37&gt;AG37, (AJ37-Isw_min)/1.08*0.8+1.2, AF37*0.2/350+1)</f>
        <v>1.1170970490291594</v>
      </c>
      <c r="AM37" s="314">
        <f t="shared" ref="AM37:AM68" si="155">F37*1000</f>
        <v>160</v>
      </c>
      <c r="AN37" s="144">
        <f t="shared" ref="AN37:AN68" si="156">IF(F37&gt;AG37, Y37, AF37)</f>
        <v>204.919835801029</v>
      </c>
      <c r="AP37">
        <f t="shared" ref="AP37:AP68" si="157">IF(H37&gt;N37, "",AM37)</f>
        <v>160</v>
      </c>
      <c r="AQ37" s="144">
        <f t="shared" ref="AQ37:AQ68" si="158">IF(H37&gt;N37, "",AN37)</f>
        <v>204.919835801029</v>
      </c>
      <c r="AR37" s="144"/>
      <c r="AS37" s="5">
        <f t="shared" si="101"/>
        <v>4.879957062677768</v>
      </c>
      <c r="AT37" s="5">
        <f t="shared" ref="AT37:AT68" si="159">L*AJ37/I37*1000000</f>
        <v>1.6712067251749205</v>
      </c>
      <c r="AU37" s="5">
        <f t="shared" si="102"/>
        <v>3.2087503375028472</v>
      </c>
      <c r="AV37" s="5">
        <f t="shared" ref="AV37:AV68" si="160">L*AJ37/J37*1000000</f>
        <v>2.3423793900853283</v>
      </c>
      <c r="AW37" s="150">
        <f t="shared" si="103"/>
        <v>0.34246340771242012</v>
      </c>
      <c r="AX37" s="150">
        <f t="shared" ref="AX37:AX68" si="161">0.5*L*AJ37^2*AN37*1000</f>
        <v>27.32264477347054</v>
      </c>
      <c r="AY37" s="150">
        <f t="shared" ref="AY37:AY68" si="162">AJ37*Nps/2*(1-AW37)</f>
        <v>0.21917886409585999</v>
      </c>
      <c r="AZ37" s="150">
        <f t="shared" si="104"/>
        <v>124.65912206534986</v>
      </c>
      <c r="BA37" s="144">
        <f t="shared" ref="BA37:BA68" si="163">F37*AT37/Vout_ripple*1000</f>
        <v>0.15729004472234545</v>
      </c>
      <c r="BB37" s="5">
        <f t="shared" ref="BB37:BB68" si="164">H37/Efficiency/I37*AU37/Vinripple1</f>
        <v>12.154966325135319</v>
      </c>
      <c r="BC37" s="5"/>
      <c r="BD37" s="150">
        <f t="shared" si="105"/>
        <v>4.504900427805226</v>
      </c>
      <c r="BE37" s="150">
        <f t="shared" ref="BE37:BE68" si="165">AJ37*Nps*SQRT((1-AW37)/3)</f>
        <v>0.31211028257180007</v>
      </c>
      <c r="BF37" s="150"/>
      <c r="BG37" s="456">
        <f t="shared" ref="BG37:BG68" si="166">Rdson*BD37^2</f>
        <v>6.9000034739095009E-2</v>
      </c>
      <c r="BH37" s="456">
        <f t="shared" ref="BH37:BH68" si="167">0.5*K37*AJ37*AN37*1000*Tfall</f>
        <v>1.3439815505440214</v>
      </c>
      <c r="BI37" s="456">
        <f t="shared" ref="BI37:BI68" si="168">Qg*Vdd*AN37*1000*0+Qg*I37*AN37*1000</f>
        <v>0.11231798362593107</v>
      </c>
      <c r="BJ37" s="456">
        <f t="shared" ref="BJ37:BJ68" si="169">0.5*(Coss+Csw)*K37^2*AN37*1000</f>
        <v>5.9211311087086826E-2</v>
      </c>
      <c r="BK37">
        <f t="shared" ref="BK37:BK68" si="170">I37*IQ</f>
        <v>5.3853301715609102E-3</v>
      </c>
      <c r="BL37" s="144">
        <f t="shared" si="106"/>
        <v>117.70331379749197</v>
      </c>
      <c r="BM37" s="456">
        <f t="shared" ref="BM37:BM68" si="171">(BH37+BI37*0+BJ37+BK37*0+BG37*(1+RdsonTC*(Ta-25)))/(1-BG37*RdsonTC*ThetaJA)</f>
        <v>1.5156714421513302</v>
      </c>
      <c r="BN37" s="144">
        <f t="shared" si="107"/>
        <v>1515.6714421513302</v>
      </c>
      <c r="BO37" s="456">
        <f t="shared" ref="BO37:BO68" si="172">Vfwd2*F37*(1+Diode_TC/1000*(Ta-25))</f>
        <v>0.35499999999999998</v>
      </c>
      <c r="BP37" s="456"/>
      <c r="BR37" s="144">
        <f t="shared" si="109"/>
        <v>355</v>
      </c>
      <c r="BS37" s="456">
        <f t="shared" ref="BS37:BS68" si="173">Rdcr_pri*BD37^2</f>
        <v>3.0441191796659564E-2</v>
      </c>
      <c r="BT37" s="456">
        <f t="shared" ref="BT37:BT68" si="174">Rdcr_sec*BE37^2</f>
        <v>1.9482565697409776E-2</v>
      </c>
      <c r="BU37" s="456">
        <f t="shared" ref="BU37:BU68" si="175">AJ37^2.5*AN37^2.5*k_core*0+BZ37*0.015</f>
        <v>0.40799999999999997</v>
      </c>
      <c r="BV37" s="456">
        <f t="shared" ref="BV37:BV68" si="176">(BU37+(BS37+BT37)*(1+Ltc*(Ta-25)))/(1-(BS37+BT37)*Ltc*ThetaCa)</f>
        <v>0.47178974062056039</v>
      </c>
      <c r="BW37" s="456">
        <f t="shared" ref="BW37:BW68" si="177">0.5*Lleak*0.000000001*AJ37^2*AN37*1000</f>
        <v>3.643019303129405E-2</v>
      </c>
      <c r="BX37" s="144">
        <f t="shared" si="110"/>
        <v>508.21993365185449</v>
      </c>
      <c r="BY37" s="150">
        <f t="shared" si="45"/>
        <v>2.4965946896006765</v>
      </c>
      <c r="BZ37" s="5">
        <f t="shared" si="111"/>
        <v>27.2</v>
      </c>
      <c r="CA37" s="150">
        <f t="shared" si="112"/>
        <v>0.91592993352618479</v>
      </c>
      <c r="CB37" s="5">
        <f t="shared" si="113"/>
        <v>91.592993352618478</v>
      </c>
      <c r="CE37" s="59">
        <f t="shared" ref="CE37:CE68" si="178">IF(ABS(F37-Ioutmax_Vinnom)&lt;Iout/200, AN37, -50)</f>
        <v>-50</v>
      </c>
      <c r="CF37">
        <f t="shared" ref="CF37:CF68" si="179">IF(ABS(F37-Ioutmax_Vinnom)&lt;Iout/200, N37*CA37, -50)</f>
        <v>-50</v>
      </c>
      <c r="CG37" s="150">
        <f t="shared" ref="CG37:CG68" si="180">MIN(SQRT(2*DU37*1000*Ls1_*CL37)/CU37,1-EA37-0.00000005*DU37*1000)</f>
        <v>0.48098722008214817</v>
      </c>
      <c r="CI37" s="147">
        <v>32</v>
      </c>
      <c r="CJ37" s="188">
        <f t="shared" si="114"/>
        <v>0.16</v>
      </c>
      <c r="CK37" s="188"/>
      <c r="CL37" s="188">
        <f t="shared" si="49"/>
        <v>27.2</v>
      </c>
      <c r="CM37" s="465">
        <f t="shared" si="50"/>
        <v>12</v>
      </c>
      <c r="CN37" s="149">
        <f t="shared" si="51"/>
        <v>8.5350000000000001</v>
      </c>
      <c r="CO37" s="379">
        <f t="shared" si="52"/>
        <v>20.535</v>
      </c>
      <c r="CP37" s="379"/>
      <c r="CQ37" s="188">
        <f t="shared" si="53"/>
        <v>0.4156318480642805</v>
      </c>
      <c r="CR37" s="149">
        <f t="shared" si="54"/>
        <v>166.85124908692478</v>
      </c>
      <c r="CS37" s="149">
        <f t="shared" si="115"/>
        <v>27.2</v>
      </c>
      <c r="CT37" s="188">
        <f t="shared" si="55"/>
        <v>0.98147793580543985</v>
      </c>
      <c r="CU37" s="188">
        <f t="shared" si="56"/>
        <v>170</v>
      </c>
      <c r="CV37" s="188">
        <f t="shared" si="57"/>
        <v>0.97795728956301287</v>
      </c>
      <c r="CW37" s="149">
        <f t="shared" si="58"/>
        <v>2260.0743108231532</v>
      </c>
      <c r="CX37" s="149">
        <f t="shared" si="59"/>
        <v>170</v>
      </c>
      <c r="CY37" s="188">
        <f t="shared" si="60"/>
        <v>10.907088459285296</v>
      </c>
      <c r="CZ37" s="188">
        <f t="shared" si="61"/>
        <v>1.363386057410662</v>
      </c>
      <c r="DA37" s="188">
        <f t="shared" si="62"/>
        <v>1.9168872511924948</v>
      </c>
      <c r="DB37" s="172">
        <f t="shared" si="63"/>
        <v>249.37910883856827</v>
      </c>
      <c r="DC37" s="379">
        <f t="shared" si="116"/>
        <v>304.85264669175734</v>
      </c>
      <c r="DE37" s="188">
        <f t="shared" si="64"/>
        <v>13.333333333333334</v>
      </c>
      <c r="DF37" s="150">
        <f t="shared" si="65"/>
        <v>2.3432923257176337</v>
      </c>
      <c r="DG37" s="150">
        <f t="shared" si="66"/>
        <v>0.19478938397857323</v>
      </c>
      <c r="DH37" s="150"/>
      <c r="DI37" s="150">
        <f t="shared" si="67"/>
        <v>2.3432923257176337</v>
      </c>
      <c r="DJ37" s="314">
        <f t="shared" si="117"/>
        <v>204.83999999999995</v>
      </c>
      <c r="DK37" s="456">
        <f t="shared" si="68"/>
        <v>0.19478938397857321</v>
      </c>
      <c r="DM37" s="150">
        <f t="shared" si="69"/>
        <v>10.20028010819871</v>
      </c>
      <c r="DN37" s="150">
        <f t="shared" si="70"/>
        <v>13.333333333333334</v>
      </c>
      <c r="DO37" s="150">
        <f t="shared" si="71"/>
        <v>1.1170514285714286</v>
      </c>
      <c r="DQ37" s="314">
        <f t="shared" si="72"/>
        <v>160</v>
      </c>
      <c r="DR37" s="144">
        <f t="shared" si="73"/>
        <v>204.83999999999995</v>
      </c>
      <c r="DT37">
        <f t="shared" si="74"/>
        <v>160</v>
      </c>
      <c r="DU37" s="144">
        <f t="shared" si="75"/>
        <v>204.83999999999995</v>
      </c>
      <c r="DV37" s="144"/>
      <c r="DW37" s="5">
        <f t="shared" si="118"/>
        <v>4.8818590119117369</v>
      </c>
      <c r="DX37" s="5">
        <f t="shared" si="76"/>
        <v>1.666666666666667</v>
      </c>
      <c r="DY37" s="5">
        <f t="shared" si="119"/>
        <v>3.2151923452450699</v>
      </c>
      <c r="DZ37" s="5">
        <f t="shared" si="77"/>
        <v>2.3432923257176337</v>
      </c>
      <c r="EA37" s="150">
        <f t="shared" si="120"/>
        <v>0.34139999999999998</v>
      </c>
      <c r="EB37" s="150">
        <f t="shared" si="78"/>
        <v>27.312000000000001</v>
      </c>
      <c r="EC37" s="150">
        <f t="shared" si="79"/>
        <v>0.21953333333333339</v>
      </c>
      <c r="ED37" s="150">
        <f t="shared" si="121"/>
        <v>124.40935317339809</v>
      </c>
      <c r="EE37" s="144">
        <f t="shared" si="80"/>
        <v>0.15686274509803924</v>
      </c>
      <c r="EF37" s="5">
        <f t="shared" si="81"/>
        <v>12.146282193148041</v>
      </c>
      <c r="EG37" s="5"/>
      <c r="EH37" s="150">
        <f t="shared" si="122"/>
        <v>4.4979007449154675</v>
      </c>
      <c r="EI37" s="150">
        <f t="shared" si="82"/>
        <v>0.31236256237002924</v>
      </c>
      <c r="EJ37" s="150"/>
      <c r="EK37" s="456">
        <f t="shared" si="83"/>
        <v>6.8785777777777807E-2</v>
      </c>
      <c r="EL37" s="456">
        <f t="shared" si="84"/>
        <v>1.7049898367999996</v>
      </c>
      <c r="EM37" s="456">
        <f t="shared" si="85"/>
        <v>4.6908359999999989E-2</v>
      </c>
      <c r="EN37" s="456">
        <f t="shared" si="86"/>
        <v>5.9169071335364976E-2</v>
      </c>
      <c r="EO37">
        <f t="shared" si="87"/>
        <v>5.4000000000000003E-3</v>
      </c>
      <c r="EP37" s="144">
        <f t="shared" si="123"/>
        <v>52.308359999999993</v>
      </c>
      <c r="EQ37" s="456">
        <f t="shared" si="88"/>
        <v>1.93545735473868</v>
      </c>
      <c r="ER37" s="144">
        <f t="shared" si="124"/>
        <v>1935.4573547386799</v>
      </c>
      <c r="ES37" s="456">
        <f t="shared" si="125"/>
        <v>0.35499999999999998</v>
      </c>
      <c r="ET37" s="456"/>
      <c r="EV37" s="144">
        <f t="shared" si="126"/>
        <v>355</v>
      </c>
      <c r="EW37" s="456">
        <f t="shared" si="89"/>
        <v>3.0346666666666678E-2</v>
      </c>
      <c r="EX37" s="456">
        <f t="shared" si="90"/>
        <v>1.9514074074074083E-2</v>
      </c>
      <c r="EY37" s="456">
        <f t="shared" si="91"/>
        <v>19.491881559188865</v>
      </c>
      <c r="EZ37" s="456">
        <f t="shared" si="92"/>
        <v>19.632018235423701</v>
      </c>
      <c r="FA37" s="456">
        <f t="shared" si="93"/>
        <v>3.6415999999999997E-2</v>
      </c>
      <c r="FB37" s="144">
        <f t="shared" si="127"/>
        <v>19668.434235423698</v>
      </c>
      <c r="FC37" s="150">
        <f t="shared" si="128"/>
        <v>21.958891590162381</v>
      </c>
      <c r="FD37" s="5">
        <f t="shared" si="129"/>
        <v>27.2</v>
      </c>
      <c r="FE37" s="150">
        <f t="shared" si="130"/>
        <v>0.5533078375071262</v>
      </c>
      <c r="FF37" s="5">
        <f t="shared" si="131"/>
        <v>55.330783750712619</v>
      </c>
      <c r="FI37" s="59">
        <f t="shared" si="94"/>
        <v>-50</v>
      </c>
      <c r="FJ37">
        <f t="shared" si="95"/>
        <v>-50</v>
      </c>
      <c r="FL37">
        <f t="shared" ref="FL37:FL68" si="181">MIN(SQRT(2*L*DR37*1000*CJ37*(CX37+Vfwd1))/(Nps*(CX37+Vfwd1)), 1-EA37)</f>
        <v>0.47999999999999987</v>
      </c>
    </row>
    <row r="38" spans="5:168">
      <c r="E38" s="147">
        <v>33</v>
      </c>
      <c r="F38" s="188">
        <f t="shared" ref="F38:F69" si="182">IF(PLOT_TYPE=1, E38/100*Iout_max, min_I*EXP(N38*rr/100))</f>
        <v>0.16500000000000001</v>
      </c>
      <c r="G38" s="188"/>
      <c r="H38" s="188">
        <f t="shared" si="132"/>
        <v>28.05</v>
      </c>
      <c r="I38" s="465">
        <f t="shared" si="133"/>
        <v>11.967400381246467</v>
      </c>
      <c r="J38" s="149">
        <f t="shared" si="134"/>
        <v>8.5383264917095438</v>
      </c>
      <c r="K38" s="149">
        <f t="shared" si="135"/>
        <v>20.538326491709544</v>
      </c>
      <c r="L38" s="379"/>
      <c r="M38" s="188">
        <f t="shared" si="136"/>
        <v>0.41638760417836135</v>
      </c>
      <c r="N38" s="149">
        <f t="shared" si="137"/>
        <v>166.700541693773</v>
      </c>
      <c r="O38" s="149">
        <f t="shared" si="98"/>
        <v>28.05</v>
      </c>
      <c r="P38" s="188">
        <f t="shared" si="138"/>
        <v>0.98059142172807645</v>
      </c>
      <c r="Q38" s="188">
        <f t="shared" si="139"/>
        <v>170</v>
      </c>
      <c r="R38" s="188">
        <f t="shared" si="140"/>
        <v>0.97707395548831877</v>
      </c>
      <c r="S38" s="149">
        <f t="shared" si="141"/>
        <v>2178.3855221689701</v>
      </c>
      <c r="T38" s="149">
        <f t="shared" si="142"/>
        <v>170</v>
      </c>
      <c r="U38" s="188">
        <f t="shared" si="143"/>
        <v>11.308875629189114</v>
      </c>
      <c r="V38" s="188">
        <f t="shared" si="11"/>
        <v>1.4174601754250704</v>
      </c>
      <c r="W38" s="188">
        <f t="shared" si="144"/>
        <v>1.986725789913812</v>
      </c>
      <c r="X38" s="172">
        <f t="shared" si="145"/>
        <v>249.15374213545641</v>
      </c>
      <c r="Y38" s="379">
        <f t="shared" si="14"/>
        <v>277.45516175272473</v>
      </c>
      <c r="AA38" s="188">
        <f t="shared" si="146"/>
        <v>13.333333333333332</v>
      </c>
      <c r="AB38" s="150">
        <f t="shared" si="147"/>
        <v>2.3423793900853278</v>
      </c>
      <c r="AC38" s="150">
        <f t="shared" si="148"/>
        <v>0.1945375301802425</v>
      </c>
      <c r="AD38" s="150"/>
      <c r="AE38" s="150">
        <f t="shared" si="149"/>
        <v>2.3423793900853283</v>
      </c>
      <c r="AF38" s="314">
        <f t="shared" si="150"/>
        <v>211.32358066981118</v>
      </c>
      <c r="AG38" s="456">
        <f t="shared" si="151"/>
        <v>0.19453753018024256</v>
      </c>
      <c r="AI38" s="150">
        <f t="shared" si="152"/>
        <v>10.360451805305734</v>
      </c>
      <c r="AJ38" s="150">
        <f t="shared" si="153"/>
        <v>13.333333333333334</v>
      </c>
      <c r="AK38" s="150">
        <f t="shared" si="154"/>
        <v>1.1207563318113207</v>
      </c>
      <c r="AM38" s="314">
        <f t="shared" si="155"/>
        <v>165</v>
      </c>
      <c r="AN38" s="144">
        <f t="shared" si="156"/>
        <v>211.32358066981118</v>
      </c>
      <c r="AP38">
        <f t="shared" si="157"/>
        <v>165</v>
      </c>
      <c r="AQ38" s="144">
        <f t="shared" si="158"/>
        <v>211.32358066981118</v>
      </c>
      <c r="AR38" s="144"/>
      <c r="AS38" s="5">
        <f t="shared" si="101"/>
        <v>4.7320795759299568</v>
      </c>
      <c r="AT38" s="5">
        <f t="shared" si="159"/>
        <v>1.6712067251749205</v>
      </c>
      <c r="AU38" s="5">
        <f t="shared" si="102"/>
        <v>3.060872850755036</v>
      </c>
      <c r="AV38" s="5">
        <f t="shared" si="160"/>
        <v>2.3423793900853283</v>
      </c>
      <c r="AW38" s="150">
        <f t="shared" si="103"/>
        <v>0.35316538920343327</v>
      </c>
      <c r="AX38" s="150">
        <f t="shared" si="161"/>
        <v>28.176477422641497</v>
      </c>
      <c r="AY38" s="150">
        <f t="shared" si="162"/>
        <v>0.21561153693218896</v>
      </c>
      <c r="AZ38" s="150">
        <f t="shared" si="104"/>
        <v>130.68167790809431</v>
      </c>
      <c r="BA38" s="144">
        <f t="shared" si="163"/>
        <v>0.16220535861991878</v>
      </c>
      <c r="BB38" s="5">
        <f t="shared" si="164"/>
        <v>11.957133647591204</v>
      </c>
      <c r="BC38" s="5"/>
      <c r="BD38" s="150">
        <f t="shared" si="105"/>
        <v>4.574748010568829</v>
      </c>
      <c r="BE38" s="150">
        <f t="shared" si="165"/>
        <v>0.30955992916984515</v>
      </c>
      <c r="BF38" s="150"/>
      <c r="BG38" s="456">
        <f t="shared" si="166"/>
        <v>7.1156285824691759E-2</v>
      </c>
      <c r="BH38" s="456">
        <f t="shared" si="167"/>
        <v>1.385980973998522</v>
      </c>
      <c r="BI38" s="456">
        <f t="shared" si="168"/>
        <v>0.11582792061424142</v>
      </c>
      <c r="BJ38" s="456">
        <f t="shared" si="169"/>
        <v>6.1061664558558292E-2</v>
      </c>
      <c r="BK38">
        <f t="shared" si="170"/>
        <v>5.3853301715609102E-3</v>
      </c>
      <c r="BL38" s="144">
        <f t="shared" si="106"/>
        <v>121.21325078580233</v>
      </c>
      <c r="BM38" s="456">
        <f t="shared" si="171"/>
        <v>1.5638507290835175</v>
      </c>
      <c r="BN38" s="144">
        <f t="shared" si="107"/>
        <v>1563.8507290835175</v>
      </c>
      <c r="BO38" s="456">
        <f t="shared" si="172"/>
        <v>0.36609375</v>
      </c>
      <c r="BP38" s="456"/>
      <c r="BR38" s="144">
        <f t="shared" si="109"/>
        <v>366.09375</v>
      </c>
      <c r="BS38" s="456">
        <f t="shared" si="173"/>
        <v>3.1392479040305191E-2</v>
      </c>
      <c r="BT38" s="456">
        <f t="shared" si="174"/>
        <v>1.9165469949527909E-2</v>
      </c>
      <c r="BU38" s="456">
        <f t="shared" si="175"/>
        <v>0.42075000000000001</v>
      </c>
      <c r="BV38" s="456">
        <f t="shared" si="176"/>
        <v>0.48540514382747563</v>
      </c>
      <c r="BW38" s="456">
        <f t="shared" si="177"/>
        <v>3.7568636563521995E-2</v>
      </c>
      <c r="BX38" s="144">
        <f t="shared" si="110"/>
        <v>522.9737803909976</v>
      </c>
      <c r="BY38" s="150">
        <f t="shared" si="45"/>
        <v>2.5741315102603179</v>
      </c>
      <c r="BZ38" s="5">
        <f t="shared" si="111"/>
        <v>28.05</v>
      </c>
      <c r="CA38" s="150">
        <f t="shared" si="112"/>
        <v>0.9159443424739121</v>
      </c>
      <c r="CB38" s="5">
        <f t="shared" si="113"/>
        <v>91.594434247391206</v>
      </c>
      <c r="CE38" s="59">
        <f t="shared" si="178"/>
        <v>-50</v>
      </c>
      <c r="CF38">
        <f t="shared" si="179"/>
        <v>-50</v>
      </c>
      <c r="CG38" s="150">
        <f t="shared" si="180"/>
        <v>0.49601807070971532</v>
      </c>
      <c r="CI38" s="147">
        <v>33</v>
      </c>
      <c r="CJ38" s="188">
        <f t="shared" si="114"/>
        <v>0.16500000000000001</v>
      </c>
      <c r="CK38" s="188"/>
      <c r="CL38" s="188">
        <f t="shared" si="49"/>
        <v>28.05</v>
      </c>
      <c r="CM38" s="465">
        <f t="shared" si="50"/>
        <v>12</v>
      </c>
      <c r="CN38" s="149">
        <f t="shared" si="51"/>
        <v>8.5350000000000001</v>
      </c>
      <c r="CO38" s="379">
        <f t="shared" si="52"/>
        <v>20.535</v>
      </c>
      <c r="CP38" s="379"/>
      <c r="CQ38" s="188">
        <f t="shared" si="53"/>
        <v>0.4156318480642805</v>
      </c>
      <c r="CR38" s="149">
        <f t="shared" si="54"/>
        <v>166.85124908692478</v>
      </c>
      <c r="CS38" s="149">
        <f t="shared" si="115"/>
        <v>28.05</v>
      </c>
      <c r="CT38" s="188">
        <f t="shared" si="55"/>
        <v>0.98147793580543985</v>
      </c>
      <c r="CU38" s="188">
        <f t="shared" si="56"/>
        <v>170</v>
      </c>
      <c r="CV38" s="188">
        <f t="shared" si="57"/>
        <v>0.97795728956301287</v>
      </c>
      <c r="CW38" s="149">
        <f t="shared" si="58"/>
        <v>2184.319311434735</v>
      </c>
      <c r="CX38" s="149">
        <f t="shared" si="59"/>
        <v>170</v>
      </c>
      <c r="CY38" s="188">
        <f t="shared" si="60"/>
        <v>11.24793497363796</v>
      </c>
      <c r="CZ38" s="188">
        <f t="shared" si="61"/>
        <v>1.4059918717047453</v>
      </c>
      <c r="DA38" s="188">
        <f t="shared" si="62"/>
        <v>1.9767899777922602</v>
      </c>
      <c r="DB38" s="172">
        <f t="shared" si="63"/>
        <v>249.37910883856827</v>
      </c>
      <c r="DC38" s="379">
        <f t="shared" si="116"/>
        <v>295.61468770109798</v>
      </c>
      <c r="DE38" s="188">
        <f t="shared" si="64"/>
        <v>13.333333333333334</v>
      </c>
      <c r="DF38" s="150">
        <f t="shared" si="65"/>
        <v>2.3432923257176337</v>
      </c>
      <c r="DG38" s="150">
        <f t="shared" si="66"/>
        <v>0.19478938397857323</v>
      </c>
      <c r="DH38" s="150"/>
      <c r="DI38" s="150">
        <f t="shared" si="67"/>
        <v>2.3432923257176337</v>
      </c>
      <c r="DJ38" s="314">
        <f t="shared" si="117"/>
        <v>211.24124999999995</v>
      </c>
      <c r="DK38" s="456">
        <f t="shared" si="68"/>
        <v>0.19478938397857321</v>
      </c>
      <c r="DM38" s="150">
        <f t="shared" si="69"/>
        <v>10.358433417131321</v>
      </c>
      <c r="DN38" s="150">
        <f t="shared" si="70"/>
        <v>13.333333333333334</v>
      </c>
      <c r="DO38" s="150">
        <f t="shared" si="71"/>
        <v>1.1207092857142857</v>
      </c>
      <c r="DQ38" s="314">
        <f t="shared" si="72"/>
        <v>165</v>
      </c>
      <c r="DR38" s="144">
        <f t="shared" si="73"/>
        <v>211.24124999999995</v>
      </c>
      <c r="DT38">
        <f t="shared" si="74"/>
        <v>165</v>
      </c>
      <c r="DU38" s="144">
        <f t="shared" si="75"/>
        <v>211.24124999999995</v>
      </c>
      <c r="DV38" s="144"/>
      <c r="DW38" s="5">
        <f t="shared" si="118"/>
        <v>4.7339238903386542</v>
      </c>
      <c r="DX38" s="5">
        <f t="shared" si="76"/>
        <v>1.666666666666667</v>
      </c>
      <c r="DY38" s="5">
        <f t="shared" si="119"/>
        <v>3.0672572236719873</v>
      </c>
      <c r="DZ38" s="5">
        <f t="shared" si="77"/>
        <v>2.3432923257176337</v>
      </c>
      <c r="EA38" s="150">
        <f t="shared" si="120"/>
        <v>0.35206874999999999</v>
      </c>
      <c r="EB38" s="150">
        <f t="shared" si="78"/>
        <v>28.165499999999998</v>
      </c>
      <c r="EC38" s="150">
        <f t="shared" si="79"/>
        <v>0.21597708333333338</v>
      </c>
      <c r="ED38" s="150">
        <f t="shared" si="121"/>
        <v>130.40966923574064</v>
      </c>
      <c r="EE38" s="144">
        <f t="shared" si="80"/>
        <v>0.16176470588235298</v>
      </c>
      <c r="EF38" s="5">
        <f t="shared" si="81"/>
        <v>11.949522933888781</v>
      </c>
      <c r="EG38" s="5"/>
      <c r="EH38" s="150">
        <f t="shared" si="122"/>
        <v>4.5676397989917437</v>
      </c>
      <c r="EI38" s="150">
        <f t="shared" si="82"/>
        <v>0.30982223098869915</v>
      </c>
      <c r="EJ38" s="150"/>
      <c r="EK38" s="456">
        <f t="shared" si="83"/>
        <v>7.0935333333333336E-2</v>
      </c>
      <c r="EL38" s="456">
        <f t="shared" si="84"/>
        <v>1.7582707691999999</v>
      </c>
      <c r="EM38" s="456">
        <f t="shared" si="85"/>
        <v>4.8374246249999989E-2</v>
      </c>
      <c r="EN38" s="456">
        <f t="shared" si="86"/>
        <v>6.1018104814595138E-2</v>
      </c>
      <c r="EO38">
        <f t="shared" si="87"/>
        <v>5.4000000000000003E-3</v>
      </c>
      <c r="EP38" s="144">
        <f t="shared" si="123"/>
        <v>53.77424624999999</v>
      </c>
      <c r="EQ38" s="456">
        <f t="shared" si="88"/>
        <v>1.9968056252546535</v>
      </c>
      <c r="ER38" s="144">
        <f t="shared" si="124"/>
        <v>1996.8056252546535</v>
      </c>
      <c r="ES38" s="456">
        <f t="shared" si="125"/>
        <v>0.36609375</v>
      </c>
      <c r="ET38" s="456"/>
      <c r="EV38" s="144">
        <f t="shared" si="126"/>
        <v>366.09375</v>
      </c>
      <c r="EW38" s="456">
        <f t="shared" si="89"/>
        <v>3.1295000000000003E-2</v>
      </c>
      <c r="EX38" s="456">
        <f t="shared" si="90"/>
        <v>1.9197962962962972E-2</v>
      </c>
      <c r="EY38" s="456">
        <f t="shared" si="91"/>
        <v>21.050560676756881</v>
      </c>
      <c r="EZ38" s="456">
        <f t="shared" si="92"/>
        <v>21.19880318154334</v>
      </c>
      <c r="FA38" s="456">
        <f t="shared" si="93"/>
        <v>3.7553999999999997E-2</v>
      </c>
      <c r="FB38" s="144">
        <f t="shared" si="127"/>
        <v>21236.357181543339</v>
      </c>
      <c r="FC38" s="150">
        <f t="shared" si="128"/>
        <v>23.599256556797993</v>
      </c>
      <c r="FD38" s="5">
        <f t="shared" si="129"/>
        <v>28.05</v>
      </c>
      <c r="FE38" s="150">
        <f t="shared" si="130"/>
        <v>0.54308622950175078</v>
      </c>
      <c r="FF38" s="5">
        <f t="shared" si="131"/>
        <v>54.308622950175078</v>
      </c>
      <c r="FI38" s="59">
        <f t="shared" si="94"/>
        <v>-50</v>
      </c>
      <c r="FJ38">
        <f t="shared" si="95"/>
        <v>-50</v>
      </c>
      <c r="FL38">
        <f t="shared" si="181"/>
        <v>0.49499999999999988</v>
      </c>
    </row>
    <row r="39" spans="5:168">
      <c r="E39" s="147">
        <v>34</v>
      </c>
      <c r="F39" s="188">
        <f t="shared" si="182"/>
        <v>0.17</v>
      </c>
      <c r="G39" s="188"/>
      <c r="H39" s="188">
        <f t="shared" si="132"/>
        <v>28.900000000000002</v>
      </c>
      <c r="I39" s="465">
        <f t="shared" si="133"/>
        <v>11.967400381246467</v>
      </c>
      <c r="J39" s="149">
        <f t="shared" si="134"/>
        <v>8.5383264917095438</v>
      </c>
      <c r="K39" s="149">
        <f t="shared" si="135"/>
        <v>20.538326491709544</v>
      </c>
      <c r="L39" s="379"/>
      <c r="M39" s="188">
        <f t="shared" si="136"/>
        <v>0.41638760417836135</v>
      </c>
      <c r="N39" s="149">
        <f t="shared" si="137"/>
        <v>166.700541693773</v>
      </c>
      <c r="O39" s="149">
        <f t="shared" si="98"/>
        <v>28.900000000000002</v>
      </c>
      <c r="P39" s="188">
        <f t="shared" si="138"/>
        <v>0.98059142172807645</v>
      </c>
      <c r="Q39" s="188">
        <f t="shared" si="139"/>
        <v>170</v>
      </c>
      <c r="R39" s="188">
        <f t="shared" si="140"/>
        <v>0.97707395548831877</v>
      </c>
      <c r="S39" s="149">
        <f t="shared" si="141"/>
        <v>2107.2805673584971</v>
      </c>
      <c r="T39" s="149">
        <f t="shared" si="142"/>
        <v>170</v>
      </c>
      <c r="U39" s="188">
        <f t="shared" si="143"/>
        <v>11.651568830073632</v>
      </c>
      <c r="V39" s="188">
        <f t="shared" si="11"/>
        <v>1.4604135140743149</v>
      </c>
      <c r="W39" s="188">
        <f t="shared" si="144"/>
        <v>2.0469296017293823</v>
      </c>
      <c r="X39" s="172">
        <f t="shared" si="145"/>
        <v>249.15374213545641</v>
      </c>
      <c r="Y39" s="379">
        <f t="shared" si="14"/>
        <v>269.73494730962199</v>
      </c>
      <c r="AA39" s="188">
        <f t="shared" si="146"/>
        <v>13.333333333333332</v>
      </c>
      <c r="AB39" s="150">
        <f t="shared" si="147"/>
        <v>2.3423793900853278</v>
      </c>
      <c r="AC39" s="150">
        <f t="shared" si="148"/>
        <v>0.1945375301802425</v>
      </c>
      <c r="AD39" s="150"/>
      <c r="AE39" s="150">
        <f t="shared" si="149"/>
        <v>2.3423793900853283</v>
      </c>
      <c r="AF39" s="314">
        <f t="shared" si="150"/>
        <v>217.72732553859331</v>
      </c>
      <c r="AG39" s="456">
        <f t="shared" si="151"/>
        <v>0.19453753018024256</v>
      </c>
      <c r="AI39" s="150">
        <f t="shared" si="152"/>
        <v>10.516256815827026</v>
      </c>
      <c r="AJ39" s="150">
        <f t="shared" si="153"/>
        <v>13.333333333333334</v>
      </c>
      <c r="AK39" s="150">
        <f t="shared" si="154"/>
        <v>1.1244156145934818</v>
      </c>
      <c r="AM39" s="314">
        <f t="shared" si="155"/>
        <v>170</v>
      </c>
      <c r="AN39" s="144">
        <f t="shared" si="156"/>
        <v>217.72732553859331</v>
      </c>
      <c r="AP39">
        <f t="shared" si="157"/>
        <v>170</v>
      </c>
      <c r="AQ39" s="144">
        <f t="shared" si="158"/>
        <v>217.72732553859331</v>
      </c>
      <c r="AR39" s="144"/>
      <c r="AS39" s="5">
        <f t="shared" si="101"/>
        <v>4.5929007648731943</v>
      </c>
      <c r="AT39" s="5">
        <f t="shared" si="159"/>
        <v>1.6712067251749205</v>
      </c>
      <c r="AU39" s="5">
        <f t="shared" si="102"/>
        <v>2.9216940396982736</v>
      </c>
      <c r="AV39" s="5">
        <f t="shared" si="160"/>
        <v>2.3423793900853283</v>
      </c>
      <c r="AW39" s="150">
        <f t="shared" si="103"/>
        <v>0.3638673706944463</v>
      </c>
      <c r="AX39" s="150">
        <f t="shared" si="161"/>
        <v>29.030310071812448</v>
      </c>
      <c r="AY39" s="150">
        <f t="shared" si="162"/>
        <v>0.21204420976851793</v>
      </c>
      <c r="AZ39" s="150">
        <f t="shared" si="104"/>
        <v>136.90687476684195</v>
      </c>
      <c r="BA39" s="144">
        <f t="shared" si="163"/>
        <v>0.16712067251749207</v>
      </c>
      <c r="BB39" s="5">
        <f t="shared" si="164"/>
        <v>11.759300970047091</v>
      </c>
      <c r="BC39" s="5"/>
      <c r="BD39" s="150">
        <f t="shared" si="105"/>
        <v>4.6435450741827831</v>
      </c>
      <c r="BE39" s="150">
        <f t="shared" si="165"/>
        <v>0.30698838904465131</v>
      </c>
      <c r="BF39" s="150"/>
      <c r="BG39" s="456">
        <f t="shared" si="166"/>
        <v>7.3312536910288426E-2</v>
      </c>
      <c r="BH39" s="456">
        <f t="shared" si="167"/>
        <v>1.4279803974530225</v>
      </c>
      <c r="BI39" s="456">
        <f t="shared" si="168"/>
        <v>0.11933785760255175</v>
      </c>
      <c r="BJ39" s="456">
        <f t="shared" si="169"/>
        <v>6.2912018030029757E-2</v>
      </c>
      <c r="BK39">
        <f t="shared" si="170"/>
        <v>5.3853301715609102E-3</v>
      </c>
      <c r="BL39" s="144">
        <f t="shared" si="106"/>
        <v>124.72318777411266</v>
      </c>
      <c r="BM39" s="456">
        <f t="shared" si="171"/>
        <v>1.6120802581170297</v>
      </c>
      <c r="BN39" s="144">
        <f t="shared" si="107"/>
        <v>1612.0802581170296</v>
      </c>
      <c r="BO39" s="456">
        <f t="shared" si="172"/>
        <v>0.37718750000000001</v>
      </c>
      <c r="BP39" s="456"/>
      <c r="BR39" s="144">
        <f t="shared" si="109"/>
        <v>377.1875</v>
      </c>
      <c r="BS39" s="456">
        <f t="shared" si="173"/>
        <v>3.2343766283950783E-2</v>
      </c>
      <c r="BT39" s="456">
        <f t="shared" si="174"/>
        <v>1.8848374201646038E-2</v>
      </c>
      <c r="BU39" s="456">
        <f t="shared" si="175"/>
        <v>0.4335</v>
      </c>
      <c r="BV39" s="456">
        <f t="shared" si="176"/>
        <v>0.49902193427934183</v>
      </c>
      <c r="BW39" s="456">
        <f t="shared" si="177"/>
        <v>3.8707080095749934E-2</v>
      </c>
      <c r="BX39" s="144">
        <f t="shared" si="110"/>
        <v>537.72901437509177</v>
      </c>
      <c r="BY39" s="150">
        <f t="shared" si="45"/>
        <v>2.651719960266234</v>
      </c>
      <c r="BZ39" s="5">
        <f t="shared" si="111"/>
        <v>28.900000000000002</v>
      </c>
      <c r="CA39" s="150">
        <f t="shared" si="112"/>
        <v>0.91595640543191936</v>
      </c>
      <c r="CB39" s="5">
        <f t="shared" si="113"/>
        <v>91.595640543191934</v>
      </c>
      <c r="CE39" s="59">
        <f t="shared" si="178"/>
        <v>-50</v>
      </c>
      <c r="CF39">
        <f t="shared" si="179"/>
        <v>-50</v>
      </c>
      <c r="CG39" s="150">
        <f t="shared" si="180"/>
        <v>0.51104892133728252</v>
      </c>
      <c r="CI39" s="147">
        <v>34</v>
      </c>
      <c r="CJ39" s="188">
        <f t="shared" si="114"/>
        <v>0.17</v>
      </c>
      <c r="CK39" s="188"/>
      <c r="CL39" s="188">
        <f t="shared" si="49"/>
        <v>28.900000000000002</v>
      </c>
      <c r="CM39" s="465">
        <f t="shared" si="50"/>
        <v>12</v>
      </c>
      <c r="CN39" s="149">
        <f t="shared" si="51"/>
        <v>8.5350000000000001</v>
      </c>
      <c r="CO39" s="379">
        <f t="shared" si="52"/>
        <v>20.535</v>
      </c>
      <c r="CP39" s="379"/>
      <c r="CQ39" s="188">
        <f t="shared" si="53"/>
        <v>0.4156318480642805</v>
      </c>
      <c r="CR39" s="149">
        <f t="shared" si="54"/>
        <v>166.85124908692478</v>
      </c>
      <c r="CS39" s="149">
        <f t="shared" si="115"/>
        <v>28.900000000000002</v>
      </c>
      <c r="CT39" s="188">
        <f t="shared" si="55"/>
        <v>0.98147793580543985</v>
      </c>
      <c r="CU39" s="188">
        <f t="shared" si="56"/>
        <v>170</v>
      </c>
      <c r="CV39" s="188">
        <f t="shared" si="57"/>
        <v>0.97795728956301287</v>
      </c>
      <c r="CW39" s="149">
        <f t="shared" si="58"/>
        <v>2113.0206571718013</v>
      </c>
      <c r="CX39" s="149">
        <f t="shared" si="59"/>
        <v>170</v>
      </c>
      <c r="CY39" s="188">
        <f t="shared" si="60"/>
        <v>11.588781487990627</v>
      </c>
      <c r="CZ39" s="188">
        <f t="shared" si="61"/>
        <v>1.4485976859988281</v>
      </c>
      <c r="DA39" s="188">
        <f t="shared" si="62"/>
        <v>2.0366927043920255</v>
      </c>
      <c r="DB39" s="172">
        <f t="shared" si="63"/>
        <v>249.37910883856827</v>
      </c>
      <c r="DC39" s="379">
        <f t="shared" si="116"/>
        <v>286.92013806283046</v>
      </c>
      <c r="DE39" s="188">
        <f t="shared" si="64"/>
        <v>13.333333333333334</v>
      </c>
      <c r="DF39" s="150">
        <f t="shared" si="65"/>
        <v>2.3432923257176337</v>
      </c>
      <c r="DG39" s="150">
        <f t="shared" si="66"/>
        <v>0.19478938397857323</v>
      </c>
      <c r="DH39" s="150"/>
      <c r="DI39" s="150">
        <f t="shared" si="67"/>
        <v>2.3432923257176337</v>
      </c>
      <c r="DJ39" s="314">
        <f t="shared" si="117"/>
        <v>217.64249999999996</v>
      </c>
      <c r="DK39" s="456">
        <f t="shared" si="68"/>
        <v>0.19478938397857321</v>
      </c>
      <c r="DM39" s="150">
        <f t="shared" si="69"/>
        <v>10.514208074247504</v>
      </c>
      <c r="DN39" s="150">
        <f t="shared" si="70"/>
        <v>13.333333333333334</v>
      </c>
      <c r="DO39" s="150">
        <f t="shared" si="71"/>
        <v>1.1243671428571429</v>
      </c>
      <c r="DQ39" s="314">
        <f t="shared" si="72"/>
        <v>170</v>
      </c>
      <c r="DR39" s="144">
        <f t="shared" si="73"/>
        <v>217.64249999999996</v>
      </c>
      <c r="DT39">
        <f t="shared" si="74"/>
        <v>170</v>
      </c>
      <c r="DU39" s="144">
        <f t="shared" si="75"/>
        <v>217.64249999999996</v>
      </c>
      <c r="DV39" s="144"/>
      <c r="DW39" s="5">
        <f t="shared" si="118"/>
        <v>4.594690834740458</v>
      </c>
      <c r="DX39" s="5">
        <f t="shared" si="76"/>
        <v>1.666666666666667</v>
      </c>
      <c r="DY39" s="5">
        <f t="shared" si="119"/>
        <v>2.9280241680737911</v>
      </c>
      <c r="DZ39" s="5">
        <f t="shared" si="77"/>
        <v>2.3432923257176337</v>
      </c>
      <c r="EA39" s="150">
        <f t="shared" si="120"/>
        <v>0.36273749999999999</v>
      </c>
      <c r="EB39" s="150">
        <f t="shared" si="78"/>
        <v>29.018999999999998</v>
      </c>
      <c r="EC39" s="150">
        <f t="shared" si="79"/>
        <v>0.21242083333333339</v>
      </c>
      <c r="ED39" s="150">
        <f t="shared" si="121"/>
        <v>136.6108942547223</v>
      </c>
      <c r="EE39" s="144">
        <f t="shared" si="80"/>
        <v>0.16666666666666669</v>
      </c>
      <c r="EF39" s="5">
        <f t="shared" si="81"/>
        <v>11.752763674629522</v>
      </c>
      <c r="EG39" s="5"/>
      <c r="EH39" s="150">
        <f t="shared" si="122"/>
        <v>4.6363299662077075</v>
      </c>
      <c r="EI39" s="150">
        <f t="shared" si="82"/>
        <v>0.30726089770626414</v>
      </c>
      <c r="EJ39" s="150"/>
      <c r="EK39" s="456">
        <f t="shared" si="83"/>
        <v>7.3084888888888908E-2</v>
      </c>
      <c r="EL39" s="456">
        <f t="shared" si="84"/>
        <v>1.8115517015999998</v>
      </c>
      <c r="EM39" s="456">
        <f t="shared" si="85"/>
        <v>4.9840132499999988E-2</v>
      </c>
      <c r="EN39" s="456">
        <f t="shared" si="86"/>
        <v>6.2867138293825287E-2</v>
      </c>
      <c r="EO39">
        <f t="shared" si="87"/>
        <v>5.4000000000000003E-3</v>
      </c>
      <c r="EP39" s="144">
        <f t="shared" si="123"/>
        <v>55.240132499999987</v>
      </c>
      <c r="EQ39" s="456">
        <f t="shared" si="88"/>
        <v>2.0582176685268663</v>
      </c>
      <c r="ER39" s="144">
        <f t="shared" si="124"/>
        <v>2058.2176685268664</v>
      </c>
      <c r="ES39" s="456">
        <f t="shared" si="125"/>
        <v>0.37718750000000001</v>
      </c>
      <c r="ET39" s="456"/>
      <c r="EV39" s="144">
        <f t="shared" si="126"/>
        <v>377.1875</v>
      </c>
      <c r="EW39" s="456">
        <f t="shared" si="89"/>
        <v>3.2243333333333346E-2</v>
      </c>
      <c r="EX39" s="456">
        <f t="shared" si="90"/>
        <v>1.8881851851851865E-2</v>
      </c>
      <c r="EY39" s="456">
        <f t="shared" si="91"/>
        <v>22.68172656401687</v>
      </c>
      <c r="EZ39" s="456">
        <f t="shared" si="92"/>
        <v>22.838531726757559</v>
      </c>
      <c r="FA39" s="456">
        <f t="shared" si="93"/>
        <v>3.8692000000000004E-2</v>
      </c>
      <c r="FB39" s="144">
        <f t="shared" si="127"/>
        <v>22877.223726757558</v>
      </c>
      <c r="FC39" s="150">
        <f t="shared" si="128"/>
        <v>25.312628895284426</v>
      </c>
      <c r="FD39" s="5">
        <f t="shared" si="129"/>
        <v>28.900000000000002</v>
      </c>
      <c r="FE39" s="150">
        <f t="shared" si="130"/>
        <v>0.53308612013304912</v>
      </c>
      <c r="FF39" s="5">
        <f t="shared" si="131"/>
        <v>53.308612013304909</v>
      </c>
      <c r="FI39" s="59">
        <f t="shared" si="94"/>
        <v>-50</v>
      </c>
      <c r="FJ39">
        <f t="shared" si="95"/>
        <v>-50</v>
      </c>
      <c r="FL39">
        <f t="shared" si="181"/>
        <v>0.5099999999999999</v>
      </c>
    </row>
    <row r="40" spans="5:168">
      <c r="E40" s="147">
        <v>35</v>
      </c>
      <c r="F40" s="188">
        <f t="shared" si="182"/>
        <v>0.17499999999999999</v>
      </c>
      <c r="G40" s="188"/>
      <c r="H40" s="188">
        <f t="shared" si="132"/>
        <v>29.749999999999996</v>
      </c>
      <c r="I40" s="465">
        <f t="shared" si="133"/>
        <v>11.967400381246467</v>
      </c>
      <c r="J40" s="149">
        <f t="shared" si="134"/>
        <v>8.5383264917095438</v>
      </c>
      <c r="K40" s="149">
        <f t="shared" si="135"/>
        <v>20.538326491709544</v>
      </c>
      <c r="L40" s="379"/>
      <c r="M40" s="188">
        <f t="shared" si="136"/>
        <v>0.41638760417836135</v>
      </c>
      <c r="N40" s="149">
        <f t="shared" si="137"/>
        <v>166.700541693773</v>
      </c>
      <c r="O40" s="149">
        <f t="shared" si="98"/>
        <v>29.749999999999996</v>
      </c>
      <c r="P40" s="188">
        <f t="shared" si="138"/>
        <v>0.98059142172807645</v>
      </c>
      <c r="Q40" s="188">
        <f t="shared" si="139"/>
        <v>170</v>
      </c>
      <c r="R40" s="188">
        <f t="shared" si="140"/>
        <v>0.97707395548831877</v>
      </c>
      <c r="S40" s="149">
        <f t="shared" si="141"/>
        <v>2040.2389183335922</v>
      </c>
      <c r="T40" s="149">
        <f t="shared" si="142"/>
        <v>170</v>
      </c>
      <c r="U40" s="188">
        <f t="shared" si="143"/>
        <v>11.994262030958151</v>
      </c>
      <c r="V40" s="188">
        <f t="shared" si="11"/>
        <v>1.5033668527235593</v>
      </c>
      <c r="W40" s="188">
        <f t="shared" si="144"/>
        <v>2.1071334135449518</v>
      </c>
      <c r="X40" s="172">
        <f t="shared" si="145"/>
        <v>249.15374213545641</v>
      </c>
      <c r="Y40" s="379">
        <f t="shared" si="14"/>
        <v>262.43273326923679</v>
      </c>
      <c r="AA40" s="188">
        <f t="shared" si="146"/>
        <v>13.333333333333332</v>
      </c>
      <c r="AB40" s="150">
        <f t="shared" si="147"/>
        <v>2.3423793900853278</v>
      </c>
      <c r="AC40" s="150">
        <f t="shared" si="148"/>
        <v>0.1945375301802425</v>
      </c>
      <c r="AD40" s="150"/>
      <c r="AE40" s="150">
        <f t="shared" si="149"/>
        <v>2.3423793900853283</v>
      </c>
      <c r="AF40" s="314">
        <f t="shared" si="150"/>
        <v>224.13107040737546</v>
      </c>
      <c r="AG40" s="456">
        <f t="shared" si="151"/>
        <v>0.19453753018024256</v>
      </c>
      <c r="AI40" s="150">
        <f t="shared" si="152"/>
        <v>10.669786934273519</v>
      </c>
      <c r="AJ40" s="150">
        <f t="shared" si="153"/>
        <v>13.333333333333334</v>
      </c>
      <c r="AK40" s="150">
        <f t="shared" si="154"/>
        <v>1.1280748973756431</v>
      </c>
      <c r="AM40" s="314">
        <f t="shared" si="155"/>
        <v>175</v>
      </c>
      <c r="AN40" s="144">
        <f t="shared" si="156"/>
        <v>224.13107040737546</v>
      </c>
      <c r="AP40">
        <f t="shared" si="157"/>
        <v>175</v>
      </c>
      <c r="AQ40" s="144">
        <f t="shared" si="158"/>
        <v>224.13107040737546</v>
      </c>
      <c r="AR40" s="144"/>
      <c r="AS40" s="5">
        <f t="shared" si="101"/>
        <v>4.4616750287339597</v>
      </c>
      <c r="AT40" s="5">
        <f t="shared" si="159"/>
        <v>1.6712067251749205</v>
      </c>
      <c r="AU40" s="5">
        <f t="shared" si="102"/>
        <v>2.790468303559039</v>
      </c>
      <c r="AV40" s="5">
        <f t="shared" si="160"/>
        <v>2.3423793900853283</v>
      </c>
      <c r="AW40" s="150">
        <f t="shared" si="103"/>
        <v>0.37456935218545945</v>
      </c>
      <c r="AX40" s="150">
        <f t="shared" si="161"/>
        <v>29.884142720983405</v>
      </c>
      <c r="AY40" s="150">
        <f t="shared" si="162"/>
        <v>0.2084768826048469</v>
      </c>
      <c r="AZ40" s="150">
        <f t="shared" si="104"/>
        <v>143.34511504389036</v>
      </c>
      <c r="BA40" s="144">
        <f t="shared" si="163"/>
        <v>0.17203598641506535</v>
      </c>
      <c r="BB40" s="5">
        <f t="shared" si="164"/>
        <v>11.561468292502969</v>
      </c>
      <c r="BC40" s="5"/>
      <c r="BD40" s="150">
        <f t="shared" si="105"/>
        <v>4.7113376393261115</v>
      </c>
      <c r="BE40" s="150">
        <f t="shared" si="165"/>
        <v>0.30439512523826801</v>
      </c>
      <c r="BF40" s="150"/>
      <c r="BG40" s="456">
        <f t="shared" si="166"/>
        <v>7.5468787995885189E-2</v>
      </c>
      <c r="BH40" s="456">
        <f t="shared" si="167"/>
        <v>1.4699798209075234</v>
      </c>
      <c r="BI40" s="456">
        <f t="shared" si="168"/>
        <v>0.12284779459086209</v>
      </c>
      <c r="BJ40" s="456">
        <f t="shared" si="169"/>
        <v>6.4762371501501215E-2</v>
      </c>
      <c r="BK40">
        <f t="shared" si="170"/>
        <v>5.3853301715609102E-3</v>
      </c>
      <c r="BL40" s="144">
        <f t="shared" si="106"/>
        <v>128.23312476242299</v>
      </c>
      <c r="BM40" s="456">
        <f t="shared" si="171"/>
        <v>1.6603601078827206</v>
      </c>
      <c r="BN40" s="144">
        <f t="shared" si="107"/>
        <v>1660.3601078827205</v>
      </c>
      <c r="BO40" s="456">
        <f t="shared" si="172"/>
        <v>0.38828124999999997</v>
      </c>
      <c r="BP40" s="456"/>
      <c r="BR40" s="144">
        <f t="shared" si="109"/>
        <v>388.28124999999994</v>
      </c>
      <c r="BS40" s="456">
        <f t="shared" si="173"/>
        <v>3.3295053527596409E-2</v>
      </c>
      <c r="BT40" s="456">
        <f t="shared" si="174"/>
        <v>1.8531278453764174E-2</v>
      </c>
      <c r="BU40" s="456">
        <f t="shared" si="175"/>
        <v>0.44624999999999992</v>
      </c>
      <c r="BV40" s="456">
        <f t="shared" si="176"/>
        <v>0.51264011218818517</v>
      </c>
      <c r="BW40" s="456">
        <f t="shared" si="177"/>
        <v>3.9845523627977865E-2</v>
      </c>
      <c r="BX40" s="144">
        <f t="shared" si="110"/>
        <v>552.48563581616304</v>
      </c>
      <c r="BY40" s="150">
        <f t="shared" si="45"/>
        <v>2.7293601184613068</v>
      </c>
      <c r="BZ40" s="5">
        <f t="shared" si="111"/>
        <v>29.749999999999996</v>
      </c>
      <c r="CA40" s="150">
        <f t="shared" si="112"/>
        <v>0.91596632111881005</v>
      </c>
      <c r="CB40" s="5">
        <f t="shared" si="113"/>
        <v>91.596632111881007</v>
      </c>
      <c r="CE40" s="59">
        <f t="shared" si="178"/>
        <v>-50</v>
      </c>
      <c r="CF40">
        <f t="shared" si="179"/>
        <v>-50</v>
      </c>
      <c r="CG40" s="150">
        <f t="shared" si="180"/>
        <v>0.52607977196484945</v>
      </c>
      <c r="CI40" s="147">
        <v>35</v>
      </c>
      <c r="CJ40" s="188">
        <f t="shared" si="114"/>
        <v>0.17499999999999999</v>
      </c>
      <c r="CK40" s="188"/>
      <c r="CL40" s="188">
        <f t="shared" si="49"/>
        <v>29.749999999999996</v>
      </c>
      <c r="CM40" s="465">
        <f t="shared" si="50"/>
        <v>12</v>
      </c>
      <c r="CN40" s="149">
        <f t="shared" si="51"/>
        <v>8.5350000000000001</v>
      </c>
      <c r="CO40" s="379">
        <f t="shared" si="52"/>
        <v>20.535</v>
      </c>
      <c r="CP40" s="379"/>
      <c r="CQ40" s="188">
        <f t="shared" si="53"/>
        <v>0.4156318480642805</v>
      </c>
      <c r="CR40" s="149">
        <f t="shared" si="54"/>
        <v>166.85124908692478</v>
      </c>
      <c r="CS40" s="149">
        <f t="shared" si="115"/>
        <v>29.749999999999996</v>
      </c>
      <c r="CT40" s="188">
        <f t="shared" si="55"/>
        <v>0.98147793580543985</v>
      </c>
      <c r="CU40" s="188">
        <f t="shared" si="56"/>
        <v>170</v>
      </c>
      <c r="CV40" s="188">
        <f t="shared" si="57"/>
        <v>0.97795728956301287</v>
      </c>
      <c r="CW40" s="149">
        <f t="shared" si="58"/>
        <v>2045.7963772351261</v>
      </c>
      <c r="CX40" s="149">
        <f t="shared" si="59"/>
        <v>170</v>
      </c>
      <c r="CY40" s="188">
        <f t="shared" si="60"/>
        <v>11.929628002343291</v>
      </c>
      <c r="CZ40" s="188">
        <f t="shared" si="61"/>
        <v>1.4912035002929114</v>
      </c>
      <c r="DA40" s="188">
        <f t="shared" si="62"/>
        <v>2.0965954309917909</v>
      </c>
      <c r="DB40" s="172">
        <f t="shared" si="63"/>
        <v>249.37910883856827</v>
      </c>
      <c r="DC40" s="379">
        <f t="shared" si="116"/>
        <v>278.72241983246386</v>
      </c>
      <c r="DE40" s="188">
        <f t="shared" si="64"/>
        <v>13.333333333333334</v>
      </c>
      <c r="DF40" s="150">
        <f t="shared" si="65"/>
        <v>2.3432923257176337</v>
      </c>
      <c r="DG40" s="150">
        <f t="shared" si="66"/>
        <v>0.19478938397857323</v>
      </c>
      <c r="DH40" s="150"/>
      <c r="DI40" s="150">
        <f t="shared" si="67"/>
        <v>2.3432923257176337</v>
      </c>
      <c r="DJ40" s="314">
        <f t="shared" si="117"/>
        <v>224.0437499999999</v>
      </c>
      <c r="DK40" s="456">
        <f t="shared" si="68"/>
        <v>0.19478938397857321</v>
      </c>
      <c r="DM40" s="150">
        <f t="shared" si="69"/>
        <v>10.667708282475669</v>
      </c>
      <c r="DN40" s="150">
        <f t="shared" si="70"/>
        <v>13.333333333333334</v>
      </c>
      <c r="DO40" s="150">
        <f t="shared" si="71"/>
        <v>1.1280250000000001</v>
      </c>
      <c r="DQ40" s="314">
        <f t="shared" si="72"/>
        <v>175</v>
      </c>
      <c r="DR40" s="144">
        <f t="shared" si="73"/>
        <v>224.0437499999999</v>
      </c>
      <c r="DT40">
        <f t="shared" si="74"/>
        <v>175</v>
      </c>
      <c r="DU40" s="144">
        <f t="shared" si="75"/>
        <v>224.0437499999999</v>
      </c>
      <c r="DV40" s="144"/>
      <c r="DW40" s="5">
        <f t="shared" si="118"/>
        <v>4.4634139537478754</v>
      </c>
      <c r="DX40" s="5">
        <f t="shared" si="76"/>
        <v>1.666666666666667</v>
      </c>
      <c r="DY40" s="5">
        <f t="shared" si="119"/>
        <v>2.7967472870812085</v>
      </c>
      <c r="DZ40" s="5">
        <f t="shared" si="77"/>
        <v>2.3432923257176337</v>
      </c>
      <c r="EA40" s="150">
        <f t="shared" si="120"/>
        <v>0.37340624999999983</v>
      </c>
      <c r="EB40" s="150">
        <f t="shared" si="78"/>
        <v>29.872499999999995</v>
      </c>
      <c r="EC40" s="150">
        <f t="shared" si="79"/>
        <v>0.20886458333333341</v>
      </c>
      <c r="ED40" s="150">
        <f t="shared" si="121"/>
        <v>143.02329060894712</v>
      </c>
      <c r="EE40" s="144">
        <f t="shared" si="80"/>
        <v>0.17156862745098039</v>
      </c>
      <c r="EF40" s="5">
        <f t="shared" si="81"/>
        <v>11.556004415370268</v>
      </c>
      <c r="EG40" s="5"/>
      <c r="EH40" s="150">
        <f t="shared" si="122"/>
        <v>4.7040171957357648</v>
      </c>
      <c r="EI40" s="150">
        <f t="shared" si="82"/>
        <v>0.3046780328538698</v>
      </c>
      <c r="EJ40" s="150"/>
      <c r="EK40" s="456">
        <f t="shared" si="83"/>
        <v>7.5234444444444409E-2</v>
      </c>
      <c r="EL40" s="456">
        <f t="shared" si="84"/>
        <v>1.8648326339999994</v>
      </c>
      <c r="EM40" s="456">
        <f t="shared" si="85"/>
        <v>5.1306018749999981E-2</v>
      </c>
      <c r="EN40" s="456">
        <f t="shared" si="86"/>
        <v>6.4716171773055442E-2</v>
      </c>
      <c r="EO40">
        <f t="shared" si="87"/>
        <v>5.4000000000000003E-3</v>
      </c>
      <c r="EP40" s="144">
        <f t="shared" si="123"/>
        <v>56.706018749999984</v>
      </c>
      <c r="EQ40" s="456">
        <f t="shared" si="88"/>
        <v>2.1196935840466158</v>
      </c>
      <c r="ER40" s="144">
        <f t="shared" si="124"/>
        <v>2119.6935840466158</v>
      </c>
      <c r="ES40" s="456">
        <f t="shared" si="125"/>
        <v>0.38828124999999997</v>
      </c>
      <c r="ET40" s="456"/>
      <c r="EV40" s="144">
        <f t="shared" si="126"/>
        <v>388.28124999999994</v>
      </c>
      <c r="EW40" s="456">
        <f t="shared" si="89"/>
        <v>3.3191666666666654E-2</v>
      </c>
      <c r="EX40" s="456">
        <f t="shared" si="90"/>
        <v>1.8565740740740754E-2</v>
      </c>
      <c r="EY40" s="456">
        <f t="shared" si="91"/>
        <v>24.38646939035004</v>
      </c>
      <c r="EZ40" s="456">
        <f t="shared" si="92"/>
        <v>24.552309687156907</v>
      </c>
      <c r="FA40" s="456">
        <f t="shared" si="93"/>
        <v>3.982999999999999E-2</v>
      </c>
      <c r="FB40" s="144">
        <f t="shared" si="127"/>
        <v>24592.139687156905</v>
      </c>
      <c r="FC40" s="150">
        <f t="shared" si="128"/>
        <v>27.100114521203519</v>
      </c>
      <c r="FD40" s="5">
        <f t="shared" si="129"/>
        <v>29.749999999999996</v>
      </c>
      <c r="FE40" s="150">
        <f t="shared" si="130"/>
        <v>0.52330589393806892</v>
      </c>
      <c r="FF40" s="5">
        <f t="shared" si="131"/>
        <v>52.330589393806889</v>
      </c>
      <c r="FI40" s="59">
        <f t="shared" si="94"/>
        <v>-50</v>
      </c>
      <c r="FJ40">
        <f t="shared" si="95"/>
        <v>-50</v>
      </c>
      <c r="FL40">
        <f t="shared" si="181"/>
        <v>0.52499999999999991</v>
      </c>
    </row>
    <row r="41" spans="5:168">
      <c r="E41" s="147">
        <v>36</v>
      </c>
      <c r="F41" s="188">
        <f t="shared" si="182"/>
        <v>0.18</v>
      </c>
      <c r="G41" s="188"/>
      <c r="H41" s="188">
        <f t="shared" si="132"/>
        <v>30.599999999999998</v>
      </c>
      <c r="I41" s="465">
        <f t="shared" si="133"/>
        <v>11.967400381246467</v>
      </c>
      <c r="J41" s="149">
        <f t="shared" si="134"/>
        <v>8.5383264917095438</v>
      </c>
      <c r="K41" s="149">
        <f t="shared" si="135"/>
        <v>20.538326491709544</v>
      </c>
      <c r="L41" s="379"/>
      <c r="M41" s="188">
        <f t="shared" si="136"/>
        <v>0.41638760417836135</v>
      </c>
      <c r="N41" s="149">
        <f t="shared" si="137"/>
        <v>166.700541693773</v>
      </c>
      <c r="O41" s="149">
        <f t="shared" si="98"/>
        <v>30.599999999999998</v>
      </c>
      <c r="P41" s="188">
        <f t="shared" si="138"/>
        <v>0.98059142172807645</v>
      </c>
      <c r="Q41" s="188">
        <f t="shared" si="139"/>
        <v>170</v>
      </c>
      <c r="R41" s="188">
        <f t="shared" si="140"/>
        <v>0.97707395548831877</v>
      </c>
      <c r="S41" s="149">
        <f t="shared" si="141"/>
        <v>1976.9219678945769</v>
      </c>
      <c r="T41" s="149">
        <f t="shared" si="142"/>
        <v>170</v>
      </c>
      <c r="U41" s="188">
        <f t="shared" si="143"/>
        <v>12.336955231842669</v>
      </c>
      <c r="V41" s="188">
        <f t="shared" si="11"/>
        <v>1.546320191372804</v>
      </c>
      <c r="W41" s="188">
        <f t="shared" si="144"/>
        <v>2.1673372253605221</v>
      </c>
      <c r="X41" s="172">
        <f t="shared" si="145"/>
        <v>249.15374213545641</v>
      </c>
      <c r="Y41" s="379">
        <f t="shared" si="14"/>
        <v>255.51546635747329</v>
      </c>
      <c r="AA41" s="188">
        <f t="shared" si="146"/>
        <v>13.333333333333332</v>
      </c>
      <c r="AB41" s="150">
        <f t="shared" si="147"/>
        <v>2.3423793900853278</v>
      </c>
      <c r="AC41" s="150">
        <f t="shared" si="148"/>
        <v>0.1945375301802425</v>
      </c>
      <c r="AD41" s="150"/>
      <c r="AE41" s="150">
        <f t="shared" si="149"/>
        <v>2.3423793900853283</v>
      </c>
      <c r="AF41" s="314">
        <f t="shared" si="150"/>
        <v>230.53481527615762</v>
      </c>
      <c r="AG41" s="456">
        <f t="shared" si="151"/>
        <v>0.19453753018024256</v>
      </c>
      <c r="AI41" s="150">
        <f t="shared" si="152"/>
        <v>10.8211389894576</v>
      </c>
      <c r="AJ41" s="150">
        <f t="shared" si="153"/>
        <v>13.333333333333334</v>
      </c>
      <c r="AK41" s="150">
        <f t="shared" si="154"/>
        <v>1.1317341801578045</v>
      </c>
      <c r="AM41" s="314">
        <f t="shared" si="155"/>
        <v>180</v>
      </c>
      <c r="AN41" s="144">
        <f t="shared" si="156"/>
        <v>230.53481527615762</v>
      </c>
      <c r="AP41">
        <f t="shared" si="157"/>
        <v>180</v>
      </c>
      <c r="AQ41" s="144">
        <f t="shared" si="158"/>
        <v>230.53481527615762</v>
      </c>
      <c r="AR41" s="144"/>
      <c r="AS41" s="5">
        <f t="shared" si="101"/>
        <v>4.3377396112691278</v>
      </c>
      <c r="AT41" s="5">
        <f t="shared" si="159"/>
        <v>1.6712067251749205</v>
      </c>
      <c r="AU41" s="5">
        <f t="shared" si="102"/>
        <v>2.666532886094207</v>
      </c>
      <c r="AV41" s="5">
        <f t="shared" si="160"/>
        <v>2.3423793900853283</v>
      </c>
      <c r="AW41" s="150">
        <f t="shared" si="103"/>
        <v>0.38527133367647259</v>
      </c>
      <c r="AX41" s="150">
        <f t="shared" si="161"/>
        <v>30.737975370154356</v>
      </c>
      <c r="AY41" s="150">
        <f t="shared" si="162"/>
        <v>0.20490955544117581</v>
      </c>
      <c r="AZ41" s="150">
        <f t="shared" si="104"/>
        <v>150.00752553473978</v>
      </c>
      <c r="BA41" s="144">
        <f t="shared" si="163"/>
        <v>0.17695130031263864</v>
      </c>
      <c r="BB41" s="5">
        <f t="shared" si="164"/>
        <v>11.363635614958854</v>
      </c>
      <c r="BC41" s="5"/>
      <c r="BD41" s="150">
        <f t="shared" si="105"/>
        <v>4.7781684616068816</v>
      </c>
      <c r="BE41" s="150">
        <f t="shared" si="165"/>
        <v>0.30177957772091119</v>
      </c>
      <c r="BF41" s="150"/>
      <c r="BG41" s="456">
        <f t="shared" si="166"/>
        <v>7.7625039081481897E-2</v>
      </c>
      <c r="BH41" s="456">
        <f t="shared" si="167"/>
        <v>1.5119792443620239</v>
      </c>
      <c r="BI41" s="456">
        <f t="shared" si="168"/>
        <v>0.12635773157917243</v>
      </c>
      <c r="BJ41" s="456">
        <f t="shared" si="169"/>
        <v>6.6612724972972673E-2</v>
      </c>
      <c r="BK41">
        <f t="shared" si="170"/>
        <v>5.3853301715609102E-3</v>
      </c>
      <c r="BL41" s="144">
        <f t="shared" si="106"/>
        <v>131.74306175073332</v>
      </c>
      <c r="BM41" s="456">
        <f t="shared" si="171"/>
        <v>1.7086903571756071</v>
      </c>
      <c r="BN41" s="144">
        <f t="shared" si="107"/>
        <v>1708.6903571756072</v>
      </c>
      <c r="BO41" s="456">
        <f t="shared" si="172"/>
        <v>0.39937499999999992</v>
      </c>
      <c r="BP41" s="456"/>
      <c r="BR41" s="144">
        <f t="shared" si="109"/>
        <v>399.37499999999994</v>
      </c>
      <c r="BS41" s="456">
        <f t="shared" si="173"/>
        <v>3.4246340771242015E-2</v>
      </c>
      <c r="BT41" s="456">
        <f t="shared" si="174"/>
        <v>1.8214182705882296E-2</v>
      </c>
      <c r="BU41" s="456">
        <f t="shared" si="175"/>
        <v>0.45899999999999996</v>
      </c>
      <c r="BV41" s="456">
        <f t="shared" si="176"/>
        <v>0.52625967776607496</v>
      </c>
      <c r="BW41" s="456">
        <f t="shared" si="177"/>
        <v>4.098396716020581E-2</v>
      </c>
      <c r="BX41" s="144">
        <f t="shared" si="110"/>
        <v>567.24364492628081</v>
      </c>
      <c r="BY41" s="150">
        <f t="shared" si="45"/>
        <v>2.8070520638526211</v>
      </c>
      <c r="BZ41" s="5">
        <f t="shared" si="111"/>
        <v>30.599999999999998</v>
      </c>
      <c r="CA41" s="150">
        <f t="shared" si="112"/>
        <v>0.9159742661972281</v>
      </c>
      <c r="CB41" s="5">
        <f t="shared" si="113"/>
        <v>91.59742661972281</v>
      </c>
      <c r="CE41" s="59">
        <f t="shared" si="178"/>
        <v>-50</v>
      </c>
      <c r="CF41">
        <f t="shared" si="179"/>
        <v>-50</v>
      </c>
      <c r="CG41" s="150">
        <f t="shared" si="180"/>
        <v>0.54111062259241671</v>
      </c>
      <c r="CI41" s="147">
        <v>36</v>
      </c>
      <c r="CJ41" s="188">
        <f t="shared" si="114"/>
        <v>0.18</v>
      </c>
      <c r="CK41" s="188"/>
      <c r="CL41" s="188">
        <f t="shared" si="49"/>
        <v>30.599999999999998</v>
      </c>
      <c r="CM41" s="465">
        <f t="shared" si="50"/>
        <v>12</v>
      </c>
      <c r="CN41" s="149">
        <f t="shared" si="51"/>
        <v>8.5350000000000001</v>
      </c>
      <c r="CO41" s="379">
        <f t="shared" si="52"/>
        <v>20.535</v>
      </c>
      <c r="CP41" s="379"/>
      <c r="CQ41" s="188">
        <f t="shared" si="53"/>
        <v>0.4156318480642805</v>
      </c>
      <c r="CR41" s="149">
        <f t="shared" si="54"/>
        <v>166.85124908692478</v>
      </c>
      <c r="CS41" s="149">
        <f t="shared" si="115"/>
        <v>30.599999999999998</v>
      </c>
      <c r="CT41" s="188">
        <f t="shared" si="55"/>
        <v>0.98147793580543985</v>
      </c>
      <c r="CU41" s="188">
        <f t="shared" si="56"/>
        <v>170</v>
      </c>
      <c r="CV41" s="188">
        <f t="shared" si="57"/>
        <v>0.97795728956301287</v>
      </c>
      <c r="CW41" s="149">
        <f t="shared" si="58"/>
        <v>1982.3069420466666</v>
      </c>
      <c r="CX41" s="149">
        <f t="shared" si="59"/>
        <v>170</v>
      </c>
      <c r="CY41" s="188">
        <f t="shared" si="60"/>
        <v>12.270474516695957</v>
      </c>
      <c r="CZ41" s="188">
        <f t="shared" si="61"/>
        <v>1.5338093145869949</v>
      </c>
      <c r="DA41" s="188">
        <f t="shared" si="62"/>
        <v>2.1564981575915567</v>
      </c>
      <c r="DB41" s="172">
        <f t="shared" si="63"/>
        <v>249.37910883856827</v>
      </c>
      <c r="DC41" s="379">
        <f t="shared" si="116"/>
        <v>270.98013039267317</v>
      </c>
      <c r="DE41" s="188">
        <f t="shared" si="64"/>
        <v>13.333333333333334</v>
      </c>
      <c r="DF41" s="150">
        <f t="shared" si="65"/>
        <v>2.3432923257176337</v>
      </c>
      <c r="DG41" s="150">
        <f t="shared" si="66"/>
        <v>0.19478938397857323</v>
      </c>
      <c r="DH41" s="150"/>
      <c r="DI41" s="150">
        <f t="shared" si="67"/>
        <v>2.3432923257176337</v>
      </c>
      <c r="DJ41" s="314">
        <f t="shared" si="117"/>
        <v>230.44499999999994</v>
      </c>
      <c r="DK41" s="456">
        <f t="shared" si="68"/>
        <v>0.19478938397857321</v>
      </c>
      <c r="DM41" s="150">
        <f t="shared" si="69"/>
        <v>10.819030851764337</v>
      </c>
      <c r="DN41" s="150">
        <f t="shared" si="70"/>
        <v>13.333333333333334</v>
      </c>
      <c r="DO41" s="150">
        <f t="shared" si="71"/>
        <v>1.1316828571428572</v>
      </c>
      <c r="DQ41" s="314">
        <f t="shared" si="72"/>
        <v>180</v>
      </c>
      <c r="DR41" s="144">
        <f t="shared" si="73"/>
        <v>230.44499999999994</v>
      </c>
      <c r="DT41">
        <f t="shared" si="74"/>
        <v>180</v>
      </c>
      <c r="DU41" s="144">
        <f t="shared" si="75"/>
        <v>230.44499999999994</v>
      </c>
      <c r="DV41" s="144"/>
      <c r="DW41" s="5">
        <f t="shared" si="118"/>
        <v>4.3394302328104333</v>
      </c>
      <c r="DX41" s="5">
        <f t="shared" si="76"/>
        <v>1.666666666666667</v>
      </c>
      <c r="DY41" s="5">
        <f t="shared" si="119"/>
        <v>2.6727635661437663</v>
      </c>
      <c r="DZ41" s="5">
        <f t="shared" si="77"/>
        <v>2.3432923257176337</v>
      </c>
      <c r="EA41" s="150">
        <f t="shared" si="120"/>
        <v>0.38407499999999994</v>
      </c>
      <c r="EB41" s="150">
        <f t="shared" si="78"/>
        <v>30.725999999999999</v>
      </c>
      <c r="EC41" s="150">
        <f t="shared" si="79"/>
        <v>0.20530833333333337</v>
      </c>
      <c r="ED41" s="150">
        <f t="shared" si="121"/>
        <v>149.6578317165239</v>
      </c>
      <c r="EE41" s="144">
        <f t="shared" si="80"/>
        <v>0.17647058823529416</v>
      </c>
      <c r="EF41" s="5">
        <f t="shared" si="81"/>
        <v>11.359245156111005</v>
      </c>
      <c r="EG41" s="5"/>
      <c r="EH41" s="150">
        <f t="shared" si="122"/>
        <v>4.7707441767506245</v>
      </c>
      <c r="EI41" s="150">
        <f t="shared" si="82"/>
        <v>0.30207308411731781</v>
      </c>
      <c r="EJ41" s="150"/>
      <c r="EK41" s="456">
        <f t="shared" si="83"/>
        <v>7.7383999999999981E-2</v>
      </c>
      <c r="EL41" s="456">
        <f t="shared" si="84"/>
        <v>1.9181135663999995</v>
      </c>
      <c r="EM41" s="456">
        <f t="shared" si="85"/>
        <v>5.277190499999998E-2</v>
      </c>
      <c r="EN41" s="456">
        <f t="shared" si="86"/>
        <v>6.6565205252285597E-2</v>
      </c>
      <c r="EO41">
        <f t="shared" si="87"/>
        <v>5.4000000000000003E-3</v>
      </c>
      <c r="EP41" s="144">
        <f t="shared" si="123"/>
        <v>58.171904999999981</v>
      </c>
      <c r="EQ41" s="456">
        <f t="shared" si="88"/>
        <v>2.1812334715122632</v>
      </c>
      <c r="ER41" s="144">
        <f t="shared" si="124"/>
        <v>2181.2334715122633</v>
      </c>
      <c r="ES41" s="456">
        <f t="shared" si="125"/>
        <v>0.39937499999999992</v>
      </c>
      <c r="ET41" s="456"/>
      <c r="EV41" s="144">
        <f t="shared" si="126"/>
        <v>399.37499999999994</v>
      </c>
      <c r="EW41" s="456">
        <f t="shared" si="89"/>
        <v>3.413999999999999E-2</v>
      </c>
      <c r="EX41" s="456">
        <f t="shared" si="90"/>
        <v>1.8249629629629633E-2</v>
      </c>
      <c r="EY41" s="456">
        <f t="shared" si="91"/>
        <v>26.165863404271541</v>
      </c>
      <c r="EZ41" s="456">
        <f t="shared" si="92"/>
        <v>26.341227115618459</v>
      </c>
      <c r="FA41" s="456">
        <f t="shared" si="93"/>
        <v>4.0967999999999997E-2</v>
      </c>
      <c r="FB41" s="144">
        <f t="shared" si="127"/>
        <v>26382.195115618459</v>
      </c>
      <c r="FC41" s="150">
        <f t="shared" si="128"/>
        <v>28.962803587130722</v>
      </c>
      <c r="FD41" s="5">
        <f t="shared" si="129"/>
        <v>30.599999999999998</v>
      </c>
      <c r="FE41" s="150">
        <f t="shared" si="130"/>
        <v>0.51374344653265291</v>
      </c>
      <c r="FF41" s="5">
        <f t="shared" si="131"/>
        <v>51.37434465326529</v>
      </c>
      <c r="FI41" s="59">
        <f t="shared" si="94"/>
        <v>-50</v>
      </c>
      <c r="FJ41">
        <f t="shared" si="95"/>
        <v>-50</v>
      </c>
      <c r="FL41">
        <f t="shared" si="181"/>
        <v>0.53999999999999992</v>
      </c>
    </row>
    <row r="42" spans="5:168">
      <c r="E42" s="147">
        <v>37</v>
      </c>
      <c r="F42" s="188">
        <f t="shared" si="182"/>
        <v>0.185</v>
      </c>
      <c r="G42" s="188"/>
      <c r="H42" s="188">
        <f t="shared" si="132"/>
        <v>31.45</v>
      </c>
      <c r="I42" s="465">
        <f t="shared" si="133"/>
        <v>11.967400381246467</v>
      </c>
      <c r="J42" s="149">
        <f t="shared" si="134"/>
        <v>8.5383264917095438</v>
      </c>
      <c r="K42" s="149">
        <f t="shared" si="135"/>
        <v>20.538326491709544</v>
      </c>
      <c r="L42" s="379"/>
      <c r="M42" s="188">
        <f t="shared" si="136"/>
        <v>0.41638760417836135</v>
      </c>
      <c r="N42" s="149">
        <f t="shared" si="137"/>
        <v>166.700541693773</v>
      </c>
      <c r="O42" s="149">
        <f t="shared" si="98"/>
        <v>31.45</v>
      </c>
      <c r="P42" s="188">
        <f t="shared" si="138"/>
        <v>0.98059142172807645</v>
      </c>
      <c r="Q42" s="188">
        <f t="shared" si="139"/>
        <v>170</v>
      </c>
      <c r="R42" s="188">
        <f t="shared" si="140"/>
        <v>0.97707395548831877</v>
      </c>
      <c r="S42" s="149">
        <f t="shared" si="141"/>
        <v>1917.0277150465627</v>
      </c>
      <c r="T42" s="149">
        <f t="shared" si="142"/>
        <v>170</v>
      </c>
      <c r="U42" s="188">
        <f t="shared" si="143"/>
        <v>12.679648432727188</v>
      </c>
      <c r="V42" s="188">
        <f t="shared" si="11"/>
        <v>1.5892735300220486</v>
      </c>
      <c r="W42" s="188">
        <f t="shared" si="144"/>
        <v>2.227541037176092</v>
      </c>
      <c r="X42" s="172">
        <f t="shared" si="145"/>
        <v>249.15374213545641</v>
      </c>
      <c r="Y42" s="379">
        <f t="shared" si="14"/>
        <v>248.95348870872388</v>
      </c>
      <c r="AA42" s="188">
        <f t="shared" si="146"/>
        <v>13.333333333333332</v>
      </c>
      <c r="AB42" s="150">
        <f t="shared" si="147"/>
        <v>2.3423793900853278</v>
      </c>
      <c r="AC42" s="150">
        <f t="shared" si="148"/>
        <v>0.1945375301802425</v>
      </c>
      <c r="AD42" s="150"/>
      <c r="AE42" s="150">
        <f t="shared" si="149"/>
        <v>2.3423793900853283</v>
      </c>
      <c r="AF42" s="314">
        <f t="shared" si="150"/>
        <v>236.93856014493977</v>
      </c>
      <c r="AG42" s="456">
        <f t="shared" si="151"/>
        <v>0.19453753018024256</v>
      </c>
      <c r="AI42" s="150">
        <f t="shared" si="152"/>
        <v>10.970403130036972</v>
      </c>
      <c r="AJ42" s="150">
        <f t="shared" si="153"/>
        <v>13.333333333333334</v>
      </c>
      <c r="AK42" s="150">
        <f t="shared" si="154"/>
        <v>1.1353934629399656</v>
      </c>
      <c r="AM42" s="314">
        <f t="shared" si="155"/>
        <v>185</v>
      </c>
      <c r="AN42" s="144">
        <f t="shared" si="156"/>
        <v>236.93856014493977</v>
      </c>
      <c r="AP42">
        <f t="shared" si="157"/>
        <v>185</v>
      </c>
      <c r="AQ42" s="144">
        <f t="shared" si="158"/>
        <v>236.93856014493977</v>
      </c>
      <c r="AR42" s="144"/>
      <c r="AS42" s="5">
        <f t="shared" si="101"/>
        <v>4.2205034055591506</v>
      </c>
      <c r="AT42" s="5">
        <f t="shared" si="159"/>
        <v>1.6712067251749205</v>
      </c>
      <c r="AU42" s="5">
        <f t="shared" si="102"/>
        <v>2.5492966803842299</v>
      </c>
      <c r="AV42" s="5">
        <f t="shared" si="160"/>
        <v>2.3423793900853283</v>
      </c>
      <c r="AW42" s="150">
        <f t="shared" si="103"/>
        <v>0.39597331516748574</v>
      </c>
      <c r="AX42" s="150">
        <f t="shared" si="161"/>
        <v>31.59180801932531</v>
      </c>
      <c r="AY42" s="150">
        <f t="shared" si="162"/>
        <v>0.20134222827750475</v>
      </c>
      <c r="AZ42" s="150">
        <f t="shared" si="104"/>
        <v>156.90602160110765</v>
      </c>
      <c r="BA42" s="144">
        <f t="shared" si="163"/>
        <v>0.18186661421021194</v>
      </c>
      <c r="BB42" s="5">
        <f t="shared" si="164"/>
        <v>11.165802937414737</v>
      </c>
      <c r="BC42" s="5"/>
      <c r="BD42" s="150">
        <f t="shared" si="105"/>
        <v>4.8440773469525045</v>
      </c>
      <c r="BE42" s="150">
        <f t="shared" si="165"/>
        <v>0.29914116197875901</v>
      </c>
      <c r="BF42" s="150"/>
      <c r="BG42" s="456">
        <f t="shared" si="166"/>
        <v>7.9781290167078606E-2</v>
      </c>
      <c r="BH42" s="456">
        <f t="shared" si="167"/>
        <v>1.5539786678165246</v>
      </c>
      <c r="BI42" s="456">
        <f t="shared" si="168"/>
        <v>0.12986766856748277</v>
      </c>
      <c r="BJ42" s="456">
        <f t="shared" si="169"/>
        <v>6.8463078444444131E-2</v>
      </c>
      <c r="BK42">
        <f t="shared" si="170"/>
        <v>5.3853301715609102E-3</v>
      </c>
      <c r="BL42" s="144">
        <f t="shared" si="106"/>
        <v>135.25299873904368</v>
      </c>
      <c r="BM42" s="456">
        <f t="shared" si="171"/>
        <v>1.7570710849553042</v>
      </c>
      <c r="BN42" s="144">
        <f t="shared" si="107"/>
        <v>1757.0710849553043</v>
      </c>
      <c r="BO42" s="456">
        <f t="shared" si="172"/>
        <v>0.41046874999999999</v>
      </c>
      <c r="BP42" s="456"/>
      <c r="BR42" s="144">
        <f t="shared" si="109"/>
        <v>410.46875</v>
      </c>
      <c r="BS42" s="456">
        <f t="shared" si="173"/>
        <v>3.5197628014887627E-2</v>
      </c>
      <c r="BT42" s="456">
        <f t="shared" si="174"/>
        <v>1.7897086958000429E-2</v>
      </c>
      <c r="BU42" s="456">
        <f t="shared" si="175"/>
        <v>0.47174999999999995</v>
      </c>
      <c r="BV42" s="456">
        <f t="shared" si="176"/>
        <v>0.53988063122512364</v>
      </c>
      <c r="BW42" s="456">
        <f t="shared" si="177"/>
        <v>4.2122410692433741E-2</v>
      </c>
      <c r="BX42" s="144">
        <f t="shared" si="110"/>
        <v>582.00304191755731</v>
      </c>
      <c r="BY42" s="150">
        <f t="shared" si="45"/>
        <v>2.8847958756119048</v>
      </c>
      <c r="BZ42" s="5">
        <f t="shared" si="111"/>
        <v>31.45</v>
      </c>
      <c r="CA42" s="150">
        <f t="shared" si="112"/>
        <v>0.91598039825071509</v>
      </c>
      <c r="CB42" s="5">
        <f t="shared" si="113"/>
        <v>91.59803982507151</v>
      </c>
      <c r="CE42" s="59">
        <f t="shared" si="178"/>
        <v>-50</v>
      </c>
      <c r="CF42">
        <f t="shared" si="179"/>
        <v>-50</v>
      </c>
      <c r="CG42" s="150">
        <f t="shared" si="180"/>
        <v>0.55614147321998386</v>
      </c>
      <c r="CI42" s="147">
        <v>37</v>
      </c>
      <c r="CJ42" s="188">
        <f t="shared" si="114"/>
        <v>0.185</v>
      </c>
      <c r="CK42" s="188"/>
      <c r="CL42" s="188">
        <f t="shared" si="49"/>
        <v>31.45</v>
      </c>
      <c r="CM42" s="465">
        <f t="shared" si="50"/>
        <v>12</v>
      </c>
      <c r="CN42" s="149">
        <f t="shared" si="51"/>
        <v>8.5350000000000001</v>
      </c>
      <c r="CO42" s="379">
        <f t="shared" si="52"/>
        <v>20.535</v>
      </c>
      <c r="CP42" s="379"/>
      <c r="CQ42" s="188">
        <f t="shared" si="53"/>
        <v>0.4156318480642805</v>
      </c>
      <c r="CR42" s="149">
        <f t="shared" si="54"/>
        <v>166.85124908692478</v>
      </c>
      <c r="CS42" s="149">
        <f t="shared" si="115"/>
        <v>31.45</v>
      </c>
      <c r="CT42" s="188">
        <f t="shared" si="55"/>
        <v>0.98147793580543985</v>
      </c>
      <c r="CU42" s="188">
        <f t="shared" si="56"/>
        <v>170</v>
      </c>
      <c r="CV42" s="188">
        <f t="shared" si="57"/>
        <v>0.97795728956301287</v>
      </c>
      <c r="CW42" s="149">
        <f t="shared" si="58"/>
        <v>1922.2495279497502</v>
      </c>
      <c r="CX42" s="149">
        <f t="shared" si="59"/>
        <v>170</v>
      </c>
      <c r="CY42" s="188">
        <f t="shared" si="60"/>
        <v>12.611321031048622</v>
      </c>
      <c r="CZ42" s="188">
        <f t="shared" si="61"/>
        <v>1.5764151288810777</v>
      </c>
      <c r="DA42" s="188">
        <f t="shared" si="62"/>
        <v>2.2164008841913216</v>
      </c>
      <c r="DB42" s="172">
        <f t="shared" si="63"/>
        <v>249.37910883856827</v>
      </c>
      <c r="DC42" s="379">
        <f t="shared" si="116"/>
        <v>263.65634308476314</v>
      </c>
      <c r="DE42" s="188">
        <f t="shared" si="64"/>
        <v>13.333333333333334</v>
      </c>
      <c r="DF42" s="150">
        <f t="shared" si="65"/>
        <v>2.3432923257176337</v>
      </c>
      <c r="DG42" s="150">
        <f t="shared" si="66"/>
        <v>0.19478938397857323</v>
      </c>
      <c r="DH42" s="150"/>
      <c r="DI42" s="150">
        <f t="shared" si="67"/>
        <v>2.3432923257176337</v>
      </c>
      <c r="DJ42" s="314">
        <f t="shared" si="117"/>
        <v>236.84624999999994</v>
      </c>
      <c r="DK42" s="456">
        <f t="shared" si="68"/>
        <v>0.19478938397857321</v>
      </c>
      <c r="DM42" s="150">
        <f t="shared" si="69"/>
        <v>10.968265913208757</v>
      </c>
      <c r="DN42" s="150">
        <f t="shared" si="70"/>
        <v>13.333333333333334</v>
      </c>
      <c r="DO42" s="150">
        <f t="shared" si="71"/>
        <v>1.1353407142857144</v>
      </c>
      <c r="DQ42" s="314">
        <f t="shared" si="72"/>
        <v>185</v>
      </c>
      <c r="DR42" s="144">
        <f t="shared" si="73"/>
        <v>236.84624999999994</v>
      </c>
      <c r="DT42">
        <f t="shared" si="74"/>
        <v>185</v>
      </c>
      <c r="DU42" s="144">
        <f t="shared" si="75"/>
        <v>236.84624999999994</v>
      </c>
      <c r="DV42" s="144"/>
      <c r="DW42" s="5">
        <f t="shared" si="118"/>
        <v>4.2221483346263673</v>
      </c>
      <c r="DX42" s="5">
        <f t="shared" si="76"/>
        <v>1.666666666666667</v>
      </c>
      <c r="DY42" s="5">
        <f t="shared" si="119"/>
        <v>2.5554816679597003</v>
      </c>
      <c r="DZ42" s="5">
        <f t="shared" si="77"/>
        <v>2.3432923257176337</v>
      </c>
      <c r="EA42" s="150">
        <f t="shared" si="120"/>
        <v>0.39474374999999995</v>
      </c>
      <c r="EB42" s="150">
        <f t="shared" si="78"/>
        <v>31.579500000000003</v>
      </c>
      <c r="EC42" s="150">
        <f t="shared" si="79"/>
        <v>0.20175208333333336</v>
      </c>
      <c r="ED42" s="150">
        <f t="shared" si="121"/>
        <v>156.52626470193408</v>
      </c>
      <c r="EE42" s="144">
        <f t="shared" si="80"/>
        <v>0.18137254901960789</v>
      </c>
      <c r="EF42" s="5">
        <f t="shared" si="81"/>
        <v>11.162485896851745</v>
      </c>
      <c r="EG42" s="5"/>
      <c r="EH42" s="150">
        <f t="shared" si="122"/>
        <v>4.8365506533295211</v>
      </c>
      <c r="EI42" s="150">
        <f t="shared" si="82"/>
        <v>0.29944547515798703</v>
      </c>
      <c r="EJ42" s="150"/>
      <c r="EK42" s="456">
        <f t="shared" si="83"/>
        <v>7.9533555555555524E-2</v>
      </c>
      <c r="EL42" s="456">
        <f t="shared" si="84"/>
        <v>1.9713944987999996</v>
      </c>
      <c r="EM42" s="456">
        <f t="shared" si="85"/>
        <v>5.4237791249999986E-2</v>
      </c>
      <c r="EN42" s="456">
        <f t="shared" si="86"/>
        <v>6.8414238731515753E-2</v>
      </c>
      <c r="EO42">
        <f t="shared" si="87"/>
        <v>5.4000000000000003E-3</v>
      </c>
      <c r="EP42" s="144">
        <f t="shared" si="123"/>
        <v>59.637791249999985</v>
      </c>
      <c r="EQ42" s="456">
        <f t="shared" si="88"/>
        <v>2.2428374308297685</v>
      </c>
      <c r="ER42" s="144">
        <f t="shared" si="124"/>
        <v>2242.8374308297684</v>
      </c>
      <c r="ES42" s="456">
        <f t="shared" si="125"/>
        <v>0.41046874999999999</v>
      </c>
      <c r="ET42" s="456"/>
      <c r="EV42" s="144">
        <f t="shared" si="126"/>
        <v>410.46875</v>
      </c>
      <c r="EW42" s="456">
        <f t="shared" si="89"/>
        <v>3.5088333333333326E-2</v>
      </c>
      <c r="EX42" s="456">
        <f t="shared" si="90"/>
        <v>1.7933518518518526E-2</v>
      </c>
      <c r="EY42" s="456">
        <f t="shared" si="91"/>
        <v>28.020967611320113</v>
      </c>
      <c r="EZ42" s="456">
        <f t="shared" si="92"/>
        <v>28.2063589785798</v>
      </c>
      <c r="FA42" s="456">
        <f t="shared" si="93"/>
        <v>4.2105999999999998E-2</v>
      </c>
      <c r="FB42" s="144">
        <f t="shared" si="127"/>
        <v>28248.464978579799</v>
      </c>
      <c r="FC42" s="150">
        <f t="shared" si="128"/>
        <v>30.90177115940957</v>
      </c>
      <c r="FD42" s="5">
        <f t="shared" si="129"/>
        <v>31.45</v>
      </c>
      <c r="FE42" s="150">
        <f t="shared" si="130"/>
        <v>0.50439625715834779</v>
      </c>
      <c r="FF42" s="5">
        <f t="shared" si="131"/>
        <v>50.439625715834779</v>
      </c>
      <c r="FI42" s="59">
        <f t="shared" si="94"/>
        <v>-50</v>
      </c>
      <c r="FJ42">
        <f t="shared" si="95"/>
        <v>-50</v>
      </c>
      <c r="FL42">
        <f t="shared" si="181"/>
        <v>0.55499999999999994</v>
      </c>
    </row>
    <row r="43" spans="5:168">
      <c r="E43" s="147">
        <v>38</v>
      </c>
      <c r="F43" s="188">
        <f t="shared" si="182"/>
        <v>0.19</v>
      </c>
      <c r="G43" s="188"/>
      <c r="H43" s="188">
        <f t="shared" si="132"/>
        <v>32.299999999999997</v>
      </c>
      <c r="I43" s="465">
        <f t="shared" si="133"/>
        <v>11.967400381246467</v>
      </c>
      <c r="J43" s="149">
        <f t="shared" si="134"/>
        <v>8.5383264917095438</v>
      </c>
      <c r="K43" s="149">
        <f t="shared" si="135"/>
        <v>20.538326491709544</v>
      </c>
      <c r="L43" s="379"/>
      <c r="M43" s="188">
        <f t="shared" si="136"/>
        <v>0.41638760417836135</v>
      </c>
      <c r="N43" s="149">
        <f t="shared" si="137"/>
        <v>166.700541693773</v>
      </c>
      <c r="O43" s="149">
        <f t="shared" si="98"/>
        <v>32.299999999999997</v>
      </c>
      <c r="P43" s="188">
        <f t="shared" si="138"/>
        <v>0.98059142172807645</v>
      </c>
      <c r="Q43" s="188">
        <f t="shared" si="139"/>
        <v>170</v>
      </c>
      <c r="R43" s="188">
        <f t="shared" si="140"/>
        <v>0.97707395548831877</v>
      </c>
      <c r="S43" s="149">
        <f t="shared" si="141"/>
        <v>1860.2859483939001</v>
      </c>
      <c r="T43" s="149">
        <f t="shared" si="142"/>
        <v>170</v>
      </c>
      <c r="U43" s="188">
        <f t="shared" si="143"/>
        <v>13.022341633611704</v>
      </c>
      <c r="V43" s="188">
        <f t="shared" si="11"/>
        <v>1.6322268686712929</v>
      </c>
      <c r="W43" s="188">
        <f t="shared" si="144"/>
        <v>2.2877448489916619</v>
      </c>
      <c r="X43" s="172">
        <f t="shared" si="145"/>
        <v>249.15374213545641</v>
      </c>
      <c r="Y43" s="379">
        <f t="shared" si="14"/>
        <v>242.72011278932953</v>
      </c>
      <c r="AA43" s="188">
        <f t="shared" si="146"/>
        <v>13.333333333333332</v>
      </c>
      <c r="AB43" s="150">
        <f t="shared" si="147"/>
        <v>2.3423793900853278</v>
      </c>
      <c r="AC43" s="150">
        <f t="shared" si="148"/>
        <v>0.1945375301802425</v>
      </c>
      <c r="AD43" s="150"/>
      <c r="AE43" s="150">
        <f t="shared" si="149"/>
        <v>2.3423793900853283</v>
      </c>
      <c r="AF43" s="314">
        <f t="shared" si="150"/>
        <v>243.34230501372193</v>
      </c>
      <c r="AG43" s="456">
        <f t="shared" si="151"/>
        <v>0.19453753018024256</v>
      </c>
      <c r="AI43" s="150">
        <f t="shared" si="152"/>
        <v>11.117663452447665</v>
      </c>
      <c r="AJ43" s="150">
        <f t="shared" si="153"/>
        <v>13.333333333333334</v>
      </c>
      <c r="AK43" s="150">
        <f t="shared" si="154"/>
        <v>1.1390527457221269</v>
      </c>
      <c r="AM43" s="314">
        <f t="shared" si="155"/>
        <v>190</v>
      </c>
      <c r="AN43" s="144">
        <f t="shared" si="156"/>
        <v>243.34230501372193</v>
      </c>
      <c r="AP43">
        <f t="shared" si="157"/>
        <v>190</v>
      </c>
      <c r="AQ43" s="144">
        <f t="shared" si="158"/>
        <v>243.34230501372193</v>
      </c>
      <c r="AR43" s="144"/>
      <c r="AS43" s="5">
        <f t="shared" si="101"/>
        <v>4.1094375264654888</v>
      </c>
      <c r="AT43" s="5">
        <f t="shared" si="159"/>
        <v>1.6712067251749205</v>
      </c>
      <c r="AU43" s="5">
        <f t="shared" si="102"/>
        <v>2.438230801290568</v>
      </c>
      <c r="AV43" s="5">
        <f t="shared" si="160"/>
        <v>2.3423793900853283</v>
      </c>
      <c r="AW43" s="150">
        <f t="shared" si="103"/>
        <v>0.40667529665849889</v>
      </c>
      <c r="AX43" s="150">
        <f t="shared" si="161"/>
        <v>32.44564066849626</v>
      </c>
      <c r="AY43" s="150">
        <f t="shared" si="162"/>
        <v>0.19777490111383372</v>
      </c>
      <c r="AZ43" s="150">
        <f t="shared" si="104"/>
        <v>164.05337828899459</v>
      </c>
      <c r="BA43" s="144">
        <f t="shared" si="163"/>
        <v>0.18678192810778524</v>
      </c>
      <c r="BB43" s="5">
        <f t="shared" si="164"/>
        <v>10.967970259870619</v>
      </c>
      <c r="BC43" s="5"/>
      <c r="BD43" s="150">
        <f t="shared" si="105"/>
        <v>4.9091014288790324</v>
      </c>
      <c r="BE43" s="150">
        <f t="shared" si="165"/>
        <v>0.29647926748862691</v>
      </c>
      <c r="BF43" s="150"/>
      <c r="BG43" s="456">
        <f t="shared" si="166"/>
        <v>8.1937541252675328E-2</v>
      </c>
      <c r="BH43" s="456">
        <f t="shared" si="167"/>
        <v>1.5959780912710253</v>
      </c>
      <c r="BI43" s="456">
        <f t="shared" si="168"/>
        <v>0.13337760555579312</v>
      </c>
      <c r="BJ43" s="456">
        <f t="shared" si="169"/>
        <v>7.0313431915915603E-2</v>
      </c>
      <c r="BK43">
        <f t="shared" si="170"/>
        <v>5.3853301715609102E-3</v>
      </c>
      <c r="BL43" s="144">
        <f t="shared" si="106"/>
        <v>138.76293572735401</v>
      </c>
      <c r="BM43" s="456">
        <f t="shared" si="171"/>
        <v>1.8055023703464492</v>
      </c>
      <c r="BN43" s="144">
        <f t="shared" si="107"/>
        <v>1805.5023703464492</v>
      </c>
      <c r="BO43" s="456">
        <f t="shared" si="172"/>
        <v>0.42156249999999995</v>
      </c>
      <c r="BP43" s="456"/>
      <c r="BR43" s="144">
        <f t="shared" si="109"/>
        <v>421.56249999999994</v>
      </c>
      <c r="BS43" s="456">
        <f t="shared" si="173"/>
        <v>3.6148915258533233E-2</v>
      </c>
      <c r="BT43" s="456">
        <f t="shared" si="174"/>
        <v>1.7579991210118558E-2</v>
      </c>
      <c r="BU43" s="456">
        <f t="shared" si="175"/>
        <v>0.48449999999999993</v>
      </c>
      <c r="BV43" s="456">
        <f t="shared" si="176"/>
        <v>0.55350297277748672</v>
      </c>
      <c r="BW43" s="456">
        <f t="shared" si="177"/>
        <v>4.3260854224661686E-2</v>
      </c>
      <c r="BX43" s="144">
        <f t="shared" si="110"/>
        <v>596.76382700214833</v>
      </c>
      <c r="BY43" s="150">
        <f t="shared" si="45"/>
        <v>2.962591633075951</v>
      </c>
      <c r="BZ43" s="5">
        <f t="shared" si="111"/>
        <v>32.299999999999997</v>
      </c>
      <c r="CA43" s="150">
        <f t="shared" si="112"/>
        <v>0.91598485829109988</v>
      </c>
      <c r="CB43" s="5">
        <f t="shared" si="113"/>
        <v>91.59848582910999</v>
      </c>
      <c r="CE43" s="59">
        <f t="shared" si="178"/>
        <v>-50</v>
      </c>
      <c r="CF43">
        <f t="shared" si="179"/>
        <v>-50</v>
      </c>
      <c r="CG43" s="150">
        <f t="shared" si="180"/>
        <v>0.5711723238475509</v>
      </c>
      <c r="CI43" s="147">
        <v>38</v>
      </c>
      <c r="CJ43" s="188">
        <f t="shared" si="114"/>
        <v>0.19</v>
      </c>
      <c r="CK43" s="188"/>
      <c r="CL43" s="188">
        <f t="shared" si="49"/>
        <v>32.299999999999997</v>
      </c>
      <c r="CM43" s="465">
        <f t="shared" si="50"/>
        <v>12</v>
      </c>
      <c r="CN43" s="149">
        <f t="shared" si="51"/>
        <v>8.5350000000000001</v>
      </c>
      <c r="CO43" s="379">
        <f t="shared" si="52"/>
        <v>20.535</v>
      </c>
      <c r="CP43" s="379"/>
      <c r="CQ43" s="188">
        <f t="shared" si="53"/>
        <v>0.4156318480642805</v>
      </c>
      <c r="CR43" s="149">
        <f t="shared" si="54"/>
        <v>166.85124908692478</v>
      </c>
      <c r="CS43" s="149">
        <f t="shared" si="115"/>
        <v>32.299999999999997</v>
      </c>
      <c r="CT43" s="188">
        <f t="shared" si="55"/>
        <v>0.98147793580543985</v>
      </c>
      <c r="CU43" s="188">
        <f t="shared" si="56"/>
        <v>170</v>
      </c>
      <c r="CV43" s="188">
        <f t="shared" si="57"/>
        <v>0.97795728956301287</v>
      </c>
      <c r="CW43" s="149">
        <f t="shared" si="58"/>
        <v>1865.3531874829216</v>
      </c>
      <c r="CX43" s="149">
        <f t="shared" si="59"/>
        <v>170</v>
      </c>
      <c r="CY43" s="188">
        <f t="shared" si="60"/>
        <v>12.952167545401288</v>
      </c>
      <c r="CZ43" s="188">
        <f t="shared" si="61"/>
        <v>1.619020943175161</v>
      </c>
      <c r="DA43" s="188">
        <f t="shared" si="62"/>
        <v>2.2763036107910875</v>
      </c>
      <c r="DB43" s="172">
        <f t="shared" si="63"/>
        <v>249.37910883856827</v>
      </c>
      <c r="DC43" s="379">
        <f t="shared" si="116"/>
        <v>256.718018266743</v>
      </c>
      <c r="DE43" s="188">
        <f t="shared" si="64"/>
        <v>13.333333333333334</v>
      </c>
      <c r="DF43" s="150">
        <f t="shared" si="65"/>
        <v>2.3432923257176337</v>
      </c>
      <c r="DG43" s="150">
        <f t="shared" si="66"/>
        <v>0.19478938397857323</v>
      </c>
      <c r="DH43" s="150"/>
      <c r="DI43" s="150">
        <f t="shared" si="67"/>
        <v>2.3432923257176337</v>
      </c>
      <c r="DJ43" s="314">
        <f t="shared" si="117"/>
        <v>243.24749999999995</v>
      </c>
      <c r="DK43" s="456">
        <f t="shared" si="68"/>
        <v>0.19478938397857321</v>
      </c>
      <c r="DM43" s="150">
        <f t="shared" si="69"/>
        <v>11.115497546861576</v>
      </c>
      <c r="DN43" s="150">
        <f t="shared" si="70"/>
        <v>13.333333333333334</v>
      </c>
      <c r="DO43" s="150">
        <f t="shared" si="71"/>
        <v>1.1389985714285713</v>
      </c>
      <c r="DQ43" s="314">
        <f t="shared" si="72"/>
        <v>190</v>
      </c>
      <c r="DR43" s="144">
        <f t="shared" si="73"/>
        <v>243.24749999999995</v>
      </c>
      <c r="DT43">
        <f t="shared" si="74"/>
        <v>190</v>
      </c>
      <c r="DU43" s="144">
        <f t="shared" si="75"/>
        <v>243.24749999999995</v>
      </c>
      <c r="DV43" s="144"/>
      <c r="DW43" s="5">
        <f t="shared" si="118"/>
        <v>4.1110391679256741</v>
      </c>
      <c r="DX43" s="5">
        <f t="shared" si="76"/>
        <v>1.666666666666667</v>
      </c>
      <c r="DY43" s="5">
        <f t="shared" si="119"/>
        <v>2.4443725012590072</v>
      </c>
      <c r="DZ43" s="5">
        <f t="shared" si="77"/>
        <v>2.3432923257176337</v>
      </c>
      <c r="EA43" s="150">
        <f t="shared" si="120"/>
        <v>0.4054124999999999</v>
      </c>
      <c r="EB43" s="150">
        <f t="shared" si="78"/>
        <v>32.433000000000007</v>
      </c>
      <c r="EC43" s="150">
        <f t="shared" si="79"/>
        <v>0.19819583333333338</v>
      </c>
      <c r="ED43" s="150">
        <f t="shared" si="121"/>
        <v>163.64117980953182</v>
      </c>
      <c r="EE43" s="144">
        <f t="shared" si="80"/>
        <v>0.1862745098039216</v>
      </c>
      <c r="EF43" s="5">
        <f t="shared" si="81"/>
        <v>10.965726637592489</v>
      </c>
      <c r="EG43" s="5"/>
      <c r="EH43" s="150">
        <f t="shared" si="122"/>
        <v>4.9014737012907084</v>
      </c>
      <c r="EI43" s="150">
        <f t="shared" si="82"/>
        <v>0.29679460412385711</v>
      </c>
      <c r="EJ43" s="150"/>
      <c r="EK43" s="456">
        <f t="shared" si="83"/>
        <v>8.1683111111111081E-2</v>
      </c>
      <c r="EL43" s="456">
        <f t="shared" si="84"/>
        <v>2.0246754311999995</v>
      </c>
      <c r="EM43" s="456">
        <f t="shared" si="85"/>
        <v>5.5703677499999986E-2</v>
      </c>
      <c r="EN43" s="456">
        <f t="shared" si="86"/>
        <v>7.0263272210745922E-2</v>
      </c>
      <c r="EO43">
        <f t="shared" si="87"/>
        <v>5.4000000000000003E-3</v>
      </c>
      <c r="EP43" s="144">
        <f t="shared" si="123"/>
        <v>61.103677499999989</v>
      </c>
      <c r="EQ43" s="456">
        <f t="shared" si="88"/>
        <v>2.304505562113234</v>
      </c>
      <c r="ER43" s="144">
        <f t="shared" si="124"/>
        <v>2304.5055621132342</v>
      </c>
      <c r="ES43" s="456">
        <f t="shared" si="125"/>
        <v>0.42156249999999995</v>
      </c>
      <c r="ET43" s="456"/>
      <c r="EV43" s="144">
        <f t="shared" si="126"/>
        <v>421.56249999999994</v>
      </c>
      <c r="EW43" s="456">
        <f t="shared" si="89"/>
        <v>3.6036666666666654E-2</v>
      </c>
      <c r="EX43" s="456">
        <f t="shared" si="90"/>
        <v>1.7617407407407411E-2</v>
      </c>
      <c r="EY43" s="456">
        <f t="shared" si="91"/>
        <v>29.952826405160735</v>
      </c>
      <c r="EZ43" s="456">
        <f t="shared" si="92"/>
        <v>30.148765786030634</v>
      </c>
      <c r="FA43" s="456">
        <f t="shared" si="93"/>
        <v>4.3244000000000005E-2</v>
      </c>
      <c r="FB43" s="144">
        <f t="shared" si="127"/>
        <v>30192.009786030634</v>
      </c>
      <c r="FC43" s="150">
        <f t="shared" si="128"/>
        <v>32.918077848143867</v>
      </c>
      <c r="FD43" s="5">
        <f t="shared" si="129"/>
        <v>32.299999999999997</v>
      </c>
      <c r="FE43" s="150">
        <f t="shared" si="130"/>
        <v>0.49526145304693719</v>
      </c>
      <c r="FF43" s="5">
        <f t="shared" si="131"/>
        <v>49.526145304693721</v>
      </c>
      <c r="FI43" s="59">
        <f t="shared" si="94"/>
        <v>-50</v>
      </c>
      <c r="FJ43">
        <f t="shared" si="95"/>
        <v>-50</v>
      </c>
      <c r="FL43">
        <f t="shared" si="181"/>
        <v>0.56999999999999995</v>
      </c>
    </row>
    <row r="44" spans="5:168">
      <c r="E44" s="147">
        <v>39</v>
      </c>
      <c r="F44" s="188">
        <f t="shared" si="182"/>
        <v>0.19500000000000001</v>
      </c>
      <c r="G44" s="188"/>
      <c r="H44" s="188">
        <f t="shared" si="132"/>
        <v>33.15</v>
      </c>
      <c r="I44" s="465">
        <f t="shared" si="133"/>
        <v>11.966508980011914</v>
      </c>
      <c r="J44" s="149">
        <f t="shared" si="134"/>
        <v>8.5384174510191908</v>
      </c>
      <c r="K44" s="149">
        <f t="shared" si="135"/>
        <v>20.538417451019193</v>
      </c>
      <c r="L44" s="379"/>
      <c r="M44" s="188">
        <f t="shared" si="136"/>
        <v>0.41640601358833335</v>
      </c>
      <c r="N44" s="149">
        <f t="shared" si="137"/>
        <v>166.69549452063745</v>
      </c>
      <c r="O44" s="149">
        <f t="shared" si="98"/>
        <v>33.15</v>
      </c>
      <c r="P44" s="188">
        <f t="shared" si="138"/>
        <v>0.98056173247433798</v>
      </c>
      <c r="Q44" s="188">
        <f t="shared" si="139"/>
        <v>170</v>
      </c>
      <c r="R44" s="188">
        <f t="shared" si="140"/>
        <v>0.97704437273250111</v>
      </c>
      <c r="S44" s="149">
        <f t="shared" si="141"/>
        <v>1806.3196222931226</v>
      </c>
      <c r="T44" s="149">
        <f t="shared" si="142"/>
        <v>170</v>
      </c>
      <c r="U44" s="188">
        <f t="shared" si="143"/>
        <v>13.36545643309266</v>
      </c>
      <c r="V44" s="188">
        <f t="shared" si="11"/>
        <v>1.6753578410483949</v>
      </c>
      <c r="W44" s="188">
        <f t="shared" si="144"/>
        <v>2.3479977132350136</v>
      </c>
      <c r="X44" s="172">
        <f t="shared" si="145"/>
        <v>249.14756326090765</v>
      </c>
      <c r="Y44" s="379">
        <f t="shared" si="14"/>
        <v>236.77854898713903</v>
      </c>
      <c r="AA44" s="188">
        <f t="shared" si="146"/>
        <v>13.333333333333332</v>
      </c>
      <c r="AB44" s="150">
        <f t="shared" si="147"/>
        <v>2.3423544368415357</v>
      </c>
      <c r="AC44" s="150">
        <f t="shared" si="148"/>
        <v>0.19453063341081475</v>
      </c>
      <c r="AD44" s="150"/>
      <c r="AE44" s="150">
        <f t="shared" si="149"/>
        <v>2.3423544368415361</v>
      </c>
      <c r="AF44" s="314">
        <f t="shared" si="150"/>
        <v>249.74871044231128</v>
      </c>
      <c r="AG44" s="456">
        <f t="shared" si="151"/>
        <v>0.19453063341081481</v>
      </c>
      <c r="AI44" s="150">
        <f t="shared" si="152"/>
        <v>11.263058547468964</v>
      </c>
      <c r="AJ44" s="150">
        <f t="shared" si="153"/>
        <v>13.36545643309266</v>
      </c>
      <c r="AK44" s="150">
        <f t="shared" si="154"/>
        <v>1.2237948887106123</v>
      </c>
      <c r="AM44" s="314">
        <f t="shared" si="155"/>
        <v>195</v>
      </c>
      <c r="AN44" s="144">
        <f t="shared" si="156"/>
        <v>236.77854898713903</v>
      </c>
      <c r="AP44">
        <f t="shared" si="157"/>
        <v>195</v>
      </c>
      <c r="AQ44" s="144">
        <f t="shared" si="158"/>
        <v>236.77854898713903</v>
      </c>
      <c r="AR44" s="144"/>
      <c r="AS44" s="5">
        <f t="shared" si="101"/>
        <v>4.22335555428341</v>
      </c>
      <c r="AT44" s="5">
        <f t="shared" si="159"/>
        <v>1.6753578410483949</v>
      </c>
      <c r="AU44" s="5">
        <f t="shared" si="102"/>
        <v>2.5479977132350151</v>
      </c>
      <c r="AV44" s="5">
        <f t="shared" si="160"/>
        <v>2.3479977132350136</v>
      </c>
      <c r="AW44" s="150">
        <f t="shared" si="103"/>
        <v>0.39668879863766482</v>
      </c>
      <c r="AX44" s="150">
        <f t="shared" si="161"/>
        <v>31.722777664975858</v>
      </c>
      <c r="AY44" s="150">
        <f t="shared" si="162"/>
        <v>0.20158823943512713</v>
      </c>
      <c r="AZ44" s="150">
        <f t="shared" si="104"/>
        <v>157.36422796223948</v>
      </c>
      <c r="BA44" s="144">
        <f t="shared" si="163"/>
        <v>0.1921733994143747</v>
      </c>
      <c r="BB44" s="5">
        <f t="shared" si="164"/>
        <v>11.764239168781737</v>
      </c>
      <c r="BC44" s="5"/>
      <c r="BD44" s="150">
        <f t="shared" si="105"/>
        <v>4.8601327965785828</v>
      </c>
      <c r="BE44" s="150">
        <f t="shared" si="165"/>
        <v>0.29968421333096856</v>
      </c>
      <c r="BF44" s="150"/>
      <c r="BG44" s="456">
        <f t="shared" si="166"/>
        <v>8.0311028721287772E-2</v>
      </c>
      <c r="BH44" s="456">
        <f t="shared" si="167"/>
        <v>1.5566774847218836</v>
      </c>
      <c r="BI44" s="456">
        <f t="shared" si="168"/>
        <v>0.12977029857897859</v>
      </c>
      <c r="BJ44" s="456">
        <f t="shared" si="169"/>
        <v>6.8417449440335634E-2</v>
      </c>
      <c r="BK44">
        <f t="shared" si="170"/>
        <v>5.3849290410053615E-3</v>
      </c>
      <c r="BL44" s="144">
        <f t="shared" si="106"/>
        <v>135.15522761998395</v>
      </c>
      <c r="BM44" s="456">
        <f t="shared" si="171"/>
        <v>1.7606871984369536</v>
      </c>
      <c r="BN44" s="144">
        <f t="shared" si="107"/>
        <v>1760.6871984369536</v>
      </c>
      <c r="BO44" s="456">
        <f t="shared" si="172"/>
        <v>0.43265625000000002</v>
      </c>
      <c r="BP44" s="456"/>
      <c r="BR44" s="144">
        <f t="shared" si="109"/>
        <v>432.65625</v>
      </c>
      <c r="BS44" s="456">
        <f t="shared" si="173"/>
        <v>3.5431336200568132E-2</v>
      </c>
      <c r="BT44" s="456">
        <f t="shared" si="174"/>
        <v>1.7962125543960296E-2</v>
      </c>
      <c r="BU44" s="456">
        <f t="shared" si="175"/>
        <v>0.49724999999999997</v>
      </c>
      <c r="BV44" s="456">
        <f t="shared" si="176"/>
        <v>0.56587501463891987</v>
      </c>
      <c r="BW44" s="456">
        <f t="shared" si="177"/>
        <v>4.2297036886634477E-2</v>
      </c>
      <c r="BX44" s="144">
        <f t="shared" si="110"/>
        <v>608.17205152555437</v>
      </c>
      <c r="BY44" s="150">
        <f t="shared" si="45"/>
        <v>2.9366707275824924</v>
      </c>
      <c r="BZ44" s="5">
        <f t="shared" si="111"/>
        <v>33.15</v>
      </c>
      <c r="CA44" s="150">
        <f t="shared" si="112"/>
        <v>0.91862173294534821</v>
      </c>
      <c r="CB44" s="5">
        <f t="shared" si="113"/>
        <v>91.862173294534827</v>
      </c>
      <c r="CE44" s="59">
        <f t="shared" si="178"/>
        <v>-50</v>
      </c>
      <c r="CF44">
        <f t="shared" si="179"/>
        <v>-50</v>
      </c>
      <c r="CG44" s="150">
        <f t="shared" si="180"/>
        <v>0.57060071645468691</v>
      </c>
      <c r="CI44" s="147">
        <v>39</v>
      </c>
      <c r="CJ44" s="188">
        <f t="shared" si="114"/>
        <v>0.19500000000000001</v>
      </c>
      <c r="CK44" s="188"/>
      <c r="CL44" s="188">
        <f t="shared" si="49"/>
        <v>33.15</v>
      </c>
      <c r="CM44" s="465">
        <f t="shared" si="50"/>
        <v>12</v>
      </c>
      <c r="CN44" s="149">
        <f t="shared" si="51"/>
        <v>8.5350000000000001</v>
      </c>
      <c r="CO44" s="379">
        <f t="shared" si="52"/>
        <v>20.535</v>
      </c>
      <c r="CP44" s="379"/>
      <c r="CQ44" s="188">
        <f t="shared" si="53"/>
        <v>0.4156318480642805</v>
      </c>
      <c r="CR44" s="149">
        <f t="shared" si="54"/>
        <v>166.85124908692478</v>
      </c>
      <c r="CS44" s="149">
        <f t="shared" si="115"/>
        <v>33.15</v>
      </c>
      <c r="CT44" s="188">
        <f t="shared" si="55"/>
        <v>0.98147793580543985</v>
      </c>
      <c r="CU44" s="188">
        <f t="shared" si="56"/>
        <v>170</v>
      </c>
      <c r="CV44" s="188">
        <f t="shared" si="57"/>
        <v>0.97795728956301287</v>
      </c>
      <c r="CW44" s="149">
        <f t="shared" si="58"/>
        <v>1811.374762688589</v>
      </c>
      <c r="CX44" s="149">
        <f t="shared" si="59"/>
        <v>170</v>
      </c>
      <c r="CY44" s="188">
        <f t="shared" si="60"/>
        <v>13.293014059753952</v>
      </c>
      <c r="CZ44" s="188">
        <f t="shared" si="61"/>
        <v>1.661626757469244</v>
      </c>
      <c r="DA44" s="188">
        <f t="shared" si="62"/>
        <v>2.3362063373908524</v>
      </c>
      <c r="DB44" s="172">
        <f t="shared" si="63"/>
        <v>249.37910883856827</v>
      </c>
      <c r="DC44" s="379">
        <f t="shared" si="116"/>
        <v>250.13550497785221</v>
      </c>
      <c r="DE44" s="188">
        <f t="shared" si="64"/>
        <v>13.333333333333334</v>
      </c>
      <c r="DF44" s="150">
        <f t="shared" si="65"/>
        <v>2.3432923257176337</v>
      </c>
      <c r="DG44" s="150">
        <f t="shared" si="66"/>
        <v>0.19478938397857323</v>
      </c>
      <c r="DH44" s="150"/>
      <c r="DI44" s="150">
        <f t="shared" si="67"/>
        <v>2.3432923257176337</v>
      </c>
      <c r="DJ44" s="314">
        <f t="shared" si="117"/>
        <v>249.64874999999995</v>
      </c>
      <c r="DK44" s="456">
        <f t="shared" si="68"/>
        <v>0.19478938397857321</v>
      </c>
      <c r="DM44" s="150">
        <f t="shared" si="69"/>
        <v>11.260804335646467</v>
      </c>
      <c r="DN44" s="150">
        <f t="shared" si="70"/>
        <v>13.333333333333334</v>
      </c>
      <c r="DO44" s="150">
        <f t="shared" si="71"/>
        <v>1.2</v>
      </c>
      <c r="DQ44" s="314">
        <f t="shared" si="72"/>
        <v>195</v>
      </c>
      <c r="DR44" s="144">
        <f t="shared" si="73"/>
        <v>250.13550497785221</v>
      </c>
      <c r="DT44">
        <f t="shared" si="74"/>
        <v>195</v>
      </c>
      <c r="DU44" s="144">
        <f t="shared" si="75"/>
        <v>250.13550497785221</v>
      </c>
      <c r="DV44" s="144"/>
      <c r="DW44" s="5">
        <f t="shared" si="118"/>
        <v>3.9978330948600966</v>
      </c>
      <c r="DX44" s="5">
        <f t="shared" si="76"/>
        <v>1.666666666666667</v>
      </c>
      <c r="DY44" s="5">
        <f t="shared" si="119"/>
        <v>2.3311664281934297</v>
      </c>
      <c r="DZ44" s="5">
        <f t="shared" si="77"/>
        <v>2.3432923257176337</v>
      </c>
      <c r="EA44" s="150">
        <f t="shared" si="120"/>
        <v>0.41689250829642044</v>
      </c>
      <c r="EB44" s="150">
        <f t="shared" si="78"/>
        <v>33.351400663713633</v>
      </c>
      <c r="EC44" s="150">
        <f t="shared" si="79"/>
        <v>0.19436916390119321</v>
      </c>
      <c r="ED44" s="150">
        <f t="shared" si="121"/>
        <v>171.58792060590272</v>
      </c>
      <c r="EE44" s="144">
        <f t="shared" si="80"/>
        <v>0.19117647058823534</v>
      </c>
      <c r="EF44" s="5">
        <f t="shared" si="81"/>
        <v>10.733078763140579</v>
      </c>
      <c r="EG44" s="5"/>
      <c r="EH44" s="150">
        <f t="shared" si="122"/>
        <v>4.9703864268666749</v>
      </c>
      <c r="EI44" s="150">
        <f t="shared" si="82"/>
        <v>0.29391545564532157</v>
      </c>
      <c r="EJ44" s="150"/>
      <c r="EK44" s="456">
        <f t="shared" si="83"/>
        <v>8.3996120190093601E-2</v>
      </c>
      <c r="EL44" s="456">
        <f t="shared" si="84"/>
        <v>2.0820078783932527</v>
      </c>
      <c r="EM44" s="456">
        <f t="shared" si="85"/>
        <v>5.7281030639928156E-2</v>
      </c>
      <c r="EN44" s="456">
        <f t="shared" si="86"/>
        <v>7.2252907330316751E-2</v>
      </c>
      <c r="EO44">
        <f t="shared" si="87"/>
        <v>5.4000000000000003E-3</v>
      </c>
      <c r="EP44" s="144">
        <f t="shared" si="123"/>
        <v>62.681030639928153</v>
      </c>
      <c r="EQ44" s="456">
        <f t="shared" si="88"/>
        <v>2.3709347678462742</v>
      </c>
      <c r="ER44" s="144">
        <f t="shared" si="124"/>
        <v>2370.9347678462741</v>
      </c>
      <c r="ES44" s="456">
        <f t="shared" si="125"/>
        <v>0.43265625000000002</v>
      </c>
      <c r="ET44" s="456"/>
      <c r="EV44" s="144">
        <f t="shared" si="126"/>
        <v>432.65625</v>
      </c>
      <c r="EW44" s="456">
        <f t="shared" si="89"/>
        <v>3.7057111848570704E-2</v>
      </c>
      <c r="EX44" s="456">
        <f t="shared" si="90"/>
        <v>1.7277259013439399E-2</v>
      </c>
      <c r="EY44" s="456">
        <f t="shared" si="91"/>
        <v>32.118495866942958</v>
      </c>
      <c r="EZ44" s="456">
        <f t="shared" si="92"/>
        <v>32.326385190939263</v>
      </c>
      <c r="FA44" s="456">
        <f t="shared" si="93"/>
        <v>4.4468534218284846E-2</v>
      </c>
      <c r="FB44" s="144">
        <f t="shared" si="127"/>
        <v>32370.853725157544</v>
      </c>
      <c r="FC44" s="150">
        <f t="shared" si="128"/>
        <v>35.174444743003818</v>
      </c>
      <c r="FD44" s="5">
        <f t="shared" si="129"/>
        <v>33.15</v>
      </c>
      <c r="FE44" s="150">
        <f t="shared" si="130"/>
        <v>0.48518506260373873</v>
      </c>
      <c r="FF44" s="5">
        <f t="shared" si="131"/>
        <v>48.518506260373876</v>
      </c>
      <c r="FI44" s="59">
        <f t="shared" si="94"/>
        <v>-50</v>
      </c>
      <c r="FJ44">
        <f t="shared" si="95"/>
        <v>-50</v>
      </c>
      <c r="FL44">
        <f t="shared" si="181"/>
        <v>0.58310749170357956</v>
      </c>
    </row>
    <row r="45" spans="5:168">
      <c r="E45" s="147">
        <v>40</v>
      </c>
      <c r="F45" s="188">
        <f t="shared" si="182"/>
        <v>0.2</v>
      </c>
      <c r="G45" s="188"/>
      <c r="H45" s="188">
        <f t="shared" si="132"/>
        <v>34</v>
      </c>
      <c r="I45" s="465">
        <f t="shared" si="133"/>
        <v>11.965744688815073</v>
      </c>
      <c r="J45" s="149">
        <f t="shared" si="134"/>
        <v>8.5384954399168294</v>
      </c>
      <c r="K45" s="149">
        <f t="shared" si="135"/>
        <v>20.538495439916829</v>
      </c>
      <c r="L45" s="379"/>
      <c r="M45" s="188">
        <f t="shared" si="136"/>
        <v>0.41642376505092438</v>
      </c>
      <c r="N45" s="149">
        <f t="shared" si="137"/>
        <v>166.69195361974369</v>
      </c>
      <c r="O45" s="149">
        <f t="shared" si="98"/>
        <v>34</v>
      </c>
      <c r="P45" s="188">
        <f t="shared" si="138"/>
        <v>0.98054090364555113</v>
      </c>
      <c r="Q45" s="188">
        <f t="shared" si="139"/>
        <v>170</v>
      </c>
      <c r="R45" s="188">
        <f t="shared" si="140"/>
        <v>0.97702361861852449</v>
      </c>
      <c r="S45" s="149">
        <f t="shared" si="141"/>
        <v>1755.0712989948729</v>
      </c>
      <c r="T45" s="149">
        <f t="shared" si="142"/>
        <v>170</v>
      </c>
      <c r="U45" s="188">
        <f t="shared" si="143"/>
        <v>13.708577424675459</v>
      </c>
      <c r="V45" s="188">
        <f t="shared" si="11"/>
        <v>1.7184777606223067</v>
      </c>
      <c r="W45" s="188">
        <f t="shared" si="144"/>
        <v>2.408254039802296</v>
      </c>
      <c r="X45" s="172">
        <f t="shared" si="145"/>
        <v>249.14226476866583</v>
      </c>
      <c r="Y45" s="379">
        <f t="shared" si="14"/>
        <v>231.1213280892209</v>
      </c>
      <c r="AA45" s="188">
        <f t="shared" si="146"/>
        <v>13.333333333333332</v>
      </c>
      <c r="AB45" s="150">
        <f t="shared" si="147"/>
        <v>2.3423330422478754</v>
      </c>
      <c r="AC45" s="150">
        <f t="shared" si="148"/>
        <v>0.19452471966270488</v>
      </c>
      <c r="AD45" s="150"/>
      <c r="AE45" s="150">
        <f t="shared" si="149"/>
        <v>2.3423330422478759</v>
      </c>
      <c r="AF45" s="314">
        <f t="shared" si="150"/>
        <v>256.15486319750482</v>
      </c>
      <c r="AG45" s="456">
        <f t="shared" si="151"/>
        <v>0.19452471966270496</v>
      </c>
      <c r="AI45" s="150">
        <f t="shared" si="152"/>
        <v>11.406594877679076</v>
      </c>
      <c r="AJ45" s="150">
        <f t="shared" si="153"/>
        <v>13.708577424675459</v>
      </c>
      <c r="AK45" s="150">
        <f t="shared" si="154"/>
        <v>1.4779585861793521</v>
      </c>
      <c r="AM45" s="314">
        <f t="shared" si="155"/>
        <v>200</v>
      </c>
      <c r="AN45" s="144">
        <f t="shared" si="156"/>
        <v>231.1213280892209</v>
      </c>
      <c r="AP45">
        <f t="shared" si="157"/>
        <v>200</v>
      </c>
      <c r="AQ45" s="144">
        <f t="shared" si="158"/>
        <v>231.1213280892209</v>
      </c>
      <c r="AR45" s="144"/>
      <c r="AS45" s="5">
        <f t="shared" si="101"/>
        <v>4.3267318004246027</v>
      </c>
      <c r="AT45" s="5">
        <f t="shared" si="159"/>
        <v>1.7184777606223067</v>
      </c>
      <c r="AU45" s="5">
        <f t="shared" si="102"/>
        <v>2.6082540398022962</v>
      </c>
      <c r="AV45" s="5">
        <f t="shared" si="160"/>
        <v>2.408254039802296</v>
      </c>
      <c r="AW45" s="150">
        <f t="shared" si="103"/>
        <v>0.39717686232681776</v>
      </c>
      <c r="AX45" s="150">
        <f t="shared" si="161"/>
        <v>32.575123154712237</v>
      </c>
      <c r="AY45" s="150">
        <f t="shared" si="162"/>
        <v>0.20659619140446536</v>
      </c>
      <c r="AZ45" s="150">
        <f t="shared" si="104"/>
        <v>157.67533241180629</v>
      </c>
      <c r="BA45" s="144">
        <f t="shared" si="163"/>
        <v>0.20217385419085962</v>
      </c>
      <c r="BB45" s="5">
        <f t="shared" si="164"/>
        <v>12.352015365464032</v>
      </c>
      <c r="BC45" s="5"/>
      <c r="BD45" s="150">
        <f t="shared" si="105"/>
        <v>4.9879688447260877</v>
      </c>
      <c r="BE45" s="150">
        <f t="shared" si="165"/>
        <v>0.3072534179636946</v>
      </c>
      <c r="BF45" s="150"/>
      <c r="BG45" s="456">
        <f t="shared" si="166"/>
        <v>8.4591432866257546E-2</v>
      </c>
      <c r="BH45" s="456">
        <f t="shared" si="167"/>
        <v>1.5584991054399728</v>
      </c>
      <c r="BI45" s="456">
        <f t="shared" si="168"/>
        <v>0.12666167722574104</v>
      </c>
      <c r="BJ45" s="456">
        <f t="shared" si="169"/>
        <v>6.6783295766668624E-2</v>
      </c>
      <c r="BK45">
        <f t="shared" si="170"/>
        <v>5.384585109966783E-3</v>
      </c>
      <c r="BL45" s="144">
        <f t="shared" si="106"/>
        <v>132.04626233570781</v>
      </c>
      <c r="BM45" s="456">
        <f t="shared" si="171"/>
        <v>1.7682535147463954</v>
      </c>
      <c r="BN45" s="144">
        <f t="shared" si="107"/>
        <v>1768.2535147463955</v>
      </c>
      <c r="BO45" s="456">
        <f t="shared" si="172"/>
        <v>0.44374999999999998</v>
      </c>
      <c r="BP45" s="456"/>
      <c r="BR45" s="144">
        <f t="shared" si="109"/>
        <v>443.75</v>
      </c>
      <c r="BS45" s="456">
        <f t="shared" si="173"/>
        <v>3.7319749793937151E-2</v>
      </c>
      <c r="BT45" s="456">
        <f t="shared" si="174"/>
        <v>1.888093257007456E-2</v>
      </c>
      <c r="BU45" s="456">
        <f t="shared" si="175"/>
        <v>0.51</v>
      </c>
      <c r="BV45" s="456">
        <f t="shared" si="176"/>
        <v>0.58230692987571919</v>
      </c>
      <c r="BW45" s="456">
        <f t="shared" si="177"/>
        <v>4.3433497539616318E-2</v>
      </c>
      <c r="BX45" s="144">
        <f t="shared" si="110"/>
        <v>625.74042741533549</v>
      </c>
      <c r="BY45" s="150">
        <f t="shared" si="45"/>
        <v>2.9697902044974391</v>
      </c>
      <c r="BZ45" s="5">
        <f t="shared" si="111"/>
        <v>34</v>
      </c>
      <c r="CA45" s="150">
        <f t="shared" si="112"/>
        <v>0.91966981180931451</v>
      </c>
      <c r="CB45" s="5">
        <f t="shared" si="113"/>
        <v>91.966981180931455</v>
      </c>
      <c r="CE45" s="59">
        <f t="shared" si="178"/>
        <v>-50</v>
      </c>
      <c r="CF45">
        <f t="shared" si="179"/>
        <v>-50</v>
      </c>
      <c r="CG45" s="150">
        <f t="shared" si="180"/>
        <v>0.57217404606804911</v>
      </c>
      <c r="CI45" s="147">
        <v>40</v>
      </c>
      <c r="CJ45" s="188">
        <f t="shared" si="114"/>
        <v>0.2</v>
      </c>
      <c r="CK45" s="188"/>
      <c r="CL45" s="188">
        <f t="shared" si="49"/>
        <v>34</v>
      </c>
      <c r="CM45" s="465">
        <f t="shared" si="50"/>
        <v>12</v>
      </c>
      <c r="CN45" s="149">
        <f t="shared" si="51"/>
        <v>8.5350000000000001</v>
      </c>
      <c r="CO45" s="379">
        <f t="shared" si="52"/>
        <v>20.535</v>
      </c>
      <c r="CP45" s="379"/>
      <c r="CQ45" s="188">
        <f t="shared" si="53"/>
        <v>0.4156318480642805</v>
      </c>
      <c r="CR45" s="149">
        <f t="shared" si="54"/>
        <v>166.85124908692478</v>
      </c>
      <c r="CS45" s="149">
        <f t="shared" si="115"/>
        <v>34</v>
      </c>
      <c r="CT45" s="188">
        <f t="shared" si="55"/>
        <v>0.98147793580543985</v>
      </c>
      <c r="CU45" s="188">
        <f t="shared" si="56"/>
        <v>170</v>
      </c>
      <c r="CV45" s="188">
        <f t="shared" si="57"/>
        <v>0.97795728956301287</v>
      </c>
      <c r="CW45" s="149">
        <f t="shared" si="58"/>
        <v>1760.0954114253764</v>
      </c>
      <c r="CX45" s="149">
        <f t="shared" si="59"/>
        <v>170</v>
      </c>
      <c r="CY45" s="188">
        <f t="shared" si="60"/>
        <v>13.633860574106619</v>
      </c>
      <c r="CZ45" s="188">
        <f t="shared" si="61"/>
        <v>1.7042325717633275</v>
      </c>
      <c r="DA45" s="188">
        <f t="shared" si="62"/>
        <v>2.3961090639906182</v>
      </c>
      <c r="DB45" s="172">
        <f t="shared" si="63"/>
        <v>249.37910883856827</v>
      </c>
      <c r="DC45" s="379">
        <f t="shared" si="116"/>
        <v>243.88211735340587</v>
      </c>
      <c r="DE45" s="188">
        <f t="shared" si="64"/>
        <v>13.333333333333334</v>
      </c>
      <c r="DF45" s="150">
        <f t="shared" si="65"/>
        <v>2.3432923257176337</v>
      </c>
      <c r="DG45" s="150">
        <f t="shared" si="66"/>
        <v>0.19478938397857323</v>
      </c>
      <c r="DH45" s="150"/>
      <c r="DI45" s="150">
        <f t="shared" si="67"/>
        <v>2.3432923257176337</v>
      </c>
      <c r="DJ45" s="314">
        <f t="shared" si="117"/>
        <v>256.04999999999995</v>
      </c>
      <c r="DK45" s="456">
        <f t="shared" si="68"/>
        <v>0.19478938397857321</v>
      </c>
      <c r="DM45" s="150">
        <f t="shared" si="69"/>
        <v>11.404259855735612</v>
      </c>
      <c r="DN45" s="150">
        <f t="shared" si="70"/>
        <v>13.633860574106619</v>
      </c>
      <c r="DO45" s="150">
        <f t="shared" si="71"/>
        <v>1.4226127709431737</v>
      </c>
      <c r="DQ45" s="314">
        <f t="shared" si="72"/>
        <v>200</v>
      </c>
      <c r="DR45" s="144">
        <f t="shared" si="73"/>
        <v>243.88211735340587</v>
      </c>
      <c r="DT45">
        <f t="shared" si="74"/>
        <v>200</v>
      </c>
      <c r="DU45" s="144">
        <f t="shared" si="75"/>
        <v>243.88211735340587</v>
      </c>
      <c r="DV45" s="144"/>
      <c r="DW45" s="5">
        <f t="shared" si="118"/>
        <v>4.1003416357539457</v>
      </c>
      <c r="DX45" s="5">
        <f t="shared" si="76"/>
        <v>1.7042325717633275</v>
      </c>
      <c r="DY45" s="5">
        <f t="shared" si="119"/>
        <v>2.3961090639906182</v>
      </c>
      <c r="DZ45" s="5">
        <f t="shared" si="77"/>
        <v>2.3961090639906182</v>
      </c>
      <c r="EA45" s="150">
        <f t="shared" si="120"/>
        <v>0.41563184806428055</v>
      </c>
      <c r="EB45" s="150">
        <f t="shared" si="78"/>
        <v>34</v>
      </c>
      <c r="EC45" s="150">
        <f t="shared" si="79"/>
        <v>0.19917984768599881</v>
      </c>
      <c r="ED45" s="150">
        <f t="shared" si="121"/>
        <v>170.70000000000002</v>
      </c>
      <c r="EE45" s="144">
        <f t="shared" si="80"/>
        <v>0.20049794961921502</v>
      </c>
      <c r="EF45" s="5">
        <f t="shared" si="81"/>
        <v>11.314959468844584</v>
      </c>
      <c r="EG45" s="5"/>
      <c r="EH45" s="150">
        <f t="shared" si="122"/>
        <v>5.0747263720411846</v>
      </c>
      <c r="EI45" s="150">
        <f t="shared" si="82"/>
        <v>0.30086487955684804</v>
      </c>
      <c r="EJ45" s="150"/>
      <c r="EK45" s="456">
        <f t="shared" si="83"/>
        <v>8.7559682353706952E-2</v>
      </c>
      <c r="EL45" s="456">
        <f t="shared" si="84"/>
        <v>2.0757120000000002</v>
      </c>
      <c r="EM45" s="456">
        <f t="shared" si="85"/>
        <v>5.584900487392995E-2</v>
      </c>
      <c r="EN45" s="456">
        <f t="shared" si="86"/>
        <v>7.044658464705883E-2</v>
      </c>
      <c r="EO45">
        <f t="shared" si="87"/>
        <v>5.4000000000000003E-3</v>
      </c>
      <c r="EP45" s="144">
        <f t="shared" si="123"/>
        <v>61.249004873929955</v>
      </c>
      <c r="EQ45" s="456">
        <f t="shared" si="88"/>
        <v>2.3678699806527299</v>
      </c>
      <c r="ER45" s="144">
        <f t="shared" si="124"/>
        <v>2367.8699806527297</v>
      </c>
      <c r="ES45" s="456">
        <f t="shared" si="125"/>
        <v>0.44374999999999998</v>
      </c>
      <c r="ET45" s="456"/>
      <c r="EV45" s="144">
        <f t="shared" si="126"/>
        <v>443.75</v>
      </c>
      <c r="EW45" s="456">
        <f t="shared" si="89"/>
        <v>3.8629271626635424E-2</v>
      </c>
      <c r="EX45" s="456">
        <f t="shared" si="90"/>
        <v>1.8103935150151334E-2</v>
      </c>
      <c r="EY45" s="456">
        <f t="shared" si="91"/>
        <v>31.876234821662543</v>
      </c>
      <c r="EZ45" s="456">
        <f t="shared" si="92"/>
        <v>32.092239651512109</v>
      </c>
      <c r="FA45" s="456">
        <f t="shared" si="93"/>
        <v>4.5333333333333337E-2</v>
      </c>
      <c r="FB45" s="144">
        <f t="shared" si="127"/>
        <v>32137.572984845443</v>
      </c>
      <c r="FC45" s="150">
        <f t="shared" si="128"/>
        <v>34.94919296549817</v>
      </c>
      <c r="FD45" s="5">
        <f t="shared" si="129"/>
        <v>34</v>
      </c>
      <c r="FE45" s="150">
        <f t="shared" si="130"/>
        <v>0.49311672171439963</v>
      </c>
      <c r="FF45" s="5">
        <f t="shared" si="131"/>
        <v>49.311672171439966</v>
      </c>
      <c r="FI45" s="59">
        <f t="shared" si="94"/>
        <v>-50</v>
      </c>
      <c r="FJ45">
        <f t="shared" si="95"/>
        <v>-50</v>
      </c>
      <c r="FL45">
        <f t="shared" si="181"/>
        <v>0.58436815193571945</v>
      </c>
    </row>
    <row r="46" spans="5:168">
      <c r="E46" s="147">
        <v>41</v>
      </c>
      <c r="F46" s="188">
        <f t="shared" si="182"/>
        <v>0.20499999999999999</v>
      </c>
      <c r="G46" s="188"/>
      <c r="H46" s="188">
        <f t="shared" si="132"/>
        <v>34.85</v>
      </c>
      <c r="I46" s="465">
        <f t="shared" si="133"/>
        <v>11.964906547682322</v>
      </c>
      <c r="J46" s="149">
        <f t="shared" si="134"/>
        <v>8.538580964522211</v>
      </c>
      <c r="K46" s="149">
        <f t="shared" si="135"/>
        <v>20.538580964522211</v>
      </c>
      <c r="L46" s="379"/>
      <c r="M46" s="188">
        <f t="shared" si="136"/>
        <v>0.41644322298685027</v>
      </c>
      <c r="N46" s="149">
        <f t="shared" si="137"/>
        <v>166.68806602456419</v>
      </c>
      <c r="O46" s="149">
        <f t="shared" si="98"/>
        <v>34.85</v>
      </c>
      <c r="P46" s="188">
        <f t="shared" si="138"/>
        <v>0.98051803543861293</v>
      </c>
      <c r="Q46" s="188">
        <f t="shared" si="139"/>
        <v>170</v>
      </c>
      <c r="R46" s="188">
        <f t="shared" si="140"/>
        <v>0.97700083244182245</v>
      </c>
      <c r="S46" s="149">
        <f t="shared" si="141"/>
        <v>1706.3132585278281</v>
      </c>
      <c r="T46" s="149">
        <f t="shared" si="142"/>
        <v>170</v>
      </c>
      <c r="U46" s="188">
        <f t="shared" si="143"/>
        <v>14.051760382203947</v>
      </c>
      <c r="V46" s="188">
        <f t="shared" si="11"/>
        <v>1.7616218304177891</v>
      </c>
      <c r="W46" s="188">
        <f t="shared" si="144"/>
        <v>2.4685179728204814</v>
      </c>
      <c r="X46" s="172">
        <f t="shared" si="145"/>
        <v>249.13645356555938</v>
      </c>
      <c r="Y46" s="379">
        <f t="shared" si="14"/>
        <v>225.72651076813347</v>
      </c>
      <c r="AA46" s="188">
        <f t="shared" si="146"/>
        <v>13.333333333333334</v>
      </c>
      <c r="AB46" s="150">
        <f t="shared" si="147"/>
        <v>2.3423095808425272</v>
      </c>
      <c r="AC46" s="150">
        <f t="shared" si="148"/>
        <v>0.19451823404124635</v>
      </c>
      <c r="AD46" s="150"/>
      <c r="AE46" s="150">
        <f t="shared" si="149"/>
        <v>2.3423095808425272</v>
      </c>
      <c r="AF46" s="314">
        <f t="shared" si="150"/>
        <v>262.56136465905792</v>
      </c>
      <c r="AG46" s="456">
        <f t="shared" si="151"/>
        <v>0.19451823404124641</v>
      </c>
      <c r="AI46" s="150">
        <f t="shared" si="152"/>
        <v>11.548354977396823</v>
      </c>
      <c r="AJ46" s="150">
        <f t="shared" si="153"/>
        <v>14.051760382203947</v>
      </c>
      <c r="AK46" s="150">
        <f t="shared" si="154"/>
        <v>1.7321681843486019</v>
      </c>
      <c r="AM46" s="314">
        <f t="shared" si="155"/>
        <v>205</v>
      </c>
      <c r="AN46" s="144">
        <f t="shared" si="156"/>
        <v>225.72651076813347</v>
      </c>
      <c r="AP46">
        <f t="shared" si="157"/>
        <v>205</v>
      </c>
      <c r="AQ46" s="144">
        <f t="shared" si="158"/>
        <v>225.72651076813347</v>
      </c>
      <c r="AR46" s="144"/>
      <c r="AS46" s="5">
        <f t="shared" si="101"/>
        <v>4.4301398032382702</v>
      </c>
      <c r="AT46" s="5">
        <f t="shared" si="159"/>
        <v>1.7616218304177891</v>
      </c>
      <c r="AU46" s="5">
        <f t="shared" si="102"/>
        <v>2.6685179728204811</v>
      </c>
      <c r="AV46" s="5">
        <f t="shared" si="160"/>
        <v>2.4685179728204814</v>
      </c>
      <c r="AW46" s="150">
        <f t="shared" si="103"/>
        <v>0.39764474907318004</v>
      </c>
      <c r="AX46" s="150">
        <f t="shared" si="161"/>
        <v>33.427608147018226</v>
      </c>
      <c r="AY46" s="150">
        <f t="shared" si="162"/>
        <v>0.21160379127465018</v>
      </c>
      <c r="AZ46" s="150">
        <f t="shared" si="104"/>
        <v>157.97263340915765</v>
      </c>
      <c r="BA46" s="144">
        <f t="shared" si="163"/>
        <v>0.21243086778567455</v>
      </c>
      <c r="BB46" s="5">
        <f t="shared" si="164"/>
        <v>12.954252363245304</v>
      </c>
      <c r="BC46" s="5"/>
      <c r="BD46" s="150">
        <f t="shared" si="105"/>
        <v>5.115849196389104</v>
      </c>
      <c r="BE46" s="150">
        <f t="shared" si="165"/>
        <v>0.31482300693973447</v>
      </c>
      <c r="BF46" s="150"/>
      <c r="BG46" s="456">
        <f t="shared" si="166"/>
        <v>8.8984504200663131E-2</v>
      </c>
      <c r="BH46" s="456">
        <f t="shared" si="167"/>
        <v>1.5602322692677602</v>
      </c>
      <c r="BI46" s="456">
        <f t="shared" si="168"/>
        <v>0.12369648458572069</v>
      </c>
      <c r="BJ46" s="456">
        <f t="shared" si="169"/>
        <v>6.5224988112926888E-2</v>
      </c>
      <c r="BK46">
        <f t="shared" si="170"/>
        <v>5.3842079464570449E-3</v>
      </c>
      <c r="BL46" s="144">
        <f t="shared" si="106"/>
        <v>129.08069253217775</v>
      </c>
      <c r="BM46" s="456">
        <f t="shared" si="171"/>
        <v>1.7760174134019657</v>
      </c>
      <c r="BN46" s="144">
        <f t="shared" si="107"/>
        <v>1776.0174134019658</v>
      </c>
      <c r="BO46" s="456">
        <f t="shared" si="172"/>
        <v>0.45484374999999994</v>
      </c>
      <c r="BP46" s="456"/>
      <c r="BR46" s="144">
        <f t="shared" si="109"/>
        <v>454.84374999999994</v>
      </c>
      <c r="BS46" s="456">
        <f t="shared" si="173"/>
        <v>3.9257869500292558E-2</v>
      </c>
      <c r="BT46" s="456">
        <f t="shared" si="174"/>
        <v>1.9822705139715222E-2</v>
      </c>
      <c r="BU46" s="456">
        <f t="shared" si="175"/>
        <v>0.52275000000000005</v>
      </c>
      <c r="BV46" s="456">
        <f t="shared" si="176"/>
        <v>0.59884029887160395</v>
      </c>
      <c r="BW46" s="456">
        <f t="shared" si="177"/>
        <v>4.4570144196024307E-2</v>
      </c>
      <c r="BX46" s="144">
        <f t="shared" si="110"/>
        <v>643.41044306762831</v>
      </c>
      <c r="BY46" s="150">
        <f t="shared" si="45"/>
        <v>3.0033522990017718</v>
      </c>
      <c r="BZ46" s="5">
        <f t="shared" si="111"/>
        <v>34.85</v>
      </c>
      <c r="CA46" s="150">
        <f t="shared" si="112"/>
        <v>0.92065822135702968</v>
      </c>
      <c r="CB46" s="5">
        <f t="shared" si="113"/>
        <v>92.065822135702973</v>
      </c>
      <c r="CE46" s="59">
        <f t="shared" si="178"/>
        <v>-50</v>
      </c>
      <c r="CF46">
        <f t="shared" si="179"/>
        <v>-50</v>
      </c>
      <c r="CG46" s="150">
        <f t="shared" si="180"/>
        <v>0.57247146328433396</v>
      </c>
      <c r="CI46" s="147">
        <v>41</v>
      </c>
      <c r="CJ46" s="188">
        <f t="shared" si="114"/>
        <v>0.20499999999999999</v>
      </c>
      <c r="CK46" s="188"/>
      <c r="CL46" s="188">
        <f t="shared" si="49"/>
        <v>34.85</v>
      </c>
      <c r="CM46" s="465">
        <f t="shared" si="50"/>
        <v>12</v>
      </c>
      <c r="CN46" s="149">
        <f t="shared" si="51"/>
        <v>8.5350000000000001</v>
      </c>
      <c r="CO46" s="379">
        <f t="shared" si="52"/>
        <v>20.535</v>
      </c>
      <c r="CP46" s="379"/>
      <c r="CQ46" s="188">
        <f t="shared" si="53"/>
        <v>0.4156318480642805</v>
      </c>
      <c r="CR46" s="149">
        <f t="shared" si="54"/>
        <v>166.85124908692478</v>
      </c>
      <c r="CS46" s="149">
        <f t="shared" si="115"/>
        <v>34.85</v>
      </c>
      <c r="CT46" s="188">
        <f t="shared" si="55"/>
        <v>0.98147793580543985</v>
      </c>
      <c r="CU46" s="188">
        <f t="shared" si="56"/>
        <v>170</v>
      </c>
      <c r="CV46" s="188">
        <f t="shared" si="57"/>
        <v>0.97795728956301287</v>
      </c>
      <c r="CW46" s="149">
        <f t="shared" si="58"/>
        <v>1711.3176420250236</v>
      </c>
      <c r="CX46" s="149">
        <f t="shared" si="59"/>
        <v>170</v>
      </c>
      <c r="CY46" s="188">
        <f t="shared" si="60"/>
        <v>13.974707088459285</v>
      </c>
      <c r="CZ46" s="188">
        <f t="shared" si="61"/>
        <v>1.7468383860574104</v>
      </c>
      <c r="DA46" s="188">
        <f t="shared" si="62"/>
        <v>2.4560117905903835</v>
      </c>
      <c r="DB46" s="172">
        <f t="shared" si="63"/>
        <v>249.37910883856827</v>
      </c>
      <c r="DC46" s="379">
        <f t="shared" si="116"/>
        <v>237.93377302771307</v>
      </c>
      <c r="DE46" s="188">
        <f t="shared" si="64"/>
        <v>13.333333333333334</v>
      </c>
      <c r="DF46" s="150">
        <f t="shared" si="65"/>
        <v>2.3432923257176337</v>
      </c>
      <c r="DG46" s="150">
        <f t="shared" si="66"/>
        <v>0.19478938397857323</v>
      </c>
      <c r="DH46" s="150"/>
      <c r="DI46" s="150">
        <f t="shared" si="67"/>
        <v>2.3432923257176337</v>
      </c>
      <c r="DJ46" s="314">
        <f t="shared" si="117"/>
        <v>262.4512499999999</v>
      </c>
      <c r="DK46" s="456">
        <f t="shared" si="68"/>
        <v>0.19478938397857321</v>
      </c>
      <c r="DM46" s="150">
        <f t="shared" si="69"/>
        <v>11.545933112077664</v>
      </c>
      <c r="DN46" s="150">
        <f t="shared" si="70"/>
        <v>13.974707088459285</v>
      </c>
      <c r="DO46" s="150">
        <f t="shared" si="71"/>
        <v>1.6750916704636674</v>
      </c>
      <c r="DQ46" s="314">
        <f t="shared" si="72"/>
        <v>205</v>
      </c>
      <c r="DR46" s="144">
        <f t="shared" si="73"/>
        <v>237.93377302771307</v>
      </c>
      <c r="DT46">
        <f t="shared" si="74"/>
        <v>205</v>
      </c>
      <c r="DU46" s="144">
        <f t="shared" si="75"/>
        <v>237.93377302771307</v>
      </c>
      <c r="DV46" s="144"/>
      <c r="DW46" s="5">
        <f t="shared" si="118"/>
        <v>4.2028501766477939</v>
      </c>
      <c r="DX46" s="5">
        <f t="shared" si="76"/>
        <v>1.7468383860574104</v>
      </c>
      <c r="DY46" s="5">
        <f t="shared" si="119"/>
        <v>2.4560117905903835</v>
      </c>
      <c r="DZ46" s="5">
        <f t="shared" si="77"/>
        <v>2.4560117905903835</v>
      </c>
      <c r="EA46" s="150">
        <f t="shared" si="120"/>
        <v>0.4156318480642805</v>
      </c>
      <c r="EB46" s="150">
        <f t="shared" si="78"/>
        <v>34.850000000000009</v>
      </c>
      <c r="EC46" s="150">
        <f t="shared" si="79"/>
        <v>0.20415934387814882</v>
      </c>
      <c r="ED46" s="150">
        <f t="shared" si="121"/>
        <v>170.70000000000002</v>
      </c>
      <c r="EE46" s="144">
        <f t="shared" si="80"/>
        <v>0.21064815831868772</v>
      </c>
      <c r="EF46" s="5">
        <f t="shared" si="81"/>
        <v>11.887779291954843</v>
      </c>
      <c r="EG46" s="5"/>
      <c r="EH46" s="150">
        <f t="shared" si="122"/>
        <v>5.2015945313422138</v>
      </c>
      <c r="EI46" s="150">
        <f t="shared" si="82"/>
        <v>0.3083865015457693</v>
      </c>
      <c r="EJ46" s="150"/>
      <c r="EK46" s="456">
        <f t="shared" si="83"/>
        <v>9.1992391272863364E-2</v>
      </c>
      <c r="EL46" s="456">
        <f t="shared" si="84"/>
        <v>2.0757120000000007</v>
      </c>
      <c r="EM46" s="456">
        <f t="shared" si="85"/>
        <v>5.4486834023346295E-2</v>
      </c>
      <c r="EN46" s="456">
        <f t="shared" si="86"/>
        <v>6.8728375265423247E-2</v>
      </c>
      <c r="EO46">
        <f t="shared" si="87"/>
        <v>5.4000000000000003E-3</v>
      </c>
      <c r="EP46" s="144">
        <f t="shared" si="123"/>
        <v>59.886834023346296</v>
      </c>
      <c r="EQ46" s="456">
        <f t="shared" si="88"/>
        <v>2.3730256995412011</v>
      </c>
      <c r="ER46" s="144">
        <f t="shared" si="124"/>
        <v>2373.025699541201</v>
      </c>
      <c r="ES46" s="456">
        <f t="shared" si="125"/>
        <v>0.45484374999999994</v>
      </c>
      <c r="ET46" s="456"/>
      <c r="EV46" s="144">
        <f t="shared" si="126"/>
        <v>454.84374999999994</v>
      </c>
      <c r="EW46" s="456">
        <f t="shared" si="89"/>
        <v>4.0584878502733839E-2</v>
      </c>
      <c r="EX46" s="456">
        <f t="shared" si="90"/>
        <v>1.9020446867127755E-2</v>
      </c>
      <c r="EY46" s="456">
        <f t="shared" si="91"/>
        <v>31.876234821662486</v>
      </c>
      <c r="EZ46" s="456">
        <f t="shared" si="92"/>
        <v>32.103227289763431</v>
      </c>
      <c r="FA46" s="456">
        <f t="shared" si="93"/>
        <v>4.6466666666666677E-2</v>
      </c>
      <c r="FB46" s="144">
        <f t="shared" si="127"/>
        <v>32149.693956430099</v>
      </c>
      <c r="FC46" s="150">
        <f t="shared" si="128"/>
        <v>34.977563405971303</v>
      </c>
      <c r="FD46" s="5">
        <f t="shared" si="129"/>
        <v>34.85</v>
      </c>
      <c r="FE46" s="150">
        <f t="shared" si="130"/>
        <v>0.49908658272071116</v>
      </c>
      <c r="FF46" s="5">
        <f t="shared" si="131"/>
        <v>49.908658272071115</v>
      </c>
      <c r="FI46" s="59">
        <f t="shared" si="94"/>
        <v>-50</v>
      </c>
      <c r="FJ46">
        <f t="shared" si="95"/>
        <v>-50</v>
      </c>
      <c r="FL46">
        <f t="shared" si="181"/>
        <v>0.58436815193571956</v>
      </c>
    </row>
    <row r="47" spans="5:168">
      <c r="E47" s="147">
        <v>42</v>
      </c>
      <c r="F47" s="188">
        <f t="shared" si="182"/>
        <v>0.21</v>
      </c>
      <c r="G47" s="188"/>
      <c r="H47" s="188">
        <f t="shared" si="132"/>
        <v>35.699999999999996</v>
      </c>
      <c r="I47" s="465">
        <f t="shared" si="133"/>
        <v>11.964068388506846</v>
      </c>
      <c r="J47" s="149">
        <f t="shared" si="134"/>
        <v>8.5386664909686889</v>
      </c>
      <c r="K47" s="149">
        <f t="shared" si="135"/>
        <v>20.538666490968687</v>
      </c>
      <c r="L47" s="379"/>
      <c r="M47" s="188">
        <f t="shared" si="136"/>
        <v>0.41646268271773212</v>
      </c>
      <c r="N47" s="149">
        <f t="shared" si="137"/>
        <v>166.68417780527469</v>
      </c>
      <c r="O47" s="149">
        <f t="shared" si="98"/>
        <v>35.699999999999996</v>
      </c>
      <c r="P47" s="188">
        <f t="shared" si="138"/>
        <v>0.98049516356043931</v>
      </c>
      <c r="Q47" s="188">
        <f t="shared" si="139"/>
        <v>170</v>
      </c>
      <c r="R47" s="188">
        <f t="shared" si="140"/>
        <v>0.97697804260705379</v>
      </c>
      <c r="S47" s="149">
        <f t="shared" si="141"/>
        <v>1659.8779732582018</v>
      </c>
      <c r="T47" s="149">
        <f t="shared" si="142"/>
        <v>170</v>
      </c>
      <c r="U47" s="188">
        <f t="shared" si="143"/>
        <v>14.394966270746249</v>
      </c>
      <c r="V47" s="188">
        <f t="shared" si="11"/>
        <v>1.8047748228238087</v>
      </c>
      <c r="W47" s="188">
        <f t="shared" si="144"/>
        <v>2.5287847263923022</v>
      </c>
      <c r="X47" s="172">
        <f t="shared" si="145"/>
        <v>249.13064146107311</v>
      </c>
      <c r="Y47" s="379">
        <f t="shared" si="14"/>
        <v>220.5772283663745</v>
      </c>
      <c r="AA47" s="188">
        <f t="shared" si="146"/>
        <v>13.333333333333334</v>
      </c>
      <c r="AB47" s="150">
        <f t="shared" si="147"/>
        <v>2.3422861194021238</v>
      </c>
      <c r="AC47" s="150">
        <f t="shared" si="148"/>
        <v>0.19451174780400629</v>
      </c>
      <c r="AD47" s="150"/>
      <c r="AE47" s="150">
        <f t="shared" si="149"/>
        <v>2.3422861194021238</v>
      </c>
      <c r="AF47" s="314">
        <f t="shared" si="150"/>
        <v>268.9679944655137</v>
      </c>
      <c r="AG47" s="456">
        <f t="shared" si="151"/>
        <v>0.19451174780400629</v>
      </c>
      <c r="AI47" s="150">
        <f t="shared" si="152"/>
        <v>11.688398686539529</v>
      </c>
      <c r="AJ47" s="150">
        <f t="shared" si="153"/>
        <v>14.394966270746249</v>
      </c>
      <c r="AK47" s="150">
        <f t="shared" si="154"/>
        <v>1.9863947684540109</v>
      </c>
      <c r="AM47" s="314">
        <f t="shared" si="155"/>
        <v>210</v>
      </c>
      <c r="AN47" s="144">
        <f t="shared" si="156"/>
        <v>220.5772283663745</v>
      </c>
      <c r="AP47">
        <f t="shared" si="157"/>
        <v>210</v>
      </c>
      <c r="AQ47" s="144">
        <f t="shared" si="158"/>
        <v>220.5772283663745</v>
      </c>
      <c r="AR47" s="144"/>
      <c r="AS47" s="5">
        <f t="shared" si="101"/>
        <v>4.5335595492161112</v>
      </c>
      <c r="AT47" s="5">
        <f t="shared" si="159"/>
        <v>1.8047748228238087</v>
      </c>
      <c r="AU47" s="5">
        <f t="shared" si="102"/>
        <v>2.7287847263923024</v>
      </c>
      <c r="AV47" s="5">
        <f t="shared" si="160"/>
        <v>2.5287847263923022</v>
      </c>
      <c r="AW47" s="150">
        <f t="shared" si="103"/>
        <v>0.39809222824389034</v>
      </c>
      <c r="AX47" s="150">
        <f t="shared" si="161"/>
        <v>34.280191704730889</v>
      </c>
      <c r="AY47" s="150">
        <f t="shared" si="162"/>
        <v>0.21661105181323076</v>
      </c>
      <c r="AZ47" s="150">
        <f t="shared" si="104"/>
        <v>158.25689140870065</v>
      </c>
      <c r="BA47" s="144">
        <f t="shared" si="163"/>
        <v>0.22294277223117634</v>
      </c>
      <c r="BB47" s="5">
        <f t="shared" si="164"/>
        <v>13.570859505978245</v>
      </c>
      <c r="BC47" s="5"/>
      <c r="BD47" s="150">
        <f t="shared" si="105"/>
        <v>5.2437487400722897</v>
      </c>
      <c r="BE47" s="150">
        <f t="shared" si="165"/>
        <v>0.32239255495551411</v>
      </c>
      <c r="BF47" s="150"/>
      <c r="BG47" s="456">
        <f t="shared" si="166"/>
        <v>9.3489462886633068E-2</v>
      </c>
      <c r="BH47" s="456">
        <f t="shared" si="167"/>
        <v>1.5618851204593915</v>
      </c>
      <c r="BI47" s="456">
        <f t="shared" si="168"/>
        <v>0.12086624786661493</v>
      </c>
      <c r="BJ47" s="456">
        <f t="shared" si="169"/>
        <v>6.3737603841692692E-2</v>
      </c>
      <c r="BK47">
        <f t="shared" si="170"/>
        <v>5.3838307748280802E-3</v>
      </c>
      <c r="BL47" s="144">
        <f t="shared" si="106"/>
        <v>126.250078641443</v>
      </c>
      <c r="BM47" s="456">
        <f t="shared" si="171"/>
        <v>1.7839821086909822</v>
      </c>
      <c r="BN47" s="144">
        <f t="shared" si="107"/>
        <v>1783.9821086909822</v>
      </c>
      <c r="BO47" s="456">
        <f t="shared" si="172"/>
        <v>0.4659375</v>
      </c>
      <c r="BP47" s="456"/>
      <c r="BR47" s="144">
        <f t="shared" si="109"/>
        <v>465.9375</v>
      </c>
      <c r="BS47" s="456">
        <f t="shared" si="173"/>
        <v>4.1245351273514592E-2</v>
      </c>
      <c r="BT47" s="456">
        <f t="shared" si="174"/>
        <v>2.0787391898148839E-2</v>
      </c>
      <c r="BU47" s="456">
        <f t="shared" si="175"/>
        <v>0.53549999999999986</v>
      </c>
      <c r="BV47" s="456">
        <f t="shared" si="176"/>
        <v>0.61547496959023684</v>
      </c>
      <c r="BW47" s="456">
        <f t="shared" si="177"/>
        <v>4.5706922272974515E-2</v>
      </c>
      <c r="BX47" s="144">
        <f t="shared" si="110"/>
        <v>661.18189186321126</v>
      </c>
      <c r="BY47" s="150">
        <f t="shared" si="45"/>
        <v>3.0373515791956365</v>
      </c>
      <c r="BZ47" s="5">
        <f t="shared" si="111"/>
        <v>35.699999999999996</v>
      </c>
      <c r="CA47" s="150">
        <f t="shared" si="112"/>
        <v>0.92159113993670949</v>
      </c>
      <c r="CB47" s="5">
        <f t="shared" si="113"/>
        <v>92.159113993670942</v>
      </c>
      <c r="CE47" s="59">
        <f t="shared" si="178"/>
        <v>-50</v>
      </c>
      <c r="CF47">
        <f t="shared" si="179"/>
        <v>-50</v>
      </c>
      <c r="CG47" s="150">
        <f t="shared" si="180"/>
        <v>0.57275471777603348</v>
      </c>
      <c r="CI47" s="147">
        <v>42</v>
      </c>
      <c r="CJ47" s="188">
        <f t="shared" si="114"/>
        <v>0.21</v>
      </c>
      <c r="CK47" s="188"/>
      <c r="CL47" s="188">
        <f t="shared" si="49"/>
        <v>35.699999999999996</v>
      </c>
      <c r="CM47" s="465">
        <f t="shared" si="50"/>
        <v>12</v>
      </c>
      <c r="CN47" s="149">
        <f t="shared" si="51"/>
        <v>8.5350000000000001</v>
      </c>
      <c r="CO47" s="379">
        <f t="shared" si="52"/>
        <v>20.535</v>
      </c>
      <c r="CP47" s="379"/>
      <c r="CQ47" s="188">
        <f t="shared" si="53"/>
        <v>0.4156318480642805</v>
      </c>
      <c r="CR47" s="149">
        <f t="shared" si="54"/>
        <v>166.85124908692478</v>
      </c>
      <c r="CS47" s="149">
        <f t="shared" si="115"/>
        <v>35.699999999999996</v>
      </c>
      <c r="CT47" s="188">
        <f t="shared" si="55"/>
        <v>0.98147793580543985</v>
      </c>
      <c r="CU47" s="188">
        <f t="shared" si="56"/>
        <v>170</v>
      </c>
      <c r="CV47" s="188">
        <f t="shared" si="57"/>
        <v>0.97795728956301287</v>
      </c>
      <c r="CW47" s="149">
        <f t="shared" si="58"/>
        <v>1664.8627715697298</v>
      </c>
      <c r="CX47" s="149">
        <f t="shared" si="59"/>
        <v>170</v>
      </c>
      <c r="CY47" s="188">
        <f t="shared" si="60"/>
        <v>14.315553602811949</v>
      </c>
      <c r="CZ47" s="188">
        <f t="shared" si="61"/>
        <v>1.7894442003514937</v>
      </c>
      <c r="DA47" s="188">
        <f t="shared" si="62"/>
        <v>2.5159145171901489</v>
      </c>
      <c r="DB47" s="172">
        <f t="shared" si="63"/>
        <v>249.37910883856827</v>
      </c>
      <c r="DC47" s="379">
        <f t="shared" si="116"/>
        <v>232.26868319371994</v>
      </c>
      <c r="DE47" s="188">
        <f t="shared" si="64"/>
        <v>13.333333333333334</v>
      </c>
      <c r="DF47" s="150">
        <f t="shared" si="65"/>
        <v>2.3432923257176337</v>
      </c>
      <c r="DG47" s="150">
        <f t="shared" si="66"/>
        <v>0.19478938397857323</v>
      </c>
      <c r="DH47" s="150"/>
      <c r="DI47" s="150">
        <f t="shared" si="67"/>
        <v>2.3432923257176337</v>
      </c>
      <c r="DJ47" s="314">
        <f t="shared" si="117"/>
        <v>268.85249999999996</v>
      </c>
      <c r="DK47" s="456">
        <f t="shared" si="68"/>
        <v>0.19478938397857321</v>
      </c>
      <c r="DM47" s="150">
        <f t="shared" si="69"/>
        <v>11.685888926393233</v>
      </c>
      <c r="DN47" s="150">
        <f t="shared" si="70"/>
        <v>14.315553602811949</v>
      </c>
      <c r="DO47" s="150">
        <f t="shared" si="71"/>
        <v>1.9275705699841594</v>
      </c>
      <c r="DQ47" s="314">
        <f t="shared" si="72"/>
        <v>210</v>
      </c>
      <c r="DR47" s="144">
        <f t="shared" si="73"/>
        <v>232.26868319371994</v>
      </c>
      <c r="DT47">
        <f t="shared" si="74"/>
        <v>210</v>
      </c>
      <c r="DU47" s="144">
        <f t="shared" si="75"/>
        <v>232.26868319371994</v>
      </c>
      <c r="DV47" s="144"/>
      <c r="DW47" s="5">
        <f t="shared" si="118"/>
        <v>4.3053587175416421</v>
      </c>
      <c r="DX47" s="5">
        <f t="shared" si="76"/>
        <v>1.7894442003514937</v>
      </c>
      <c r="DY47" s="5">
        <f t="shared" si="119"/>
        <v>2.5159145171901485</v>
      </c>
      <c r="DZ47" s="5">
        <f t="shared" si="77"/>
        <v>2.5159145171901489</v>
      </c>
      <c r="EA47" s="150">
        <f t="shared" si="120"/>
        <v>0.41563184806428055</v>
      </c>
      <c r="EB47" s="150">
        <f t="shared" si="78"/>
        <v>35.70000000000001</v>
      </c>
      <c r="EC47" s="150">
        <f t="shared" si="79"/>
        <v>0.20913884007029873</v>
      </c>
      <c r="ED47" s="150">
        <f t="shared" si="121"/>
        <v>170.70000000000007</v>
      </c>
      <c r="EE47" s="144">
        <f t="shared" si="80"/>
        <v>0.2210489894551845</v>
      </c>
      <c r="EF47" s="5">
        <f t="shared" si="81"/>
        <v>12.47474281440115</v>
      </c>
      <c r="EG47" s="5"/>
      <c r="EH47" s="150">
        <f t="shared" si="122"/>
        <v>5.328462690643244</v>
      </c>
      <c r="EI47" s="150">
        <f t="shared" si="82"/>
        <v>0.31590812353469044</v>
      </c>
      <c r="EJ47" s="150"/>
      <c r="EK47" s="456">
        <f t="shared" si="83"/>
        <v>9.6534549794961927E-2</v>
      </c>
      <c r="EL47" s="456">
        <f t="shared" si="84"/>
        <v>2.0757120000000007</v>
      </c>
      <c r="EM47" s="456">
        <f t="shared" si="85"/>
        <v>5.3189528451361871E-2</v>
      </c>
      <c r="EN47" s="456">
        <f t="shared" si="86"/>
        <v>6.7091985378151281E-2</v>
      </c>
      <c r="EO47">
        <f t="shared" si="87"/>
        <v>5.4000000000000003E-3</v>
      </c>
      <c r="EP47" s="144">
        <f t="shared" si="123"/>
        <v>58.589528451361872</v>
      </c>
      <c r="EQ47" s="456">
        <f t="shared" si="88"/>
        <v>2.3785482227155956</v>
      </c>
      <c r="ER47" s="144">
        <f t="shared" si="124"/>
        <v>2378.5482227155958</v>
      </c>
      <c r="ES47" s="456">
        <f t="shared" si="125"/>
        <v>0.4659375</v>
      </c>
      <c r="ET47" s="456"/>
      <c r="EV47" s="144">
        <f t="shared" si="126"/>
        <v>465.9375</v>
      </c>
      <c r="EW47" s="456">
        <f t="shared" si="89"/>
        <v>4.2588771968365559E-2</v>
      </c>
      <c r="EX47" s="456">
        <f t="shared" si="90"/>
        <v>1.9959588503041848E-2</v>
      </c>
      <c r="EY47" s="456">
        <f t="shared" si="91"/>
        <v>31.876234821662514</v>
      </c>
      <c r="EZ47" s="456">
        <f t="shared" si="92"/>
        <v>32.114491491862175</v>
      </c>
      <c r="FA47" s="456">
        <f t="shared" si="93"/>
        <v>4.7600000000000003E-2</v>
      </c>
      <c r="FB47" s="144">
        <f t="shared" si="127"/>
        <v>32162.091491862178</v>
      </c>
      <c r="FC47" s="150">
        <f t="shared" si="128"/>
        <v>35.006577214577774</v>
      </c>
      <c r="FD47" s="5">
        <f t="shared" si="129"/>
        <v>35.699999999999996</v>
      </c>
      <c r="FE47" s="150">
        <f t="shared" si="130"/>
        <v>0.50490352392053883</v>
      </c>
      <c r="FF47" s="5">
        <f t="shared" si="131"/>
        <v>50.490352392053886</v>
      </c>
      <c r="FI47" s="59">
        <f t="shared" si="94"/>
        <v>-50</v>
      </c>
      <c r="FJ47">
        <f t="shared" si="95"/>
        <v>-50</v>
      </c>
      <c r="FL47">
        <f t="shared" si="181"/>
        <v>0.58436815193571945</v>
      </c>
    </row>
    <row r="48" spans="5:168">
      <c r="E48" s="147">
        <v>43</v>
      </c>
      <c r="F48" s="188">
        <f t="shared" si="182"/>
        <v>0.215</v>
      </c>
      <c r="G48" s="188"/>
      <c r="H48" s="188">
        <f t="shared" si="132"/>
        <v>36.549999999999997</v>
      </c>
      <c r="I48" s="465">
        <f t="shared" si="133"/>
        <v>11.963230212572356</v>
      </c>
      <c r="J48" s="149">
        <f t="shared" si="134"/>
        <v>8.538752019125269</v>
      </c>
      <c r="K48" s="149">
        <f t="shared" si="135"/>
        <v>20.538752019125269</v>
      </c>
      <c r="L48" s="379"/>
      <c r="M48" s="188">
        <f t="shared" si="136"/>
        <v>0.41648214421774121</v>
      </c>
      <c r="N48" s="149">
        <f t="shared" si="137"/>
        <v>166.68028896923761</v>
      </c>
      <c r="O48" s="149">
        <f t="shared" si="98"/>
        <v>36.549999999999997</v>
      </c>
      <c r="P48" s="188">
        <f t="shared" si="138"/>
        <v>0.98047228805433884</v>
      </c>
      <c r="Q48" s="188">
        <f t="shared" si="139"/>
        <v>170</v>
      </c>
      <c r="R48" s="188">
        <f t="shared" si="140"/>
        <v>0.97695524915737253</v>
      </c>
      <c r="S48" s="149">
        <f t="shared" si="141"/>
        <v>1615.6033921823337</v>
      </c>
      <c r="T48" s="149">
        <f t="shared" si="142"/>
        <v>170</v>
      </c>
      <c r="U48" s="188">
        <f t="shared" si="143"/>
        <v>14.738195095111388</v>
      </c>
      <c r="V48" s="188">
        <f t="shared" si="11"/>
        <v>1.8479367403156857</v>
      </c>
      <c r="W48" s="188">
        <f t="shared" si="144"/>
        <v>2.589054301278539</v>
      </c>
      <c r="X48" s="172">
        <f t="shared" si="145"/>
        <v>249.12482846397484</v>
      </c>
      <c r="Y48" s="379">
        <f t="shared" si="14"/>
        <v>215.65709121063864</v>
      </c>
      <c r="AA48" s="188">
        <f t="shared" si="146"/>
        <v>13.333333333333336</v>
      </c>
      <c r="AB48" s="150">
        <f t="shared" si="147"/>
        <v>2.3422626579626158</v>
      </c>
      <c r="AC48" s="150">
        <f t="shared" si="148"/>
        <v>0.19450526096083684</v>
      </c>
      <c r="AD48" s="150"/>
      <c r="AE48" s="150">
        <f t="shared" si="149"/>
        <v>2.3422626579626153</v>
      </c>
      <c r="AF48" s="314">
        <f t="shared" si="150"/>
        <v>275.37475261678986</v>
      </c>
      <c r="AG48" s="456">
        <f t="shared" si="151"/>
        <v>0.19450526096083676</v>
      </c>
      <c r="AI48" s="150">
        <f t="shared" si="152"/>
        <v>11.826786977791222</v>
      </c>
      <c r="AJ48" s="150">
        <f t="shared" si="153"/>
        <v>14.738195095111388</v>
      </c>
      <c r="AK48" s="150">
        <f t="shared" si="154"/>
        <v>2.2406383420578182</v>
      </c>
      <c r="AM48" s="314">
        <f t="shared" si="155"/>
        <v>215</v>
      </c>
      <c r="AN48" s="144">
        <f t="shared" si="156"/>
        <v>215.65709121063864</v>
      </c>
      <c r="AP48">
        <f t="shared" si="157"/>
        <v>215</v>
      </c>
      <c r="AQ48" s="144">
        <f t="shared" si="158"/>
        <v>215.65709121063864</v>
      </c>
      <c r="AR48" s="144"/>
      <c r="AS48" s="5">
        <f t="shared" si="101"/>
        <v>4.636991041594225</v>
      </c>
      <c r="AT48" s="5">
        <f t="shared" si="159"/>
        <v>1.8479367403156857</v>
      </c>
      <c r="AU48" s="5">
        <f t="shared" si="102"/>
        <v>2.7890543012785391</v>
      </c>
      <c r="AV48" s="5">
        <f t="shared" si="160"/>
        <v>2.589054301278539</v>
      </c>
      <c r="AW48" s="150">
        <f t="shared" si="103"/>
        <v>0.39852066215775006</v>
      </c>
      <c r="AX48" s="150">
        <f t="shared" si="161"/>
        <v>35.132868391344658</v>
      </c>
      <c r="AY48" s="150">
        <f t="shared" si="162"/>
        <v>0.22161799566993734</v>
      </c>
      <c r="AZ48" s="150">
        <f t="shared" si="104"/>
        <v>158.52895106798613</v>
      </c>
      <c r="BA48" s="144">
        <f t="shared" si="163"/>
        <v>0.23370964656933671</v>
      </c>
      <c r="BB48" s="5">
        <f t="shared" si="164"/>
        <v>14.201840821191174</v>
      </c>
      <c r="BC48" s="5"/>
      <c r="BD48" s="150">
        <f t="shared" si="105"/>
        <v>5.3716671648791339</v>
      </c>
      <c r="BE48" s="150">
        <f t="shared" si="165"/>
        <v>0.32996208149680306</v>
      </c>
      <c r="BF48" s="150"/>
      <c r="BG48" s="456">
        <f t="shared" si="166"/>
        <v>9.8106347642818142E-2</v>
      </c>
      <c r="BH48" s="456">
        <f t="shared" si="167"/>
        <v>1.5634630195933346</v>
      </c>
      <c r="BI48" s="456">
        <f t="shared" si="168"/>
        <v>0.11816195865399758</v>
      </c>
      <c r="BJ48" s="456">
        <f t="shared" si="169"/>
        <v>6.2316408753572333E-2</v>
      </c>
      <c r="BK48">
        <f t="shared" si="170"/>
        <v>5.3834535956575596E-3</v>
      </c>
      <c r="BL48" s="144">
        <f t="shared" si="106"/>
        <v>123.54541224965514</v>
      </c>
      <c r="BM48" s="456">
        <f t="shared" si="171"/>
        <v>1.792149619713288</v>
      </c>
      <c r="BN48" s="144">
        <f t="shared" si="107"/>
        <v>1792.1496197132881</v>
      </c>
      <c r="BO48" s="456">
        <f t="shared" si="172"/>
        <v>0.47703124999999996</v>
      </c>
      <c r="BP48" s="456"/>
      <c r="BR48" s="144">
        <f t="shared" si="109"/>
        <v>477.03124999999994</v>
      </c>
      <c r="BS48" s="456">
        <f t="shared" si="173"/>
        <v>4.328221219536095E-2</v>
      </c>
      <c r="BT48" s="456">
        <f t="shared" si="174"/>
        <v>2.1774995045140581E-2</v>
      </c>
      <c r="BU48" s="456">
        <f t="shared" si="175"/>
        <v>0.5482499999999999</v>
      </c>
      <c r="BV48" s="456">
        <f t="shared" si="176"/>
        <v>0.63221132925559576</v>
      </c>
      <c r="BW48" s="456">
        <f t="shared" si="177"/>
        <v>4.6843824521792865E-2</v>
      </c>
      <c r="BX48" s="144">
        <f t="shared" si="110"/>
        <v>679.05515377738857</v>
      </c>
      <c r="BY48" s="150">
        <f t="shared" si="45"/>
        <v>3.0717814357403319</v>
      </c>
      <c r="BZ48" s="5">
        <f t="shared" si="111"/>
        <v>36.549999999999997</v>
      </c>
      <c r="CA48" s="150">
        <f t="shared" si="112"/>
        <v>0.92247240471198322</v>
      </c>
      <c r="CB48" s="5">
        <f t="shared" si="113"/>
        <v>92.247240471198324</v>
      </c>
      <c r="CE48" s="59">
        <f t="shared" si="178"/>
        <v>-50</v>
      </c>
      <c r="CF48">
        <f t="shared" si="179"/>
        <v>-50</v>
      </c>
      <c r="CG48" s="150">
        <f t="shared" si="180"/>
        <v>0.57302479764021219</v>
      </c>
      <c r="CI48" s="147">
        <v>43</v>
      </c>
      <c r="CJ48" s="188">
        <f t="shared" si="114"/>
        <v>0.215</v>
      </c>
      <c r="CK48" s="188"/>
      <c r="CL48" s="188">
        <f t="shared" si="49"/>
        <v>36.549999999999997</v>
      </c>
      <c r="CM48" s="465">
        <f t="shared" si="50"/>
        <v>12</v>
      </c>
      <c r="CN48" s="149">
        <f t="shared" si="51"/>
        <v>8.5350000000000001</v>
      </c>
      <c r="CO48" s="379">
        <f t="shared" si="52"/>
        <v>20.535</v>
      </c>
      <c r="CP48" s="379"/>
      <c r="CQ48" s="188">
        <f t="shared" si="53"/>
        <v>0.4156318480642805</v>
      </c>
      <c r="CR48" s="149">
        <f t="shared" si="54"/>
        <v>166.85124908692478</v>
      </c>
      <c r="CS48" s="149">
        <f t="shared" si="115"/>
        <v>36.549999999999997</v>
      </c>
      <c r="CT48" s="188">
        <f t="shared" si="55"/>
        <v>0.98147793580543985</v>
      </c>
      <c r="CU48" s="188">
        <f t="shared" si="56"/>
        <v>170</v>
      </c>
      <c r="CV48" s="188">
        <f t="shared" si="57"/>
        <v>0.97795728956301287</v>
      </c>
      <c r="CW48" s="149">
        <f t="shared" si="58"/>
        <v>1620.5687388284823</v>
      </c>
      <c r="CX48" s="149">
        <f t="shared" si="59"/>
        <v>170</v>
      </c>
      <c r="CY48" s="188">
        <f t="shared" si="60"/>
        <v>14.656400117164614</v>
      </c>
      <c r="CZ48" s="188">
        <f t="shared" si="61"/>
        <v>1.8320500146455769</v>
      </c>
      <c r="DA48" s="188">
        <f t="shared" si="62"/>
        <v>2.5758172437899143</v>
      </c>
      <c r="DB48" s="172">
        <f t="shared" si="63"/>
        <v>249.37910883856827</v>
      </c>
      <c r="DC48" s="379">
        <f t="shared" si="116"/>
        <v>226.86708591014502</v>
      </c>
      <c r="DE48" s="188">
        <f t="shared" si="64"/>
        <v>13.333333333333334</v>
      </c>
      <c r="DF48" s="150">
        <f t="shared" si="65"/>
        <v>2.3432923257176337</v>
      </c>
      <c r="DG48" s="150">
        <f t="shared" si="66"/>
        <v>0.19478938397857323</v>
      </c>
      <c r="DH48" s="150"/>
      <c r="DI48" s="150">
        <f t="shared" si="67"/>
        <v>2.3432923257176337</v>
      </c>
      <c r="DJ48" s="314">
        <f t="shared" si="117"/>
        <v>275.25374999999997</v>
      </c>
      <c r="DK48" s="456">
        <f t="shared" si="68"/>
        <v>0.19478938397857321</v>
      </c>
      <c r="DM48" s="150">
        <f t="shared" si="69"/>
        <v>11.824188283828558</v>
      </c>
      <c r="DN48" s="150">
        <f t="shared" si="70"/>
        <v>14.656400117164614</v>
      </c>
      <c r="DO48" s="150">
        <f t="shared" si="71"/>
        <v>2.1800494695046515</v>
      </c>
      <c r="DQ48" s="314">
        <f t="shared" si="72"/>
        <v>215</v>
      </c>
      <c r="DR48" s="144">
        <f t="shared" si="73"/>
        <v>226.86708591014502</v>
      </c>
      <c r="DT48">
        <f t="shared" si="74"/>
        <v>215</v>
      </c>
      <c r="DU48" s="144">
        <f t="shared" si="75"/>
        <v>226.86708591014502</v>
      </c>
      <c r="DV48" s="144"/>
      <c r="DW48" s="5">
        <f t="shared" si="118"/>
        <v>4.4078672584354912</v>
      </c>
      <c r="DX48" s="5">
        <f t="shared" si="76"/>
        <v>1.8320500146455769</v>
      </c>
      <c r="DY48" s="5">
        <f t="shared" si="119"/>
        <v>2.5758172437899143</v>
      </c>
      <c r="DZ48" s="5">
        <f t="shared" si="77"/>
        <v>2.5758172437899143</v>
      </c>
      <c r="EA48" s="150">
        <f t="shared" si="120"/>
        <v>0.41563184806428055</v>
      </c>
      <c r="EB48" s="150">
        <f t="shared" si="78"/>
        <v>36.54999999999999</v>
      </c>
      <c r="EC48" s="150">
        <f t="shared" si="79"/>
        <v>0.21411833626244869</v>
      </c>
      <c r="ED48" s="150">
        <f t="shared" si="121"/>
        <v>170.7</v>
      </c>
      <c r="EE48" s="144">
        <f t="shared" si="80"/>
        <v>0.23170044302870529</v>
      </c>
      <c r="EF48" s="5">
        <f t="shared" si="81"/>
        <v>13.075850036183519</v>
      </c>
      <c r="EG48" s="5"/>
      <c r="EH48" s="150">
        <f t="shared" si="122"/>
        <v>5.4553308499442732</v>
      </c>
      <c r="EI48" s="150">
        <f t="shared" si="82"/>
        <v>0.32342974552361164</v>
      </c>
      <c r="EJ48" s="150"/>
      <c r="EK48" s="456">
        <f t="shared" si="83"/>
        <v>0.1011861579200026</v>
      </c>
      <c r="EL48" s="456">
        <f t="shared" si="84"/>
        <v>2.0757120000000002</v>
      </c>
      <c r="EM48" s="456">
        <f t="shared" si="85"/>
        <v>5.1952562673423207E-2</v>
      </c>
      <c r="EN48" s="456">
        <f t="shared" si="86"/>
        <v>6.5531706648426821E-2</v>
      </c>
      <c r="EO48">
        <f t="shared" si="87"/>
        <v>5.4000000000000003E-3</v>
      </c>
      <c r="EP48" s="144">
        <f t="shared" si="123"/>
        <v>57.352562673423208</v>
      </c>
      <c r="EQ48" s="456">
        <f t="shared" si="88"/>
        <v>2.3844287225497465</v>
      </c>
      <c r="ER48" s="144">
        <f t="shared" si="124"/>
        <v>2384.4287225497465</v>
      </c>
      <c r="ES48" s="456">
        <f t="shared" si="125"/>
        <v>0.47703124999999996</v>
      </c>
      <c r="ET48" s="456"/>
      <c r="EV48" s="144">
        <f t="shared" si="126"/>
        <v>477.03124999999994</v>
      </c>
      <c r="EW48" s="456">
        <f t="shared" si="89"/>
        <v>4.4640952023530564E-2</v>
      </c>
      <c r="EX48" s="456">
        <f t="shared" si="90"/>
        <v>2.0921360057893638E-2</v>
      </c>
      <c r="EY48" s="456">
        <f t="shared" si="91"/>
        <v>31.876234821662543</v>
      </c>
      <c r="EZ48" s="456">
        <f t="shared" si="92"/>
        <v>32.126032646910289</v>
      </c>
      <c r="FA48" s="456">
        <f t="shared" si="93"/>
        <v>4.873333333333333E-2</v>
      </c>
      <c r="FB48" s="144">
        <f t="shared" si="127"/>
        <v>32174.765980243621</v>
      </c>
      <c r="FC48" s="150">
        <f t="shared" si="128"/>
        <v>35.036225952793366</v>
      </c>
      <c r="FD48" s="5">
        <f t="shared" si="129"/>
        <v>36.549999999999997</v>
      </c>
      <c r="FE48" s="150">
        <f t="shared" si="130"/>
        <v>0.51057308181188976</v>
      </c>
      <c r="FF48" s="5">
        <f t="shared" si="131"/>
        <v>51.057308181188979</v>
      </c>
      <c r="FI48" s="59">
        <f t="shared" si="94"/>
        <v>-50</v>
      </c>
      <c r="FJ48">
        <f t="shared" si="95"/>
        <v>-50</v>
      </c>
      <c r="FL48">
        <f t="shared" si="181"/>
        <v>0.58436815193571945</v>
      </c>
    </row>
    <row r="49" spans="5:168">
      <c r="E49" s="147">
        <v>44</v>
      </c>
      <c r="F49" s="188">
        <f t="shared" si="182"/>
        <v>0.22</v>
      </c>
      <c r="G49" s="188"/>
      <c r="H49" s="188">
        <f t="shared" si="132"/>
        <v>37.4</v>
      </c>
      <c r="I49" s="465">
        <f t="shared" si="133"/>
        <v>11.962392021043607</v>
      </c>
      <c r="J49" s="149">
        <f t="shared" si="134"/>
        <v>8.5388375488731025</v>
      </c>
      <c r="K49" s="149">
        <f t="shared" si="135"/>
        <v>20.538837548873104</v>
      </c>
      <c r="L49" s="379"/>
      <c r="M49" s="188">
        <f t="shared" si="136"/>
        <v>0.4165016074634571</v>
      </c>
      <c r="N49" s="149">
        <f t="shared" si="137"/>
        <v>166.67639952312791</v>
      </c>
      <c r="O49" s="149">
        <f t="shared" si="98"/>
        <v>37.4</v>
      </c>
      <c r="P49" s="188">
        <f t="shared" si="138"/>
        <v>0.980449408959576</v>
      </c>
      <c r="Q49" s="188">
        <f t="shared" si="139"/>
        <v>170</v>
      </c>
      <c r="R49" s="188">
        <f t="shared" si="140"/>
        <v>0.97693245213190105</v>
      </c>
      <c r="S49" s="149">
        <f t="shared" si="141"/>
        <v>1573.3421962078994</v>
      </c>
      <c r="T49" s="149">
        <f t="shared" si="142"/>
        <v>170</v>
      </c>
      <c r="U49" s="188">
        <f t="shared" si="143"/>
        <v>15.081446860110896</v>
      </c>
      <c r="V49" s="188">
        <f t="shared" si="11"/>
        <v>1.8911075853701016</v>
      </c>
      <c r="W49" s="188">
        <f t="shared" si="144"/>
        <v>2.6493266982403085</v>
      </c>
      <c r="X49" s="172">
        <f t="shared" si="145"/>
        <v>249.11901458221203</v>
      </c>
      <c r="Y49" s="379">
        <f t="shared" si="14"/>
        <v>210.95113657780311</v>
      </c>
      <c r="AA49" s="188">
        <f t="shared" si="146"/>
        <v>13.333333333333334</v>
      </c>
      <c r="AB49" s="150">
        <f t="shared" si="147"/>
        <v>2.3422391965566165</v>
      </c>
      <c r="AC49" s="150">
        <f t="shared" si="148"/>
        <v>0.19449877352067216</v>
      </c>
      <c r="AD49" s="150"/>
      <c r="AE49" s="150">
        <f t="shared" si="149"/>
        <v>2.3422391965566165</v>
      </c>
      <c r="AF49" s="314">
        <f t="shared" si="150"/>
        <v>281.78163911281229</v>
      </c>
      <c r="AG49" s="456">
        <f t="shared" si="151"/>
        <v>0.19449877352067213</v>
      </c>
      <c r="AI49" s="150">
        <f t="shared" si="152"/>
        <v>11.963577298266069</v>
      </c>
      <c r="AJ49" s="150">
        <f t="shared" si="153"/>
        <v>15.081446860110896</v>
      </c>
      <c r="AK49" s="150">
        <f t="shared" si="154"/>
        <v>2.49489890872412</v>
      </c>
      <c r="AM49" s="314">
        <f t="shared" si="155"/>
        <v>220</v>
      </c>
      <c r="AN49" s="144">
        <f t="shared" si="156"/>
        <v>210.95113657780311</v>
      </c>
      <c r="AP49">
        <f t="shared" si="157"/>
        <v>220</v>
      </c>
      <c r="AQ49" s="144">
        <f t="shared" si="158"/>
        <v>210.95113657780311</v>
      </c>
      <c r="AR49" s="144"/>
      <c r="AS49" s="5">
        <f t="shared" si="101"/>
        <v>4.7404342836104103</v>
      </c>
      <c r="AT49" s="5">
        <f t="shared" si="159"/>
        <v>1.8911075853701016</v>
      </c>
      <c r="AU49" s="5">
        <f t="shared" si="102"/>
        <v>2.8493266982403087</v>
      </c>
      <c r="AV49" s="5">
        <f t="shared" si="160"/>
        <v>2.6493266982403085</v>
      </c>
      <c r="AW49" s="150">
        <f t="shared" si="103"/>
        <v>0.39893129452472781</v>
      </c>
      <c r="AX49" s="150">
        <f t="shared" si="161"/>
        <v>35.985633243677981</v>
      </c>
      <c r="AY49" s="150">
        <f t="shared" si="162"/>
        <v>0.22662464352252409</v>
      </c>
      <c r="AZ49" s="150">
        <f t="shared" si="104"/>
        <v>158.78958565290094</v>
      </c>
      <c r="BA49" s="144">
        <f t="shared" si="163"/>
        <v>0.24473156987142494</v>
      </c>
      <c r="BB49" s="5">
        <f t="shared" si="164"/>
        <v>14.847200337904036</v>
      </c>
      <c r="BC49" s="5"/>
      <c r="BD49" s="150">
        <f t="shared" si="105"/>
        <v>5.4996041874328832</v>
      </c>
      <c r="BE49" s="150">
        <f t="shared" si="165"/>
        <v>0.33753160437093505</v>
      </c>
      <c r="BF49" s="150"/>
      <c r="BG49" s="456">
        <f t="shared" si="166"/>
        <v>0.10283519714265962</v>
      </c>
      <c r="BH49" s="456">
        <f t="shared" si="167"/>
        <v>1.5649708605346269</v>
      </c>
      <c r="BI49" s="456">
        <f t="shared" si="168"/>
        <v>0.11557539284070036</v>
      </c>
      <c r="BJ49" s="456">
        <f t="shared" si="169"/>
        <v>6.0957080827483759E-2</v>
      </c>
      <c r="BK49">
        <f t="shared" si="170"/>
        <v>5.3830764094696228E-3</v>
      </c>
      <c r="BL49" s="144">
        <f t="shared" si="106"/>
        <v>120.95846925016998</v>
      </c>
      <c r="BM49" s="456">
        <f t="shared" si="171"/>
        <v>1.8005219520369111</v>
      </c>
      <c r="BN49" s="144">
        <f t="shared" si="107"/>
        <v>1800.5219520369112</v>
      </c>
      <c r="BO49" s="456">
        <f t="shared" si="172"/>
        <v>0.48812500000000003</v>
      </c>
      <c r="BP49" s="456"/>
      <c r="BR49" s="144">
        <f t="shared" si="109"/>
        <v>488.12500000000006</v>
      </c>
      <c r="BS49" s="456">
        <f t="shared" si="173"/>
        <v>4.5368469327643955E-2</v>
      </c>
      <c r="BT49" s="456">
        <f t="shared" si="174"/>
        <v>2.2785516789843484E-2</v>
      </c>
      <c r="BU49" s="456">
        <f t="shared" si="175"/>
        <v>0.56099999999999994</v>
      </c>
      <c r="BV49" s="456">
        <f t="shared" si="176"/>
        <v>0.64904976910191881</v>
      </c>
      <c r="BW49" s="456">
        <f t="shared" si="177"/>
        <v>4.7980844324903973E-2</v>
      </c>
      <c r="BX49" s="144">
        <f t="shared" si="110"/>
        <v>697.03061342682281</v>
      </c>
      <c r="BY49" s="150">
        <f t="shared" si="45"/>
        <v>3.1066360347139037</v>
      </c>
      <c r="BZ49" s="5">
        <f t="shared" si="111"/>
        <v>37.4</v>
      </c>
      <c r="CA49" s="150">
        <f t="shared" si="112"/>
        <v>0.9233055040154029</v>
      </c>
      <c r="CB49" s="5">
        <f t="shared" si="113"/>
        <v>92.330550401540293</v>
      </c>
      <c r="CE49" s="59">
        <f t="shared" si="178"/>
        <v>-50</v>
      </c>
      <c r="CF49">
        <f t="shared" si="179"/>
        <v>-50</v>
      </c>
      <c r="CG49" s="150">
        <f t="shared" si="180"/>
        <v>0.57328260114692842</v>
      </c>
      <c r="CI49" s="147">
        <v>44</v>
      </c>
      <c r="CJ49" s="188">
        <f t="shared" si="114"/>
        <v>0.22</v>
      </c>
      <c r="CK49" s="188"/>
      <c r="CL49" s="188">
        <f t="shared" si="49"/>
        <v>37.4</v>
      </c>
      <c r="CM49" s="465">
        <f t="shared" si="50"/>
        <v>12</v>
      </c>
      <c r="CN49" s="149">
        <f t="shared" si="51"/>
        <v>8.5350000000000001</v>
      </c>
      <c r="CO49" s="379">
        <f t="shared" si="52"/>
        <v>20.535</v>
      </c>
      <c r="CP49" s="379"/>
      <c r="CQ49" s="188">
        <f t="shared" si="53"/>
        <v>0.4156318480642805</v>
      </c>
      <c r="CR49" s="149">
        <f t="shared" si="54"/>
        <v>166.85124908692478</v>
      </c>
      <c r="CS49" s="149">
        <f t="shared" si="115"/>
        <v>37.4</v>
      </c>
      <c r="CT49" s="188">
        <f t="shared" si="55"/>
        <v>0.98147793580543985</v>
      </c>
      <c r="CU49" s="188">
        <f t="shared" si="56"/>
        <v>170</v>
      </c>
      <c r="CV49" s="188">
        <f t="shared" si="57"/>
        <v>0.97795728956301287</v>
      </c>
      <c r="CW49" s="149">
        <f t="shared" si="58"/>
        <v>1578.2882154293459</v>
      </c>
      <c r="CX49" s="149">
        <f t="shared" si="59"/>
        <v>170</v>
      </c>
      <c r="CY49" s="188">
        <f t="shared" si="60"/>
        <v>14.99724663151728</v>
      </c>
      <c r="CZ49" s="188">
        <f t="shared" si="61"/>
        <v>1.87465582893966</v>
      </c>
      <c r="DA49" s="188">
        <f t="shared" si="62"/>
        <v>2.6357199703896801</v>
      </c>
      <c r="DB49" s="172">
        <f t="shared" si="63"/>
        <v>249.37910883856827</v>
      </c>
      <c r="DC49" s="379">
        <f t="shared" si="116"/>
        <v>221.71101577582354</v>
      </c>
      <c r="DE49" s="188">
        <f t="shared" si="64"/>
        <v>13.333333333333334</v>
      </c>
      <c r="DF49" s="150">
        <f t="shared" si="65"/>
        <v>2.3432923257176337</v>
      </c>
      <c r="DG49" s="150">
        <f t="shared" si="66"/>
        <v>0.19478938397857323</v>
      </c>
      <c r="DH49" s="150"/>
      <c r="DI49" s="150">
        <f t="shared" si="67"/>
        <v>2.3432923257176337</v>
      </c>
      <c r="DJ49" s="314">
        <f t="shared" si="117"/>
        <v>281.65499999999992</v>
      </c>
      <c r="DK49" s="456">
        <f t="shared" si="68"/>
        <v>0.19478938397857321</v>
      </c>
      <c r="DM49" s="150">
        <f t="shared" si="69"/>
        <v>11.960888643527166</v>
      </c>
      <c r="DN49" s="150">
        <f t="shared" si="70"/>
        <v>14.99724663151728</v>
      </c>
      <c r="DO49" s="150">
        <f t="shared" si="71"/>
        <v>2.4325283690251451</v>
      </c>
      <c r="DQ49" s="314">
        <f t="shared" si="72"/>
        <v>220</v>
      </c>
      <c r="DR49" s="144">
        <f t="shared" si="73"/>
        <v>221.71101577582354</v>
      </c>
      <c r="DT49">
        <f t="shared" si="74"/>
        <v>220</v>
      </c>
      <c r="DU49" s="144">
        <f t="shared" si="75"/>
        <v>221.71101577582354</v>
      </c>
      <c r="DV49" s="144"/>
      <c r="DW49" s="5">
        <f t="shared" si="118"/>
        <v>4.5103757993293403</v>
      </c>
      <c r="DX49" s="5">
        <f t="shared" si="76"/>
        <v>1.87465582893966</v>
      </c>
      <c r="DY49" s="5">
        <f t="shared" si="119"/>
        <v>2.6357199703896805</v>
      </c>
      <c r="DZ49" s="5">
        <f t="shared" si="77"/>
        <v>2.6357199703896801</v>
      </c>
      <c r="EA49" s="150">
        <f t="shared" si="120"/>
        <v>0.4156318480642805</v>
      </c>
      <c r="EB49" s="150">
        <f t="shared" si="78"/>
        <v>37.4</v>
      </c>
      <c r="EC49" s="150">
        <f t="shared" si="79"/>
        <v>0.21909783245459871</v>
      </c>
      <c r="ED49" s="150">
        <f t="shared" si="121"/>
        <v>170.7</v>
      </c>
      <c r="EE49" s="144">
        <f t="shared" si="80"/>
        <v>0.24260251903925009</v>
      </c>
      <c r="EF49" s="5">
        <f t="shared" si="81"/>
        <v>13.691100957301948</v>
      </c>
      <c r="EG49" s="5"/>
      <c r="EH49" s="150">
        <f t="shared" si="122"/>
        <v>5.5821990092453024</v>
      </c>
      <c r="EI49" s="150">
        <f t="shared" si="82"/>
        <v>0.3309513675125329</v>
      </c>
      <c r="EJ49" s="150"/>
      <c r="EK49" s="456">
        <f t="shared" si="83"/>
        <v>0.1059472156479854</v>
      </c>
      <c r="EL49" s="456">
        <f t="shared" si="84"/>
        <v>2.0757120000000002</v>
      </c>
      <c r="EM49" s="456">
        <f t="shared" si="85"/>
        <v>5.0771822612663595E-2</v>
      </c>
      <c r="EN49" s="456">
        <f t="shared" si="86"/>
        <v>6.4042349679144392E-2</v>
      </c>
      <c r="EO49">
        <f t="shared" si="87"/>
        <v>5.4000000000000003E-3</v>
      </c>
      <c r="EP49" s="144">
        <f t="shared" si="123"/>
        <v>56.171822612663597</v>
      </c>
      <c r="EQ49" s="456">
        <f t="shared" si="88"/>
        <v>2.3906593435245509</v>
      </c>
      <c r="ER49" s="144">
        <f t="shared" si="124"/>
        <v>2390.6593435245509</v>
      </c>
      <c r="ES49" s="456">
        <f t="shared" si="125"/>
        <v>0.48812500000000003</v>
      </c>
      <c r="ET49" s="456"/>
      <c r="EV49" s="144">
        <f t="shared" si="126"/>
        <v>488.12500000000006</v>
      </c>
      <c r="EW49" s="456">
        <f t="shared" si="89"/>
        <v>4.6741418668228854E-2</v>
      </c>
      <c r="EX49" s="456">
        <f t="shared" si="90"/>
        <v>2.1905761531683124E-2</v>
      </c>
      <c r="EY49" s="456">
        <f t="shared" si="91"/>
        <v>31.876234821662543</v>
      </c>
      <c r="EZ49" s="456">
        <f t="shared" si="92"/>
        <v>32.137851153862201</v>
      </c>
      <c r="FA49" s="456">
        <f t="shared" si="93"/>
        <v>4.9866666666666663E-2</v>
      </c>
      <c r="FB49" s="144">
        <f t="shared" si="127"/>
        <v>32187.717820528866</v>
      </c>
      <c r="FC49" s="150">
        <f t="shared" si="128"/>
        <v>35.066502164053418</v>
      </c>
      <c r="FD49" s="5">
        <f t="shared" si="129"/>
        <v>37.4</v>
      </c>
      <c r="FE49" s="150">
        <f t="shared" si="130"/>
        <v>0.51610052759731584</v>
      </c>
      <c r="FF49" s="5">
        <f t="shared" si="131"/>
        <v>51.610052759731587</v>
      </c>
      <c r="FI49" s="59">
        <f t="shared" si="94"/>
        <v>-50</v>
      </c>
      <c r="FJ49">
        <f t="shared" si="95"/>
        <v>-50</v>
      </c>
      <c r="FL49">
        <f t="shared" si="181"/>
        <v>0.58436815193571956</v>
      </c>
    </row>
    <row r="50" spans="5:168">
      <c r="E50" s="147">
        <v>45</v>
      </c>
      <c r="F50" s="188">
        <f t="shared" si="182"/>
        <v>0.22500000000000001</v>
      </c>
      <c r="G50" s="188"/>
      <c r="H50" s="188">
        <f t="shared" si="132"/>
        <v>38.25</v>
      </c>
      <c r="I50" s="465">
        <f t="shared" si="133"/>
        <v>11.961553814979867</v>
      </c>
      <c r="J50" s="149">
        <f t="shared" si="134"/>
        <v>8.5389230801040963</v>
      </c>
      <c r="K50" s="149">
        <f t="shared" si="135"/>
        <v>20.538923080104098</v>
      </c>
      <c r="L50" s="379"/>
      <c r="M50" s="188">
        <f t="shared" si="136"/>
        <v>0.41652107243359449</v>
      </c>
      <c r="N50" s="149">
        <f t="shared" si="137"/>
        <v>166.67250947301076</v>
      </c>
      <c r="O50" s="149">
        <f t="shared" si="98"/>
        <v>38.25</v>
      </c>
      <c r="P50" s="188">
        <f t="shared" si="138"/>
        <v>0.98042652631182803</v>
      </c>
      <c r="Q50" s="188">
        <f t="shared" si="139"/>
        <v>170</v>
      </c>
      <c r="R50" s="188">
        <f t="shared" si="140"/>
        <v>0.9769096515661897</v>
      </c>
      <c r="S50" s="149">
        <f t="shared" si="141"/>
        <v>1532.9601612771964</v>
      </c>
      <c r="T50" s="149">
        <f t="shared" si="142"/>
        <v>170</v>
      </c>
      <c r="U50" s="188">
        <f t="shared" si="143"/>
        <v>15.424721570558708</v>
      </c>
      <c r="V50" s="188">
        <f t="shared" si="11"/>
        <v>1.9342873604650506</v>
      </c>
      <c r="W50" s="188">
        <f t="shared" si="144"/>
        <v>2.7096019180390609</v>
      </c>
      <c r="X50" s="172">
        <f t="shared" si="145"/>
        <v>249.11319982300455</v>
      </c>
      <c r="Y50" s="379">
        <f t="shared" si="14"/>
        <v>206.44567670812236</v>
      </c>
      <c r="AA50" s="188">
        <f t="shared" si="146"/>
        <v>13.333333333333334</v>
      </c>
      <c r="AB50" s="150">
        <f t="shared" si="147"/>
        <v>2.3422157352137885</v>
      </c>
      <c r="AC50" s="150">
        <f t="shared" si="148"/>
        <v>0.19449228549163267</v>
      </c>
      <c r="AD50" s="150"/>
      <c r="AE50" s="150">
        <f t="shared" si="149"/>
        <v>2.3422157352137885</v>
      </c>
      <c r="AF50" s="314">
        <f t="shared" si="150"/>
        <v>288.18865395351321</v>
      </c>
      <c r="AG50" s="456">
        <f t="shared" si="151"/>
        <v>0.19449228549163267</v>
      </c>
      <c r="AI50" s="150">
        <f t="shared" si="152"/>
        <v>12.098823848460238</v>
      </c>
      <c r="AJ50" s="150">
        <f t="shared" si="153"/>
        <v>15.424721570558708</v>
      </c>
      <c r="AK50" s="150">
        <f t="shared" si="154"/>
        <v>2.7491764720187954</v>
      </c>
      <c r="AM50" s="314">
        <f t="shared" si="155"/>
        <v>225</v>
      </c>
      <c r="AN50" s="144">
        <f t="shared" si="156"/>
        <v>206.44567670812236</v>
      </c>
      <c r="AP50">
        <f t="shared" si="157"/>
        <v>225</v>
      </c>
      <c r="AQ50" s="144">
        <f t="shared" si="158"/>
        <v>206.44567670812236</v>
      </c>
      <c r="AR50" s="144"/>
      <c r="AS50" s="5">
        <f t="shared" si="101"/>
        <v>4.8438892785041121</v>
      </c>
      <c r="AT50" s="5">
        <f t="shared" si="159"/>
        <v>1.9342873604650506</v>
      </c>
      <c r="AU50" s="5">
        <f t="shared" si="102"/>
        <v>2.9096019180390615</v>
      </c>
      <c r="AV50" s="5">
        <f t="shared" si="160"/>
        <v>2.7096019180390609</v>
      </c>
      <c r="AW50" s="150">
        <f t="shared" si="103"/>
        <v>0.39932526307917515</v>
      </c>
      <c r="AX50" s="150">
        <f t="shared" si="161"/>
        <v>36.838481721458862</v>
      </c>
      <c r="AY50" s="150">
        <f t="shared" si="162"/>
        <v>0.2316310142868081</v>
      </c>
      <c r="AZ50" s="150">
        <f t="shared" si="104"/>
        <v>159.03950442424366</v>
      </c>
      <c r="BA50" s="144">
        <f t="shared" si="163"/>
        <v>0.25600862123802143</v>
      </c>
      <c r="BB50" s="5">
        <f t="shared" si="164"/>
        <v>15.506942086629099</v>
      </c>
      <c r="BC50" s="5"/>
      <c r="BD50" s="150">
        <f t="shared" si="105"/>
        <v>5.6275595489239159</v>
      </c>
      <c r="BE50" s="150">
        <f t="shared" si="165"/>
        <v>0.3451011398841467</v>
      </c>
      <c r="BF50" s="150"/>
      <c r="BG50" s="456">
        <f t="shared" si="166"/>
        <v>0.10767605002072814</v>
      </c>
      <c r="BH50" s="456">
        <f t="shared" si="167"/>
        <v>1.5664131201452975</v>
      </c>
      <c r="BI50" s="456">
        <f t="shared" si="168"/>
        <v>0.11309902708908767</v>
      </c>
      <c r="BJ50" s="456">
        <f t="shared" si="169"/>
        <v>5.9655666318860344E-2</v>
      </c>
      <c r="BK50">
        <f t="shared" si="170"/>
        <v>5.3826992167409398E-3</v>
      </c>
      <c r="BL50" s="144">
        <f t="shared" si="106"/>
        <v>118.4817263058286</v>
      </c>
      <c r="BM50" s="456">
        <f t="shared" si="171"/>
        <v>1.8091011041603093</v>
      </c>
      <c r="BN50" s="144">
        <f t="shared" si="107"/>
        <v>1809.1011041603094</v>
      </c>
      <c r="BO50" s="456">
        <f t="shared" si="172"/>
        <v>0.49921874999999999</v>
      </c>
      <c r="BP50" s="456"/>
      <c r="BR50" s="144">
        <f t="shared" si="109"/>
        <v>499.21875</v>
      </c>
      <c r="BS50" s="456">
        <f t="shared" si="173"/>
        <v>4.7504139715027122E-2</v>
      </c>
      <c r="BT50" s="456">
        <f t="shared" si="174"/>
        <v>2.3818959349867479E-2</v>
      </c>
      <c r="BU50" s="456">
        <f t="shared" si="175"/>
        <v>0.57374999999999998</v>
      </c>
      <c r="BV50" s="456">
        <f t="shared" si="176"/>
        <v>0.66599068440527998</v>
      </c>
      <c r="BW50" s="456">
        <f t="shared" si="177"/>
        <v>4.911797562861183E-2</v>
      </c>
      <c r="BX50" s="144">
        <f t="shared" si="110"/>
        <v>715.10866003389185</v>
      </c>
      <c r="BY50" s="150">
        <f t="shared" si="45"/>
        <v>3.1419102405000294</v>
      </c>
      <c r="BZ50" s="5">
        <f t="shared" si="111"/>
        <v>38.25</v>
      </c>
      <c r="CA50" s="150">
        <f t="shared" si="112"/>
        <v>0.92409361582385197</v>
      </c>
      <c r="CB50" s="5">
        <f t="shared" si="113"/>
        <v>92.409361582385202</v>
      </c>
      <c r="CE50" s="59">
        <f t="shared" si="178"/>
        <v>-50</v>
      </c>
      <c r="CF50">
        <f t="shared" si="179"/>
        <v>-50</v>
      </c>
      <c r="CG50" s="150">
        <f t="shared" si="180"/>
        <v>0.57352894672001264</v>
      </c>
      <c r="CI50" s="147">
        <v>45</v>
      </c>
      <c r="CJ50" s="188">
        <f t="shared" si="114"/>
        <v>0.22500000000000001</v>
      </c>
      <c r="CK50" s="188"/>
      <c r="CL50" s="188">
        <f t="shared" si="49"/>
        <v>38.25</v>
      </c>
      <c r="CM50" s="465">
        <f t="shared" si="50"/>
        <v>12</v>
      </c>
      <c r="CN50" s="149">
        <f t="shared" si="51"/>
        <v>8.5350000000000001</v>
      </c>
      <c r="CO50" s="379">
        <f t="shared" si="52"/>
        <v>20.535</v>
      </c>
      <c r="CP50" s="379"/>
      <c r="CQ50" s="188">
        <f t="shared" si="53"/>
        <v>0.4156318480642805</v>
      </c>
      <c r="CR50" s="149">
        <f t="shared" si="54"/>
        <v>166.85124908692478</v>
      </c>
      <c r="CS50" s="149">
        <f t="shared" si="115"/>
        <v>38.25</v>
      </c>
      <c r="CT50" s="188">
        <f t="shared" si="55"/>
        <v>0.98147793580543985</v>
      </c>
      <c r="CU50" s="188">
        <f t="shared" si="56"/>
        <v>170</v>
      </c>
      <c r="CV50" s="188">
        <f t="shared" si="57"/>
        <v>0.97795728956301287</v>
      </c>
      <c r="CW50" s="149">
        <f t="shared" si="58"/>
        <v>1537.886968875453</v>
      </c>
      <c r="CX50" s="149">
        <f t="shared" si="59"/>
        <v>170</v>
      </c>
      <c r="CY50" s="188">
        <f t="shared" si="60"/>
        <v>15.338093145869946</v>
      </c>
      <c r="CZ50" s="188">
        <f t="shared" si="61"/>
        <v>1.9172616432337435</v>
      </c>
      <c r="DA50" s="188">
        <f t="shared" si="62"/>
        <v>2.6956226969894459</v>
      </c>
      <c r="DB50" s="172">
        <f t="shared" si="63"/>
        <v>249.37910883856827</v>
      </c>
      <c r="DC50" s="379">
        <f t="shared" si="116"/>
        <v>216.78410431413852</v>
      </c>
      <c r="DE50" s="188">
        <f t="shared" si="64"/>
        <v>13.333333333333334</v>
      </c>
      <c r="DF50" s="150">
        <f t="shared" si="65"/>
        <v>2.3432923257176337</v>
      </c>
      <c r="DG50" s="150">
        <f t="shared" si="66"/>
        <v>0.19478938397857323</v>
      </c>
      <c r="DH50" s="150"/>
      <c r="DI50" s="150">
        <f t="shared" si="67"/>
        <v>2.3432923257176337</v>
      </c>
      <c r="DJ50" s="314">
        <f t="shared" si="117"/>
        <v>288.05624999999992</v>
      </c>
      <c r="DK50" s="456">
        <f t="shared" si="68"/>
        <v>0.19478938397857321</v>
      </c>
      <c r="DM50" s="150">
        <f t="shared" si="69"/>
        <v>12.096044217606254</v>
      </c>
      <c r="DN50" s="150">
        <f t="shared" si="70"/>
        <v>15.338093145869946</v>
      </c>
      <c r="DO50" s="150">
        <f t="shared" si="71"/>
        <v>2.6850072685456388</v>
      </c>
      <c r="DQ50" s="314">
        <f t="shared" si="72"/>
        <v>225</v>
      </c>
      <c r="DR50" s="144">
        <f t="shared" si="73"/>
        <v>216.78410431413852</v>
      </c>
      <c r="DT50">
        <f t="shared" si="74"/>
        <v>225</v>
      </c>
      <c r="DU50" s="144">
        <f t="shared" si="75"/>
        <v>216.78410431413852</v>
      </c>
      <c r="DV50" s="144"/>
      <c r="DW50" s="5">
        <f t="shared" si="118"/>
        <v>4.6128843402231903</v>
      </c>
      <c r="DX50" s="5">
        <f t="shared" si="76"/>
        <v>1.9172616432337435</v>
      </c>
      <c r="DY50" s="5">
        <f t="shared" si="119"/>
        <v>2.6956226969894468</v>
      </c>
      <c r="DZ50" s="5">
        <f t="shared" si="77"/>
        <v>2.6956226969894459</v>
      </c>
      <c r="EA50" s="150">
        <f t="shared" si="120"/>
        <v>0.41563184806428044</v>
      </c>
      <c r="EB50" s="150">
        <f t="shared" si="78"/>
        <v>38.249999999999993</v>
      </c>
      <c r="EC50" s="150">
        <f t="shared" si="79"/>
        <v>0.2240773286467487</v>
      </c>
      <c r="ED50" s="150">
        <f t="shared" si="121"/>
        <v>170.69999999999996</v>
      </c>
      <c r="EE50" s="144">
        <f t="shared" si="80"/>
        <v>0.25375521748681901</v>
      </c>
      <c r="EF50" s="5">
        <f t="shared" si="81"/>
        <v>14.320495577756434</v>
      </c>
      <c r="EG50" s="5"/>
      <c r="EH50" s="150">
        <f t="shared" si="122"/>
        <v>5.7090671685463308</v>
      </c>
      <c r="EI50" s="150">
        <f t="shared" si="82"/>
        <v>0.3384729895014541</v>
      </c>
      <c r="EJ50" s="150"/>
      <c r="EK50" s="456">
        <f t="shared" si="83"/>
        <v>0.11081772297891029</v>
      </c>
      <c r="EL50" s="456">
        <f t="shared" si="84"/>
        <v>2.0757119999999998</v>
      </c>
      <c r="EM50" s="456">
        <f t="shared" si="85"/>
        <v>4.964355988793772E-2</v>
      </c>
      <c r="EN50" s="456">
        <f t="shared" si="86"/>
        <v>6.261918635294117E-2</v>
      </c>
      <c r="EO50">
        <f t="shared" si="87"/>
        <v>5.4000000000000003E-3</v>
      </c>
      <c r="EP50" s="144">
        <f t="shared" si="123"/>
        <v>55.043559887937725</v>
      </c>
      <c r="EQ50" s="456">
        <f t="shared" si="88"/>
        <v>2.3972330994797795</v>
      </c>
      <c r="ER50" s="144">
        <f t="shared" si="124"/>
        <v>2397.2330994797794</v>
      </c>
      <c r="ES50" s="456">
        <f t="shared" si="125"/>
        <v>0.49921874999999999</v>
      </c>
      <c r="ET50" s="456"/>
      <c r="EV50" s="144">
        <f t="shared" si="126"/>
        <v>499.21875</v>
      </c>
      <c r="EW50" s="456">
        <f t="shared" si="89"/>
        <v>4.8890171902460429E-2</v>
      </c>
      <c r="EX50" s="456">
        <f t="shared" si="90"/>
        <v>2.2912792924410293E-2</v>
      </c>
      <c r="EY50" s="456">
        <f t="shared" si="91"/>
        <v>31.876234821662514</v>
      </c>
      <c r="EZ50" s="456">
        <f t="shared" si="92"/>
        <v>32.14994742155951</v>
      </c>
      <c r="FA50" s="456">
        <f t="shared" si="93"/>
        <v>5.099999999999999E-2</v>
      </c>
      <c r="FB50" s="144">
        <f t="shared" si="127"/>
        <v>32200.947421559511</v>
      </c>
      <c r="FC50" s="150">
        <f t="shared" si="128"/>
        <v>35.097399271039293</v>
      </c>
      <c r="FD50" s="5">
        <f t="shared" si="129"/>
        <v>38.25</v>
      </c>
      <c r="FE50" s="150">
        <f t="shared" si="130"/>
        <v>0.52149088284174161</v>
      </c>
      <c r="FF50" s="5">
        <f t="shared" si="131"/>
        <v>52.149088284174162</v>
      </c>
      <c r="FI50" s="59">
        <f t="shared" si="94"/>
        <v>-50</v>
      </c>
      <c r="FJ50">
        <f t="shared" si="95"/>
        <v>-50</v>
      </c>
      <c r="FL50">
        <f t="shared" si="181"/>
        <v>0.58436815193571956</v>
      </c>
    </row>
    <row r="51" spans="5:168">
      <c r="E51" s="147">
        <v>46</v>
      </c>
      <c r="F51" s="188">
        <f t="shared" si="182"/>
        <v>0.23</v>
      </c>
      <c r="G51" s="188"/>
      <c r="H51" s="188">
        <f t="shared" si="132"/>
        <v>39.1</v>
      </c>
      <c r="I51" s="465">
        <f t="shared" si="133"/>
        <v>11.960715595346587</v>
      </c>
      <c r="J51" s="149">
        <f t="shared" si="134"/>
        <v>8.5390086127197353</v>
      </c>
      <c r="K51" s="149">
        <f t="shared" si="135"/>
        <v>20.539008612719734</v>
      </c>
      <c r="L51" s="379"/>
      <c r="M51" s="188">
        <f t="shared" si="136"/>
        <v>0.41654053910876726</v>
      </c>
      <c r="N51" s="149">
        <f t="shared" si="137"/>
        <v>166.66861882440907</v>
      </c>
      <c r="O51" s="149">
        <f t="shared" si="98"/>
        <v>39.1</v>
      </c>
      <c r="P51" s="188">
        <f t="shared" si="138"/>
        <v>0.98040364014358272</v>
      </c>
      <c r="Q51" s="188">
        <f t="shared" si="139"/>
        <v>170</v>
      </c>
      <c r="R51" s="188">
        <f t="shared" si="140"/>
        <v>0.97688684749260946</v>
      </c>
      <c r="S51" s="149">
        <f t="shared" si="141"/>
        <v>1494.3347349958333</v>
      </c>
      <c r="T51" s="149">
        <f t="shared" si="142"/>
        <v>170</v>
      </c>
      <c r="U51" s="188">
        <f t="shared" si="143"/>
        <v>15.768019231271051</v>
      </c>
      <c r="V51" s="188">
        <f t="shared" si="11"/>
        <v>1.9774760680797885</v>
      </c>
      <c r="W51" s="188">
        <f t="shared" si="144"/>
        <v>2.7698799614365579</v>
      </c>
      <c r="X51" s="172">
        <f t="shared" si="145"/>
        <v>249.10738419292525</v>
      </c>
      <c r="Y51" s="379">
        <f t="shared" si="14"/>
        <v>202.1281658392715</v>
      </c>
      <c r="AA51" s="188">
        <f t="shared" si="146"/>
        <v>13.333333333333334</v>
      </c>
      <c r="AB51" s="150">
        <f t="shared" si="147"/>
        <v>2.3421922739611638</v>
      </c>
      <c r="AC51" s="150">
        <f t="shared" si="148"/>
        <v>0.19448579688111498</v>
      </c>
      <c r="AD51" s="150"/>
      <c r="AE51" s="150">
        <f t="shared" si="149"/>
        <v>2.3421922739611638</v>
      </c>
      <c r="AF51" s="314">
        <f t="shared" si="150"/>
        <v>294.5957971388309</v>
      </c>
      <c r="AG51" s="456">
        <f t="shared" si="151"/>
        <v>0.19448579688111495</v>
      </c>
      <c r="AI51" s="150">
        <f t="shared" si="152"/>
        <v>12.232577833452343</v>
      </c>
      <c r="AJ51" s="150">
        <f t="shared" si="153"/>
        <v>15.768019231271051</v>
      </c>
      <c r="AK51" s="150">
        <f t="shared" si="154"/>
        <v>3.0034710355094196</v>
      </c>
      <c r="AM51" s="314">
        <f t="shared" si="155"/>
        <v>230</v>
      </c>
      <c r="AN51" s="144">
        <f t="shared" si="156"/>
        <v>202.1281658392715</v>
      </c>
      <c r="AP51">
        <f t="shared" si="157"/>
        <v>230</v>
      </c>
      <c r="AQ51" s="144">
        <f t="shared" si="158"/>
        <v>202.1281658392715</v>
      </c>
      <c r="AR51" s="144"/>
      <c r="AS51" s="5">
        <f t="shared" si="101"/>
        <v>4.9473560295163468</v>
      </c>
      <c r="AT51" s="5">
        <f t="shared" si="159"/>
        <v>1.9774760680797885</v>
      </c>
      <c r="AU51" s="5">
        <f t="shared" si="102"/>
        <v>2.9698799614365585</v>
      </c>
      <c r="AV51" s="5">
        <f t="shared" si="160"/>
        <v>2.7698799614365579</v>
      </c>
      <c r="AW51" s="150">
        <f t="shared" si="103"/>
        <v>0.39970361063202203</v>
      </c>
      <c r="AX51" s="150">
        <f t="shared" si="161"/>
        <v>37.691409663219623</v>
      </c>
      <c r="AY51" s="150">
        <f t="shared" si="162"/>
        <v>0.2366371253004213</v>
      </c>
      <c r="AZ51" s="150">
        <f t="shared" si="104"/>
        <v>159.27935912578684</v>
      </c>
      <c r="BA51" s="144">
        <f t="shared" si="163"/>
        <v>0.26754087979903018</v>
      </c>
      <c r="BB51" s="5">
        <f t="shared" si="164"/>
        <v>16.1810700993715</v>
      </c>
      <c r="BC51" s="5"/>
      <c r="BD51" s="150">
        <f t="shared" si="105"/>
        <v>5.7555330125293089</v>
      </c>
      <c r="BE51" s="150">
        <f t="shared" si="165"/>
        <v>0.35267070299689579</v>
      </c>
      <c r="BF51" s="150"/>
      <c r="BG51" s="456">
        <f t="shared" si="166"/>
        <v>0.11262894487826999</v>
      </c>
      <c r="BH51" s="456">
        <f t="shared" si="167"/>
        <v>1.5677939017736298</v>
      </c>
      <c r="BI51" s="456">
        <f t="shared" si="168"/>
        <v>0.11072596574789596</v>
      </c>
      <c r="BJ51" s="456">
        <f t="shared" si="169"/>
        <v>5.840854135207884E-2</v>
      </c>
      <c r="BK51">
        <f t="shared" si="170"/>
        <v>5.3823220179059642E-3</v>
      </c>
      <c r="BL51" s="144">
        <f t="shared" si="106"/>
        <v>116.10828776580193</v>
      </c>
      <c r="BM51" s="456">
        <f t="shared" si="171"/>
        <v>1.8178890732680648</v>
      </c>
      <c r="BN51" s="144">
        <f t="shared" si="107"/>
        <v>1817.8890732680647</v>
      </c>
      <c r="BO51" s="456">
        <f t="shared" si="172"/>
        <v>0.51031250000000006</v>
      </c>
      <c r="BP51" s="456"/>
      <c r="BR51" s="144">
        <f t="shared" si="109"/>
        <v>510.31250000000006</v>
      </c>
      <c r="BS51" s="456">
        <f t="shared" si="173"/>
        <v>4.9689240387472057E-2</v>
      </c>
      <c r="BT51" s="456">
        <f t="shared" si="174"/>
        <v>2.4875324950464937E-2</v>
      </c>
      <c r="BU51" s="456">
        <f t="shared" si="175"/>
        <v>0.58650000000000002</v>
      </c>
      <c r="BV51" s="456">
        <f t="shared" si="176"/>
        <v>0.68303447451528665</v>
      </c>
      <c r="BW51" s="456">
        <f t="shared" si="177"/>
        <v>5.0255212884292827E-2</v>
      </c>
      <c r="BX51" s="144">
        <f t="shared" si="110"/>
        <v>733.28968739957941</v>
      </c>
      <c r="BY51" s="150">
        <f t="shared" si="45"/>
        <v>3.1775995484334465</v>
      </c>
      <c r="BZ51" s="5">
        <f t="shared" si="111"/>
        <v>39.1</v>
      </c>
      <c r="CA51" s="150">
        <f t="shared" si="112"/>
        <v>0.9248396412669273</v>
      </c>
      <c r="CB51" s="5">
        <f t="shared" si="113"/>
        <v>92.483964126692726</v>
      </c>
      <c r="CE51" s="59">
        <f t="shared" si="178"/>
        <v>-50</v>
      </c>
      <c r="CF51">
        <f t="shared" si="179"/>
        <v>-50</v>
      </c>
      <c r="CG51" s="150">
        <f t="shared" si="180"/>
        <v>0.5737645816160063</v>
      </c>
      <c r="CI51" s="147">
        <v>46</v>
      </c>
      <c r="CJ51" s="188">
        <f t="shared" si="114"/>
        <v>0.23</v>
      </c>
      <c r="CK51" s="188"/>
      <c r="CL51" s="188">
        <f t="shared" si="49"/>
        <v>39.1</v>
      </c>
      <c r="CM51" s="465">
        <f t="shared" si="50"/>
        <v>12</v>
      </c>
      <c r="CN51" s="149">
        <f t="shared" si="51"/>
        <v>8.5350000000000001</v>
      </c>
      <c r="CO51" s="379">
        <f t="shared" si="52"/>
        <v>20.535</v>
      </c>
      <c r="CP51" s="379"/>
      <c r="CQ51" s="188">
        <f t="shared" si="53"/>
        <v>0.4156318480642805</v>
      </c>
      <c r="CR51" s="149">
        <f t="shared" si="54"/>
        <v>166.85124908692478</v>
      </c>
      <c r="CS51" s="149">
        <f t="shared" si="115"/>
        <v>39.1</v>
      </c>
      <c r="CT51" s="188">
        <f t="shared" si="55"/>
        <v>0.98147793580543985</v>
      </c>
      <c r="CU51" s="188">
        <f t="shared" si="56"/>
        <v>170</v>
      </c>
      <c r="CV51" s="188">
        <f t="shared" si="57"/>
        <v>0.97795728956301287</v>
      </c>
      <c r="CW51" s="149">
        <f t="shared" si="58"/>
        <v>1499.2424390806557</v>
      </c>
      <c r="CX51" s="149">
        <f t="shared" si="59"/>
        <v>170</v>
      </c>
      <c r="CY51" s="188">
        <f t="shared" si="60"/>
        <v>15.678939660222612</v>
      </c>
      <c r="CZ51" s="188">
        <f t="shared" si="61"/>
        <v>1.9598674575278265</v>
      </c>
      <c r="DA51" s="188">
        <f t="shared" si="62"/>
        <v>2.7555254235892113</v>
      </c>
      <c r="DB51" s="172">
        <f t="shared" si="63"/>
        <v>249.37910883856827</v>
      </c>
      <c r="DC51" s="379">
        <f t="shared" si="116"/>
        <v>212.07140639426598</v>
      </c>
      <c r="DE51" s="188">
        <f t="shared" si="64"/>
        <v>13.333333333333334</v>
      </c>
      <c r="DF51" s="150">
        <f t="shared" si="65"/>
        <v>2.3432923257176337</v>
      </c>
      <c r="DG51" s="150">
        <f t="shared" si="66"/>
        <v>0.19478938397857323</v>
      </c>
      <c r="DH51" s="150"/>
      <c r="DI51" s="150">
        <f t="shared" si="67"/>
        <v>2.3432923257176337</v>
      </c>
      <c r="DJ51" s="314">
        <f t="shared" si="117"/>
        <v>294.45749999999992</v>
      </c>
      <c r="DK51" s="456">
        <f t="shared" si="68"/>
        <v>0.19478938397857321</v>
      </c>
      <c r="DM51" s="150">
        <f t="shared" si="69"/>
        <v>12.229706222379763</v>
      </c>
      <c r="DN51" s="150">
        <f t="shared" si="70"/>
        <v>15.678939660222612</v>
      </c>
      <c r="DO51" s="150">
        <f t="shared" si="71"/>
        <v>2.9374861680661319</v>
      </c>
      <c r="DQ51" s="314">
        <f t="shared" si="72"/>
        <v>230</v>
      </c>
      <c r="DR51" s="144">
        <f t="shared" si="73"/>
        <v>212.07140639426598</v>
      </c>
      <c r="DT51">
        <f t="shared" si="74"/>
        <v>230</v>
      </c>
      <c r="DU51" s="144">
        <f t="shared" si="75"/>
        <v>212.07140639426598</v>
      </c>
      <c r="DV51" s="144"/>
      <c r="DW51" s="5">
        <f t="shared" si="118"/>
        <v>4.7153928811170376</v>
      </c>
      <c r="DX51" s="5">
        <f t="shared" si="76"/>
        <v>1.9598674575278265</v>
      </c>
      <c r="DY51" s="5">
        <f t="shared" si="119"/>
        <v>2.7555254235892113</v>
      </c>
      <c r="DZ51" s="5">
        <f t="shared" si="77"/>
        <v>2.7555254235892113</v>
      </c>
      <c r="EA51" s="150">
        <f t="shared" si="120"/>
        <v>0.4156318480642805</v>
      </c>
      <c r="EB51" s="150">
        <f t="shared" si="78"/>
        <v>39.1</v>
      </c>
      <c r="EC51" s="150">
        <f t="shared" si="79"/>
        <v>0.22905682483889866</v>
      </c>
      <c r="ED51" s="150">
        <f t="shared" si="121"/>
        <v>170.7</v>
      </c>
      <c r="EE51" s="144">
        <f t="shared" si="80"/>
        <v>0.26515853837141184</v>
      </c>
      <c r="EF51" s="5">
        <f t="shared" si="81"/>
        <v>14.964033897546964</v>
      </c>
      <c r="EG51" s="5"/>
      <c r="EH51" s="150">
        <f t="shared" si="122"/>
        <v>5.8359353278473618</v>
      </c>
      <c r="EI51" s="150">
        <f t="shared" si="82"/>
        <v>0.3459946114903753</v>
      </c>
      <c r="EJ51" s="150"/>
      <c r="EK51" s="456">
        <f t="shared" si="83"/>
        <v>0.11579767991277744</v>
      </c>
      <c r="EL51" s="456">
        <f t="shared" si="84"/>
        <v>2.0757120000000002</v>
      </c>
      <c r="EM51" s="456">
        <f t="shared" si="85"/>
        <v>4.8564352064286907E-2</v>
      </c>
      <c r="EN51" s="456">
        <f t="shared" si="86"/>
        <v>6.1257899693094628E-2</v>
      </c>
      <c r="EO51">
        <f t="shared" si="87"/>
        <v>5.4000000000000003E-3</v>
      </c>
      <c r="EP51" s="144">
        <f t="shared" si="123"/>
        <v>53.964352064286906</v>
      </c>
      <c r="EQ51" s="456">
        <f t="shared" si="88"/>
        <v>2.4041437843704707</v>
      </c>
      <c r="ER51" s="144">
        <f t="shared" si="124"/>
        <v>2404.1437843704707</v>
      </c>
      <c r="ES51" s="456">
        <f t="shared" si="125"/>
        <v>0.51031250000000006</v>
      </c>
      <c r="ET51" s="456"/>
      <c r="EV51" s="144">
        <f t="shared" si="126"/>
        <v>510.31250000000006</v>
      </c>
      <c r="EW51" s="456">
        <f t="shared" si="89"/>
        <v>5.1087211726225344E-2</v>
      </c>
      <c r="EX51" s="456">
        <f t="shared" si="90"/>
        <v>2.3942454236075151E-2</v>
      </c>
      <c r="EY51" s="456">
        <f t="shared" si="91"/>
        <v>31.876234821662489</v>
      </c>
      <c r="EZ51" s="456">
        <f t="shared" si="92"/>
        <v>32.162321868766583</v>
      </c>
      <c r="FA51" s="456">
        <f t="shared" si="93"/>
        <v>5.2133333333333337E-2</v>
      </c>
      <c r="FB51" s="144">
        <f t="shared" si="127"/>
        <v>32214.455202099914</v>
      </c>
      <c r="FC51" s="150">
        <f t="shared" si="128"/>
        <v>35.128911486470386</v>
      </c>
      <c r="FD51" s="5">
        <f t="shared" si="129"/>
        <v>39.1</v>
      </c>
      <c r="FE51" s="150">
        <f t="shared" si="130"/>
        <v>0.52674893403396739</v>
      </c>
      <c r="FF51" s="5">
        <f t="shared" si="131"/>
        <v>52.674893403396737</v>
      </c>
      <c r="FI51" s="59">
        <f t="shared" si="94"/>
        <v>-50</v>
      </c>
      <c r="FJ51">
        <f t="shared" si="95"/>
        <v>-50</v>
      </c>
      <c r="FL51">
        <f t="shared" si="181"/>
        <v>0.58436815193571956</v>
      </c>
    </row>
    <row r="52" spans="5:168">
      <c r="E52" s="147">
        <v>47</v>
      </c>
      <c r="F52" s="188">
        <f t="shared" si="182"/>
        <v>0.23499999999999999</v>
      </c>
      <c r="G52" s="188"/>
      <c r="H52" s="188">
        <f t="shared" si="132"/>
        <v>39.949999999999996</v>
      </c>
      <c r="I52" s="465">
        <f t="shared" si="133"/>
        <v>11.959877363025567</v>
      </c>
      <c r="J52" s="149">
        <f t="shared" si="134"/>
        <v>8.5390941466300436</v>
      </c>
      <c r="K52" s="149">
        <f t="shared" si="135"/>
        <v>20.539094146630042</v>
      </c>
      <c r="L52" s="379"/>
      <c r="M52" s="188">
        <f t="shared" si="136"/>
        <v>0.41656000747128286</v>
      </c>
      <c r="N52" s="149">
        <f t="shared" si="137"/>
        <v>166.66472758236227</v>
      </c>
      <c r="O52" s="149">
        <f t="shared" si="98"/>
        <v>39.949999999999996</v>
      </c>
      <c r="P52" s="188">
        <f t="shared" si="138"/>
        <v>0.98038075048448392</v>
      </c>
      <c r="Q52" s="188">
        <f t="shared" si="139"/>
        <v>170</v>
      </c>
      <c r="R52" s="188">
        <f t="shared" si="140"/>
        <v>0.97686403994069737</v>
      </c>
      <c r="S52" s="149">
        <f t="shared" si="141"/>
        <v>1457.3537949681922</v>
      </c>
      <c r="T52" s="149">
        <f t="shared" si="142"/>
        <v>170</v>
      </c>
      <c r="U52" s="188">
        <f t="shared" si="143"/>
        <v>16.111339847066318</v>
      </c>
      <c r="V52" s="188">
        <f t="shared" si="11"/>
        <v>2.0206737106947887</v>
      </c>
      <c r="W52" s="188">
        <f t="shared" si="144"/>
        <v>2.8301608291948623</v>
      </c>
      <c r="X52" s="172">
        <f t="shared" si="145"/>
        <v>249.10156769797015</v>
      </c>
      <c r="Y52" s="379">
        <f t="shared" si="14"/>
        <v>197.98708354082169</v>
      </c>
      <c r="AA52" s="188">
        <f t="shared" si="146"/>
        <v>13.333333333333334</v>
      </c>
      <c r="AB52" s="150">
        <f t="shared" si="147"/>
        <v>2.3421688128234313</v>
      </c>
      <c r="AC52" s="150">
        <f t="shared" si="148"/>
        <v>0.19447930769587013</v>
      </c>
      <c r="AD52" s="150"/>
      <c r="AE52" s="150">
        <f t="shared" si="149"/>
        <v>2.3421688128234313</v>
      </c>
      <c r="AF52" s="314">
        <f t="shared" si="150"/>
        <v>301.00306866870898</v>
      </c>
      <c r="AG52" s="456">
        <f t="shared" si="151"/>
        <v>0.19447930769587018</v>
      </c>
      <c r="AI52" s="150">
        <f t="shared" si="152"/>
        <v>12.364887689653996</v>
      </c>
      <c r="AJ52" s="150">
        <f t="shared" si="153"/>
        <v>16.111339847066318</v>
      </c>
      <c r="AK52" s="150">
        <f t="shared" si="154"/>
        <v>3.2577826027651735</v>
      </c>
      <c r="AM52" s="314">
        <f t="shared" si="155"/>
        <v>235</v>
      </c>
      <c r="AN52" s="144">
        <f t="shared" si="156"/>
        <v>197.98708354082169</v>
      </c>
      <c r="AP52">
        <f t="shared" si="157"/>
        <v>235</v>
      </c>
      <c r="AQ52" s="144">
        <f t="shared" si="158"/>
        <v>197.98708354082169</v>
      </c>
      <c r="AR52" s="144"/>
      <c r="AS52" s="5">
        <f t="shared" si="101"/>
        <v>5.0508345398896513</v>
      </c>
      <c r="AT52" s="5">
        <f t="shared" si="159"/>
        <v>2.0206737106947887</v>
      </c>
      <c r="AU52" s="5">
        <f t="shared" si="102"/>
        <v>3.0301608291948625</v>
      </c>
      <c r="AV52" s="5">
        <f t="shared" si="160"/>
        <v>2.8301608291948623</v>
      </c>
      <c r="AW52" s="150">
        <f t="shared" si="103"/>
        <v>0.40006729476807129</v>
      </c>
      <c r="AX52" s="150">
        <f t="shared" si="161"/>
        <v>38.544413247598392</v>
      </c>
      <c r="AY52" s="150">
        <f t="shared" si="162"/>
        <v>0.24164299248403667</v>
      </c>
      <c r="AZ52" s="150">
        <f t="shared" si="104"/>
        <v>159.50974969880286</v>
      </c>
      <c r="BA52" s="144">
        <f t="shared" si="163"/>
        <v>0.27932842471369135</v>
      </c>
      <c r="BB52" s="5">
        <f t="shared" si="164"/>
        <v>16.869588409629905</v>
      </c>
      <c r="BC52" s="5"/>
      <c r="BD52" s="150">
        <f t="shared" si="105"/>
        <v>5.8835243611509682</v>
      </c>
      <c r="BE52" s="150">
        <f t="shared" si="165"/>
        <v>0.3602403074602844</v>
      </c>
      <c r="BF52" s="150"/>
      <c r="BG52" s="456">
        <f t="shared" si="166"/>
        <v>0.11769392028807349</v>
      </c>
      <c r="BH52" s="456">
        <f t="shared" si="167"/>
        <v>1.5691169734120256</v>
      </c>
      <c r="BI52" s="456">
        <f t="shared" si="168"/>
        <v>0.1084498767283987</v>
      </c>
      <c r="BJ52" s="456">
        <f t="shared" si="169"/>
        <v>5.7212378221311533E-2</v>
      </c>
      <c r="BK52">
        <f t="shared" si="170"/>
        <v>5.3819448133615054E-3</v>
      </c>
      <c r="BL52" s="144">
        <f t="shared" si="106"/>
        <v>113.83182154176021</v>
      </c>
      <c r="BM52" s="456">
        <f t="shared" si="171"/>
        <v>1.8268878603847634</v>
      </c>
      <c r="BN52" s="144">
        <f t="shared" si="107"/>
        <v>1826.8878603847634</v>
      </c>
      <c r="BO52" s="456">
        <f t="shared" si="172"/>
        <v>0.52140624999999985</v>
      </c>
      <c r="BP52" s="456"/>
      <c r="BR52" s="144">
        <f t="shared" si="109"/>
        <v>521.40624999999989</v>
      </c>
      <c r="BS52" s="456">
        <f t="shared" si="173"/>
        <v>5.192378836238537E-2</v>
      </c>
      <c r="BT52" s="456">
        <f t="shared" si="174"/>
        <v>2.5954615823816047E-2</v>
      </c>
      <c r="BU52" s="456">
        <f t="shared" si="175"/>
        <v>0.59924999999999995</v>
      </c>
      <c r="BV52" s="456">
        <f t="shared" si="176"/>
        <v>0.70018154288694312</v>
      </c>
      <c r="BW52" s="456">
        <f t="shared" si="177"/>
        <v>5.1392550996797862E-2</v>
      </c>
      <c r="BX52" s="144">
        <f t="shared" si="110"/>
        <v>751.57409388374094</v>
      </c>
      <c r="BY52" s="150">
        <f t="shared" si="45"/>
        <v>3.2137000258102644</v>
      </c>
      <c r="BZ52" s="5">
        <f t="shared" si="111"/>
        <v>39.949999999999996</v>
      </c>
      <c r="CA52" s="150">
        <f t="shared" si="112"/>
        <v>0.92554623389819246</v>
      </c>
      <c r="CB52" s="5">
        <f t="shared" si="113"/>
        <v>92.554623389819241</v>
      </c>
      <c r="CE52" s="59">
        <f t="shared" si="178"/>
        <v>-50</v>
      </c>
      <c r="CF52">
        <f t="shared" si="179"/>
        <v>-50</v>
      </c>
      <c r="CG52" s="150">
        <f t="shared" si="180"/>
        <v>0.57399018949514902</v>
      </c>
      <c r="CI52" s="147">
        <v>47</v>
      </c>
      <c r="CJ52" s="188">
        <f t="shared" si="114"/>
        <v>0.23499999999999999</v>
      </c>
      <c r="CK52" s="188"/>
      <c r="CL52" s="188">
        <f t="shared" si="49"/>
        <v>39.949999999999996</v>
      </c>
      <c r="CM52" s="465">
        <f t="shared" si="50"/>
        <v>12</v>
      </c>
      <c r="CN52" s="149">
        <f t="shared" si="51"/>
        <v>8.5350000000000001</v>
      </c>
      <c r="CO52" s="379">
        <f t="shared" si="52"/>
        <v>20.535</v>
      </c>
      <c r="CP52" s="379"/>
      <c r="CQ52" s="188">
        <f t="shared" si="53"/>
        <v>0.4156318480642805</v>
      </c>
      <c r="CR52" s="149">
        <f t="shared" si="54"/>
        <v>166.85124908692478</v>
      </c>
      <c r="CS52" s="149">
        <f t="shared" si="115"/>
        <v>39.949999999999996</v>
      </c>
      <c r="CT52" s="188">
        <f t="shared" si="55"/>
        <v>0.98147793580543985</v>
      </c>
      <c r="CU52" s="188">
        <f t="shared" si="56"/>
        <v>170</v>
      </c>
      <c r="CV52" s="188">
        <f t="shared" si="57"/>
        <v>0.97795728956301287</v>
      </c>
      <c r="CW52" s="149">
        <f t="shared" si="58"/>
        <v>1462.2424966240364</v>
      </c>
      <c r="CX52" s="149">
        <f t="shared" si="59"/>
        <v>170</v>
      </c>
      <c r="CY52" s="188">
        <f t="shared" si="60"/>
        <v>16.019786174575277</v>
      </c>
      <c r="CZ52" s="188">
        <f t="shared" si="61"/>
        <v>2.0024732718219096</v>
      </c>
      <c r="DA52" s="188">
        <f t="shared" si="62"/>
        <v>2.8154281501889766</v>
      </c>
      <c r="DB52" s="172">
        <f t="shared" si="63"/>
        <v>249.37910883856827</v>
      </c>
      <c r="DC52" s="379">
        <f t="shared" si="116"/>
        <v>207.55924881140928</v>
      </c>
      <c r="DE52" s="188">
        <f t="shared" si="64"/>
        <v>13.333333333333334</v>
      </c>
      <c r="DF52" s="150">
        <f t="shared" si="65"/>
        <v>2.3432923257176337</v>
      </c>
      <c r="DG52" s="150">
        <f t="shared" si="66"/>
        <v>0.19478938397857323</v>
      </c>
      <c r="DH52" s="150"/>
      <c r="DI52" s="150">
        <f t="shared" si="67"/>
        <v>2.3432923257176337</v>
      </c>
      <c r="DJ52" s="314">
        <f t="shared" si="117"/>
        <v>300.85874999999987</v>
      </c>
      <c r="DK52" s="456">
        <f t="shared" si="68"/>
        <v>0.19478938397857321</v>
      </c>
      <c r="DM52" s="150">
        <f t="shared" si="69"/>
        <v>12.361923105129835</v>
      </c>
      <c r="DN52" s="150">
        <f t="shared" si="70"/>
        <v>16.019786174575277</v>
      </c>
      <c r="DO52" s="150">
        <f t="shared" si="71"/>
        <v>3.1899650675866242</v>
      </c>
      <c r="DQ52" s="314">
        <f t="shared" si="72"/>
        <v>235</v>
      </c>
      <c r="DR52" s="144">
        <f t="shared" si="73"/>
        <v>207.55924881140928</v>
      </c>
      <c r="DT52">
        <f t="shared" si="74"/>
        <v>235</v>
      </c>
      <c r="DU52" s="144">
        <f t="shared" si="75"/>
        <v>207.55924881140928</v>
      </c>
      <c r="DV52" s="144"/>
      <c r="DW52" s="5">
        <f t="shared" si="118"/>
        <v>4.8179014220108858</v>
      </c>
      <c r="DX52" s="5">
        <f t="shared" si="76"/>
        <v>2.0024732718219096</v>
      </c>
      <c r="DY52" s="5">
        <f t="shared" si="119"/>
        <v>2.8154281501889762</v>
      </c>
      <c r="DZ52" s="5">
        <f t="shared" si="77"/>
        <v>2.8154281501889766</v>
      </c>
      <c r="EA52" s="150">
        <f t="shared" si="120"/>
        <v>0.41563184806428055</v>
      </c>
      <c r="EB52" s="150">
        <f t="shared" si="78"/>
        <v>39.950000000000003</v>
      </c>
      <c r="EC52" s="150">
        <f t="shared" si="79"/>
        <v>0.23403632103104857</v>
      </c>
      <c r="ED52" s="150">
        <f t="shared" si="121"/>
        <v>170.70000000000005</v>
      </c>
      <c r="EE52" s="144">
        <f t="shared" si="80"/>
        <v>0.27681248169302863</v>
      </c>
      <c r="EF52" s="5">
        <f t="shared" si="81"/>
        <v>15.621715916673551</v>
      </c>
      <c r="EG52" s="5"/>
      <c r="EH52" s="150">
        <f t="shared" si="122"/>
        <v>5.9628034871483919</v>
      </c>
      <c r="EI52" s="150">
        <f t="shared" si="82"/>
        <v>0.35351623347929645</v>
      </c>
      <c r="EJ52" s="150"/>
      <c r="EK52" s="456">
        <f t="shared" si="83"/>
        <v>0.12088708644958668</v>
      </c>
      <c r="EL52" s="456">
        <f t="shared" si="84"/>
        <v>2.0757120000000002</v>
      </c>
      <c r="EM52" s="456">
        <f t="shared" si="85"/>
        <v>4.7531067977812723E-2</v>
      </c>
      <c r="EN52" s="456">
        <f t="shared" si="86"/>
        <v>5.9954540125156455E-2</v>
      </c>
      <c r="EO52">
        <f t="shared" si="87"/>
        <v>5.4000000000000003E-3</v>
      </c>
      <c r="EP52" s="144">
        <f t="shared" si="123"/>
        <v>52.931067977812724</v>
      </c>
      <c r="EQ52" s="456">
        <f t="shared" si="88"/>
        <v>2.4113858945203246</v>
      </c>
      <c r="ER52" s="144">
        <f t="shared" si="124"/>
        <v>2411.3858945203247</v>
      </c>
      <c r="ES52" s="456">
        <f t="shared" si="125"/>
        <v>0.52140624999999985</v>
      </c>
      <c r="ET52" s="456"/>
      <c r="EV52" s="144">
        <f t="shared" si="126"/>
        <v>521.40624999999989</v>
      </c>
      <c r="EW52" s="456">
        <f t="shared" si="89"/>
        <v>5.3332538139523537E-2</v>
      </c>
      <c r="EX52" s="456">
        <f t="shared" si="90"/>
        <v>2.4994745466677688E-2</v>
      </c>
      <c r="EY52" s="456">
        <f t="shared" si="91"/>
        <v>31.876234821662543</v>
      </c>
      <c r="EZ52" s="456">
        <f t="shared" si="92"/>
        <v>32.174974924207092</v>
      </c>
      <c r="FA52" s="456">
        <f t="shared" si="93"/>
        <v>5.326666666666667E-2</v>
      </c>
      <c r="FB52" s="144">
        <f t="shared" si="127"/>
        <v>32228.241590873757</v>
      </c>
      <c r="FC52" s="150">
        <f t="shared" si="128"/>
        <v>35.161033735394085</v>
      </c>
      <c r="FD52" s="5">
        <f t="shared" si="129"/>
        <v>39.949999999999996</v>
      </c>
      <c r="FE52" s="150">
        <f t="shared" si="130"/>
        <v>0.53187924614029936</v>
      </c>
      <c r="FF52" s="5">
        <f t="shared" si="131"/>
        <v>53.187924614029939</v>
      </c>
      <c r="FI52" s="59">
        <f t="shared" si="94"/>
        <v>-50</v>
      </c>
      <c r="FJ52">
        <f t="shared" si="95"/>
        <v>-50</v>
      </c>
      <c r="FL52">
        <f t="shared" si="181"/>
        <v>0.58436815193571945</v>
      </c>
    </row>
    <row r="53" spans="5:168">
      <c r="E53" s="147">
        <v>48</v>
      </c>
      <c r="F53" s="188">
        <f t="shared" si="182"/>
        <v>0.24</v>
      </c>
      <c r="G53" s="188"/>
      <c r="H53" s="188">
        <f t="shared" si="132"/>
        <v>40.799999999999997</v>
      </c>
      <c r="I53" s="465">
        <f t="shared" si="133"/>
        <v>11.959039118823826</v>
      </c>
      <c r="J53" s="149">
        <f t="shared" si="134"/>
        <v>8.5391796817526693</v>
      </c>
      <c r="K53" s="149">
        <f t="shared" si="135"/>
        <v>20.539179681752671</v>
      </c>
      <c r="L53" s="379"/>
      <c r="M53" s="188">
        <f t="shared" si="136"/>
        <v>0.41657947750496227</v>
      </c>
      <c r="N53" s="149">
        <f t="shared" si="137"/>
        <v>166.66083575147752</v>
      </c>
      <c r="O53" s="149">
        <f t="shared" si="98"/>
        <v>40.799999999999997</v>
      </c>
      <c r="P53" s="188">
        <f t="shared" si="138"/>
        <v>0.9803578573616325</v>
      </c>
      <c r="Q53" s="188">
        <f t="shared" si="139"/>
        <v>170</v>
      </c>
      <c r="R53" s="188">
        <f t="shared" si="140"/>
        <v>0.97684122893745762</v>
      </c>
      <c r="S53" s="149">
        <f t="shared" si="141"/>
        <v>1421.9145623407824</v>
      </c>
      <c r="T53" s="149">
        <f t="shared" si="142"/>
        <v>170</v>
      </c>
      <c r="U53" s="188">
        <f t="shared" si="143"/>
        <v>16.454683422765015</v>
      </c>
      <c r="V53" s="188">
        <f t="shared" si="11"/>
        <v>2.0638802907917073</v>
      </c>
      <c r="W53" s="188">
        <f t="shared" si="144"/>
        <v>2.8904445220763324</v>
      </c>
      <c r="X53" s="172">
        <f t="shared" si="145"/>
        <v>249.09575034361939</v>
      </c>
      <c r="Y53" s="379">
        <f t="shared" si="14"/>
        <v>194.01183206449235</v>
      </c>
      <c r="AA53" s="188">
        <f t="shared" si="146"/>
        <v>13.333333333333334</v>
      </c>
      <c r="AB53" s="150">
        <f t="shared" si="147"/>
        <v>2.3421453518231856</v>
      </c>
      <c r="AC53" s="150">
        <f t="shared" si="148"/>
        <v>0.1944728179420723</v>
      </c>
      <c r="AD53" s="150"/>
      <c r="AE53" s="150">
        <f t="shared" si="149"/>
        <v>2.3421453518231856</v>
      </c>
      <c r="AF53" s="314">
        <f t="shared" si="150"/>
        <v>307.41046854309604</v>
      </c>
      <c r="AG53" s="456">
        <f t="shared" si="151"/>
        <v>0.19447281794207225</v>
      </c>
      <c r="AI53" s="150">
        <f t="shared" si="152"/>
        <v>12.495799289957644</v>
      </c>
      <c r="AJ53" s="150">
        <f t="shared" si="153"/>
        <v>16.454683422765015</v>
      </c>
      <c r="AK53" s="150">
        <f t="shared" si="154"/>
        <v>3.5121111773568003</v>
      </c>
      <c r="AM53" s="314">
        <f t="shared" si="155"/>
        <v>240</v>
      </c>
      <c r="AN53" s="144">
        <f t="shared" si="156"/>
        <v>194.01183206449235</v>
      </c>
      <c r="AP53">
        <f t="shared" si="157"/>
        <v>240</v>
      </c>
      <c r="AQ53" s="144">
        <f t="shared" si="158"/>
        <v>194.01183206449235</v>
      </c>
      <c r="AR53" s="144"/>
      <c r="AS53" s="5">
        <f t="shared" si="101"/>
        <v>5.1543248128680395</v>
      </c>
      <c r="AT53" s="5">
        <f t="shared" si="159"/>
        <v>2.0638802907917073</v>
      </c>
      <c r="AU53" s="5">
        <f t="shared" si="102"/>
        <v>3.0904445220763321</v>
      </c>
      <c r="AV53" s="5">
        <f t="shared" si="160"/>
        <v>2.8904445220763324</v>
      </c>
      <c r="AW53" s="150">
        <f t="shared" si="103"/>
        <v>0.40041719637829637</v>
      </c>
      <c r="AX53" s="150">
        <f t="shared" si="161"/>
        <v>39.397488959290051</v>
      </c>
      <c r="AY53" s="150">
        <f t="shared" si="162"/>
        <v>0.24664863048322547</v>
      </c>
      <c r="AZ53" s="150">
        <f t="shared" si="104"/>
        <v>159.73122932855478</v>
      </c>
      <c r="BA53" s="144">
        <f t="shared" si="163"/>
        <v>0.29137133517059399</v>
      </c>
      <c r="BB53" s="5">
        <f t="shared" si="164"/>
        <v>17.572501052397165</v>
      </c>
      <c r="BC53" s="5"/>
      <c r="BD53" s="150">
        <f t="shared" si="105"/>
        <v>6.0115333954274055</v>
      </c>
      <c r="BE53" s="150">
        <f t="shared" si="165"/>
        <v>0.36780996593621657</v>
      </c>
      <c r="BF53" s="150"/>
      <c r="BG53" s="456">
        <f t="shared" si="166"/>
        <v>0.12287101479875243</v>
      </c>
      <c r="BH53" s="456">
        <f t="shared" si="167"/>
        <v>1.5703858012707215</v>
      </c>
      <c r="BI53" s="456">
        <f t="shared" si="168"/>
        <v>0.10626493508416657</v>
      </c>
      <c r="BJ53" s="456">
        <f t="shared" si="169"/>
        <v>5.6064115739873473E-2</v>
      </c>
      <c r="BK53">
        <f t="shared" si="170"/>
        <v>5.3815676034707216E-3</v>
      </c>
      <c r="BL53" s="144">
        <f t="shared" si="106"/>
        <v>111.64650268763729</v>
      </c>
      <c r="BM53" s="456">
        <f t="shared" si="171"/>
        <v>1.8360994750151471</v>
      </c>
      <c r="BN53" s="144">
        <f t="shared" si="107"/>
        <v>1836.0994750151472</v>
      </c>
      <c r="BO53" s="456">
        <f t="shared" si="172"/>
        <v>0.53249999999999997</v>
      </c>
      <c r="BP53" s="456"/>
      <c r="BR53" s="144">
        <f t="shared" si="109"/>
        <v>532.5</v>
      </c>
      <c r="BS53" s="456">
        <f t="shared" si="173"/>
        <v>5.4207800646508431E-2</v>
      </c>
      <c r="BT53" s="456">
        <f t="shared" si="174"/>
        <v>2.705683420840016E-2</v>
      </c>
      <c r="BU53" s="456">
        <f t="shared" si="175"/>
        <v>0.61199999999999999</v>
      </c>
      <c r="BV53" s="456">
        <f t="shared" si="176"/>
        <v>0.71743229711272538</v>
      </c>
      <c r="BW53" s="456">
        <f t="shared" si="177"/>
        <v>5.2529985279053407E-2</v>
      </c>
      <c r="BX53" s="144">
        <f t="shared" si="110"/>
        <v>769.96228239177879</v>
      </c>
      <c r="BY53" s="150">
        <f t="shared" si="45"/>
        <v>3.2502082600945625</v>
      </c>
      <c r="BZ53" s="5">
        <f t="shared" si="111"/>
        <v>40.799999999999997</v>
      </c>
      <c r="CA53" s="150">
        <f t="shared" si="112"/>
        <v>0.9262158253394922</v>
      </c>
      <c r="CB53" s="5">
        <f t="shared" si="113"/>
        <v>92.621582533949223</v>
      </c>
      <c r="CE53" s="59">
        <f t="shared" si="178"/>
        <v>-50</v>
      </c>
      <c r="CF53">
        <f t="shared" si="179"/>
        <v>-50</v>
      </c>
      <c r="CG53" s="150">
        <f t="shared" si="180"/>
        <v>0.57420639704599408</v>
      </c>
      <c r="CI53" s="147">
        <v>48</v>
      </c>
      <c r="CJ53" s="188">
        <f t="shared" si="114"/>
        <v>0.24</v>
      </c>
      <c r="CK53" s="188"/>
      <c r="CL53" s="188">
        <f t="shared" si="49"/>
        <v>40.799999999999997</v>
      </c>
      <c r="CM53" s="465">
        <f t="shared" si="50"/>
        <v>12</v>
      </c>
      <c r="CN53" s="149">
        <f t="shared" si="51"/>
        <v>8.5350000000000001</v>
      </c>
      <c r="CO53" s="379">
        <f t="shared" si="52"/>
        <v>20.535</v>
      </c>
      <c r="CP53" s="379"/>
      <c r="CQ53" s="188">
        <f t="shared" si="53"/>
        <v>0.4156318480642805</v>
      </c>
      <c r="CR53" s="149">
        <f t="shared" si="54"/>
        <v>166.85124908692478</v>
      </c>
      <c r="CS53" s="149">
        <f t="shared" si="115"/>
        <v>40.799999999999997</v>
      </c>
      <c r="CT53" s="188">
        <f t="shared" si="55"/>
        <v>0.98147793580543985</v>
      </c>
      <c r="CU53" s="188">
        <f t="shared" si="56"/>
        <v>170</v>
      </c>
      <c r="CV53" s="188">
        <f t="shared" si="57"/>
        <v>0.97795728956301287</v>
      </c>
      <c r="CW53" s="149">
        <f t="shared" si="58"/>
        <v>1426.7843562226103</v>
      </c>
      <c r="CX53" s="149">
        <f t="shared" si="59"/>
        <v>170</v>
      </c>
      <c r="CY53" s="188">
        <f t="shared" si="60"/>
        <v>16.360632688927943</v>
      </c>
      <c r="CZ53" s="188">
        <f t="shared" si="61"/>
        <v>2.0450790861159929</v>
      </c>
      <c r="DA53" s="188">
        <f t="shared" si="62"/>
        <v>2.8753308767887424</v>
      </c>
      <c r="DB53" s="172">
        <f t="shared" si="63"/>
        <v>249.37910883856827</v>
      </c>
      <c r="DC53" s="379">
        <f t="shared" si="116"/>
        <v>203.23509779450492</v>
      </c>
      <c r="DE53" s="188">
        <f t="shared" si="64"/>
        <v>13.333333333333334</v>
      </c>
      <c r="DF53" s="150">
        <f t="shared" si="65"/>
        <v>2.3432923257176337</v>
      </c>
      <c r="DG53" s="150">
        <f t="shared" si="66"/>
        <v>0.19478938397857323</v>
      </c>
      <c r="DH53" s="150"/>
      <c r="DI53" s="150">
        <f t="shared" si="67"/>
        <v>2.3432923257176337</v>
      </c>
      <c r="DJ53" s="314">
        <f t="shared" si="117"/>
        <v>307.25999999999988</v>
      </c>
      <c r="DK53" s="456">
        <f t="shared" si="68"/>
        <v>0.19478938397857321</v>
      </c>
      <c r="DM53" s="150">
        <f t="shared" si="69"/>
        <v>12.492740749274011</v>
      </c>
      <c r="DN53" s="150">
        <f t="shared" si="70"/>
        <v>16.360632688927943</v>
      </c>
      <c r="DO53" s="150">
        <f t="shared" si="71"/>
        <v>3.4424439671071179</v>
      </c>
      <c r="DQ53" s="314">
        <f t="shared" si="72"/>
        <v>240</v>
      </c>
      <c r="DR53" s="144">
        <f t="shared" si="73"/>
        <v>203.23509779450492</v>
      </c>
      <c r="DT53">
        <f t="shared" si="74"/>
        <v>240</v>
      </c>
      <c r="DU53" s="144">
        <f t="shared" si="75"/>
        <v>203.23509779450492</v>
      </c>
      <c r="DV53" s="144"/>
      <c r="DW53" s="5">
        <f t="shared" si="118"/>
        <v>4.920409962904734</v>
      </c>
      <c r="DX53" s="5">
        <f t="shared" si="76"/>
        <v>2.0450790861159929</v>
      </c>
      <c r="DY53" s="5">
        <f t="shared" si="119"/>
        <v>2.8753308767887411</v>
      </c>
      <c r="DZ53" s="5">
        <f t="shared" si="77"/>
        <v>2.8753308767887424</v>
      </c>
      <c r="EA53" s="150">
        <f t="shared" si="120"/>
        <v>0.41563184806428061</v>
      </c>
      <c r="EB53" s="150">
        <f t="shared" si="78"/>
        <v>40.800000000000004</v>
      </c>
      <c r="EC53" s="150">
        <f t="shared" si="79"/>
        <v>0.23901581722319851</v>
      </c>
      <c r="ED53" s="150">
        <f t="shared" si="121"/>
        <v>170.70000000000007</v>
      </c>
      <c r="EE53" s="144">
        <f t="shared" si="80"/>
        <v>0.2887170474516696</v>
      </c>
      <c r="EF53" s="5">
        <f t="shared" si="81"/>
        <v>16.293541635136197</v>
      </c>
      <c r="EG53" s="5"/>
      <c r="EH53" s="150">
        <f t="shared" si="122"/>
        <v>6.089671646449422</v>
      </c>
      <c r="EI53" s="150">
        <f t="shared" si="82"/>
        <v>0.36103785546821765</v>
      </c>
      <c r="EJ53" s="150"/>
      <c r="EK53" s="456">
        <f t="shared" si="83"/>
        <v>0.12608594258933803</v>
      </c>
      <c r="EL53" s="456">
        <f t="shared" si="84"/>
        <v>2.0757120000000007</v>
      </c>
      <c r="EM53" s="456">
        <f t="shared" si="85"/>
        <v>4.654083739494163E-2</v>
      </c>
      <c r="EN53" s="456">
        <f t="shared" si="86"/>
        <v>5.870548720588236E-2</v>
      </c>
      <c r="EO53">
        <f t="shared" si="87"/>
        <v>5.4000000000000003E-3</v>
      </c>
      <c r="EP53" s="144">
        <f t="shared" si="123"/>
        <v>51.940837394941632</v>
      </c>
      <c r="EQ53" s="456">
        <f t="shared" si="88"/>
        <v>2.4189545606991723</v>
      </c>
      <c r="ER53" s="144">
        <f t="shared" si="124"/>
        <v>2418.9545606991724</v>
      </c>
      <c r="ES53" s="456">
        <f t="shared" si="125"/>
        <v>0.53249999999999997</v>
      </c>
      <c r="ET53" s="456"/>
      <c r="EV53" s="144">
        <f t="shared" si="126"/>
        <v>532.5</v>
      </c>
      <c r="EW53" s="456">
        <f t="shared" si="89"/>
        <v>5.5626151142355022E-2</v>
      </c>
      <c r="EX53" s="456">
        <f t="shared" si="90"/>
        <v>2.6069666616217926E-2</v>
      </c>
      <c r="EY53" s="456">
        <f t="shared" si="91"/>
        <v>31.876234821662514</v>
      </c>
      <c r="EZ53" s="456">
        <f t="shared" si="92"/>
        <v>32.187907026601152</v>
      </c>
      <c r="FA53" s="456">
        <f t="shared" si="93"/>
        <v>5.4400000000000011E-2</v>
      </c>
      <c r="FB53" s="144">
        <f t="shared" si="127"/>
        <v>32242.307026601153</v>
      </c>
      <c r="FC53" s="150">
        <f t="shared" si="128"/>
        <v>35.19376158730033</v>
      </c>
      <c r="FD53" s="5">
        <f t="shared" si="129"/>
        <v>40.799999999999997</v>
      </c>
      <c r="FE53" s="150">
        <f t="shared" si="130"/>
        <v>0.53688617523070836</v>
      </c>
      <c r="FF53" s="5">
        <f t="shared" si="131"/>
        <v>53.688617523070839</v>
      </c>
      <c r="FI53" s="59">
        <f t="shared" si="94"/>
        <v>-50</v>
      </c>
      <c r="FJ53">
        <f t="shared" si="95"/>
        <v>-50</v>
      </c>
      <c r="FL53">
        <f t="shared" si="181"/>
        <v>0.58436815193571934</v>
      </c>
    </row>
    <row r="54" spans="5:168">
      <c r="E54" s="147">
        <v>49</v>
      </c>
      <c r="F54" s="188">
        <f t="shared" si="182"/>
        <v>0.245</v>
      </c>
      <c r="G54" s="188"/>
      <c r="H54" s="188">
        <f t="shared" si="132"/>
        <v>41.65</v>
      </c>
      <c r="I54" s="465">
        <f t="shared" si="133"/>
        <v>11.958200863481361</v>
      </c>
      <c r="J54" s="149">
        <f t="shared" si="134"/>
        <v>8.5392652180121065</v>
      </c>
      <c r="K54" s="149">
        <f t="shared" si="135"/>
        <v>20.539265218012105</v>
      </c>
      <c r="L54" s="379"/>
      <c r="M54" s="188">
        <f t="shared" si="136"/>
        <v>0.41659894919498364</v>
      </c>
      <c r="N54" s="149">
        <f t="shared" si="137"/>
        <v>166.65694333597469</v>
      </c>
      <c r="O54" s="149">
        <f t="shared" si="98"/>
        <v>41.65</v>
      </c>
      <c r="P54" s="188">
        <f t="shared" si="138"/>
        <v>0.98033496079985105</v>
      </c>
      <c r="Q54" s="188">
        <f t="shared" si="139"/>
        <v>170</v>
      </c>
      <c r="R54" s="188">
        <f t="shared" si="140"/>
        <v>0.97681841450762397</v>
      </c>
      <c r="S54" s="149">
        <f t="shared" si="141"/>
        <v>1387.9226483809605</v>
      </c>
      <c r="T54" s="149">
        <f t="shared" si="142"/>
        <v>170</v>
      </c>
      <c r="U54" s="188">
        <f t="shared" si="143"/>
        <v>16.798049963189634</v>
      </c>
      <c r="V54" s="188">
        <f t="shared" si="11"/>
        <v>2.1070958108533473</v>
      </c>
      <c r="W54" s="188">
        <f t="shared" si="144"/>
        <v>2.9507310408436047</v>
      </c>
      <c r="X54" s="172">
        <f t="shared" si="145"/>
        <v>249.08993213489094</v>
      </c>
      <c r="Y54" s="379">
        <f t="shared" si="14"/>
        <v>190.19264578430389</v>
      </c>
      <c r="AA54" s="188">
        <f t="shared" si="146"/>
        <v>13.333333333333329</v>
      </c>
      <c r="AB54" s="150">
        <f t="shared" si="147"/>
        <v>2.3421218909811401</v>
      </c>
      <c r="AC54" s="150">
        <f t="shared" si="148"/>
        <v>0.19446632762537816</v>
      </c>
      <c r="AD54" s="150"/>
      <c r="AE54" s="150">
        <f t="shared" si="149"/>
        <v>2.342121890981141</v>
      </c>
      <c r="AF54" s="314">
        <f t="shared" si="150"/>
        <v>313.81799676194493</v>
      </c>
      <c r="AG54" s="456">
        <f t="shared" si="151"/>
        <v>0.19446632762537833</v>
      </c>
      <c r="AI54" s="150">
        <f t="shared" si="152"/>
        <v>12.62535612974512</v>
      </c>
      <c r="AJ54" s="150">
        <f t="shared" si="153"/>
        <v>16.798049963189634</v>
      </c>
      <c r="AK54" s="150">
        <f t="shared" si="154"/>
        <v>3.7664567628565182</v>
      </c>
      <c r="AM54" s="314">
        <f t="shared" si="155"/>
        <v>245</v>
      </c>
      <c r="AN54" s="144">
        <f t="shared" si="156"/>
        <v>190.19264578430389</v>
      </c>
      <c r="AP54">
        <f t="shared" si="157"/>
        <v>245</v>
      </c>
      <c r="AQ54" s="144">
        <f t="shared" si="158"/>
        <v>190.19264578430389</v>
      </c>
      <c r="AR54" s="144"/>
      <c r="AS54" s="5">
        <f t="shared" si="101"/>
        <v>5.2578268516969517</v>
      </c>
      <c r="AT54" s="5">
        <f t="shared" si="159"/>
        <v>2.1070958108533473</v>
      </c>
      <c r="AU54" s="5">
        <f t="shared" si="102"/>
        <v>3.1507310408436044</v>
      </c>
      <c r="AV54" s="5">
        <f t="shared" si="160"/>
        <v>2.9507310408436047</v>
      </c>
      <c r="AW54" s="150">
        <f t="shared" si="103"/>
        <v>0.40075412718722125</v>
      </c>
      <c r="AX54" s="150">
        <f t="shared" si="161"/>
        <v>40.250633559006999</v>
      </c>
      <c r="AY54" s="150">
        <f t="shared" si="162"/>
        <v>0.25165405279360598</v>
      </c>
      <c r="AZ54" s="150">
        <f t="shared" si="104"/>
        <v>159.94430891211815</v>
      </c>
      <c r="BA54" s="144">
        <f t="shared" si="163"/>
        <v>0.30366969038768826</v>
      </c>
      <c r="BB54" s="5">
        <f t="shared" si="164"/>
        <v>18.289812064160856</v>
      </c>
      <c r="BC54" s="5"/>
      <c r="BD54" s="150">
        <f t="shared" si="105"/>
        <v>6.1395599319812568</v>
      </c>
      <c r="BE54" s="150">
        <f t="shared" si="165"/>
        <v>0.37537969010350725</v>
      </c>
      <c r="BF54" s="150"/>
      <c r="BG54" s="456">
        <f t="shared" si="166"/>
        <v>0.12816026693852495</v>
      </c>
      <c r="BH54" s="456">
        <f t="shared" si="167"/>
        <v>1.5716035793972534</v>
      </c>
      <c r="BI54" s="456">
        <f t="shared" si="168"/>
        <v>0.10416577323589156</v>
      </c>
      <c r="BJ54" s="456">
        <f t="shared" si="169"/>
        <v>5.4960933081770399E-2</v>
      </c>
      <c r="BK54">
        <f t="shared" si="170"/>
        <v>5.3811903885666122E-3</v>
      </c>
      <c r="BL54" s="144">
        <f t="shared" si="106"/>
        <v>109.54696362445817</v>
      </c>
      <c r="BM54" s="456">
        <f t="shared" si="171"/>
        <v>1.8455259393449017</v>
      </c>
      <c r="BN54" s="144">
        <f t="shared" si="107"/>
        <v>1845.5259393449016</v>
      </c>
      <c r="BO54" s="456">
        <f t="shared" si="172"/>
        <v>0.54359374999999999</v>
      </c>
      <c r="BP54" s="456"/>
      <c r="BR54" s="144">
        <f t="shared" si="109"/>
        <v>543.59375</v>
      </c>
      <c r="BS54" s="456">
        <f t="shared" si="173"/>
        <v>5.6541294237584541E-2</v>
      </c>
      <c r="BT54" s="456">
        <f t="shared" si="174"/>
        <v>2.8181982348441027E-2</v>
      </c>
      <c r="BU54" s="456">
        <f t="shared" si="175"/>
        <v>0.62474999999999992</v>
      </c>
      <c r="BV54" s="456">
        <f t="shared" si="176"/>
        <v>0.73478714895489261</v>
      </c>
      <c r="BW54" s="456">
        <f t="shared" si="177"/>
        <v>5.3667511412009331E-2</v>
      </c>
      <c r="BX54" s="144">
        <f t="shared" si="110"/>
        <v>788.45466036690198</v>
      </c>
      <c r="BY54" s="150">
        <f t="shared" si="45"/>
        <v>3.2871213133362618</v>
      </c>
      <c r="BZ54" s="5">
        <f t="shared" si="111"/>
        <v>41.65</v>
      </c>
      <c r="CA54" s="150">
        <f t="shared" si="112"/>
        <v>0.92685064781039439</v>
      </c>
      <c r="CB54" s="5">
        <f t="shared" si="113"/>
        <v>92.685064781039443</v>
      </c>
      <c r="CE54" s="59">
        <f t="shared" si="178"/>
        <v>-50</v>
      </c>
      <c r="CF54">
        <f t="shared" si="179"/>
        <v>-50</v>
      </c>
      <c r="CG54" s="150">
        <f t="shared" si="180"/>
        <v>0.57441377979884589</v>
      </c>
      <c r="CI54" s="147">
        <v>49</v>
      </c>
      <c r="CJ54" s="188">
        <f t="shared" si="114"/>
        <v>0.245</v>
      </c>
      <c r="CK54" s="188"/>
      <c r="CL54" s="188">
        <f t="shared" si="49"/>
        <v>41.65</v>
      </c>
      <c r="CM54" s="465">
        <f t="shared" si="50"/>
        <v>12</v>
      </c>
      <c r="CN54" s="149">
        <f t="shared" si="51"/>
        <v>8.5350000000000001</v>
      </c>
      <c r="CO54" s="379">
        <f t="shared" si="52"/>
        <v>20.535</v>
      </c>
      <c r="CP54" s="379"/>
      <c r="CQ54" s="188">
        <f t="shared" si="53"/>
        <v>0.4156318480642805</v>
      </c>
      <c r="CR54" s="149">
        <f t="shared" si="54"/>
        <v>166.85124908692478</v>
      </c>
      <c r="CS54" s="149">
        <f t="shared" si="115"/>
        <v>41.65</v>
      </c>
      <c r="CT54" s="188">
        <f t="shared" si="55"/>
        <v>0.98147793580543985</v>
      </c>
      <c r="CU54" s="188">
        <f t="shared" si="56"/>
        <v>170</v>
      </c>
      <c r="CV54" s="188">
        <f t="shared" si="57"/>
        <v>0.97795728956301287</v>
      </c>
      <c r="CW54" s="149">
        <f t="shared" si="58"/>
        <v>1392.7736232481964</v>
      </c>
      <c r="CX54" s="149">
        <f t="shared" si="59"/>
        <v>170</v>
      </c>
      <c r="CY54" s="188">
        <f t="shared" si="60"/>
        <v>16.701479203280609</v>
      </c>
      <c r="CZ54" s="188">
        <f t="shared" si="61"/>
        <v>2.0876849004100766</v>
      </c>
      <c r="DA54" s="188">
        <f t="shared" si="62"/>
        <v>2.9352336033885083</v>
      </c>
      <c r="DB54" s="172">
        <f t="shared" si="63"/>
        <v>249.37910883856827</v>
      </c>
      <c r="DC54" s="379">
        <f t="shared" si="116"/>
        <v>199.08744273747413</v>
      </c>
      <c r="DE54" s="188">
        <f t="shared" si="64"/>
        <v>13.333333333333334</v>
      </c>
      <c r="DF54" s="150">
        <f t="shared" si="65"/>
        <v>2.3432923257176337</v>
      </c>
      <c r="DG54" s="150">
        <f t="shared" si="66"/>
        <v>0.19478938397857323</v>
      </c>
      <c r="DH54" s="150"/>
      <c r="DI54" s="150">
        <f t="shared" si="67"/>
        <v>2.3432923257176337</v>
      </c>
      <c r="DJ54" s="314">
        <f t="shared" si="117"/>
        <v>313.66124999999988</v>
      </c>
      <c r="DK54" s="456">
        <f t="shared" si="68"/>
        <v>0.19478938397857321</v>
      </c>
      <c r="DM54" s="150">
        <f t="shared" si="69"/>
        <v>12.622202660391727</v>
      </c>
      <c r="DN54" s="150">
        <f t="shared" si="70"/>
        <v>16.701479203280609</v>
      </c>
      <c r="DO54" s="150">
        <f t="shared" si="71"/>
        <v>3.6949228666276115</v>
      </c>
      <c r="DQ54" s="314">
        <f t="shared" si="72"/>
        <v>245</v>
      </c>
      <c r="DR54" s="144">
        <f t="shared" si="73"/>
        <v>199.08744273747413</v>
      </c>
      <c r="DT54">
        <f t="shared" si="74"/>
        <v>245</v>
      </c>
      <c r="DU54" s="144">
        <f t="shared" si="75"/>
        <v>199.08744273747413</v>
      </c>
      <c r="DV54" s="144"/>
      <c r="DW54" s="5">
        <f t="shared" si="118"/>
        <v>5.0229185037985848</v>
      </c>
      <c r="DX54" s="5">
        <f t="shared" si="76"/>
        <v>2.0876849004100766</v>
      </c>
      <c r="DY54" s="5">
        <f t="shared" si="119"/>
        <v>2.9352336033885083</v>
      </c>
      <c r="DZ54" s="5">
        <f t="shared" si="77"/>
        <v>2.9352336033885083</v>
      </c>
      <c r="EA54" s="150">
        <f t="shared" si="120"/>
        <v>0.4156318480642805</v>
      </c>
      <c r="EB54" s="150">
        <f t="shared" si="78"/>
        <v>41.649999999999991</v>
      </c>
      <c r="EC54" s="150">
        <f t="shared" si="79"/>
        <v>0.24399531341534858</v>
      </c>
      <c r="ED54" s="150">
        <f t="shared" si="121"/>
        <v>170.69999999999996</v>
      </c>
      <c r="EE54" s="144">
        <f t="shared" si="80"/>
        <v>0.30087223564733456</v>
      </c>
      <c r="EF54" s="5">
        <f t="shared" si="81"/>
        <v>16.979511052934907</v>
      </c>
      <c r="EG54" s="5"/>
      <c r="EH54" s="150">
        <f t="shared" si="122"/>
        <v>6.2165398057504504</v>
      </c>
      <c r="EI54" s="150">
        <f t="shared" si="82"/>
        <v>0.36855947745713891</v>
      </c>
      <c r="EJ54" s="150"/>
      <c r="EK54" s="456">
        <f t="shared" si="83"/>
        <v>0.13139424833203148</v>
      </c>
      <c r="EL54" s="456">
        <f t="shared" si="84"/>
        <v>2.0757119999999998</v>
      </c>
      <c r="EM54" s="456">
        <f t="shared" si="85"/>
        <v>4.5591024386881576E-2</v>
      </c>
      <c r="EN54" s="456">
        <f t="shared" si="86"/>
        <v>5.7507416038415353E-2</v>
      </c>
      <c r="EO54">
        <f t="shared" si="87"/>
        <v>5.4000000000000003E-3</v>
      </c>
      <c r="EP54" s="144">
        <f t="shared" si="123"/>
        <v>50.991024386881577</v>
      </c>
      <c r="EQ54" s="456">
        <f t="shared" si="88"/>
        <v>2.42684548862487</v>
      </c>
      <c r="ER54" s="144">
        <f t="shared" si="124"/>
        <v>2426.8454886248701</v>
      </c>
      <c r="ES54" s="456">
        <f t="shared" si="125"/>
        <v>0.54359374999999999</v>
      </c>
      <c r="ET54" s="456"/>
      <c r="EV54" s="144">
        <f t="shared" si="126"/>
        <v>543.59375</v>
      </c>
      <c r="EW54" s="456">
        <f t="shared" si="89"/>
        <v>5.7968050734719778E-2</v>
      </c>
      <c r="EX54" s="456">
        <f t="shared" si="90"/>
        <v>2.7167217684695856E-2</v>
      </c>
      <c r="EY54" s="456">
        <f t="shared" si="91"/>
        <v>31.876234821662454</v>
      </c>
      <c r="EZ54" s="456">
        <f t="shared" si="92"/>
        <v>32.201118624704101</v>
      </c>
      <c r="FA54" s="456">
        <f t="shared" si="93"/>
        <v>5.553333333333333E-2</v>
      </c>
      <c r="FB54" s="144">
        <f t="shared" si="127"/>
        <v>32256.651958037437</v>
      </c>
      <c r="FC54" s="150">
        <f t="shared" si="128"/>
        <v>35.227091196662307</v>
      </c>
      <c r="FD54" s="5">
        <f t="shared" si="129"/>
        <v>41.65</v>
      </c>
      <c r="FE54" s="150">
        <f t="shared" si="130"/>
        <v>0.54177388025066531</v>
      </c>
      <c r="FF54" s="5">
        <f t="shared" si="131"/>
        <v>54.177388025066534</v>
      </c>
      <c r="FI54" s="59">
        <f t="shared" si="94"/>
        <v>-50</v>
      </c>
      <c r="FJ54">
        <f t="shared" si="95"/>
        <v>-50</v>
      </c>
      <c r="FL54">
        <f t="shared" si="181"/>
        <v>0.58436815193571956</v>
      </c>
    </row>
    <row r="55" spans="5:168">
      <c r="E55" s="147">
        <v>50</v>
      </c>
      <c r="F55" s="188">
        <f t="shared" si="182"/>
        <v>0.25</v>
      </c>
      <c r="G55" s="188"/>
      <c r="H55" s="188">
        <f t="shared" si="132"/>
        <v>42.5</v>
      </c>
      <c r="I55" s="465">
        <f t="shared" si="133"/>
        <v>11.95736259767796</v>
      </c>
      <c r="J55" s="149">
        <f t="shared" si="134"/>
        <v>8.5393507553389831</v>
      </c>
      <c r="K55" s="149">
        <f t="shared" si="135"/>
        <v>20.539350755338983</v>
      </c>
      <c r="L55" s="379"/>
      <c r="M55" s="188">
        <f t="shared" si="136"/>
        <v>0.41661842252774356</v>
      </c>
      <c r="N55" s="149">
        <f t="shared" si="137"/>
        <v>166.65305033972552</v>
      </c>
      <c r="O55" s="149">
        <f t="shared" si="98"/>
        <v>42.5</v>
      </c>
      <c r="P55" s="188">
        <f t="shared" si="138"/>
        <v>0.9803120608219148</v>
      </c>
      <c r="Q55" s="188">
        <f t="shared" si="139"/>
        <v>170</v>
      </c>
      <c r="R55" s="188">
        <f t="shared" si="140"/>
        <v>0.97679559667388882</v>
      </c>
      <c r="S55" s="149">
        <f t="shared" si="141"/>
        <v>1355.291215466081</v>
      </c>
      <c r="T55" s="149">
        <f t="shared" si="142"/>
        <v>170</v>
      </c>
      <c r="U55" s="188">
        <f t="shared" si="143"/>
        <v>17.141439473164649</v>
      </c>
      <c r="V55" s="188">
        <f t="shared" si="11"/>
        <v>2.1503202733636346</v>
      </c>
      <c r="W55" s="188">
        <f t="shared" si="144"/>
        <v>3.0110203862595979</v>
      </c>
      <c r="X55" s="172">
        <f t="shared" si="145"/>
        <v>249.08411307638727</v>
      </c>
      <c r="Y55" s="379">
        <f t="shared" si="14"/>
        <v>186.52051109736325</v>
      </c>
      <c r="AA55" s="188">
        <f t="shared" si="146"/>
        <v>13.333333333333336</v>
      </c>
      <c r="AB55" s="150">
        <f t="shared" si="147"/>
        <v>2.342098430316331</v>
      </c>
      <c r="AC55" s="150">
        <f t="shared" si="148"/>
        <v>0.19445983675098075</v>
      </c>
      <c r="AD55" s="150"/>
      <c r="AE55" s="150">
        <f t="shared" si="149"/>
        <v>2.3420984303163306</v>
      </c>
      <c r="AF55" s="314">
        <f t="shared" si="150"/>
        <v>320.22565332521179</v>
      </c>
      <c r="AG55" s="456">
        <f t="shared" si="151"/>
        <v>0.19445983675098069</v>
      </c>
      <c r="AI55" s="150">
        <f t="shared" si="152"/>
        <v>12.753599495895067</v>
      </c>
      <c r="AJ55" s="150">
        <f t="shared" si="153"/>
        <v>17.141439473164649</v>
      </c>
      <c r="AK55" s="150">
        <f t="shared" si="154"/>
        <v>4.0208193628380107</v>
      </c>
      <c r="AM55" s="314">
        <f t="shared" si="155"/>
        <v>250</v>
      </c>
      <c r="AN55" s="144">
        <f t="shared" si="156"/>
        <v>186.52051109736325</v>
      </c>
      <c r="AP55">
        <f t="shared" si="157"/>
        <v>250</v>
      </c>
      <c r="AQ55" s="144">
        <f t="shared" si="158"/>
        <v>186.52051109736325</v>
      </c>
      <c r="AR55" s="144"/>
      <c r="AS55" s="5">
        <f t="shared" si="101"/>
        <v>5.3613406596232327</v>
      </c>
      <c r="AT55" s="5">
        <f t="shared" si="159"/>
        <v>2.1503202733636346</v>
      </c>
      <c r="AU55" s="5">
        <f t="shared" si="102"/>
        <v>3.2110203862595981</v>
      </c>
      <c r="AV55" s="5">
        <f t="shared" si="160"/>
        <v>3.0110203862595979</v>
      </c>
      <c r="AW55" s="150">
        <f t="shared" si="103"/>
        <v>0.40107883641080699</v>
      </c>
      <c r="AX55" s="150">
        <f t="shared" si="161"/>
        <v>41.103844056910191</v>
      </c>
      <c r="AY55" s="150">
        <f t="shared" si="162"/>
        <v>0.25665927187153742</v>
      </c>
      <c r="AZ55" s="150">
        <f t="shared" si="104"/>
        <v>160.14946102349813</v>
      </c>
      <c r="BA55" s="144">
        <f t="shared" si="163"/>
        <v>0.31622356961229919</v>
      </c>
      <c r="BB55" s="5">
        <f t="shared" si="164"/>
        <v>19.021525482904028</v>
      </c>
      <c r="BC55" s="5"/>
      <c r="BD55" s="150">
        <f t="shared" si="105"/>
        <v>6.2676038018706004</v>
      </c>
      <c r="BE55" s="150">
        <f t="shared" si="165"/>
        <v>0.38294949075182527</v>
      </c>
      <c r="BF55" s="150"/>
      <c r="BG55" s="456">
        <f t="shared" si="166"/>
        <v>0.13356171521855753</v>
      </c>
      <c r="BH55" s="456">
        <f t="shared" si="167"/>
        <v>1.5727732558745551</v>
      </c>
      <c r="BI55" s="456">
        <f t="shared" si="168"/>
        <v>0.10214743694576879</v>
      </c>
      <c r="BJ55" s="456">
        <f t="shared" si="169"/>
        <v>5.3900226644828804E-2</v>
      </c>
      <c r="BK55">
        <f t="shared" si="170"/>
        <v>5.3808131689550816E-3</v>
      </c>
      <c r="BL55" s="144">
        <f t="shared" si="106"/>
        <v>107.52825011472387</v>
      </c>
      <c r="BM55" s="456">
        <f t="shared" si="171"/>
        <v>1.8551692920651093</v>
      </c>
      <c r="BN55" s="144">
        <f t="shared" si="107"/>
        <v>1855.1692920651092</v>
      </c>
      <c r="BO55" s="456">
        <f t="shared" si="172"/>
        <v>0.5546875</v>
      </c>
      <c r="BP55" s="456"/>
      <c r="BR55" s="144">
        <f t="shared" si="109"/>
        <v>554.6875</v>
      </c>
      <c r="BS55" s="456">
        <f t="shared" si="173"/>
        <v>5.892428612583421E-2</v>
      </c>
      <c r="BT55" s="456">
        <f t="shared" si="174"/>
        <v>2.9330062493416464E-2</v>
      </c>
      <c r="BU55" s="456">
        <f t="shared" si="175"/>
        <v>0.63749999999999996</v>
      </c>
      <c r="BV55" s="456">
        <f t="shared" si="176"/>
        <v>0.75224651437807388</v>
      </c>
      <c r="BW55" s="456">
        <f t="shared" si="177"/>
        <v>5.4805125409213604E-2</v>
      </c>
      <c r="BX55" s="144">
        <f t="shared" si="110"/>
        <v>807.0516397872874</v>
      </c>
      <c r="BY55" s="150">
        <f t="shared" si="45"/>
        <v>3.3244366819671205</v>
      </c>
      <c r="BZ55" s="5">
        <f t="shared" si="111"/>
        <v>42.5</v>
      </c>
      <c r="CA55" s="150">
        <f t="shared" si="112"/>
        <v>0.92745275397405247</v>
      </c>
      <c r="CB55" s="5">
        <f t="shared" si="113"/>
        <v>92.745275397405251</v>
      </c>
      <c r="CE55" s="59">
        <f t="shared" si="178"/>
        <v>-50</v>
      </c>
      <c r="CF55">
        <f t="shared" si="179"/>
        <v>-50</v>
      </c>
      <c r="CG55" s="150">
        <f t="shared" si="180"/>
        <v>0.57461286724158334</v>
      </c>
      <c r="CI55" s="147">
        <v>50</v>
      </c>
      <c r="CJ55" s="188">
        <f t="shared" si="114"/>
        <v>0.25</v>
      </c>
      <c r="CK55" s="188"/>
      <c r="CL55" s="188">
        <f t="shared" si="49"/>
        <v>42.5</v>
      </c>
      <c r="CM55" s="465">
        <f t="shared" si="50"/>
        <v>12</v>
      </c>
      <c r="CN55" s="149">
        <f t="shared" si="51"/>
        <v>8.5350000000000001</v>
      </c>
      <c r="CO55" s="379">
        <f t="shared" si="52"/>
        <v>20.535</v>
      </c>
      <c r="CP55" s="379"/>
      <c r="CQ55" s="188">
        <f t="shared" si="53"/>
        <v>0.4156318480642805</v>
      </c>
      <c r="CR55" s="149">
        <f t="shared" si="54"/>
        <v>166.85124908692478</v>
      </c>
      <c r="CS55" s="149">
        <f t="shared" si="115"/>
        <v>42.5</v>
      </c>
      <c r="CT55" s="188">
        <f t="shared" si="55"/>
        <v>0.98147793580543985</v>
      </c>
      <c r="CU55" s="188">
        <f t="shared" si="56"/>
        <v>170</v>
      </c>
      <c r="CV55" s="188">
        <f t="shared" si="57"/>
        <v>0.97795728956301287</v>
      </c>
      <c r="CW55" s="149">
        <f t="shared" si="58"/>
        <v>1360.1234546622668</v>
      </c>
      <c r="CX55" s="149">
        <f t="shared" si="59"/>
        <v>170</v>
      </c>
      <c r="CY55" s="188">
        <f t="shared" si="60"/>
        <v>17.042325717633275</v>
      </c>
      <c r="CZ55" s="188">
        <f t="shared" si="61"/>
        <v>2.1302907147041594</v>
      </c>
      <c r="DA55" s="188">
        <f t="shared" si="62"/>
        <v>2.9951363299882736</v>
      </c>
      <c r="DB55" s="172">
        <f t="shared" si="63"/>
        <v>249.37910883856827</v>
      </c>
      <c r="DC55" s="379">
        <f t="shared" si="116"/>
        <v>195.10569388272467</v>
      </c>
      <c r="DE55" s="188">
        <f t="shared" si="64"/>
        <v>13.333333333333334</v>
      </c>
      <c r="DF55" s="150">
        <f t="shared" si="65"/>
        <v>2.3432923257176337</v>
      </c>
      <c r="DG55" s="150">
        <f t="shared" si="66"/>
        <v>0.19478938397857323</v>
      </c>
      <c r="DH55" s="150"/>
      <c r="DI55" s="150">
        <f t="shared" si="67"/>
        <v>2.3432923257176337</v>
      </c>
      <c r="DJ55" s="314">
        <f t="shared" si="117"/>
        <v>320.06249999999989</v>
      </c>
      <c r="DK55" s="456">
        <f t="shared" si="68"/>
        <v>0.19478938397857321</v>
      </c>
      <c r="DM55" s="150">
        <f t="shared" si="69"/>
        <v>12.750350135248388</v>
      </c>
      <c r="DN55" s="150">
        <f t="shared" si="70"/>
        <v>17.042325717633275</v>
      </c>
      <c r="DO55" s="150">
        <f t="shared" si="71"/>
        <v>3.9474017661481051</v>
      </c>
      <c r="DQ55" s="314">
        <f t="shared" si="72"/>
        <v>250</v>
      </c>
      <c r="DR55" s="144">
        <f t="shared" si="73"/>
        <v>195.10569388272467</v>
      </c>
      <c r="DT55">
        <f t="shared" si="74"/>
        <v>250</v>
      </c>
      <c r="DU55" s="144">
        <f t="shared" si="75"/>
        <v>195.10569388272467</v>
      </c>
      <c r="DV55" s="144"/>
      <c r="DW55" s="5">
        <f t="shared" si="118"/>
        <v>5.125427044692433</v>
      </c>
      <c r="DX55" s="5">
        <f t="shared" si="76"/>
        <v>2.1302907147041594</v>
      </c>
      <c r="DY55" s="5">
        <f t="shared" si="119"/>
        <v>2.9951363299882736</v>
      </c>
      <c r="DZ55" s="5">
        <f t="shared" si="77"/>
        <v>2.9951363299882736</v>
      </c>
      <c r="EA55" s="150">
        <f t="shared" si="120"/>
        <v>0.4156318480642805</v>
      </c>
      <c r="EB55" s="150">
        <f t="shared" si="78"/>
        <v>42.499999999999993</v>
      </c>
      <c r="EC55" s="150">
        <f t="shared" si="79"/>
        <v>0.24897480960749857</v>
      </c>
      <c r="ED55" s="150">
        <f t="shared" si="121"/>
        <v>170.69999999999996</v>
      </c>
      <c r="EE55" s="144">
        <f t="shared" si="80"/>
        <v>0.31327804628002343</v>
      </c>
      <c r="EF55" s="5">
        <f t="shared" si="81"/>
        <v>17.679624170069669</v>
      </c>
      <c r="EG55" s="5"/>
      <c r="EH55" s="150">
        <f t="shared" si="122"/>
        <v>6.3434079650514805</v>
      </c>
      <c r="EI55" s="150">
        <f t="shared" si="82"/>
        <v>0.37608109944606016</v>
      </c>
      <c r="EJ55" s="150"/>
      <c r="EK55" s="456">
        <f t="shared" si="83"/>
        <v>0.1368120036776671</v>
      </c>
      <c r="EL55" s="456">
        <f t="shared" si="84"/>
        <v>2.0757120000000002</v>
      </c>
      <c r="EM55" s="456">
        <f t="shared" si="85"/>
        <v>4.4679203899143954E-2</v>
      </c>
      <c r="EN55" s="456">
        <f t="shared" si="86"/>
        <v>5.6357267717647049E-2</v>
      </c>
      <c r="EO55">
        <f t="shared" si="87"/>
        <v>5.4000000000000003E-3</v>
      </c>
      <c r="EP55" s="144">
        <f t="shared" si="123"/>
        <v>50.079203899143955</v>
      </c>
      <c r="EQ55" s="456">
        <f t="shared" si="88"/>
        <v>2.4350549067140252</v>
      </c>
      <c r="ER55" s="144">
        <f t="shared" si="124"/>
        <v>2435.054906714025</v>
      </c>
      <c r="ES55" s="456">
        <f t="shared" si="125"/>
        <v>0.5546875</v>
      </c>
      <c r="ET55" s="456"/>
      <c r="EV55" s="144">
        <f t="shared" si="126"/>
        <v>554.6875</v>
      </c>
      <c r="EW55" s="456">
        <f t="shared" si="89"/>
        <v>6.0358236916617847E-2</v>
      </c>
      <c r="EX55" s="456">
        <f t="shared" si="90"/>
        <v>2.8287398672111483E-2</v>
      </c>
      <c r="EY55" s="456">
        <f t="shared" si="91"/>
        <v>31.876234821662521</v>
      </c>
      <c r="EZ55" s="456">
        <f t="shared" si="92"/>
        <v>32.214610177345662</v>
      </c>
      <c r="FA55" s="456">
        <f t="shared" si="93"/>
        <v>5.6666666666666664E-2</v>
      </c>
      <c r="FB55" s="144">
        <f t="shared" si="127"/>
        <v>32271.276844012325</v>
      </c>
      <c r="FC55" s="150">
        <f t="shared" si="128"/>
        <v>35.261019250726349</v>
      </c>
      <c r="FD55" s="5">
        <f t="shared" si="129"/>
        <v>42.5</v>
      </c>
      <c r="FE55" s="150">
        <f t="shared" si="130"/>
        <v>0.54654633400529939</v>
      </c>
      <c r="FF55" s="5">
        <f t="shared" si="131"/>
        <v>54.654633400529939</v>
      </c>
      <c r="FI55" s="59">
        <f t="shared" si="94"/>
        <v>-50</v>
      </c>
      <c r="FJ55">
        <f t="shared" si="95"/>
        <v>-50</v>
      </c>
      <c r="FL55">
        <f t="shared" si="181"/>
        <v>0.58436815193571956</v>
      </c>
    </row>
    <row r="56" spans="5:168">
      <c r="E56" s="147">
        <v>51</v>
      </c>
      <c r="F56" s="188">
        <f t="shared" si="182"/>
        <v>0.255</v>
      </c>
      <c r="G56" s="188"/>
      <c r="H56" s="188">
        <f t="shared" si="132"/>
        <v>43.35</v>
      </c>
      <c r="I56" s="465">
        <f t="shared" si="133"/>
        <v>11.956524322039215</v>
      </c>
      <c r="J56" s="149">
        <f t="shared" si="134"/>
        <v>8.5394362936694677</v>
      </c>
      <c r="K56" s="149">
        <f t="shared" si="135"/>
        <v>20.539436293669468</v>
      </c>
      <c r="L56" s="379"/>
      <c r="M56" s="188">
        <f t="shared" si="136"/>
        <v>0.41663789749073576</v>
      </c>
      <c r="N56" s="149">
        <f t="shared" si="137"/>
        <v>166.64915676628854</v>
      </c>
      <c r="O56" s="149">
        <f t="shared" si="98"/>
        <v>43.35</v>
      </c>
      <c r="P56" s="188">
        <f t="shared" si="138"/>
        <v>0.98028915744875611</v>
      </c>
      <c r="Q56" s="188">
        <f t="shared" si="139"/>
        <v>170</v>
      </c>
      <c r="R56" s="188">
        <f t="shared" si="140"/>
        <v>0.9767727754571105</v>
      </c>
      <c r="S56" s="149">
        <f t="shared" si="141"/>
        <v>1323.9402367797136</v>
      </c>
      <c r="T56" s="149">
        <f t="shared" si="142"/>
        <v>170</v>
      </c>
      <c r="U56" s="188">
        <f t="shared" si="143"/>
        <v>17.484851957516415</v>
      </c>
      <c r="V56" s="188">
        <f t="shared" si="11"/>
        <v>2.1935536808075922</v>
      </c>
      <c r="W56" s="188">
        <f t="shared" si="144"/>
        <v>3.071312559087497</v>
      </c>
      <c r="X56" s="172">
        <f t="shared" si="145"/>
        <v>249.07829317233748</v>
      </c>
      <c r="Y56" s="379">
        <f t="shared" si="14"/>
        <v>182.98709540221012</v>
      </c>
      <c r="AA56" s="188">
        <f t="shared" si="146"/>
        <v>13.333333333333332</v>
      </c>
      <c r="AB56" s="150">
        <f t="shared" si="147"/>
        <v>2.3420749698462626</v>
      </c>
      <c r="AC56" s="150">
        <f t="shared" si="148"/>
        <v>0.19445334532365363</v>
      </c>
      <c r="AD56" s="150"/>
      <c r="AE56" s="150">
        <f t="shared" si="149"/>
        <v>2.3420749698462626</v>
      </c>
      <c r="AF56" s="314">
        <f t="shared" si="150"/>
        <v>326.63343823285709</v>
      </c>
      <c r="AG56" s="456">
        <f t="shared" si="151"/>
        <v>0.19445334532365366</v>
      </c>
      <c r="AI56" s="150">
        <f t="shared" si="152"/>
        <v>12.880568620650738</v>
      </c>
      <c r="AJ56" s="150">
        <f t="shared" si="153"/>
        <v>17.484851957516415</v>
      </c>
      <c r="AK56" s="150">
        <f t="shared" si="154"/>
        <v>4.2751989808763566</v>
      </c>
      <c r="AM56" s="314">
        <f t="shared" si="155"/>
        <v>255</v>
      </c>
      <c r="AN56" s="144">
        <f t="shared" si="156"/>
        <v>182.98709540221012</v>
      </c>
      <c r="AP56">
        <f t="shared" si="157"/>
        <v>255</v>
      </c>
      <c r="AQ56" s="144">
        <f t="shared" si="158"/>
        <v>182.98709540221012</v>
      </c>
      <c r="AR56" s="144"/>
      <c r="AS56" s="5">
        <f t="shared" si="101"/>
        <v>5.4648662398950894</v>
      </c>
      <c r="AT56" s="5">
        <f t="shared" si="159"/>
        <v>2.1935536808075922</v>
      </c>
      <c r="AU56" s="5">
        <f t="shared" si="102"/>
        <v>3.2713125590874972</v>
      </c>
      <c r="AV56" s="5">
        <f t="shared" si="160"/>
        <v>3.071312559087497</v>
      </c>
      <c r="AW56" s="150">
        <f t="shared" si="103"/>
        <v>0.401392016659808</v>
      </c>
      <c r="AX56" s="150">
        <f t="shared" si="161"/>
        <v>41.957117689050882</v>
      </c>
      <c r="AY56" s="150">
        <f t="shared" si="162"/>
        <v>0.26166429923226781</v>
      </c>
      <c r="AZ56" s="150">
        <f t="shared" si="104"/>
        <v>160.34712344081532</v>
      </c>
      <c r="BA56" s="144">
        <f t="shared" si="163"/>
        <v>0.32903305212113887</v>
      </c>
      <c r="BB56" s="5">
        <f t="shared" si="164"/>
        <v>19.767645348105745</v>
      </c>
      <c r="BC56" s="5"/>
      <c r="BD56" s="150">
        <f t="shared" si="105"/>
        <v>6.3956648492169164</v>
      </c>
      <c r="BE56" s="150">
        <f t="shared" si="165"/>
        <v>0.39051937786506313</v>
      </c>
      <c r="BF56" s="150"/>
      <c r="BG56" s="456">
        <f t="shared" si="166"/>
        <v>0.13907539813593006</v>
      </c>
      <c r="BH56" s="456">
        <f t="shared" si="167"/>
        <v>1.5738975560500532</v>
      </c>
      <c r="BI56" s="456">
        <f t="shared" si="168"/>
        <v>0.10020534628124927</v>
      </c>
      <c r="BJ56" s="456">
        <f t="shared" si="169"/>
        <v>5.2879589535903562E-2</v>
      </c>
      <c r="BK56">
        <f t="shared" si="170"/>
        <v>5.3804359449176461E-3</v>
      </c>
      <c r="BL56" s="144">
        <f t="shared" si="106"/>
        <v>105.58578222616693</v>
      </c>
      <c r="BM56" s="456">
        <f t="shared" si="171"/>
        <v>1.8650315918739968</v>
      </c>
      <c r="BN56" s="144">
        <f t="shared" si="107"/>
        <v>1865.0315918739968</v>
      </c>
      <c r="BO56" s="456">
        <f t="shared" si="172"/>
        <v>0.5657812499999999</v>
      </c>
      <c r="BP56" s="456"/>
      <c r="BR56" s="144">
        <f t="shared" si="109"/>
        <v>565.78124999999989</v>
      </c>
      <c r="BS56" s="456">
        <f t="shared" si="173"/>
        <v>6.1356793295263265E-2</v>
      </c>
      <c r="BT56" s="456">
        <f t="shared" si="174"/>
        <v>3.0501076897623193E-2</v>
      </c>
      <c r="BU56" s="456">
        <f t="shared" si="175"/>
        <v>0.65024999999999999</v>
      </c>
      <c r="BV56" s="456">
        <f t="shared" si="176"/>
        <v>0.76981081358214798</v>
      </c>
      <c r="BW56" s="456">
        <f t="shared" si="177"/>
        <v>5.5942823585401175E-2</v>
      </c>
      <c r="BX56" s="144">
        <f t="shared" si="110"/>
        <v>825.75363716754907</v>
      </c>
      <c r="BY56" s="150">
        <f t="shared" si="45"/>
        <v>3.3621522612677128</v>
      </c>
      <c r="BZ56" s="5">
        <f t="shared" si="111"/>
        <v>43.35</v>
      </c>
      <c r="CA56" s="150">
        <f t="shared" si="112"/>
        <v>0.92802403446403592</v>
      </c>
      <c r="CB56" s="5">
        <f t="shared" si="113"/>
        <v>92.802403446403588</v>
      </c>
      <c r="CE56" s="59">
        <f t="shared" si="178"/>
        <v>-50</v>
      </c>
      <c r="CF56">
        <f t="shared" si="179"/>
        <v>-50</v>
      </c>
      <c r="CG56" s="150">
        <f t="shared" si="180"/>
        <v>0.57480414733362517</v>
      </c>
      <c r="CI56" s="147">
        <v>51</v>
      </c>
      <c r="CJ56" s="188">
        <f t="shared" si="114"/>
        <v>0.255</v>
      </c>
      <c r="CK56" s="188"/>
      <c r="CL56" s="188">
        <f t="shared" si="49"/>
        <v>43.35</v>
      </c>
      <c r="CM56" s="465">
        <f t="shared" si="50"/>
        <v>12</v>
      </c>
      <c r="CN56" s="149">
        <f t="shared" si="51"/>
        <v>8.5350000000000001</v>
      </c>
      <c r="CO56" s="379">
        <f t="shared" si="52"/>
        <v>20.535</v>
      </c>
      <c r="CP56" s="379"/>
      <c r="CQ56" s="188">
        <f t="shared" si="53"/>
        <v>0.4156318480642805</v>
      </c>
      <c r="CR56" s="149">
        <f t="shared" si="54"/>
        <v>166.85124908692478</v>
      </c>
      <c r="CS56" s="149">
        <f t="shared" si="115"/>
        <v>43.35</v>
      </c>
      <c r="CT56" s="188">
        <f t="shared" si="55"/>
        <v>0.98147793580543985</v>
      </c>
      <c r="CU56" s="188">
        <f t="shared" si="56"/>
        <v>170</v>
      </c>
      <c r="CV56" s="188">
        <f t="shared" si="57"/>
        <v>0.97795728956301287</v>
      </c>
      <c r="CW56" s="149">
        <f t="shared" si="58"/>
        <v>1328.7538186643551</v>
      </c>
      <c r="CX56" s="149">
        <f t="shared" si="59"/>
        <v>170</v>
      </c>
      <c r="CY56" s="188">
        <f t="shared" si="60"/>
        <v>17.383172231985942</v>
      </c>
      <c r="CZ56" s="188">
        <f t="shared" si="61"/>
        <v>2.1728965289982427</v>
      </c>
      <c r="DA56" s="188">
        <f t="shared" si="62"/>
        <v>3.0550390565880394</v>
      </c>
      <c r="DB56" s="172">
        <f t="shared" si="63"/>
        <v>249.37910883856827</v>
      </c>
      <c r="DC56" s="379">
        <f t="shared" si="116"/>
        <v>191.28009204188692</v>
      </c>
      <c r="DE56" s="188">
        <f t="shared" si="64"/>
        <v>13.333333333333334</v>
      </c>
      <c r="DF56" s="150">
        <f t="shared" si="65"/>
        <v>2.3432923257176337</v>
      </c>
      <c r="DG56" s="150">
        <f t="shared" si="66"/>
        <v>0.19478938397857323</v>
      </c>
      <c r="DH56" s="150"/>
      <c r="DI56" s="150">
        <f t="shared" si="67"/>
        <v>2.3432923257176337</v>
      </c>
      <c r="DJ56" s="314">
        <f t="shared" si="117"/>
        <v>326.46374999999995</v>
      </c>
      <c r="DK56" s="456">
        <f t="shared" si="68"/>
        <v>0.19478938397857321</v>
      </c>
      <c r="DM56" s="150">
        <f t="shared" si="69"/>
        <v>12.877222415678666</v>
      </c>
      <c r="DN56" s="150">
        <f t="shared" si="70"/>
        <v>17.383172231985942</v>
      </c>
      <c r="DO56" s="150">
        <f t="shared" si="71"/>
        <v>4.1998806656685987</v>
      </c>
      <c r="DQ56" s="314">
        <f t="shared" si="72"/>
        <v>255</v>
      </c>
      <c r="DR56" s="144">
        <f t="shared" si="73"/>
        <v>191.28009204188692</v>
      </c>
      <c r="DT56">
        <f t="shared" si="74"/>
        <v>255</v>
      </c>
      <c r="DU56" s="144">
        <f t="shared" si="75"/>
        <v>191.28009204188692</v>
      </c>
      <c r="DV56" s="144"/>
      <c r="DW56" s="5">
        <f t="shared" si="118"/>
        <v>5.2279355855862821</v>
      </c>
      <c r="DX56" s="5">
        <f t="shared" si="76"/>
        <v>2.1728965289982427</v>
      </c>
      <c r="DY56" s="5">
        <f t="shared" si="119"/>
        <v>3.0550390565880394</v>
      </c>
      <c r="DZ56" s="5">
        <f t="shared" si="77"/>
        <v>3.0550390565880394</v>
      </c>
      <c r="EA56" s="150">
        <f t="shared" si="120"/>
        <v>0.41563184806428044</v>
      </c>
      <c r="EB56" s="150">
        <f t="shared" si="78"/>
        <v>43.350000000000009</v>
      </c>
      <c r="EC56" s="150">
        <f t="shared" si="79"/>
        <v>0.25395430579964856</v>
      </c>
      <c r="ED56" s="150">
        <f t="shared" si="121"/>
        <v>170.7</v>
      </c>
      <c r="EE56" s="144">
        <f t="shared" si="80"/>
        <v>0.32593447934973641</v>
      </c>
      <c r="EF56" s="5">
        <f t="shared" si="81"/>
        <v>18.393880986540488</v>
      </c>
      <c r="EG56" s="5"/>
      <c r="EH56" s="150">
        <f t="shared" si="122"/>
        <v>6.4702761243525098</v>
      </c>
      <c r="EI56" s="150">
        <f t="shared" si="82"/>
        <v>0.38360272143498136</v>
      </c>
      <c r="EJ56" s="150"/>
      <c r="EK56" s="456">
        <f t="shared" si="83"/>
        <v>0.14233920862624483</v>
      </c>
      <c r="EL56" s="456">
        <f t="shared" si="84"/>
        <v>2.0757119999999998</v>
      </c>
      <c r="EM56" s="456">
        <f t="shared" si="85"/>
        <v>4.380314107759211E-2</v>
      </c>
      <c r="EN56" s="456">
        <f t="shared" si="86"/>
        <v>5.5252223252595149E-2</v>
      </c>
      <c r="EO56">
        <f t="shared" si="87"/>
        <v>5.4000000000000003E-3</v>
      </c>
      <c r="EP56" s="144">
        <f t="shared" si="123"/>
        <v>49.203141077592115</v>
      </c>
      <c r="EQ56" s="456">
        <f t="shared" si="88"/>
        <v>2.4435795200904598</v>
      </c>
      <c r="ER56" s="144">
        <f t="shared" si="124"/>
        <v>2443.5795200904599</v>
      </c>
      <c r="ES56" s="456">
        <f t="shared" si="125"/>
        <v>0.5657812499999999</v>
      </c>
      <c r="ET56" s="456"/>
      <c r="EV56" s="144">
        <f t="shared" si="126"/>
        <v>565.78124999999989</v>
      </c>
      <c r="EW56" s="456">
        <f t="shared" si="89"/>
        <v>6.2796709688049193E-2</v>
      </c>
      <c r="EX56" s="456">
        <f t="shared" si="90"/>
        <v>2.9430209578464785E-2</v>
      </c>
      <c r="EY56" s="456">
        <f t="shared" si="91"/>
        <v>31.876234821662521</v>
      </c>
      <c r="EZ56" s="456">
        <f t="shared" si="92"/>
        <v>32.228382153469674</v>
      </c>
      <c r="FA56" s="456">
        <f t="shared" si="93"/>
        <v>5.7800000000000011E-2</v>
      </c>
      <c r="FB56" s="144">
        <f t="shared" si="127"/>
        <v>32286.182153469676</v>
      </c>
      <c r="FC56" s="150">
        <f t="shared" si="128"/>
        <v>35.295542923560134</v>
      </c>
      <c r="FD56" s="5">
        <f t="shared" si="129"/>
        <v>43.35</v>
      </c>
      <c r="FE56" s="150">
        <f t="shared" si="130"/>
        <v>0.55120733341664663</v>
      </c>
      <c r="FF56" s="5">
        <f t="shared" si="131"/>
        <v>55.120733341664661</v>
      </c>
      <c r="FI56" s="59">
        <f t="shared" si="94"/>
        <v>-50</v>
      </c>
      <c r="FJ56">
        <f t="shared" si="95"/>
        <v>-50</v>
      </c>
      <c r="FL56">
        <f t="shared" si="181"/>
        <v>0.58436815193571956</v>
      </c>
    </row>
    <row r="57" spans="5:168">
      <c r="E57" s="147">
        <v>52</v>
      </c>
      <c r="F57" s="188">
        <f t="shared" si="182"/>
        <v>0.26</v>
      </c>
      <c r="G57" s="188"/>
      <c r="H57" s="188">
        <f t="shared" si="132"/>
        <v>44.2</v>
      </c>
      <c r="I57" s="465">
        <f t="shared" si="133"/>
        <v>11.955686037141804</v>
      </c>
      <c r="J57" s="149">
        <f t="shared" si="134"/>
        <v>8.5395218329447129</v>
      </c>
      <c r="K57" s="149">
        <f t="shared" si="135"/>
        <v>20.539521832944715</v>
      </c>
      <c r="L57" s="379"/>
      <c r="M57" s="188">
        <f t="shared" si="136"/>
        <v>0.41665737407244446</v>
      </c>
      <c r="N57" s="149">
        <f t="shared" si="137"/>
        <v>166.64526261893954</v>
      </c>
      <c r="O57" s="149">
        <f t="shared" si="98"/>
        <v>44.2</v>
      </c>
      <c r="P57" s="188">
        <f t="shared" si="138"/>
        <v>0.98026625069964435</v>
      </c>
      <c r="Q57" s="188">
        <f t="shared" si="139"/>
        <v>170</v>
      </c>
      <c r="R57" s="188">
        <f t="shared" si="140"/>
        <v>0.97674995087648908</v>
      </c>
      <c r="S57" s="149">
        <f t="shared" si="141"/>
        <v>1293.7958414274349</v>
      </c>
      <c r="T57" s="149">
        <f t="shared" si="142"/>
        <v>170</v>
      </c>
      <c r="U57" s="188">
        <f t="shared" si="143"/>
        <v>17.828287421073121</v>
      </c>
      <c r="V57" s="188">
        <f t="shared" si="11"/>
        <v>2.2367960356713148</v>
      </c>
      <c r="W57" s="188">
        <f t="shared" si="144"/>
        <v>3.13160756009075</v>
      </c>
      <c r="X57" s="172">
        <f t="shared" si="145"/>
        <v>249.07247242663291</v>
      </c>
      <c r="Y57" s="379">
        <f t="shared" si="14"/>
        <v>179.58468397676282</v>
      </c>
      <c r="AA57" s="188">
        <f t="shared" si="146"/>
        <v>13.333333333333334</v>
      </c>
      <c r="AB57" s="150">
        <f t="shared" si="147"/>
        <v>2.3420515095870806</v>
      </c>
      <c r="AC57" s="150">
        <f t="shared" si="148"/>
        <v>0.19444685334779407</v>
      </c>
      <c r="AD57" s="150"/>
      <c r="AE57" s="150">
        <f t="shared" si="149"/>
        <v>2.3420515095870806</v>
      </c>
      <c r="AF57" s="314">
        <f t="shared" si="150"/>
        <v>333.04135148484374</v>
      </c>
      <c r="AG57" s="456">
        <f t="shared" si="151"/>
        <v>0.1944468533477941</v>
      </c>
      <c r="AI57" s="150">
        <f t="shared" si="152"/>
        <v>13.006300821973428</v>
      </c>
      <c r="AJ57" s="150">
        <f t="shared" si="153"/>
        <v>17.828287421073121</v>
      </c>
      <c r="AK57" s="150">
        <f t="shared" si="154"/>
        <v>4.5295956205479904</v>
      </c>
      <c r="AM57" s="314">
        <f t="shared" si="155"/>
        <v>260</v>
      </c>
      <c r="AN57" s="144">
        <f t="shared" si="156"/>
        <v>179.58468397676282</v>
      </c>
      <c r="AP57">
        <f t="shared" si="157"/>
        <v>260</v>
      </c>
      <c r="AQ57" s="144">
        <f t="shared" si="158"/>
        <v>179.58468397676282</v>
      </c>
      <c r="AR57" s="144"/>
      <c r="AS57" s="5">
        <f t="shared" si="101"/>
        <v>5.5684035957620646</v>
      </c>
      <c r="AT57" s="5">
        <f t="shared" si="159"/>
        <v>2.2367960356713148</v>
      </c>
      <c r="AU57" s="5">
        <f t="shared" si="102"/>
        <v>3.3316075600907498</v>
      </c>
      <c r="AV57" s="5">
        <f t="shared" si="160"/>
        <v>3.13160756009075</v>
      </c>
      <c r="AW57" s="150">
        <f t="shared" si="103"/>
        <v>0.40169430918650895</v>
      </c>
      <c r="AX57" s="150">
        <f t="shared" si="161"/>
        <v>42.810451896432845</v>
      </c>
      <c r="AY57" s="150">
        <f t="shared" si="162"/>
        <v>0.26666914553716564</v>
      </c>
      <c r="AZ57" s="150">
        <f t="shared" si="104"/>
        <v>160.53770229096997</v>
      </c>
      <c r="BA57" s="144">
        <f t="shared" si="163"/>
        <v>0.34209821722031875</v>
      </c>
      <c r="BB57" s="5">
        <f t="shared" si="164"/>
        <v>20.528175700741755</v>
      </c>
      <c r="BC57" s="5"/>
      <c r="BD57" s="150">
        <f t="shared" si="105"/>
        <v>6.5237429299866232</v>
      </c>
      <c r="BE57" s="150">
        <f t="shared" si="165"/>
        <v>0.39808936069550049</v>
      </c>
      <c r="BF57" s="150"/>
      <c r="BG57" s="456">
        <f t="shared" si="166"/>
        <v>0.14470135417627153</v>
      </c>
      <c r="BH57" s="456">
        <f t="shared" si="167"/>
        <v>1.5749790031810345</v>
      </c>
      <c r="BI57" s="456">
        <f t="shared" si="168"/>
        <v>9.8335260920712209E-2</v>
      </c>
      <c r="BJ57" s="456">
        <f t="shared" si="169"/>
        <v>5.189679333790638E-2</v>
      </c>
      <c r="BK57">
        <f t="shared" si="170"/>
        <v>5.3800587167138116E-3</v>
      </c>
      <c r="BL57" s="144">
        <f t="shared" si="106"/>
        <v>103.71531963742602</v>
      </c>
      <c r="BM57" s="456">
        <f t="shared" si="171"/>
        <v>1.8751149207017805</v>
      </c>
      <c r="BN57" s="144">
        <f t="shared" si="107"/>
        <v>1875.1149207017806</v>
      </c>
      <c r="BO57" s="456">
        <f t="shared" si="172"/>
        <v>0.57687500000000003</v>
      </c>
      <c r="BP57" s="456"/>
      <c r="BR57" s="144">
        <f t="shared" si="109"/>
        <v>576.875</v>
      </c>
      <c r="BS57" s="456">
        <f t="shared" si="173"/>
        <v>6.3838832724825684E-2</v>
      </c>
      <c r="BT57" s="456">
        <f t="shared" si="174"/>
        <v>3.1695027819790465E-2</v>
      </c>
      <c r="BU57" s="456">
        <f t="shared" si="175"/>
        <v>0.66300000000000003</v>
      </c>
      <c r="BV57" s="456">
        <f t="shared" si="176"/>
        <v>0.78748047103544483</v>
      </c>
      <c r="BW57" s="456">
        <f t="shared" si="177"/>
        <v>5.7080602528577135E-2</v>
      </c>
      <c r="BX57" s="144">
        <f t="shared" si="110"/>
        <v>844.56107356402197</v>
      </c>
      <c r="BY57" s="150">
        <f t="shared" si="45"/>
        <v>3.400266313903229</v>
      </c>
      <c r="BZ57" s="5">
        <f t="shared" si="111"/>
        <v>44.2</v>
      </c>
      <c r="CA57" s="150">
        <f t="shared" si="112"/>
        <v>0.92856623340130195</v>
      </c>
      <c r="CB57" s="5">
        <f t="shared" si="113"/>
        <v>92.856623340130199</v>
      </c>
      <c r="CE57" s="59">
        <f t="shared" si="178"/>
        <v>-50</v>
      </c>
      <c r="CF57">
        <f t="shared" si="179"/>
        <v>-50</v>
      </c>
      <c r="CG57" s="150">
        <f t="shared" si="180"/>
        <v>0.5749880704990501</v>
      </c>
      <c r="CI57" s="147">
        <v>52</v>
      </c>
      <c r="CJ57" s="188">
        <f t="shared" si="114"/>
        <v>0.26</v>
      </c>
      <c r="CK57" s="188"/>
      <c r="CL57" s="188">
        <f t="shared" si="49"/>
        <v>44.2</v>
      </c>
      <c r="CM57" s="465">
        <f t="shared" si="50"/>
        <v>12</v>
      </c>
      <c r="CN57" s="149">
        <f t="shared" si="51"/>
        <v>8.5350000000000001</v>
      </c>
      <c r="CO57" s="379">
        <f t="shared" si="52"/>
        <v>20.535</v>
      </c>
      <c r="CP57" s="379"/>
      <c r="CQ57" s="188">
        <f t="shared" si="53"/>
        <v>0.4156318480642805</v>
      </c>
      <c r="CR57" s="149">
        <f t="shared" si="54"/>
        <v>166.85124908692478</v>
      </c>
      <c r="CS57" s="149">
        <f t="shared" si="115"/>
        <v>44.2</v>
      </c>
      <c r="CT57" s="188">
        <f t="shared" si="55"/>
        <v>0.98147793580543985</v>
      </c>
      <c r="CU57" s="188">
        <f t="shared" si="56"/>
        <v>170</v>
      </c>
      <c r="CV57" s="188">
        <f t="shared" si="57"/>
        <v>0.97795728956301287</v>
      </c>
      <c r="CW57" s="149">
        <f t="shared" si="58"/>
        <v>1298.5908397656488</v>
      </c>
      <c r="CX57" s="149">
        <f t="shared" si="59"/>
        <v>170</v>
      </c>
      <c r="CY57" s="188">
        <f t="shared" si="60"/>
        <v>17.724018746338608</v>
      </c>
      <c r="CZ57" s="188">
        <f t="shared" si="61"/>
        <v>2.215502343292326</v>
      </c>
      <c r="DA57" s="188">
        <f t="shared" si="62"/>
        <v>3.1149417831878048</v>
      </c>
      <c r="DB57" s="172">
        <f t="shared" si="63"/>
        <v>249.37910883856827</v>
      </c>
      <c r="DC57" s="379">
        <f t="shared" si="116"/>
        <v>187.60162873338908</v>
      </c>
      <c r="DE57" s="188">
        <f t="shared" si="64"/>
        <v>13.333333333333334</v>
      </c>
      <c r="DF57" s="150">
        <f t="shared" si="65"/>
        <v>2.3432923257176337</v>
      </c>
      <c r="DG57" s="150">
        <f t="shared" si="66"/>
        <v>0.19478938397857323</v>
      </c>
      <c r="DH57" s="150"/>
      <c r="DI57" s="150">
        <f t="shared" si="67"/>
        <v>2.3432923257176337</v>
      </c>
      <c r="DJ57" s="314">
        <f t="shared" si="117"/>
        <v>332.86499999999995</v>
      </c>
      <c r="DK57" s="456">
        <f t="shared" si="68"/>
        <v>0.19478938397857321</v>
      </c>
      <c r="DM57" s="150">
        <f t="shared" si="69"/>
        <v>13.002856828954386</v>
      </c>
      <c r="DN57" s="150">
        <f t="shared" si="70"/>
        <v>17.724018746338608</v>
      </c>
      <c r="DO57" s="150">
        <f t="shared" si="71"/>
        <v>4.4523595651890915</v>
      </c>
      <c r="DQ57" s="314">
        <f t="shared" si="72"/>
        <v>260</v>
      </c>
      <c r="DR57" s="144">
        <f t="shared" si="73"/>
        <v>187.60162873338908</v>
      </c>
      <c r="DT57">
        <f t="shared" si="74"/>
        <v>260</v>
      </c>
      <c r="DU57" s="144">
        <f t="shared" si="75"/>
        <v>187.60162873338908</v>
      </c>
      <c r="DV57" s="144"/>
      <c r="DW57" s="5">
        <f t="shared" si="118"/>
        <v>5.3304441264801312</v>
      </c>
      <c r="DX57" s="5">
        <f t="shared" si="76"/>
        <v>2.215502343292326</v>
      </c>
      <c r="DY57" s="5">
        <f t="shared" si="119"/>
        <v>3.1149417831878052</v>
      </c>
      <c r="DZ57" s="5">
        <f t="shared" si="77"/>
        <v>3.1149417831878048</v>
      </c>
      <c r="EA57" s="150">
        <f t="shared" si="120"/>
        <v>0.41563184806428044</v>
      </c>
      <c r="EB57" s="150">
        <f t="shared" si="78"/>
        <v>44.2</v>
      </c>
      <c r="EC57" s="150">
        <f t="shared" si="79"/>
        <v>0.25893380199179855</v>
      </c>
      <c r="ED57" s="150">
        <f t="shared" si="121"/>
        <v>170.69999999999996</v>
      </c>
      <c r="EE57" s="144">
        <f t="shared" si="80"/>
        <v>0.33884153485647339</v>
      </c>
      <c r="EF57" s="5">
        <f t="shared" si="81"/>
        <v>19.122281502347359</v>
      </c>
      <c r="EG57" s="5"/>
      <c r="EH57" s="150">
        <f t="shared" si="122"/>
        <v>6.597144283653539</v>
      </c>
      <c r="EI57" s="150">
        <f t="shared" si="82"/>
        <v>0.39112434342390257</v>
      </c>
      <c r="EJ57" s="150"/>
      <c r="EK57" s="456">
        <f t="shared" si="83"/>
        <v>0.1479758631777647</v>
      </c>
      <c r="EL57" s="456">
        <f t="shared" si="84"/>
        <v>2.0757120000000002</v>
      </c>
      <c r="EM57" s="456">
        <f t="shared" si="85"/>
        <v>4.2960772979946098E-2</v>
      </c>
      <c r="EN57" s="456">
        <f t="shared" si="86"/>
        <v>5.4189680497737536E-2</v>
      </c>
      <c r="EO57">
        <f t="shared" si="87"/>
        <v>5.4000000000000003E-3</v>
      </c>
      <c r="EP57" s="144">
        <f t="shared" si="123"/>
        <v>48.360772979946098</v>
      </c>
      <c r="EQ57" s="456">
        <f t="shared" si="88"/>
        <v>2.4524164700129623</v>
      </c>
      <c r="ER57" s="144">
        <f t="shared" si="124"/>
        <v>2452.4164700129622</v>
      </c>
      <c r="ES57" s="456">
        <f t="shared" si="125"/>
        <v>0.57687500000000003</v>
      </c>
      <c r="ET57" s="456"/>
      <c r="EV57" s="144">
        <f t="shared" si="126"/>
        <v>576.875</v>
      </c>
      <c r="EW57" s="456">
        <f t="shared" si="89"/>
        <v>6.5283469049013845E-2</v>
      </c>
      <c r="EX57" s="456">
        <f t="shared" si="90"/>
        <v>3.0595650403755777E-2</v>
      </c>
      <c r="EY57" s="456">
        <f t="shared" si="91"/>
        <v>31.876234821662461</v>
      </c>
      <c r="EZ57" s="456">
        <f t="shared" si="92"/>
        <v>32.242435032175749</v>
      </c>
      <c r="FA57" s="456">
        <f t="shared" si="93"/>
        <v>5.8933333333333338E-2</v>
      </c>
      <c r="FB57" s="144">
        <f t="shared" si="127"/>
        <v>32301.368365509083</v>
      </c>
      <c r="FC57" s="150">
        <f t="shared" si="128"/>
        <v>35.330659835522049</v>
      </c>
      <c r="FD57" s="5">
        <f t="shared" si="129"/>
        <v>44.2</v>
      </c>
      <c r="FE57" s="150">
        <f t="shared" si="130"/>
        <v>0.5557605091094473</v>
      </c>
      <c r="FF57" s="5">
        <f t="shared" si="131"/>
        <v>55.57605091094473</v>
      </c>
      <c r="FI57" s="59">
        <f t="shared" si="94"/>
        <v>-50</v>
      </c>
      <c r="FJ57">
        <f t="shared" si="95"/>
        <v>-50</v>
      </c>
      <c r="FL57">
        <f t="shared" si="181"/>
        <v>0.58436815193571956</v>
      </c>
    </row>
    <row r="58" spans="5:168">
      <c r="E58" s="147">
        <v>53</v>
      </c>
      <c r="F58" s="188">
        <f t="shared" si="182"/>
        <v>0.26500000000000001</v>
      </c>
      <c r="G58" s="188"/>
      <c r="H58" s="188">
        <f t="shared" si="132"/>
        <v>45.050000000000004</v>
      </c>
      <c r="I58" s="465">
        <f t="shared" si="133"/>
        <v>11.95484774351819</v>
      </c>
      <c r="J58" s="149">
        <f t="shared" si="134"/>
        <v>8.539607373110389</v>
      </c>
      <c r="K58" s="149">
        <f t="shared" si="135"/>
        <v>20.539607373110389</v>
      </c>
      <c r="L58" s="379"/>
      <c r="M58" s="188">
        <f t="shared" si="136"/>
        <v>0.41667685226224882</v>
      </c>
      <c r="N58" s="149">
        <f t="shared" si="137"/>
        <v>166.64136790069881</v>
      </c>
      <c r="O58" s="149">
        <f t="shared" si="98"/>
        <v>45.050000000000004</v>
      </c>
      <c r="P58" s="188">
        <f t="shared" si="138"/>
        <v>0.98024334059234597</v>
      </c>
      <c r="Q58" s="188">
        <f t="shared" si="139"/>
        <v>170</v>
      </c>
      <c r="R58" s="188">
        <f t="shared" si="140"/>
        <v>0.9767271229497273</v>
      </c>
      <c r="S58" s="149">
        <f t="shared" si="141"/>
        <v>1264.7897336903948</v>
      </c>
      <c r="T58" s="149">
        <f t="shared" si="142"/>
        <v>170</v>
      </c>
      <c r="U58" s="188">
        <f t="shared" si="143"/>
        <v>18.17174586866475</v>
      </c>
      <c r="V58" s="188">
        <f t="shared" si="11"/>
        <v>2.2800473404419526</v>
      </c>
      <c r="W58" s="188">
        <f t="shared" si="144"/>
        <v>3.1919053900330616</v>
      </c>
      <c r="X58" s="172">
        <f t="shared" si="145"/>
        <v>249.06665084286024</v>
      </c>
      <c r="Y58" s="379">
        <f t="shared" si="14"/>
        <v>176.30612374942203</v>
      </c>
      <c r="AA58" s="188">
        <f t="shared" si="146"/>
        <v>13.333333333333334</v>
      </c>
      <c r="AB58" s="150">
        <f t="shared" si="147"/>
        <v>2.342028049553686</v>
      </c>
      <c r="AC58" s="150">
        <f t="shared" si="148"/>
        <v>0.19444036082745766</v>
      </c>
      <c r="AD58" s="150"/>
      <c r="AE58" s="150">
        <f t="shared" si="149"/>
        <v>2.342028049553686</v>
      </c>
      <c r="AF58" s="314">
        <f t="shared" si="150"/>
        <v>339.44939308113783</v>
      </c>
      <c r="AG58" s="456">
        <f t="shared" si="151"/>
        <v>0.19444036082745769</v>
      </c>
      <c r="AI58" s="150">
        <f t="shared" si="152"/>
        <v>13.130831631804599</v>
      </c>
      <c r="AJ58" s="150">
        <f t="shared" si="153"/>
        <v>18.17174586866475</v>
      </c>
      <c r="AK58" s="150">
        <f t="shared" si="154"/>
        <v>4.7840092854306793</v>
      </c>
      <c r="AM58" s="314">
        <f t="shared" si="155"/>
        <v>265</v>
      </c>
      <c r="AN58" s="144">
        <f t="shared" si="156"/>
        <v>176.30612374942203</v>
      </c>
      <c r="AP58">
        <f t="shared" si="157"/>
        <v>265</v>
      </c>
      <c r="AQ58" s="144">
        <f t="shared" si="158"/>
        <v>176.30612374942203</v>
      </c>
      <c r="AR58" s="144"/>
      <c r="AS58" s="5">
        <f t="shared" si="101"/>
        <v>5.6719527304750139</v>
      </c>
      <c r="AT58" s="5">
        <f t="shared" si="159"/>
        <v>2.2800473404419526</v>
      </c>
      <c r="AU58" s="5">
        <f t="shared" si="102"/>
        <v>3.3919053900330614</v>
      </c>
      <c r="AV58" s="5">
        <f t="shared" si="160"/>
        <v>3.1919053900330616</v>
      </c>
      <c r="AW58" s="150">
        <f t="shared" si="103"/>
        <v>0.40198630855849948</v>
      </c>
      <c r="AX58" s="150">
        <f t="shared" si="161"/>
        <v>43.663844306361121</v>
      </c>
      <c r="AY58" s="150">
        <f t="shared" si="162"/>
        <v>0.27167382067142609</v>
      </c>
      <c r="AZ58" s="150">
        <f t="shared" si="104"/>
        <v>160.72157485932379</v>
      </c>
      <c r="BA58" s="144">
        <f t="shared" si="163"/>
        <v>0.35541914424536319</v>
      </c>
      <c r="BB58" s="5">
        <f t="shared" si="164"/>
        <v>21.303120583285146</v>
      </c>
      <c r="BC58" s="5"/>
      <c r="BD58" s="150">
        <f t="shared" si="105"/>
        <v>6.6518379109065338</v>
      </c>
      <c r="BE58" s="150">
        <f t="shared" si="165"/>
        <v>0.40565944782992364</v>
      </c>
      <c r="BF58" s="150"/>
      <c r="BG58" s="456">
        <f t="shared" si="166"/>
        <v>0.15043962181610954</v>
      </c>
      <c r="BH58" s="456">
        <f t="shared" si="167"/>
        <v>1.5760199368254619</v>
      </c>
      <c r="BI58" s="456">
        <f t="shared" si="168"/>
        <v>9.6533249247879122E-2</v>
      </c>
      <c r="BJ58" s="456">
        <f t="shared" si="169"/>
        <v>5.0949771867941258E-2</v>
      </c>
      <c r="BK58">
        <f t="shared" si="170"/>
        <v>5.3796814845831851E-3</v>
      </c>
      <c r="BL58" s="144">
        <f t="shared" si="106"/>
        <v>101.91293073246231</v>
      </c>
      <c r="BM58" s="456">
        <f t="shared" si="171"/>
        <v>1.8854213866978728</v>
      </c>
      <c r="BN58" s="144">
        <f t="shared" si="107"/>
        <v>1885.4213866978728</v>
      </c>
      <c r="BO58" s="456">
        <f t="shared" si="172"/>
        <v>0.58796875000000004</v>
      </c>
      <c r="BP58" s="456"/>
      <c r="BR58" s="144">
        <f t="shared" si="109"/>
        <v>587.96875</v>
      </c>
      <c r="BS58" s="456">
        <f t="shared" si="173"/>
        <v>6.6370421389460102E-2</v>
      </c>
      <c r="BT58" s="456">
        <f t="shared" si="174"/>
        <v>3.2911917522735708E-2</v>
      </c>
      <c r="BU58" s="456">
        <f t="shared" si="175"/>
        <v>0.67575000000000007</v>
      </c>
      <c r="BV58" s="456">
        <f t="shared" si="176"/>
        <v>0.80525591550828646</v>
      </c>
      <c r="BW58" s="456">
        <f t="shared" si="177"/>
        <v>5.8218459075148152E-2</v>
      </c>
      <c r="BX58" s="144">
        <f t="shared" si="110"/>
        <v>863.47437458343461</v>
      </c>
      <c r="BY58" s="150">
        <f t="shared" si="45"/>
        <v>3.4387774420137696</v>
      </c>
      <c r="BZ58" s="5">
        <f t="shared" si="111"/>
        <v>45.050000000000004</v>
      </c>
      <c r="CA58" s="150">
        <f t="shared" si="112"/>
        <v>0.92908096216436697</v>
      </c>
      <c r="CB58" s="5">
        <f t="shared" si="113"/>
        <v>92.908096216436704</v>
      </c>
      <c r="CE58" s="59">
        <f t="shared" si="178"/>
        <v>-50</v>
      </c>
      <c r="CF58">
        <f t="shared" si="179"/>
        <v>-50</v>
      </c>
      <c r="CG58" s="150">
        <f t="shared" si="180"/>
        <v>0.57516505316766653</v>
      </c>
      <c r="CI58" s="147">
        <v>53</v>
      </c>
      <c r="CJ58" s="188">
        <f t="shared" si="114"/>
        <v>0.26500000000000001</v>
      </c>
      <c r="CK58" s="188"/>
      <c r="CL58" s="188">
        <f t="shared" si="49"/>
        <v>45.050000000000004</v>
      </c>
      <c r="CM58" s="465">
        <f t="shared" si="50"/>
        <v>12</v>
      </c>
      <c r="CN58" s="149">
        <f t="shared" si="51"/>
        <v>8.5350000000000001</v>
      </c>
      <c r="CO58" s="379">
        <f t="shared" si="52"/>
        <v>20.535</v>
      </c>
      <c r="CP58" s="379"/>
      <c r="CQ58" s="188">
        <f t="shared" si="53"/>
        <v>0.4156318480642805</v>
      </c>
      <c r="CR58" s="149">
        <f t="shared" si="54"/>
        <v>166.85124908692478</v>
      </c>
      <c r="CS58" s="149">
        <f t="shared" si="115"/>
        <v>45.050000000000004</v>
      </c>
      <c r="CT58" s="188">
        <f t="shared" si="55"/>
        <v>0.98147793580543985</v>
      </c>
      <c r="CU58" s="188">
        <f t="shared" si="56"/>
        <v>170</v>
      </c>
      <c r="CV58" s="188">
        <f t="shared" si="57"/>
        <v>0.97795728956301287</v>
      </c>
      <c r="CW58" s="149">
        <f t="shared" si="58"/>
        <v>1269.5662180052066</v>
      </c>
      <c r="CX58" s="149">
        <f t="shared" si="59"/>
        <v>170</v>
      </c>
      <c r="CY58" s="188">
        <f t="shared" si="60"/>
        <v>18.064865260691271</v>
      </c>
      <c r="CZ58" s="188">
        <f t="shared" si="61"/>
        <v>2.2581081575864088</v>
      </c>
      <c r="DA58" s="188">
        <f t="shared" si="62"/>
        <v>3.1748445097875697</v>
      </c>
      <c r="DB58" s="172">
        <f t="shared" si="63"/>
        <v>249.37910883856827</v>
      </c>
      <c r="DC58" s="379">
        <f t="shared" si="116"/>
        <v>184.06197536106103</v>
      </c>
      <c r="DE58" s="188">
        <f t="shared" si="64"/>
        <v>13.333333333333334</v>
      </c>
      <c r="DF58" s="150">
        <f t="shared" si="65"/>
        <v>2.3432923257176337</v>
      </c>
      <c r="DG58" s="150">
        <f t="shared" si="66"/>
        <v>0.19478938397857323</v>
      </c>
      <c r="DH58" s="150"/>
      <c r="DI58" s="150">
        <f t="shared" si="67"/>
        <v>2.3432923257176337</v>
      </c>
      <c r="DJ58" s="314">
        <f t="shared" si="117"/>
        <v>339.26624999999996</v>
      </c>
      <c r="DK58" s="456">
        <f t="shared" si="68"/>
        <v>0.19478938397857321</v>
      </c>
      <c r="DM58" s="150">
        <f t="shared" si="69"/>
        <v>13.127288916060097</v>
      </c>
      <c r="DN58" s="150">
        <f t="shared" si="70"/>
        <v>18.064865260691271</v>
      </c>
      <c r="DO58" s="150">
        <f t="shared" si="71"/>
        <v>4.7048384647095824</v>
      </c>
      <c r="DQ58" s="314">
        <f t="shared" si="72"/>
        <v>265</v>
      </c>
      <c r="DR58" s="144">
        <f t="shared" si="73"/>
        <v>184.06197536106103</v>
      </c>
      <c r="DT58">
        <f t="shared" si="74"/>
        <v>265</v>
      </c>
      <c r="DU58" s="144">
        <f t="shared" si="75"/>
        <v>184.06197536106103</v>
      </c>
      <c r="DV58" s="144"/>
      <c r="DW58" s="5">
        <f t="shared" si="118"/>
        <v>5.4329526673739785</v>
      </c>
      <c r="DX58" s="5">
        <f t="shared" si="76"/>
        <v>2.2581081575864088</v>
      </c>
      <c r="DY58" s="5">
        <f t="shared" si="119"/>
        <v>3.1748445097875697</v>
      </c>
      <c r="DZ58" s="5">
        <f t="shared" si="77"/>
        <v>3.1748445097875697</v>
      </c>
      <c r="EA58" s="150">
        <f t="shared" si="120"/>
        <v>0.4156318480642805</v>
      </c>
      <c r="EB58" s="150">
        <f t="shared" si="78"/>
        <v>45.04999999999999</v>
      </c>
      <c r="EC58" s="150">
        <f t="shared" si="79"/>
        <v>0.26391329818394849</v>
      </c>
      <c r="ED58" s="150">
        <f t="shared" si="121"/>
        <v>170.69999999999993</v>
      </c>
      <c r="EE58" s="144">
        <f t="shared" si="80"/>
        <v>0.35199921280023433</v>
      </c>
      <c r="EF58" s="5">
        <f t="shared" si="81"/>
        <v>19.86482571749028</v>
      </c>
      <c r="EG58" s="5"/>
      <c r="EH58" s="150">
        <f t="shared" si="122"/>
        <v>6.7240124429545691</v>
      </c>
      <c r="EI58" s="150">
        <f t="shared" si="82"/>
        <v>0.39864596541282377</v>
      </c>
      <c r="EJ58" s="150"/>
      <c r="EK58" s="456">
        <f t="shared" si="83"/>
        <v>0.15372196733222676</v>
      </c>
      <c r="EL58" s="456">
        <f t="shared" si="84"/>
        <v>2.0757120000000002</v>
      </c>
      <c r="EM58" s="456">
        <f t="shared" si="85"/>
        <v>4.2150192357682977E-2</v>
      </c>
      <c r="EN58" s="456">
        <f t="shared" si="86"/>
        <v>5.3167233695893448E-2</v>
      </c>
      <c r="EO58">
        <f t="shared" si="87"/>
        <v>5.4000000000000003E-3</v>
      </c>
      <c r="EP58" s="144">
        <f t="shared" si="123"/>
        <v>47.550192357682981</v>
      </c>
      <c r="EQ58" s="456">
        <f t="shared" si="88"/>
        <v>2.4615632980105002</v>
      </c>
      <c r="ER58" s="144">
        <f t="shared" si="124"/>
        <v>2461.5632980105001</v>
      </c>
      <c r="ES58" s="456">
        <f t="shared" si="125"/>
        <v>0.58796875000000004</v>
      </c>
      <c r="ET58" s="456"/>
      <c r="EV58" s="144">
        <f t="shared" si="126"/>
        <v>587.96875</v>
      </c>
      <c r="EW58" s="456">
        <f t="shared" si="89"/>
        <v>6.7818514999511817E-2</v>
      </c>
      <c r="EX58" s="456">
        <f t="shared" si="90"/>
        <v>3.1783721147984459E-2</v>
      </c>
      <c r="EY58" s="456">
        <f t="shared" si="91"/>
        <v>31.876234821662486</v>
      </c>
      <c r="EZ58" s="456">
        <f t="shared" si="92"/>
        <v>32.256769302761299</v>
      </c>
      <c r="FA58" s="456">
        <f t="shared" si="93"/>
        <v>6.0066666666666664E-2</v>
      </c>
      <c r="FB58" s="144">
        <f t="shared" si="127"/>
        <v>32316.835969427964</v>
      </c>
      <c r="FC58" s="150">
        <f t="shared" si="128"/>
        <v>35.366368017438461</v>
      </c>
      <c r="FD58" s="5">
        <f t="shared" si="129"/>
        <v>45.050000000000004</v>
      </c>
      <c r="FE58" s="150">
        <f t="shared" si="130"/>
        <v>0.56020933437619091</v>
      </c>
      <c r="FF58" s="5">
        <f t="shared" si="131"/>
        <v>56.020933437619092</v>
      </c>
      <c r="FI58" s="59">
        <f t="shared" si="94"/>
        <v>-50</v>
      </c>
      <c r="FJ58">
        <f t="shared" si="95"/>
        <v>-50</v>
      </c>
      <c r="FL58">
        <f t="shared" si="181"/>
        <v>0.58436815193571956</v>
      </c>
    </row>
    <row r="59" spans="5:168">
      <c r="E59" s="147">
        <v>54</v>
      </c>
      <c r="F59" s="188">
        <f t="shared" si="182"/>
        <v>0.27</v>
      </c>
      <c r="G59" s="188"/>
      <c r="H59" s="188">
        <f t="shared" si="132"/>
        <v>45.900000000000006</v>
      </c>
      <c r="I59" s="465">
        <f t="shared" si="133"/>
        <v>11.954009441660771</v>
      </c>
      <c r="J59" s="149">
        <f t="shared" si="134"/>
        <v>8.5396929141162481</v>
      </c>
      <c r="K59" s="149">
        <f t="shared" si="135"/>
        <v>20.539692914116248</v>
      </c>
      <c r="L59" s="379"/>
      <c r="M59" s="188">
        <f t="shared" si="136"/>
        <v>0.41669633205033879</v>
      </c>
      <c r="N59" s="149">
        <f t="shared" si="137"/>
        <v>166.63747261435495</v>
      </c>
      <c r="O59" s="149">
        <f t="shared" si="98"/>
        <v>45.900000000000006</v>
      </c>
      <c r="P59" s="188">
        <f t="shared" si="138"/>
        <v>0.98022042714326441</v>
      </c>
      <c r="Q59" s="188">
        <f t="shared" si="139"/>
        <v>170</v>
      </c>
      <c r="R59" s="188">
        <f t="shared" si="140"/>
        <v>0.97670429169316908</v>
      </c>
      <c r="S59" s="149">
        <f t="shared" si="141"/>
        <v>1236.8586768061987</v>
      </c>
      <c r="T59" s="149">
        <f t="shared" si="142"/>
        <v>170</v>
      </c>
      <c r="U59" s="188">
        <f t="shared" si="143"/>
        <v>18.515227305123055</v>
      </c>
      <c r="V59" s="188">
        <f t="shared" si="11"/>
        <v>2.3233075976076947</v>
      </c>
      <c r="W59" s="188">
        <f t="shared" si="144"/>
        <v>3.2522060496783949</v>
      </c>
      <c r="X59" s="172">
        <f t="shared" si="145"/>
        <v>249.06082842432966</v>
      </c>
      <c r="Y59" s="379">
        <f t="shared" si="14"/>
        <v>173.14477310081318</v>
      </c>
      <c r="AA59" s="188">
        <f t="shared" si="146"/>
        <v>13.333333333333332</v>
      </c>
      <c r="AB59" s="150">
        <f t="shared" si="147"/>
        <v>2.3420045897598589</v>
      </c>
      <c r="AC59" s="150">
        <f t="shared" si="148"/>
        <v>0.19443386776639093</v>
      </c>
      <c r="AD59" s="150"/>
      <c r="AE59" s="150">
        <f t="shared" si="149"/>
        <v>2.3420045897598594</v>
      </c>
      <c r="AF59" s="314">
        <f t="shared" si="150"/>
        <v>345.85756302170796</v>
      </c>
      <c r="AG59" s="456">
        <f t="shared" si="151"/>
        <v>0.19443386776639099</v>
      </c>
      <c r="AI59" s="150">
        <f t="shared" si="152"/>
        <v>13.254194913485961</v>
      </c>
      <c r="AJ59" s="150">
        <f t="shared" si="153"/>
        <v>18.515227305123055</v>
      </c>
      <c r="AK59" s="150">
        <f t="shared" si="154"/>
        <v>5.0384399791034973</v>
      </c>
      <c r="AM59" s="314">
        <f t="shared" si="155"/>
        <v>270</v>
      </c>
      <c r="AN59" s="144">
        <f t="shared" si="156"/>
        <v>173.14477310081318</v>
      </c>
      <c r="AP59">
        <f t="shared" si="157"/>
        <v>270</v>
      </c>
      <c r="AQ59" s="144">
        <f t="shared" si="158"/>
        <v>173.14477310081318</v>
      </c>
      <c r="AR59" s="144"/>
      <c r="AS59" s="5">
        <f t="shared" si="101"/>
        <v>5.7755136472860897</v>
      </c>
      <c r="AT59" s="5">
        <f t="shared" si="159"/>
        <v>2.3233075976076947</v>
      </c>
      <c r="AU59" s="5">
        <f t="shared" si="102"/>
        <v>3.4522060496783951</v>
      </c>
      <c r="AV59" s="5">
        <f t="shared" si="160"/>
        <v>3.2522060496783949</v>
      </c>
      <c r="AW59" s="150">
        <f t="shared" si="103"/>
        <v>0.40226856683117967</v>
      </c>
      <c r="AX59" s="150">
        <f t="shared" si="161"/>
        <v>44.517292715791029</v>
      </c>
      <c r="AY59" s="150">
        <f t="shared" si="162"/>
        <v>0.27667833381344203</v>
      </c>
      <c r="AZ59" s="150">
        <f t="shared" si="104"/>
        <v>160.89909210530391</v>
      </c>
      <c r="BA59" s="144">
        <f t="shared" si="163"/>
        <v>0.36899591256122211</v>
      </c>
      <c r="BB59" s="5">
        <f t="shared" si="164"/>
        <v>22.092484039706985</v>
      </c>
      <c r="BC59" s="5"/>
      <c r="BD59" s="150">
        <f t="shared" si="105"/>
        <v>6.7799496684963341</v>
      </c>
      <c r="BE59" s="150">
        <f t="shared" si="165"/>
        <v>0.4132296472487017</v>
      </c>
      <c r="BF59" s="150"/>
      <c r="BG59" s="456">
        <f t="shared" si="166"/>
        <v>0.15629023952496807</v>
      </c>
      <c r="BH59" s="456">
        <f t="shared" si="167"/>
        <v>1.5770225292603519</v>
      </c>
      <c r="BI59" s="456">
        <f t="shared" si="168"/>
        <v>9.479566076089703E-2</v>
      </c>
      <c r="BJ59" s="456">
        <f t="shared" si="169"/>
        <v>5.003660667740608E-2</v>
      </c>
      <c r="BK59">
        <f t="shared" si="170"/>
        <v>5.3793042487473471E-3</v>
      </c>
      <c r="BL59" s="144">
        <f t="shared" si="106"/>
        <v>100.17496500964437</v>
      </c>
      <c r="BM59" s="456">
        <f t="shared" si="171"/>
        <v>1.8959531270142291</v>
      </c>
      <c r="BN59" s="144">
        <f t="shared" si="107"/>
        <v>1895.953127014229</v>
      </c>
      <c r="BO59" s="456">
        <f t="shared" si="172"/>
        <v>0.59906250000000005</v>
      </c>
      <c r="BP59" s="456"/>
      <c r="BR59" s="144">
        <f t="shared" si="109"/>
        <v>599.0625</v>
      </c>
      <c r="BS59" s="456">
        <f t="shared" si="173"/>
        <v>6.8951576261015321E-2</v>
      </c>
      <c r="BT59" s="456">
        <f t="shared" si="174"/>
        <v>3.4151748273057288E-2</v>
      </c>
      <c r="BU59" s="456">
        <f t="shared" si="175"/>
        <v>0.68850000000000011</v>
      </c>
      <c r="BV59" s="456">
        <f t="shared" si="176"/>
        <v>0.82313758010688631</v>
      </c>
      <c r="BW59" s="456">
        <f t="shared" si="177"/>
        <v>5.9356390287721383E-2</v>
      </c>
      <c r="BX59" s="144">
        <f t="shared" si="110"/>
        <v>882.4939703946078</v>
      </c>
      <c r="BY59" s="150">
        <f t="shared" si="45"/>
        <v>3.4776845624184816</v>
      </c>
      <c r="BZ59" s="5">
        <f t="shared" si="111"/>
        <v>45.900000000000006</v>
      </c>
      <c r="CA59" s="150">
        <f t="shared" si="112"/>
        <v>0.92956971163720059</v>
      </c>
      <c r="CB59" s="5">
        <f t="shared" si="113"/>
        <v>92.956971163720056</v>
      </c>
      <c r="CE59" s="59">
        <f t="shared" si="178"/>
        <v>-50</v>
      </c>
      <c r="CF59">
        <f t="shared" si="179"/>
        <v>-50</v>
      </c>
      <c r="CG59" s="150">
        <f t="shared" si="180"/>
        <v>0.57533548092263032</v>
      </c>
      <c r="CI59" s="147">
        <v>54</v>
      </c>
      <c r="CJ59" s="188">
        <f t="shared" si="114"/>
        <v>0.27</v>
      </c>
      <c r="CK59" s="188"/>
      <c r="CL59" s="188">
        <f t="shared" si="49"/>
        <v>45.900000000000006</v>
      </c>
      <c r="CM59" s="465">
        <f t="shared" si="50"/>
        <v>12</v>
      </c>
      <c r="CN59" s="149">
        <f t="shared" si="51"/>
        <v>8.5350000000000001</v>
      </c>
      <c r="CO59" s="379">
        <f t="shared" si="52"/>
        <v>20.535</v>
      </c>
      <c r="CP59" s="379"/>
      <c r="CQ59" s="188">
        <f t="shared" si="53"/>
        <v>0.4156318480642805</v>
      </c>
      <c r="CR59" s="149">
        <f t="shared" si="54"/>
        <v>166.85124908692478</v>
      </c>
      <c r="CS59" s="149">
        <f t="shared" si="115"/>
        <v>45.900000000000006</v>
      </c>
      <c r="CT59" s="188">
        <f t="shared" si="55"/>
        <v>0.98147793580543985</v>
      </c>
      <c r="CU59" s="188">
        <f t="shared" si="56"/>
        <v>170</v>
      </c>
      <c r="CV59" s="188">
        <f t="shared" si="57"/>
        <v>0.97795728956301287</v>
      </c>
      <c r="CW59" s="149">
        <f t="shared" si="58"/>
        <v>1241.6167126977109</v>
      </c>
      <c r="CX59" s="149">
        <f t="shared" si="59"/>
        <v>170</v>
      </c>
      <c r="CY59" s="188">
        <f t="shared" si="60"/>
        <v>18.405711775043937</v>
      </c>
      <c r="CZ59" s="188">
        <f t="shared" si="61"/>
        <v>2.3007139718804921</v>
      </c>
      <c r="DA59" s="188">
        <f t="shared" si="62"/>
        <v>3.2347472363873355</v>
      </c>
      <c r="DB59" s="172">
        <f t="shared" si="63"/>
        <v>249.37910883856827</v>
      </c>
      <c r="DC59" s="379">
        <f t="shared" si="116"/>
        <v>180.65342026178212</v>
      </c>
      <c r="DE59" s="188">
        <f t="shared" si="64"/>
        <v>13.333333333333334</v>
      </c>
      <c r="DF59" s="150">
        <f t="shared" si="65"/>
        <v>2.3432923257176337</v>
      </c>
      <c r="DG59" s="150">
        <f t="shared" si="66"/>
        <v>0.19478938397857323</v>
      </c>
      <c r="DH59" s="150"/>
      <c r="DI59" s="150">
        <f t="shared" si="67"/>
        <v>2.3432923257176337</v>
      </c>
      <c r="DJ59" s="314">
        <f t="shared" si="117"/>
        <v>345.66749999999996</v>
      </c>
      <c r="DK59" s="456">
        <f t="shared" si="68"/>
        <v>0.19478938397857321</v>
      </c>
      <c r="DM59" s="150">
        <f t="shared" si="69"/>
        <v>13.250552549125748</v>
      </c>
      <c r="DN59" s="150">
        <f t="shared" si="70"/>
        <v>18.405711775043937</v>
      </c>
      <c r="DO59" s="150">
        <f t="shared" si="71"/>
        <v>4.9573173642300761</v>
      </c>
      <c r="DQ59" s="314">
        <f t="shared" si="72"/>
        <v>270</v>
      </c>
      <c r="DR59" s="144">
        <f t="shared" si="73"/>
        <v>180.65342026178212</v>
      </c>
      <c r="DT59">
        <f t="shared" si="74"/>
        <v>270</v>
      </c>
      <c r="DU59" s="144">
        <f t="shared" si="75"/>
        <v>180.65342026178212</v>
      </c>
      <c r="DV59" s="144"/>
      <c r="DW59" s="5">
        <f t="shared" si="118"/>
        <v>5.5354612082678267</v>
      </c>
      <c r="DX59" s="5">
        <f t="shared" si="76"/>
        <v>2.3007139718804921</v>
      </c>
      <c r="DY59" s="5">
        <f t="shared" si="119"/>
        <v>3.2347472363873346</v>
      </c>
      <c r="DZ59" s="5">
        <f t="shared" si="77"/>
        <v>3.2347472363873355</v>
      </c>
      <c r="EA59" s="150">
        <f t="shared" si="120"/>
        <v>0.41563184806428055</v>
      </c>
      <c r="EB59" s="150">
        <f t="shared" si="78"/>
        <v>45.900000000000006</v>
      </c>
      <c r="EC59" s="150">
        <f t="shared" si="79"/>
        <v>0.26889279437609842</v>
      </c>
      <c r="ED59" s="150">
        <f t="shared" si="121"/>
        <v>170.70000000000002</v>
      </c>
      <c r="EE59" s="144">
        <f t="shared" si="80"/>
        <v>0.36540751318101933</v>
      </c>
      <c r="EF59" s="5">
        <f t="shared" si="81"/>
        <v>20.621513631969258</v>
      </c>
      <c r="EG59" s="5"/>
      <c r="EH59" s="150">
        <f t="shared" si="122"/>
        <v>6.8508806022556001</v>
      </c>
      <c r="EI59" s="150">
        <f t="shared" si="82"/>
        <v>0.40616758740174491</v>
      </c>
      <c r="EJ59" s="150"/>
      <c r="EK59" s="456">
        <f t="shared" si="83"/>
        <v>0.15957752108963097</v>
      </c>
      <c r="EL59" s="456">
        <f t="shared" si="84"/>
        <v>2.0757120000000002</v>
      </c>
      <c r="EM59" s="456">
        <f t="shared" si="85"/>
        <v>4.1369633239948106E-2</v>
      </c>
      <c r="EN59" s="456">
        <f t="shared" si="86"/>
        <v>5.2182655294117641E-2</v>
      </c>
      <c r="EO59">
        <f t="shared" si="87"/>
        <v>5.4000000000000003E-3</v>
      </c>
      <c r="EP59" s="144">
        <f t="shared" si="123"/>
        <v>46.769633239948107</v>
      </c>
      <c r="EQ59" s="456">
        <f t="shared" si="88"/>
        <v>2.4710179141187227</v>
      </c>
      <c r="ER59" s="144">
        <f t="shared" si="124"/>
        <v>2471.0179141187227</v>
      </c>
      <c r="ES59" s="456">
        <f t="shared" si="125"/>
        <v>0.59906250000000005</v>
      </c>
      <c r="ET59" s="456"/>
      <c r="EV59" s="144">
        <f t="shared" si="126"/>
        <v>599.0625</v>
      </c>
      <c r="EW59" s="456">
        <f t="shared" si="89"/>
        <v>7.040184753954308E-2</v>
      </c>
      <c r="EX59" s="456">
        <f t="shared" si="90"/>
        <v>3.2994421811150823E-2</v>
      </c>
      <c r="EY59" s="456">
        <f t="shared" si="91"/>
        <v>31.876234821662486</v>
      </c>
      <c r="EZ59" s="456">
        <f t="shared" si="92"/>
        <v>32.27138546476413</v>
      </c>
      <c r="FA59" s="456">
        <f t="shared" si="93"/>
        <v>6.1200000000000011E-2</v>
      </c>
      <c r="FB59" s="144">
        <f t="shared" si="127"/>
        <v>32332.585464764128</v>
      </c>
      <c r="FC59" s="150">
        <f t="shared" si="128"/>
        <v>35.40266587888285</v>
      </c>
      <c r="FD59" s="5">
        <f t="shared" si="129"/>
        <v>45.900000000000006</v>
      </c>
      <c r="FE59" s="150">
        <f t="shared" si="130"/>
        <v>0.56455713356776704</v>
      </c>
      <c r="FF59" s="5">
        <f t="shared" si="131"/>
        <v>56.455713356776705</v>
      </c>
      <c r="FI59" s="59">
        <f t="shared" si="94"/>
        <v>-50</v>
      </c>
      <c r="FJ59">
        <f t="shared" si="95"/>
        <v>-50</v>
      </c>
      <c r="FL59">
        <f t="shared" si="181"/>
        <v>0.58436815193571945</v>
      </c>
    </row>
    <row r="60" spans="5:168">
      <c r="E60" s="147">
        <v>55</v>
      </c>
      <c r="F60" s="188">
        <f t="shared" si="182"/>
        <v>0.27500000000000002</v>
      </c>
      <c r="G60" s="188"/>
      <c r="H60" s="188">
        <f t="shared" si="132"/>
        <v>46.750000000000007</v>
      </c>
      <c r="I60" s="465">
        <f t="shared" si="133"/>
        <v>11.953171132025586</v>
      </c>
      <c r="J60" s="149">
        <f t="shared" si="134"/>
        <v>8.5397784559157568</v>
      </c>
      <c r="K60" s="149">
        <f t="shared" si="135"/>
        <v>20.539778455915759</v>
      </c>
      <c r="L60" s="379"/>
      <c r="M60" s="188">
        <f t="shared" si="136"/>
        <v>0.41671581342764069</v>
      </c>
      <c r="N60" s="149">
        <f t="shared" si="137"/>
        <v>166.63357676248646</v>
      </c>
      <c r="O60" s="149">
        <f t="shared" si="98"/>
        <v>46.750000000000007</v>
      </c>
      <c r="P60" s="188">
        <f t="shared" si="138"/>
        <v>0.98019751036756742</v>
      </c>
      <c r="Q60" s="188">
        <f t="shared" si="139"/>
        <v>170</v>
      </c>
      <c r="R60" s="188">
        <f t="shared" si="140"/>
        <v>0.97668145712192844</v>
      </c>
      <c r="S60" s="149">
        <f t="shared" si="141"/>
        <v>1209.9440330645589</v>
      </c>
      <c r="T60" s="149">
        <f t="shared" si="142"/>
        <v>170</v>
      </c>
      <c r="U60" s="188">
        <f t="shared" si="143"/>
        <v>18.858731735281484</v>
      </c>
      <c r="V60" s="188">
        <f t="shared" si="11"/>
        <v>2.36657680965775</v>
      </c>
      <c r="W60" s="188">
        <f t="shared" si="144"/>
        <v>3.3125095397909559</v>
      </c>
      <c r="X60" s="172">
        <f t="shared" si="145"/>
        <v>249.05500517410056</v>
      </c>
      <c r="Y60" s="379">
        <f t="shared" si="14"/>
        <v>170.09445695482461</v>
      </c>
      <c r="AA60" s="188">
        <f t="shared" si="146"/>
        <v>13.333333333333334</v>
      </c>
      <c r="AB60" s="150">
        <f t="shared" si="147"/>
        <v>2.341981130218362</v>
      </c>
      <c r="AC60" s="150">
        <f t="shared" si="148"/>
        <v>0.19442737416806</v>
      </c>
      <c r="AD60" s="150"/>
      <c r="AE60" s="150">
        <f t="shared" si="149"/>
        <v>2.341981130218362</v>
      </c>
      <c r="AF60" s="314">
        <f t="shared" si="150"/>
        <v>352.26586130652493</v>
      </c>
      <c r="AG60" s="456">
        <f t="shared" si="151"/>
        <v>0.19442737416806</v>
      </c>
      <c r="AI60" s="150">
        <f t="shared" si="152"/>
        <v>13.376422969437026</v>
      </c>
      <c r="AJ60" s="150">
        <f t="shared" si="153"/>
        <v>18.858731735281484</v>
      </c>
      <c r="AK60" s="150">
        <f t="shared" si="154"/>
        <v>5.2928877051467786</v>
      </c>
      <c r="AM60" s="314">
        <f t="shared" si="155"/>
        <v>275</v>
      </c>
      <c r="AN60" s="144">
        <f t="shared" si="156"/>
        <v>170.09445695482461</v>
      </c>
      <c r="AP60">
        <f t="shared" si="157"/>
        <v>275</v>
      </c>
      <c r="AQ60">
        <f t="shared" si="158"/>
        <v>170.09445695482461</v>
      </c>
      <c r="AS60" s="5">
        <f t="shared" si="101"/>
        <v>5.8790863494487065</v>
      </c>
      <c r="AT60" s="5">
        <f t="shared" si="159"/>
        <v>2.36657680965775</v>
      </c>
      <c r="AU60" s="5">
        <f t="shared" si="102"/>
        <v>3.5125095397909565</v>
      </c>
      <c r="AV60" s="5">
        <f t="shared" si="160"/>
        <v>3.3125095397909559</v>
      </c>
      <c r="AW60" s="150">
        <f t="shared" si="103"/>
        <v>0.40254159728061634</v>
      </c>
      <c r="AX60" s="150">
        <f t="shared" si="161"/>
        <v>45.370795076431797</v>
      </c>
      <c r="AY60" s="150">
        <f t="shared" si="162"/>
        <v>0.28168269349686564</v>
      </c>
      <c r="AZ60" s="150">
        <f t="shared" si="104"/>
        <v>161.07058091922374</v>
      </c>
      <c r="BA60" s="144">
        <f t="shared" si="163"/>
        <v>0.3828286015622831</v>
      </c>
      <c r="BB60" s="5">
        <f t="shared" si="164"/>
        <v>22.896270115476909</v>
      </c>
      <c r="BC60" s="5"/>
      <c r="BD60" s="150">
        <f t="shared" si="105"/>
        <v>6.9080780882036139</v>
      </c>
      <c r="BE60" s="150">
        <f t="shared" si="165"/>
        <v>0.4207999663786785</v>
      </c>
      <c r="BF60" s="150"/>
      <c r="BG60" s="456">
        <f t="shared" si="166"/>
        <v>0.16225324576724426</v>
      </c>
      <c r="BH60" s="456">
        <f t="shared" si="167"/>
        <v>1.5779888001701707</v>
      </c>
      <c r="BI60" s="456">
        <f t="shared" si="168"/>
        <v>9.3119101388620992E-2</v>
      </c>
      <c r="BJ60" s="456">
        <f t="shared" si="169"/>
        <v>4.9155514079921345E-2</v>
      </c>
      <c r="BK60">
        <f t="shared" si="170"/>
        <v>5.3789270094115136E-3</v>
      </c>
      <c r="BL60" s="144">
        <f t="shared" si="106"/>
        <v>98.498028398032517</v>
      </c>
      <c r="BM60" s="456">
        <f t="shared" si="171"/>
        <v>1.9067123104139985</v>
      </c>
      <c r="BN60" s="144">
        <f t="shared" si="107"/>
        <v>1906.7123104139985</v>
      </c>
      <c r="BO60" s="456">
        <f t="shared" si="172"/>
        <v>0.61015624999999996</v>
      </c>
      <c r="BP60" s="456"/>
      <c r="BR60" s="144">
        <f t="shared" si="109"/>
        <v>610.15625</v>
      </c>
      <c r="BS60" s="456">
        <f t="shared" si="173"/>
        <v>7.1582314309078354E-2</v>
      </c>
      <c r="BT60" s="456">
        <f t="shared" si="174"/>
        <v>3.5414522340859393E-2</v>
      </c>
      <c r="BU60" s="456">
        <f t="shared" si="175"/>
        <v>0.70125000000000004</v>
      </c>
      <c r="BV60" s="456">
        <f t="shared" si="176"/>
        <v>0.84112590230762208</v>
      </c>
      <c r="BW60" s="456">
        <f t="shared" si="177"/>
        <v>6.0494393435242391E-2</v>
      </c>
      <c r="BX60" s="144">
        <f t="shared" si="110"/>
        <v>901.62029574286453</v>
      </c>
      <c r="BY60" s="150">
        <f t="shared" si="45"/>
        <v>3.5169868845548953</v>
      </c>
      <c r="BZ60" s="5">
        <f t="shared" si="111"/>
        <v>46.750000000000007</v>
      </c>
      <c r="CA60" s="150">
        <f t="shared" si="112"/>
        <v>0.93003386312706304</v>
      </c>
      <c r="CB60" s="5">
        <f t="shared" si="113"/>
        <v>93.003386312706311</v>
      </c>
      <c r="CE60" s="59">
        <f t="shared" si="178"/>
        <v>-50</v>
      </c>
      <c r="CF60">
        <f t="shared" si="179"/>
        <v>-50</v>
      </c>
      <c r="CG60" s="150">
        <f t="shared" si="180"/>
        <v>0.57549971130468658</v>
      </c>
      <c r="CI60" s="147">
        <v>55</v>
      </c>
      <c r="CJ60" s="188">
        <f t="shared" si="114"/>
        <v>0.27500000000000002</v>
      </c>
      <c r="CK60" s="188"/>
      <c r="CL60" s="188">
        <f t="shared" si="49"/>
        <v>46.750000000000007</v>
      </c>
      <c r="CM60" s="465">
        <f t="shared" si="50"/>
        <v>12</v>
      </c>
      <c r="CN60" s="149">
        <f t="shared" si="51"/>
        <v>8.5350000000000001</v>
      </c>
      <c r="CO60" s="379">
        <f t="shared" si="52"/>
        <v>20.535</v>
      </c>
      <c r="CP60" s="379"/>
      <c r="CQ60" s="188">
        <f t="shared" si="53"/>
        <v>0.4156318480642805</v>
      </c>
      <c r="CR60" s="149">
        <f t="shared" si="54"/>
        <v>166.85124908692478</v>
      </c>
      <c r="CS60" s="149">
        <f t="shared" si="115"/>
        <v>46.750000000000007</v>
      </c>
      <c r="CT60" s="188">
        <f t="shared" si="55"/>
        <v>0.98147793580543985</v>
      </c>
      <c r="CU60" s="188">
        <f t="shared" si="56"/>
        <v>170</v>
      </c>
      <c r="CV60" s="188">
        <f t="shared" si="57"/>
        <v>0.97795728956301287</v>
      </c>
      <c r="CW60" s="149">
        <f t="shared" si="58"/>
        <v>1214.6836824996547</v>
      </c>
      <c r="CX60" s="149">
        <f t="shared" si="59"/>
        <v>170</v>
      </c>
      <c r="CY60" s="188">
        <f t="shared" si="60"/>
        <v>18.746558289396603</v>
      </c>
      <c r="CZ60" s="188">
        <f t="shared" si="61"/>
        <v>2.3433197861745754</v>
      </c>
      <c r="DA60" s="188">
        <f t="shared" si="62"/>
        <v>3.2946499629871009</v>
      </c>
      <c r="DB60" s="172">
        <f t="shared" si="63"/>
        <v>249.37910883856827</v>
      </c>
      <c r="DC60" s="379">
        <f t="shared" si="116"/>
        <v>177.36881262065879</v>
      </c>
      <c r="DE60" s="188">
        <f t="shared" si="64"/>
        <v>13.333333333333334</v>
      </c>
      <c r="DF60" s="150">
        <f t="shared" si="65"/>
        <v>2.3432923257176337</v>
      </c>
      <c r="DG60" s="150">
        <f t="shared" si="66"/>
        <v>0.19478938397857323</v>
      </c>
      <c r="DH60" s="150"/>
      <c r="DI60" s="150">
        <f t="shared" si="67"/>
        <v>2.3432923257176337</v>
      </c>
      <c r="DJ60" s="314">
        <f t="shared" si="117"/>
        <v>352.06874999999997</v>
      </c>
      <c r="DK60" s="456">
        <f t="shared" si="68"/>
        <v>0.19478938397857321</v>
      </c>
      <c r="DM60" s="150">
        <f t="shared" si="69"/>
        <v>13.372680039115997</v>
      </c>
      <c r="DN60" s="150">
        <f t="shared" si="70"/>
        <v>18.746558289396603</v>
      </c>
      <c r="DO60" s="150">
        <f t="shared" si="71"/>
        <v>5.2097962637505697</v>
      </c>
      <c r="DQ60" s="314">
        <f t="shared" si="72"/>
        <v>275</v>
      </c>
      <c r="DR60" s="144">
        <f t="shared" si="73"/>
        <v>177.36881262065879</v>
      </c>
      <c r="DT60">
        <f t="shared" si="74"/>
        <v>275</v>
      </c>
      <c r="DU60">
        <f t="shared" si="75"/>
        <v>177.36881262065879</v>
      </c>
      <c r="DW60" s="5">
        <f t="shared" si="118"/>
        <v>5.6379697491616767</v>
      </c>
      <c r="DX60" s="5">
        <f t="shared" si="76"/>
        <v>2.3433197861745754</v>
      </c>
      <c r="DY60" s="5">
        <f t="shared" si="119"/>
        <v>3.2946499629871013</v>
      </c>
      <c r="DZ60" s="5">
        <f t="shared" si="77"/>
        <v>3.2946499629871009</v>
      </c>
      <c r="EA60" s="150">
        <f t="shared" si="120"/>
        <v>0.41563184806428044</v>
      </c>
      <c r="EB60" s="150">
        <f t="shared" si="78"/>
        <v>46.75</v>
      </c>
      <c r="EC60" s="150">
        <f t="shared" si="79"/>
        <v>0.27387229056824847</v>
      </c>
      <c r="ED60" s="150">
        <f t="shared" si="121"/>
        <v>170.69999999999996</v>
      </c>
      <c r="EE60" s="144">
        <f t="shared" si="80"/>
        <v>0.37906643599882839</v>
      </c>
      <c r="EF60" s="5">
        <f t="shared" si="81"/>
        <v>21.392345245784306</v>
      </c>
      <c r="EG60" s="5"/>
      <c r="EH60" s="150">
        <f t="shared" si="122"/>
        <v>6.9777487615566276</v>
      </c>
      <c r="EI60" s="150">
        <f t="shared" si="82"/>
        <v>0.41368920939066617</v>
      </c>
      <c r="EJ60" s="150"/>
      <c r="EK60" s="456">
        <f t="shared" si="83"/>
        <v>0.16554252444997716</v>
      </c>
      <c r="EL60" s="456">
        <f t="shared" si="84"/>
        <v>2.0757119999999998</v>
      </c>
      <c r="EM60" s="456">
        <f t="shared" si="85"/>
        <v>4.0617458090130856E-2</v>
      </c>
      <c r="EN60" s="456">
        <f t="shared" si="86"/>
        <v>5.1233879743315495E-2</v>
      </c>
      <c r="EO60">
        <f t="shared" si="87"/>
        <v>5.4000000000000003E-3</v>
      </c>
      <c r="EP60" s="144">
        <f t="shared" si="123"/>
        <v>46.017458090130859</v>
      </c>
      <c r="EQ60" s="456">
        <f t="shared" si="88"/>
        <v>2.4807785686997947</v>
      </c>
      <c r="ER60" s="144">
        <f t="shared" si="124"/>
        <v>2480.778568699795</v>
      </c>
      <c r="ES60" s="456">
        <f t="shared" si="125"/>
        <v>0.61015624999999996</v>
      </c>
      <c r="ET60" s="456"/>
      <c r="EV60" s="144">
        <f t="shared" si="126"/>
        <v>610.15625</v>
      </c>
      <c r="EW60" s="456">
        <f t="shared" si="89"/>
        <v>7.303346666910758E-2</v>
      </c>
      <c r="EX60" s="456">
        <f t="shared" si="90"/>
        <v>3.4227752393254894E-2</v>
      </c>
      <c r="EY60" s="456">
        <f t="shared" si="91"/>
        <v>31.876234821662486</v>
      </c>
      <c r="EZ60" s="456">
        <f t="shared" si="92"/>
        <v>32.286284028006833</v>
      </c>
      <c r="FA60" s="456">
        <f t="shared" si="93"/>
        <v>6.2333333333333338E-2</v>
      </c>
      <c r="FB60" s="144">
        <f t="shared" si="127"/>
        <v>32348.617361340166</v>
      </c>
      <c r="FC60" s="150">
        <f t="shared" si="128"/>
        <v>35.439552180039961</v>
      </c>
      <c r="FD60" s="5">
        <f t="shared" si="129"/>
        <v>46.750000000000007</v>
      </c>
      <c r="FE60" s="150">
        <f t="shared" si="130"/>
        <v>0.56880708995216323</v>
      </c>
      <c r="FF60" s="5">
        <f t="shared" si="131"/>
        <v>56.880708995216324</v>
      </c>
      <c r="FI60" s="59">
        <f t="shared" si="94"/>
        <v>-50</v>
      </c>
      <c r="FJ60">
        <f t="shared" si="95"/>
        <v>-50</v>
      </c>
      <c r="FL60">
        <f t="shared" si="181"/>
        <v>0.58436815193571956</v>
      </c>
    </row>
    <row r="61" spans="5:168">
      <c r="E61" s="147">
        <v>56</v>
      </c>
      <c r="F61" s="188">
        <f t="shared" si="182"/>
        <v>0.28000000000000003</v>
      </c>
      <c r="G61" s="188"/>
      <c r="H61" s="188">
        <f t="shared" si="132"/>
        <v>47.6</v>
      </c>
      <c r="I61" s="465">
        <f t="shared" si="133"/>
        <v>11.952332815035605</v>
      </c>
      <c r="J61" s="149">
        <f t="shared" si="134"/>
        <v>8.5398639984657532</v>
      </c>
      <c r="K61" s="149">
        <f t="shared" si="135"/>
        <v>20.539863998465755</v>
      </c>
      <c r="L61" s="379"/>
      <c r="M61" s="188">
        <f t="shared" si="136"/>
        <v>0.41673529638575019</v>
      </c>
      <c r="N61" s="149">
        <f t="shared" si="137"/>
        <v>166.6296803474807</v>
      </c>
      <c r="O61" s="149">
        <f t="shared" si="98"/>
        <v>47.6</v>
      </c>
      <c r="P61" s="188">
        <f t="shared" si="138"/>
        <v>0.98017459027929821</v>
      </c>
      <c r="Q61" s="188">
        <f t="shared" si="139"/>
        <v>170</v>
      </c>
      <c r="R61" s="188">
        <f t="shared" si="140"/>
        <v>0.97665861924999819</v>
      </c>
      <c r="S61" s="149">
        <f t="shared" si="141"/>
        <v>1183.9913531783682</v>
      </c>
      <c r="T61" s="149">
        <f t="shared" si="142"/>
        <v>170</v>
      </c>
      <c r="U61" s="188">
        <f t="shared" si="143"/>
        <v>19.202259163975185</v>
      </c>
      <c r="V61" s="188">
        <f t="shared" si="11"/>
        <v>2.4098549790823385</v>
      </c>
      <c r="W61" s="188">
        <f t="shared" si="144"/>
        <v>3.3728158611352015</v>
      </c>
      <c r="X61" s="172">
        <f t="shared" si="145"/>
        <v>249.04918109500429</v>
      </c>
      <c r="Y61" s="379">
        <f t="shared" si="14"/>
        <v>167.14942651995182</v>
      </c>
      <c r="AA61" s="188">
        <f t="shared" si="146"/>
        <v>13.333333333333332</v>
      </c>
      <c r="AB61" s="150">
        <f t="shared" si="147"/>
        <v>2.3419576709410288</v>
      </c>
      <c r="AC61" s="150">
        <f t="shared" si="148"/>
        <v>0.19442088003567559</v>
      </c>
      <c r="AD61" s="150"/>
      <c r="AE61" s="150">
        <f t="shared" si="149"/>
        <v>2.3419576709410292</v>
      </c>
      <c r="AF61" s="314">
        <f t="shared" si="150"/>
        <v>358.67428793556161</v>
      </c>
      <c r="AG61" s="456">
        <f t="shared" si="151"/>
        <v>0.19442088003567565</v>
      </c>
      <c r="AI61" s="150">
        <f t="shared" si="152"/>
        <v>13.497546640060287</v>
      </c>
      <c r="AJ61" s="150">
        <f t="shared" si="153"/>
        <v>19.202259163975185</v>
      </c>
      <c r="AK61" s="150">
        <f t="shared" si="154"/>
        <v>5.5473524671421117</v>
      </c>
      <c r="AM61" s="314">
        <f t="shared" si="155"/>
        <v>280</v>
      </c>
      <c r="AN61" s="144">
        <f t="shared" si="156"/>
        <v>167.14942651995182</v>
      </c>
      <c r="AP61">
        <f t="shared" si="157"/>
        <v>280</v>
      </c>
      <c r="AQ61">
        <f t="shared" si="158"/>
        <v>167.14942651995182</v>
      </c>
      <c r="AS61" s="5">
        <f t="shared" si="101"/>
        <v>5.9826708402175397</v>
      </c>
      <c r="AT61" s="5">
        <f t="shared" si="159"/>
        <v>2.4098549790823385</v>
      </c>
      <c r="AU61" s="5">
        <f t="shared" si="102"/>
        <v>3.5728158611352012</v>
      </c>
      <c r="AV61" s="5">
        <f t="shared" si="160"/>
        <v>3.3728158611352015</v>
      </c>
      <c r="AW61" s="150">
        <f t="shared" si="103"/>
        <v>0.40280587774986332</v>
      </c>
      <c r="AX61" s="150">
        <f t="shared" si="161"/>
        <v>46.224349481392515</v>
      </c>
      <c r="AY61" s="150">
        <f t="shared" si="162"/>
        <v>0.28668690766624511</v>
      </c>
      <c r="AZ61" s="150">
        <f t="shared" si="104"/>
        <v>161.23634615085365</v>
      </c>
      <c r="BA61" s="144">
        <f t="shared" si="163"/>
        <v>0.39691729067238518</v>
      </c>
      <c r="BB61" s="5">
        <f t="shared" si="164"/>
        <v>23.714482857563809</v>
      </c>
      <c r="BC61" s="5"/>
      <c r="BD61" s="150">
        <f t="shared" si="105"/>
        <v>7.0362230636290111</v>
      </c>
      <c r="BE61" s="150">
        <f t="shared" si="165"/>
        <v>0.42837041214062482</v>
      </c>
      <c r="BF61" s="150"/>
      <c r="BG61" s="456">
        <f t="shared" si="166"/>
        <v>0.1683286790038924</v>
      </c>
      <c r="BH61" s="456">
        <f t="shared" si="167"/>
        <v>1.5789206298142568</v>
      </c>
      <c r="BI61" s="456">
        <f t="shared" si="168"/>
        <v>9.1500411362883172E-2</v>
      </c>
      <c r="BJ61" s="456">
        <f t="shared" si="169"/>
        <v>4.8304833522512247E-2</v>
      </c>
      <c r="BK61">
        <f t="shared" si="170"/>
        <v>5.378549766766022E-3</v>
      </c>
      <c r="BL61" s="144">
        <f t="shared" si="106"/>
        <v>96.878961129649198</v>
      </c>
      <c r="BM61" s="456">
        <f t="shared" si="171"/>
        <v>1.9177011397307655</v>
      </c>
      <c r="BN61" s="144">
        <f t="shared" si="107"/>
        <v>1917.7011397307656</v>
      </c>
      <c r="BO61" s="456">
        <f t="shared" si="172"/>
        <v>0.62125000000000008</v>
      </c>
      <c r="BP61" s="456"/>
      <c r="BR61" s="144">
        <f t="shared" si="109"/>
        <v>621.25000000000011</v>
      </c>
      <c r="BS61" s="456">
        <f t="shared" si="173"/>
        <v>7.4262652501717236E-2</v>
      </c>
      <c r="BT61" s="456">
        <f t="shared" si="174"/>
        <v>3.6700241999505757E-2</v>
      </c>
      <c r="BU61" s="456">
        <f t="shared" si="175"/>
        <v>0.71399999999999997</v>
      </c>
      <c r="BV61" s="456">
        <f t="shared" si="176"/>
        <v>0.85922132399169993</v>
      </c>
      <c r="BW61" s="456">
        <f t="shared" si="177"/>
        <v>6.163246597519003E-2</v>
      </c>
      <c r="BX61" s="144">
        <f t="shared" si="110"/>
        <v>920.85378996688996</v>
      </c>
      <c r="BY61" s="150">
        <f t="shared" si="45"/>
        <v>3.5566838908273049</v>
      </c>
      <c r="BZ61" s="5">
        <f t="shared" si="111"/>
        <v>47.6</v>
      </c>
      <c r="CA61" s="150">
        <f t="shared" si="112"/>
        <v>0.93047469811730621</v>
      </c>
      <c r="CB61" s="5">
        <f t="shared" si="113"/>
        <v>93.047469811730622</v>
      </c>
      <c r="CE61" s="59">
        <f t="shared" si="178"/>
        <v>-50</v>
      </c>
      <c r="CF61">
        <f t="shared" si="179"/>
        <v>-50</v>
      </c>
      <c r="CG61" s="150">
        <f t="shared" si="180"/>
        <v>0.57565807631595511</v>
      </c>
      <c r="CI61" s="147">
        <v>56</v>
      </c>
      <c r="CJ61" s="188">
        <f t="shared" si="114"/>
        <v>0.28000000000000003</v>
      </c>
      <c r="CK61" s="188"/>
      <c r="CL61" s="188">
        <f t="shared" si="49"/>
        <v>47.6</v>
      </c>
      <c r="CM61" s="465">
        <f t="shared" si="50"/>
        <v>12</v>
      </c>
      <c r="CN61" s="149">
        <f t="shared" si="51"/>
        <v>8.5350000000000001</v>
      </c>
      <c r="CO61" s="379">
        <f t="shared" si="52"/>
        <v>20.535</v>
      </c>
      <c r="CP61" s="379"/>
      <c r="CQ61" s="188">
        <f t="shared" si="53"/>
        <v>0.4156318480642805</v>
      </c>
      <c r="CR61" s="149">
        <f t="shared" si="54"/>
        <v>166.85124908692478</v>
      </c>
      <c r="CS61" s="149">
        <f t="shared" si="115"/>
        <v>47.6</v>
      </c>
      <c r="CT61" s="188">
        <f t="shared" si="55"/>
        <v>0.98147793580543985</v>
      </c>
      <c r="CU61" s="188">
        <f t="shared" si="56"/>
        <v>170</v>
      </c>
      <c r="CV61" s="188">
        <f t="shared" si="57"/>
        <v>0.97795728956301287</v>
      </c>
      <c r="CW61" s="149">
        <f t="shared" si="58"/>
        <v>1188.712674754159</v>
      </c>
      <c r="CX61" s="149">
        <f t="shared" si="59"/>
        <v>170</v>
      </c>
      <c r="CY61" s="188">
        <f t="shared" si="60"/>
        <v>19.087404803749269</v>
      </c>
      <c r="CZ61" s="188">
        <f t="shared" si="61"/>
        <v>2.3859256004686586</v>
      </c>
      <c r="DA61" s="188">
        <f t="shared" si="62"/>
        <v>3.3545526895868667</v>
      </c>
      <c r="DB61" s="172">
        <f t="shared" si="63"/>
        <v>249.37910883856827</v>
      </c>
      <c r="DC61" s="379">
        <f t="shared" si="116"/>
        <v>174.20151239528985</v>
      </c>
      <c r="DE61" s="188">
        <f t="shared" si="64"/>
        <v>13.333333333333334</v>
      </c>
      <c r="DF61" s="150">
        <f t="shared" si="65"/>
        <v>2.3432923257176337</v>
      </c>
      <c r="DG61" s="150">
        <f t="shared" si="66"/>
        <v>0.19478938397857323</v>
      </c>
      <c r="DH61" s="150"/>
      <c r="DI61" s="150">
        <f t="shared" si="67"/>
        <v>2.3432923257176337</v>
      </c>
      <c r="DJ61" s="314">
        <f t="shared" si="117"/>
        <v>358.46999999999991</v>
      </c>
      <c r="DK61" s="456">
        <f t="shared" si="68"/>
        <v>0.19478938397857321</v>
      </c>
      <c r="DM61" s="150">
        <f t="shared" si="69"/>
        <v>13.493702234746399</v>
      </c>
      <c r="DN61" s="150">
        <f t="shared" si="70"/>
        <v>19.087404803749269</v>
      </c>
      <c r="DO61" s="150">
        <f t="shared" si="71"/>
        <v>5.4622751632710633</v>
      </c>
      <c r="DQ61" s="314">
        <f t="shared" si="72"/>
        <v>280</v>
      </c>
      <c r="DR61" s="144">
        <f t="shared" si="73"/>
        <v>174.20151239528985</v>
      </c>
      <c r="DT61">
        <f t="shared" si="74"/>
        <v>280</v>
      </c>
      <c r="DU61">
        <f t="shared" si="75"/>
        <v>174.20151239528985</v>
      </c>
      <c r="DW61" s="5">
        <f t="shared" si="118"/>
        <v>5.7404782900555258</v>
      </c>
      <c r="DX61" s="5">
        <f t="shared" si="76"/>
        <v>2.3859256004686586</v>
      </c>
      <c r="DY61" s="5">
        <f t="shared" si="119"/>
        <v>3.3545526895868671</v>
      </c>
      <c r="DZ61" s="5">
        <f t="shared" si="77"/>
        <v>3.3545526895868667</v>
      </c>
      <c r="EA61" s="150">
        <f t="shared" si="120"/>
        <v>0.41563184806428044</v>
      </c>
      <c r="EB61" s="150">
        <f t="shared" si="78"/>
        <v>47.599999999999994</v>
      </c>
      <c r="EC61" s="150">
        <f t="shared" si="79"/>
        <v>0.2788517867603984</v>
      </c>
      <c r="ED61" s="150">
        <f t="shared" si="121"/>
        <v>170.69999999999996</v>
      </c>
      <c r="EE61" s="144">
        <f t="shared" si="80"/>
        <v>0.39297598125366145</v>
      </c>
      <c r="EF61" s="5">
        <f t="shared" si="81"/>
        <v>22.177320558935396</v>
      </c>
      <c r="EG61" s="5"/>
      <c r="EH61" s="150">
        <f t="shared" si="122"/>
        <v>7.1046169208576577</v>
      </c>
      <c r="EI61" s="150">
        <f t="shared" si="82"/>
        <v>0.42121083137958742</v>
      </c>
      <c r="EJ61" s="150"/>
      <c r="EK61" s="456">
        <f t="shared" si="83"/>
        <v>0.17161697741326562</v>
      </c>
      <c r="EL61" s="456">
        <f t="shared" si="84"/>
        <v>2.0757119999999998</v>
      </c>
      <c r="EM61" s="456">
        <f t="shared" si="85"/>
        <v>3.9892146338521374E-2</v>
      </c>
      <c r="EN61" s="456">
        <f t="shared" si="86"/>
        <v>5.0318989033613433E-2</v>
      </c>
      <c r="EO61">
        <f t="shared" si="87"/>
        <v>5.4000000000000003E-3</v>
      </c>
      <c r="EP61" s="144">
        <f t="shared" si="123"/>
        <v>45.292146338521377</v>
      </c>
      <c r="EQ61" s="456">
        <f t="shared" si="88"/>
        <v>2.4908438274018265</v>
      </c>
      <c r="ER61" s="144">
        <f t="shared" si="124"/>
        <v>2490.8438274018267</v>
      </c>
      <c r="ES61" s="456">
        <f t="shared" si="125"/>
        <v>0.62125000000000008</v>
      </c>
      <c r="ET61" s="456"/>
      <c r="EV61" s="144">
        <f t="shared" si="126"/>
        <v>621.25000000000011</v>
      </c>
      <c r="EW61" s="456">
        <f t="shared" si="89"/>
        <v>7.5713372388205427E-2</v>
      </c>
      <c r="EX61" s="456">
        <f t="shared" si="90"/>
        <v>3.5483712894296651E-2</v>
      </c>
      <c r="EY61" s="456">
        <f t="shared" si="91"/>
        <v>31.876234821662521</v>
      </c>
      <c r="EZ61" s="456">
        <f t="shared" si="92"/>
        <v>32.301465512641549</v>
      </c>
      <c r="FA61" s="456">
        <f t="shared" si="93"/>
        <v>6.3466666666666671E-2</v>
      </c>
      <c r="FB61" s="144">
        <f t="shared" si="127"/>
        <v>32364.932179308213</v>
      </c>
      <c r="FC61" s="150">
        <f t="shared" si="128"/>
        <v>35.477026006710041</v>
      </c>
      <c r="FD61" s="5">
        <f t="shared" si="129"/>
        <v>47.6</v>
      </c>
      <c r="FE61" s="150">
        <f t="shared" si="130"/>
        <v>0.57296225308011628</v>
      </c>
      <c r="FF61" s="5">
        <f t="shared" si="131"/>
        <v>57.296225308011628</v>
      </c>
      <c r="FI61" s="59">
        <f t="shared" si="94"/>
        <v>-50</v>
      </c>
      <c r="FJ61">
        <f t="shared" si="95"/>
        <v>-50</v>
      </c>
      <c r="FL61">
        <f t="shared" si="181"/>
        <v>0.58436815193571956</v>
      </c>
    </row>
    <row r="62" spans="5:168">
      <c r="E62" s="147">
        <v>57</v>
      </c>
      <c r="F62" s="188">
        <f t="shared" si="182"/>
        <v>0.28499999999999998</v>
      </c>
      <c r="G62" s="188"/>
      <c r="H62" s="188">
        <f t="shared" si="132"/>
        <v>48.449999999999996</v>
      </c>
      <c r="I62" s="465">
        <f t="shared" si="133"/>
        <v>11.951494491083675</v>
      </c>
      <c r="J62" s="149">
        <f t="shared" si="134"/>
        <v>8.5399495417261555</v>
      </c>
      <c r="K62" s="149">
        <f t="shared" si="135"/>
        <v>20.539949541726156</v>
      </c>
      <c r="L62" s="379"/>
      <c r="M62" s="188">
        <f t="shared" si="136"/>
        <v>0.41675478091687262</v>
      </c>
      <c r="N62" s="149">
        <f t="shared" si="137"/>
        <v>166.62578337155088</v>
      </c>
      <c r="O62" s="149">
        <f t="shared" si="98"/>
        <v>48.449999999999996</v>
      </c>
      <c r="P62" s="188">
        <f t="shared" si="138"/>
        <v>0.98015166689147581</v>
      </c>
      <c r="Q62" s="188">
        <f t="shared" si="139"/>
        <v>170</v>
      </c>
      <c r="R62" s="188">
        <f t="shared" si="140"/>
        <v>0.97663577809035029</v>
      </c>
      <c r="S62" s="149">
        <f t="shared" si="141"/>
        <v>1158.9500088788386</v>
      </c>
      <c r="T62" s="149">
        <f t="shared" si="142"/>
        <v>170</v>
      </c>
      <c r="U62" s="188">
        <f t="shared" si="143"/>
        <v>19.54580959604095</v>
      </c>
      <c r="V62" s="188">
        <f t="shared" si="11"/>
        <v>2.4531421083726759</v>
      </c>
      <c r="W62" s="188">
        <f t="shared" si="144"/>
        <v>3.4331250144758254</v>
      </c>
      <c r="X62" s="172">
        <f t="shared" si="145"/>
        <v>249.04335618966456</v>
      </c>
      <c r="Y62" s="379">
        <f t="shared" si="14"/>
        <v>164.30432312868629</v>
      </c>
      <c r="AA62" s="188">
        <f t="shared" si="146"/>
        <v>13.333333333333332</v>
      </c>
      <c r="AB62" s="150">
        <f t="shared" si="147"/>
        <v>2.3419342119388515</v>
      </c>
      <c r="AC62" s="150">
        <f t="shared" si="148"/>
        <v>0.19441438537221625</v>
      </c>
      <c r="AD62" s="150"/>
      <c r="AE62" s="150">
        <f t="shared" si="149"/>
        <v>2.341934211938852</v>
      </c>
      <c r="AF62" s="314">
        <f t="shared" si="150"/>
        <v>365.082842908793</v>
      </c>
      <c r="AG62" s="456">
        <f t="shared" si="151"/>
        <v>0.19441438537221631</v>
      </c>
      <c r="AI62" s="150">
        <f t="shared" si="152"/>
        <v>13.617595394731961</v>
      </c>
      <c r="AJ62" s="150">
        <f t="shared" si="153"/>
        <v>19.54580959604095</v>
      </c>
      <c r="AK62" s="150">
        <f t="shared" si="154"/>
        <v>5.8018342686723088</v>
      </c>
      <c r="AM62" s="314">
        <f t="shared" si="155"/>
        <v>285</v>
      </c>
      <c r="AN62" s="144">
        <f t="shared" si="156"/>
        <v>164.30432312868629</v>
      </c>
      <c r="AP62">
        <f t="shared" si="157"/>
        <v>285</v>
      </c>
      <c r="AQ62">
        <f t="shared" si="158"/>
        <v>164.30432312868629</v>
      </c>
      <c r="AS62" s="5">
        <f t="shared" si="101"/>
        <v>6.0862671228485015</v>
      </c>
      <c r="AT62" s="5">
        <f t="shared" si="159"/>
        <v>2.4531421083726759</v>
      </c>
      <c r="AU62" s="5">
        <f t="shared" si="102"/>
        <v>3.6331250144758256</v>
      </c>
      <c r="AV62" s="5">
        <f t="shared" si="160"/>
        <v>3.4331250144758254</v>
      </c>
      <c r="AW62" s="150">
        <f t="shared" si="103"/>
        <v>0.40306185365465091</v>
      </c>
      <c r="AX62" s="150">
        <f t="shared" si="161"/>
        <v>47.077954153187626</v>
      </c>
      <c r="AY62" s="150">
        <f t="shared" si="162"/>
        <v>0.29169098372699559</v>
      </c>
      <c r="AZ62" s="150">
        <f t="shared" si="104"/>
        <v>161.39667243623009</v>
      </c>
      <c r="BA62" s="144">
        <f t="shared" si="163"/>
        <v>0.4112620593448309</v>
      </c>
      <c r="BB62" s="5">
        <f t="shared" si="164"/>
        <v>24.54712631443649</v>
      </c>
      <c r="BC62" s="5"/>
      <c r="BD62" s="150">
        <f t="shared" si="105"/>
        <v>7.1643844958306815</v>
      </c>
      <c r="BE62" s="150">
        <f t="shared" si="165"/>
        <v>0.43594099099188999</v>
      </c>
      <c r="BF62" s="150"/>
      <c r="BG62" s="456">
        <f t="shared" si="166"/>
        <v>0.17451657769393675</v>
      </c>
      <c r="BH62" s="456">
        <f t="shared" si="167"/>
        <v>1.579819770853891</v>
      </c>
      <c r="BI62" s="456">
        <f t="shared" si="168"/>
        <v>8.9936645343204669E-2</v>
      </c>
      <c r="BJ62" s="456">
        <f t="shared" si="169"/>
        <v>4.7483017140521805E-2</v>
      </c>
      <c r="BK62">
        <f t="shared" si="170"/>
        <v>5.3781725209876537E-3</v>
      </c>
      <c r="BL62" s="144">
        <f t="shared" si="106"/>
        <v>95.314817864192321</v>
      </c>
      <c r="BM62" s="456">
        <f t="shared" si="171"/>
        <v>1.928921854200373</v>
      </c>
      <c r="BN62" s="144">
        <f t="shared" si="107"/>
        <v>1928.921854200373</v>
      </c>
      <c r="BO62" s="456">
        <f t="shared" si="172"/>
        <v>0.63234374999999987</v>
      </c>
      <c r="BP62" s="456"/>
      <c r="BR62" s="144">
        <f t="shared" si="109"/>
        <v>632.34374999999989</v>
      </c>
      <c r="BS62" s="456">
        <f t="shared" si="173"/>
        <v>7.6992607806148569E-2</v>
      </c>
      <c r="BT62" s="456">
        <f t="shared" si="174"/>
        <v>3.8008909525398225E-2</v>
      </c>
      <c r="BU62" s="456">
        <f t="shared" si="175"/>
        <v>0.7267499999999999</v>
      </c>
      <c r="BV62" s="456">
        <f t="shared" si="176"/>
        <v>0.8774242914802205</v>
      </c>
      <c r="BW62" s="456">
        <f t="shared" si="177"/>
        <v>6.2770605537583499E-2</v>
      </c>
      <c r="BX62" s="144">
        <f t="shared" si="110"/>
        <v>940.19489701780401</v>
      </c>
      <c r="BY62" s="150">
        <f t="shared" si="45"/>
        <v>3.5967753190823695</v>
      </c>
      <c r="BZ62" s="5">
        <f t="shared" si="111"/>
        <v>48.449999999999996</v>
      </c>
      <c r="CA62" s="150">
        <f t="shared" si="112"/>
        <v>0.93089340699723133</v>
      </c>
      <c r="CB62" s="5">
        <f t="shared" si="113"/>
        <v>93.089340699723138</v>
      </c>
      <c r="CE62" s="59">
        <f t="shared" si="178"/>
        <v>-50</v>
      </c>
      <c r="CF62">
        <f t="shared" si="179"/>
        <v>-50</v>
      </c>
      <c r="CG62" s="150">
        <f t="shared" si="180"/>
        <v>0.57581088466016139</v>
      </c>
      <c r="CI62" s="147">
        <v>57</v>
      </c>
      <c r="CJ62" s="188">
        <f t="shared" si="114"/>
        <v>0.28499999999999998</v>
      </c>
      <c r="CK62" s="188"/>
      <c r="CL62" s="188">
        <f t="shared" si="49"/>
        <v>48.449999999999996</v>
      </c>
      <c r="CM62" s="465">
        <f t="shared" si="50"/>
        <v>12</v>
      </c>
      <c r="CN62" s="149">
        <f t="shared" si="51"/>
        <v>8.5350000000000001</v>
      </c>
      <c r="CO62" s="379">
        <f t="shared" si="52"/>
        <v>20.535</v>
      </c>
      <c r="CP62" s="379"/>
      <c r="CQ62" s="188">
        <f t="shared" si="53"/>
        <v>0.4156318480642805</v>
      </c>
      <c r="CR62" s="149">
        <f t="shared" si="54"/>
        <v>166.85124908692478</v>
      </c>
      <c r="CS62" s="149">
        <f t="shared" si="115"/>
        <v>48.449999999999996</v>
      </c>
      <c r="CT62" s="188">
        <f t="shared" si="55"/>
        <v>0.98147793580543985</v>
      </c>
      <c r="CU62" s="188">
        <f t="shared" si="56"/>
        <v>170</v>
      </c>
      <c r="CV62" s="188">
        <f t="shared" si="57"/>
        <v>0.97795728956301287</v>
      </c>
      <c r="CW62" s="149">
        <f t="shared" si="58"/>
        <v>1163.6530580626577</v>
      </c>
      <c r="CX62" s="149">
        <f t="shared" si="59"/>
        <v>170</v>
      </c>
      <c r="CY62" s="188">
        <f t="shared" si="60"/>
        <v>19.428251318101932</v>
      </c>
      <c r="CZ62" s="188">
        <f t="shared" si="61"/>
        <v>2.4285314147627415</v>
      </c>
      <c r="DA62" s="188">
        <f t="shared" si="62"/>
        <v>3.4144554161866316</v>
      </c>
      <c r="DB62" s="172">
        <f t="shared" si="63"/>
        <v>249.37910883856827</v>
      </c>
      <c r="DC62" s="379">
        <f t="shared" si="116"/>
        <v>171.14534551116202</v>
      </c>
      <c r="DE62" s="188">
        <f t="shared" si="64"/>
        <v>13.333333333333334</v>
      </c>
      <c r="DF62" s="150">
        <f t="shared" si="65"/>
        <v>2.3432923257176337</v>
      </c>
      <c r="DG62" s="150">
        <f t="shared" si="66"/>
        <v>0.19478938397857323</v>
      </c>
      <c r="DH62" s="150"/>
      <c r="DI62" s="150">
        <f t="shared" si="67"/>
        <v>2.3432923257176337</v>
      </c>
      <c r="DJ62" s="314">
        <f t="shared" si="117"/>
        <v>364.87124999999986</v>
      </c>
      <c r="DK62" s="456">
        <f t="shared" si="68"/>
        <v>0.19478938397857321</v>
      </c>
      <c r="DM62" s="150">
        <f t="shared" si="69"/>
        <v>13.613648613484504</v>
      </c>
      <c r="DN62" s="150">
        <f t="shared" si="70"/>
        <v>19.428251318101932</v>
      </c>
      <c r="DO62" s="150">
        <f t="shared" si="71"/>
        <v>5.7147540627915543</v>
      </c>
      <c r="DQ62" s="314">
        <f t="shared" si="72"/>
        <v>285</v>
      </c>
      <c r="DR62" s="144">
        <f t="shared" si="73"/>
        <v>171.14534551116202</v>
      </c>
      <c r="DT62">
        <f t="shared" si="74"/>
        <v>285</v>
      </c>
      <c r="DU62">
        <f t="shared" si="75"/>
        <v>171.14534551116202</v>
      </c>
      <c r="DW62" s="5">
        <f t="shared" si="118"/>
        <v>5.8429868309493722</v>
      </c>
      <c r="DX62" s="5">
        <f t="shared" si="76"/>
        <v>2.4285314147627415</v>
      </c>
      <c r="DY62" s="5">
        <f t="shared" si="119"/>
        <v>3.4144554161866307</v>
      </c>
      <c r="DZ62" s="5">
        <f t="shared" si="77"/>
        <v>3.4144554161866316</v>
      </c>
      <c r="EA62" s="150">
        <f t="shared" si="120"/>
        <v>0.41563184806428055</v>
      </c>
      <c r="EB62" s="150">
        <f t="shared" si="78"/>
        <v>48.45000000000001</v>
      </c>
      <c r="EC62" s="150">
        <f t="shared" si="79"/>
        <v>0.28383128295254828</v>
      </c>
      <c r="ED62" s="150">
        <f t="shared" si="121"/>
        <v>170.70000000000007</v>
      </c>
      <c r="EE62" s="144">
        <f t="shared" si="80"/>
        <v>0.40713614894551836</v>
      </c>
      <c r="EF62" s="5">
        <f t="shared" si="81"/>
        <v>22.976439571422532</v>
      </c>
      <c r="EG62" s="5"/>
      <c r="EH62" s="150">
        <f t="shared" si="122"/>
        <v>7.2314850801586879</v>
      </c>
      <c r="EI62" s="150">
        <f t="shared" si="82"/>
        <v>0.42873245336850846</v>
      </c>
      <c r="EJ62" s="150"/>
      <c r="EK62" s="456">
        <f t="shared" si="83"/>
        <v>0.17780087997949617</v>
      </c>
      <c r="EL62" s="456">
        <f t="shared" si="84"/>
        <v>2.0757120000000002</v>
      </c>
      <c r="EM62" s="456">
        <f t="shared" si="85"/>
        <v>3.9192284122056102E-2</v>
      </c>
      <c r="EN62" s="456">
        <f t="shared" si="86"/>
        <v>4.9436199752321983E-2</v>
      </c>
      <c r="EO62">
        <f t="shared" si="87"/>
        <v>5.4000000000000003E-3</v>
      </c>
      <c r="EP62" s="144">
        <f t="shared" si="123"/>
        <v>44.592284122056107</v>
      </c>
      <c r="EQ62" s="456">
        <f t="shared" si="88"/>
        <v>2.5012125488764827</v>
      </c>
      <c r="ER62" s="144">
        <f t="shared" si="124"/>
        <v>2501.2125488764827</v>
      </c>
      <c r="ES62" s="456">
        <f t="shared" si="125"/>
        <v>0.63234374999999987</v>
      </c>
      <c r="ET62" s="456"/>
      <c r="EV62" s="144">
        <f t="shared" si="126"/>
        <v>632.34374999999989</v>
      </c>
      <c r="EW62" s="456">
        <f t="shared" si="89"/>
        <v>7.8441564696836552E-2</v>
      </c>
      <c r="EX62" s="456">
        <f t="shared" si="90"/>
        <v>3.676230331427606E-2</v>
      </c>
      <c r="EY62" s="456">
        <f t="shared" si="91"/>
        <v>31.876234821662461</v>
      </c>
      <c r="EZ62" s="456">
        <f t="shared" si="92"/>
        <v>32.316930449195716</v>
      </c>
      <c r="FA62" s="456">
        <f t="shared" si="93"/>
        <v>6.4600000000000005E-2</v>
      </c>
      <c r="FB62" s="144">
        <f t="shared" si="127"/>
        <v>32381.530449195714</v>
      </c>
      <c r="FC62" s="150">
        <f t="shared" si="128"/>
        <v>35.5150867480722</v>
      </c>
      <c r="FD62" s="5">
        <f t="shared" si="129"/>
        <v>48.449999999999996</v>
      </c>
      <c r="FE62" s="150">
        <f t="shared" si="130"/>
        <v>0.57702554569339959</v>
      </c>
      <c r="FF62" s="5">
        <f t="shared" si="131"/>
        <v>57.702554569339959</v>
      </c>
      <c r="FI62" s="59">
        <f t="shared" si="94"/>
        <v>-50</v>
      </c>
      <c r="FJ62">
        <f t="shared" si="95"/>
        <v>-50</v>
      </c>
      <c r="FL62">
        <f t="shared" si="181"/>
        <v>0.58436815193571945</v>
      </c>
    </row>
    <row r="63" spans="5:168">
      <c r="E63" s="147">
        <v>58</v>
      </c>
      <c r="F63" s="188">
        <f t="shared" si="182"/>
        <v>0.28999999999999998</v>
      </c>
      <c r="G63" s="188"/>
      <c r="H63" s="188">
        <f t="shared" si="132"/>
        <v>49.3</v>
      </c>
      <c r="I63" s="465">
        <f t="shared" si="133"/>
        <v>11.950656160535155</v>
      </c>
      <c r="J63" s="149">
        <f t="shared" si="134"/>
        <v>8.5400350856596781</v>
      </c>
      <c r="K63" s="149">
        <f t="shared" si="135"/>
        <v>20.540035085659678</v>
      </c>
      <c r="L63" s="379"/>
      <c r="M63" s="188">
        <f t="shared" si="136"/>
        <v>0.41677426701376996</v>
      </c>
      <c r="N63" s="149">
        <f t="shared" si="137"/>
        <v>166.62188583675132</v>
      </c>
      <c r="O63" s="149">
        <f t="shared" si="98"/>
        <v>49.3</v>
      </c>
      <c r="P63" s="188">
        <f t="shared" si="138"/>
        <v>0.98012874021618424</v>
      </c>
      <c r="Q63" s="188">
        <f t="shared" si="139"/>
        <v>170</v>
      </c>
      <c r="R63" s="188">
        <f t="shared" si="140"/>
        <v>0.97661293365502633</v>
      </c>
      <c r="S63" s="149">
        <f t="shared" si="141"/>
        <v>1134.7728635180085</v>
      </c>
      <c r="T63" s="149">
        <f t="shared" si="142"/>
        <v>170</v>
      </c>
      <c r="U63" s="188">
        <f t="shared" si="143"/>
        <v>19.889383036317223</v>
      </c>
      <c r="V63" s="188">
        <f t="shared" si="11"/>
        <v>2.4964382000209646</v>
      </c>
      <c r="W63" s="188">
        <f t="shared" si="144"/>
        <v>3.4934370005777664</v>
      </c>
      <c r="X63" s="172">
        <f t="shared" si="145"/>
        <v>249.03753046051534</v>
      </c>
      <c r="Y63" s="379">
        <f t="shared" si="14"/>
        <v>161.55414569639021</v>
      </c>
      <c r="AA63" s="188">
        <f t="shared" si="146"/>
        <v>13.333333333333332</v>
      </c>
      <c r="AB63" s="150">
        <f t="shared" si="147"/>
        <v>2.3419107532220509</v>
      </c>
      <c r="AC63" s="150">
        <f t="shared" si="148"/>
        <v>0.1944078901804483</v>
      </c>
      <c r="AD63" s="150"/>
      <c r="AE63" s="150">
        <f t="shared" si="149"/>
        <v>2.3419107532220513</v>
      </c>
      <c r="AF63" s="314">
        <f t="shared" si="150"/>
        <v>371.49152622619584</v>
      </c>
      <c r="AG63" s="456">
        <f t="shared" si="151"/>
        <v>0.19440789018044838</v>
      </c>
      <c r="AI63" s="150">
        <f t="shared" si="152"/>
        <v>13.73659741563891</v>
      </c>
      <c r="AJ63" s="150">
        <f t="shared" si="153"/>
        <v>19.889383036317223</v>
      </c>
      <c r="AK63" s="150">
        <f t="shared" si="154"/>
        <v>6.0563331133213998</v>
      </c>
      <c r="AM63" s="314">
        <f t="shared" si="155"/>
        <v>290</v>
      </c>
      <c r="AN63" s="144">
        <f t="shared" si="156"/>
        <v>161.55414569639021</v>
      </c>
      <c r="AP63">
        <f t="shared" si="157"/>
        <v>290</v>
      </c>
      <c r="AQ63">
        <f t="shared" si="158"/>
        <v>161.55414569639021</v>
      </c>
      <c r="AS63" s="5">
        <f t="shared" si="101"/>
        <v>6.1898752005987312</v>
      </c>
      <c r="AT63" s="5">
        <f t="shared" si="159"/>
        <v>2.4964382000209646</v>
      </c>
      <c r="AU63" s="5">
        <f t="shared" si="102"/>
        <v>3.6934370005777666</v>
      </c>
      <c r="AV63" s="5">
        <f t="shared" si="160"/>
        <v>3.4934370005777664</v>
      </c>
      <c r="AW63" s="150">
        <f t="shared" si="103"/>
        <v>0.40330994068822107</v>
      </c>
      <c r="AX63" s="150">
        <f t="shared" si="161"/>
        <v>47.931607432942968</v>
      </c>
      <c r="AY63" s="150">
        <f t="shared" si="162"/>
        <v>0.29669492859037039</v>
      </c>
      <c r="AZ63" s="150">
        <f t="shared" si="104"/>
        <v>161.55182584573052</v>
      </c>
      <c r="BA63" s="144">
        <f t="shared" si="163"/>
        <v>0.42586298706239983</v>
      </c>
      <c r="BB63" s="5">
        <f t="shared" si="164"/>
        <v>25.394204536064283</v>
      </c>
      <c r="BC63" s="5"/>
      <c r="BD63" s="150">
        <f t="shared" si="105"/>
        <v>7.2925622926987934</v>
      </c>
      <c r="BE63" s="150">
        <f t="shared" si="165"/>
        <v>0.44351170896481279</v>
      </c>
      <c r="BF63" s="150"/>
      <c r="BG63" s="456">
        <f t="shared" si="166"/>
        <v>0.18081698029583376</v>
      </c>
      <c r="BH63" s="456">
        <f t="shared" si="167"/>
        <v>1.5806878589955438</v>
      </c>
      <c r="BI63" s="456">
        <f t="shared" si="168"/>
        <v>8.8425054530916439E-2</v>
      </c>
      <c r="BJ63" s="456">
        <f t="shared" si="169"/>
        <v>4.6688620358022001E-2</v>
      </c>
      <c r="BK63">
        <f t="shared" si="170"/>
        <v>5.3777952722408196E-3</v>
      </c>
      <c r="BL63" s="144">
        <f t="shared" si="106"/>
        <v>93.802849803157258</v>
      </c>
      <c r="BM63" s="456">
        <f t="shared" si="171"/>
        <v>1.9403767316845311</v>
      </c>
      <c r="BN63" s="144">
        <f t="shared" si="107"/>
        <v>1940.376731684531</v>
      </c>
      <c r="BO63" s="456">
        <f t="shared" si="172"/>
        <v>0.6434375</v>
      </c>
      <c r="BP63" s="456"/>
      <c r="BR63" s="144">
        <f t="shared" si="109"/>
        <v>643.4375</v>
      </c>
      <c r="BS63" s="456">
        <f t="shared" si="173"/>
        <v>7.9772197189338423E-2</v>
      </c>
      <c r="BT63" s="456">
        <f t="shared" si="174"/>
        <v>3.934052719777776E-2</v>
      </c>
      <c r="BU63" s="456">
        <f t="shared" si="175"/>
        <v>0.73949999999999994</v>
      </c>
      <c r="BV63" s="456">
        <f t="shared" si="176"/>
        <v>0.89573525556966338</v>
      </c>
      <c r="BW63" s="456">
        <f t="shared" si="177"/>
        <v>6.3908809910590628E-2</v>
      </c>
      <c r="BX63" s="144">
        <f t="shared" si="110"/>
        <v>959.64406548025408</v>
      </c>
      <c r="BY63" s="150">
        <f t="shared" si="45"/>
        <v>3.6372611469679423</v>
      </c>
      <c r="BZ63" s="5">
        <f t="shared" si="111"/>
        <v>49.3</v>
      </c>
      <c r="CA63" s="150">
        <f t="shared" si="112"/>
        <v>0.93129109689165934</v>
      </c>
      <c r="CB63" s="5">
        <f t="shared" si="113"/>
        <v>93.129109689165929</v>
      </c>
      <c r="CE63" s="59">
        <f t="shared" si="178"/>
        <v>-50</v>
      </c>
      <c r="CF63">
        <f t="shared" si="179"/>
        <v>-50</v>
      </c>
      <c r="CG63" s="150">
        <f t="shared" si="180"/>
        <v>0.57595842375111939</v>
      </c>
      <c r="CI63" s="147">
        <v>58</v>
      </c>
      <c r="CJ63" s="188">
        <f t="shared" si="114"/>
        <v>0.28999999999999998</v>
      </c>
      <c r="CK63" s="188"/>
      <c r="CL63" s="188">
        <f t="shared" si="49"/>
        <v>49.3</v>
      </c>
      <c r="CM63" s="465">
        <f t="shared" si="50"/>
        <v>12</v>
      </c>
      <c r="CN63" s="149">
        <f t="shared" si="51"/>
        <v>8.5350000000000001</v>
      </c>
      <c r="CO63" s="379">
        <f t="shared" si="52"/>
        <v>20.535</v>
      </c>
      <c r="CP63" s="379"/>
      <c r="CQ63" s="188">
        <f t="shared" si="53"/>
        <v>0.4156318480642805</v>
      </c>
      <c r="CR63" s="149">
        <f t="shared" si="54"/>
        <v>166.85124908692478</v>
      </c>
      <c r="CS63" s="149">
        <f t="shared" si="115"/>
        <v>49.3</v>
      </c>
      <c r="CT63" s="188">
        <f t="shared" si="55"/>
        <v>0.98147793580543985</v>
      </c>
      <c r="CU63" s="188">
        <f t="shared" si="56"/>
        <v>170</v>
      </c>
      <c r="CV63" s="188">
        <f t="shared" si="57"/>
        <v>0.97795728956301287</v>
      </c>
      <c r="CW63" s="149">
        <f t="shared" si="58"/>
        <v>1139.4576928664162</v>
      </c>
      <c r="CX63" s="149">
        <f t="shared" si="59"/>
        <v>170</v>
      </c>
      <c r="CY63" s="188">
        <f t="shared" si="60"/>
        <v>19.769097832454598</v>
      </c>
      <c r="CZ63" s="188">
        <f t="shared" si="61"/>
        <v>2.4711372290568248</v>
      </c>
      <c r="DA63" s="188">
        <f t="shared" si="62"/>
        <v>3.474358142786397</v>
      </c>
      <c r="DB63" s="172">
        <f t="shared" si="63"/>
        <v>249.37910883856827</v>
      </c>
      <c r="DC63" s="379">
        <f t="shared" si="116"/>
        <v>168.19456369200404</v>
      </c>
      <c r="DE63" s="188">
        <f t="shared" si="64"/>
        <v>13.333333333333334</v>
      </c>
      <c r="DF63" s="150">
        <f t="shared" si="65"/>
        <v>2.3432923257176337</v>
      </c>
      <c r="DG63" s="150">
        <f t="shared" si="66"/>
        <v>0.19478938397857323</v>
      </c>
      <c r="DH63" s="150"/>
      <c r="DI63" s="150">
        <f t="shared" si="67"/>
        <v>2.3432923257176337</v>
      </c>
      <c r="DJ63" s="314">
        <f t="shared" si="117"/>
        <v>371.27249999999987</v>
      </c>
      <c r="DK63" s="456">
        <f t="shared" si="68"/>
        <v>0.19478938397857321</v>
      </c>
      <c r="DM63" s="150">
        <f t="shared" si="69"/>
        <v>13.732547365396455</v>
      </c>
      <c r="DN63" s="150">
        <f t="shared" si="70"/>
        <v>19.769097832454598</v>
      </c>
      <c r="DO63" s="150">
        <f t="shared" si="71"/>
        <v>5.967232962312047</v>
      </c>
      <c r="DQ63" s="314">
        <f t="shared" si="72"/>
        <v>290</v>
      </c>
      <c r="DR63" s="144">
        <f t="shared" si="73"/>
        <v>168.19456369200404</v>
      </c>
      <c r="DT63">
        <f t="shared" si="74"/>
        <v>290</v>
      </c>
      <c r="DU63">
        <f t="shared" si="75"/>
        <v>168.19456369200404</v>
      </c>
      <c r="DW63" s="5">
        <f t="shared" si="118"/>
        <v>5.9454953718432213</v>
      </c>
      <c r="DX63" s="5">
        <f t="shared" si="76"/>
        <v>2.4711372290568248</v>
      </c>
      <c r="DY63" s="5">
        <f t="shared" si="119"/>
        <v>3.4743581427863965</v>
      </c>
      <c r="DZ63" s="5">
        <f t="shared" si="77"/>
        <v>3.474358142786397</v>
      </c>
      <c r="EA63" s="150">
        <f t="shared" si="120"/>
        <v>0.4156318480642805</v>
      </c>
      <c r="EB63" s="150">
        <f t="shared" si="78"/>
        <v>49.3</v>
      </c>
      <c r="EC63" s="150">
        <f t="shared" si="79"/>
        <v>0.28881077914469833</v>
      </c>
      <c r="ED63" s="150">
        <f t="shared" si="121"/>
        <v>170.7</v>
      </c>
      <c r="EE63" s="144">
        <f t="shared" si="80"/>
        <v>0.42154693907439955</v>
      </c>
      <c r="EF63" s="5">
        <f t="shared" si="81"/>
        <v>23.789702283245742</v>
      </c>
      <c r="EG63" s="5"/>
      <c r="EH63" s="150">
        <f t="shared" si="122"/>
        <v>7.3583532394597171</v>
      </c>
      <c r="EI63" s="150">
        <f t="shared" si="82"/>
        <v>0.43625407535742972</v>
      </c>
      <c r="EJ63" s="150"/>
      <c r="EK63" s="456">
        <f t="shared" si="83"/>
        <v>0.18409423214866885</v>
      </c>
      <c r="EL63" s="456">
        <f t="shared" si="84"/>
        <v>2.0757120000000002</v>
      </c>
      <c r="EM63" s="456">
        <f t="shared" si="85"/>
        <v>3.8516555085468925E-2</v>
      </c>
      <c r="EN63" s="456">
        <f t="shared" si="86"/>
        <v>4.8583851480730224E-2</v>
      </c>
      <c r="EO63">
        <f t="shared" si="87"/>
        <v>5.4000000000000003E-3</v>
      </c>
      <c r="EP63" s="144">
        <f t="shared" si="123"/>
        <v>43.916555085468929</v>
      </c>
      <c r="EQ63" s="456">
        <f t="shared" si="88"/>
        <v>2.511883864926197</v>
      </c>
      <c r="ER63" s="144">
        <f t="shared" si="124"/>
        <v>2511.883864926197</v>
      </c>
      <c r="ES63" s="456">
        <f t="shared" si="125"/>
        <v>0.6434375</v>
      </c>
      <c r="ET63" s="456"/>
      <c r="EV63" s="144">
        <f t="shared" si="126"/>
        <v>643.4375</v>
      </c>
      <c r="EW63" s="456">
        <f t="shared" si="89"/>
        <v>8.1218043595000969E-2</v>
      </c>
      <c r="EX63" s="456">
        <f t="shared" si="90"/>
        <v>3.8063523653193196E-2</v>
      </c>
      <c r="EY63" s="456">
        <f t="shared" si="91"/>
        <v>31.876234821662486</v>
      </c>
      <c r="EZ63" s="456">
        <f t="shared" si="92"/>
        <v>32.33267937861946</v>
      </c>
      <c r="FA63" s="456">
        <f t="shared" si="93"/>
        <v>6.5733333333333338E-2</v>
      </c>
      <c r="FB63" s="144">
        <f t="shared" si="127"/>
        <v>32398.412711952795</v>
      </c>
      <c r="FC63" s="150">
        <f t="shared" si="128"/>
        <v>35.553734076878989</v>
      </c>
      <c r="FD63" s="5">
        <f t="shared" si="129"/>
        <v>49.3</v>
      </c>
      <c r="FE63" s="150">
        <f t="shared" si="130"/>
        <v>0.58099977020850158</v>
      </c>
      <c r="FF63" s="5">
        <f t="shared" si="131"/>
        <v>58.099977020850154</v>
      </c>
      <c r="FI63" s="59">
        <f t="shared" si="94"/>
        <v>-50</v>
      </c>
      <c r="FJ63">
        <f t="shared" si="95"/>
        <v>-50</v>
      </c>
      <c r="FL63">
        <f t="shared" si="181"/>
        <v>0.58436815193571956</v>
      </c>
    </row>
    <row r="64" spans="5:168">
      <c r="E64" s="147">
        <v>59</v>
      </c>
      <c r="F64" s="188">
        <f t="shared" si="182"/>
        <v>0.29499999999999998</v>
      </c>
      <c r="G64" s="188"/>
      <c r="H64" s="188">
        <f t="shared" si="132"/>
        <v>50.15</v>
      </c>
      <c r="I64" s="465">
        <f t="shared" si="133"/>
        <v>11.949817823730278</v>
      </c>
      <c r="J64" s="149">
        <f t="shared" si="134"/>
        <v>8.5401206302316037</v>
      </c>
      <c r="K64" s="149">
        <f t="shared" si="135"/>
        <v>20.540120630231606</v>
      </c>
      <c r="L64" s="379"/>
      <c r="M64" s="188">
        <f t="shared" si="136"/>
        <v>0.41679375466971286</v>
      </c>
      <c r="N64" s="149">
        <f t="shared" si="137"/>
        <v>166.61798774499124</v>
      </c>
      <c r="O64" s="149">
        <f t="shared" si="98"/>
        <v>50.15</v>
      </c>
      <c r="P64" s="188">
        <f t="shared" si="138"/>
        <v>0.98010581026465438</v>
      </c>
      <c r="Q64" s="188">
        <f t="shared" si="139"/>
        <v>170</v>
      </c>
      <c r="R64" s="188">
        <f t="shared" si="140"/>
        <v>0.97659008595521557</v>
      </c>
      <c r="S64" s="149">
        <f t="shared" si="141"/>
        <v>1111.4159761692813</v>
      </c>
      <c r="T64" s="149">
        <f t="shared" si="142"/>
        <v>170</v>
      </c>
      <c r="U64" s="188">
        <f t="shared" si="143"/>
        <v>20.23297948964402</v>
      </c>
      <c r="V64" s="188">
        <f t="shared" si="11"/>
        <v>2.5397432565203815</v>
      </c>
      <c r="W64" s="188">
        <f t="shared" si="144"/>
        <v>3.5537518202061942</v>
      </c>
      <c r="X64" s="172">
        <f t="shared" si="145"/>
        <v>249.0317039098172</v>
      </c>
      <c r="Y64" s="379">
        <f t="shared" si="14"/>
        <v>158.89422138391947</v>
      </c>
      <c r="AA64" s="188">
        <f t="shared" si="146"/>
        <v>13.333333333333334</v>
      </c>
      <c r="AB64" s="150">
        <f t="shared" si="147"/>
        <v>2.3418872948001455</v>
      </c>
      <c r="AC64" s="150">
        <f t="shared" si="148"/>
        <v>0.19440139446294422</v>
      </c>
      <c r="AD64" s="150"/>
      <c r="AE64" s="150">
        <f t="shared" si="149"/>
        <v>2.3418872948001455</v>
      </c>
      <c r="AF64" s="314">
        <f t="shared" si="150"/>
        <v>377.90033788774838</v>
      </c>
      <c r="AG64" s="456">
        <f t="shared" si="151"/>
        <v>0.19440139446294422</v>
      </c>
      <c r="AI64" s="150">
        <f t="shared" si="152"/>
        <v>13.854579675137366</v>
      </c>
      <c r="AJ64" s="150">
        <f t="shared" si="153"/>
        <v>20.23297948964402</v>
      </c>
      <c r="AK64" s="150">
        <f t="shared" si="154"/>
        <v>6.3108490046745827</v>
      </c>
      <c r="AM64" s="314">
        <f t="shared" si="155"/>
        <v>295</v>
      </c>
      <c r="AN64" s="144">
        <f t="shared" si="156"/>
        <v>158.89422138391947</v>
      </c>
      <c r="AP64">
        <f t="shared" si="157"/>
        <v>295</v>
      </c>
      <c r="AQ64">
        <f t="shared" si="158"/>
        <v>158.89422138391947</v>
      </c>
      <c r="AS64" s="5">
        <f t="shared" si="101"/>
        <v>6.2934950767265772</v>
      </c>
      <c r="AT64" s="5">
        <f t="shared" si="159"/>
        <v>2.5397432565203815</v>
      </c>
      <c r="AU64" s="5">
        <f t="shared" si="102"/>
        <v>3.7537518202061957</v>
      </c>
      <c r="AV64" s="5">
        <f t="shared" si="160"/>
        <v>3.5537518202061942</v>
      </c>
      <c r="AW64" s="150">
        <f t="shared" si="103"/>
        <v>0.40355052725986607</v>
      </c>
      <c r="AX64" s="150">
        <f t="shared" si="161"/>
        <v>48.785307770664318</v>
      </c>
      <c r="AY64" s="150">
        <f t="shared" si="162"/>
        <v>0.30169874871400298</v>
      </c>
      <c r="AZ64" s="150">
        <f t="shared" si="104"/>
        <v>161.70205537348988</v>
      </c>
      <c r="BA64" s="144">
        <f t="shared" si="163"/>
        <v>0.44072015333736025</v>
      </c>
      <c r="BB64" s="5">
        <f t="shared" si="164"/>
        <v>26.255721573917683</v>
      </c>
      <c r="BC64" s="5"/>
      <c r="BD64" s="150">
        <f t="shared" si="105"/>
        <v>7.4207563683919275</v>
      </c>
      <c r="BE64" s="150">
        <f t="shared" si="165"/>
        <v>0.45108257170137145</v>
      </c>
      <c r="BF64" s="150"/>
      <c r="BG64" s="456">
        <f t="shared" si="166"/>
        <v>0.18722992526869978</v>
      </c>
      <c r="BH64" s="456">
        <f t="shared" si="167"/>
        <v>1.5815264225862637</v>
      </c>
      <c r="BI64" s="456">
        <f t="shared" si="168"/>
        <v>8.6963070544183785E-2</v>
      </c>
      <c r="BJ64" s="456">
        <f t="shared" si="169"/>
        <v>4.5920293413636182E-2</v>
      </c>
      <c r="BK64">
        <f t="shared" si="170"/>
        <v>5.3774180206786247E-3</v>
      </c>
      <c r="BL64" s="144">
        <f t="shared" si="106"/>
        <v>92.340488564862412</v>
      </c>
      <c r="BM64" s="456">
        <f t="shared" si="171"/>
        <v>1.9520680908030354</v>
      </c>
      <c r="BN64" s="144">
        <f t="shared" si="107"/>
        <v>1952.0680908030354</v>
      </c>
      <c r="BO64" s="456">
        <f t="shared" si="172"/>
        <v>0.6545312499999999</v>
      </c>
      <c r="BP64" s="456"/>
      <c r="BR64" s="144">
        <f t="shared" si="109"/>
        <v>654.53124999999989</v>
      </c>
      <c r="BS64" s="456">
        <f t="shared" si="173"/>
        <v>8.2601437618544021E-2</v>
      </c>
      <c r="BT64" s="456">
        <f t="shared" si="174"/>
        <v>4.0695097298544584E-2</v>
      </c>
      <c r="BU64" s="456">
        <f t="shared" si="175"/>
        <v>0.75224999999999997</v>
      </c>
      <c r="BV64" s="456">
        <f t="shared" si="176"/>
        <v>0.91415467156779617</v>
      </c>
      <c r="BW64" s="456">
        <f t="shared" si="177"/>
        <v>6.5047077027552427E-2</v>
      </c>
      <c r="BX64" s="144">
        <f t="shared" si="110"/>
        <v>979.20174859534859</v>
      </c>
      <c r="BY64" s="150">
        <f t="shared" si="45"/>
        <v>3.6781415779632467</v>
      </c>
      <c r="BZ64" s="5">
        <f t="shared" si="111"/>
        <v>50.15</v>
      </c>
      <c r="CA64" s="150">
        <f t="shared" si="112"/>
        <v>0.93166879869638597</v>
      </c>
      <c r="CB64" s="5">
        <f t="shared" si="113"/>
        <v>93.166879869638592</v>
      </c>
      <c r="CE64" s="59">
        <f t="shared" si="178"/>
        <v>-50</v>
      </c>
      <c r="CF64">
        <f t="shared" si="179"/>
        <v>-50</v>
      </c>
      <c r="CG64" s="150">
        <f t="shared" si="180"/>
        <v>0.57610096151696</v>
      </c>
      <c r="CI64" s="147">
        <v>59</v>
      </c>
      <c r="CJ64" s="188">
        <f t="shared" si="114"/>
        <v>0.29499999999999998</v>
      </c>
      <c r="CK64" s="188"/>
      <c r="CL64" s="188">
        <f t="shared" si="49"/>
        <v>50.15</v>
      </c>
      <c r="CM64" s="465">
        <f t="shared" si="50"/>
        <v>12</v>
      </c>
      <c r="CN64" s="149">
        <f t="shared" si="51"/>
        <v>8.5350000000000001</v>
      </c>
      <c r="CO64" s="379">
        <f t="shared" si="52"/>
        <v>20.535</v>
      </c>
      <c r="CP64" s="379"/>
      <c r="CQ64" s="188">
        <f t="shared" si="53"/>
        <v>0.4156318480642805</v>
      </c>
      <c r="CR64" s="149">
        <f t="shared" si="54"/>
        <v>166.85124908692478</v>
      </c>
      <c r="CS64" s="149">
        <f t="shared" si="115"/>
        <v>50.15</v>
      </c>
      <c r="CT64" s="188">
        <f t="shared" si="55"/>
        <v>0.98147793580543985</v>
      </c>
      <c r="CU64" s="188">
        <f t="shared" si="56"/>
        <v>170</v>
      </c>
      <c r="CV64" s="188">
        <f t="shared" si="57"/>
        <v>0.97795728956301287</v>
      </c>
      <c r="CW64" s="149">
        <f t="shared" si="58"/>
        <v>1116.0826355282393</v>
      </c>
      <c r="CX64" s="149">
        <f t="shared" si="59"/>
        <v>170</v>
      </c>
      <c r="CY64" s="188">
        <f t="shared" si="60"/>
        <v>20.109944346807264</v>
      </c>
      <c r="CZ64" s="188">
        <f t="shared" si="61"/>
        <v>2.513743043350908</v>
      </c>
      <c r="DA64" s="188">
        <f t="shared" si="62"/>
        <v>3.5342608693861624</v>
      </c>
      <c r="DB64" s="172">
        <f t="shared" si="63"/>
        <v>249.37910883856827</v>
      </c>
      <c r="DC64" s="379">
        <f t="shared" si="116"/>
        <v>165.34380837519041</v>
      </c>
      <c r="DE64" s="188">
        <f t="shared" si="64"/>
        <v>13.333333333333334</v>
      </c>
      <c r="DF64" s="150">
        <f t="shared" si="65"/>
        <v>2.3432923257176337</v>
      </c>
      <c r="DG64" s="150">
        <f t="shared" si="66"/>
        <v>0.19478938397857323</v>
      </c>
      <c r="DH64" s="150"/>
      <c r="DI64" s="150">
        <f t="shared" si="67"/>
        <v>2.3432923257176337</v>
      </c>
      <c r="DJ64" s="314">
        <f t="shared" si="117"/>
        <v>377.67374999999987</v>
      </c>
      <c r="DK64" s="456">
        <f t="shared" si="68"/>
        <v>0.19478938397857321</v>
      </c>
      <c r="DM64" s="150">
        <f t="shared" si="69"/>
        <v>13.85042547051482</v>
      </c>
      <c r="DN64" s="150">
        <f t="shared" si="70"/>
        <v>20.109944346807264</v>
      </c>
      <c r="DO64" s="150">
        <f t="shared" si="71"/>
        <v>6.2197118618325407</v>
      </c>
      <c r="DQ64" s="314">
        <f t="shared" si="72"/>
        <v>295</v>
      </c>
      <c r="DR64" s="144">
        <f t="shared" si="73"/>
        <v>165.34380837519041</v>
      </c>
      <c r="DT64">
        <f t="shared" si="74"/>
        <v>295</v>
      </c>
      <c r="DU64">
        <f t="shared" si="75"/>
        <v>165.34380837519041</v>
      </c>
      <c r="DW64" s="5">
        <f t="shared" si="118"/>
        <v>6.0480039127370704</v>
      </c>
      <c r="DX64" s="5">
        <f t="shared" si="76"/>
        <v>2.513743043350908</v>
      </c>
      <c r="DY64" s="5">
        <f t="shared" si="119"/>
        <v>3.5342608693861624</v>
      </c>
      <c r="DZ64" s="5">
        <f t="shared" si="77"/>
        <v>3.5342608693861624</v>
      </c>
      <c r="EA64" s="150">
        <f t="shared" si="120"/>
        <v>0.4156318480642805</v>
      </c>
      <c r="EB64" s="150">
        <f t="shared" si="78"/>
        <v>50.15</v>
      </c>
      <c r="EC64" s="150">
        <f t="shared" si="79"/>
        <v>0.29379027533684832</v>
      </c>
      <c r="ED64" s="150">
        <f t="shared" si="121"/>
        <v>170.69999999999996</v>
      </c>
      <c r="EE64" s="144">
        <f t="shared" si="80"/>
        <v>0.43620835164030458</v>
      </c>
      <c r="EF64" s="5">
        <f t="shared" si="81"/>
        <v>24.617108694405001</v>
      </c>
      <c r="EG64" s="5"/>
      <c r="EH64" s="150">
        <f t="shared" si="122"/>
        <v>7.4852213987607472</v>
      </c>
      <c r="EI64" s="150">
        <f t="shared" si="82"/>
        <v>0.44377569734635103</v>
      </c>
      <c r="EJ64" s="150"/>
      <c r="EK64" s="456">
        <f t="shared" si="83"/>
        <v>0.19049703392078368</v>
      </c>
      <c r="EL64" s="456">
        <f t="shared" si="84"/>
        <v>2.0757120000000002</v>
      </c>
      <c r="EM64" s="456">
        <f t="shared" si="85"/>
        <v>3.7863732117918603E-2</v>
      </c>
      <c r="EN64" s="456">
        <f t="shared" si="86"/>
        <v>4.7760396370887338E-2</v>
      </c>
      <c r="EO64">
        <f t="shared" si="87"/>
        <v>5.4000000000000003E-3</v>
      </c>
      <c r="EP64" s="144">
        <f t="shared" si="123"/>
        <v>43.263732117918607</v>
      </c>
      <c r="EQ64" s="456">
        <f t="shared" si="88"/>
        <v>2.5228571627970298</v>
      </c>
      <c r="ER64" s="144">
        <f t="shared" si="124"/>
        <v>2522.8571627970296</v>
      </c>
      <c r="ES64" s="456">
        <f t="shared" si="125"/>
        <v>0.6545312499999999</v>
      </c>
      <c r="ET64" s="456"/>
      <c r="EV64" s="144">
        <f t="shared" si="126"/>
        <v>654.53124999999989</v>
      </c>
      <c r="EW64" s="456">
        <f t="shared" si="89"/>
        <v>8.4042809082698691E-2</v>
      </c>
      <c r="EX64" s="456">
        <f t="shared" si="90"/>
        <v>3.9387373911048032E-2</v>
      </c>
      <c r="EY64" s="456">
        <f t="shared" si="91"/>
        <v>31.876234821662461</v>
      </c>
      <c r="EZ64" s="456">
        <f t="shared" si="92"/>
        <v>32.34871285233276</v>
      </c>
      <c r="FA64" s="456">
        <f t="shared" si="93"/>
        <v>6.6866666666666658E-2</v>
      </c>
      <c r="FB64" s="144">
        <f t="shared" si="127"/>
        <v>32415.579518999428</v>
      </c>
      <c r="FC64" s="150">
        <f t="shared" si="128"/>
        <v>35.592967931796458</v>
      </c>
      <c r="FD64" s="5">
        <f t="shared" si="129"/>
        <v>50.15</v>
      </c>
      <c r="FE64" s="150">
        <f t="shared" si="130"/>
        <v>0.58488761480581597</v>
      </c>
      <c r="FF64" s="5">
        <f t="shared" si="131"/>
        <v>58.488761480581594</v>
      </c>
      <c r="FI64" s="59">
        <f t="shared" si="94"/>
        <v>-50</v>
      </c>
      <c r="FJ64">
        <f t="shared" si="95"/>
        <v>-50</v>
      </c>
      <c r="FL64">
        <f t="shared" si="181"/>
        <v>0.58436815193571956</v>
      </c>
    </row>
    <row r="65" spans="5:168">
      <c r="E65" s="147">
        <v>60</v>
      </c>
      <c r="F65" s="188">
        <f t="shared" si="182"/>
        <v>0.3</v>
      </c>
      <c r="G65" s="188"/>
      <c r="H65" s="188">
        <f t="shared" si="132"/>
        <v>51</v>
      </c>
      <c r="I65" s="465">
        <f t="shared" si="133"/>
        <v>11.948979480986276</v>
      </c>
      <c r="J65" s="149">
        <f t="shared" si="134"/>
        <v>8.5402061754095637</v>
      </c>
      <c r="K65" s="149">
        <f t="shared" si="135"/>
        <v>20.540206175409566</v>
      </c>
      <c r="L65" s="379"/>
      <c r="M65" s="188">
        <f t="shared" si="136"/>
        <v>0.41681324387843738</v>
      </c>
      <c r="N65" s="149">
        <f t="shared" si="137"/>
        <v>166.61408909804669</v>
      </c>
      <c r="O65" s="149">
        <f t="shared" si="98"/>
        <v>51</v>
      </c>
      <c r="P65" s="188">
        <f t="shared" si="138"/>
        <v>0.98008287704733343</v>
      </c>
      <c r="Q65" s="188">
        <f t="shared" si="139"/>
        <v>170</v>
      </c>
      <c r="R65" s="188">
        <f t="shared" si="140"/>
        <v>0.97656723500132869</v>
      </c>
      <c r="S65" s="149">
        <f t="shared" si="141"/>
        <v>1088.8383353178858</v>
      </c>
      <c r="T65" s="149">
        <f t="shared" si="142"/>
        <v>170</v>
      </c>
      <c r="U65" s="188">
        <f t="shared" si="143"/>
        <v>20.576598960862981</v>
      </c>
      <c r="V65" s="188">
        <f t="shared" si="11"/>
        <v>2.5830572803650731</v>
      </c>
      <c r="W65" s="188">
        <f t="shared" si="144"/>
        <v>3.6140694741265169</v>
      </c>
      <c r="X65" s="172">
        <f t="shared" si="145"/>
        <v>249.02587653967245</v>
      </c>
      <c r="Y65" s="379">
        <f t="shared" si="14"/>
        <v>156.32017910194975</v>
      </c>
      <c r="AA65" s="188">
        <f t="shared" si="146"/>
        <v>13.333333333333334</v>
      </c>
      <c r="AB65" s="150">
        <f t="shared" si="147"/>
        <v>2.3418638366820059</v>
      </c>
      <c r="AC65" s="150">
        <f t="shared" si="148"/>
        <v>0.19439489822209899</v>
      </c>
      <c r="AD65" s="150"/>
      <c r="AE65" s="150">
        <f t="shared" si="149"/>
        <v>2.3418638366820059</v>
      </c>
      <c r="AF65" s="314">
        <f t="shared" si="150"/>
        <v>384.30927789343025</v>
      </c>
      <c r="AG65" s="456">
        <f t="shared" si="151"/>
        <v>0.19439489822209899</v>
      </c>
      <c r="AI65" s="150">
        <f t="shared" si="152"/>
        <v>13.971568007234907</v>
      </c>
      <c r="AJ65" s="150">
        <f t="shared" si="153"/>
        <v>20.576598960862981</v>
      </c>
      <c r="AK65" s="150">
        <f t="shared" si="154"/>
        <v>6.565381946318257</v>
      </c>
      <c r="AM65" s="314">
        <f t="shared" si="155"/>
        <v>300</v>
      </c>
      <c r="AN65" s="144">
        <f t="shared" si="156"/>
        <v>156.32017910194975</v>
      </c>
      <c r="AP65">
        <f t="shared" si="157"/>
        <v>300</v>
      </c>
      <c r="AQ65">
        <f t="shared" si="158"/>
        <v>156.32017910194975</v>
      </c>
      <c r="AS65" s="5">
        <f t="shared" si="101"/>
        <v>6.3971267544915911</v>
      </c>
      <c r="AT65" s="5">
        <f t="shared" si="159"/>
        <v>2.5830572803650731</v>
      </c>
      <c r="AU65" s="5">
        <f t="shared" si="102"/>
        <v>3.814069474126518</v>
      </c>
      <c r="AV65" s="5">
        <f t="shared" si="160"/>
        <v>3.6140694741265169</v>
      </c>
      <c r="AW65" s="150">
        <f t="shared" si="103"/>
        <v>0.40378397669726346</v>
      </c>
      <c r="AX65" s="150">
        <f t="shared" si="161"/>
        <v>49.63905371644892</v>
      </c>
      <c r="AY65" s="150">
        <f t="shared" si="162"/>
        <v>0.30670245013852365</v>
      </c>
      <c r="AZ65" s="150">
        <f t="shared" si="104"/>
        <v>161.84759428569677</v>
      </c>
      <c r="BA65" s="144">
        <f t="shared" si="163"/>
        <v>0.4558336377114835</v>
      </c>
      <c r="BB65" s="5">
        <f t="shared" si="164"/>
        <v>27.131681480969004</v>
      </c>
      <c r="BC65" s="5"/>
      <c r="BD65" s="150">
        <f t="shared" si="105"/>
        <v>7.5489666428284163</v>
      </c>
      <c r="BE65" s="150">
        <f t="shared" si="165"/>
        <v>0.45865358448450239</v>
      </c>
      <c r="BF65" s="150"/>
      <c r="BG65" s="456">
        <f t="shared" si="166"/>
        <v>0.19375545107342282</v>
      </c>
      <c r="BH65" s="456">
        <f t="shared" si="167"/>
        <v>1.5823368912796356</v>
      </c>
      <c r="BI65" s="456">
        <f t="shared" si="168"/>
        <v>8.554829085494102E-2</v>
      </c>
      <c r="BJ65" s="456">
        <f t="shared" si="169"/>
        <v>4.5176773707194834E-2</v>
      </c>
      <c r="BK65">
        <f t="shared" si="170"/>
        <v>5.3770407664438238E-3</v>
      </c>
      <c r="BL65" s="144">
        <f t="shared" si="106"/>
        <v>90.925331621384842</v>
      </c>
      <c r="BM65" s="456">
        <f t="shared" si="171"/>
        <v>1.9639982929894235</v>
      </c>
      <c r="BN65" s="144">
        <f t="shared" si="107"/>
        <v>1963.9982929894236</v>
      </c>
      <c r="BO65" s="456">
        <f t="shared" si="172"/>
        <v>0.66562499999999991</v>
      </c>
      <c r="BP65" s="456"/>
      <c r="BR65" s="144">
        <f t="shared" si="109"/>
        <v>665.62499999999989</v>
      </c>
      <c r="BS65" s="456">
        <f t="shared" si="173"/>
        <v>8.5480346061804199E-2</v>
      </c>
      <c r="BT65" s="456">
        <f t="shared" si="174"/>
        <v>4.2072622112096517E-2</v>
      </c>
      <c r="BU65" s="456">
        <f t="shared" si="175"/>
        <v>0.76500000000000001</v>
      </c>
      <c r="BV65" s="456">
        <f t="shared" si="176"/>
        <v>0.93268299933002752</v>
      </c>
      <c r="BW65" s="456">
        <f t="shared" si="177"/>
        <v>6.6185404955265231E-2</v>
      </c>
      <c r="BX65" s="144">
        <f t="shared" si="110"/>
        <v>998.86840428529274</v>
      </c>
      <c r="BY65" s="150">
        <f t="shared" si="45"/>
        <v>3.719417028896101</v>
      </c>
      <c r="BZ65" s="5">
        <f t="shared" si="111"/>
        <v>51</v>
      </c>
      <c r="CA65" s="150">
        <f t="shared" si="112"/>
        <v>0.93202747341164172</v>
      </c>
      <c r="CB65" s="5">
        <f t="shared" si="113"/>
        <v>93.202747341164169</v>
      </c>
      <c r="CE65" s="59">
        <f t="shared" si="178"/>
        <v>-50</v>
      </c>
      <c r="CF65">
        <f t="shared" si="179"/>
        <v>-50</v>
      </c>
      <c r="CG65" s="150">
        <f t="shared" si="180"/>
        <v>0.57623874802393937</v>
      </c>
      <c r="CI65" s="147">
        <v>60</v>
      </c>
      <c r="CJ65" s="188">
        <f t="shared" si="114"/>
        <v>0.3</v>
      </c>
      <c r="CK65" s="188"/>
      <c r="CL65" s="188">
        <f t="shared" si="49"/>
        <v>51</v>
      </c>
      <c r="CM65" s="465">
        <f t="shared" si="50"/>
        <v>12</v>
      </c>
      <c r="CN65" s="149">
        <f t="shared" si="51"/>
        <v>8.5350000000000001</v>
      </c>
      <c r="CO65" s="379">
        <f t="shared" si="52"/>
        <v>20.535</v>
      </c>
      <c r="CP65" s="379"/>
      <c r="CQ65" s="188">
        <f t="shared" si="53"/>
        <v>0.4156318480642805</v>
      </c>
      <c r="CR65" s="149">
        <f t="shared" si="54"/>
        <v>166.85124908692478</v>
      </c>
      <c r="CS65" s="149">
        <f t="shared" si="115"/>
        <v>51</v>
      </c>
      <c r="CT65" s="188">
        <f t="shared" si="55"/>
        <v>0.98147793580543985</v>
      </c>
      <c r="CU65" s="188">
        <f t="shared" si="56"/>
        <v>170</v>
      </c>
      <c r="CV65" s="188">
        <f t="shared" si="57"/>
        <v>0.97795728956301287</v>
      </c>
      <c r="CW65" s="149">
        <f t="shared" si="58"/>
        <v>1093.486872006021</v>
      </c>
      <c r="CX65" s="149">
        <f t="shared" si="59"/>
        <v>170</v>
      </c>
      <c r="CY65" s="188">
        <f t="shared" si="60"/>
        <v>20.450790861159931</v>
      </c>
      <c r="CZ65" s="188">
        <f t="shared" si="61"/>
        <v>2.5563488576449913</v>
      </c>
      <c r="DA65" s="188">
        <f t="shared" si="62"/>
        <v>3.5941635959859282</v>
      </c>
      <c r="DB65" s="172">
        <f t="shared" si="63"/>
        <v>249.37910883856827</v>
      </c>
      <c r="DC65" s="379">
        <f t="shared" si="116"/>
        <v>162.58807823560389</v>
      </c>
      <c r="DE65" s="188">
        <f t="shared" si="64"/>
        <v>13.333333333333334</v>
      </c>
      <c r="DF65" s="150">
        <f t="shared" si="65"/>
        <v>2.3432923257176337</v>
      </c>
      <c r="DG65" s="150">
        <f t="shared" si="66"/>
        <v>0.19478938397857323</v>
      </c>
      <c r="DH65" s="150"/>
      <c r="DI65" s="150">
        <f t="shared" si="67"/>
        <v>2.3432923257176337</v>
      </c>
      <c r="DJ65" s="314">
        <f t="shared" si="117"/>
        <v>384.07499999999987</v>
      </c>
      <c r="DK65" s="456">
        <f t="shared" si="68"/>
        <v>0.19478938397857321</v>
      </c>
      <c r="DM65" s="150">
        <f t="shared" si="69"/>
        <v>13.967308770329174</v>
      </c>
      <c r="DN65" s="150">
        <f t="shared" si="70"/>
        <v>20.450790861159931</v>
      </c>
      <c r="DO65" s="150">
        <f t="shared" si="71"/>
        <v>6.4721907613530343</v>
      </c>
      <c r="DQ65" s="314">
        <f t="shared" si="72"/>
        <v>300</v>
      </c>
      <c r="DR65" s="144">
        <f t="shared" si="73"/>
        <v>162.58807823560389</v>
      </c>
      <c r="DT65">
        <f t="shared" si="74"/>
        <v>300</v>
      </c>
      <c r="DU65">
        <f t="shared" si="75"/>
        <v>162.58807823560389</v>
      </c>
      <c r="DW65" s="5">
        <f t="shared" si="118"/>
        <v>6.1505124536309195</v>
      </c>
      <c r="DX65" s="5">
        <f t="shared" si="76"/>
        <v>2.5563488576449913</v>
      </c>
      <c r="DY65" s="5">
        <f t="shared" si="119"/>
        <v>3.5941635959859282</v>
      </c>
      <c r="DZ65" s="5">
        <f t="shared" si="77"/>
        <v>3.5941635959859282</v>
      </c>
      <c r="EA65" s="150">
        <f t="shared" si="120"/>
        <v>0.4156318480642805</v>
      </c>
      <c r="EB65" s="150">
        <f t="shared" si="78"/>
        <v>51</v>
      </c>
      <c r="EC65" s="150">
        <f t="shared" si="79"/>
        <v>0.29876977152899831</v>
      </c>
      <c r="ED65" s="150">
        <f t="shared" si="121"/>
        <v>170.69999999999996</v>
      </c>
      <c r="EE65" s="144">
        <f t="shared" si="80"/>
        <v>0.45112038664323373</v>
      </c>
      <c r="EF65" s="5">
        <f t="shared" si="81"/>
        <v>25.45865880490032</v>
      </c>
      <c r="EG65" s="5"/>
      <c r="EH65" s="150">
        <f t="shared" si="122"/>
        <v>7.6120895580617765</v>
      </c>
      <c r="EI65" s="150">
        <f t="shared" si="82"/>
        <v>0.45129731933527223</v>
      </c>
      <c r="EJ65" s="150"/>
      <c r="EK65" s="456">
        <f t="shared" si="83"/>
        <v>0.19700928529584064</v>
      </c>
      <c r="EL65" s="456">
        <f t="shared" si="84"/>
        <v>2.0757120000000002</v>
      </c>
      <c r="EM65" s="456">
        <f t="shared" si="85"/>
        <v>3.7232669915953288E-2</v>
      </c>
      <c r="EN65" s="456">
        <f t="shared" si="86"/>
        <v>4.6964389764705877E-2</v>
      </c>
      <c r="EO65">
        <f t="shared" si="87"/>
        <v>5.4000000000000003E-3</v>
      </c>
      <c r="EP65" s="144">
        <f t="shared" si="123"/>
        <v>42.632669915953294</v>
      </c>
      <c r="EQ65" s="456">
        <f t="shared" si="88"/>
        <v>2.5341320693712852</v>
      </c>
      <c r="ER65" s="144">
        <f t="shared" si="124"/>
        <v>2534.1320693712851</v>
      </c>
      <c r="ES65" s="456">
        <f t="shared" si="125"/>
        <v>0.66562499999999991</v>
      </c>
      <c r="ET65" s="456"/>
      <c r="EV65" s="144">
        <f t="shared" si="126"/>
        <v>665.62499999999989</v>
      </c>
      <c r="EW65" s="456">
        <f t="shared" si="89"/>
        <v>8.6915861159929692E-2</v>
      </c>
      <c r="EX65" s="456">
        <f t="shared" si="90"/>
        <v>4.073385408784054E-2</v>
      </c>
      <c r="EY65" s="456">
        <f t="shared" si="91"/>
        <v>31.876234821662543</v>
      </c>
      <c r="EZ65" s="456">
        <f t="shared" si="92"/>
        <v>32.365031432274982</v>
      </c>
      <c r="FA65" s="456">
        <f t="shared" si="93"/>
        <v>6.8000000000000005E-2</v>
      </c>
      <c r="FB65" s="144">
        <f t="shared" si="127"/>
        <v>32433.03143227498</v>
      </c>
      <c r="FC65" s="150">
        <f t="shared" si="128"/>
        <v>35.632788501646267</v>
      </c>
      <c r="FD65" s="5">
        <f t="shared" si="129"/>
        <v>51</v>
      </c>
      <c r="FE65" s="150">
        <f t="shared" si="130"/>
        <v>0.58869165915201782</v>
      </c>
      <c r="FF65" s="5">
        <f t="shared" si="131"/>
        <v>58.869165915201783</v>
      </c>
      <c r="FI65" s="59">
        <f t="shared" si="94"/>
        <v>-50</v>
      </c>
      <c r="FJ65">
        <f t="shared" si="95"/>
        <v>-50</v>
      </c>
      <c r="FL65">
        <f t="shared" si="181"/>
        <v>0.58436815193571956</v>
      </c>
    </row>
    <row r="66" spans="5:168">
      <c r="E66" s="147">
        <v>61</v>
      </c>
      <c r="F66" s="188">
        <f t="shared" si="182"/>
        <v>0.30499999999999999</v>
      </c>
      <c r="G66" s="188"/>
      <c r="H66" s="188">
        <f t="shared" si="132"/>
        <v>51.85</v>
      </c>
      <c r="I66" s="465">
        <f t="shared" si="133"/>
        <v>11.948141132599288</v>
      </c>
      <c r="J66" s="149">
        <f t="shared" si="134"/>
        <v>8.5402917211633387</v>
      </c>
      <c r="K66" s="149">
        <f t="shared" si="135"/>
        <v>20.540291721163339</v>
      </c>
      <c r="L66" s="379"/>
      <c r="M66" s="188">
        <f t="shared" si="136"/>
        <v>0.41683273463410669</v>
      </c>
      <c r="N66" s="149">
        <f t="shared" si="137"/>
        <v>166.61018989757193</v>
      </c>
      <c r="O66" s="149">
        <f t="shared" si="98"/>
        <v>51.85</v>
      </c>
      <c r="P66" s="188">
        <f t="shared" si="138"/>
        <v>0.98005994057395251</v>
      </c>
      <c r="Q66" s="188">
        <f t="shared" si="139"/>
        <v>170</v>
      </c>
      <c r="R66" s="188">
        <f t="shared" si="140"/>
        <v>0.9765443808030615</v>
      </c>
      <c r="S66" s="149">
        <f t="shared" si="141"/>
        <v>1067.0016187457038</v>
      </c>
      <c r="T66" s="149">
        <f t="shared" si="142"/>
        <v>170</v>
      </c>
      <c r="U66" s="188">
        <f t="shared" si="143"/>
        <v>20.920241454817297</v>
      </c>
      <c r="V66" s="188">
        <f t="shared" si="11"/>
        <v>2.6263802740501472</v>
      </c>
      <c r="W66" s="188">
        <f t="shared" si="144"/>
        <v>3.6743899631043742</v>
      </c>
      <c r="X66" s="172">
        <f t="shared" si="145"/>
        <v>249.02004835203749</v>
      </c>
      <c r="Y66" s="379">
        <f t="shared" si="14"/>
        <v>153.82792554097622</v>
      </c>
      <c r="AA66" s="188">
        <f t="shared" si="146"/>
        <v>13.333333333333334</v>
      </c>
      <c r="AB66" s="150">
        <f t="shared" si="147"/>
        <v>2.3418403788759159</v>
      </c>
      <c r="AC66" s="150">
        <f t="shared" si="148"/>
        <v>0.19438840146014483</v>
      </c>
      <c r="AD66" s="150"/>
      <c r="AE66" s="150">
        <f t="shared" si="149"/>
        <v>2.3418403788759159</v>
      </c>
      <c r="AF66" s="314">
        <f t="shared" si="150"/>
        <v>390.71834624322264</v>
      </c>
      <c r="AG66" s="456">
        <f t="shared" si="151"/>
        <v>0.19438840146014486</v>
      </c>
      <c r="AI66" s="150">
        <f t="shared" si="152"/>
        <v>14.087587173732411</v>
      </c>
      <c r="AJ66" s="150">
        <f t="shared" si="153"/>
        <v>20.920241454817297</v>
      </c>
      <c r="AK66" s="150">
        <f t="shared" si="154"/>
        <v>6.8199319418399726</v>
      </c>
      <c r="AM66" s="314">
        <f t="shared" si="155"/>
        <v>305</v>
      </c>
      <c r="AN66" s="144">
        <f t="shared" si="156"/>
        <v>153.82792554097622</v>
      </c>
      <c r="AP66">
        <f t="shared" si="157"/>
        <v>305</v>
      </c>
      <c r="AQ66">
        <f t="shared" si="158"/>
        <v>153.82792554097622</v>
      </c>
      <c r="AS66" s="5">
        <f t="shared" si="101"/>
        <v>6.5007702371545211</v>
      </c>
      <c r="AT66" s="5">
        <f t="shared" si="159"/>
        <v>2.6263802740501472</v>
      </c>
      <c r="AU66" s="5">
        <f t="shared" si="102"/>
        <v>3.8743899631043739</v>
      </c>
      <c r="AV66" s="5">
        <f t="shared" si="160"/>
        <v>3.6743899631043742</v>
      </c>
      <c r="AW66" s="150">
        <f t="shared" si="103"/>
        <v>0.40401062923887476</v>
      </c>
      <c r="AX66" s="150">
        <f t="shared" si="161"/>
        <v>50.492843912534347</v>
      </c>
      <c r="AY66" s="150">
        <f t="shared" si="162"/>
        <v>0.31170603852068418</v>
      </c>
      <c r="AZ66" s="150">
        <f t="shared" si="104"/>
        <v>161.98866134312553</v>
      </c>
      <c r="BA66" s="144">
        <f t="shared" si="163"/>
        <v>0.47120351975605579</v>
      </c>
      <c r="BB66" s="5">
        <f t="shared" si="164"/>
        <v>28.022088311693061</v>
      </c>
      <c r="BC66" s="5"/>
      <c r="BD66" s="150">
        <f t="shared" si="105"/>
        <v>7.6771930412263814</v>
      </c>
      <c r="BE66" s="150">
        <f t="shared" si="165"/>
        <v>0.46622475226644694</v>
      </c>
      <c r="BF66" s="150"/>
      <c r="BG66" s="456">
        <f t="shared" si="166"/>
        <v>0.20039359617366623</v>
      </c>
      <c r="BH66" s="456">
        <f t="shared" si="167"/>
        <v>1.5831206038756576</v>
      </c>
      <c r="BI66" s="456">
        <f t="shared" si="168"/>
        <v>8.417846561403397E-2</v>
      </c>
      <c r="BJ66" s="456">
        <f t="shared" si="169"/>
        <v>4.4456878875938806E-2</v>
      </c>
      <c r="BK66">
        <f t="shared" si="170"/>
        <v>5.3766635096696791E-3</v>
      </c>
      <c r="BL66" s="144">
        <f t="shared" si="106"/>
        <v>89.555129123703651</v>
      </c>
      <c r="BM66" s="456">
        <f t="shared" si="171"/>
        <v>1.9761697444831374</v>
      </c>
      <c r="BN66" s="144">
        <f t="shared" si="107"/>
        <v>1976.1697444831375</v>
      </c>
      <c r="BO66" s="456">
        <f t="shared" si="172"/>
        <v>0.67671874999999992</v>
      </c>
      <c r="BP66" s="456"/>
      <c r="BR66" s="144">
        <f t="shared" si="109"/>
        <v>676.71874999999989</v>
      </c>
      <c r="BS66" s="456">
        <f t="shared" si="173"/>
        <v>8.8408939488382174E-2</v>
      </c>
      <c r="BT66" s="456">
        <f t="shared" si="174"/>
        <v>4.3473103925181972E-2</v>
      </c>
      <c r="BU66" s="456">
        <f t="shared" si="175"/>
        <v>0.77774999999999994</v>
      </c>
      <c r="BV66" s="456">
        <f t="shared" si="176"/>
        <v>0.9513207032962061</v>
      </c>
      <c r="BW66" s="456">
        <f t="shared" si="177"/>
        <v>6.7323791883379128E-2</v>
      </c>
      <c r="BX66" s="144">
        <f t="shared" si="110"/>
        <v>1018.6444951795852</v>
      </c>
      <c r="BY66" s="150">
        <f t="shared" si="45"/>
        <v>3.7610881187864265</v>
      </c>
      <c r="BZ66" s="5">
        <f t="shared" si="111"/>
        <v>51.85</v>
      </c>
      <c r="CA66" s="150">
        <f t="shared" si="112"/>
        <v>0.93236801785369383</v>
      </c>
      <c r="CB66" s="5">
        <f t="shared" si="113"/>
        <v>93.23680178536938</v>
      </c>
      <c r="CE66" s="59">
        <f t="shared" si="178"/>
        <v>-50</v>
      </c>
      <c r="CF66">
        <f t="shared" si="179"/>
        <v>-50</v>
      </c>
      <c r="CG66" s="150">
        <f t="shared" si="180"/>
        <v>0.57637201694052576</v>
      </c>
      <c r="CI66" s="147">
        <v>61</v>
      </c>
      <c r="CJ66" s="188">
        <f t="shared" si="114"/>
        <v>0.30499999999999999</v>
      </c>
      <c r="CK66" s="188"/>
      <c r="CL66" s="188">
        <f t="shared" si="49"/>
        <v>51.85</v>
      </c>
      <c r="CM66" s="465">
        <f t="shared" si="50"/>
        <v>12</v>
      </c>
      <c r="CN66" s="149">
        <f t="shared" si="51"/>
        <v>8.5350000000000001</v>
      </c>
      <c r="CO66" s="379">
        <f t="shared" si="52"/>
        <v>20.535</v>
      </c>
      <c r="CP66" s="379"/>
      <c r="CQ66" s="188">
        <f t="shared" si="53"/>
        <v>0.4156318480642805</v>
      </c>
      <c r="CR66" s="149">
        <f t="shared" si="54"/>
        <v>166.85124908692478</v>
      </c>
      <c r="CS66" s="149">
        <f t="shared" si="115"/>
        <v>51.85</v>
      </c>
      <c r="CT66" s="188">
        <f t="shared" si="55"/>
        <v>0.98147793580543985</v>
      </c>
      <c r="CU66" s="188">
        <f t="shared" si="56"/>
        <v>170</v>
      </c>
      <c r="CV66" s="188">
        <f t="shared" si="57"/>
        <v>0.97795728956301287</v>
      </c>
      <c r="CW66" s="149">
        <f t="shared" si="58"/>
        <v>1071.6320777223393</v>
      </c>
      <c r="CX66" s="149">
        <f t="shared" si="59"/>
        <v>170</v>
      </c>
      <c r="CY66" s="188">
        <f t="shared" si="60"/>
        <v>20.791637375512593</v>
      </c>
      <c r="CZ66" s="188">
        <f t="shared" si="61"/>
        <v>2.5989546719390741</v>
      </c>
      <c r="DA66" s="188">
        <f t="shared" si="62"/>
        <v>3.6540663225856926</v>
      </c>
      <c r="DB66" s="172">
        <f t="shared" si="63"/>
        <v>249.37910883856827</v>
      </c>
      <c r="DC66" s="379">
        <f t="shared" si="116"/>
        <v>159.92269990387274</v>
      </c>
      <c r="DE66" s="188">
        <f t="shared" si="64"/>
        <v>13.333333333333334</v>
      </c>
      <c r="DF66" s="150">
        <f t="shared" si="65"/>
        <v>2.3432923257176337</v>
      </c>
      <c r="DG66" s="150">
        <f t="shared" si="66"/>
        <v>0.19478938397857323</v>
      </c>
      <c r="DH66" s="150"/>
      <c r="DI66" s="150">
        <f t="shared" si="67"/>
        <v>2.3432923257176337</v>
      </c>
      <c r="DJ66" s="314">
        <f t="shared" si="117"/>
        <v>390.47624999999988</v>
      </c>
      <c r="DK66" s="456">
        <f t="shared" si="68"/>
        <v>0.19478938397857321</v>
      </c>
      <c r="DM66" s="150">
        <f t="shared" si="69"/>
        <v>14.083222033936085</v>
      </c>
      <c r="DN66" s="150">
        <f t="shared" si="70"/>
        <v>20.791637375512593</v>
      </c>
      <c r="DO66" s="150">
        <f t="shared" si="71"/>
        <v>6.7246696608735252</v>
      </c>
      <c r="DQ66" s="314">
        <f t="shared" si="72"/>
        <v>305</v>
      </c>
      <c r="DR66" s="144">
        <f t="shared" si="73"/>
        <v>159.92269990387274</v>
      </c>
      <c r="DT66">
        <f t="shared" si="74"/>
        <v>305</v>
      </c>
      <c r="DU66">
        <f t="shared" si="75"/>
        <v>159.92269990387274</v>
      </c>
      <c r="DW66" s="5">
        <f t="shared" si="118"/>
        <v>6.2530209945247659</v>
      </c>
      <c r="DX66" s="5">
        <f t="shared" si="76"/>
        <v>2.5989546719390741</v>
      </c>
      <c r="DY66" s="5">
        <f t="shared" si="119"/>
        <v>3.6540663225856918</v>
      </c>
      <c r="DZ66" s="5">
        <f t="shared" si="77"/>
        <v>3.6540663225856926</v>
      </c>
      <c r="EA66" s="150">
        <f t="shared" si="120"/>
        <v>0.41563184806428061</v>
      </c>
      <c r="EB66" s="150">
        <f t="shared" si="78"/>
        <v>51.850000000000009</v>
      </c>
      <c r="EC66" s="150">
        <f t="shared" si="79"/>
        <v>0.30374926772114813</v>
      </c>
      <c r="ED66" s="150">
        <f t="shared" si="121"/>
        <v>170.70000000000007</v>
      </c>
      <c r="EE66" s="144">
        <f t="shared" si="80"/>
        <v>0.46628304408318683</v>
      </c>
      <c r="EF66" s="5">
        <f t="shared" si="81"/>
        <v>26.314352614731682</v>
      </c>
      <c r="EG66" s="5"/>
      <c r="EH66" s="150">
        <f t="shared" si="122"/>
        <v>7.7389577173628066</v>
      </c>
      <c r="EI66" s="150">
        <f t="shared" si="82"/>
        <v>0.45881894132419326</v>
      </c>
      <c r="EJ66" s="150"/>
      <c r="EK66" s="456">
        <f t="shared" si="83"/>
        <v>0.20363098627383974</v>
      </c>
      <c r="EL66" s="456">
        <f t="shared" si="84"/>
        <v>2.0757120000000007</v>
      </c>
      <c r="EM66" s="456">
        <f t="shared" si="85"/>
        <v>3.662229827798686E-2</v>
      </c>
      <c r="EN66" s="456">
        <f t="shared" si="86"/>
        <v>4.619448173577629E-2</v>
      </c>
      <c r="EO66">
        <f t="shared" si="87"/>
        <v>5.4000000000000003E-3</v>
      </c>
      <c r="EP66" s="144">
        <f t="shared" si="123"/>
        <v>42.022298277986863</v>
      </c>
      <c r="EQ66" s="456">
        <f t="shared" si="88"/>
        <v>2.5457084370463487</v>
      </c>
      <c r="ER66" s="144">
        <f t="shared" si="124"/>
        <v>2545.7084370463485</v>
      </c>
      <c r="ES66" s="456">
        <f t="shared" si="125"/>
        <v>0.67671874999999992</v>
      </c>
      <c r="ET66" s="456"/>
      <c r="EV66" s="144">
        <f t="shared" si="126"/>
        <v>676.71874999999989</v>
      </c>
      <c r="EW66" s="456">
        <f t="shared" si="89"/>
        <v>8.9837199826694011E-2</v>
      </c>
      <c r="EX66" s="456">
        <f t="shared" si="90"/>
        <v>4.2102964183570707E-2</v>
      </c>
      <c r="EY66" s="456">
        <f t="shared" si="91"/>
        <v>31.876234821662461</v>
      </c>
      <c r="EZ66" s="456">
        <f t="shared" si="92"/>
        <v>32.381635690953999</v>
      </c>
      <c r="FA66" s="456">
        <f t="shared" si="93"/>
        <v>6.9133333333333352E-2</v>
      </c>
      <c r="FB66" s="144">
        <f t="shared" si="127"/>
        <v>32450.769024287332</v>
      </c>
      <c r="FC66" s="150">
        <f t="shared" si="128"/>
        <v>35.673196211333682</v>
      </c>
      <c r="FD66" s="5">
        <f t="shared" si="129"/>
        <v>51.85</v>
      </c>
      <c r="FE66" s="150">
        <f t="shared" si="130"/>
        <v>0.59241437978113698</v>
      </c>
      <c r="FF66" s="5">
        <f t="shared" si="131"/>
        <v>59.241437978113694</v>
      </c>
      <c r="FI66" s="59">
        <f t="shared" si="94"/>
        <v>-50</v>
      </c>
      <c r="FJ66">
        <f t="shared" si="95"/>
        <v>-50</v>
      </c>
      <c r="FL66">
        <f t="shared" si="181"/>
        <v>0.58436815193571934</v>
      </c>
    </row>
    <row r="67" spans="5:168">
      <c r="E67" s="147">
        <v>62</v>
      </c>
      <c r="F67" s="188">
        <f t="shared" si="182"/>
        <v>0.31</v>
      </c>
      <c r="G67" s="188"/>
      <c r="H67" s="188">
        <f t="shared" si="132"/>
        <v>52.7</v>
      </c>
      <c r="I67" s="465">
        <f t="shared" si="133"/>
        <v>11.947302778846087</v>
      </c>
      <c r="J67" s="149">
        <f t="shared" si="134"/>
        <v>8.5403772674646845</v>
      </c>
      <c r="K67" s="149">
        <f t="shared" si="135"/>
        <v>20.540377267464685</v>
      </c>
      <c r="L67" s="379"/>
      <c r="M67" s="188">
        <f t="shared" si="136"/>
        <v>0.41685222693127622</v>
      </c>
      <c r="N67" s="149">
        <f t="shared" si="137"/>
        <v>166.60629014510931</v>
      </c>
      <c r="O67" s="149">
        <f t="shared" si="98"/>
        <v>52.7</v>
      </c>
      <c r="P67" s="188">
        <f t="shared" si="138"/>
        <v>0.98003700085358414</v>
      </c>
      <c r="Q67" s="188">
        <f t="shared" si="139"/>
        <v>170</v>
      </c>
      <c r="R67" s="188">
        <f t="shared" si="140"/>
        <v>0.97652152336945408</v>
      </c>
      <c r="S67" s="149">
        <f t="shared" si="141"/>
        <v>1045.8699766530385</v>
      </c>
      <c r="T67" s="149">
        <f t="shared" si="142"/>
        <v>170</v>
      </c>
      <c r="U67" s="188">
        <f t="shared" si="143"/>
        <v>21.263906976351706</v>
      </c>
      <c r="V67" s="188">
        <f t="shared" si="11"/>
        <v>2.6697122400716604</v>
      </c>
      <c r="W67" s="188">
        <f t="shared" si="144"/>
        <v>3.7347132879056328</v>
      </c>
      <c r="X67" s="172">
        <f t="shared" si="145"/>
        <v>249.01421934873531</v>
      </c>
      <c r="Y67" s="379">
        <f t="shared" si="14"/>
        <v>151.4136234504964</v>
      </c>
      <c r="AA67" s="188">
        <f t="shared" si="146"/>
        <v>13.333333333333334</v>
      </c>
      <c r="AB67" s="150">
        <f t="shared" si="147"/>
        <v>2.3418169213896154</v>
      </c>
      <c r="AC67" s="150">
        <f t="shared" si="148"/>
        <v>0.19438190417916457</v>
      </c>
      <c r="AD67" s="150"/>
      <c r="AE67" s="150">
        <f t="shared" si="149"/>
        <v>2.3418169213896154</v>
      </c>
      <c r="AF67" s="314">
        <f t="shared" si="150"/>
        <v>397.12754293710771</v>
      </c>
      <c r="AG67" s="456">
        <f t="shared" si="151"/>
        <v>0.19438190417916457</v>
      </c>
      <c r="AI67" s="150">
        <f t="shared" si="152"/>
        <v>14.202660925505478</v>
      </c>
      <c r="AJ67" s="150">
        <f t="shared" si="153"/>
        <v>21.263906976351706</v>
      </c>
      <c r="AK67" s="150">
        <f t="shared" si="154"/>
        <v>7.0744989948284234</v>
      </c>
      <c r="AM67" s="314">
        <f t="shared" si="155"/>
        <v>310</v>
      </c>
      <c r="AN67" s="144">
        <f t="shared" si="156"/>
        <v>151.4136234504964</v>
      </c>
      <c r="AP67">
        <f t="shared" si="157"/>
        <v>310</v>
      </c>
      <c r="AQ67">
        <f t="shared" si="158"/>
        <v>151.4136234504964</v>
      </c>
      <c r="AS67" s="5">
        <f t="shared" si="101"/>
        <v>6.6044255279772948</v>
      </c>
      <c r="AT67" s="5">
        <f t="shared" si="159"/>
        <v>2.6697122400716604</v>
      </c>
      <c r="AU67" s="5">
        <f t="shared" si="102"/>
        <v>3.9347132879056343</v>
      </c>
      <c r="AV67" s="5">
        <f t="shared" si="160"/>
        <v>3.7347132879056328</v>
      </c>
      <c r="AW67" s="150">
        <f t="shared" si="103"/>
        <v>0.40423080383939164</v>
      </c>
      <c r="AX67" s="150">
        <f t="shared" si="161"/>
        <v>51.346677086093699</v>
      </c>
      <c r="AY67" s="150">
        <f t="shared" si="162"/>
        <v>0.31670951916337525</v>
      </c>
      <c r="AZ67" s="150">
        <f t="shared" si="104"/>
        <v>162.12546191138136</v>
      </c>
      <c r="BA67" s="144">
        <f t="shared" si="163"/>
        <v>0.48682987907189101</v>
      </c>
      <c r="BB67" s="5">
        <f t="shared" si="164"/>
        <v>28.92694612206779</v>
      </c>
      <c r="BC67" s="5"/>
      <c r="BD67" s="150">
        <f t="shared" si="105"/>
        <v>7.8054354936871873</v>
      </c>
      <c r="BE67" s="150">
        <f t="shared" si="165"/>
        <v>0.47379607969445708</v>
      </c>
      <c r="BF67" s="150"/>
      <c r="BG67" s="456">
        <f t="shared" si="166"/>
        <v>0.20714439903677992</v>
      </c>
      <c r="BH67" s="456">
        <f t="shared" si="167"/>
        <v>1.5838788154249823</v>
      </c>
      <c r="BI67" s="456">
        <f t="shared" si="168"/>
        <v>8.2851485712601397E-2</v>
      </c>
      <c r="BJ67" s="456">
        <f t="shared" si="169"/>
        <v>4.3759500520405115E-2</v>
      </c>
      <c r="BK67">
        <f t="shared" si="170"/>
        <v>5.3762862504807387E-3</v>
      </c>
      <c r="BL67" s="144">
        <f t="shared" si="106"/>
        <v>88.227771963082134</v>
      </c>
      <c r="BM67" s="456">
        <f t="shared" si="171"/>
        <v>1.9885848982698247</v>
      </c>
      <c r="BN67" s="144">
        <f t="shared" si="107"/>
        <v>1988.5848982698246</v>
      </c>
      <c r="BO67" s="456">
        <f t="shared" si="172"/>
        <v>0.68781249999999994</v>
      </c>
      <c r="BP67" s="456"/>
      <c r="BR67" s="144">
        <f t="shared" si="109"/>
        <v>687.81249999999989</v>
      </c>
      <c r="BS67" s="456">
        <f t="shared" si="173"/>
        <v>9.1387234869167611E-2</v>
      </c>
      <c r="BT67" s="456">
        <f t="shared" si="174"/>
        <v>4.4896545026767265E-2</v>
      </c>
      <c r="BU67" s="456">
        <f t="shared" si="175"/>
        <v>0.79049999999999998</v>
      </c>
      <c r="BV67" s="456">
        <f t="shared" si="176"/>
        <v>0.97006825252788276</v>
      </c>
      <c r="BW67" s="456">
        <f t="shared" si="177"/>
        <v>6.8462236114791603E-2</v>
      </c>
      <c r="BX67" s="144">
        <f t="shared" si="110"/>
        <v>1038.5304886426743</v>
      </c>
      <c r="BY67" s="150">
        <f t="shared" si="45"/>
        <v>3.803155658875581</v>
      </c>
      <c r="BZ67" s="5">
        <f t="shared" si="111"/>
        <v>52.7</v>
      </c>
      <c r="CA67" s="150">
        <f t="shared" si="112"/>
        <v>0.93269126981444661</v>
      </c>
      <c r="CB67" s="5">
        <f t="shared" si="113"/>
        <v>93.269126981444657</v>
      </c>
      <c r="CE67" s="59">
        <f t="shared" si="178"/>
        <v>-50</v>
      </c>
      <c r="CF67">
        <f t="shared" si="179"/>
        <v>-50</v>
      </c>
      <c r="CG67" s="150">
        <f t="shared" si="180"/>
        <v>0.57650098685980322</v>
      </c>
      <c r="CI67" s="147">
        <v>62</v>
      </c>
      <c r="CJ67" s="188">
        <f t="shared" si="114"/>
        <v>0.31</v>
      </c>
      <c r="CK67" s="188"/>
      <c r="CL67" s="188">
        <f t="shared" si="49"/>
        <v>52.7</v>
      </c>
      <c r="CM67" s="465">
        <f t="shared" si="50"/>
        <v>12</v>
      </c>
      <c r="CN67" s="149">
        <f t="shared" si="51"/>
        <v>8.5350000000000001</v>
      </c>
      <c r="CO67" s="379">
        <f t="shared" si="52"/>
        <v>20.535</v>
      </c>
      <c r="CP67" s="379"/>
      <c r="CQ67" s="188">
        <f t="shared" si="53"/>
        <v>0.4156318480642805</v>
      </c>
      <c r="CR67" s="149">
        <f t="shared" si="54"/>
        <v>166.85124908692478</v>
      </c>
      <c r="CS67" s="149">
        <f t="shared" si="115"/>
        <v>52.7</v>
      </c>
      <c r="CT67" s="188">
        <f t="shared" si="55"/>
        <v>0.98147793580543985</v>
      </c>
      <c r="CU67" s="188">
        <f t="shared" si="56"/>
        <v>170</v>
      </c>
      <c r="CV67" s="188">
        <f t="shared" si="57"/>
        <v>0.97795728956301287</v>
      </c>
      <c r="CW67" s="149">
        <f t="shared" si="58"/>
        <v>1050.4824006724875</v>
      </c>
      <c r="CX67" s="149">
        <f t="shared" si="59"/>
        <v>170</v>
      </c>
      <c r="CY67" s="188">
        <f t="shared" si="60"/>
        <v>21.132483889865259</v>
      </c>
      <c r="CZ67" s="188">
        <f t="shared" si="61"/>
        <v>2.6415604862331574</v>
      </c>
      <c r="DA67" s="188">
        <f t="shared" si="62"/>
        <v>3.7139690491854589</v>
      </c>
      <c r="DB67" s="172">
        <f t="shared" si="63"/>
        <v>249.37910883856827</v>
      </c>
      <c r="DC67" s="379">
        <f t="shared" si="116"/>
        <v>157.34330151832634</v>
      </c>
      <c r="DE67" s="188">
        <f t="shared" si="64"/>
        <v>13.333333333333334</v>
      </c>
      <c r="DF67" s="150">
        <f t="shared" si="65"/>
        <v>2.3432923257176337</v>
      </c>
      <c r="DG67" s="150">
        <f t="shared" si="66"/>
        <v>0.19478938397857323</v>
      </c>
      <c r="DH67" s="150"/>
      <c r="DI67" s="150">
        <f t="shared" si="67"/>
        <v>2.3432923257176337</v>
      </c>
      <c r="DJ67" s="314">
        <f t="shared" si="117"/>
        <v>396.87749999999988</v>
      </c>
      <c r="DK67" s="456">
        <f t="shared" si="68"/>
        <v>0.19478938397857321</v>
      </c>
      <c r="DM67" s="150">
        <f t="shared" si="69"/>
        <v>14.198189019328185</v>
      </c>
      <c r="DN67" s="150">
        <f t="shared" si="70"/>
        <v>21.132483889865259</v>
      </c>
      <c r="DO67" s="150">
        <f t="shared" si="71"/>
        <v>6.9771485603940189</v>
      </c>
      <c r="DQ67" s="314">
        <f t="shared" si="72"/>
        <v>310</v>
      </c>
      <c r="DR67" s="144">
        <f t="shared" si="73"/>
        <v>157.34330151832634</v>
      </c>
      <c r="DT67">
        <f t="shared" si="74"/>
        <v>310</v>
      </c>
      <c r="DU67">
        <f t="shared" si="75"/>
        <v>157.34330151832634</v>
      </c>
      <c r="DW67" s="5">
        <f t="shared" si="118"/>
        <v>6.3555295354186168</v>
      </c>
      <c r="DX67" s="5">
        <f t="shared" si="76"/>
        <v>2.6415604862331574</v>
      </c>
      <c r="DY67" s="5">
        <f t="shared" si="119"/>
        <v>3.7139690491854593</v>
      </c>
      <c r="DZ67" s="5">
        <f t="shared" si="77"/>
        <v>3.7139690491854589</v>
      </c>
      <c r="EA67" s="150">
        <f t="shared" si="120"/>
        <v>0.41563184806428044</v>
      </c>
      <c r="EB67" s="150">
        <f t="shared" si="78"/>
        <v>52.699999999999989</v>
      </c>
      <c r="EC67" s="150">
        <f t="shared" si="79"/>
        <v>0.30872876391329823</v>
      </c>
      <c r="ED67" s="150">
        <f t="shared" si="121"/>
        <v>170.69999999999993</v>
      </c>
      <c r="EE67" s="144">
        <f t="shared" si="80"/>
        <v>0.48169632396016404</v>
      </c>
      <c r="EF67" s="5">
        <f t="shared" si="81"/>
        <v>27.184190123899125</v>
      </c>
      <c r="EG67" s="5"/>
      <c r="EH67" s="150">
        <f t="shared" si="122"/>
        <v>7.865825876663834</v>
      </c>
      <c r="EI67" s="150">
        <f t="shared" si="82"/>
        <v>0.46634056331311458</v>
      </c>
      <c r="EJ67" s="150"/>
      <c r="EK67" s="456">
        <f t="shared" si="83"/>
        <v>0.21036213685478086</v>
      </c>
      <c r="EL67" s="456">
        <f t="shared" si="84"/>
        <v>2.0757119999999998</v>
      </c>
      <c r="EM67" s="456">
        <f t="shared" si="85"/>
        <v>3.6031616047696731E-2</v>
      </c>
      <c r="EN67" s="456">
        <f t="shared" si="86"/>
        <v>4.5449409449715365E-2</v>
      </c>
      <c r="EO67">
        <f t="shared" si="87"/>
        <v>5.4000000000000003E-3</v>
      </c>
      <c r="EP67" s="144">
        <f t="shared" si="123"/>
        <v>41.431616047696735</v>
      </c>
      <c r="EQ67" s="456">
        <f t="shared" si="88"/>
        <v>2.5575863311139444</v>
      </c>
      <c r="ER67" s="144">
        <f t="shared" si="124"/>
        <v>2557.5863311139442</v>
      </c>
      <c r="ES67" s="456">
        <f t="shared" si="125"/>
        <v>0.68781249999999994</v>
      </c>
      <c r="ET67" s="456"/>
      <c r="EV67" s="144">
        <f t="shared" si="126"/>
        <v>687.81249999999989</v>
      </c>
      <c r="EW67" s="456">
        <f t="shared" si="89"/>
        <v>9.2806825082991554E-2</v>
      </c>
      <c r="EX67" s="456">
        <f t="shared" si="90"/>
        <v>4.3494704198238608E-2</v>
      </c>
      <c r="EY67" s="456">
        <f t="shared" si="91"/>
        <v>31.876234821662486</v>
      </c>
      <c r="EZ67" s="456">
        <f t="shared" si="92"/>
        <v>32.39852621149803</v>
      </c>
      <c r="FA67" s="456">
        <f t="shared" si="93"/>
        <v>7.0266666666666658E-2</v>
      </c>
      <c r="FB67" s="144">
        <f t="shared" si="127"/>
        <v>32468.792878164699</v>
      </c>
      <c r="FC67" s="150">
        <f t="shared" si="128"/>
        <v>35.714191709278644</v>
      </c>
      <c r="FD67" s="5">
        <f t="shared" si="129"/>
        <v>52.7</v>
      </c>
      <c r="FE67" s="150">
        <f t="shared" si="130"/>
        <v>0.59605815515779237</v>
      </c>
      <c r="FF67" s="5">
        <f t="shared" si="131"/>
        <v>59.605815515779234</v>
      </c>
      <c r="FI67" s="59">
        <f t="shared" si="94"/>
        <v>-50</v>
      </c>
      <c r="FJ67">
        <f t="shared" si="95"/>
        <v>-50</v>
      </c>
      <c r="FL67">
        <f t="shared" si="181"/>
        <v>0.58436815193571956</v>
      </c>
    </row>
    <row r="68" spans="5:168">
      <c r="E68" s="147">
        <v>63</v>
      </c>
      <c r="F68" s="188">
        <f t="shared" si="182"/>
        <v>0.315</v>
      </c>
      <c r="G68" s="188"/>
      <c r="H68" s="188">
        <f t="shared" si="132"/>
        <v>53.55</v>
      </c>
      <c r="I68" s="465">
        <f t="shared" si="133"/>
        <v>11.94646441998564</v>
      </c>
      <c r="J68" s="149">
        <f t="shared" si="134"/>
        <v>8.5404628142871797</v>
      </c>
      <c r="K68" s="149">
        <f t="shared" si="135"/>
        <v>20.540462814287181</v>
      </c>
      <c r="L68" s="379"/>
      <c r="M68" s="188">
        <f t="shared" si="136"/>
        <v>0.41687172076486145</v>
      </c>
      <c r="N68" s="149">
        <f t="shared" si="137"/>
        <v>166.60238984209806</v>
      </c>
      <c r="O68" s="149">
        <f t="shared" si="98"/>
        <v>53.55</v>
      </c>
      <c r="P68" s="188">
        <f t="shared" si="138"/>
        <v>0.98001405789469453</v>
      </c>
      <c r="Q68" s="188">
        <f t="shared" si="139"/>
        <v>170</v>
      </c>
      <c r="R68" s="188">
        <f t="shared" si="140"/>
        <v>0.97649866270894259</v>
      </c>
      <c r="S68" s="149">
        <f t="shared" si="141"/>
        <v>1025.4098354354392</v>
      </c>
      <c r="T68" s="149">
        <f t="shared" si="142"/>
        <v>170</v>
      </c>
      <c r="U68" s="188">
        <f t="shared" si="143"/>
        <v>21.607595530312505</v>
      </c>
      <c r="V68" s="188">
        <f t="shared" si="11"/>
        <v>2.7130531809266221</v>
      </c>
      <c r="W68" s="188">
        <f t="shared" si="144"/>
        <v>3.7950394492963944</v>
      </c>
      <c r="X68" s="172">
        <f t="shared" si="145"/>
        <v>249.00838953146629</v>
      </c>
      <c r="Y68" s="379">
        <f t="shared" si="14"/>
        <v>149.07367192494388</v>
      </c>
      <c r="AA68" s="188">
        <f t="shared" si="146"/>
        <v>13.333333333333332</v>
      </c>
      <c r="AB68" s="150">
        <f t="shared" si="147"/>
        <v>2.3417934642303426</v>
      </c>
      <c r="AC68" s="150">
        <f t="shared" si="148"/>
        <v>0.19437540638110368</v>
      </c>
      <c r="AD68" s="150"/>
      <c r="AE68" s="150">
        <f t="shared" si="149"/>
        <v>2.3417934642303431</v>
      </c>
      <c r="AF68" s="314">
        <f t="shared" si="150"/>
        <v>403.53686797506913</v>
      </c>
      <c r="AG68" s="456">
        <f t="shared" si="151"/>
        <v>0.19437540638110376</v>
      </c>
      <c r="AI68" s="150">
        <f t="shared" si="152"/>
        <v>14.316812059354984</v>
      </c>
      <c r="AJ68" s="150">
        <f t="shared" si="153"/>
        <v>21.607595530312505</v>
      </c>
      <c r="AK68" s="150">
        <f t="shared" si="154"/>
        <v>7.3290831088734603</v>
      </c>
      <c r="AM68" s="314">
        <f t="shared" si="155"/>
        <v>315</v>
      </c>
      <c r="AN68" s="144">
        <f t="shared" si="156"/>
        <v>149.07367192494388</v>
      </c>
      <c r="AP68">
        <f t="shared" si="157"/>
        <v>315</v>
      </c>
      <c r="AQ68">
        <f t="shared" si="158"/>
        <v>149.07367192494388</v>
      </c>
      <c r="AS68" s="5">
        <f t="shared" si="101"/>
        <v>6.7080926302230175</v>
      </c>
      <c r="AT68" s="5">
        <f t="shared" si="159"/>
        <v>2.7130531809266221</v>
      </c>
      <c r="AU68" s="5">
        <f t="shared" si="102"/>
        <v>3.9950394492963954</v>
      </c>
      <c r="AV68" s="5">
        <f t="shared" si="160"/>
        <v>3.7950394492963944</v>
      </c>
      <c r="AW68" s="150">
        <f t="shared" si="103"/>
        <v>0.40444479980838066</v>
      </c>
      <c r="AX68" s="150">
        <f t="shared" si="161"/>
        <v>52.200552042696529</v>
      </c>
      <c r="AY68" s="150">
        <f t="shared" si="162"/>
        <v>0.32171289704287009</v>
      </c>
      <c r="AZ68" s="150">
        <f t="shared" si="104"/>
        <v>162.25818897070982</v>
      </c>
      <c r="BA68" s="144">
        <f t="shared" si="163"/>
        <v>0.50271279528934465</v>
      </c>
      <c r="BB68" s="5">
        <f t="shared" si="164"/>
        <v>29.846258969574855</v>
      </c>
      <c r="BC68" s="5"/>
      <c r="BD68" s="150">
        <f t="shared" si="105"/>
        <v>7.9336939348175992</v>
      </c>
      <c r="BE68" s="150">
        <f t="shared" si="165"/>
        <v>0.48136757113413892</v>
      </c>
      <c r="BF68" s="150"/>
      <c r="BG68" s="456">
        <f t="shared" si="166"/>
        <v>0.21400789813462928</v>
      </c>
      <c r="BH68" s="456">
        <f t="shared" si="167"/>
        <v>1.5846127036768101</v>
      </c>
      <c r="BI68" s="456">
        <f t="shared" si="168"/>
        <v>8.1565371946444309E-2</v>
      </c>
      <c r="BJ68" s="456">
        <f t="shared" si="169"/>
        <v>4.3083598509967957E-2</v>
      </c>
      <c r="BK68">
        <f t="shared" si="170"/>
        <v>5.3759089889935377E-3</v>
      </c>
      <c r="BL68" s="144">
        <f t="shared" si="106"/>
        <v>86.941280935437845</v>
      </c>
      <c r="BM68" s="456">
        <f t="shared" si="171"/>
        <v>2.0012462559801207</v>
      </c>
      <c r="BN68" s="144">
        <f t="shared" si="107"/>
        <v>2001.2462559801206</v>
      </c>
      <c r="BO68" s="456">
        <f t="shared" si="172"/>
        <v>0.69890624999999995</v>
      </c>
      <c r="BP68" s="456"/>
      <c r="BR68" s="144">
        <f t="shared" si="109"/>
        <v>698.90625</v>
      </c>
      <c r="BS68" s="456">
        <f t="shared" si="173"/>
        <v>9.4415249177042346E-2</v>
      </c>
      <c r="BT68" s="456">
        <f t="shared" si="174"/>
        <v>4.6342947707916061E-2</v>
      </c>
      <c r="BU68" s="456">
        <f t="shared" si="175"/>
        <v>0.80324999999999991</v>
      </c>
      <c r="BV68" s="456">
        <f t="shared" si="176"/>
        <v>0.98892612074604025</v>
      </c>
      <c r="BW68" s="456">
        <f t="shared" si="177"/>
        <v>6.9600736056928722E-2</v>
      </c>
      <c r="BX68" s="144">
        <f t="shared" si="110"/>
        <v>1058.526856802969</v>
      </c>
      <c r="BY68" s="150">
        <f t="shared" si="45"/>
        <v>3.8456206437185272</v>
      </c>
      <c r="BZ68" s="5">
        <f t="shared" si="111"/>
        <v>53.55</v>
      </c>
      <c r="CA68" s="150">
        <f t="shared" si="112"/>
        <v>0.93299801273009852</v>
      </c>
      <c r="CB68" s="5">
        <f t="shared" si="113"/>
        <v>93.299801273009848</v>
      </c>
      <c r="CE68" s="59">
        <f t="shared" si="178"/>
        <v>-50</v>
      </c>
      <c r="CF68">
        <f t="shared" si="179"/>
        <v>-50</v>
      </c>
      <c r="CG68" s="150">
        <f t="shared" si="180"/>
        <v>0.57662586249592884</v>
      </c>
      <c r="CI68" s="147">
        <v>63</v>
      </c>
      <c r="CJ68" s="188">
        <f t="shared" si="114"/>
        <v>0.315</v>
      </c>
      <c r="CK68" s="188"/>
      <c r="CL68" s="188">
        <f t="shared" si="49"/>
        <v>53.55</v>
      </c>
      <c r="CM68" s="465">
        <f t="shared" si="50"/>
        <v>12</v>
      </c>
      <c r="CN68" s="149">
        <f t="shared" si="51"/>
        <v>8.5350000000000001</v>
      </c>
      <c r="CO68" s="379">
        <f t="shared" si="52"/>
        <v>20.535</v>
      </c>
      <c r="CP68" s="379"/>
      <c r="CQ68" s="188">
        <f t="shared" si="53"/>
        <v>0.4156318480642805</v>
      </c>
      <c r="CR68" s="149">
        <f t="shared" si="54"/>
        <v>166.85124908692478</v>
      </c>
      <c r="CS68" s="149">
        <f t="shared" si="115"/>
        <v>53.55</v>
      </c>
      <c r="CT68" s="188">
        <f t="shared" si="55"/>
        <v>0.98147793580543985</v>
      </c>
      <c r="CU68" s="188">
        <f t="shared" si="56"/>
        <v>170</v>
      </c>
      <c r="CV68" s="188">
        <f t="shared" si="57"/>
        <v>0.97795728956301287</v>
      </c>
      <c r="CW68" s="149">
        <f t="shared" si="58"/>
        <v>1030.0042651888921</v>
      </c>
      <c r="CX68" s="149">
        <f t="shared" si="59"/>
        <v>170</v>
      </c>
      <c r="CY68" s="188">
        <f t="shared" si="60"/>
        <v>21.473330404217926</v>
      </c>
      <c r="CZ68" s="188">
        <f t="shared" si="61"/>
        <v>2.6841663005272411</v>
      </c>
      <c r="DA68" s="188">
        <f t="shared" si="62"/>
        <v>3.7738717757852243</v>
      </c>
      <c r="DB68" s="172">
        <f t="shared" si="63"/>
        <v>249.37910883856827</v>
      </c>
      <c r="DC68" s="379">
        <f t="shared" si="116"/>
        <v>154.84578879581323</v>
      </c>
      <c r="DE68" s="188">
        <f t="shared" si="64"/>
        <v>13.333333333333334</v>
      </c>
      <c r="DF68" s="150">
        <f t="shared" si="65"/>
        <v>2.3432923257176337</v>
      </c>
      <c r="DG68" s="150">
        <f t="shared" si="66"/>
        <v>0.19478938397857323</v>
      </c>
      <c r="DH68" s="150"/>
      <c r="DI68" s="150">
        <f t="shared" si="67"/>
        <v>2.3432923257176337</v>
      </c>
      <c r="DJ68" s="314">
        <f t="shared" si="117"/>
        <v>403.27874999999989</v>
      </c>
      <c r="DK68" s="456">
        <f t="shared" si="68"/>
        <v>0.19478938397857321</v>
      </c>
      <c r="DM68" s="150">
        <f t="shared" si="69"/>
        <v>14.312232530251874</v>
      </c>
      <c r="DN68" s="150">
        <f t="shared" si="70"/>
        <v>21.473330404217926</v>
      </c>
      <c r="DO68" s="150">
        <f t="shared" si="71"/>
        <v>7.2296274599145125</v>
      </c>
      <c r="DQ68" s="314">
        <f t="shared" si="72"/>
        <v>315</v>
      </c>
      <c r="DR68" s="144">
        <f t="shared" si="73"/>
        <v>154.84578879581323</v>
      </c>
      <c r="DT68">
        <f t="shared" si="74"/>
        <v>315</v>
      </c>
      <c r="DU68">
        <f t="shared" si="75"/>
        <v>154.84578879581323</v>
      </c>
      <c r="DW68" s="5">
        <f t="shared" si="118"/>
        <v>6.458038076312465</v>
      </c>
      <c r="DX68" s="5">
        <f t="shared" si="76"/>
        <v>2.6841663005272411</v>
      </c>
      <c r="DY68" s="5">
        <f t="shared" si="119"/>
        <v>3.7738717757852238</v>
      </c>
      <c r="DZ68" s="5">
        <f t="shared" si="77"/>
        <v>3.7738717757852243</v>
      </c>
      <c r="EA68" s="150">
        <f t="shared" si="120"/>
        <v>0.41563184806428055</v>
      </c>
      <c r="EB68" s="150">
        <f t="shared" si="78"/>
        <v>53.54999999999999</v>
      </c>
      <c r="EC68" s="150">
        <f t="shared" si="79"/>
        <v>0.31370826010544817</v>
      </c>
      <c r="ED68" s="150">
        <f t="shared" si="121"/>
        <v>170.69999999999996</v>
      </c>
      <c r="EE68" s="144">
        <f t="shared" si="80"/>
        <v>0.49736022627416526</v>
      </c>
      <c r="EF68" s="5">
        <f t="shared" si="81"/>
        <v>28.068171332402592</v>
      </c>
      <c r="EG68" s="5"/>
      <c r="EH68" s="150">
        <f t="shared" si="122"/>
        <v>7.9926940359648659</v>
      </c>
      <c r="EI68" s="150">
        <f t="shared" si="82"/>
        <v>0.47386218530203572</v>
      </c>
      <c r="EJ68" s="150"/>
      <c r="EK68" s="456">
        <f t="shared" si="83"/>
        <v>0.21720273703866433</v>
      </c>
      <c r="EL68" s="456">
        <f t="shared" si="84"/>
        <v>2.0757120000000002</v>
      </c>
      <c r="EM68" s="456">
        <f t="shared" si="85"/>
        <v>3.5459685634241227E-2</v>
      </c>
      <c r="EN68" s="456">
        <f t="shared" si="86"/>
        <v>4.4727990252100835E-2</v>
      </c>
      <c r="EO68">
        <f t="shared" si="87"/>
        <v>5.4000000000000003E-3</v>
      </c>
      <c r="EP68" s="144">
        <f t="shared" si="123"/>
        <v>40.859685634241231</v>
      </c>
      <c r="EQ68" s="456">
        <f t="shared" si="88"/>
        <v>2.569766018477774</v>
      </c>
      <c r="ER68" s="144">
        <f t="shared" si="124"/>
        <v>2569.7660184777742</v>
      </c>
      <c r="ES68" s="456">
        <f t="shared" si="125"/>
        <v>0.69890624999999995</v>
      </c>
      <c r="ET68" s="456"/>
      <c r="EV68" s="144">
        <f t="shared" si="126"/>
        <v>698.90625</v>
      </c>
      <c r="EW68" s="456">
        <f t="shared" si="89"/>
        <v>9.5824736928822513E-2</v>
      </c>
      <c r="EX68" s="456">
        <f t="shared" si="90"/>
        <v>4.4909074131844168E-2</v>
      </c>
      <c r="EY68" s="456">
        <f t="shared" si="91"/>
        <v>31.876234821662543</v>
      </c>
      <c r="EZ68" s="456">
        <f t="shared" si="92"/>
        <v>32.415703587706645</v>
      </c>
      <c r="FA68" s="456">
        <f t="shared" si="93"/>
        <v>7.1399999999999991E-2</v>
      </c>
      <c r="FB68" s="144">
        <f t="shared" si="127"/>
        <v>32487.103587706642</v>
      </c>
      <c r="FC68" s="150">
        <f t="shared" si="128"/>
        <v>35.755775856184414</v>
      </c>
      <c r="FD68" s="5">
        <f t="shared" si="129"/>
        <v>53.55</v>
      </c>
      <c r="FE68" s="150">
        <f t="shared" si="130"/>
        <v>0.59962527044427072</v>
      </c>
      <c r="FF68" s="5">
        <f t="shared" si="131"/>
        <v>59.96252704442707</v>
      </c>
      <c r="FI68" s="59">
        <f t="shared" si="94"/>
        <v>-50</v>
      </c>
      <c r="FJ68">
        <f t="shared" si="95"/>
        <v>-50</v>
      </c>
      <c r="FL68">
        <f t="shared" si="181"/>
        <v>0.58436815193571945</v>
      </c>
    </row>
    <row r="69" spans="5:168">
      <c r="E69" s="147">
        <v>64</v>
      </c>
      <c r="F69" s="188">
        <f t="shared" si="182"/>
        <v>0.32</v>
      </c>
      <c r="G69" s="188"/>
      <c r="H69" s="188">
        <f t="shared" ref="H69:H100" si="183">F69*Vout</f>
        <v>54.4</v>
      </c>
      <c r="I69" s="465">
        <f t="shared" ref="I69:I105" si="184">Vin-F69*(Rdcr_pri+RON/1000)/CG69/Nps</f>
        <v>11.945626056260512</v>
      </c>
      <c r="J69" s="149">
        <f t="shared" ref="J69:J105" si="185">(T69+Vfwd1+F69/CG69*Rdcr_sec)*Nps</f>
        <v>8.5405483616060689</v>
      </c>
      <c r="K69" s="149">
        <f t="shared" ref="K69:K105" si="186">(Vout+Vfwd1+F69/CG69*Rdcr_sec)*Nps+VIN_nom</f>
        <v>20.540548361606071</v>
      </c>
      <c r="L69" s="379"/>
      <c r="M69" s="188">
        <f t="shared" ref="M69:M105" si="187">(Vout+Vfwd1+F69/FL69*Rdcr_sec)*Nps/((Vout+Vfwd1+F69/FL69*Rdcr_sec)*Nps+I69)</f>
        <v>0.41689121613011038</v>
      </c>
      <c r="N69" s="149">
        <f t="shared" ref="N69:N100" si="188">M69*I69*(Isw_max+VIN_nom/Lmag*ILIM_delay)*0.5*Efficiency</f>
        <v>166.5984889898829</v>
      </c>
      <c r="O69" s="149">
        <f t="shared" si="98"/>
        <v>54.4</v>
      </c>
      <c r="P69" s="188">
        <f t="shared" ref="P69:P100" si="189">N69/Vout</f>
        <v>0.97999111170519349</v>
      </c>
      <c r="Q69" s="188">
        <f t="shared" ref="Q69:Q105" si="190">MIN(Vout,N69/F69)</f>
        <v>170</v>
      </c>
      <c r="R69" s="188">
        <f t="shared" ref="R69:R100" si="191">Isw_max/2*I69*Nps*(Q69+Vfwd1+F69/FL69*Rdcr_sec)/Q69/(I69+Nps*(Q69+Vfwd1+F69/FL69*Rdcr_sec))</f>
        <v>0.97647579882940772</v>
      </c>
      <c r="S69" s="149">
        <f t="shared" ref="S69:S105" si="192">(SQRT(Isw_max^2*Nps^2*I69^2+4*Isw_max*F69/Efficiency*(Nps^2*Vfwd1*I69-Nps*I69^2)+4*(F69/Efficiency)^2*Nps^2*Vfwd1^2+8*(F69/Efficiency)^2*Nps*Vfwd1*I69+4*(F69/Efficiency)^2*I69^2)-2*F69/Efficiency*I69-2*F69/Efficiency*Nps*Vfwd1+Isw_max*Nps*I69)/(4*F69/Efficiency*Nps)</f>
        <v>1005.5897198564434</v>
      </c>
      <c r="T69" s="149">
        <f t="shared" ref="T69:T100" si="193">MIN(Vout, S69)</f>
        <v>170</v>
      </c>
      <c r="U69" s="188">
        <f t="shared" ref="U69:U105" si="194">MIN(2*(Vout+Vfwd1+F69/FL69*Rdcr_sec)*F69/(I69*M69), Isw_max)</f>
        <v>21.951307121547487</v>
      </c>
      <c r="V69" s="188">
        <f t="shared" ref="V69:V104" si="195">L*U69/I69*1000000</f>
        <v>2.7564030991129793</v>
      </c>
      <c r="W69" s="188">
        <f t="shared" ref="W69:W105" si="196">L*U69/J69*1000000</f>
        <v>3.8553684480429831</v>
      </c>
      <c r="X69" s="172">
        <f t="shared" ref="X69:X105" si="197">IF(1/((350000*L)*(1/I69+1/J69))&gt;Isw_min, 350, 0.001/((Isw_min*L)*(1/I69+1/J69)))</f>
        <v>249.0025589018172</v>
      </c>
      <c r="Y69" s="379">
        <f t="shared" ref="Y69:Y104" si="198">MIN(1/(V69+W69+0.2)*1000, 350)</f>
        <v>146.8046884833532</v>
      </c>
      <c r="AA69" s="188">
        <f t="shared" ref="AA69:AA105" si="199">1/((X69*1000*L)*(1/I69+1/J69))</f>
        <v>13.333333333333334</v>
      </c>
      <c r="AB69" s="150">
        <f t="shared" ref="AB69:AB100" si="200">L*AA69/J69*1000000</f>
        <v>2.3417700074048824</v>
      </c>
      <c r="AC69" s="150">
        <f t="shared" ref="AC69:AC100" si="201">0.5*AB69*AA69*Nps*X69/1000</f>
        <v>0.19436890806778104</v>
      </c>
      <c r="AD69" s="150"/>
      <c r="AE69" s="150">
        <f t="shared" ref="AE69:AE105" si="202">L*Isw_min/J69*1000000</f>
        <v>2.3417700074048824</v>
      </c>
      <c r="AF69" s="314">
        <f t="shared" ref="AF69:AF100" si="203">MAX(12, F69/(0.5*AE69/1000000*Isw_min*Nps)/1000)</f>
        <v>409.94632135709122</v>
      </c>
      <c r="AG69" s="456">
        <f t="shared" ref="AG69:AG105" si="204">0.5*AE69/1000000*Isw_min*Nps*X69*1000</f>
        <v>0.19436890806778107</v>
      </c>
      <c r="AI69" s="150">
        <f t="shared" ref="AI69:AI105" si="205">SQRT(F69/Efficiency/(0.5*L/J69*Fsw_DCM*Nps))</f>
        <v>14.430062470812052</v>
      </c>
      <c r="AJ69" s="150">
        <f t="shared" ref="AJ69:AJ100" si="206">MAX(IF(F69&gt;AC69,U69,AI69),Isw_min)</f>
        <v>21.951307121547487</v>
      </c>
      <c r="AK69" s="150">
        <f t="shared" ref="AK69:AK100" si="207">IF(F69&gt;AG69, (AJ69-Isw_min)/1.08*0.8+1.2, AF69*0.2/350+1)</f>
        <v>7.5836842875660393</v>
      </c>
      <c r="AM69" s="314">
        <f t="shared" ref="AM69:AM105" si="208">F69*1000</f>
        <v>320</v>
      </c>
      <c r="AN69" s="144">
        <f t="shared" ref="AN69:AN105" si="209">IF(F69&gt;AG69, Y69, AF69)</f>
        <v>146.8046884833532</v>
      </c>
      <c r="AP69">
        <f t="shared" ref="AP69:AP105" si="210">IF(H69&gt;N69, "",AM69)</f>
        <v>320</v>
      </c>
      <c r="AQ69">
        <f t="shared" ref="AQ69:AQ105" si="211">IF(H69&gt;N69, "",AN69)</f>
        <v>146.8046884833532</v>
      </c>
      <c r="AS69" s="5">
        <f t="shared" si="101"/>
        <v>6.8117715471559626</v>
      </c>
      <c r="AT69" s="5">
        <f t="shared" ref="AT69:AT105" si="212">L*AJ69/I69*1000000</f>
        <v>2.7564030991129793</v>
      </c>
      <c r="AU69" s="5">
        <f t="shared" si="102"/>
        <v>4.0553684480429837</v>
      </c>
      <c r="AV69" s="5">
        <f t="shared" ref="AV69:AV105" si="213">L*AJ69/J69*1000000</f>
        <v>3.8553684480429831</v>
      </c>
      <c r="AW69" s="150">
        <f t="shared" si="103"/>
        <v>0.40465289829983031</v>
      </c>
      <c r="AX69" s="150">
        <f t="shared" ref="AX69:AX132" si="214">0.5*L*AJ69^2*AN69*1000</f>
        <v>53.054467660364345</v>
      </c>
      <c r="AY69" s="150">
        <f t="shared" ref="AY69:AY132" si="215">AJ69*Nps/2*(1-AW69)</f>
        <v>0.32671617683358978</v>
      </c>
      <c r="AZ69" s="150">
        <f t="shared" si="104"/>
        <v>162.38702403581078</v>
      </c>
      <c r="BA69" s="144">
        <f t="shared" ref="BA69:BA105" si="216">F69*AT69/Vout_ripple*1000</f>
        <v>0.51885234806832559</v>
      </c>
      <c r="BB69" s="5">
        <f t="shared" ref="BB69:BB105" si="217">H69/Efficiency/I69*AU69/Vinripple1</f>
        <v>30.780030913200381</v>
      </c>
      <c r="BC69" s="5"/>
      <c r="BD69" s="150">
        <f t="shared" si="105"/>
        <v>8.0619683033864522</v>
      </c>
      <c r="BE69" s="150">
        <f t="shared" ref="BE69:BE132" si="218">AJ69*Nps*SQRT((1-AW69)/3)</f>
        <v>0.48893923069068435</v>
      </c>
      <c r="BF69" s="150"/>
      <c r="BG69" s="456">
        <f t="shared" ref="BG69:BG105" si="219">Rdson*BD69^2</f>
        <v>0.2209841319443466</v>
      </c>
      <c r="BH69" s="456">
        <f t="shared" ref="BH69:BH105" si="220">0.5*K69*AJ69*AN69*1000*Tfall</f>
        <v>1.585323374940095</v>
      </c>
      <c r="BI69" s="456">
        <f t="shared" ref="BI69:BI105" si="221">Qg*Vdd*AN69*1000*0+Qg*I69*AN69*1000</f>
        <v>8.0318265166300168E-2</v>
      </c>
      <c r="BJ69" s="456">
        <f t="shared" ref="BJ69:BJ105" si="222">0.5*(Coss+Csw)*K69^2*AN69*1000</f>
        <v>4.2428195806503477E-2</v>
      </c>
      <c r="BK69">
        <f t="shared" ref="BK69:BK105" si="223">I69*IQ</f>
        <v>5.3755317253172301E-3</v>
      </c>
      <c r="BL69" s="144">
        <f t="shared" si="106"/>
        <v>85.693796891617396</v>
      </c>
      <c r="BM69" s="456">
        <f t="shared" ref="BM69:BM105" si="224">(BH69+BI69*0+BJ69+BK69*0+BG69*(1+RdsonTC*(Ta-25)))/(1-BG69*RdsonTC*ThetaJA)</f>
        <v>2.0141563697561673</v>
      </c>
      <c r="BN69" s="144">
        <f t="shared" si="107"/>
        <v>2014.1563697561674</v>
      </c>
      <c r="BO69" s="456">
        <f t="shared" ref="BO69:BO105" si="225">Vfwd2*F69*(1+Diode_TC/1000*(Ta-25))</f>
        <v>0.71</v>
      </c>
      <c r="BP69" s="456"/>
      <c r="BR69" s="144">
        <f t="shared" si="109"/>
        <v>710</v>
      </c>
      <c r="BS69" s="456">
        <f t="shared" ref="BS69:BS105" si="226">Rdcr_pri*BD69^2</f>
        <v>9.7492999387211746E-2</v>
      </c>
      <c r="BT69" s="456">
        <f t="shared" ref="BT69:BT105" si="227">Rdcr_sec*BE69^2</f>
        <v>4.7812314261679652E-2</v>
      </c>
      <c r="BU69" s="456">
        <f t="shared" ref="BU69:BU105" si="228">AJ69^2.5*AN69^2.5*k_core*0+BZ69*0.015</f>
        <v>0.81599999999999995</v>
      </c>
      <c r="BV69" s="456">
        <f t="shared" ref="BV69:BV100" si="229">(BU69+(BS69+BT69)*(1+Ltc*(Ta-25)))/(1-(BS69+BT69)*Ltc*ThetaCa)</f>
        <v>1.0078947863693033</v>
      </c>
      <c r="BW69" s="456">
        <f t="shared" ref="BW69:BW105" si="230">0.5*Lleak*0.000000001*AJ69^2*AN69*1000</f>
        <v>7.0739290213819125E-2</v>
      </c>
      <c r="BX69" s="144">
        <f t="shared" si="110"/>
        <v>1078.6340765831224</v>
      </c>
      <c r="BY69" s="150">
        <f t="shared" ref="BY69:BY104" si="231">SUM(BM69,BO69:BQ69,BV69, BW69)+BK69+BI69</f>
        <v>3.888484243230907</v>
      </c>
      <c r="BZ69" s="5">
        <f t="shared" si="111"/>
        <v>54.4</v>
      </c>
      <c r="CA69" s="150">
        <f t="shared" si="112"/>
        <v>0.93328897991231474</v>
      </c>
      <c r="CB69" s="5">
        <f t="shared" si="113"/>
        <v>93.328897991231472</v>
      </c>
      <c r="CE69" s="59">
        <f t="shared" ref="CE69:CE105" si="232">IF(ABS(F69-Ioutmax_Vinnom)&lt;Iout/200, AN69, -50)</f>
        <v>-50</v>
      </c>
      <c r="CF69">
        <f t="shared" ref="CF69:CF105" si="233">IF(ABS(F69-Ioutmax_Vinnom)&lt;Iout/200, N69*CA69, -50)</f>
        <v>-50</v>
      </c>
      <c r="CG69" s="150">
        <f t="shared" ref="CG69:CG105" si="234">MIN(SQRT(2*DU69*1000*Ls1_*CL69)/CU69,1-EA69-0.00000005*DU69*1000)</f>
        <v>0.57674683576842556</v>
      </c>
      <c r="CI69" s="147">
        <v>64</v>
      </c>
      <c r="CJ69" s="188">
        <f t="shared" si="114"/>
        <v>0.32</v>
      </c>
      <c r="CK69" s="188"/>
      <c r="CL69" s="188">
        <f t="shared" ref="CL69:CL105" si="235">CJ69*Vout</f>
        <v>54.4</v>
      </c>
      <c r="CM69" s="465">
        <f t="shared" ref="CM69:CM105" si="236">Vin</f>
        <v>12</v>
      </c>
      <c r="CN69" s="149">
        <f t="shared" ref="CN69:CN105" si="237">(CX69+Vfwd1)*Nps</f>
        <v>8.5350000000000001</v>
      </c>
      <c r="CO69" s="379">
        <f t="shared" ref="CO69:CO105" si="238">(Vout+Vfwd1)*Nps+CM69</f>
        <v>20.535</v>
      </c>
      <c r="CP69" s="379"/>
      <c r="CQ69" s="188">
        <f t="shared" ref="CQ69:CQ105" si="239">(Vout+Vfwd1)*Nps/((Vout+Vfwd1)*Nps+CM69)</f>
        <v>0.4156318480642805</v>
      </c>
      <c r="CR69" s="149">
        <f t="shared" ref="CR69:CR105" si="240">CQ69*CM69*(Isw_max+VIN_nom/Lmag*ILIM_delay)*0.5*Efficiency</f>
        <v>166.85124908692478</v>
      </c>
      <c r="CS69" s="149">
        <f t="shared" si="115"/>
        <v>54.4</v>
      </c>
      <c r="CT69" s="188">
        <f t="shared" ref="CT69:CT105" si="241">CR69/Vout</f>
        <v>0.98147793580543985</v>
      </c>
      <c r="CU69" s="188">
        <f t="shared" ref="CU69:CU105" si="242">MIN(Vout,CR69/CJ69)</f>
        <v>170</v>
      </c>
      <c r="CV69" s="188">
        <f t="shared" ref="CV69:CV105" si="243">Isw_max/2*CM69*Nps*(CU69+Vfwd1)/CU69/(CM69+Nps*(CU69+Vfwd1))</f>
        <v>0.97795728956301287</v>
      </c>
      <c r="CW69" s="149">
        <f t="shared" ref="CW69:CW105" si="244">(SQRT(Isw_max^2*Nps^2*CM69^2+4*Isw_max*CJ69/Efficiency*(Nps^2*Vfwd1*CM69-Nps*CM69^2)+4*(CJ69/Efficiency)^2*Nps^2*Vfwd1^2+8*(CJ69/Efficiency)^2*Nps*Vfwd1*CM69+4*(CJ69/Efficiency)^2*CM69^2)-2*CJ69/Efficiency*CM69-2*CJ69/Efficiency*Nps*Vfwd1+Isw_max*Nps*CM69)/(4*CJ69/Efficiency*Nps)</f>
        <v>1010.1661941026225</v>
      </c>
      <c r="CX69" s="149">
        <f t="shared" ref="CX69:CX105" si="245">MIN(Vout, CW69)</f>
        <v>170</v>
      </c>
      <c r="CY69" s="188">
        <f t="shared" ref="CY69:CY105" si="246">MIN(2*Vout*CJ69/(CM69*CQ69), Isw_max)</f>
        <v>21.814176918570592</v>
      </c>
      <c r="CZ69" s="188">
        <f t="shared" ref="CZ69:CZ105" si="247">L*CY69/CM69*1000000</f>
        <v>2.726772114821324</v>
      </c>
      <c r="DA69" s="188">
        <f t="shared" ref="DA69:DA105" si="248">L*CY69/CN69*1000000</f>
        <v>3.8337745023849896</v>
      </c>
      <c r="DB69" s="172">
        <f t="shared" ref="DB69:DB105" si="249">IF(1/((350000*L)*(1/CM69+1/CN69))&gt;Isw_min, 350, 0.001/((Isw_min*L)*(1/CM69+1/CN69)))</f>
        <v>249.37910883856827</v>
      </c>
      <c r="DC69" s="379">
        <f t="shared" si="116"/>
        <v>152.42632334587867</v>
      </c>
      <c r="DE69" s="188">
        <f t="shared" ref="DE69:DE105" si="250">1/((DB69*1000*L)*(1/CM69+1/CN69))</f>
        <v>13.333333333333334</v>
      </c>
      <c r="DF69" s="150">
        <f t="shared" ref="DF69:DF105" si="251">L*DE69/CN69*1000000</f>
        <v>2.3432923257176337</v>
      </c>
      <c r="DG69" s="150">
        <f t="shared" ref="DG69:DG105" si="252">0.5*DF69*DE69*Nps*DB69/1000</f>
        <v>0.19478938397857323</v>
      </c>
      <c r="DH69" s="150"/>
      <c r="DI69" s="150">
        <f t="shared" ref="DI69:DI105" si="253">L*Isw_min/CN69*1000000</f>
        <v>2.3432923257176337</v>
      </c>
      <c r="DJ69" s="314">
        <f t="shared" si="117"/>
        <v>409.67999999999989</v>
      </c>
      <c r="DK69" s="456">
        <f t="shared" ref="DK69:DK105" si="254">0.5*DI69/1000000*Isw_min*Nps*DB69*1000</f>
        <v>0.19478938397857321</v>
      </c>
      <c r="DM69" s="150">
        <f t="shared" ref="DM69:DM105" si="255">SQRT(CJ69/Efficiency/(0.5*L/CN69*Fsw_DCM*Nps))</f>
        <v>14.425374469019117</v>
      </c>
      <c r="DN69" s="150">
        <f t="shared" ref="DN69:DN105" si="256">MAX(IF(CJ69&gt;DG69,CY69,DM69),Isw_min)</f>
        <v>21.814176918570592</v>
      </c>
      <c r="DO69" s="150">
        <f t="shared" ref="DO69:DO105" si="257">IF(CJ69&gt;DK69, (DN69-Isw_min)/1.08*0.8+1.2, DJ69*0.2/350+1)</f>
        <v>7.4821063594350061</v>
      </c>
      <c r="DQ69" s="314">
        <f t="shared" ref="DQ69:DQ105" si="258">CJ69*1000</f>
        <v>320</v>
      </c>
      <c r="DR69" s="144">
        <f t="shared" ref="DR69:DR105" si="259">IF(CJ69&gt;DK69, DC69, DJ69)</f>
        <v>152.42632334587867</v>
      </c>
      <c r="DT69">
        <f t="shared" ref="DT69:DT105" si="260">IF(CL69&gt;CR69, "",DQ69)</f>
        <v>320</v>
      </c>
      <c r="DU69">
        <f t="shared" ref="DU69:DU105" si="261">IF(CL69&gt;CR69, "",DR69)</f>
        <v>152.42632334587867</v>
      </c>
      <c r="DW69" s="5">
        <f t="shared" si="118"/>
        <v>6.5605466172063132</v>
      </c>
      <c r="DX69" s="5">
        <f t="shared" ref="DX69:DX105" si="262">L*DN69/CM69*1000000</f>
        <v>2.726772114821324</v>
      </c>
      <c r="DY69" s="5">
        <f t="shared" si="119"/>
        <v>3.8337745023849892</v>
      </c>
      <c r="DZ69" s="5">
        <f t="shared" ref="DZ69:DZ105" si="263">L*DN69/CN69*1000000</f>
        <v>3.8337745023849896</v>
      </c>
      <c r="EA69" s="150">
        <f t="shared" si="120"/>
        <v>0.41563184806428055</v>
      </c>
      <c r="EB69" s="150">
        <f t="shared" ref="EB69:EB105" si="264">0.5*L*DN69^2*DR69*1000</f>
        <v>54.400000000000006</v>
      </c>
      <c r="EC69" s="150">
        <f t="shared" ref="EC69:EC105" si="265">DN69*Nps/2*(1-EA69)</f>
        <v>0.3186877562975981</v>
      </c>
      <c r="ED69" s="150">
        <f t="shared" si="121"/>
        <v>170.70000000000002</v>
      </c>
      <c r="EE69" s="144">
        <f t="shared" ref="EE69:EE105" si="266">CJ69*DX69/Vout_ripple*1000</f>
        <v>0.51327475102519049</v>
      </c>
      <c r="EF69" s="5">
        <f t="shared" ref="EF69:EF105" si="267">CL69/Efficiency/CM69*DY69/Vinripple1</f>
        <v>28.966296240242134</v>
      </c>
      <c r="EG69" s="5"/>
      <c r="EH69" s="150">
        <f t="shared" si="122"/>
        <v>8.1195621952658961</v>
      </c>
      <c r="EI69" s="150">
        <f t="shared" ref="EI69:EI105" si="268">DN69*Nps*SQRT((1-EA69)/3)</f>
        <v>0.48138380729095692</v>
      </c>
      <c r="EJ69" s="150"/>
      <c r="EK69" s="456">
        <f t="shared" ref="EK69:EK105" si="269">Rdson*EH69^2</f>
        <v>0.22415278682548984</v>
      </c>
      <c r="EL69" s="456">
        <f t="shared" ref="EL69:EL105" si="270">0.5*CO69*DN69*DR69*1000*Trise</f>
        <v>2.0757120000000007</v>
      </c>
      <c r="EM69" s="456">
        <f t="shared" ref="EM69:EM105" si="271">Qg*Vdd*DR69*1000</f>
        <v>3.4905628046206214E-2</v>
      </c>
      <c r="EN69" s="456">
        <f t="shared" ref="EN69:EN105" si="272">0.5*(Coss+Csw)*CO69^2*DR69*1000</f>
        <v>4.4029115404411762E-2</v>
      </c>
      <c r="EO69">
        <f t="shared" ref="EO69:EO105" si="273">CM69*IQ</f>
        <v>5.4000000000000003E-3</v>
      </c>
      <c r="EP69" s="144">
        <f t="shared" si="123"/>
        <v>40.305628046206216</v>
      </c>
      <c r="EQ69" s="456">
        <f t="shared" ref="EQ69:EQ105" si="274">(EL69+EM69+EN69+EO69+EK69*(1+RdsonTC*(Ta-25)))/(1-EK69*RdsonTC*ThetaJA)</f>
        <v>2.5822479575678625</v>
      </c>
      <c r="ER69" s="144">
        <f t="shared" si="124"/>
        <v>2582.2479575678626</v>
      </c>
      <c r="ES69" s="456">
        <f t="shared" si="125"/>
        <v>0.71</v>
      </c>
      <c r="ET69" s="456"/>
      <c r="EV69" s="144">
        <f t="shared" si="126"/>
        <v>710</v>
      </c>
      <c r="EW69" s="456">
        <f t="shared" ref="EW69:EW105" si="275">Rdcr_pri*EH69^2</f>
        <v>9.8890935364186694E-2</v>
      </c>
      <c r="EX69" s="456">
        <f t="shared" ref="EX69:EX105" si="276">Rdcr_sec*EI69^2</f>
        <v>4.6346073984387434E-2</v>
      </c>
      <c r="EY69" s="456">
        <f t="shared" ref="EY69:EY105" si="277">DN69^2.5*DR69^2.5*k_core</f>
        <v>31.876234821662539</v>
      </c>
      <c r="EZ69" s="456">
        <f t="shared" ref="EZ69:EZ105" si="278">(EY69+(EW69+EX69)*(1+Ltc*(Ta-25)))/(1-(EW69+EX69)*Ltc*ThetaCa)</f>
        <v>32.433168424104011</v>
      </c>
      <c r="FA69" s="456">
        <f t="shared" ref="FA69:FA105" si="279">0.5*Lleak*0.000000001*DN69^2*DR69*1000</f>
        <v>7.2533333333333339E-2</v>
      </c>
      <c r="FB69" s="144">
        <f t="shared" si="127"/>
        <v>32505.701757437342</v>
      </c>
      <c r="FC69" s="150">
        <f t="shared" si="128"/>
        <v>35.797949715005203</v>
      </c>
      <c r="FD69" s="5">
        <f t="shared" si="129"/>
        <v>54.4</v>
      </c>
      <c r="FE69" s="150">
        <f t="shared" si="130"/>
        <v>0.60311792199141412</v>
      </c>
      <c r="FF69" s="5">
        <f t="shared" si="131"/>
        <v>60.311792199141415</v>
      </c>
      <c r="FI69" s="59">
        <f t="shared" ref="FI69:FI105" si="280">IF(ABS(CJ69-Ioutmax_Vinnom)&lt;Iout/200, DR69, -50)</f>
        <v>-50</v>
      </c>
      <c r="FJ69">
        <f t="shared" ref="FJ69:FJ105" si="281">IF(ABS(CJ69-Ioutmax_Vinnom)&lt;Iout/200, CR69*FE69, -50)</f>
        <v>-50</v>
      </c>
      <c r="FL69">
        <f t="shared" ref="FL69:FL105" si="282">MIN(SQRT(2*L*DR69*1000*CJ69*(CX69+Vfwd1))/(Nps*(CX69+Vfwd1)), 1-EA69)</f>
        <v>0.58436815193571945</v>
      </c>
    </row>
    <row r="70" spans="5:168">
      <c r="E70" s="147">
        <v>65</v>
      </c>
      <c r="F70" s="188">
        <f t="shared" ref="F70:F101" si="283">IF(PLOT_TYPE=1, E70/100*Iout_max, min_I*EXP(N70*rr/100))</f>
        <v>0.32500000000000001</v>
      </c>
      <c r="G70" s="188"/>
      <c r="H70" s="188">
        <f t="shared" si="183"/>
        <v>55.25</v>
      </c>
      <c r="I70" s="465">
        <f t="shared" si="184"/>
        <v>11.944787687898147</v>
      </c>
      <c r="J70" s="149">
        <f t="shared" si="185"/>
        <v>8.5406339093981476</v>
      </c>
      <c r="K70" s="149">
        <f t="shared" si="186"/>
        <v>20.540633909398146</v>
      </c>
      <c r="L70" s="379"/>
      <c r="M70" s="188">
        <f t="shared" si="187"/>
        <v>0.41691071302257676</v>
      </c>
      <c r="N70" s="149">
        <f t="shared" si="188"/>
        <v>166.59458758972087</v>
      </c>
      <c r="O70" s="149">
        <f t="shared" ref="O70:O133" si="284">T70*F70</f>
        <v>55.25</v>
      </c>
      <c r="P70" s="188">
        <f t="shared" si="189"/>
        <v>0.97996816229247574</v>
      </c>
      <c r="Q70" s="188">
        <f t="shared" si="190"/>
        <v>170</v>
      </c>
      <c r="R70" s="188">
        <f t="shared" si="191"/>
        <v>0.97645293173821812</v>
      </c>
      <c r="S70" s="149">
        <f t="shared" si="192"/>
        <v>986.38009163513561</v>
      </c>
      <c r="T70" s="149">
        <f t="shared" si="193"/>
        <v>170</v>
      </c>
      <c r="U70" s="188">
        <f t="shared" si="194"/>
        <v>22.29504175490597</v>
      </c>
      <c r="V70" s="188">
        <f t="shared" si="195"/>
        <v>2.7997619971296155</v>
      </c>
      <c r="W70" s="188">
        <f t="shared" si="196"/>
        <v>3.9157002849119462</v>
      </c>
      <c r="X70" s="172">
        <f t="shared" si="197"/>
        <v>248.99672746127101</v>
      </c>
      <c r="Y70" s="379">
        <f t="shared" si="198"/>
        <v>144.60349275519192</v>
      </c>
      <c r="AA70" s="188">
        <f t="shared" si="199"/>
        <v>13.333333333333334</v>
      </c>
      <c r="AB70" s="150">
        <f t="shared" si="200"/>
        <v>2.3417465509195896</v>
      </c>
      <c r="AC70" s="150">
        <f t="shared" si="201"/>
        <v>0.19436240924089881</v>
      </c>
      <c r="AD70" s="150"/>
      <c r="AE70" s="150">
        <f t="shared" si="202"/>
        <v>2.3417465509195896</v>
      </c>
      <c r="AF70" s="314">
        <f t="shared" si="203"/>
        <v>416.35590308315972</v>
      </c>
      <c r="AG70" s="456">
        <f t="shared" si="204"/>
        <v>0.19436240924089879</v>
      </c>
      <c r="AI70" s="150">
        <f t="shared" si="205"/>
        <v>14.542433203243922</v>
      </c>
      <c r="AJ70" s="150">
        <f t="shared" si="153"/>
        <v>22.29504175490597</v>
      </c>
      <c r="AK70" s="150">
        <f t="shared" si="207"/>
        <v>7.8383025344982489</v>
      </c>
      <c r="AM70" s="314">
        <f t="shared" si="208"/>
        <v>325</v>
      </c>
      <c r="AN70" s="144">
        <f t="shared" si="209"/>
        <v>144.60349275519192</v>
      </c>
      <c r="AP70">
        <f t="shared" si="210"/>
        <v>325</v>
      </c>
      <c r="AQ70">
        <f t="shared" si="211"/>
        <v>144.60349275519192</v>
      </c>
      <c r="AS70" s="5">
        <f t="shared" ref="AS70:AS133" si="285">1/AN70*1000</f>
        <v>6.9154622820415614</v>
      </c>
      <c r="AT70" s="5">
        <f t="shared" si="212"/>
        <v>2.7997619971296155</v>
      </c>
      <c r="AU70" s="5">
        <f t="shared" ref="AU70:AU105" si="286">AS70-AT70</f>
        <v>4.1157002849119459</v>
      </c>
      <c r="AV70" s="5">
        <f t="shared" si="213"/>
        <v>3.9157002849119462</v>
      </c>
      <c r="AW70" s="150">
        <f t="shared" ref="AW70:AW105" si="287">AT70/AS70</f>
        <v>0.40485536366819402</v>
      </c>
      <c r="AX70" s="150">
        <f t="shared" si="214"/>
        <v>53.908422884159393</v>
      </c>
      <c r="AY70" s="150">
        <f t="shared" si="215"/>
        <v>0.33171936293064863</v>
      </c>
      <c r="AZ70" s="150">
        <f t="shared" ref="AZ70:AZ133" si="288">AX70/AY70</f>
        <v>162.51213799488042</v>
      </c>
      <c r="BA70" s="144">
        <f t="shared" si="216"/>
        <v>0.53524861709830884</v>
      </c>
      <c r="BB70" s="5">
        <f t="shared" si="217"/>
        <v>31.728266013435505</v>
      </c>
      <c r="BC70" s="5"/>
      <c r="BD70" s="150">
        <f t="shared" ref="BD70:BD133" si="289">AJ70*SQRT(AW70/3)</f>
        <v>8.1902585420122929</v>
      </c>
      <c r="BE70" s="150">
        <f t="shared" si="218"/>
        <v>0.4965110622282119</v>
      </c>
      <c r="BF70" s="150"/>
      <c r="BG70" s="456">
        <f t="shared" si="219"/>
        <v>0.22807313894901809</v>
      </c>
      <c r="BH70" s="456">
        <f t="shared" si="220"/>
        <v>1.5860118694194372</v>
      </c>
      <c r="BI70" s="456">
        <f t="shared" si="221"/>
        <v>7.9108417310929269E-2</v>
      </c>
      <c r="BJ70" s="456">
        <f t="shared" si="222"/>
        <v>4.1792373752000483E-2</v>
      </c>
      <c r="BK70">
        <f t="shared" si="223"/>
        <v>5.3751544595541665E-3</v>
      </c>
      <c r="BL70" s="144">
        <f t="shared" ref="BL70:BL105" si="290">(BK70+BI70)*1000</f>
        <v>84.483571770483437</v>
      </c>
      <c r="BM70" s="456">
        <f t="shared" si="224"/>
        <v>2.0273178440942337</v>
      </c>
      <c r="BN70" s="144">
        <f t="shared" ref="BN70:BN105" si="291">BM70*1000</f>
        <v>2027.3178440942336</v>
      </c>
      <c r="BO70" s="456">
        <f t="shared" si="225"/>
        <v>0.72109374999999998</v>
      </c>
      <c r="BP70" s="456"/>
      <c r="BR70" s="144">
        <f t="shared" ref="BR70:BR105" si="292">SUM(BO70:BQ70)*1000</f>
        <v>721.09375</v>
      </c>
      <c r="BS70" s="456">
        <f t="shared" si="226"/>
        <v>0.10062050247750799</v>
      </c>
      <c r="BT70" s="456">
        <f t="shared" si="227"/>
        <v>4.9304646982997469E-2</v>
      </c>
      <c r="BU70" s="456">
        <f t="shared" si="228"/>
        <v>0.82874999999999999</v>
      </c>
      <c r="BV70" s="456">
        <f t="shared" si="229"/>
        <v>1.0269747325526359</v>
      </c>
      <c r="BW70" s="456">
        <f t="shared" si="230"/>
        <v>7.1877897178879199E-2</v>
      </c>
      <c r="BX70" s="144">
        <f t="shared" ref="BX70:BX105" si="293">1000*(BV70+BW70)</f>
        <v>1098.8526297315152</v>
      </c>
      <c r="BY70" s="150">
        <f t="shared" si="231"/>
        <v>3.9317477955962326</v>
      </c>
      <c r="BZ70" s="5">
        <f t="shared" ref="BZ70:BZ105" si="294">MIN(H70,O70)</f>
        <v>55.25</v>
      </c>
      <c r="CA70" s="150">
        <f t="shared" ref="CA70:CA104" si="295">BZ70/(BZ70+BY70)</f>
        <v>0.93356485838884273</v>
      </c>
      <c r="CB70" s="5">
        <f t="shared" ref="CB70:CB104" si="296">CA70*100</f>
        <v>93.356485838884268</v>
      </c>
      <c r="CE70" s="59">
        <f t="shared" si="232"/>
        <v>-50</v>
      </c>
      <c r="CF70">
        <f t="shared" si="233"/>
        <v>-50</v>
      </c>
      <c r="CG70" s="150">
        <f t="shared" si="234"/>
        <v>0.57686408678638401</v>
      </c>
      <c r="CI70" s="147">
        <v>65</v>
      </c>
      <c r="CJ70" s="188">
        <f t="shared" ref="CJ70:CJ105" si="297">IF(PLOT_TYPE=1, CI70/100*Iout_max, min_I*EXP(CR70*rr/100))</f>
        <v>0.32500000000000001</v>
      </c>
      <c r="CK70" s="188"/>
      <c r="CL70" s="188">
        <f t="shared" si="235"/>
        <v>55.25</v>
      </c>
      <c r="CM70" s="465">
        <f t="shared" si="236"/>
        <v>12</v>
      </c>
      <c r="CN70" s="149">
        <f t="shared" si="237"/>
        <v>8.5350000000000001</v>
      </c>
      <c r="CO70" s="379">
        <f t="shared" si="238"/>
        <v>20.535</v>
      </c>
      <c r="CP70" s="379"/>
      <c r="CQ70" s="188">
        <f t="shared" si="239"/>
        <v>0.4156318480642805</v>
      </c>
      <c r="CR70" s="149">
        <f t="shared" si="240"/>
        <v>166.85124908692478</v>
      </c>
      <c r="CS70" s="149">
        <f t="shared" ref="CS70:CS105" si="298">CX70*CJ70</f>
        <v>55.25</v>
      </c>
      <c r="CT70" s="188">
        <f t="shared" si="241"/>
        <v>0.98147793580543985</v>
      </c>
      <c r="CU70" s="188">
        <f t="shared" si="242"/>
        <v>170</v>
      </c>
      <c r="CV70" s="188">
        <f t="shared" si="243"/>
        <v>0.97795728956301287</v>
      </c>
      <c r="CW70" s="149">
        <f t="shared" si="244"/>
        <v>990.93864732076804</v>
      </c>
      <c r="CX70" s="149">
        <f t="shared" si="245"/>
        <v>170</v>
      </c>
      <c r="CY70" s="188">
        <f t="shared" si="246"/>
        <v>22.155023432923254</v>
      </c>
      <c r="CZ70" s="188">
        <f t="shared" si="247"/>
        <v>2.7693779291154068</v>
      </c>
      <c r="DA70" s="188">
        <f t="shared" si="248"/>
        <v>3.893677228984755</v>
      </c>
      <c r="DB70" s="172">
        <f t="shared" si="249"/>
        <v>249.37910883856827</v>
      </c>
      <c r="DC70" s="379">
        <f t="shared" ref="DC70:DC105" si="299">MIN(1/(CZ70+DA70)*1000, 350)</f>
        <v>150.08130298671131</v>
      </c>
      <c r="DE70" s="188">
        <f t="shared" si="250"/>
        <v>13.333333333333334</v>
      </c>
      <c r="DF70" s="150">
        <f t="shared" si="251"/>
        <v>2.3432923257176337</v>
      </c>
      <c r="DG70" s="150">
        <f t="shared" si="252"/>
        <v>0.19478938397857323</v>
      </c>
      <c r="DH70" s="150"/>
      <c r="DI70" s="150">
        <f t="shared" si="253"/>
        <v>2.3432923257176337</v>
      </c>
      <c r="DJ70" s="314">
        <f t="shared" ref="DJ70:DJ105" si="300">MAX(12, CJ70/(0.5*DI70/1000000*Isw_min*Nps)/1000)</f>
        <v>416.0812499999999</v>
      </c>
      <c r="DK70" s="456">
        <f t="shared" si="254"/>
        <v>0.19478938397857321</v>
      </c>
      <c r="DM70" s="150">
        <f t="shared" si="255"/>
        <v>14.537635885619681</v>
      </c>
      <c r="DN70" s="150">
        <f t="shared" si="256"/>
        <v>22.155023432923254</v>
      </c>
      <c r="DO70" s="150">
        <f t="shared" si="257"/>
        <v>7.7345852589554971</v>
      </c>
      <c r="DQ70" s="314">
        <f t="shared" si="258"/>
        <v>325</v>
      </c>
      <c r="DR70" s="144">
        <f t="shared" si="259"/>
        <v>150.08130298671131</v>
      </c>
      <c r="DT70">
        <f t="shared" si="260"/>
        <v>325</v>
      </c>
      <c r="DU70">
        <f t="shared" si="261"/>
        <v>150.08130298671131</v>
      </c>
      <c r="DW70" s="5">
        <f t="shared" ref="DW70:DW105" si="301">1/DR70*1000</f>
        <v>6.6630551581001614</v>
      </c>
      <c r="DX70" s="5">
        <f t="shared" si="262"/>
        <v>2.7693779291154068</v>
      </c>
      <c r="DY70" s="5">
        <f t="shared" ref="DY70:DY105" si="302">DW70-DX70</f>
        <v>3.8936772289847545</v>
      </c>
      <c r="DZ70" s="5">
        <f t="shared" si="263"/>
        <v>3.893677228984755</v>
      </c>
      <c r="EA70" s="150">
        <f t="shared" ref="EA70:EA105" si="303">DX70/DW70</f>
        <v>0.4156318480642805</v>
      </c>
      <c r="EB70" s="150">
        <f t="shared" si="264"/>
        <v>55.249999999999993</v>
      </c>
      <c r="EC70" s="150">
        <f t="shared" si="265"/>
        <v>0.32366725248974809</v>
      </c>
      <c r="ED70" s="150">
        <f t="shared" ref="ED70:ED105" si="304">EB70/EC70</f>
        <v>170.7</v>
      </c>
      <c r="EE70" s="144">
        <f t="shared" si="266"/>
        <v>0.52943989821323956</v>
      </c>
      <c r="EF70" s="5">
        <f t="shared" si="267"/>
        <v>29.878564847417728</v>
      </c>
      <c r="EG70" s="5"/>
      <c r="EH70" s="150">
        <f t="shared" ref="EH70:EH105" si="305">DN70*SQRT(EA70/3)</f>
        <v>8.2464303545669235</v>
      </c>
      <c r="EI70" s="150">
        <f t="shared" si="268"/>
        <v>0.48890542927987812</v>
      </c>
      <c r="EJ70" s="150"/>
      <c r="EK70" s="456">
        <f t="shared" si="269"/>
        <v>0.23121228621525736</v>
      </c>
      <c r="EL70" s="456">
        <f t="shared" si="270"/>
        <v>2.0757120000000002</v>
      </c>
      <c r="EM70" s="456">
        <f t="shared" si="271"/>
        <v>3.4368618383956891E-2</v>
      </c>
      <c r="EN70" s="456">
        <f t="shared" si="272"/>
        <v>4.3351744398190048E-2</v>
      </c>
      <c r="EO70">
        <f t="shared" si="273"/>
        <v>5.4000000000000003E-3</v>
      </c>
      <c r="EP70" s="144">
        <f t="shared" ref="EP70:EP105" si="306">(EO70+EM70)*1000</f>
        <v>39.768618383956891</v>
      </c>
      <c r="EQ70" s="456">
        <f t="shared" si="274"/>
        <v>2.5950327893276257</v>
      </c>
      <c r="ER70" s="144">
        <f t="shared" ref="ER70:ER105" si="307">EQ70*1000</f>
        <v>2595.0327893276258</v>
      </c>
      <c r="ES70" s="456">
        <f t="shared" ref="ES70:ES105" si="308">Vfwd2*CJ70*(1+Diode_TC/1000*(Ta-25))</f>
        <v>0.72109374999999998</v>
      </c>
      <c r="ET70" s="456"/>
      <c r="EV70" s="144">
        <f t="shared" ref="EV70:EV105" si="309">SUM(ES70:EU70)*1000</f>
        <v>721.09375</v>
      </c>
      <c r="EW70" s="456">
        <f t="shared" si="275"/>
        <v>0.10200542038908414</v>
      </c>
      <c r="EX70" s="456">
        <f t="shared" si="276"/>
        <v>4.7805703755868387E-2</v>
      </c>
      <c r="EY70" s="456">
        <f t="shared" si="277"/>
        <v>31.876234821662489</v>
      </c>
      <c r="EZ70" s="456">
        <f t="shared" si="278"/>
        <v>32.450921335992994</v>
      </c>
      <c r="FA70" s="456">
        <f t="shared" si="279"/>
        <v>7.3666666666666644E-2</v>
      </c>
      <c r="FB70" s="144">
        <f t="shared" ref="FB70:FB105" si="310">1000*(EZ70+FA70)</f>
        <v>32524.588002659661</v>
      </c>
      <c r="FC70" s="150">
        <f t="shared" ref="FC70:FC105" si="311">SUM(EQ70,ES70:EU70,EZ70, FA70)</f>
        <v>35.840714541987289</v>
      </c>
      <c r="FD70" s="5">
        <f t="shared" ref="FD70:FD105" si="312">MIN(CL70,CS70)</f>
        <v>55.25</v>
      </c>
      <c r="FE70" s="150">
        <f t="shared" ref="FE70:FE105" si="313">FD70/(FD70+FC70)</f>
        <v>0.60653822157178383</v>
      </c>
      <c r="FF70" s="5">
        <f t="shared" ref="FF70:FF105" si="314">FE70*100</f>
        <v>60.653822157178382</v>
      </c>
      <c r="FI70" s="59">
        <f t="shared" si="280"/>
        <v>-50</v>
      </c>
      <c r="FJ70">
        <f t="shared" si="281"/>
        <v>-50</v>
      </c>
      <c r="FL70">
        <f t="shared" si="282"/>
        <v>0.58436815193571956</v>
      </c>
    </row>
    <row r="71" spans="5:168">
      <c r="E71" s="147">
        <v>66</v>
      </c>
      <c r="F71" s="188">
        <f t="shared" si="283"/>
        <v>0.33</v>
      </c>
      <c r="G71" s="188"/>
      <c r="H71" s="188">
        <f t="shared" si="183"/>
        <v>56.1</v>
      </c>
      <c r="I71" s="465">
        <f t="shared" si="184"/>
        <v>11.943949315112029</v>
      </c>
      <c r="J71" s="149">
        <f t="shared" si="185"/>
        <v>8.5407194576416288</v>
      </c>
      <c r="K71" s="149">
        <f t="shared" si="186"/>
        <v>20.540719457641629</v>
      </c>
      <c r="L71" s="379"/>
      <c r="M71" s="188">
        <f t="shared" si="187"/>
        <v>0.41693021143809711</v>
      </c>
      <c r="N71" s="149">
        <f t="shared" si="188"/>
        <v>166.59068564278846</v>
      </c>
      <c r="O71" s="149">
        <f t="shared" si="284"/>
        <v>56.1</v>
      </c>
      <c r="P71" s="188">
        <f t="shared" si="189"/>
        <v>0.97994520966346155</v>
      </c>
      <c r="Q71" s="188">
        <f t="shared" si="190"/>
        <v>170</v>
      </c>
      <c r="R71" s="188">
        <f t="shared" si="191"/>
        <v>0.97643006144226951</v>
      </c>
      <c r="S71" s="149">
        <f t="shared" si="192"/>
        <v>967.75320270755935</v>
      </c>
      <c r="T71" s="149">
        <f t="shared" si="193"/>
        <v>170</v>
      </c>
      <c r="U71" s="188">
        <f t="shared" si="194"/>
        <v>22.638799435238777</v>
      </c>
      <c r="V71" s="188">
        <f t="shared" si="195"/>
        <v>2.8431298774763474</v>
      </c>
      <c r="W71" s="188">
        <f t="shared" si="196"/>
        <v>3.976034960670062</v>
      </c>
      <c r="X71" s="172">
        <f t="shared" si="197"/>
        <v>248.99089521121405</v>
      </c>
      <c r="Y71" s="379">
        <f t="shared" si="198"/>
        <v>142.46709160688062</v>
      </c>
      <c r="AA71" s="188">
        <f t="shared" si="199"/>
        <v>13.333333333333336</v>
      </c>
      <c r="AB71" s="150">
        <f t="shared" si="200"/>
        <v>2.3417230947804315</v>
      </c>
      <c r="AC71" s="150">
        <f t="shared" si="201"/>
        <v>0.19435590990205148</v>
      </c>
      <c r="AD71" s="150"/>
      <c r="AE71" s="150">
        <f t="shared" si="202"/>
        <v>2.3417230947804311</v>
      </c>
      <c r="AF71" s="314">
        <f t="shared" si="203"/>
        <v>422.76561315326057</v>
      </c>
      <c r="AG71" s="456">
        <f t="shared" si="204"/>
        <v>0.19435590990205143</v>
      </c>
      <c r="AI71" s="150">
        <f t="shared" si="205"/>
        <v>14.653944493572499</v>
      </c>
      <c r="AJ71" s="150">
        <f t="shared" si="153"/>
        <v>22.638799435238777</v>
      </c>
      <c r="AK71" s="150">
        <f t="shared" si="207"/>
        <v>8.0929378532632903</v>
      </c>
      <c r="AM71" s="314">
        <f t="shared" si="208"/>
        <v>330</v>
      </c>
      <c r="AN71" s="144">
        <f t="shared" si="209"/>
        <v>142.46709160688062</v>
      </c>
      <c r="AP71">
        <f t="shared" si="210"/>
        <v>330</v>
      </c>
      <c r="AQ71">
        <f t="shared" si="211"/>
        <v>142.46709160688062</v>
      </c>
      <c r="AS71" s="5">
        <f t="shared" si="285"/>
        <v>7.01916483814641</v>
      </c>
      <c r="AT71" s="5">
        <f t="shared" si="212"/>
        <v>2.8431298774763474</v>
      </c>
      <c r="AU71" s="5">
        <f t="shared" si="286"/>
        <v>4.1760349606700622</v>
      </c>
      <c r="AV71" s="5">
        <f t="shared" si="213"/>
        <v>3.976034960670062</v>
      </c>
      <c r="AW71" s="150">
        <f t="shared" si="287"/>
        <v>0.40505244470468205</v>
      </c>
      <c r="AX71" s="150">
        <f t="shared" si="214"/>
        <v>54.762416721250943</v>
      </c>
      <c r="AY71" s="150">
        <f t="shared" si="215"/>
        <v>0.33672245947040841</v>
      </c>
      <c r="AZ71" s="150">
        <f t="shared" si="288"/>
        <v>162.63369187603459</v>
      </c>
      <c r="BA71" s="144">
        <f t="shared" si="216"/>
        <v>0.55190168209834989</v>
      </c>
      <c r="BB71" s="5">
        <f t="shared" si="217"/>
        <v>32.690968332277158</v>
      </c>
      <c r="BC71" s="5"/>
      <c r="BD71" s="150">
        <f t="shared" si="289"/>
        <v>8.3185645968787156</v>
      </c>
      <c r="BE71" s="150">
        <f t="shared" si="218"/>
        <v>0.50408306938740743</v>
      </c>
      <c r="BF71" s="150"/>
      <c r="BG71" s="456">
        <f t="shared" si="219"/>
        <v>0.23527495763830944</v>
      </c>
      <c r="BH71" s="456">
        <f t="shared" si="220"/>
        <v>1.5866791660797541</v>
      </c>
      <c r="BI71" s="456">
        <f t="shared" si="221"/>
        <v>7.7934183232059404E-2</v>
      </c>
      <c r="BJ71" s="456">
        <f t="shared" si="222"/>
        <v>4.1175267772317364E-2</v>
      </c>
      <c r="BK71">
        <f t="shared" si="223"/>
        <v>5.3747771918004131E-3</v>
      </c>
      <c r="BL71" s="144">
        <f t="shared" si="290"/>
        <v>83.30896042385983</v>
      </c>
      <c r="BM71" s="456">
        <f t="shared" si="224"/>
        <v>2.0407333376709405</v>
      </c>
      <c r="BN71" s="144">
        <f t="shared" si="291"/>
        <v>2040.7333376709405</v>
      </c>
      <c r="BO71" s="456">
        <f t="shared" si="225"/>
        <v>0.73218749999999999</v>
      </c>
      <c r="BP71" s="456"/>
      <c r="BR71" s="144">
        <f t="shared" si="292"/>
        <v>732.1875</v>
      </c>
      <c r="BS71" s="456">
        <f t="shared" si="226"/>
        <v>0.10379777542866593</v>
      </c>
      <c r="BT71" s="456">
        <f t="shared" si="227"/>
        <v>5.0819948168605966E-2</v>
      </c>
      <c r="BU71" s="456">
        <f t="shared" si="228"/>
        <v>0.84150000000000003</v>
      </c>
      <c r="BV71" s="456">
        <f t="shared" si="229"/>
        <v>1.0461664472265382</v>
      </c>
      <c r="BW71" s="456">
        <f t="shared" si="230"/>
        <v>7.301655562833459E-2</v>
      </c>
      <c r="BX71" s="144">
        <f t="shared" si="293"/>
        <v>1119.1830028548727</v>
      </c>
      <c r="BY71" s="150">
        <f t="shared" si="231"/>
        <v>3.9754128009496728</v>
      </c>
      <c r="BZ71" s="5">
        <f t="shared" si="294"/>
        <v>56.1</v>
      </c>
      <c r="CA71" s="150">
        <f t="shared" si="295"/>
        <v>0.93382629239483439</v>
      </c>
      <c r="CB71" s="5">
        <f t="shared" si="296"/>
        <v>93.382629239483435</v>
      </c>
      <c r="CE71" s="59">
        <f t="shared" si="232"/>
        <v>-50</v>
      </c>
      <c r="CF71">
        <f t="shared" si="233"/>
        <v>-50</v>
      </c>
      <c r="CG71" s="150">
        <f t="shared" si="234"/>
        <v>0.57697778474319206</v>
      </c>
      <c r="CI71" s="147">
        <v>66</v>
      </c>
      <c r="CJ71" s="188">
        <f t="shared" si="297"/>
        <v>0.33</v>
      </c>
      <c r="CK71" s="188"/>
      <c r="CL71" s="188">
        <f t="shared" si="235"/>
        <v>56.1</v>
      </c>
      <c r="CM71" s="465">
        <f t="shared" si="236"/>
        <v>12</v>
      </c>
      <c r="CN71" s="149">
        <f t="shared" si="237"/>
        <v>8.5350000000000001</v>
      </c>
      <c r="CO71" s="379">
        <f t="shared" si="238"/>
        <v>20.535</v>
      </c>
      <c r="CP71" s="379"/>
      <c r="CQ71" s="188">
        <f t="shared" si="239"/>
        <v>0.4156318480642805</v>
      </c>
      <c r="CR71" s="149">
        <f t="shared" si="240"/>
        <v>166.85124908692478</v>
      </c>
      <c r="CS71" s="149">
        <f t="shared" si="298"/>
        <v>56.1</v>
      </c>
      <c r="CT71" s="188">
        <f t="shared" si="241"/>
        <v>0.98147793580543985</v>
      </c>
      <c r="CU71" s="188">
        <f t="shared" si="242"/>
        <v>170</v>
      </c>
      <c r="CV71" s="188">
        <f t="shared" si="243"/>
        <v>0.97795728956301287</v>
      </c>
      <c r="CW71" s="149">
        <f t="shared" si="244"/>
        <v>972.29387507860906</v>
      </c>
      <c r="CX71" s="149">
        <f t="shared" si="245"/>
        <v>170</v>
      </c>
      <c r="CY71" s="188">
        <f t="shared" si="246"/>
        <v>22.495869947275921</v>
      </c>
      <c r="CZ71" s="188">
        <f t="shared" si="247"/>
        <v>2.8119837434094905</v>
      </c>
      <c r="DA71" s="188">
        <f t="shared" si="248"/>
        <v>3.9535799555845204</v>
      </c>
      <c r="DB71" s="172">
        <f t="shared" si="249"/>
        <v>249.37910883856827</v>
      </c>
      <c r="DC71" s="379">
        <f t="shared" si="299"/>
        <v>147.80734385054899</v>
      </c>
      <c r="DE71" s="188">
        <f t="shared" si="250"/>
        <v>13.333333333333334</v>
      </c>
      <c r="DF71" s="150">
        <f t="shared" si="251"/>
        <v>2.3432923257176337</v>
      </c>
      <c r="DG71" s="150">
        <f t="shared" si="252"/>
        <v>0.19478938397857323</v>
      </c>
      <c r="DH71" s="150"/>
      <c r="DI71" s="150">
        <f t="shared" si="253"/>
        <v>2.3432923257176337</v>
      </c>
      <c r="DJ71" s="314">
        <f t="shared" si="300"/>
        <v>422.4824999999999</v>
      </c>
      <c r="DK71" s="456">
        <f t="shared" si="254"/>
        <v>0.19478938397857321</v>
      </c>
      <c r="DM71" s="150">
        <f t="shared" si="255"/>
        <v>14.649037023445796</v>
      </c>
      <c r="DN71" s="150">
        <f t="shared" si="256"/>
        <v>22.495869947275921</v>
      </c>
      <c r="DO71" s="150">
        <f t="shared" si="257"/>
        <v>7.9870641584759898</v>
      </c>
      <c r="DQ71" s="314">
        <f t="shared" si="258"/>
        <v>330</v>
      </c>
      <c r="DR71" s="144">
        <f t="shared" si="259"/>
        <v>147.80734385054899</v>
      </c>
      <c r="DT71">
        <f t="shared" si="260"/>
        <v>330</v>
      </c>
      <c r="DU71">
        <f t="shared" si="261"/>
        <v>147.80734385054899</v>
      </c>
      <c r="DW71" s="5">
        <f t="shared" si="301"/>
        <v>6.7655636989940113</v>
      </c>
      <c r="DX71" s="5">
        <f t="shared" si="262"/>
        <v>2.8119837434094905</v>
      </c>
      <c r="DY71" s="5">
        <f t="shared" si="302"/>
        <v>3.9535799555845208</v>
      </c>
      <c r="DZ71" s="5">
        <f t="shared" si="263"/>
        <v>3.9535799555845204</v>
      </c>
      <c r="EA71" s="150">
        <f t="shared" si="303"/>
        <v>0.4156318480642805</v>
      </c>
      <c r="EB71" s="150">
        <f t="shared" si="264"/>
        <v>56.099999999999987</v>
      </c>
      <c r="EC71" s="150">
        <f t="shared" si="265"/>
        <v>0.32864674868189808</v>
      </c>
      <c r="ED71" s="150">
        <f t="shared" si="304"/>
        <v>170.69999999999996</v>
      </c>
      <c r="EE71" s="144">
        <f t="shared" si="266"/>
        <v>0.54585566783831285</v>
      </c>
      <c r="EF71" s="5">
        <f t="shared" si="267"/>
        <v>30.804977153929386</v>
      </c>
      <c r="EG71" s="5"/>
      <c r="EH71" s="150">
        <f t="shared" si="305"/>
        <v>8.3732985138679528</v>
      </c>
      <c r="EI71" s="150">
        <f t="shared" si="268"/>
        <v>0.49642705126879932</v>
      </c>
      <c r="EJ71" s="150"/>
      <c r="EK71" s="456">
        <f t="shared" si="269"/>
        <v>0.23838123520796711</v>
      </c>
      <c r="EL71" s="456">
        <f t="shared" si="270"/>
        <v>2.0757119999999998</v>
      </c>
      <c r="EM71" s="456">
        <f t="shared" si="271"/>
        <v>3.3847881741775721E-2</v>
      </c>
      <c r="EN71" s="456">
        <f t="shared" si="272"/>
        <v>4.2694899786096252E-2</v>
      </c>
      <c r="EO71">
        <f t="shared" si="273"/>
        <v>5.4000000000000003E-3</v>
      </c>
      <c r="EP71" s="144">
        <f t="shared" si="306"/>
        <v>39.247881741775721</v>
      </c>
      <c r="EQ71" s="456">
        <f t="shared" si="274"/>
        <v>2.6081213291647973</v>
      </c>
      <c r="ER71" s="144">
        <f t="shared" si="307"/>
        <v>2608.1213291647973</v>
      </c>
      <c r="ES71" s="456">
        <f t="shared" si="308"/>
        <v>0.73218749999999999</v>
      </c>
      <c r="ET71" s="456"/>
      <c r="EV71" s="144">
        <f t="shared" si="309"/>
        <v>732.1875</v>
      </c>
      <c r="EW71" s="456">
        <f t="shared" si="275"/>
        <v>0.1051681920035149</v>
      </c>
      <c r="EX71" s="456">
        <f t="shared" si="276"/>
        <v>4.9287963446287025E-2</v>
      </c>
      <c r="EY71" s="456">
        <f t="shared" si="277"/>
        <v>31.876234821662454</v>
      </c>
      <c r="EZ71" s="456">
        <f t="shared" si="278"/>
        <v>32.468962949510079</v>
      </c>
      <c r="FA71" s="456">
        <f t="shared" si="279"/>
        <v>7.4799999999999991E-2</v>
      </c>
      <c r="FB71" s="144">
        <f t="shared" si="310"/>
        <v>32543.762949510081</v>
      </c>
      <c r="FC71" s="150">
        <f t="shared" si="311"/>
        <v>35.88407177867488</v>
      </c>
      <c r="FD71" s="5">
        <f t="shared" si="312"/>
        <v>56.1</v>
      </c>
      <c r="FE71" s="150">
        <f t="shared" si="313"/>
        <v>0.60988820037216418</v>
      </c>
      <c r="FF71" s="5">
        <f t="shared" si="314"/>
        <v>60.988820037216421</v>
      </c>
      <c r="FI71" s="59">
        <f t="shared" si="280"/>
        <v>-50</v>
      </c>
      <c r="FJ71">
        <f t="shared" si="281"/>
        <v>-50</v>
      </c>
      <c r="FL71">
        <f t="shared" si="282"/>
        <v>0.58436815193571956</v>
      </c>
    </row>
    <row r="72" spans="5:168">
      <c r="E72" s="147">
        <v>67</v>
      </c>
      <c r="F72" s="188">
        <f t="shared" si="283"/>
        <v>0.33500000000000002</v>
      </c>
      <c r="G72" s="188"/>
      <c r="H72" s="188">
        <f t="shared" si="183"/>
        <v>56.95</v>
      </c>
      <c r="I72" s="465">
        <f t="shared" si="184"/>
        <v>11.943110938102736</v>
      </c>
      <c r="J72" s="149">
        <f t="shared" si="185"/>
        <v>8.540805006316047</v>
      </c>
      <c r="K72" s="149">
        <f t="shared" si="186"/>
        <v>20.540805006316049</v>
      </c>
      <c r="L72" s="379"/>
      <c r="M72" s="188">
        <f t="shared" si="187"/>
        <v>0.41694971137276921</v>
      </c>
      <c r="N72" s="149">
        <f t="shared" si="188"/>
        <v>166.58678315018747</v>
      </c>
      <c r="O72" s="149">
        <f t="shared" si="284"/>
        <v>56.95</v>
      </c>
      <c r="P72" s="188">
        <f t="shared" si="189"/>
        <v>0.97992225382463216</v>
      </c>
      <c r="Q72" s="188">
        <f t="shared" si="190"/>
        <v>170</v>
      </c>
      <c r="R72" s="188">
        <f t="shared" si="191"/>
        <v>0.97640718794801939</v>
      </c>
      <c r="S72" s="149">
        <f t="shared" si="192"/>
        <v>949.68296162889862</v>
      </c>
      <c r="T72" s="149">
        <f t="shared" si="193"/>
        <v>170</v>
      </c>
      <c r="U72" s="188">
        <f t="shared" si="194"/>
        <v>22.982580167398222</v>
      </c>
      <c r="V72" s="188">
        <f t="shared" si="195"/>
        <v>2.8865067426539204</v>
      </c>
      <c r="W72" s="188">
        <f t="shared" si="196"/>
        <v>4.0363724760843285</v>
      </c>
      <c r="X72" s="172">
        <f t="shared" si="197"/>
        <v>248.9850621529439</v>
      </c>
      <c r="Y72" s="379">
        <f t="shared" si="198"/>
        <v>140.3926655627246</v>
      </c>
      <c r="AA72" s="188">
        <f t="shared" si="199"/>
        <v>13.333333333333332</v>
      </c>
      <c r="AB72" s="150">
        <f t="shared" si="200"/>
        <v>2.341699638993012</v>
      </c>
      <c r="AC72" s="150">
        <f t="shared" si="201"/>
        <v>0.19434941005273379</v>
      </c>
      <c r="AD72" s="150"/>
      <c r="AE72" s="150">
        <f t="shared" si="202"/>
        <v>2.3416996389930125</v>
      </c>
      <c r="AF72" s="314">
        <f t="shared" si="203"/>
        <v>429.17545156738134</v>
      </c>
      <c r="AG72" s="456">
        <f t="shared" si="204"/>
        <v>0.19434941005273387</v>
      </c>
      <c r="AI72" s="150">
        <f t="shared" si="205"/>
        <v>14.764615814886941</v>
      </c>
      <c r="AJ72" s="150">
        <f t="shared" si="206"/>
        <v>22.982580167398222</v>
      </c>
      <c r="AK72" s="150">
        <f t="shared" si="207"/>
        <v>8.3475902474554715</v>
      </c>
      <c r="AM72" s="314">
        <f t="shared" si="208"/>
        <v>335</v>
      </c>
      <c r="AN72" s="144">
        <f t="shared" si="209"/>
        <v>140.3926655627246</v>
      </c>
      <c r="AP72">
        <f t="shared" si="210"/>
        <v>335</v>
      </c>
      <c r="AQ72">
        <f t="shared" si="211"/>
        <v>140.3926655627246</v>
      </c>
      <c r="AS72" s="5">
        <f t="shared" si="285"/>
        <v>7.1228792187382481</v>
      </c>
      <c r="AT72" s="5">
        <f t="shared" si="212"/>
        <v>2.8865067426539204</v>
      </c>
      <c r="AU72" s="5">
        <f t="shared" si="286"/>
        <v>4.2363724760843278</v>
      </c>
      <c r="AV72" s="5">
        <f t="shared" si="213"/>
        <v>4.0363724760843285</v>
      </c>
      <c r="AW72" s="150">
        <f t="shared" si="287"/>
        <v>0.40524437576596145</v>
      </c>
      <c r="AX72" s="150">
        <f t="shared" si="214"/>
        <v>55.616448236411159</v>
      </c>
      <c r="AY72" s="150">
        <f t="shared" si="215"/>
        <v>0.34172547034924411</v>
      </c>
      <c r="AZ72" s="150">
        <f t="shared" si="288"/>
        <v>162.75183754834265</v>
      </c>
      <c r="BA72" s="144">
        <f t="shared" si="216"/>
        <v>0.56881162281709607</v>
      </c>
      <c r="BB72" s="5">
        <f t="shared" si="217"/>
        <v>33.668141933228561</v>
      </c>
      <c r="BC72" s="5"/>
      <c r="BD72" s="150">
        <f t="shared" si="289"/>
        <v>8.4468864174746159</v>
      </c>
      <c r="BE72" s="150">
        <f t="shared" si="218"/>
        <v>0.51165525560163938</v>
      </c>
      <c r="BF72" s="150"/>
      <c r="BG72" s="456">
        <f t="shared" si="219"/>
        <v>0.24258962650903831</v>
      </c>
      <c r="BH72" s="456">
        <f t="shared" si="220"/>
        <v>1.5873261870875952</v>
      </c>
      <c r="BI72" s="456">
        <f t="shared" si="221"/>
        <v>7.6794013230790159E-2</v>
      </c>
      <c r="BJ72" s="456">
        <f t="shared" si="222"/>
        <v>4.0576063454833278E-2</v>
      </c>
      <c r="BK72">
        <f t="shared" si="223"/>
        <v>5.3743999221462311E-3</v>
      </c>
      <c r="BL72" s="144">
        <f t="shared" si="290"/>
        <v>82.168413152936395</v>
      </c>
      <c r="BM72" s="456">
        <f t="shared" si="224"/>
        <v>2.0544055651599655</v>
      </c>
      <c r="BN72" s="144">
        <f t="shared" si="291"/>
        <v>2054.4055651599656</v>
      </c>
      <c r="BO72" s="456">
        <f t="shared" si="225"/>
        <v>0.74328125</v>
      </c>
      <c r="BP72" s="456"/>
      <c r="BR72" s="144">
        <f t="shared" si="292"/>
        <v>743.28125</v>
      </c>
      <c r="BS72" s="456">
        <f t="shared" si="226"/>
        <v>0.10702483522457573</v>
      </c>
      <c r="BT72" s="456">
        <f t="shared" si="227"/>
        <v>5.2358220116955789E-2</v>
      </c>
      <c r="BU72" s="456">
        <f t="shared" si="228"/>
        <v>0.85425000000000006</v>
      </c>
      <c r="BV72" s="456">
        <f t="shared" si="229"/>
        <v>1.0654704231367447</v>
      </c>
      <c r="BW72" s="456">
        <f t="shared" si="230"/>
        <v>7.4155264315214894E-2</v>
      </c>
      <c r="BX72" s="144">
        <f t="shared" si="293"/>
        <v>1139.6256874519595</v>
      </c>
      <c r="BY72" s="150">
        <f t="shared" si="231"/>
        <v>4.019480915764861</v>
      </c>
      <c r="BZ72" s="5">
        <f t="shared" si="294"/>
        <v>56.95</v>
      </c>
      <c r="CA72" s="150">
        <f t="shared" si="295"/>
        <v>0.9340738865512378</v>
      </c>
      <c r="CB72" s="5">
        <f t="shared" si="296"/>
        <v>93.407388655123782</v>
      </c>
      <c r="CE72" s="59">
        <f t="shared" si="232"/>
        <v>-50</v>
      </c>
      <c r="CF72">
        <f t="shared" si="233"/>
        <v>-50</v>
      </c>
      <c r="CG72" s="150">
        <f t="shared" si="234"/>
        <v>0.57708808873114004</v>
      </c>
      <c r="CI72" s="147">
        <v>67</v>
      </c>
      <c r="CJ72" s="188">
        <f t="shared" si="297"/>
        <v>0.33500000000000002</v>
      </c>
      <c r="CK72" s="188"/>
      <c r="CL72" s="188">
        <f t="shared" si="235"/>
        <v>56.95</v>
      </c>
      <c r="CM72" s="465">
        <f t="shared" si="236"/>
        <v>12</v>
      </c>
      <c r="CN72" s="149">
        <f t="shared" si="237"/>
        <v>8.5350000000000001</v>
      </c>
      <c r="CO72" s="379">
        <f t="shared" si="238"/>
        <v>20.535</v>
      </c>
      <c r="CP72" s="379"/>
      <c r="CQ72" s="188">
        <f t="shared" si="239"/>
        <v>0.4156318480642805</v>
      </c>
      <c r="CR72" s="149">
        <f t="shared" si="240"/>
        <v>166.85124908692478</v>
      </c>
      <c r="CS72" s="149">
        <f t="shared" si="298"/>
        <v>56.95</v>
      </c>
      <c r="CT72" s="188">
        <f t="shared" si="241"/>
        <v>0.98147793580543985</v>
      </c>
      <c r="CU72" s="188">
        <f t="shared" si="242"/>
        <v>170</v>
      </c>
      <c r="CV72" s="188">
        <f t="shared" si="243"/>
        <v>0.97795728956301287</v>
      </c>
      <c r="CW72" s="149">
        <f t="shared" si="244"/>
        <v>954.20578433338937</v>
      </c>
      <c r="CX72" s="149">
        <f t="shared" si="245"/>
        <v>170</v>
      </c>
      <c r="CY72" s="188">
        <f t="shared" si="246"/>
        <v>22.836716461628587</v>
      </c>
      <c r="CZ72" s="188">
        <f t="shared" si="247"/>
        <v>2.8545895577035734</v>
      </c>
      <c r="DA72" s="188">
        <f t="shared" si="248"/>
        <v>4.0134826821842857</v>
      </c>
      <c r="DB72" s="172">
        <f t="shared" si="249"/>
        <v>249.37910883856827</v>
      </c>
      <c r="DC72" s="379">
        <f t="shared" si="299"/>
        <v>145.60126409158562</v>
      </c>
      <c r="DE72" s="188">
        <f t="shared" si="250"/>
        <v>13.333333333333334</v>
      </c>
      <c r="DF72" s="150">
        <f t="shared" si="251"/>
        <v>2.3432923257176337</v>
      </c>
      <c r="DG72" s="150">
        <f t="shared" si="252"/>
        <v>0.19478938397857323</v>
      </c>
      <c r="DH72" s="150"/>
      <c r="DI72" s="150">
        <f t="shared" si="253"/>
        <v>2.3432923257176337</v>
      </c>
      <c r="DJ72" s="314">
        <f t="shared" si="300"/>
        <v>428.88374999999991</v>
      </c>
      <c r="DK72" s="456">
        <f t="shared" si="254"/>
        <v>0.19478938397857321</v>
      </c>
      <c r="DM72" s="150">
        <f t="shared" si="255"/>
        <v>14.759597361910462</v>
      </c>
      <c r="DN72" s="150">
        <f t="shared" si="256"/>
        <v>22.836716461628587</v>
      </c>
      <c r="DO72" s="150">
        <f t="shared" si="257"/>
        <v>8.2395430579964835</v>
      </c>
      <c r="DQ72" s="314">
        <f t="shared" si="258"/>
        <v>335</v>
      </c>
      <c r="DR72" s="144">
        <f t="shared" si="259"/>
        <v>145.60126409158562</v>
      </c>
      <c r="DT72">
        <f t="shared" si="260"/>
        <v>335</v>
      </c>
      <c r="DU72">
        <f t="shared" si="261"/>
        <v>145.60126409158562</v>
      </c>
      <c r="DW72" s="5">
        <f t="shared" si="301"/>
        <v>6.8680722398878578</v>
      </c>
      <c r="DX72" s="5">
        <f t="shared" si="262"/>
        <v>2.8545895577035734</v>
      </c>
      <c r="DY72" s="5">
        <f t="shared" si="302"/>
        <v>4.0134826821842839</v>
      </c>
      <c r="DZ72" s="5">
        <f t="shared" si="263"/>
        <v>4.0134826821842857</v>
      </c>
      <c r="EA72" s="150">
        <f t="shared" si="303"/>
        <v>0.41563184806428061</v>
      </c>
      <c r="EB72" s="150">
        <f t="shared" si="264"/>
        <v>56.95</v>
      </c>
      <c r="EC72" s="150">
        <f t="shared" si="265"/>
        <v>0.33362624487404796</v>
      </c>
      <c r="ED72" s="150">
        <f t="shared" si="304"/>
        <v>170.70000000000005</v>
      </c>
      <c r="EE72" s="144">
        <f t="shared" si="266"/>
        <v>0.56252205990041004</v>
      </c>
      <c r="EF72" s="5">
        <f t="shared" si="267"/>
        <v>31.745533159777075</v>
      </c>
      <c r="EG72" s="5"/>
      <c r="EH72" s="150">
        <f t="shared" si="305"/>
        <v>8.5001666731689838</v>
      </c>
      <c r="EI72" s="150">
        <f t="shared" si="268"/>
        <v>0.50394867325772053</v>
      </c>
      <c r="EJ72" s="150"/>
      <c r="EK72" s="456">
        <f t="shared" si="269"/>
        <v>0.24565963380361905</v>
      </c>
      <c r="EL72" s="456">
        <f t="shared" si="270"/>
        <v>2.0757120000000007</v>
      </c>
      <c r="EM72" s="456">
        <f t="shared" si="271"/>
        <v>3.3342689476973109E-2</v>
      </c>
      <c r="EN72" s="456">
        <f t="shared" si="272"/>
        <v>4.2057662475856017E-2</v>
      </c>
      <c r="EO72">
        <f t="shared" si="273"/>
        <v>5.4000000000000003E-3</v>
      </c>
      <c r="EP72" s="144">
        <f t="shared" si="306"/>
        <v>38.742689476973112</v>
      </c>
      <c r="EQ72" s="456">
        <f t="shared" si="274"/>
        <v>2.6215145597705747</v>
      </c>
      <c r="ER72" s="144">
        <f t="shared" si="307"/>
        <v>2621.5145597705746</v>
      </c>
      <c r="ES72" s="456">
        <f t="shared" si="308"/>
        <v>0.74328125</v>
      </c>
      <c r="ET72" s="456"/>
      <c r="EV72" s="144">
        <f t="shared" si="309"/>
        <v>743.28125</v>
      </c>
      <c r="EW72" s="456">
        <f t="shared" si="275"/>
        <v>0.108379250207479</v>
      </c>
      <c r="EX72" s="456">
        <f t="shared" si="276"/>
        <v>5.079285305564335E-2</v>
      </c>
      <c r="EY72" s="456">
        <f t="shared" si="277"/>
        <v>31.876234821662489</v>
      </c>
      <c r="EZ72" s="456">
        <f t="shared" si="278"/>
        <v>32.48729390168139</v>
      </c>
      <c r="FA72" s="456">
        <f t="shared" si="279"/>
        <v>7.5933333333333339E-2</v>
      </c>
      <c r="FB72" s="144">
        <f t="shared" si="310"/>
        <v>32563.227235014721</v>
      </c>
      <c r="FC72" s="150">
        <f t="shared" si="311"/>
        <v>35.928023044785299</v>
      </c>
      <c r="FD72" s="5">
        <f t="shared" si="312"/>
        <v>56.95</v>
      </c>
      <c r="FE72" s="150">
        <f t="shared" si="313"/>
        <v>0.61316981276118476</v>
      </c>
      <c r="FF72" s="5">
        <f t="shared" si="314"/>
        <v>61.316981276118476</v>
      </c>
      <c r="FI72" s="59">
        <f t="shared" si="280"/>
        <v>-50</v>
      </c>
      <c r="FJ72">
        <f t="shared" si="281"/>
        <v>-50</v>
      </c>
      <c r="FL72">
        <f t="shared" si="282"/>
        <v>0.58436815193571934</v>
      </c>
    </row>
    <row r="73" spans="5:168">
      <c r="E73" s="147">
        <v>68</v>
      </c>
      <c r="F73" s="188">
        <f t="shared" si="283"/>
        <v>0.34</v>
      </c>
      <c r="G73" s="188"/>
      <c r="H73" s="188">
        <f t="shared" si="183"/>
        <v>57.800000000000004</v>
      </c>
      <c r="I73" s="465">
        <f t="shared" si="184"/>
        <v>11.942272557058898</v>
      </c>
      <c r="J73" s="149">
        <f t="shared" si="185"/>
        <v>8.5408905554021537</v>
      </c>
      <c r="K73" s="149">
        <f t="shared" si="186"/>
        <v>20.540890555402154</v>
      </c>
      <c r="L73" s="379"/>
      <c r="M73" s="188">
        <f t="shared" si="187"/>
        <v>0.41696921282293276</v>
      </c>
      <c r="N73" s="149">
        <f t="shared" si="188"/>
        <v>166.58288011295073</v>
      </c>
      <c r="O73" s="149">
        <f t="shared" si="284"/>
        <v>57.800000000000004</v>
      </c>
      <c r="P73" s="188">
        <f t="shared" si="189"/>
        <v>0.97989929478206317</v>
      </c>
      <c r="Q73" s="188">
        <f t="shared" si="190"/>
        <v>170</v>
      </c>
      <c r="R73" s="188">
        <f t="shared" si="191"/>
        <v>0.97638431126152203</v>
      </c>
      <c r="S73" s="149">
        <f t="shared" si="192"/>
        <v>932.14481176369657</v>
      </c>
      <c r="T73" s="149">
        <f t="shared" si="193"/>
        <v>170</v>
      </c>
      <c r="U73" s="188">
        <f t="shared" si="194"/>
        <v>23.326383956238089</v>
      </c>
      <c r="V73" s="188">
        <f t="shared" si="195"/>
        <v>2.9298925951640022</v>
      </c>
      <c r="W73" s="188">
        <f t="shared" si="196"/>
        <v>4.096712831921967</v>
      </c>
      <c r="X73" s="172">
        <f t="shared" si="197"/>
        <v>248.97922828767545</v>
      </c>
      <c r="Y73" s="379">
        <f t="shared" si="198"/>
        <v>138.37755639071005</v>
      </c>
      <c r="AA73" s="188">
        <f t="shared" si="199"/>
        <v>13.333333333333336</v>
      </c>
      <c r="AB73" s="150">
        <f t="shared" si="200"/>
        <v>2.3416761835626039</v>
      </c>
      <c r="AC73" s="150">
        <f t="shared" si="201"/>
        <v>0.19434290969434875</v>
      </c>
      <c r="AD73" s="150"/>
      <c r="AE73" s="150">
        <f t="shared" si="202"/>
        <v>2.3416761835626034</v>
      </c>
      <c r="AF73" s="314">
        <f t="shared" si="203"/>
        <v>435.58541832550981</v>
      </c>
      <c r="AG73" s="456">
        <f t="shared" si="204"/>
        <v>0.1943429096943487</v>
      </c>
      <c r="AI73" s="150">
        <f t="shared" si="205"/>
        <v>14.874465916204267</v>
      </c>
      <c r="AJ73" s="150">
        <f t="shared" si="206"/>
        <v>23.326383956238089</v>
      </c>
      <c r="AK73" s="150">
        <f t="shared" si="207"/>
        <v>8.6022597206701885</v>
      </c>
      <c r="AM73" s="314">
        <f t="shared" si="208"/>
        <v>340</v>
      </c>
      <c r="AN73" s="144">
        <f t="shared" si="209"/>
        <v>138.37755639071005</v>
      </c>
      <c r="AP73">
        <f t="shared" si="210"/>
        <v>340</v>
      </c>
      <c r="AQ73">
        <f t="shared" si="211"/>
        <v>138.37755639071005</v>
      </c>
      <c r="AS73" s="5">
        <f t="shared" si="285"/>
        <v>7.2266054270859685</v>
      </c>
      <c r="AT73" s="5">
        <f t="shared" si="212"/>
        <v>2.9298925951640022</v>
      </c>
      <c r="AU73" s="5">
        <f t="shared" si="286"/>
        <v>4.2967128319219663</v>
      </c>
      <c r="AV73" s="5">
        <f t="shared" si="213"/>
        <v>4.096712831921967</v>
      </c>
      <c r="AW73" s="150">
        <f t="shared" si="287"/>
        <v>0.40543137780603056</v>
      </c>
      <c r="AX73" s="150">
        <f t="shared" si="214"/>
        <v>56.470516547897113</v>
      </c>
      <c r="AY73" s="150">
        <f t="shared" si="215"/>
        <v>0.34672839924069987</v>
      </c>
      <c r="AZ73" s="150">
        <f t="shared" si="288"/>
        <v>162.86671836388894</v>
      </c>
      <c r="BA73" s="144">
        <f t="shared" si="216"/>
        <v>0.58597851903280052</v>
      </c>
      <c r="BB73" s="5">
        <f t="shared" si="217"/>
        <v>34.659790881300012</v>
      </c>
      <c r="BC73" s="5"/>
      <c r="BD73" s="150">
        <f t="shared" si="289"/>
        <v>8.5752239563567993</v>
      </c>
      <c r="BE73" s="150">
        <f t="shared" si="218"/>
        <v>0.51922762411169843</v>
      </c>
      <c r="BF73" s="150"/>
      <c r="BG73" s="456">
        <f t="shared" si="219"/>
        <v>0.2500171840656969</v>
      </c>
      <c r="BH73" s="456">
        <f t="shared" si="220"/>
        <v>1.5879538018714596</v>
      </c>
      <c r="BI73" s="456">
        <f t="shared" si="221"/>
        <v>7.5686446234252219E-2</v>
      </c>
      <c r="BJ73" s="456">
        <f t="shared" si="222"/>
        <v>3.9993992962573457E-2</v>
      </c>
      <c r="BK73">
        <f t="shared" si="223"/>
        <v>5.374022650676504E-3</v>
      </c>
      <c r="BL73" s="144">
        <f t="shared" si="290"/>
        <v>81.060468884928724</v>
      </c>
      <c r="BM73" s="456">
        <f t="shared" si="224"/>
        <v>2.0683372990454707</v>
      </c>
      <c r="BN73" s="144">
        <f t="shared" si="291"/>
        <v>2068.3372990454709</v>
      </c>
      <c r="BO73" s="456">
        <f t="shared" si="225"/>
        <v>0.75437500000000002</v>
      </c>
      <c r="BP73" s="456"/>
      <c r="BR73" s="144">
        <f t="shared" si="292"/>
        <v>754.375</v>
      </c>
      <c r="BS73" s="456">
        <f t="shared" si="226"/>
        <v>0.11030169885251334</v>
      </c>
      <c r="BT73" s="456">
        <f t="shared" si="227"/>
        <v>5.3919465128135835E-2</v>
      </c>
      <c r="BU73" s="456">
        <f t="shared" si="228"/>
        <v>0.86699999999999999</v>
      </c>
      <c r="BV73" s="456">
        <f t="shared" si="229"/>
        <v>1.0848871578844403</v>
      </c>
      <c r="BW73" s="456">
        <f t="shared" si="230"/>
        <v>7.529402206386282E-2</v>
      </c>
      <c r="BX73" s="144">
        <f t="shared" si="293"/>
        <v>1160.181179948303</v>
      </c>
      <c r="BY73" s="150">
        <f t="shared" si="231"/>
        <v>4.0639539478787023</v>
      </c>
      <c r="BZ73" s="5">
        <f t="shared" si="294"/>
        <v>57.800000000000004</v>
      </c>
      <c r="CA73" s="150">
        <f t="shared" si="295"/>
        <v>0.9343082087623652</v>
      </c>
      <c r="CB73" s="5">
        <f t="shared" si="296"/>
        <v>93.430820876236524</v>
      </c>
      <c r="CE73" s="59">
        <f t="shared" si="232"/>
        <v>-50</v>
      </c>
      <c r="CF73">
        <f t="shared" si="233"/>
        <v>-50</v>
      </c>
      <c r="CG73" s="150">
        <f t="shared" si="234"/>
        <v>0.57719514848414877</v>
      </c>
      <c r="CI73" s="147">
        <v>68</v>
      </c>
      <c r="CJ73" s="188">
        <f t="shared" si="297"/>
        <v>0.34</v>
      </c>
      <c r="CK73" s="188"/>
      <c r="CL73" s="188">
        <f t="shared" si="235"/>
        <v>57.800000000000004</v>
      </c>
      <c r="CM73" s="465">
        <f t="shared" si="236"/>
        <v>12</v>
      </c>
      <c r="CN73" s="149">
        <f t="shared" si="237"/>
        <v>8.5350000000000001</v>
      </c>
      <c r="CO73" s="379">
        <f t="shared" si="238"/>
        <v>20.535</v>
      </c>
      <c r="CP73" s="379"/>
      <c r="CQ73" s="188">
        <f t="shared" si="239"/>
        <v>0.4156318480642805</v>
      </c>
      <c r="CR73" s="149">
        <f t="shared" si="240"/>
        <v>166.85124908692478</v>
      </c>
      <c r="CS73" s="149">
        <f t="shared" si="298"/>
        <v>57.800000000000004</v>
      </c>
      <c r="CT73" s="188">
        <f t="shared" si="241"/>
        <v>0.98147793580543985</v>
      </c>
      <c r="CU73" s="188">
        <f t="shared" si="242"/>
        <v>170</v>
      </c>
      <c r="CV73" s="188">
        <f t="shared" si="243"/>
        <v>0.97795728956301287</v>
      </c>
      <c r="CW73" s="149">
        <f t="shared" si="244"/>
        <v>936.64981694688367</v>
      </c>
      <c r="CX73" s="149">
        <f t="shared" si="245"/>
        <v>170</v>
      </c>
      <c r="CY73" s="188">
        <f t="shared" si="246"/>
        <v>23.177562975981253</v>
      </c>
      <c r="CZ73" s="188">
        <f t="shared" si="247"/>
        <v>2.8971953719976562</v>
      </c>
      <c r="DA73" s="188">
        <f t="shared" si="248"/>
        <v>4.0733854087840511</v>
      </c>
      <c r="DB73" s="172">
        <f t="shared" si="249"/>
        <v>249.37910883856827</v>
      </c>
      <c r="DC73" s="379">
        <f t="shared" si="299"/>
        <v>143.46006903141523</v>
      </c>
      <c r="DE73" s="188">
        <f t="shared" si="250"/>
        <v>13.333333333333334</v>
      </c>
      <c r="DF73" s="150">
        <f t="shared" si="251"/>
        <v>2.3432923257176337</v>
      </c>
      <c r="DG73" s="150">
        <f t="shared" si="252"/>
        <v>0.19478938397857323</v>
      </c>
      <c r="DH73" s="150"/>
      <c r="DI73" s="150">
        <f t="shared" si="253"/>
        <v>2.3432923257176337</v>
      </c>
      <c r="DJ73" s="314">
        <f t="shared" si="300"/>
        <v>435.28499999999991</v>
      </c>
      <c r="DK73" s="456">
        <f t="shared" si="254"/>
        <v>0.19478938397857321</v>
      </c>
      <c r="DM73" s="150">
        <f t="shared" si="255"/>
        <v>14.869335656213522</v>
      </c>
      <c r="DN73" s="150">
        <f t="shared" si="256"/>
        <v>23.177562975981253</v>
      </c>
      <c r="DO73" s="150">
        <f t="shared" si="257"/>
        <v>8.4920219575169771</v>
      </c>
      <c r="DQ73" s="314">
        <f t="shared" si="258"/>
        <v>340</v>
      </c>
      <c r="DR73" s="144">
        <f t="shared" si="259"/>
        <v>143.46006903141523</v>
      </c>
      <c r="DT73">
        <f t="shared" si="260"/>
        <v>340</v>
      </c>
      <c r="DU73">
        <f t="shared" si="261"/>
        <v>143.46006903141523</v>
      </c>
      <c r="DW73" s="5">
        <f t="shared" si="301"/>
        <v>6.9705807807817068</v>
      </c>
      <c r="DX73" s="5">
        <f t="shared" si="262"/>
        <v>2.8971953719976562</v>
      </c>
      <c r="DY73" s="5">
        <f t="shared" si="302"/>
        <v>4.0733854087840502</v>
      </c>
      <c r="DZ73" s="5">
        <f t="shared" si="263"/>
        <v>4.0733854087840511</v>
      </c>
      <c r="EA73" s="150">
        <f t="shared" si="303"/>
        <v>0.4156318480642805</v>
      </c>
      <c r="EB73" s="150">
        <f t="shared" si="264"/>
        <v>57.800000000000011</v>
      </c>
      <c r="EC73" s="150">
        <f t="shared" si="265"/>
        <v>0.33860574106619806</v>
      </c>
      <c r="ED73" s="150">
        <f t="shared" si="304"/>
        <v>170.70000000000002</v>
      </c>
      <c r="EE73" s="144">
        <f t="shared" si="266"/>
        <v>0.57943907439953135</v>
      </c>
      <c r="EF73" s="5">
        <f t="shared" si="267"/>
        <v>32.700232864960846</v>
      </c>
      <c r="EG73" s="5"/>
      <c r="EH73" s="150">
        <f t="shared" si="305"/>
        <v>8.627034832470013</v>
      </c>
      <c r="EI73" s="150">
        <f t="shared" si="268"/>
        <v>0.51147029524664178</v>
      </c>
      <c r="EJ73" s="150"/>
      <c r="EK73" s="456">
        <f t="shared" si="269"/>
        <v>0.25304748200221305</v>
      </c>
      <c r="EL73" s="456">
        <f t="shared" si="270"/>
        <v>2.0757120000000007</v>
      </c>
      <c r="EM73" s="456">
        <f t="shared" si="271"/>
        <v>3.2852355808194088E-2</v>
      </c>
      <c r="EN73" s="456">
        <f t="shared" si="272"/>
        <v>4.1439167439446367E-2</v>
      </c>
      <c r="EO73">
        <f t="shared" si="273"/>
        <v>5.4000000000000003E-3</v>
      </c>
      <c r="EP73" s="144">
        <f t="shared" si="306"/>
        <v>38.252355808194089</v>
      </c>
      <c r="EQ73" s="456">
        <f t="shared" si="274"/>
        <v>2.6352136247227587</v>
      </c>
      <c r="ER73" s="144">
        <f t="shared" si="307"/>
        <v>2635.2136247227586</v>
      </c>
      <c r="ES73" s="456">
        <f t="shared" si="308"/>
        <v>0.75437500000000002</v>
      </c>
      <c r="ET73" s="456"/>
      <c r="EV73" s="144">
        <f t="shared" si="309"/>
        <v>754.375</v>
      </c>
      <c r="EW73" s="456">
        <f t="shared" si="275"/>
        <v>0.11163859500097635</v>
      </c>
      <c r="EX73" s="456">
        <f t="shared" si="276"/>
        <v>5.2320372583937381E-2</v>
      </c>
      <c r="EY73" s="456">
        <f t="shared" si="277"/>
        <v>31.876234821662461</v>
      </c>
      <c r="EZ73" s="456">
        <f t="shared" si="278"/>
        <v>32.505914840479605</v>
      </c>
      <c r="FA73" s="456">
        <f t="shared" si="279"/>
        <v>7.7066666666666672E-2</v>
      </c>
      <c r="FB73" s="144">
        <f t="shared" si="310"/>
        <v>32582.981507146273</v>
      </c>
      <c r="FC73" s="150">
        <f t="shared" si="311"/>
        <v>35.972570131869034</v>
      </c>
      <c r="FD73" s="5">
        <f t="shared" si="312"/>
        <v>57.800000000000004</v>
      </c>
      <c r="FE73" s="150">
        <f t="shared" si="313"/>
        <v>0.61638493984667286</v>
      </c>
      <c r="FF73" s="5">
        <f t="shared" si="314"/>
        <v>61.638493984667285</v>
      </c>
      <c r="FI73" s="59">
        <f t="shared" si="280"/>
        <v>-50</v>
      </c>
      <c r="FJ73">
        <f t="shared" si="281"/>
        <v>-50</v>
      </c>
      <c r="FL73">
        <f t="shared" si="282"/>
        <v>0.58436815193571956</v>
      </c>
    </row>
    <row r="74" spans="5:168">
      <c r="E74" s="147">
        <v>69</v>
      </c>
      <c r="F74" s="188">
        <f t="shared" si="283"/>
        <v>0.34499999999999997</v>
      </c>
      <c r="G74" s="188"/>
      <c r="H74" s="188">
        <f t="shared" si="183"/>
        <v>58.65</v>
      </c>
      <c r="I74" s="465">
        <f t="shared" si="184"/>
        <v>11.941434172158079</v>
      </c>
      <c r="J74" s="149">
        <f t="shared" si="185"/>
        <v>8.5409761048818282</v>
      </c>
      <c r="K74" s="149">
        <f t="shared" si="186"/>
        <v>20.540976104881828</v>
      </c>
      <c r="L74" s="379"/>
      <c r="M74" s="188">
        <f t="shared" si="187"/>
        <v>0.41698871578515145</v>
      </c>
      <c r="N74" s="149">
        <f t="shared" si="188"/>
        <v>166.57897653204708</v>
      </c>
      <c r="O74" s="149">
        <f t="shared" si="284"/>
        <v>58.65</v>
      </c>
      <c r="P74" s="188">
        <f t="shared" si="189"/>
        <v>0.97987633254145345</v>
      </c>
      <c r="Q74" s="188">
        <f t="shared" si="190"/>
        <v>170</v>
      </c>
      <c r="R74" s="188">
        <f t="shared" si="191"/>
        <v>0.9763614313884551</v>
      </c>
      <c r="S74" s="149">
        <f t="shared" si="192"/>
        <v>915.11562006823135</v>
      </c>
      <c r="T74" s="149">
        <f t="shared" si="193"/>
        <v>170</v>
      </c>
      <c r="U74" s="188">
        <f t="shared" si="194"/>
        <v>23.670210806613632</v>
      </c>
      <c r="V74" s="188">
        <f t="shared" si="195"/>
        <v>2.97328743750918</v>
      </c>
      <c r="W74" s="188">
        <f t="shared" si="196"/>
        <v>4.1570560289504161</v>
      </c>
      <c r="X74" s="172">
        <f t="shared" si="197"/>
        <v>248.97339361654741</v>
      </c>
      <c r="Y74" s="379">
        <f t="shared" si="198"/>
        <v>136.41925573822795</v>
      </c>
      <c r="AA74" s="188">
        <f t="shared" si="199"/>
        <v>13.333333333333336</v>
      </c>
      <c r="AB74" s="150">
        <f t="shared" si="200"/>
        <v>2.3416527284941657</v>
      </c>
      <c r="AC74" s="150">
        <f t="shared" si="201"/>
        <v>0.19433640882821343</v>
      </c>
      <c r="AD74" s="150"/>
      <c r="AE74" s="150">
        <f t="shared" si="202"/>
        <v>2.3416527284941653</v>
      </c>
      <c r="AF74" s="314">
        <f t="shared" si="203"/>
        <v>441.99551342763442</v>
      </c>
      <c r="AG74" s="456">
        <f t="shared" si="204"/>
        <v>0.1943364088282134</v>
      </c>
      <c r="AI74" s="150">
        <f t="shared" si="205"/>
        <v>14.983512859607943</v>
      </c>
      <c r="AJ74" s="150">
        <f t="shared" si="206"/>
        <v>23.670210806613632</v>
      </c>
      <c r="AK74" s="150">
        <f t="shared" si="207"/>
        <v>8.8569462765039226</v>
      </c>
      <c r="AM74" s="314">
        <f t="shared" si="208"/>
        <v>345</v>
      </c>
      <c r="AN74" s="144">
        <f t="shared" si="209"/>
        <v>136.41925573822795</v>
      </c>
      <c r="AP74">
        <f t="shared" si="210"/>
        <v>345</v>
      </c>
      <c r="AQ74">
        <f t="shared" si="211"/>
        <v>136.41925573822795</v>
      </c>
      <c r="AS74" s="5">
        <f t="shared" si="285"/>
        <v>7.3303434664595963</v>
      </c>
      <c r="AT74" s="5">
        <f t="shared" si="212"/>
        <v>2.97328743750918</v>
      </c>
      <c r="AU74" s="5">
        <f t="shared" si="286"/>
        <v>4.3570560289504163</v>
      </c>
      <c r="AV74" s="5">
        <f t="shared" si="213"/>
        <v>4.1570560289504161</v>
      </c>
      <c r="AW74" s="150">
        <f t="shared" si="287"/>
        <v>0.40561365932082527</v>
      </c>
      <c r="AX74" s="150">
        <f t="shared" si="214"/>
        <v>57.324620823681386</v>
      </c>
      <c r="AY74" s="150">
        <f t="shared" si="215"/>
        <v>0.35173124961119334</v>
      </c>
      <c r="AZ74" s="150">
        <f t="shared" si="288"/>
        <v>162.97846974657071</v>
      </c>
      <c r="BA74" s="144">
        <f t="shared" si="216"/>
        <v>0.60340245055333352</v>
      </c>
      <c r="BB74" s="5">
        <f t="shared" si="217"/>
        <v>35.665919243009427</v>
      </c>
      <c r="BC74" s="5"/>
      <c r="BD74" s="150">
        <f t="shared" si="289"/>
        <v>8.7035771689328083</v>
      </c>
      <c r="BE74" s="150">
        <f t="shared" si="218"/>
        <v>0.52680017797929746</v>
      </c>
      <c r="BF74" s="150"/>
      <c r="BG74" s="456">
        <f t="shared" si="219"/>
        <v>0.25755766882093267</v>
      </c>
      <c r="BH74" s="456">
        <f t="shared" si="220"/>
        <v>1.5885628308387214</v>
      </c>
      <c r="BI74" s="456">
        <f t="shared" si="221"/>
        <v>7.4610103549348397E-2</v>
      </c>
      <c r="BJ74" s="456">
        <f t="shared" si="222"/>
        <v>3.9428331751608994E-2</v>
      </c>
      <c r="BK74">
        <f t="shared" si="223"/>
        <v>5.3736453774711358E-3</v>
      </c>
      <c r="BL74" s="144">
        <f t="shared" si="290"/>
        <v>79.98374892681953</v>
      </c>
      <c r="BM74" s="456">
        <f t="shared" si="224"/>
        <v>2.0825313714380265</v>
      </c>
      <c r="BN74" s="144">
        <f t="shared" si="291"/>
        <v>2082.5313714380263</v>
      </c>
      <c r="BO74" s="456">
        <f t="shared" si="225"/>
        <v>0.76546874999999992</v>
      </c>
      <c r="BP74" s="456"/>
      <c r="BR74" s="144">
        <f t="shared" si="292"/>
        <v>765.46874999999989</v>
      </c>
      <c r="BS74" s="456">
        <f t="shared" si="226"/>
        <v>0.11362838330335266</v>
      </c>
      <c r="BT74" s="456">
        <f t="shared" si="227"/>
        <v>5.5503685503803891E-2</v>
      </c>
      <c r="BU74" s="456">
        <f t="shared" si="228"/>
        <v>0.87974999999999992</v>
      </c>
      <c r="BV74" s="456">
        <f t="shared" si="229"/>
        <v>1.1044171539669982</v>
      </c>
      <c r="BW74" s="456">
        <f t="shared" si="230"/>
        <v>7.6432827764908534E-2</v>
      </c>
      <c r="BX74" s="144">
        <f t="shared" si="293"/>
        <v>1180.8499817319066</v>
      </c>
      <c r="BY74" s="150">
        <f t="shared" si="231"/>
        <v>4.1088338520967529</v>
      </c>
      <c r="BZ74" s="5">
        <f t="shared" si="294"/>
        <v>58.65</v>
      </c>
      <c r="CA74" s="150">
        <f t="shared" si="295"/>
        <v>0.93452979286103355</v>
      </c>
      <c r="CB74" s="5">
        <f t="shared" si="296"/>
        <v>93.452979286103357</v>
      </c>
      <c r="CE74" s="59">
        <f t="shared" si="232"/>
        <v>-50</v>
      </c>
      <c r="CF74">
        <f t="shared" si="233"/>
        <v>-50</v>
      </c>
      <c r="CG74" s="150">
        <f t="shared" si="234"/>
        <v>0.57729910505591064</v>
      </c>
      <c r="CI74" s="147">
        <v>69</v>
      </c>
      <c r="CJ74" s="188">
        <f t="shared" si="297"/>
        <v>0.34499999999999997</v>
      </c>
      <c r="CK74" s="188"/>
      <c r="CL74" s="188">
        <f t="shared" si="235"/>
        <v>58.65</v>
      </c>
      <c r="CM74" s="465">
        <f t="shared" si="236"/>
        <v>12</v>
      </c>
      <c r="CN74" s="149">
        <f t="shared" si="237"/>
        <v>8.5350000000000001</v>
      </c>
      <c r="CO74" s="379">
        <f t="shared" si="238"/>
        <v>20.535</v>
      </c>
      <c r="CP74" s="379"/>
      <c r="CQ74" s="188">
        <f t="shared" si="239"/>
        <v>0.4156318480642805</v>
      </c>
      <c r="CR74" s="149">
        <f t="shared" si="240"/>
        <v>166.85124908692478</v>
      </c>
      <c r="CS74" s="149">
        <f t="shared" si="298"/>
        <v>58.65</v>
      </c>
      <c r="CT74" s="188">
        <f t="shared" si="241"/>
        <v>0.98147793580543985</v>
      </c>
      <c r="CU74" s="188">
        <f t="shared" si="242"/>
        <v>170</v>
      </c>
      <c r="CV74" s="188">
        <f t="shared" si="243"/>
        <v>0.97795728956301287</v>
      </c>
      <c r="CW74" s="149">
        <f t="shared" si="244"/>
        <v>919.60283846079165</v>
      </c>
      <c r="CX74" s="149">
        <f t="shared" si="245"/>
        <v>170</v>
      </c>
      <c r="CY74" s="188">
        <f t="shared" si="246"/>
        <v>23.518409490333919</v>
      </c>
      <c r="CZ74" s="188">
        <f t="shared" si="247"/>
        <v>2.9398011862917404</v>
      </c>
      <c r="DA74" s="188">
        <f t="shared" si="248"/>
        <v>4.1332881353838173</v>
      </c>
      <c r="DB74" s="172">
        <f t="shared" si="249"/>
        <v>249.37910883856827</v>
      </c>
      <c r="DC74" s="379">
        <f t="shared" si="299"/>
        <v>141.38093759617729</v>
      </c>
      <c r="DE74" s="188">
        <f t="shared" si="250"/>
        <v>13.333333333333334</v>
      </c>
      <c r="DF74" s="150">
        <f t="shared" si="251"/>
        <v>2.3432923257176337</v>
      </c>
      <c r="DG74" s="150">
        <f t="shared" si="252"/>
        <v>0.19478938397857323</v>
      </c>
      <c r="DH74" s="150"/>
      <c r="DI74" s="150">
        <f t="shared" si="253"/>
        <v>2.3432923257176337</v>
      </c>
      <c r="DJ74" s="314">
        <f t="shared" si="300"/>
        <v>441.6862499999998</v>
      </c>
      <c r="DK74" s="456">
        <f t="shared" si="254"/>
        <v>0.19478938397857321</v>
      </c>
      <c r="DM74" s="150">
        <f t="shared" si="255"/>
        <v>14.978269974485418</v>
      </c>
      <c r="DN74" s="150">
        <f t="shared" si="256"/>
        <v>23.518409490333919</v>
      </c>
      <c r="DO74" s="150">
        <f t="shared" si="257"/>
        <v>8.7445008570374689</v>
      </c>
      <c r="DQ74" s="314">
        <f t="shared" si="258"/>
        <v>345</v>
      </c>
      <c r="DR74" s="144">
        <f t="shared" si="259"/>
        <v>141.38093759617729</v>
      </c>
      <c r="DT74">
        <f t="shared" si="260"/>
        <v>345</v>
      </c>
      <c r="DU74">
        <f t="shared" si="261"/>
        <v>141.38093759617729</v>
      </c>
      <c r="DW74" s="5">
        <f t="shared" si="301"/>
        <v>7.0730893216755577</v>
      </c>
      <c r="DX74" s="5">
        <f t="shared" si="262"/>
        <v>2.9398011862917404</v>
      </c>
      <c r="DY74" s="5">
        <f t="shared" si="302"/>
        <v>4.1332881353838173</v>
      </c>
      <c r="DZ74" s="5">
        <f t="shared" si="263"/>
        <v>4.1332881353838173</v>
      </c>
      <c r="EA74" s="150">
        <f t="shared" si="303"/>
        <v>0.4156318480642805</v>
      </c>
      <c r="EB74" s="150">
        <f t="shared" si="264"/>
        <v>58.649999999999991</v>
      </c>
      <c r="EC74" s="150">
        <f t="shared" si="265"/>
        <v>0.34358523725834805</v>
      </c>
      <c r="ED74" s="150">
        <f t="shared" si="304"/>
        <v>170.69999999999993</v>
      </c>
      <c r="EE74" s="144">
        <f t="shared" si="266"/>
        <v>0.59660671133567678</v>
      </c>
      <c r="EF74" s="5">
        <f t="shared" si="267"/>
        <v>33.669076269480676</v>
      </c>
      <c r="EG74" s="5"/>
      <c r="EH74" s="150">
        <f t="shared" si="305"/>
        <v>8.7539029917710423</v>
      </c>
      <c r="EI74" s="150">
        <f t="shared" si="268"/>
        <v>0.51899191723556304</v>
      </c>
      <c r="EJ74" s="150"/>
      <c r="EK74" s="456">
        <f t="shared" si="269"/>
        <v>0.26054477980374924</v>
      </c>
      <c r="EL74" s="456">
        <f t="shared" si="270"/>
        <v>2.0757119999999998</v>
      </c>
      <c r="EM74" s="456">
        <f t="shared" si="271"/>
        <v>3.2376234709524596E-2</v>
      </c>
      <c r="EN74" s="456">
        <f t="shared" si="272"/>
        <v>4.0838599795396412E-2</v>
      </c>
      <c r="EO74">
        <f t="shared" si="273"/>
        <v>5.4000000000000003E-3</v>
      </c>
      <c r="EP74" s="144">
        <f t="shared" si="306"/>
        <v>37.776234709524594</v>
      </c>
      <c r="EQ74" s="456">
        <f t="shared" si="274"/>
        <v>2.649219822798635</v>
      </c>
      <c r="ER74" s="144">
        <f t="shared" si="307"/>
        <v>2649.2198227986351</v>
      </c>
      <c r="ES74" s="456">
        <f t="shared" si="308"/>
        <v>0.76546874999999992</v>
      </c>
      <c r="ET74" s="456"/>
      <c r="EV74" s="144">
        <f t="shared" si="309"/>
        <v>765.46874999999989</v>
      </c>
      <c r="EW74" s="456">
        <f t="shared" si="275"/>
        <v>0.11494622638400702</v>
      </c>
      <c r="EX74" s="456">
        <f t="shared" si="276"/>
        <v>5.3870522031169099E-2</v>
      </c>
      <c r="EY74" s="456">
        <f t="shared" si="277"/>
        <v>31.876234821662489</v>
      </c>
      <c r="EZ74" s="456">
        <f t="shared" si="278"/>
        <v>32.52482642488264</v>
      </c>
      <c r="FA74" s="456">
        <f t="shared" si="279"/>
        <v>7.8200000000000006E-2</v>
      </c>
      <c r="FB74" s="144">
        <f t="shared" si="310"/>
        <v>32603.026424882642</v>
      </c>
      <c r="FC74" s="150">
        <f t="shared" si="311"/>
        <v>36.017714997681274</v>
      </c>
      <c r="FD74" s="5">
        <f t="shared" si="312"/>
        <v>58.65</v>
      </c>
      <c r="FE74" s="150">
        <f t="shared" si="313"/>
        <v>0.61953539283626458</v>
      </c>
      <c r="FF74" s="5">
        <f t="shared" si="314"/>
        <v>61.953539283626455</v>
      </c>
      <c r="FI74" s="59">
        <f t="shared" si="280"/>
        <v>-50</v>
      </c>
      <c r="FJ74">
        <f t="shared" si="281"/>
        <v>-50</v>
      </c>
      <c r="FL74">
        <f t="shared" si="282"/>
        <v>0.58436815193571956</v>
      </c>
    </row>
    <row r="75" spans="5:168">
      <c r="E75" s="147">
        <v>70</v>
      </c>
      <c r="F75" s="188">
        <f t="shared" si="283"/>
        <v>0.35</v>
      </c>
      <c r="G75" s="188"/>
      <c r="H75" s="188">
        <f t="shared" si="183"/>
        <v>59.499999999999993</v>
      </c>
      <c r="I75" s="465">
        <f t="shared" si="184"/>
        <v>11.940595783567572</v>
      </c>
      <c r="J75" s="149">
        <f t="shared" si="185"/>
        <v>8.5410616547380016</v>
      </c>
      <c r="K75" s="149">
        <f t="shared" si="186"/>
        <v>20.541061654738002</v>
      </c>
      <c r="L75" s="379"/>
      <c r="M75" s="188">
        <f t="shared" si="187"/>
        <v>0.41700822025619694</v>
      </c>
      <c r="N75" s="149">
        <f t="shared" si="188"/>
        <v>166.57507240838592</v>
      </c>
      <c r="O75" s="149">
        <f t="shared" si="284"/>
        <v>59.499999999999993</v>
      </c>
      <c r="P75" s="188">
        <f t="shared" si="189"/>
        <v>0.97985336710815252</v>
      </c>
      <c r="Q75" s="188">
        <f t="shared" si="190"/>
        <v>170</v>
      </c>
      <c r="R75" s="188">
        <f t="shared" si="191"/>
        <v>0.97633854833414946</v>
      </c>
      <c r="S75" s="149">
        <f t="shared" si="192"/>
        <v>898.57357540583041</v>
      </c>
      <c r="T75" s="149">
        <f t="shared" si="193"/>
        <v>170</v>
      </c>
      <c r="U75" s="188">
        <f t="shared" si="194"/>
        <v>24.014060723381597</v>
      </c>
      <c r="V75" s="188">
        <f t="shared" si="195"/>
        <v>3.016691272192964</v>
      </c>
      <c r="W75" s="188">
        <f t="shared" si="196"/>
        <v>4.2174020679373436</v>
      </c>
      <c r="X75" s="172">
        <f t="shared" si="197"/>
        <v>248.96755814062769</v>
      </c>
      <c r="Y75" s="379">
        <f t="shared" si="198"/>
        <v>134.51539471556751</v>
      </c>
      <c r="AA75" s="188">
        <f t="shared" si="199"/>
        <v>13.333333333333334</v>
      </c>
      <c r="AB75" s="150">
        <f t="shared" si="200"/>
        <v>2.3416292737923694</v>
      </c>
      <c r="AC75" s="150">
        <f t="shared" si="201"/>
        <v>0.19432990745556583</v>
      </c>
      <c r="AD75" s="150"/>
      <c r="AE75" s="150">
        <f t="shared" si="202"/>
        <v>2.3416292737923694</v>
      </c>
      <c r="AF75" s="314">
        <f t="shared" si="203"/>
        <v>448.40573687374507</v>
      </c>
      <c r="AG75" s="456">
        <f t="shared" si="204"/>
        <v>0.19432990745556586</v>
      </c>
      <c r="AI75" s="150">
        <f t="shared" si="205"/>
        <v>15.091774054972685</v>
      </c>
      <c r="AJ75" s="150">
        <f t="shared" si="206"/>
        <v>24.014060723381597</v>
      </c>
      <c r="AK75" s="150">
        <f t="shared" si="207"/>
        <v>9.1116499185542672</v>
      </c>
      <c r="AM75" s="314">
        <f t="shared" si="208"/>
        <v>350</v>
      </c>
      <c r="AN75" s="144">
        <f t="shared" si="209"/>
        <v>134.51539471556751</v>
      </c>
      <c r="AP75">
        <f t="shared" si="210"/>
        <v>350</v>
      </c>
      <c r="AQ75">
        <f t="shared" si="211"/>
        <v>134.51539471556751</v>
      </c>
      <c r="AS75" s="5">
        <f t="shared" si="285"/>
        <v>7.4340933401303078</v>
      </c>
      <c r="AT75" s="5">
        <f t="shared" si="212"/>
        <v>3.016691272192964</v>
      </c>
      <c r="AU75" s="5">
        <f t="shared" si="286"/>
        <v>4.4174020679373438</v>
      </c>
      <c r="AV75" s="5">
        <f t="shared" si="213"/>
        <v>4.2174020679373436</v>
      </c>
      <c r="AW75" s="150">
        <f t="shared" si="287"/>
        <v>0.40579141721404405</v>
      </c>
      <c r="AX75" s="150">
        <f t="shared" si="214"/>
        <v>58.178760277996844</v>
      </c>
      <c r="AY75" s="150">
        <f t="shared" si="215"/>
        <v>0.35673402473441174</v>
      </c>
      <c r="AZ75" s="150">
        <f t="shared" si="288"/>
        <v>163.08721973271514</v>
      </c>
      <c r="BA75" s="144">
        <f t="shared" si="216"/>
        <v>0.62108349721619849</v>
      </c>
      <c r="BB75" s="5">
        <f t="shared" si="217"/>
        <v>36.686531086383084</v>
      </c>
      <c r="BC75" s="5"/>
      <c r="BD75" s="150">
        <f t="shared" si="289"/>
        <v>8.831946013261927</v>
      </c>
      <c r="BE75" s="150">
        <f t="shared" si="218"/>
        <v>0.53437292009945259</v>
      </c>
      <c r="BF75" s="150"/>
      <c r="BG75" s="456">
        <f t="shared" si="219"/>
        <v>0.26521111929598906</v>
      </c>
      <c r="BH75" s="456">
        <f t="shared" si="220"/>
        <v>1.5891540487825551</v>
      </c>
      <c r="BI75" s="456">
        <f t="shared" si="221"/>
        <v>7.3563683137425978E-2</v>
      </c>
      <c r="BJ75" s="456">
        <f t="shared" si="222"/>
        <v>3.887839556222214E-2</v>
      </c>
      <c r="BK75">
        <f t="shared" si="223"/>
        <v>5.3732681026054073E-3</v>
      </c>
      <c r="BL75" s="144">
        <f t="shared" si="290"/>
        <v>78.936951240031391</v>
      </c>
      <c r="BM75" s="456">
        <f t="shared" si="224"/>
        <v>2.0969906758983226</v>
      </c>
      <c r="BN75" s="144">
        <f t="shared" si="291"/>
        <v>2096.9906758983225</v>
      </c>
      <c r="BO75" s="456">
        <f t="shared" si="225"/>
        <v>0.77656249999999993</v>
      </c>
      <c r="BP75" s="456"/>
      <c r="BR75" s="144">
        <f t="shared" si="292"/>
        <v>776.56249999999989</v>
      </c>
      <c r="BS75" s="456">
        <f t="shared" si="226"/>
        <v>0.11700490557175988</v>
      </c>
      <c r="BT75" s="456">
        <f t="shared" si="227"/>
        <v>5.7110883547123195E-2</v>
      </c>
      <c r="BU75" s="456">
        <f t="shared" si="228"/>
        <v>0.89249999999999985</v>
      </c>
      <c r="BV75" s="456">
        <f t="shared" si="229"/>
        <v>1.1240609188192479</v>
      </c>
      <c r="BW75" s="456">
        <f t="shared" si="230"/>
        <v>7.7571680370662463E-2</v>
      </c>
      <c r="BX75" s="144">
        <f t="shared" si="293"/>
        <v>1201.6325991899105</v>
      </c>
      <c r="BY75" s="150">
        <f t="shared" si="231"/>
        <v>4.1541227263282643</v>
      </c>
      <c r="BZ75" s="5">
        <f t="shared" si="294"/>
        <v>59.499999999999993</v>
      </c>
      <c r="CA75" s="150">
        <f t="shared" si="295"/>
        <v>0.93473914102644517</v>
      </c>
      <c r="CB75" s="5">
        <f t="shared" si="296"/>
        <v>93.473914102644514</v>
      </c>
      <c r="CE75" s="59">
        <f t="shared" si="232"/>
        <v>-50</v>
      </c>
      <c r="CF75">
        <f t="shared" si="233"/>
        <v>-50</v>
      </c>
      <c r="CG75" s="150">
        <f t="shared" si="234"/>
        <v>0.577400091439908</v>
      </c>
      <c r="CI75" s="147">
        <v>70</v>
      </c>
      <c r="CJ75" s="188">
        <f t="shared" si="297"/>
        <v>0.35</v>
      </c>
      <c r="CK75" s="188"/>
      <c r="CL75" s="188">
        <f t="shared" si="235"/>
        <v>59.499999999999993</v>
      </c>
      <c r="CM75" s="465">
        <f t="shared" si="236"/>
        <v>12</v>
      </c>
      <c r="CN75" s="149">
        <f t="shared" si="237"/>
        <v>8.5350000000000001</v>
      </c>
      <c r="CO75" s="379">
        <f t="shared" si="238"/>
        <v>20.535</v>
      </c>
      <c r="CP75" s="379"/>
      <c r="CQ75" s="188">
        <f t="shared" si="239"/>
        <v>0.4156318480642805</v>
      </c>
      <c r="CR75" s="149">
        <f t="shared" si="240"/>
        <v>166.85124908692478</v>
      </c>
      <c r="CS75" s="149">
        <f t="shared" si="298"/>
        <v>59.499999999999993</v>
      </c>
      <c r="CT75" s="188">
        <f t="shared" si="241"/>
        <v>0.98147793580543985</v>
      </c>
      <c r="CU75" s="188">
        <f t="shared" si="242"/>
        <v>170</v>
      </c>
      <c r="CV75" s="188">
        <f t="shared" si="243"/>
        <v>0.97795728956301287</v>
      </c>
      <c r="CW75" s="149">
        <f t="shared" si="244"/>
        <v>903.04303640567684</v>
      </c>
      <c r="CX75" s="149">
        <f t="shared" si="245"/>
        <v>170</v>
      </c>
      <c r="CY75" s="188">
        <f t="shared" si="246"/>
        <v>23.859256004686582</v>
      </c>
      <c r="CZ75" s="188">
        <f t="shared" si="247"/>
        <v>2.9824070005858228</v>
      </c>
      <c r="DA75" s="188">
        <f t="shared" si="248"/>
        <v>4.1931908619835818</v>
      </c>
      <c r="DB75" s="172">
        <f t="shared" si="249"/>
        <v>249.37910883856827</v>
      </c>
      <c r="DC75" s="379">
        <f t="shared" si="299"/>
        <v>139.36120991623193</v>
      </c>
      <c r="DE75" s="188">
        <f t="shared" si="250"/>
        <v>13.333333333333334</v>
      </c>
      <c r="DF75" s="150">
        <f t="shared" si="251"/>
        <v>2.3432923257176337</v>
      </c>
      <c r="DG75" s="150">
        <f t="shared" si="252"/>
        <v>0.19478938397857323</v>
      </c>
      <c r="DH75" s="150"/>
      <c r="DI75" s="150">
        <f t="shared" si="253"/>
        <v>2.3432923257176337</v>
      </c>
      <c r="DJ75" s="314">
        <f t="shared" si="300"/>
        <v>448.08749999999981</v>
      </c>
      <c r="DK75" s="456">
        <f t="shared" si="254"/>
        <v>0.19478938397857321</v>
      </c>
      <c r="DM75" s="150">
        <f t="shared" si="255"/>
        <v>15.086417732516887</v>
      </c>
      <c r="DN75" s="150">
        <f t="shared" si="256"/>
        <v>23.859256004686582</v>
      </c>
      <c r="DO75" s="150">
        <f t="shared" si="257"/>
        <v>8.9969797565579608</v>
      </c>
      <c r="DQ75" s="314">
        <f t="shared" si="258"/>
        <v>350</v>
      </c>
      <c r="DR75" s="144">
        <f t="shared" si="259"/>
        <v>139.36120991623193</v>
      </c>
      <c r="DT75">
        <f t="shared" si="260"/>
        <v>350</v>
      </c>
      <c r="DU75">
        <f t="shared" si="261"/>
        <v>139.36120991623193</v>
      </c>
      <c r="DW75" s="5">
        <f t="shared" si="301"/>
        <v>7.175597862569405</v>
      </c>
      <c r="DX75" s="5">
        <f t="shared" si="262"/>
        <v>2.9824070005858228</v>
      </c>
      <c r="DY75" s="5">
        <f t="shared" si="302"/>
        <v>4.1931908619835827</v>
      </c>
      <c r="DZ75" s="5">
        <f t="shared" si="263"/>
        <v>4.1931908619835818</v>
      </c>
      <c r="EA75" s="150">
        <f t="shared" si="303"/>
        <v>0.4156318480642805</v>
      </c>
      <c r="EB75" s="150">
        <f t="shared" si="264"/>
        <v>59.499999999999993</v>
      </c>
      <c r="EC75" s="150">
        <f t="shared" si="265"/>
        <v>0.34856473345049793</v>
      </c>
      <c r="ED75" s="150">
        <f t="shared" si="304"/>
        <v>170.7</v>
      </c>
      <c r="EE75" s="144">
        <f t="shared" si="266"/>
        <v>0.61402497070884576</v>
      </c>
      <c r="EF75" s="5">
        <f t="shared" si="267"/>
        <v>34.652063373336546</v>
      </c>
      <c r="EG75" s="5"/>
      <c r="EH75" s="150">
        <f t="shared" si="305"/>
        <v>8.8807711510720715</v>
      </c>
      <c r="EI75" s="150">
        <f t="shared" si="268"/>
        <v>0.52651353922448407</v>
      </c>
      <c r="EJ75" s="150"/>
      <c r="EK75" s="456">
        <f t="shared" si="269"/>
        <v>0.26815152720822749</v>
      </c>
      <c r="EL75" s="456">
        <f t="shared" si="270"/>
        <v>2.0757120000000002</v>
      </c>
      <c r="EM75" s="456">
        <f t="shared" si="271"/>
        <v>3.191371707081711E-2</v>
      </c>
      <c r="EN75" s="456">
        <f t="shared" si="272"/>
        <v>4.0255191226890752E-2</v>
      </c>
      <c r="EO75">
        <f t="shared" si="273"/>
        <v>5.4000000000000003E-3</v>
      </c>
      <c r="EP75" s="144">
        <f t="shared" si="306"/>
        <v>37.313717070817113</v>
      </c>
      <c r="EQ75" s="456">
        <f t="shared" si="274"/>
        <v>2.6635346029320042</v>
      </c>
      <c r="ER75" s="144">
        <f t="shared" si="307"/>
        <v>2663.534602932004</v>
      </c>
      <c r="ES75" s="456">
        <f t="shared" si="308"/>
        <v>0.77656249999999993</v>
      </c>
      <c r="ET75" s="456"/>
      <c r="EV75" s="144">
        <f t="shared" si="309"/>
        <v>776.56249999999989</v>
      </c>
      <c r="EW75" s="456">
        <f t="shared" si="275"/>
        <v>0.11830214435657097</v>
      </c>
      <c r="EX75" s="456">
        <f t="shared" si="276"/>
        <v>5.5443301397338468E-2</v>
      </c>
      <c r="EY75" s="456">
        <f t="shared" si="277"/>
        <v>31.876234821662567</v>
      </c>
      <c r="EZ75" s="456">
        <f t="shared" si="278"/>
        <v>32.544029324932509</v>
      </c>
      <c r="FA75" s="456">
        <f t="shared" si="279"/>
        <v>7.9333333333333311E-2</v>
      </c>
      <c r="FB75" s="144">
        <f t="shared" si="310"/>
        <v>32623.36265826584</v>
      </c>
      <c r="FC75" s="150">
        <f t="shared" si="311"/>
        <v>36.063459761197841</v>
      </c>
      <c r="FD75" s="5">
        <f t="shared" si="312"/>
        <v>59.499999999999993</v>
      </c>
      <c r="FE75" s="150">
        <f t="shared" si="313"/>
        <v>0.62262291621383004</v>
      </c>
      <c r="FF75" s="5">
        <f t="shared" si="314"/>
        <v>62.262291621383007</v>
      </c>
      <c r="FI75" s="59">
        <f t="shared" si="280"/>
        <v>-50</v>
      </c>
      <c r="FJ75">
        <f t="shared" si="281"/>
        <v>-50</v>
      </c>
      <c r="FL75">
        <f t="shared" si="282"/>
        <v>0.58436815193571956</v>
      </c>
    </row>
    <row r="76" spans="5:168">
      <c r="E76" s="147">
        <v>71</v>
      </c>
      <c r="F76" s="188">
        <f t="shared" si="283"/>
        <v>0.35499999999999998</v>
      </c>
      <c r="G76" s="188"/>
      <c r="H76" s="188">
        <f t="shared" si="183"/>
        <v>60.349999999999994</v>
      </c>
      <c r="I76" s="465">
        <f t="shared" si="184"/>
        <v>11.939757391445136</v>
      </c>
      <c r="J76" s="149">
        <f t="shared" si="185"/>
        <v>8.5411472049545782</v>
      </c>
      <c r="K76" s="149">
        <f t="shared" si="186"/>
        <v>20.541147204954576</v>
      </c>
      <c r="L76" s="379"/>
      <c r="M76" s="188">
        <f t="shared" si="187"/>
        <v>0.4170277262330338</v>
      </c>
      <c r="N76" s="149">
        <f t="shared" si="188"/>
        <v>166.57116774282156</v>
      </c>
      <c r="O76" s="149">
        <f t="shared" si="284"/>
        <v>60.349999999999994</v>
      </c>
      <c r="P76" s="188">
        <f t="shared" si="189"/>
        <v>0.97983039848718567</v>
      </c>
      <c r="Q76" s="188">
        <f t="shared" si="190"/>
        <v>170</v>
      </c>
      <c r="R76" s="188">
        <f t="shared" si="191"/>
        <v>0.97631566210361276</v>
      </c>
      <c r="S76" s="149">
        <f t="shared" si="192"/>
        <v>882.49809545526091</v>
      </c>
      <c r="T76" s="149">
        <f t="shared" si="193"/>
        <v>170</v>
      </c>
      <c r="U76" s="188">
        <f t="shared" si="194"/>
        <v>24.357933711400175</v>
      </c>
      <c r="V76" s="188">
        <f t="shared" si="195"/>
        <v>3.0601041017197752</v>
      </c>
      <c r="W76" s="188">
        <f t="shared" si="196"/>
        <v>4.2777509496506294</v>
      </c>
      <c r="X76" s="172">
        <f t="shared" si="197"/>
        <v>248.96172186091835</v>
      </c>
      <c r="Y76" s="379">
        <f t="shared" si="198"/>
        <v>132.66373433622832</v>
      </c>
      <c r="AA76" s="188">
        <f t="shared" si="199"/>
        <v>13.333333333333334</v>
      </c>
      <c r="AB76" s="150">
        <f t="shared" si="200"/>
        <v>2.3416058194616212</v>
      </c>
      <c r="AC76" s="150">
        <f t="shared" si="201"/>
        <v>0.19432340557757063</v>
      </c>
      <c r="AD76" s="150"/>
      <c r="AE76" s="150">
        <f t="shared" si="202"/>
        <v>2.3416058194616212</v>
      </c>
      <c r="AF76" s="314">
        <f t="shared" si="203"/>
        <v>454.81608866383118</v>
      </c>
      <c r="AG76" s="456">
        <f t="shared" si="204"/>
        <v>0.19432340557757066</v>
      </c>
      <c r="AI76" s="150">
        <f t="shared" si="205"/>
        <v>15.199266292464502</v>
      </c>
      <c r="AJ76" s="150">
        <f t="shared" si="206"/>
        <v>24.357933711400175</v>
      </c>
      <c r="AK76" s="150">
        <f t="shared" si="207"/>
        <v>9.3663706504198814</v>
      </c>
      <c r="AM76" s="314">
        <f t="shared" si="208"/>
        <v>355</v>
      </c>
      <c r="AN76" s="144">
        <f t="shared" si="209"/>
        <v>132.66373433622832</v>
      </c>
      <c r="AP76">
        <f t="shared" si="210"/>
        <v>355</v>
      </c>
      <c r="AQ76">
        <f t="shared" si="211"/>
        <v>132.66373433622832</v>
      </c>
      <c r="AS76" s="5">
        <f t="shared" si="285"/>
        <v>7.5378550513704052</v>
      </c>
      <c r="AT76" s="5">
        <f t="shared" si="212"/>
        <v>3.0601041017197752</v>
      </c>
      <c r="AU76" s="5">
        <f t="shared" si="286"/>
        <v>4.4777509496506305</v>
      </c>
      <c r="AV76" s="5">
        <f t="shared" si="213"/>
        <v>4.2777509496506294</v>
      </c>
      <c r="AW76" s="150">
        <f t="shared" si="287"/>
        <v>0.40596483759175483</v>
      </c>
      <c r="AX76" s="150">
        <f t="shared" si="214"/>
        <v>59.032934168165632</v>
      </c>
      <c r="AY76" s="150">
        <f t="shared" si="215"/>
        <v>0.36173672770452187</v>
      </c>
      <c r="AZ76" s="150">
        <f t="shared" si="288"/>
        <v>163.1930894680554</v>
      </c>
      <c r="BA76" s="144">
        <f t="shared" si="216"/>
        <v>0.63902173888854119</v>
      </c>
      <c r="BB76" s="5">
        <f t="shared" si="217"/>
        <v>37.721630480956222</v>
      </c>
      <c r="BC76" s="5"/>
      <c r="BD76" s="150">
        <f t="shared" si="289"/>
        <v>8.9603304498726075</v>
      </c>
      <c r="BE76" s="150">
        <f t="shared" si="218"/>
        <v>0.54194585321184874</v>
      </c>
      <c r="BF76" s="150"/>
      <c r="BG76" s="456">
        <f t="shared" si="219"/>
        <v>0.27297757402110839</v>
      </c>
      <c r="BH76" s="456">
        <f t="shared" si="220"/>
        <v>1.5897281880086336</v>
      </c>
      <c r="BI76" s="456">
        <f t="shared" si="221"/>
        <v>7.254595435989046E-2</v>
      </c>
      <c r="BJ76" s="456">
        <f t="shared" si="222"/>
        <v>3.8343537657565978E-2</v>
      </c>
      <c r="BK76">
        <f t="shared" si="223"/>
        <v>5.3728908261503113E-3</v>
      </c>
      <c r="BL76" s="144">
        <f t="shared" si="290"/>
        <v>77.91884518604077</v>
      </c>
      <c r="BM76" s="456">
        <f t="shared" si="224"/>
        <v>2.1117181692736398</v>
      </c>
      <c r="BN76" s="144">
        <f t="shared" si="291"/>
        <v>2111.7181692736399</v>
      </c>
      <c r="BO76" s="456">
        <f t="shared" si="225"/>
        <v>0.78765624999999995</v>
      </c>
      <c r="BP76" s="456"/>
      <c r="BR76" s="144">
        <f t="shared" si="292"/>
        <v>787.65625</v>
      </c>
      <c r="BS76" s="456">
        <f t="shared" si="226"/>
        <v>0.12043128265637136</v>
      </c>
      <c r="BT76" s="456">
        <f t="shared" si="227"/>
        <v>5.8741061562703749E-2</v>
      </c>
      <c r="BU76" s="456">
        <f t="shared" si="228"/>
        <v>0.90524999999999989</v>
      </c>
      <c r="BV76" s="456">
        <f t="shared" si="229"/>
        <v>1.1438189648552817</v>
      </c>
      <c r="BW76" s="456">
        <f t="shared" si="230"/>
        <v>7.8710578890887506E-2</v>
      </c>
      <c r="BX76" s="144">
        <f t="shared" si="293"/>
        <v>1222.5295437461691</v>
      </c>
      <c r="BY76" s="150">
        <f t="shared" si="231"/>
        <v>4.1998228082058491</v>
      </c>
      <c r="BZ76" s="5">
        <f t="shared" si="294"/>
        <v>60.349999999999994</v>
      </c>
      <c r="CA76" s="150">
        <f t="shared" si="295"/>
        <v>0.93493672599714783</v>
      </c>
      <c r="CB76" s="5">
        <f t="shared" si="296"/>
        <v>93.493672599714785</v>
      </c>
      <c r="CE76" s="59">
        <f t="shared" si="232"/>
        <v>-50</v>
      </c>
      <c r="CF76">
        <f t="shared" si="233"/>
        <v>-50</v>
      </c>
      <c r="CG76" s="150">
        <f t="shared" si="234"/>
        <v>0.57749823313703208</v>
      </c>
      <c r="CI76" s="147">
        <v>71</v>
      </c>
      <c r="CJ76" s="188">
        <f t="shared" si="297"/>
        <v>0.35499999999999998</v>
      </c>
      <c r="CK76" s="188"/>
      <c r="CL76" s="188">
        <f t="shared" si="235"/>
        <v>60.349999999999994</v>
      </c>
      <c r="CM76" s="465">
        <f t="shared" si="236"/>
        <v>12</v>
      </c>
      <c r="CN76" s="149">
        <f t="shared" si="237"/>
        <v>8.5350000000000001</v>
      </c>
      <c r="CO76" s="379">
        <f t="shared" si="238"/>
        <v>20.535</v>
      </c>
      <c r="CP76" s="379"/>
      <c r="CQ76" s="188">
        <f t="shared" si="239"/>
        <v>0.4156318480642805</v>
      </c>
      <c r="CR76" s="149">
        <f t="shared" si="240"/>
        <v>166.85124908692478</v>
      </c>
      <c r="CS76" s="149">
        <f t="shared" si="298"/>
        <v>60.349999999999994</v>
      </c>
      <c r="CT76" s="188">
        <f t="shared" si="241"/>
        <v>0.98147793580543985</v>
      </c>
      <c r="CU76" s="188">
        <f t="shared" si="242"/>
        <v>170</v>
      </c>
      <c r="CV76" s="188">
        <f t="shared" si="243"/>
        <v>0.97795728956301287</v>
      </c>
      <c r="CW76" s="149">
        <f t="shared" si="244"/>
        <v>886.94982720352778</v>
      </c>
      <c r="CX76" s="149">
        <f t="shared" si="245"/>
        <v>170</v>
      </c>
      <c r="CY76" s="188">
        <f t="shared" si="246"/>
        <v>24.200102519039248</v>
      </c>
      <c r="CZ76" s="188">
        <f t="shared" si="247"/>
        <v>3.025012814879906</v>
      </c>
      <c r="DA76" s="188">
        <f t="shared" si="248"/>
        <v>4.2530935885833472</v>
      </c>
      <c r="DB76" s="172">
        <f t="shared" si="249"/>
        <v>249.37910883856827</v>
      </c>
      <c r="DC76" s="379">
        <f t="shared" si="299"/>
        <v>137.39837597374978</v>
      </c>
      <c r="DE76" s="188">
        <f t="shared" si="250"/>
        <v>13.333333333333334</v>
      </c>
      <c r="DF76" s="150">
        <f t="shared" si="251"/>
        <v>2.3432923257176337</v>
      </c>
      <c r="DG76" s="150">
        <f t="shared" si="252"/>
        <v>0.19478938397857323</v>
      </c>
      <c r="DH76" s="150"/>
      <c r="DI76" s="150">
        <f t="shared" si="253"/>
        <v>2.3432923257176337</v>
      </c>
      <c r="DJ76" s="314">
        <f t="shared" si="300"/>
        <v>454.48874999999981</v>
      </c>
      <c r="DK76" s="456">
        <f t="shared" si="254"/>
        <v>0.19478938397857321</v>
      </c>
      <c r="DM76" s="150">
        <f t="shared" si="255"/>
        <v>15.193795726263682</v>
      </c>
      <c r="DN76" s="150">
        <f t="shared" si="256"/>
        <v>24.200102519039248</v>
      </c>
      <c r="DO76" s="150">
        <f t="shared" si="257"/>
        <v>9.2494586560784544</v>
      </c>
      <c r="DQ76" s="314">
        <f t="shared" si="258"/>
        <v>355</v>
      </c>
      <c r="DR76" s="144">
        <f t="shared" si="259"/>
        <v>137.39837597374978</v>
      </c>
      <c r="DT76">
        <f t="shared" si="260"/>
        <v>355</v>
      </c>
      <c r="DU76">
        <f t="shared" si="261"/>
        <v>137.39837597374978</v>
      </c>
      <c r="DW76" s="5">
        <f t="shared" si="301"/>
        <v>7.2781064034632541</v>
      </c>
      <c r="DX76" s="5">
        <f t="shared" si="262"/>
        <v>3.025012814879906</v>
      </c>
      <c r="DY76" s="5">
        <f t="shared" si="302"/>
        <v>4.2530935885833481</v>
      </c>
      <c r="DZ76" s="5">
        <f t="shared" si="263"/>
        <v>4.2530935885833472</v>
      </c>
      <c r="EA76" s="150">
        <f t="shared" si="303"/>
        <v>0.4156318480642805</v>
      </c>
      <c r="EB76" s="150">
        <f t="shared" si="264"/>
        <v>60.349999999999994</v>
      </c>
      <c r="EC76" s="150">
        <f t="shared" si="265"/>
        <v>0.35354422964264792</v>
      </c>
      <c r="ED76" s="150">
        <f t="shared" si="304"/>
        <v>170.7</v>
      </c>
      <c r="EE76" s="144">
        <f t="shared" si="266"/>
        <v>0.63169385251903909</v>
      </c>
      <c r="EF76" s="5">
        <f t="shared" si="267"/>
        <v>35.649194176528475</v>
      </c>
      <c r="EG76" s="5"/>
      <c r="EH76" s="150">
        <f t="shared" si="305"/>
        <v>9.0076393103731007</v>
      </c>
      <c r="EI76" s="150">
        <f t="shared" si="268"/>
        <v>0.53403516121340533</v>
      </c>
      <c r="EJ76" s="150"/>
      <c r="EK76" s="456">
        <f t="shared" si="269"/>
        <v>0.27586772421564787</v>
      </c>
      <c r="EL76" s="456">
        <f t="shared" si="270"/>
        <v>2.0757120000000002</v>
      </c>
      <c r="EM76" s="456">
        <f t="shared" si="271"/>
        <v>3.1464228097988704E-2</v>
      </c>
      <c r="EN76" s="456">
        <f t="shared" si="272"/>
        <v>3.9688216702568349E-2</v>
      </c>
      <c r="EO76">
        <f t="shared" si="273"/>
        <v>5.4000000000000003E-3</v>
      </c>
      <c r="EP76" s="144">
        <f t="shared" si="306"/>
        <v>36.864228097988708</v>
      </c>
      <c r="EQ76" s="456">
        <f t="shared" si="274"/>
        <v>2.6781595597563501</v>
      </c>
      <c r="ER76" s="144">
        <f t="shared" si="307"/>
        <v>2678.1595597563501</v>
      </c>
      <c r="ES76" s="456">
        <f t="shared" si="308"/>
        <v>0.78765624999999995</v>
      </c>
      <c r="ET76" s="456"/>
      <c r="EV76" s="144">
        <f t="shared" si="309"/>
        <v>787.65625</v>
      </c>
      <c r="EW76" s="456">
        <f t="shared" si="275"/>
        <v>0.12170634891866819</v>
      </c>
      <c r="EX76" s="456">
        <f t="shared" si="276"/>
        <v>5.7038710682445565E-2</v>
      </c>
      <c r="EY76" s="456">
        <f t="shared" si="277"/>
        <v>31.876234821662461</v>
      </c>
      <c r="EZ76" s="456">
        <f t="shared" si="278"/>
        <v>32.563524221795618</v>
      </c>
      <c r="FA76" s="456">
        <f t="shared" si="279"/>
        <v>8.0466666666666672E-2</v>
      </c>
      <c r="FB76" s="144">
        <f t="shared" si="310"/>
        <v>32643.990888462286</v>
      </c>
      <c r="FC76" s="150">
        <f t="shared" si="311"/>
        <v>36.109806698218634</v>
      </c>
      <c r="FD76" s="5">
        <f t="shared" si="312"/>
        <v>60.349999999999994</v>
      </c>
      <c r="FE76" s="150">
        <f t="shared" si="313"/>
        <v>0.62564919074334524</v>
      </c>
      <c r="FF76" s="5">
        <f t="shared" si="314"/>
        <v>62.564919074334526</v>
      </c>
      <c r="FI76" s="59">
        <f t="shared" si="280"/>
        <v>-50</v>
      </c>
      <c r="FJ76">
        <f t="shared" si="281"/>
        <v>-50</v>
      </c>
      <c r="FL76">
        <f t="shared" si="282"/>
        <v>0.58436815193571956</v>
      </c>
    </row>
    <row r="77" spans="5:168">
      <c r="E77" s="147">
        <v>72</v>
      </c>
      <c r="F77" s="188">
        <f t="shared" si="283"/>
        <v>0.36</v>
      </c>
      <c r="G77" s="188"/>
      <c r="H77" s="188">
        <f t="shared" si="183"/>
        <v>61.199999999999996</v>
      </c>
      <c r="I77" s="465">
        <f t="shared" si="184"/>
        <v>11.938918995939659</v>
      </c>
      <c r="J77" s="149">
        <f t="shared" si="185"/>
        <v>8.5412327555163614</v>
      </c>
      <c r="K77" s="149">
        <f t="shared" si="186"/>
        <v>20.541232755516361</v>
      </c>
      <c r="L77" s="379"/>
      <c r="M77" s="188">
        <f t="shared" si="187"/>
        <v>0.41704723371280633</v>
      </c>
      <c r="N77" s="149">
        <f t="shared" si="188"/>
        <v>166.56726253615702</v>
      </c>
      <c r="O77" s="149">
        <f t="shared" si="284"/>
        <v>61.199999999999996</v>
      </c>
      <c r="P77" s="188">
        <f t="shared" si="189"/>
        <v>0.97980742668327658</v>
      </c>
      <c r="Q77" s="188">
        <f t="shared" si="190"/>
        <v>170</v>
      </c>
      <c r="R77" s="188">
        <f t="shared" si="191"/>
        <v>0.97629277270155113</v>
      </c>
      <c r="S77" s="149">
        <f t="shared" si="192"/>
        <v>866.86974137675384</v>
      </c>
      <c r="T77" s="149">
        <f t="shared" si="193"/>
        <v>170</v>
      </c>
      <c r="U77" s="188">
        <f t="shared" si="194"/>
        <v>24.701829775528999</v>
      </c>
      <c r="V77" s="188">
        <f t="shared" si="195"/>
        <v>3.1035259285949488</v>
      </c>
      <c r="W77" s="188">
        <f t="shared" si="196"/>
        <v>4.3381026748583755</v>
      </c>
      <c r="X77" s="172">
        <f t="shared" si="197"/>
        <v>248.95588477836017</v>
      </c>
      <c r="Y77" s="379">
        <f t="shared" si="198"/>
        <v>130.86215673293654</v>
      </c>
      <c r="AA77" s="188">
        <f t="shared" si="199"/>
        <v>13.333333333333334</v>
      </c>
      <c r="AB77" s="150">
        <f t="shared" si="200"/>
        <v>2.3415823655060786</v>
      </c>
      <c r="AC77" s="150">
        <f t="shared" si="201"/>
        <v>0.1943169031953238</v>
      </c>
      <c r="AD77" s="150"/>
      <c r="AE77" s="150">
        <f t="shared" si="202"/>
        <v>2.3415823655060786</v>
      </c>
      <c r="AF77" s="314">
        <f t="shared" si="203"/>
        <v>461.22656879788332</v>
      </c>
      <c r="AG77" s="456">
        <f t="shared" si="204"/>
        <v>0.19431690319532383</v>
      </c>
      <c r="AI77" s="150">
        <f t="shared" si="205"/>
        <v>15.306005772987755</v>
      </c>
      <c r="AJ77" s="150">
        <f t="shared" si="206"/>
        <v>24.701829775528999</v>
      </c>
      <c r="AK77" s="150">
        <f t="shared" si="207"/>
        <v>9.6211084757004919</v>
      </c>
      <c r="AM77" s="314">
        <f t="shared" si="208"/>
        <v>360</v>
      </c>
      <c r="AN77" s="144">
        <f t="shared" si="209"/>
        <v>130.86215673293654</v>
      </c>
      <c r="AP77">
        <f t="shared" si="210"/>
        <v>360</v>
      </c>
      <c r="AQ77">
        <f t="shared" si="211"/>
        <v>130.86215673293654</v>
      </c>
      <c r="AS77" s="5">
        <f t="shared" si="285"/>
        <v>7.6416286034533245</v>
      </c>
      <c r="AT77" s="5">
        <f t="shared" si="212"/>
        <v>3.1035259285949488</v>
      </c>
      <c r="AU77" s="5">
        <f t="shared" si="286"/>
        <v>4.5381026748583757</v>
      </c>
      <c r="AV77" s="5">
        <f t="shared" si="213"/>
        <v>4.3381026748583755</v>
      </c>
      <c r="AW77" s="150">
        <f t="shared" si="287"/>
        <v>0.40613409649252463</v>
      </c>
      <c r="AX77" s="150">
        <f t="shared" si="214"/>
        <v>59.887141791685423</v>
      </c>
      <c r="AY77" s="150">
        <f t="shared" si="215"/>
        <v>0.36673936144830971</v>
      </c>
      <c r="AZ77" s="150">
        <f t="shared" si="288"/>
        <v>163.29619366511943</v>
      </c>
      <c r="BA77" s="144">
        <f t="shared" si="216"/>
        <v>0.65721725546716558</v>
      </c>
      <c r="BB77" s="5">
        <f t="shared" si="217"/>
        <v>38.771221497773681</v>
      </c>
      <c r="BC77" s="5"/>
      <c r="BD77" s="150">
        <f t="shared" si="289"/>
        <v>9.0887304415948194</v>
      </c>
      <c r="BE77" s="150">
        <f t="shared" si="218"/>
        <v>0.54951897991129028</v>
      </c>
      <c r="BF77" s="150"/>
      <c r="BG77" s="456">
        <f t="shared" si="219"/>
        <v>0.280857071535906</v>
      </c>
      <c r="BH77" s="456">
        <f t="shared" si="220"/>
        <v>1.5902859412081038</v>
      </c>
      <c r="BI77" s="456">
        <f t="shared" si="221"/>
        <v>7.1555753150176801E-2</v>
      </c>
      <c r="BJ77" s="456">
        <f t="shared" si="222"/>
        <v>3.7823146286388311E-2</v>
      </c>
      <c r="BK77">
        <f t="shared" si="223"/>
        <v>5.3725135481728463E-3</v>
      </c>
      <c r="BL77" s="144">
        <f t="shared" si="290"/>
        <v>76.928266698349645</v>
      </c>
      <c r="BM77" s="456">
        <f t="shared" si="224"/>
        <v>2.1267168735516861</v>
      </c>
      <c r="BN77" s="144">
        <f t="shared" si="291"/>
        <v>2126.7168735516861</v>
      </c>
      <c r="BO77" s="456">
        <f t="shared" si="225"/>
        <v>0.79874999999999985</v>
      </c>
      <c r="BP77" s="456"/>
      <c r="BR77" s="144">
        <f t="shared" si="292"/>
        <v>798.74999999999989</v>
      </c>
      <c r="BS77" s="456">
        <f t="shared" si="226"/>
        <v>0.12390753155995854</v>
      </c>
      <c r="BT77" s="456">
        <f t="shared" si="227"/>
        <v>6.0394221856549017E-2</v>
      </c>
      <c r="BU77" s="456">
        <f t="shared" si="228"/>
        <v>0.91799999999999993</v>
      </c>
      <c r="BV77" s="456">
        <f t="shared" si="229"/>
        <v>1.1636918095108109</v>
      </c>
      <c r="BW77" s="456">
        <f t="shared" si="230"/>
        <v>7.9849522388913907E-2</v>
      </c>
      <c r="BX77" s="144">
        <f t="shared" si="293"/>
        <v>1243.5413318997248</v>
      </c>
      <c r="BY77" s="150">
        <f t="shared" si="231"/>
        <v>4.2459364721497606</v>
      </c>
      <c r="BZ77" s="5">
        <f t="shared" si="294"/>
        <v>61.199999999999996</v>
      </c>
      <c r="CA77" s="150">
        <f t="shared" si="295"/>
        <v>0.93512299309894364</v>
      </c>
      <c r="CB77" s="5">
        <f t="shared" si="296"/>
        <v>93.51229930989436</v>
      </c>
      <c r="CE77" s="59">
        <f t="shared" si="232"/>
        <v>-50</v>
      </c>
      <c r="CF77">
        <f t="shared" si="233"/>
        <v>-50</v>
      </c>
      <c r="CG77" s="150">
        <f t="shared" si="234"/>
        <v>0.57759364867590257</v>
      </c>
      <c r="CI77" s="147">
        <v>72</v>
      </c>
      <c r="CJ77" s="188">
        <f t="shared" si="297"/>
        <v>0.36</v>
      </c>
      <c r="CK77" s="188"/>
      <c r="CL77" s="188">
        <f t="shared" si="235"/>
        <v>61.199999999999996</v>
      </c>
      <c r="CM77" s="465">
        <f t="shared" si="236"/>
        <v>12</v>
      </c>
      <c r="CN77" s="149">
        <f t="shared" si="237"/>
        <v>8.5350000000000001</v>
      </c>
      <c r="CO77" s="379">
        <f t="shared" si="238"/>
        <v>20.535</v>
      </c>
      <c r="CP77" s="379"/>
      <c r="CQ77" s="188">
        <f t="shared" si="239"/>
        <v>0.4156318480642805</v>
      </c>
      <c r="CR77" s="149">
        <f t="shared" si="240"/>
        <v>166.85124908692478</v>
      </c>
      <c r="CS77" s="149">
        <f t="shared" si="298"/>
        <v>61.199999999999996</v>
      </c>
      <c r="CT77" s="188">
        <f t="shared" si="241"/>
        <v>0.98147793580543985</v>
      </c>
      <c r="CU77" s="188">
        <f t="shared" si="242"/>
        <v>170</v>
      </c>
      <c r="CV77" s="188">
        <f t="shared" si="243"/>
        <v>0.97795728956301287</v>
      </c>
      <c r="CW77" s="149">
        <f t="shared" si="244"/>
        <v>871.30377082844313</v>
      </c>
      <c r="CX77" s="149">
        <f t="shared" si="245"/>
        <v>170</v>
      </c>
      <c r="CY77" s="188">
        <f t="shared" si="246"/>
        <v>24.540949033391914</v>
      </c>
      <c r="CZ77" s="188">
        <f t="shared" si="247"/>
        <v>3.0676186291739898</v>
      </c>
      <c r="DA77" s="188">
        <f t="shared" si="248"/>
        <v>4.3129963151831134</v>
      </c>
      <c r="DB77" s="172">
        <f t="shared" si="249"/>
        <v>249.37910883856827</v>
      </c>
      <c r="DC77" s="379">
        <f t="shared" si="299"/>
        <v>135.49006519633659</v>
      </c>
      <c r="DE77" s="188">
        <f t="shared" si="250"/>
        <v>13.333333333333334</v>
      </c>
      <c r="DF77" s="150">
        <f t="shared" si="251"/>
        <v>2.3432923257176337</v>
      </c>
      <c r="DG77" s="150">
        <f t="shared" si="252"/>
        <v>0.19478938397857323</v>
      </c>
      <c r="DH77" s="150"/>
      <c r="DI77" s="150">
        <f t="shared" si="253"/>
        <v>2.3432923257176337</v>
      </c>
      <c r="DJ77" s="314">
        <f t="shared" si="300"/>
        <v>460.88999999999987</v>
      </c>
      <c r="DK77" s="456">
        <f t="shared" si="254"/>
        <v>0.19478938397857321</v>
      </c>
      <c r="DM77" s="150">
        <f t="shared" si="255"/>
        <v>15.300420162298064</v>
      </c>
      <c r="DN77" s="150">
        <f t="shared" si="256"/>
        <v>24.540949033391914</v>
      </c>
      <c r="DO77" s="150">
        <f t="shared" si="257"/>
        <v>9.501937555598948</v>
      </c>
      <c r="DQ77" s="314">
        <f t="shared" si="258"/>
        <v>360</v>
      </c>
      <c r="DR77" s="144">
        <f t="shared" si="259"/>
        <v>135.49006519633659</v>
      </c>
      <c r="DT77">
        <f t="shared" si="260"/>
        <v>360</v>
      </c>
      <c r="DU77">
        <f t="shared" si="261"/>
        <v>135.49006519633659</v>
      </c>
      <c r="DW77" s="5">
        <f t="shared" si="301"/>
        <v>7.3806149443571023</v>
      </c>
      <c r="DX77" s="5">
        <f t="shared" si="262"/>
        <v>3.0676186291739898</v>
      </c>
      <c r="DY77" s="5">
        <f t="shared" si="302"/>
        <v>4.3129963151831126</v>
      </c>
      <c r="DZ77" s="5">
        <f t="shared" si="263"/>
        <v>4.3129963151831134</v>
      </c>
      <c r="EA77" s="150">
        <f t="shared" si="303"/>
        <v>0.41563184806428055</v>
      </c>
      <c r="EB77" s="150">
        <f t="shared" si="264"/>
        <v>61.199999999999989</v>
      </c>
      <c r="EC77" s="150">
        <f t="shared" si="265"/>
        <v>0.35852372583479786</v>
      </c>
      <c r="ED77" s="150">
        <f t="shared" si="304"/>
        <v>170.7</v>
      </c>
      <c r="EE77" s="144">
        <f t="shared" si="266"/>
        <v>0.64961335676625664</v>
      </c>
      <c r="EF77" s="5">
        <f t="shared" si="267"/>
        <v>36.660468679056443</v>
      </c>
      <c r="EG77" s="5"/>
      <c r="EH77" s="150">
        <f t="shared" si="305"/>
        <v>9.1345074696741335</v>
      </c>
      <c r="EI77" s="150">
        <f t="shared" si="268"/>
        <v>0.54155678320232647</v>
      </c>
      <c r="EJ77" s="150"/>
      <c r="EK77" s="456">
        <f t="shared" si="269"/>
        <v>0.28369337082601065</v>
      </c>
      <c r="EL77" s="456">
        <f t="shared" si="270"/>
        <v>2.0757120000000002</v>
      </c>
      <c r="EM77" s="456">
        <f t="shared" si="271"/>
        <v>3.1027224929961076E-2</v>
      </c>
      <c r="EN77" s="456">
        <f t="shared" si="272"/>
        <v>3.9136991470588231E-2</v>
      </c>
      <c r="EO77">
        <f t="shared" si="273"/>
        <v>5.4000000000000003E-3</v>
      </c>
      <c r="EP77" s="144">
        <f t="shared" si="306"/>
        <v>36.427224929961078</v>
      </c>
      <c r="EQ77" s="456">
        <f t="shared" si="274"/>
        <v>2.693096429682845</v>
      </c>
      <c r="ER77" s="144">
        <f t="shared" si="307"/>
        <v>2693.0964296828452</v>
      </c>
      <c r="ES77" s="456">
        <f t="shared" si="308"/>
        <v>0.79874999999999985</v>
      </c>
      <c r="ET77" s="456"/>
      <c r="EV77" s="144">
        <f t="shared" si="309"/>
        <v>798.74999999999989</v>
      </c>
      <c r="EW77" s="456">
        <f t="shared" si="275"/>
        <v>0.12515884007029882</v>
      </c>
      <c r="EX77" s="456">
        <f t="shared" si="276"/>
        <v>5.8656749886490327E-2</v>
      </c>
      <c r="EY77" s="456">
        <f t="shared" si="277"/>
        <v>31.876234821662543</v>
      </c>
      <c r="EZ77" s="456">
        <f t="shared" si="278"/>
        <v>32.583311807825069</v>
      </c>
      <c r="FA77" s="456">
        <f t="shared" si="279"/>
        <v>8.1599999999999992E-2</v>
      </c>
      <c r="FB77" s="144">
        <f t="shared" si="310"/>
        <v>32664.911807825072</v>
      </c>
      <c r="FC77" s="150">
        <f t="shared" si="311"/>
        <v>36.156758237507916</v>
      </c>
      <c r="FD77" s="5">
        <f t="shared" si="312"/>
        <v>61.199999999999996</v>
      </c>
      <c r="FE77" s="150">
        <f t="shared" si="313"/>
        <v>0.62861583631101159</v>
      </c>
      <c r="FF77" s="5">
        <f t="shared" si="314"/>
        <v>62.861583631101162</v>
      </c>
      <c r="FI77" s="59">
        <f t="shared" si="280"/>
        <v>-50</v>
      </c>
      <c r="FJ77">
        <f t="shared" si="281"/>
        <v>-50</v>
      </c>
      <c r="FL77">
        <f t="shared" si="282"/>
        <v>0.58436815193571945</v>
      </c>
    </row>
    <row r="78" spans="5:168">
      <c r="E78" s="147">
        <v>73</v>
      </c>
      <c r="F78" s="188">
        <f t="shared" si="283"/>
        <v>0.36499999999999999</v>
      </c>
      <c r="G78" s="188"/>
      <c r="H78" s="188">
        <f t="shared" si="183"/>
        <v>62.05</v>
      </c>
      <c r="I78" s="465">
        <f t="shared" si="184"/>
        <v>11.93808059719178</v>
      </c>
      <c r="J78" s="149">
        <f t="shared" si="185"/>
        <v>8.5413183064090017</v>
      </c>
      <c r="K78" s="149">
        <f t="shared" si="186"/>
        <v>20.541318306409003</v>
      </c>
      <c r="L78" s="379"/>
      <c r="M78" s="188">
        <f t="shared" si="187"/>
        <v>0.41706674269282579</v>
      </c>
      <c r="N78" s="149">
        <f t="shared" si="188"/>
        <v>166.56335678914769</v>
      </c>
      <c r="O78" s="149">
        <f t="shared" si="284"/>
        <v>62.05</v>
      </c>
      <c r="P78" s="188">
        <f t="shared" si="189"/>
        <v>0.97978445170086881</v>
      </c>
      <c r="Q78" s="188">
        <f t="shared" si="190"/>
        <v>170</v>
      </c>
      <c r="R78" s="188">
        <f t="shared" si="191"/>
        <v>0.97626988013239246</v>
      </c>
      <c r="S78" s="149">
        <f t="shared" si="192"/>
        <v>851.67013949178397</v>
      </c>
      <c r="T78" s="149">
        <f t="shared" si="193"/>
        <v>170</v>
      </c>
      <c r="U78" s="188">
        <f t="shared" si="194"/>
        <v>25.045748920629165</v>
      </c>
      <c r="V78" s="188">
        <f t="shared" si="195"/>
        <v>3.1469567553247297</v>
      </c>
      <c r="W78" s="188">
        <f t="shared" si="196"/>
        <v>4.3984572443289034</v>
      </c>
      <c r="X78" s="172">
        <f t="shared" si="197"/>
        <v>248.9500468938372</v>
      </c>
      <c r="Y78" s="379">
        <f t="shared" si="198"/>
        <v>129.10865707691275</v>
      </c>
      <c r="AA78" s="188">
        <f t="shared" si="199"/>
        <v>13.333333333333334</v>
      </c>
      <c r="AB78" s="150">
        <f t="shared" si="200"/>
        <v>2.3415589119296665</v>
      </c>
      <c r="AC78" s="150">
        <f t="shared" si="201"/>
        <v>0.19431040030985761</v>
      </c>
      <c r="AD78" s="150"/>
      <c r="AE78" s="150">
        <f t="shared" si="202"/>
        <v>2.3415589119296665</v>
      </c>
      <c r="AF78" s="314">
        <f t="shared" si="203"/>
        <v>467.63717727589261</v>
      </c>
      <c r="AG78" s="456">
        <f t="shared" si="204"/>
        <v>0.19431040030985766</v>
      </c>
      <c r="AI78" s="150">
        <f t="shared" si="205"/>
        <v>15.412008136735547</v>
      </c>
      <c r="AJ78" s="150">
        <f t="shared" si="206"/>
        <v>25.045748920629165</v>
      </c>
      <c r="AK78" s="150">
        <f t="shared" si="207"/>
        <v>9.8758633979969108</v>
      </c>
      <c r="AM78" s="314">
        <f t="shared" si="208"/>
        <v>365</v>
      </c>
      <c r="AN78" s="144">
        <f t="shared" si="209"/>
        <v>129.10865707691275</v>
      </c>
      <c r="AP78">
        <f t="shared" si="210"/>
        <v>365</v>
      </c>
      <c r="AQ78">
        <f t="shared" si="211"/>
        <v>129.10865707691275</v>
      </c>
      <c r="AS78" s="5">
        <f t="shared" si="285"/>
        <v>7.745413999653632</v>
      </c>
      <c r="AT78" s="5">
        <f t="shared" si="212"/>
        <v>3.1469567553247297</v>
      </c>
      <c r="AU78" s="5">
        <f t="shared" si="286"/>
        <v>4.5984572443289018</v>
      </c>
      <c r="AV78" s="5">
        <f t="shared" si="213"/>
        <v>4.3984572443289034</v>
      </c>
      <c r="AW78" s="150">
        <f t="shared" si="287"/>
        <v>0.40629936055909455</v>
      </c>
      <c r="AX78" s="150">
        <f t="shared" si="214"/>
        <v>60.741382483549188</v>
      </c>
      <c r="AY78" s="150">
        <f t="shared" si="215"/>
        <v>0.37174192873634759</v>
      </c>
      <c r="AZ78" s="150">
        <f t="shared" si="288"/>
        <v>163.39664102466392</v>
      </c>
      <c r="BA78" s="144">
        <f t="shared" si="216"/>
        <v>0.675670126878545</v>
      </c>
      <c r="BB78" s="5">
        <f t="shared" si="217"/>
        <v>39.835308209390611</v>
      </c>
      <c r="BC78" s="5"/>
      <c r="BD78" s="150">
        <f t="shared" si="289"/>
        <v>9.2171459534058542</v>
      </c>
      <c r="BE78" s="150">
        <f t="shared" si="218"/>
        <v>0.55709230265731802</v>
      </c>
      <c r="BF78" s="150"/>
      <c r="BG78" s="456">
        <f t="shared" si="219"/>
        <v>0.28884965038971205</v>
      </c>
      <c r="BH78" s="456">
        <f t="shared" si="220"/>
        <v>1.5908279641005634</v>
      </c>
      <c r="BI78" s="456">
        <f t="shared" si="221"/>
        <v>7.0591977572255563E-2</v>
      </c>
      <c r="BJ78" s="456">
        <f t="shared" si="222"/>
        <v>3.7316642348891441E-2</v>
      </c>
      <c r="BK78">
        <f t="shared" si="223"/>
        <v>5.372136268736301E-3</v>
      </c>
      <c r="BL78" s="144">
        <f t="shared" si="290"/>
        <v>75.964113840991857</v>
      </c>
      <c r="BM78" s="456">
        <f t="shared" si="224"/>
        <v>2.1419898777361919</v>
      </c>
      <c r="BN78" s="144">
        <f t="shared" si="291"/>
        <v>2141.9898777361918</v>
      </c>
      <c r="BO78" s="456">
        <f t="shared" si="225"/>
        <v>0.80984374999999997</v>
      </c>
      <c r="BP78" s="456"/>
      <c r="BR78" s="144">
        <f t="shared" si="292"/>
        <v>809.84375</v>
      </c>
      <c r="BS78" s="456">
        <f t="shared" si="226"/>
        <v>0.12743366928957886</v>
      </c>
      <c r="BT78" s="456">
        <f t="shared" si="227"/>
        <v>6.207036673600657E-2</v>
      </c>
      <c r="BU78" s="456">
        <f t="shared" si="228"/>
        <v>0.93074999999999997</v>
      </c>
      <c r="BV78" s="456">
        <f t="shared" si="229"/>
        <v>1.183679975286076</v>
      </c>
      <c r="BW78" s="456">
        <f t="shared" si="230"/>
        <v>8.0988509978065587E-2</v>
      </c>
      <c r="BX78" s="144">
        <f t="shared" si="293"/>
        <v>1264.6684852641417</v>
      </c>
      <c r="BY78" s="150">
        <f t="shared" si="231"/>
        <v>4.2924662268413254</v>
      </c>
      <c r="BZ78" s="5">
        <f t="shared" si="294"/>
        <v>62.05</v>
      </c>
      <c r="CA78" s="150">
        <f t="shared" si="295"/>
        <v>0.93529836210543749</v>
      </c>
      <c r="CB78" s="5">
        <f t="shared" si="296"/>
        <v>93.529836210543749</v>
      </c>
      <c r="CE78" s="59">
        <f t="shared" si="232"/>
        <v>-50</v>
      </c>
      <c r="CF78">
        <f t="shared" si="233"/>
        <v>-50</v>
      </c>
      <c r="CG78" s="150">
        <f t="shared" si="234"/>
        <v>0.57768645009042063</v>
      </c>
      <c r="CI78" s="147">
        <v>73</v>
      </c>
      <c r="CJ78" s="188">
        <f t="shared" si="297"/>
        <v>0.36499999999999999</v>
      </c>
      <c r="CK78" s="188"/>
      <c r="CL78" s="188">
        <f t="shared" si="235"/>
        <v>62.05</v>
      </c>
      <c r="CM78" s="465">
        <f t="shared" si="236"/>
        <v>12</v>
      </c>
      <c r="CN78" s="149">
        <f t="shared" si="237"/>
        <v>8.5350000000000001</v>
      </c>
      <c r="CO78" s="379">
        <f t="shared" si="238"/>
        <v>20.535</v>
      </c>
      <c r="CP78" s="379"/>
      <c r="CQ78" s="188">
        <f t="shared" si="239"/>
        <v>0.4156318480642805</v>
      </c>
      <c r="CR78" s="149">
        <f t="shared" si="240"/>
        <v>166.85124908692478</v>
      </c>
      <c r="CS78" s="149">
        <f t="shared" si="298"/>
        <v>62.05</v>
      </c>
      <c r="CT78" s="188">
        <f t="shared" si="241"/>
        <v>0.98147793580543985</v>
      </c>
      <c r="CU78" s="188">
        <f t="shared" si="242"/>
        <v>170</v>
      </c>
      <c r="CV78" s="188">
        <f t="shared" si="243"/>
        <v>0.97795728956301287</v>
      </c>
      <c r="CW78" s="149">
        <f t="shared" si="244"/>
        <v>856.08649248151733</v>
      </c>
      <c r="CX78" s="149">
        <f t="shared" si="245"/>
        <v>170</v>
      </c>
      <c r="CY78" s="188">
        <f t="shared" si="246"/>
        <v>24.881795547744581</v>
      </c>
      <c r="CZ78" s="188">
        <f t="shared" si="247"/>
        <v>3.1102244434680726</v>
      </c>
      <c r="DA78" s="188">
        <f t="shared" si="248"/>
        <v>4.3728990417828788</v>
      </c>
      <c r="DB78" s="172">
        <f t="shared" si="249"/>
        <v>249.37910883856827</v>
      </c>
      <c r="DC78" s="379">
        <f t="shared" si="299"/>
        <v>133.63403690597582</v>
      </c>
      <c r="DE78" s="188">
        <f t="shared" si="250"/>
        <v>13.333333333333334</v>
      </c>
      <c r="DF78" s="150">
        <f t="shared" si="251"/>
        <v>2.3432923257176337</v>
      </c>
      <c r="DG78" s="150">
        <f t="shared" si="252"/>
        <v>0.19478938397857323</v>
      </c>
      <c r="DH78" s="150"/>
      <c r="DI78" s="150">
        <f t="shared" si="253"/>
        <v>2.3432923257176337</v>
      </c>
      <c r="DJ78" s="314">
        <f t="shared" si="300"/>
        <v>467.29124999999988</v>
      </c>
      <c r="DK78" s="456">
        <f t="shared" si="254"/>
        <v>0.19478938397857321</v>
      </c>
      <c r="DM78" s="150">
        <f t="shared" si="255"/>
        <v>15.406306686363402</v>
      </c>
      <c r="DN78" s="150">
        <f t="shared" si="256"/>
        <v>24.881795547744581</v>
      </c>
      <c r="DO78" s="150">
        <f t="shared" si="257"/>
        <v>9.7544164551194417</v>
      </c>
      <c r="DQ78" s="314">
        <f t="shared" si="258"/>
        <v>365</v>
      </c>
      <c r="DR78" s="144">
        <f t="shared" si="259"/>
        <v>133.63403690597582</v>
      </c>
      <c r="DT78">
        <f t="shared" si="260"/>
        <v>365</v>
      </c>
      <c r="DU78">
        <f t="shared" si="261"/>
        <v>133.63403690597582</v>
      </c>
      <c r="DW78" s="5">
        <f t="shared" si="301"/>
        <v>7.4831234852509505</v>
      </c>
      <c r="DX78" s="5">
        <f t="shared" si="262"/>
        <v>3.1102244434680726</v>
      </c>
      <c r="DY78" s="5">
        <f t="shared" si="302"/>
        <v>4.3728990417828779</v>
      </c>
      <c r="DZ78" s="5">
        <f t="shared" si="263"/>
        <v>4.3728990417828788</v>
      </c>
      <c r="EA78" s="150">
        <f t="shared" si="303"/>
        <v>0.41563184806428055</v>
      </c>
      <c r="EB78" s="150">
        <f t="shared" si="264"/>
        <v>62.050000000000004</v>
      </c>
      <c r="EC78" s="150">
        <f t="shared" si="265"/>
        <v>0.36350322202694785</v>
      </c>
      <c r="ED78" s="150">
        <f t="shared" si="304"/>
        <v>170.70000000000002</v>
      </c>
      <c r="EE78" s="144">
        <f t="shared" si="266"/>
        <v>0.66778348345049787</v>
      </c>
      <c r="EF78" s="5">
        <f t="shared" si="267"/>
        <v>37.685886880920492</v>
      </c>
      <c r="EG78" s="5"/>
      <c r="EH78" s="150">
        <f t="shared" si="305"/>
        <v>9.2613756289751628</v>
      </c>
      <c r="EI78" s="150">
        <f t="shared" si="268"/>
        <v>0.54907840519124773</v>
      </c>
      <c r="EJ78" s="150"/>
      <c r="EK78" s="456">
        <f t="shared" si="269"/>
        <v>0.29162846703931528</v>
      </c>
      <c r="EL78" s="456">
        <f t="shared" si="270"/>
        <v>2.0757120000000002</v>
      </c>
      <c r="EM78" s="456">
        <f t="shared" si="271"/>
        <v>3.0602194451468459E-2</v>
      </c>
      <c r="EN78" s="456">
        <f t="shared" si="272"/>
        <v>3.8600868299758263E-2</v>
      </c>
      <c r="EO78">
        <f t="shared" si="273"/>
        <v>5.4000000000000003E-3</v>
      </c>
      <c r="EP78" s="144">
        <f t="shared" si="306"/>
        <v>36.002194451468462</v>
      </c>
      <c r="EQ78" s="456">
        <f t="shared" si="274"/>
        <v>2.7083470874676272</v>
      </c>
      <c r="ER78" s="144">
        <f t="shared" si="307"/>
        <v>2708.3470874676273</v>
      </c>
      <c r="ES78" s="456">
        <f t="shared" si="308"/>
        <v>0.80984374999999997</v>
      </c>
      <c r="ET78" s="456"/>
      <c r="EV78" s="144">
        <f t="shared" si="309"/>
        <v>809.84375</v>
      </c>
      <c r="EW78" s="456">
        <f t="shared" si="275"/>
        <v>0.12865961781146265</v>
      </c>
      <c r="EX78" s="456">
        <f t="shared" si="276"/>
        <v>6.0297419009472809E-2</v>
      </c>
      <c r="EY78" s="456">
        <f t="shared" si="277"/>
        <v>31.876234821662486</v>
      </c>
      <c r="EZ78" s="456">
        <f t="shared" si="278"/>
        <v>32.603392786621981</v>
      </c>
      <c r="FA78" s="456">
        <f t="shared" si="279"/>
        <v>8.2733333333333325E-2</v>
      </c>
      <c r="FB78" s="144">
        <f t="shared" si="310"/>
        <v>32686.126119955312</v>
      </c>
      <c r="FC78" s="150">
        <f t="shared" si="311"/>
        <v>36.20431695742294</v>
      </c>
      <c r="FD78" s="5">
        <f t="shared" si="312"/>
        <v>62.05</v>
      </c>
      <c r="FE78" s="150">
        <f t="shared" si="313"/>
        <v>0.63152441461567999</v>
      </c>
      <c r="FF78" s="5">
        <f t="shared" si="314"/>
        <v>63.152441461567996</v>
      </c>
      <c r="FI78" s="59">
        <f t="shared" si="280"/>
        <v>-50</v>
      </c>
      <c r="FJ78">
        <f t="shared" si="281"/>
        <v>-50</v>
      </c>
      <c r="FL78">
        <f t="shared" si="282"/>
        <v>0.58436815193571945</v>
      </c>
    </row>
    <row r="79" spans="5:168">
      <c r="E79" s="147">
        <v>74</v>
      </c>
      <c r="F79" s="188">
        <f t="shared" si="283"/>
        <v>0.37</v>
      </c>
      <c r="G79" s="188"/>
      <c r="H79" s="188">
        <f t="shared" si="183"/>
        <v>62.9</v>
      </c>
      <c r="I79" s="465">
        <f t="shared" si="184"/>
        <v>11.937242195334445</v>
      </c>
      <c r="J79" s="149">
        <f t="shared" si="185"/>
        <v>8.5414038576189348</v>
      </c>
      <c r="K79" s="149">
        <f t="shared" si="186"/>
        <v>20.541403857618935</v>
      </c>
      <c r="L79" s="379"/>
      <c r="M79" s="188">
        <f t="shared" si="187"/>
        <v>0.41708625317055925</v>
      </c>
      <c r="N79" s="149">
        <f t="shared" si="188"/>
        <v>166.55945050250449</v>
      </c>
      <c r="O79" s="149">
        <f t="shared" si="284"/>
        <v>62.9</v>
      </c>
      <c r="P79" s="188">
        <f t="shared" si="189"/>
        <v>0.979761473544144</v>
      </c>
      <c r="Q79" s="188">
        <f t="shared" si="190"/>
        <v>170</v>
      </c>
      <c r="R79" s="188">
        <f t="shared" si="191"/>
        <v>0.97624698440030289</v>
      </c>
      <c r="S79" s="149">
        <f t="shared" si="192"/>
        <v>836.8819093131408</v>
      </c>
      <c r="T79" s="149">
        <f t="shared" si="193"/>
        <v>170</v>
      </c>
      <c r="U79" s="188">
        <f t="shared" si="194"/>
        <v>25.389691151563195</v>
      </c>
      <c r="V79" s="188">
        <f t="shared" si="195"/>
        <v>3.1903965844162703</v>
      </c>
      <c r="W79" s="188">
        <f t="shared" si="196"/>
        <v>4.4588146588307467</v>
      </c>
      <c r="X79" s="172">
        <f t="shared" si="197"/>
        <v>248.94420820818038</v>
      </c>
      <c r="Y79" s="379">
        <f t="shared" si="198"/>
        <v>127.40133613556893</v>
      </c>
      <c r="AA79" s="188">
        <f t="shared" si="199"/>
        <v>13.333333333333334</v>
      </c>
      <c r="AB79" s="150">
        <f t="shared" si="200"/>
        <v>2.3415354587360944</v>
      </c>
      <c r="AC79" s="150">
        <f t="shared" si="201"/>
        <v>0.19430389692214517</v>
      </c>
      <c r="AD79" s="150"/>
      <c r="AE79" s="150">
        <f t="shared" si="202"/>
        <v>2.3415354587360944</v>
      </c>
      <c r="AF79" s="314">
        <f t="shared" si="203"/>
        <v>474.04791409785088</v>
      </c>
      <c r="AG79" s="456">
        <f t="shared" si="204"/>
        <v>0.19430389692214517</v>
      </c>
      <c r="AI79" s="150">
        <f t="shared" si="205"/>
        <v>15.517288489985873</v>
      </c>
      <c r="AJ79" s="150">
        <f t="shared" si="206"/>
        <v>25.389691151563195</v>
      </c>
      <c r="AK79" s="150">
        <f t="shared" si="207"/>
        <v>10.130635420911007</v>
      </c>
      <c r="AM79" s="314">
        <f t="shared" si="208"/>
        <v>370</v>
      </c>
      <c r="AN79" s="144">
        <f t="shared" si="209"/>
        <v>127.40133613556893</v>
      </c>
      <c r="AP79">
        <f t="shared" si="210"/>
        <v>370</v>
      </c>
      <c r="AQ79">
        <f t="shared" si="211"/>
        <v>127.40133613556893</v>
      </c>
      <c r="AS79" s="5">
        <f t="shared" si="285"/>
        <v>7.8492112432470167</v>
      </c>
      <c r="AT79" s="5">
        <f t="shared" si="212"/>
        <v>3.1903965844162703</v>
      </c>
      <c r="AU79" s="5">
        <f t="shared" si="286"/>
        <v>4.658814658830746</v>
      </c>
      <c r="AV79" s="5">
        <f t="shared" si="213"/>
        <v>4.4588146588307467</v>
      </c>
      <c r="AW79" s="150">
        <f t="shared" si="287"/>
        <v>0.40646078765698823</v>
      </c>
      <c r="AX79" s="150">
        <f t="shared" si="214"/>
        <v>61.595655613776387</v>
      </c>
      <c r="AY79" s="150">
        <f t="shared" si="215"/>
        <v>0.37674443219327891</v>
      </c>
      <c r="AZ79" s="150">
        <f t="shared" si="288"/>
        <v>163.49453462440644</v>
      </c>
      <c r="BA79" s="144">
        <f t="shared" si="216"/>
        <v>0.69438043307883535</v>
      </c>
      <c r="BB79" s="5">
        <f t="shared" si="217"/>
        <v>40.913894689873104</v>
      </c>
      <c r="BC79" s="5"/>
      <c r="BD79" s="150">
        <f t="shared" si="289"/>
        <v>9.3455769522883703</v>
      </c>
      <c r="BE79" s="150">
        <f t="shared" si="218"/>
        <v>0.56466582378307006</v>
      </c>
      <c r="BF79" s="150"/>
      <c r="BG79" s="456">
        <f t="shared" si="219"/>
        <v>0.29695534914188815</v>
      </c>
      <c r="BH79" s="456">
        <f t="shared" si="220"/>
        <v>1.5913548778682107</v>
      </c>
      <c r="BI79" s="456">
        <f t="shared" si="221"/>
        <v>6.9653583730045113E-2</v>
      </c>
      <c r="BJ79" s="456">
        <f t="shared" si="222"/>
        <v>3.6823477247003987E-2</v>
      </c>
      <c r="BK79">
        <f t="shared" si="223"/>
        <v>5.3717589879005E-3</v>
      </c>
      <c r="BL79" s="144">
        <f t="shared" si="290"/>
        <v>75.02534271794562</v>
      </c>
      <c r="BM79" s="456">
        <f t="shared" si="224"/>
        <v>2.157540339748349</v>
      </c>
      <c r="BN79" s="144">
        <f t="shared" si="291"/>
        <v>2157.5403397483492</v>
      </c>
      <c r="BO79" s="456">
        <f t="shared" si="225"/>
        <v>0.82093749999999999</v>
      </c>
      <c r="BP79" s="456"/>
      <c r="BR79" s="144">
        <f t="shared" si="292"/>
        <v>820.9375</v>
      </c>
      <c r="BS79" s="456">
        <f t="shared" si="226"/>
        <v>0.13100971285671537</v>
      </c>
      <c r="BT79" s="456">
        <f t="shared" si="227"/>
        <v>6.3769498509722619E-2</v>
      </c>
      <c r="BU79" s="456">
        <f t="shared" si="228"/>
        <v>0.94349999999999989</v>
      </c>
      <c r="BV79" s="456">
        <f t="shared" si="229"/>
        <v>1.2037839897893197</v>
      </c>
      <c r="BW79" s="456">
        <f t="shared" si="230"/>
        <v>8.2127540818368511E-2</v>
      </c>
      <c r="BX79" s="144">
        <f t="shared" si="293"/>
        <v>1285.9115306076883</v>
      </c>
      <c r="BY79" s="150">
        <f t="shared" si="231"/>
        <v>4.3394147130739826</v>
      </c>
      <c r="BZ79" s="5">
        <f t="shared" si="294"/>
        <v>62.9</v>
      </c>
      <c r="CA79" s="150">
        <f t="shared" si="295"/>
        <v>0.93546322894702072</v>
      </c>
      <c r="CB79" s="5">
        <f t="shared" si="296"/>
        <v>93.546322894702072</v>
      </c>
      <c r="CE79" s="59">
        <f t="shared" si="232"/>
        <v>-50</v>
      </c>
      <c r="CF79">
        <f t="shared" si="233"/>
        <v>-50</v>
      </c>
      <c r="CG79" s="150">
        <f t="shared" si="234"/>
        <v>0.57777674335860041</v>
      </c>
      <c r="CI79" s="147">
        <v>74</v>
      </c>
      <c r="CJ79" s="188">
        <f t="shared" si="297"/>
        <v>0.37</v>
      </c>
      <c r="CK79" s="188"/>
      <c r="CL79" s="188">
        <f t="shared" si="235"/>
        <v>62.9</v>
      </c>
      <c r="CM79" s="465">
        <f t="shared" si="236"/>
        <v>12</v>
      </c>
      <c r="CN79" s="149">
        <f t="shared" si="237"/>
        <v>8.5350000000000001</v>
      </c>
      <c r="CO79" s="379">
        <f t="shared" si="238"/>
        <v>20.535</v>
      </c>
      <c r="CP79" s="379"/>
      <c r="CQ79" s="188">
        <f t="shared" si="239"/>
        <v>0.4156318480642805</v>
      </c>
      <c r="CR79" s="149">
        <f t="shared" si="240"/>
        <v>166.85124908692478</v>
      </c>
      <c r="CS79" s="149">
        <f t="shared" si="298"/>
        <v>62.9</v>
      </c>
      <c r="CT79" s="188">
        <f t="shared" si="241"/>
        <v>0.98147793580543985</v>
      </c>
      <c r="CU79" s="188">
        <f t="shared" si="242"/>
        <v>170</v>
      </c>
      <c r="CV79" s="188">
        <f t="shared" si="243"/>
        <v>0.97795728956301287</v>
      </c>
      <c r="CW79" s="149">
        <f t="shared" si="244"/>
        <v>841.28061061641938</v>
      </c>
      <c r="CX79" s="149">
        <f t="shared" si="245"/>
        <v>170</v>
      </c>
      <c r="CY79" s="188">
        <f t="shared" si="246"/>
        <v>25.222642062097243</v>
      </c>
      <c r="CZ79" s="188">
        <f t="shared" si="247"/>
        <v>3.1528302577621554</v>
      </c>
      <c r="DA79" s="188">
        <f t="shared" si="248"/>
        <v>4.4328017683826433</v>
      </c>
      <c r="DB79" s="172">
        <f t="shared" si="249"/>
        <v>249.37910883856827</v>
      </c>
      <c r="DC79" s="379">
        <f t="shared" si="299"/>
        <v>131.82817154238157</v>
      </c>
      <c r="DE79" s="188">
        <f t="shared" si="250"/>
        <v>13.333333333333334</v>
      </c>
      <c r="DF79" s="150">
        <f t="shared" si="251"/>
        <v>2.3432923257176337</v>
      </c>
      <c r="DG79" s="150">
        <f t="shared" si="252"/>
        <v>0.19478938397857323</v>
      </c>
      <c r="DH79" s="150"/>
      <c r="DI79" s="150">
        <f t="shared" si="253"/>
        <v>2.3432923257176337</v>
      </c>
      <c r="DJ79" s="314">
        <f t="shared" si="300"/>
        <v>473.69249999999988</v>
      </c>
      <c r="DK79" s="456">
        <f t="shared" si="254"/>
        <v>0.19478938397857321</v>
      </c>
      <c r="DM79" s="150">
        <f t="shared" si="255"/>
        <v>15.511470410174343</v>
      </c>
      <c r="DN79" s="150">
        <f t="shared" si="256"/>
        <v>25.222642062097243</v>
      </c>
      <c r="DO79" s="150">
        <f t="shared" si="257"/>
        <v>10.006895354639932</v>
      </c>
      <c r="DQ79" s="314">
        <f t="shared" si="258"/>
        <v>370</v>
      </c>
      <c r="DR79" s="144">
        <f t="shared" si="259"/>
        <v>131.82817154238157</v>
      </c>
      <c r="DT79">
        <f t="shared" si="260"/>
        <v>370</v>
      </c>
      <c r="DU79">
        <f t="shared" si="261"/>
        <v>131.82817154238157</v>
      </c>
      <c r="DW79" s="5">
        <f t="shared" si="301"/>
        <v>7.5856320261447987</v>
      </c>
      <c r="DX79" s="5">
        <f t="shared" si="262"/>
        <v>3.1528302577621554</v>
      </c>
      <c r="DY79" s="5">
        <f t="shared" si="302"/>
        <v>4.4328017683826433</v>
      </c>
      <c r="DZ79" s="5">
        <f t="shared" si="263"/>
        <v>4.4328017683826433</v>
      </c>
      <c r="EA79" s="150">
        <f t="shared" si="303"/>
        <v>0.41563184806428055</v>
      </c>
      <c r="EB79" s="150">
        <f t="shared" si="264"/>
        <v>62.9</v>
      </c>
      <c r="EC79" s="150">
        <f t="shared" si="265"/>
        <v>0.36848271821909778</v>
      </c>
      <c r="ED79" s="150">
        <f t="shared" si="304"/>
        <v>170.70000000000002</v>
      </c>
      <c r="EE79" s="144">
        <f t="shared" si="266"/>
        <v>0.68620423257176322</v>
      </c>
      <c r="EF79" s="5">
        <f t="shared" si="267"/>
        <v>38.725448782120587</v>
      </c>
      <c r="EG79" s="5"/>
      <c r="EH79" s="150">
        <f t="shared" si="305"/>
        <v>9.388243788276192</v>
      </c>
      <c r="EI79" s="150">
        <f t="shared" si="268"/>
        <v>0.55660002718016888</v>
      </c>
      <c r="EJ79" s="150"/>
      <c r="EK79" s="456">
        <f t="shared" si="269"/>
        <v>0.29967301285556208</v>
      </c>
      <c r="EL79" s="456">
        <f t="shared" si="270"/>
        <v>2.0757120000000002</v>
      </c>
      <c r="EM79" s="456">
        <f t="shared" si="271"/>
        <v>3.018865128320538E-2</v>
      </c>
      <c r="EN79" s="456">
        <f t="shared" si="272"/>
        <v>3.8079234944356125E-2</v>
      </c>
      <c r="EO79">
        <f t="shared" si="273"/>
        <v>5.4000000000000003E-3</v>
      </c>
      <c r="EP79" s="144">
        <f t="shared" si="306"/>
        <v>35.58865128320538</v>
      </c>
      <c r="EQ79" s="456">
        <f t="shared" si="274"/>
        <v>2.7239135432280404</v>
      </c>
      <c r="ER79" s="144">
        <f t="shared" si="307"/>
        <v>2723.9135432280405</v>
      </c>
      <c r="ES79" s="456">
        <f t="shared" si="308"/>
        <v>0.82093749999999999</v>
      </c>
      <c r="ET79" s="456"/>
      <c r="EV79" s="144">
        <f t="shared" si="309"/>
        <v>820.9375</v>
      </c>
      <c r="EW79" s="456">
        <f t="shared" si="275"/>
        <v>0.13220868214215975</v>
      </c>
      <c r="EX79" s="456">
        <f t="shared" si="276"/>
        <v>6.196071805139295E-2</v>
      </c>
      <c r="EY79" s="456">
        <f t="shared" si="277"/>
        <v>31.876234821662486</v>
      </c>
      <c r="EZ79" s="456">
        <f t="shared" si="278"/>
        <v>32.623767873100377</v>
      </c>
      <c r="FA79" s="456">
        <f t="shared" si="279"/>
        <v>8.3866666666666659E-2</v>
      </c>
      <c r="FB79" s="144">
        <f t="shared" si="310"/>
        <v>32707.634539767041</v>
      </c>
      <c r="FC79" s="150">
        <f t="shared" si="311"/>
        <v>36.252485582995085</v>
      </c>
      <c r="FD79" s="5">
        <f t="shared" si="312"/>
        <v>62.9</v>
      </c>
      <c r="FE79" s="150">
        <f t="shared" si="313"/>
        <v>0.63437643171688196</v>
      </c>
      <c r="FF79" s="5">
        <f t="shared" si="314"/>
        <v>63.437643171688194</v>
      </c>
      <c r="FI79" s="59">
        <f t="shared" si="280"/>
        <v>-50</v>
      </c>
      <c r="FJ79">
        <f t="shared" si="281"/>
        <v>-50</v>
      </c>
      <c r="FL79">
        <f t="shared" si="282"/>
        <v>0.58436815193571945</v>
      </c>
    </row>
    <row r="80" spans="5:168">
      <c r="E80" s="147">
        <v>75</v>
      </c>
      <c r="F80" s="188">
        <f t="shared" si="283"/>
        <v>0.375</v>
      </c>
      <c r="G80" s="188"/>
      <c r="H80" s="188">
        <f t="shared" si="183"/>
        <v>63.75</v>
      </c>
      <c r="I80" s="465">
        <f t="shared" si="184"/>
        <v>11.936403790493433</v>
      </c>
      <c r="J80" s="149">
        <f t="shared" si="185"/>
        <v>8.5414894091333231</v>
      </c>
      <c r="K80" s="149">
        <f t="shared" si="186"/>
        <v>20.541489409133323</v>
      </c>
      <c r="L80" s="379"/>
      <c r="M80" s="188">
        <f t="shared" si="187"/>
        <v>0.41710576514361891</v>
      </c>
      <c r="N80" s="149">
        <f t="shared" si="188"/>
        <v>166.55554367689686</v>
      </c>
      <c r="O80" s="149">
        <f t="shared" si="284"/>
        <v>63.75</v>
      </c>
      <c r="P80" s="188">
        <f t="shared" si="189"/>
        <v>0.97973849221704035</v>
      </c>
      <c r="Q80" s="188">
        <f t="shared" si="190"/>
        <v>170</v>
      </c>
      <c r="R80" s="188">
        <f t="shared" si="191"/>
        <v>0.97622408550920714</v>
      </c>
      <c r="S80" s="149">
        <f t="shared" si="192"/>
        <v>822.48859733260065</v>
      </c>
      <c r="T80" s="149">
        <f t="shared" si="193"/>
        <v>170</v>
      </c>
      <c r="U80" s="188">
        <f t="shared" si="194"/>
        <v>25.733656473195065</v>
      </c>
      <c r="V80" s="188">
        <f t="shared" si="195"/>
        <v>3.2338454183776326</v>
      </c>
      <c r="W80" s="188">
        <f t="shared" si="196"/>
        <v>4.5191749191326647</v>
      </c>
      <c r="X80" s="172">
        <f t="shared" si="197"/>
        <v>248.93836872217105</v>
      </c>
      <c r="Y80" s="379">
        <f t="shared" si="198"/>
        <v>125.73839341055316</v>
      </c>
      <c r="AA80" s="188">
        <f t="shared" si="199"/>
        <v>13.333333333333334</v>
      </c>
      <c r="AB80" s="150">
        <f t="shared" si="200"/>
        <v>2.3415120059288741</v>
      </c>
      <c r="AC80" s="150">
        <f t="shared" si="201"/>
        <v>0.19429739303310417</v>
      </c>
      <c r="AD80" s="150"/>
      <c r="AE80" s="150">
        <f t="shared" si="202"/>
        <v>2.3415120059288741</v>
      </c>
      <c r="AF80" s="314">
        <f t="shared" si="203"/>
        <v>480.45877926374931</v>
      </c>
      <c r="AG80" s="456">
        <f t="shared" si="204"/>
        <v>0.19429739303310417</v>
      </c>
      <c r="AI80" s="150">
        <f t="shared" si="205"/>
        <v>15.621861430273485</v>
      </c>
      <c r="AJ80" s="150">
        <f t="shared" si="206"/>
        <v>25.733656473195065</v>
      </c>
      <c r="AK80" s="150">
        <f t="shared" si="207"/>
        <v>10.385424548045727</v>
      </c>
      <c r="AM80" s="314">
        <f t="shared" si="208"/>
        <v>375</v>
      </c>
      <c r="AN80" s="144">
        <f t="shared" si="209"/>
        <v>125.73839341055316</v>
      </c>
      <c r="AP80">
        <f t="shared" si="210"/>
        <v>375</v>
      </c>
      <c r="AQ80">
        <f t="shared" si="211"/>
        <v>125.73839341055316</v>
      </c>
      <c r="AS80" s="5">
        <f t="shared" si="285"/>
        <v>7.9530203375102975</v>
      </c>
      <c r="AT80" s="5">
        <f t="shared" si="212"/>
        <v>3.2338454183776326</v>
      </c>
      <c r="AU80" s="5">
        <f t="shared" si="286"/>
        <v>4.7191749191326648</v>
      </c>
      <c r="AV80" s="5">
        <f t="shared" si="213"/>
        <v>4.5191749191326647</v>
      </c>
      <c r="AW80" s="150">
        <f t="shared" si="287"/>
        <v>0.40661852744488164</v>
      </c>
      <c r="AX80" s="150">
        <f t="shared" si="214"/>
        <v>62.449960585136964</v>
      </c>
      <c r="AY80" s="150">
        <f t="shared" si="215"/>
        <v>0.38174687430730103</v>
      </c>
      <c r="AZ80" s="150">
        <f t="shared" si="288"/>
        <v>163.58997227798019</v>
      </c>
      <c r="BA80" s="144">
        <f t="shared" si="216"/>
        <v>0.71334825405388946</v>
      </c>
      <c r="BB80" s="5">
        <f t="shared" si="217"/>
        <v>42.006985014798829</v>
      </c>
      <c r="BC80" s="5"/>
      <c r="BD80" s="150">
        <f t="shared" si="289"/>
        <v>9.4740234070995744</v>
      </c>
      <c r="BE80" s="150">
        <f t="shared" si="218"/>
        <v>0.57223954550345613</v>
      </c>
      <c r="BF80" s="150"/>
      <c r="BG80" s="456">
        <f t="shared" si="219"/>
        <v>0.30517420636212012</v>
      </c>
      <c r="BH80" s="456">
        <f t="shared" si="220"/>
        <v>1.5918672714001929</v>
      </c>
      <c r="BI80" s="456">
        <f t="shared" si="221"/>
        <v>6.8739581995805682E-2</v>
      </c>
      <c r="BJ80" s="456">
        <f t="shared" si="222"/>
        <v>3.6343130902287635E-2</v>
      </c>
      <c r="BK80">
        <f t="shared" si="223"/>
        <v>5.3713817057220448E-3</v>
      </c>
      <c r="BL80" s="144">
        <f t="shared" si="290"/>
        <v>74.110963701527723</v>
      </c>
      <c r="BM80" s="456">
        <f t="shared" si="224"/>
        <v>2.1733714883580957</v>
      </c>
      <c r="BN80" s="144">
        <f t="shared" si="291"/>
        <v>2173.3714883580956</v>
      </c>
      <c r="BO80" s="456">
        <f t="shared" si="225"/>
        <v>0.83203125</v>
      </c>
      <c r="BP80" s="456"/>
      <c r="BR80" s="144">
        <f t="shared" si="292"/>
        <v>832.03125</v>
      </c>
      <c r="BS80" s="456">
        <f t="shared" si="226"/>
        <v>0.13463567927740594</v>
      </c>
      <c r="BT80" s="456">
        <f t="shared" si="227"/>
        <v>6.5491619487600405E-2</v>
      </c>
      <c r="BU80" s="456">
        <f t="shared" si="228"/>
        <v>0.95624999999999993</v>
      </c>
      <c r="BV80" s="456">
        <f t="shared" si="229"/>
        <v>1.2240043857808349</v>
      </c>
      <c r="BW80" s="456">
        <f t="shared" si="230"/>
        <v>8.3266614113515949E-2</v>
      </c>
      <c r="BX80" s="144">
        <f t="shared" si="293"/>
        <v>1307.2709998943508</v>
      </c>
      <c r="BY80" s="150">
        <f t="shared" si="231"/>
        <v>4.3867847019539745</v>
      </c>
      <c r="BZ80" s="5">
        <f t="shared" si="294"/>
        <v>63.75</v>
      </c>
      <c r="CA80" s="150">
        <f t="shared" si="295"/>
        <v>0.93561796728238966</v>
      </c>
      <c r="CB80" s="5">
        <f t="shared" si="296"/>
        <v>93.56179672823896</v>
      </c>
      <c r="CE80" s="59">
        <f t="shared" si="232"/>
        <v>-50</v>
      </c>
      <c r="CF80">
        <f t="shared" si="233"/>
        <v>-50</v>
      </c>
      <c r="CG80" s="150">
        <f t="shared" si="234"/>
        <v>0.57786462880629541</v>
      </c>
      <c r="CI80" s="147">
        <v>75</v>
      </c>
      <c r="CJ80" s="188">
        <f t="shared" si="297"/>
        <v>0.375</v>
      </c>
      <c r="CK80" s="188"/>
      <c r="CL80" s="188">
        <f t="shared" si="235"/>
        <v>63.75</v>
      </c>
      <c r="CM80" s="465">
        <f t="shared" si="236"/>
        <v>12</v>
      </c>
      <c r="CN80" s="149">
        <f t="shared" si="237"/>
        <v>8.5350000000000001</v>
      </c>
      <c r="CO80" s="379">
        <f t="shared" si="238"/>
        <v>20.535</v>
      </c>
      <c r="CP80" s="379"/>
      <c r="CQ80" s="188">
        <f t="shared" si="239"/>
        <v>0.4156318480642805</v>
      </c>
      <c r="CR80" s="149">
        <f t="shared" si="240"/>
        <v>166.85124908692478</v>
      </c>
      <c r="CS80" s="149">
        <f t="shared" si="298"/>
        <v>63.75</v>
      </c>
      <c r="CT80" s="188">
        <f t="shared" si="241"/>
        <v>0.98147793580543985</v>
      </c>
      <c r="CU80" s="188">
        <f t="shared" si="242"/>
        <v>170</v>
      </c>
      <c r="CV80" s="188">
        <f t="shared" si="243"/>
        <v>0.97795728956301287</v>
      </c>
      <c r="CW80" s="149">
        <f t="shared" si="244"/>
        <v>826.86967072293339</v>
      </c>
      <c r="CX80" s="149">
        <f t="shared" si="245"/>
        <v>170</v>
      </c>
      <c r="CY80" s="188">
        <f t="shared" si="246"/>
        <v>25.56348857644991</v>
      </c>
      <c r="CZ80" s="188">
        <f t="shared" si="247"/>
        <v>3.1954360720562387</v>
      </c>
      <c r="DA80" s="188">
        <f t="shared" si="248"/>
        <v>4.4927044949824086</v>
      </c>
      <c r="DB80" s="172">
        <f t="shared" si="249"/>
        <v>249.37910883856827</v>
      </c>
      <c r="DC80" s="379">
        <f t="shared" si="299"/>
        <v>130.07046258848314</v>
      </c>
      <c r="DE80" s="188">
        <f t="shared" si="250"/>
        <v>13.333333333333334</v>
      </c>
      <c r="DF80" s="150">
        <f t="shared" si="251"/>
        <v>2.3432923257176337</v>
      </c>
      <c r="DG80" s="150">
        <f t="shared" si="252"/>
        <v>0.19478938397857323</v>
      </c>
      <c r="DH80" s="150"/>
      <c r="DI80" s="150">
        <f t="shared" si="253"/>
        <v>2.3432923257176337</v>
      </c>
      <c r="DJ80" s="314">
        <f t="shared" si="300"/>
        <v>480.09374999999989</v>
      </c>
      <c r="DK80" s="456">
        <f t="shared" si="254"/>
        <v>0.19478938397857321</v>
      </c>
      <c r="DM80" s="150">
        <f t="shared" si="255"/>
        <v>15.615925936592516</v>
      </c>
      <c r="DN80" s="150">
        <f t="shared" si="256"/>
        <v>25.56348857644991</v>
      </c>
      <c r="DO80" s="150">
        <f t="shared" si="257"/>
        <v>10.259374254160425</v>
      </c>
      <c r="DQ80" s="314">
        <f t="shared" si="258"/>
        <v>375</v>
      </c>
      <c r="DR80" s="144">
        <f t="shared" si="259"/>
        <v>130.07046258848314</v>
      </c>
      <c r="DT80">
        <f t="shared" si="260"/>
        <v>375</v>
      </c>
      <c r="DU80">
        <f t="shared" si="261"/>
        <v>130.07046258848314</v>
      </c>
      <c r="DW80" s="5">
        <f t="shared" si="301"/>
        <v>7.6881405670386478</v>
      </c>
      <c r="DX80" s="5">
        <f t="shared" si="262"/>
        <v>3.1954360720562387</v>
      </c>
      <c r="DY80" s="5">
        <f t="shared" si="302"/>
        <v>4.4927044949824086</v>
      </c>
      <c r="DZ80" s="5">
        <f t="shared" si="263"/>
        <v>4.4927044949824086</v>
      </c>
      <c r="EA80" s="150">
        <f t="shared" si="303"/>
        <v>0.4156318480642805</v>
      </c>
      <c r="EB80" s="150">
        <f t="shared" si="264"/>
        <v>63.75</v>
      </c>
      <c r="EC80" s="150">
        <f t="shared" si="265"/>
        <v>0.37346221441124783</v>
      </c>
      <c r="ED80" s="150">
        <f t="shared" si="304"/>
        <v>170.7</v>
      </c>
      <c r="EE80" s="144">
        <f t="shared" si="266"/>
        <v>0.70487560413005257</v>
      </c>
      <c r="EF80" s="5">
        <f t="shared" si="267"/>
        <v>39.779154382656742</v>
      </c>
      <c r="EG80" s="5"/>
      <c r="EH80" s="150">
        <f t="shared" si="305"/>
        <v>9.5151119475772195</v>
      </c>
      <c r="EI80" s="150">
        <f t="shared" si="268"/>
        <v>0.56412164916909024</v>
      </c>
      <c r="EJ80" s="150"/>
      <c r="EK80" s="456">
        <f t="shared" si="269"/>
        <v>0.3078270082747509</v>
      </c>
      <c r="EL80" s="456">
        <f t="shared" si="270"/>
        <v>2.0757120000000002</v>
      </c>
      <c r="EM80" s="456">
        <f t="shared" si="271"/>
        <v>2.9786135932762636E-2</v>
      </c>
      <c r="EN80" s="456">
        <f t="shared" si="272"/>
        <v>3.7571511811764706E-2</v>
      </c>
      <c r="EO80">
        <f t="shared" si="273"/>
        <v>5.4000000000000003E-3</v>
      </c>
      <c r="EP80" s="144">
        <f t="shared" si="306"/>
        <v>35.186135932762639</v>
      </c>
      <c r="EQ80" s="456">
        <f t="shared" si="274"/>
        <v>2.7397979398719476</v>
      </c>
      <c r="ER80" s="144">
        <f t="shared" si="307"/>
        <v>2739.7979398719476</v>
      </c>
      <c r="ES80" s="456">
        <f t="shared" si="308"/>
        <v>0.83203125</v>
      </c>
      <c r="ET80" s="456"/>
      <c r="EV80" s="144">
        <f t="shared" si="309"/>
        <v>832.03125</v>
      </c>
      <c r="EW80" s="456">
        <f t="shared" si="275"/>
        <v>0.13580603306239011</v>
      </c>
      <c r="EX80" s="456">
        <f t="shared" si="276"/>
        <v>6.3646647012250826E-2</v>
      </c>
      <c r="EY80" s="456">
        <f t="shared" si="277"/>
        <v>31.876234821662486</v>
      </c>
      <c r="EZ80" s="456">
        <f t="shared" si="278"/>
        <v>32.644437793551333</v>
      </c>
      <c r="FA80" s="456">
        <f t="shared" si="279"/>
        <v>8.5000000000000006E-2</v>
      </c>
      <c r="FB80" s="144">
        <f t="shared" si="310"/>
        <v>32729.437793551333</v>
      </c>
      <c r="FC80" s="150">
        <f t="shared" si="311"/>
        <v>36.301266983423282</v>
      </c>
      <c r="FD80" s="5">
        <f t="shared" si="312"/>
        <v>63.75</v>
      </c>
      <c r="FE80" s="150">
        <f t="shared" si="313"/>
        <v>0.63717334044917429</v>
      </c>
      <c r="FF80" s="5">
        <f t="shared" si="314"/>
        <v>63.717334044917429</v>
      </c>
      <c r="FI80" s="59">
        <f t="shared" si="280"/>
        <v>-50</v>
      </c>
      <c r="FJ80">
        <f t="shared" si="281"/>
        <v>-50</v>
      </c>
      <c r="FL80">
        <f t="shared" si="282"/>
        <v>0.58436815193571956</v>
      </c>
    </row>
    <row r="81" spans="5:168">
      <c r="E81" s="147">
        <v>76</v>
      </c>
      <c r="F81" s="188">
        <f t="shared" si="283"/>
        <v>0.38</v>
      </c>
      <c r="G81" s="188"/>
      <c r="H81" s="188">
        <f t="shared" si="183"/>
        <v>64.599999999999994</v>
      </c>
      <c r="I81" s="465">
        <f t="shared" si="184"/>
        <v>11.935565382787829</v>
      </c>
      <c r="J81" s="149">
        <f t="shared" si="185"/>
        <v>8.5415749609400162</v>
      </c>
      <c r="K81" s="149">
        <f t="shared" si="186"/>
        <v>20.541574960940018</v>
      </c>
      <c r="L81" s="379"/>
      <c r="M81" s="188">
        <f t="shared" si="187"/>
        <v>0.41712527860975213</v>
      </c>
      <c r="N81" s="149">
        <f t="shared" si="188"/>
        <v>166.55163631295542</v>
      </c>
      <c r="O81" s="149">
        <f t="shared" si="284"/>
        <v>64.599999999999994</v>
      </c>
      <c r="P81" s="188">
        <f t="shared" si="189"/>
        <v>0.97971550772326721</v>
      </c>
      <c r="Q81" s="188">
        <f t="shared" si="190"/>
        <v>170</v>
      </c>
      <c r="R81" s="188">
        <f t="shared" si="191"/>
        <v>0.97620118346280138</v>
      </c>
      <c r="S81" s="149">
        <f t="shared" si="192"/>
        <v>808.47461603588988</v>
      </c>
      <c r="T81" s="149">
        <f t="shared" si="193"/>
        <v>170</v>
      </c>
      <c r="U81" s="188">
        <f t="shared" si="194"/>
        <v>26.077644890390186</v>
      </c>
      <c r="V81" s="188">
        <f t="shared" si="195"/>
        <v>3.2773032597177831</v>
      </c>
      <c r="W81" s="188">
        <f t="shared" si="196"/>
        <v>4.5795380260036307</v>
      </c>
      <c r="X81" s="172">
        <f t="shared" si="197"/>
        <v>248.93252843654463</v>
      </c>
      <c r="Y81" s="379">
        <f t="shared" si="198"/>
        <v>124.11812080402173</v>
      </c>
      <c r="AA81" s="188">
        <f t="shared" si="199"/>
        <v>13.333333333333334</v>
      </c>
      <c r="AB81" s="150">
        <f t="shared" si="200"/>
        <v>2.3414885535113261</v>
      </c>
      <c r="AC81" s="150">
        <f t="shared" si="201"/>
        <v>0.19429088864360064</v>
      </c>
      <c r="AD81" s="150"/>
      <c r="AE81" s="150">
        <f t="shared" si="202"/>
        <v>2.3414885535113261</v>
      </c>
      <c r="AF81" s="314">
        <f t="shared" si="203"/>
        <v>486.86977277358091</v>
      </c>
      <c r="AG81" s="456">
        <f t="shared" si="204"/>
        <v>0.19429088864360067</v>
      </c>
      <c r="AI81" s="150">
        <f t="shared" si="205"/>
        <v>15.725741070056246</v>
      </c>
      <c r="AJ81" s="150">
        <f t="shared" si="206"/>
        <v>26.077644890390186</v>
      </c>
      <c r="AK81" s="150">
        <f t="shared" si="207"/>
        <v>10.640230783005075</v>
      </c>
      <c r="AM81" s="314">
        <f t="shared" si="208"/>
        <v>380</v>
      </c>
      <c r="AN81" s="144">
        <f t="shared" si="209"/>
        <v>124.11812080402173</v>
      </c>
      <c r="AP81">
        <f t="shared" si="210"/>
        <v>380</v>
      </c>
      <c r="AQ81">
        <f t="shared" si="211"/>
        <v>124.11812080402173</v>
      </c>
      <c r="AS81" s="5">
        <f t="shared" si="285"/>
        <v>8.0568412857214113</v>
      </c>
      <c r="AT81" s="5">
        <f t="shared" si="212"/>
        <v>3.2773032597177831</v>
      </c>
      <c r="AU81" s="5">
        <f t="shared" si="286"/>
        <v>4.7795380260036282</v>
      </c>
      <c r="AV81" s="5">
        <f t="shared" si="213"/>
        <v>4.5795380260036307</v>
      </c>
      <c r="AW81" s="150">
        <f t="shared" si="287"/>
        <v>0.40677272190106606</v>
      </c>
      <c r="AX81" s="150">
        <f t="shared" si="214"/>
        <v>63.304296831050408</v>
      </c>
      <c r="AY81" s="150">
        <f t="shared" si="215"/>
        <v>0.38674925743891858</v>
      </c>
      <c r="AZ81" s="150">
        <f t="shared" si="288"/>
        <v>163.68304686673741</v>
      </c>
      <c r="BA81" s="144">
        <f t="shared" si="216"/>
        <v>0.73257366981926919</v>
      </c>
      <c r="BB81" s="5">
        <f t="shared" si="217"/>
        <v>43.114583261257657</v>
      </c>
      <c r="BC81" s="5"/>
      <c r="BD81" s="150">
        <f t="shared" si="289"/>
        <v>9.6024852884505005</v>
      </c>
      <c r="BE81" s="150">
        <f t="shared" si="218"/>
        <v>0.57981346992270466</v>
      </c>
      <c r="BF81" s="150"/>
      <c r="BG81" s="456">
        <f t="shared" si="219"/>
        <v>0.3135062606306882</v>
      </c>
      <c r="BH81" s="456">
        <f t="shared" si="220"/>
        <v>1.5923657033641809</v>
      </c>
      <c r="BI81" s="456">
        <f t="shared" si="221"/>
        <v>6.7849033528868313E-2</v>
      </c>
      <c r="BJ81" s="456">
        <f t="shared" si="222"/>
        <v>3.5875109926423607E-2</v>
      </c>
      <c r="BK81">
        <f t="shared" si="223"/>
        <v>5.3710044222545225E-3</v>
      </c>
      <c r="BL81" s="144">
        <f t="shared" si="290"/>
        <v>73.220037951122833</v>
      </c>
      <c r="BM81" s="456">
        <f t="shared" si="224"/>
        <v>2.1894866251489824</v>
      </c>
      <c r="BN81" s="144">
        <f t="shared" si="291"/>
        <v>2189.4866251489825</v>
      </c>
      <c r="BO81" s="456">
        <f t="shared" si="225"/>
        <v>0.8431249999999999</v>
      </c>
      <c r="BP81" s="456"/>
      <c r="BR81" s="144">
        <f t="shared" si="292"/>
        <v>843.12499999999989</v>
      </c>
      <c r="BS81" s="456">
        <f t="shared" si="226"/>
        <v>0.13831158557236245</v>
      </c>
      <c r="BT81" s="456">
        <f t="shared" si="227"/>
        <v>6.7236731980761438E-2</v>
      </c>
      <c r="BU81" s="456">
        <f t="shared" si="228"/>
        <v>0.96899999999999986</v>
      </c>
      <c r="BV81" s="456">
        <f t="shared" si="229"/>
        <v>1.2443417012175908</v>
      </c>
      <c r="BW81" s="456">
        <f t="shared" si="230"/>
        <v>8.4405729108067221E-2</v>
      </c>
      <c r="BX81" s="144">
        <f t="shared" si="293"/>
        <v>1328.7474303256581</v>
      </c>
      <c r="BY81" s="150">
        <f t="shared" si="231"/>
        <v>4.4345790934257643</v>
      </c>
      <c r="BZ81" s="5">
        <f t="shared" si="294"/>
        <v>64.599999999999994</v>
      </c>
      <c r="CA81" s="150">
        <f t="shared" si="295"/>
        <v>0.93576292994523269</v>
      </c>
      <c r="CB81" s="5">
        <f t="shared" si="296"/>
        <v>93.576292994523271</v>
      </c>
      <c r="CE81" s="59">
        <f t="shared" si="232"/>
        <v>-50</v>
      </c>
      <c r="CF81">
        <f t="shared" si="233"/>
        <v>-50</v>
      </c>
      <c r="CG81" s="150">
        <f t="shared" si="234"/>
        <v>0.57795020147905096</v>
      </c>
      <c r="CI81" s="147">
        <v>76</v>
      </c>
      <c r="CJ81" s="188">
        <f t="shared" si="297"/>
        <v>0.38</v>
      </c>
      <c r="CK81" s="188"/>
      <c r="CL81" s="188">
        <f t="shared" si="235"/>
        <v>64.599999999999994</v>
      </c>
      <c r="CM81" s="465">
        <f t="shared" si="236"/>
        <v>12</v>
      </c>
      <c r="CN81" s="149">
        <f t="shared" si="237"/>
        <v>8.5350000000000001</v>
      </c>
      <c r="CO81" s="379">
        <f t="shared" si="238"/>
        <v>20.535</v>
      </c>
      <c r="CP81" s="379"/>
      <c r="CQ81" s="188">
        <f t="shared" si="239"/>
        <v>0.4156318480642805</v>
      </c>
      <c r="CR81" s="149">
        <f t="shared" si="240"/>
        <v>166.85124908692478</v>
      </c>
      <c r="CS81" s="149">
        <f t="shared" si="298"/>
        <v>64.599999999999994</v>
      </c>
      <c r="CT81" s="188">
        <f t="shared" si="241"/>
        <v>0.98147793580543985</v>
      </c>
      <c r="CU81" s="188">
        <f t="shared" si="242"/>
        <v>170</v>
      </c>
      <c r="CV81" s="188">
        <f t="shared" si="243"/>
        <v>0.97795728956301287</v>
      </c>
      <c r="CW81" s="149">
        <f t="shared" si="244"/>
        <v>812.83808433812305</v>
      </c>
      <c r="CX81" s="149">
        <f t="shared" si="245"/>
        <v>170</v>
      </c>
      <c r="CY81" s="188">
        <f t="shared" si="246"/>
        <v>25.904335090802576</v>
      </c>
      <c r="CZ81" s="188">
        <f t="shared" si="247"/>
        <v>3.238041886350322</v>
      </c>
      <c r="DA81" s="188">
        <f t="shared" si="248"/>
        <v>4.5526072215821749</v>
      </c>
      <c r="DB81" s="172">
        <f t="shared" si="249"/>
        <v>249.37910883856827</v>
      </c>
      <c r="DC81" s="379">
        <f t="shared" si="299"/>
        <v>128.3590091333715</v>
      </c>
      <c r="DE81" s="188">
        <f t="shared" si="250"/>
        <v>13.333333333333334</v>
      </c>
      <c r="DF81" s="150">
        <f t="shared" si="251"/>
        <v>2.3432923257176337</v>
      </c>
      <c r="DG81" s="150">
        <f t="shared" si="252"/>
        <v>0.19478938397857323</v>
      </c>
      <c r="DH81" s="150"/>
      <c r="DI81" s="150">
        <f t="shared" si="253"/>
        <v>2.3432923257176337</v>
      </c>
      <c r="DJ81" s="314">
        <f t="shared" si="300"/>
        <v>486.49499999999989</v>
      </c>
      <c r="DK81" s="456">
        <f t="shared" si="254"/>
        <v>0.19478938397857321</v>
      </c>
      <c r="DM81" s="150">
        <f t="shared" si="255"/>
        <v>15.719687383296508</v>
      </c>
      <c r="DN81" s="150">
        <f t="shared" si="256"/>
        <v>25.904335090802576</v>
      </c>
      <c r="DO81" s="150">
        <f t="shared" si="257"/>
        <v>10.511853153680919</v>
      </c>
      <c r="DQ81" s="314">
        <f t="shared" si="258"/>
        <v>380</v>
      </c>
      <c r="DR81" s="144">
        <f t="shared" si="259"/>
        <v>128.3590091333715</v>
      </c>
      <c r="DT81">
        <f t="shared" si="260"/>
        <v>380</v>
      </c>
      <c r="DU81">
        <f t="shared" si="261"/>
        <v>128.3590091333715</v>
      </c>
      <c r="DW81" s="5">
        <f t="shared" si="301"/>
        <v>7.7906491079324978</v>
      </c>
      <c r="DX81" s="5">
        <f t="shared" si="262"/>
        <v>3.238041886350322</v>
      </c>
      <c r="DY81" s="5">
        <f t="shared" si="302"/>
        <v>4.5526072215821758</v>
      </c>
      <c r="DZ81" s="5">
        <f t="shared" si="263"/>
        <v>4.5526072215821749</v>
      </c>
      <c r="EA81" s="150">
        <f t="shared" si="303"/>
        <v>0.41563184806428044</v>
      </c>
      <c r="EB81" s="150">
        <f t="shared" si="264"/>
        <v>64.599999999999994</v>
      </c>
      <c r="EC81" s="150">
        <f t="shared" si="265"/>
        <v>0.37844171060339782</v>
      </c>
      <c r="ED81" s="150">
        <f t="shared" si="304"/>
        <v>170.69999999999996</v>
      </c>
      <c r="EE81" s="144">
        <f t="shared" si="266"/>
        <v>0.72379759812536604</v>
      </c>
      <c r="EF81" s="5">
        <f t="shared" si="267"/>
        <v>40.847003682528957</v>
      </c>
      <c r="EG81" s="5"/>
      <c r="EH81" s="150">
        <f t="shared" si="305"/>
        <v>9.6419801068782487</v>
      </c>
      <c r="EI81" s="150">
        <f t="shared" si="268"/>
        <v>0.57164327115801139</v>
      </c>
      <c r="EJ81" s="150"/>
      <c r="EK81" s="456">
        <f t="shared" si="269"/>
        <v>0.31609045329688201</v>
      </c>
      <c r="EL81" s="456">
        <f t="shared" si="270"/>
        <v>2.0757120000000002</v>
      </c>
      <c r="EM81" s="456">
        <f t="shared" si="271"/>
        <v>2.9394213091542071E-2</v>
      </c>
      <c r="EN81" s="456">
        <f t="shared" si="272"/>
        <v>3.7077149814241483E-2</v>
      </c>
      <c r="EO81">
        <f t="shared" si="273"/>
        <v>5.4000000000000003E-3</v>
      </c>
      <c r="EP81" s="144">
        <f t="shared" si="306"/>
        <v>34.794213091542069</v>
      </c>
      <c r="EQ81" s="456">
        <f t="shared" si="274"/>
        <v>2.7560025509083288</v>
      </c>
      <c r="ER81" s="144">
        <f t="shared" si="307"/>
        <v>2756.0025509083289</v>
      </c>
      <c r="ES81" s="456">
        <f t="shared" si="308"/>
        <v>0.8431249999999999</v>
      </c>
      <c r="ET81" s="456"/>
      <c r="EV81" s="144">
        <f t="shared" si="309"/>
        <v>843.12499999999989</v>
      </c>
      <c r="EW81" s="456">
        <f t="shared" si="275"/>
        <v>0.13945167057215382</v>
      </c>
      <c r="EX81" s="456">
        <f t="shared" si="276"/>
        <v>6.5355205892046339E-2</v>
      </c>
      <c r="EY81" s="456">
        <f t="shared" si="277"/>
        <v>31.876234821662543</v>
      </c>
      <c r="EZ81" s="456">
        <f t="shared" si="278"/>
        <v>32.665403285709317</v>
      </c>
      <c r="FA81" s="456">
        <f t="shared" si="279"/>
        <v>8.6133333333333326E-2</v>
      </c>
      <c r="FB81" s="144">
        <f t="shared" si="310"/>
        <v>32751.536619042654</v>
      </c>
      <c r="FC81" s="150">
        <f t="shared" si="311"/>
        <v>36.350664169950981</v>
      </c>
      <c r="FD81" s="5">
        <f t="shared" si="312"/>
        <v>64.599999999999994</v>
      </c>
      <c r="FE81" s="150">
        <f t="shared" si="313"/>
        <v>0.63991654271085874</v>
      </c>
      <c r="FF81" s="5">
        <f t="shared" si="314"/>
        <v>63.991654271085871</v>
      </c>
      <c r="FI81" s="59">
        <f t="shared" si="280"/>
        <v>-50</v>
      </c>
      <c r="FJ81">
        <f t="shared" si="281"/>
        <v>-50</v>
      </c>
      <c r="FL81">
        <f t="shared" si="282"/>
        <v>0.58436815193571956</v>
      </c>
    </row>
    <row r="82" spans="5:168">
      <c r="E82" s="147">
        <v>77</v>
      </c>
      <c r="F82" s="188">
        <f t="shared" si="283"/>
        <v>0.38500000000000001</v>
      </c>
      <c r="G82" s="188"/>
      <c r="H82" s="188">
        <f t="shared" si="183"/>
        <v>65.45</v>
      </c>
      <c r="I82" s="465">
        <f t="shared" si="184"/>
        <v>11.934726972330463</v>
      </c>
      <c r="J82" s="149">
        <f t="shared" si="185"/>
        <v>8.5416605130275034</v>
      </c>
      <c r="K82" s="149">
        <f t="shared" si="186"/>
        <v>20.541660513027502</v>
      </c>
      <c r="L82" s="379"/>
      <c r="M82" s="188">
        <f t="shared" si="187"/>
        <v>0.41714479356683348</v>
      </c>
      <c r="N82" s="149">
        <f t="shared" si="188"/>
        <v>166.54772841127493</v>
      </c>
      <c r="O82" s="149">
        <f t="shared" si="284"/>
        <v>65.45</v>
      </c>
      <c r="P82" s="188">
        <f t="shared" si="189"/>
        <v>0.97969252006632312</v>
      </c>
      <c r="Q82" s="188">
        <f t="shared" si="190"/>
        <v>170</v>
      </c>
      <c r="R82" s="188">
        <f t="shared" si="191"/>
        <v>0.9761782782645706</v>
      </c>
      <c r="S82" s="149">
        <f t="shared" si="192"/>
        <v>794.82518766973499</v>
      </c>
      <c r="T82" s="149">
        <f t="shared" si="193"/>
        <v>170</v>
      </c>
      <c r="U82" s="188">
        <f t="shared" si="194"/>
        <v>26.421656408015377</v>
      </c>
      <c r="V82" s="188">
        <f t="shared" si="195"/>
        <v>3.3207701109465879</v>
      </c>
      <c r="W82" s="188">
        <f t="shared" si="196"/>
        <v>4.6399039802128286</v>
      </c>
      <c r="X82" s="172">
        <f t="shared" si="197"/>
        <v>248.92668735199325</v>
      </c>
      <c r="Y82" s="379">
        <f t="shared" si="198"/>
        <v>122.53889676629966</v>
      </c>
      <c r="AA82" s="188">
        <f t="shared" si="199"/>
        <v>13.333333333333334</v>
      </c>
      <c r="AB82" s="150">
        <f t="shared" si="200"/>
        <v>2.3414651014865968</v>
      </c>
      <c r="AC82" s="150">
        <f t="shared" si="201"/>
        <v>0.19428438375445242</v>
      </c>
      <c r="AD82" s="150"/>
      <c r="AE82" s="150">
        <f t="shared" si="202"/>
        <v>2.3414651014865968</v>
      </c>
      <c r="AF82" s="314">
        <f t="shared" si="203"/>
        <v>493.28089462733823</v>
      </c>
      <c r="AG82" s="456">
        <f t="shared" si="204"/>
        <v>0.19428438375445245</v>
      </c>
      <c r="AI82" s="150">
        <f t="shared" si="205"/>
        <v>15.828941058984546</v>
      </c>
      <c r="AJ82" s="150">
        <f t="shared" si="206"/>
        <v>26.421656408015377</v>
      </c>
      <c r="AK82" s="150">
        <f t="shared" si="207"/>
        <v>10.895054129394106</v>
      </c>
      <c r="AM82" s="314">
        <f t="shared" si="208"/>
        <v>385</v>
      </c>
      <c r="AN82" s="144">
        <f t="shared" si="209"/>
        <v>122.53889676629966</v>
      </c>
      <c r="AP82">
        <f t="shared" si="210"/>
        <v>385</v>
      </c>
      <c r="AQ82">
        <f t="shared" si="211"/>
        <v>122.53889676629966</v>
      </c>
      <c r="AS82" s="5">
        <f t="shared" si="285"/>
        <v>8.1606740911594162</v>
      </c>
      <c r="AT82" s="5">
        <f t="shared" si="212"/>
        <v>3.3207701109465879</v>
      </c>
      <c r="AU82" s="5">
        <f t="shared" si="286"/>
        <v>4.8399039802128279</v>
      </c>
      <c r="AV82" s="5">
        <f t="shared" si="213"/>
        <v>4.6399039802128286</v>
      </c>
      <c r="AW82" s="150">
        <f t="shared" si="287"/>
        <v>0.40692350580989739</v>
      </c>
      <c r="AX82" s="150">
        <f t="shared" si="214"/>
        <v>64.158663813644395</v>
      </c>
      <c r="AY82" s="150">
        <f t="shared" si="215"/>
        <v>0.39175158382903047</v>
      </c>
      <c r="AZ82" s="150">
        <f t="shared" si="288"/>
        <v>163.7738466467687</v>
      </c>
      <c r="BA82" s="144">
        <f t="shared" si="216"/>
        <v>0.75205676042025671</v>
      </c>
      <c r="BB82" s="5">
        <f t="shared" si="217"/>
        <v>44.236693507852458</v>
      </c>
      <c r="BC82" s="5"/>
      <c r="BD82" s="150">
        <f t="shared" si="289"/>
        <v>9.7309625685944869</v>
      </c>
      <c r="BE82" s="150">
        <f t="shared" si="218"/>
        <v>0.5873875990413393</v>
      </c>
      <c r="BF82" s="150"/>
      <c r="BG82" s="456">
        <f t="shared" si="219"/>
        <v>0.32195155053871582</v>
      </c>
      <c r="BH82" s="456">
        <f t="shared" si="220"/>
        <v>1.5928507041204956</v>
      </c>
      <c r="BI82" s="456">
        <f t="shared" si="221"/>
        <v>6.6981047058953955E-2</v>
      </c>
      <c r="BJ82" s="456">
        <f t="shared" si="222"/>
        <v>3.5418945930749568E-2</v>
      </c>
      <c r="BK82">
        <f t="shared" si="223"/>
        <v>5.3706271375487079E-3</v>
      </c>
      <c r="BL82" s="144">
        <f t="shared" si="290"/>
        <v>72.351674196502671</v>
      </c>
      <c r="BM82" s="456">
        <f t="shared" si="224"/>
        <v>2.2058891265203044</v>
      </c>
      <c r="BN82" s="144">
        <f t="shared" si="291"/>
        <v>2205.8891265203047</v>
      </c>
      <c r="BO82" s="456">
        <f t="shared" si="225"/>
        <v>0.85421875000000003</v>
      </c>
      <c r="BP82" s="456"/>
      <c r="BR82" s="144">
        <f t="shared" si="292"/>
        <v>854.21875</v>
      </c>
      <c r="BS82" s="456">
        <f t="shared" si="226"/>
        <v>0.14203744876708052</v>
      </c>
      <c r="BT82" s="456">
        <f t="shared" si="227"/>
        <v>6.9004838301509844E-2</v>
      </c>
      <c r="BU82" s="456">
        <f t="shared" si="228"/>
        <v>0.98175000000000001</v>
      </c>
      <c r="BV82" s="456">
        <f t="shared" si="229"/>
        <v>1.2647964792984476</v>
      </c>
      <c r="BW82" s="456">
        <f t="shared" si="230"/>
        <v>8.554488508485919E-2</v>
      </c>
      <c r="BX82" s="144">
        <f t="shared" si="293"/>
        <v>1350.3413643833069</v>
      </c>
      <c r="BY82" s="150">
        <f t="shared" si="231"/>
        <v>4.4828009151001149</v>
      </c>
      <c r="BZ82" s="5">
        <f t="shared" si="294"/>
        <v>65.45</v>
      </c>
      <c r="CA82" s="150">
        <f t="shared" si="295"/>
        <v>0.93589845027739804</v>
      </c>
      <c r="CB82" s="5">
        <f t="shared" si="296"/>
        <v>93.589845027739798</v>
      </c>
      <c r="CE82" s="59">
        <f t="shared" si="232"/>
        <v>-50</v>
      </c>
      <c r="CF82">
        <f t="shared" si="233"/>
        <v>-50</v>
      </c>
      <c r="CG82" s="150">
        <f t="shared" si="234"/>
        <v>0.57803355148498148</v>
      </c>
      <c r="CI82" s="147">
        <v>77</v>
      </c>
      <c r="CJ82" s="188">
        <f t="shared" si="297"/>
        <v>0.38500000000000001</v>
      </c>
      <c r="CK82" s="188"/>
      <c r="CL82" s="188">
        <f t="shared" si="235"/>
        <v>65.45</v>
      </c>
      <c r="CM82" s="465">
        <f t="shared" si="236"/>
        <v>12</v>
      </c>
      <c r="CN82" s="149">
        <f t="shared" si="237"/>
        <v>8.5350000000000001</v>
      </c>
      <c r="CO82" s="379">
        <f t="shared" si="238"/>
        <v>20.535</v>
      </c>
      <c r="CP82" s="379"/>
      <c r="CQ82" s="188">
        <f t="shared" si="239"/>
        <v>0.4156318480642805</v>
      </c>
      <c r="CR82" s="149">
        <f t="shared" si="240"/>
        <v>166.85124908692478</v>
      </c>
      <c r="CS82" s="149">
        <f t="shared" si="298"/>
        <v>65.45</v>
      </c>
      <c r="CT82" s="188">
        <f t="shared" si="241"/>
        <v>0.98147793580543985</v>
      </c>
      <c r="CU82" s="188">
        <f t="shared" si="242"/>
        <v>170</v>
      </c>
      <c r="CV82" s="188">
        <f t="shared" si="243"/>
        <v>0.97795728956301287</v>
      </c>
      <c r="CW82" s="149">
        <f t="shared" si="244"/>
        <v>799.17107280988148</v>
      </c>
      <c r="CX82" s="149">
        <f t="shared" si="245"/>
        <v>170</v>
      </c>
      <c r="CY82" s="188">
        <f t="shared" si="246"/>
        <v>26.245181605155242</v>
      </c>
      <c r="CZ82" s="188">
        <f t="shared" si="247"/>
        <v>3.2806477006444057</v>
      </c>
      <c r="DA82" s="188">
        <f t="shared" si="248"/>
        <v>4.6125099481819403</v>
      </c>
      <c r="DB82" s="172">
        <f t="shared" si="249"/>
        <v>249.37910883856827</v>
      </c>
      <c r="DC82" s="379">
        <f t="shared" si="299"/>
        <v>126.69200901475631</v>
      </c>
      <c r="DE82" s="188">
        <f t="shared" si="250"/>
        <v>13.333333333333334</v>
      </c>
      <c r="DF82" s="150">
        <f t="shared" si="251"/>
        <v>2.3432923257176337</v>
      </c>
      <c r="DG82" s="150">
        <f t="shared" si="252"/>
        <v>0.19478938397857323</v>
      </c>
      <c r="DH82" s="150"/>
      <c r="DI82" s="150">
        <f t="shared" si="253"/>
        <v>2.3432923257176337</v>
      </c>
      <c r="DJ82" s="314">
        <f t="shared" si="300"/>
        <v>492.8962499999999</v>
      </c>
      <c r="DK82" s="456">
        <f t="shared" si="254"/>
        <v>0.19478938397857321</v>
      </c>
      <c r="DM82" s="150">
        <f t="shared" si="255"/>
        <v>15.822768405054786</v>
      </c>
      <c r="DN82" s="150">
        <f t="shared" si="256"/>
        <v>26.245181605155242</v>
      </c>
      <c r="DO82" s="150">
        <f t="shared" si="257"/>
        <v>10.764332053201413</v>
      </c>
      <c r="DQ82" s="314">
        <f t="shared" si="258"/>
        <v>385</v>
      </c>
      <c r="DR82" s="144">
        <f t="shared" si="259"/>
        <v>126.69200901475631</v>
      </c>
      <c r="DT82">
        <f t="shared" si="260"/>
        <v>385</v>
      </c>
      <c r="DU82">
        <f t="shared" si="261"/>
        <v>126.69200901475631</v>
      </c>
      <c r="DW82" s="5">
        <f t="shared" si="301"/>
        <v>7.8931576488263451</v>
      </c>
      <c r="DX82" s="5">
        <f t="shared" si="262"/>
        <v>3.2806477006444057</v>
      </c>
      <c r="DY82" s="5">
        <f t="shared" si="302"/>
        <v>4.6125099481819394</v>
      </c>
      <c r="DZ82" s="5">
        <f t="shared" si="263"/>
        <v>4.6125099481819403</v>
      </c>
      <c r="EA82" s="150">
        <f t="shared" si="303"/>
        <v>0.41563184806428061</v>
      </c>
      <c r="EB82" s="150">
        <f t="shared" si="264"/>
        <v>65.45</v>
      </c>
      <c r="EC82" s="150">
        <f t="shared" si="265"/>
        <v>0.3834212067955477</v>
      </c>
      <c r="ED82" s="150">
        <f t="shared" si="304"/>
        <v>170.70000000000002</v>
      </c>
      <c r="EE82" s="144">
        <f t="shared" si="266"/>
        <v>0.74297021455770362</v>
      </c>
      <c r="EF82" s="5">
        <f t="shared" si="267"/>
        <v>41.92899668173721</v>
      </c>
      <c r="EG82" s="5"/>
      <c r="EH82" s="150">
        <f t="shared" si="305"/>
        <v>9.7688482661792815</v>
      </c>
      <c r="EI82" s="150">
        <f t="shared" si="268"/>
        <v>0.57916489314693254</v>
      </c>
      <c r="EJ82" s="150"/>
      <c r="EK82" s="456">
        <f t="shared" si="269"/>
        <v>0.32446334792195541</v>
      </c>
      <c r="EL82" s="456">
        <f t="shared" si="270"/>
        <v>2.0757120000000007</v>
      </c>
      <c r="EM82" s="456">
        <f t="shared" si="271"/>
        <v>2.9012470064379195E-2</v>
      </c>
      <c r="EN82" s="456">
        <f t="shared" si="272"/>
        <v>3.6595628388082509E-2</v>
      </c>
      <c r="EO82">
        <f t="shared" si="273"/>
        <v>5.4000000000000003E-3</v>
      </c>
      <c r="EP82" s="144">
        <f t="shared" si="306"/>
        <v>34.4124700643792</v>
      </c>
      <c r="EQ82" s="456">
        <f t="shared" si="274"/>
        <v>2.7725297786108447</v>
      </c>
      <c r="ER82" s="144">
        <f t="shared" si="307"/>
        <v>2772.5297786108449</v>
      </c>
      <c r="ES82" s="456">
        <f t="shared" si="308"/>
        <v>0.85421875000000003</v>
      </c>
      <c r="ET82" s="456"/>
      <c r="EV82" s="144">
        <f t="shared" si="309"/>
        <v>854.21875</v>
      </c>
      <c r="EW82" s="456">
        <f t="shared" si="275"/>
        <v>0.14314559467145094</v>
      </c>
      <c r="EX82" s="456">
        <f t="shared" si="276"/>
        <v>6.7086394690779566E-2</v>
      </c>
      <c r="EY82" s="456">
        <f t="shared" si="277"/>
        <v>31.876234821662429</v>
      </c>
      <c r="EZ82" s="456">
        <f t="shared" si="278"/>
        <v>32.686665098818935</v>
      </c>
      <c r="FA82" s="456">
        <f t="shared" si="279"/>
        <v>8.7266666666666687E-2</v>
      </c>
      <c r="FB82" s="144">
        <f t="shared" si="310"/>
        <v>32773.931765485599</v>
      </c>
      <c r="FC82" s="150">
        <f t="shared" si="311"/>
        <v>36.400680294096446</v>
      </c>
      <c r="FD82" s="5">
        <f t="shared" si="312"/>
        <v>65.45</v>
      </c>
      <c r="FE82" s="150">
        <f t="shared" si="313"/>
        <v>0.64260739163461111</v>
      </c>
      <c r="FF82" s="5">
        <f t="shared" si="314"/>
        <v>64.26073916346111</v>
      </c>
      <c r="FI82" s="59">
        <f t="shared" si="280"/>
        <v>-50</v>
      </c>
      <c r="FJ82">
        <f t="shared" si="281"/>
        <v>-50</v>
      </c>
      <c r="FL82">
        <f t="shared" si="282"/>
        <v>0.58436815193571934</v>
      </c>
    </row>
    <row r="83" spans="5:168">
      <c r="E83" s="147">
        <v>78</v>
      </c>
      <c r="F83" s="188">
        <f t="shared" si="283"/>
        <v>0.39</v>
      </c>
      <c r="G83" s="188"/>
      <c r="H83" s="188">
        <f t="shared" si="183"/>
        <v>66.3</v>
      </c>
      <c r="I83" s="465">
        <f t="shared" si="184"/>
        <v>11.933888559228317</v>
      </c>
      <c r="J83" s="149">
        <f t="shared" si="185"/>
        <v>8.5417460653848654</v>
      </c>
      <c r="K83" s="149">
        <f t="shared" si="186"/>
        <v>20.541746065384864</v>
      </c>
      <c r="L83" s="379"/>
      <c r="M83" s="188">
        <f t="shared" si="187"/>
        <v>0.41716431001285548</v>
      </c>
      <c r="N83" s="149">
        <f t="shared" si="188"/>
        <v>166.54381997241606</v>
      </c>
      <c r="O83" s="149">
        <f t="shared" si="284"/>
        <v>66.3</v>
      </c>
      <c r="P83" s="188">
        <f t="shared" si="189"/>
        <v>0.97966952924950623</v>
      </c>
      <c r="Q83" s="188">
        <f t="shared" si="190"/>
        <v>170</v>
      </c>
      <c r="R83" s="188">
        <f t="shared" si="191"/>
        <v>0.97615536991780216</v>
      </c>
      <c r="S83" s="149">
        <f t="shared" si="192"/>
        <v>781.5262923345316</v>
      </c>
      <c r="T83" s="149">
        <f t="shared" si="193"/>
        <v>170</v>
      </c>
      <c r="U83" s="188">
        <f t="shared" si="194"/>
        <v>26.765691030938903</v>
      </c>
      <c r="V83" s="188">
        <f t="shared" si="195"/>
        <v>3.3642459745748199</v>
      </c>
      <c r="W83" s="188">
        <f t="shared" si="196"/>
        <v>4.7002727825296677</v>
      </c>
      <c r="X83" s="172">
        <f t="shared" si="197"/>
        <v>248.92084546916863</v>
      </c>
      <c r="Y83" s="379">
        <f t="shared" si="198"/>
        <v>120.99918088277832</v>
      </c>
      <c r="AA83" s="188">
        <f t="shared" si="199"/>
        <v>13.333333333333334</v>
      </c>
      <c r="AB83" s="150">
        <f t="shared" si="200"/>
        <v>2.3414416498576704</v>
      </c>
      <c r="AC83" s="150">
        <f t="shared" si="201"/>
        <v>0.19427787836643215</v>
      </c>
      <c r="AD83" s="150"/>
      <c r="AE83" s="150">
        <f t="shared" si="202"/>
        <v>2.3414416498576704</v>
      </c>
      <c r="AF83" s="314">
        <f t="shared" si="203"/>
        <v>499.69214482501451</v>
      </c>
      <c r="AG83" s="456">
        <f t="shared" si="204"/>
        <v>0.19427787836643215</v>
      </c>
      <c r="AI83" s="150">
        <f t="shared" si="205"/>
        <v>15.931474604873262</v>
      </c>
      <c r="AJ83" s="150">
        <f t="shared" si="206"/>
        <v>26.765691030938903</v>
      </c>
      <c r="AK83" s="150">
        <f t="shared" si="207"/>
        <v>11.14989459081894</v>
      </c>
      <c r="AM83" s="314">
        <f t="shared" si="208"/>
        <v>390</v>
      </c>
      <c r="AN83" s="144">
        <f t="shared" si="209"/>
        <v>120.99918088277832</v>
      </c>
      <c r="AP83">
        <f t="shared" si="210"/>
        <v>390</v>
      </c>
      <c r="AQ83">
        <f t="shared" si="211"/>
        <v>120.99918088277832</v>
      </c>
      <c r="AS83" s="5">
        <f t="shared" si="285"/>
        <v>8.2645187571044865</v>
      </c>
      <c r="AT83" s="5">
        <f t="shared" si="212"/>
        <v>3.3642459745748199</v>
      </c>
      <c r="AU83" s="5">
        <f t="shared" si="286"/>
        <v>4.900272782529667</v>
      </c>
      <c r="AV83" s="5">
        <f t="shared" si="213"/>
        <v>4.7002727825296677</v>
      </c>
      <c r="AW83" s="150">
        <f t="shared" si="287"/>
        <v>0.40707100721173745</v>
      </c>
      <c r="AX83" s="150">
        <f t="shared" si="214"/>
        <v>65.013061021959459</v>
      </c>
      <c r="AY83" s="150">
        <f t="shared" si="215"/>
        <v>0.39675385560641097</v>
      </c>
      <c r="AZ83" s="150">
        <f t="shared" si="288"/>
        <v>163.86245553327129</v>
      </c>
      <c r="BA83" s="144">
        <f t="shared" si="216"/>
        <v>0.77179760593187052</v>
      </c>
      <c r="BB83" s="5">
        <f t="shared" si="217"/>
        <v>45.373319834699537</v>
      </c>
      <c r="BC83" s="5"/>
      <c r="BD83" s="150">
        <f t="shared" si="289"/>
        <v>9.859455221324108</v>
      </c>
      <c r="BE83" s="150">
        <f t="shared" si="218"/>
        <v>0.59496193476263515</v>
      </c>
      <c r="BF83" s="150"/>
      <c r="BG83" s="456">
        <f t="shared" si="219"/>
        <v>0.33051011468840374</v>
      </c>
      <c r="BH83" s="456">
        <f t="shared" si="220"/>
        <v>1.5933227774925749</v>
      </c>
      <c r="BI83" s="456">
        <f t="shared" si="221"/>
        <v>6.6134775910914739E-2</v>
      </c>
      <c r="BJ83" s="456">
        <f t="shared" si="222"/>
        <v>3.4974193962671228E-2</v>
      </c>
      <c r="BK83">
        <f t="shared" si="223"/>
        <v>5.3702498516527419E-3</v>
      </c>
      <c r="BL83" s="144">
        <f t="shared" si="290"/>
        <v>71.505025762567485</v>
      </c>
      <c r="BM83" s="456">
        <f t="shared" si="224"/>
        <v>2.2225824457300587</v>
      </c>
      <c r="BN83" s="144">
        <f t="shared" si="291"/>
        <v>2222.5824457300587</v>
      </c>
      <c r="BO83" s="456">
        <f t="shared" si="225"/>
        <v>0.86531250000000004</v>
      </c>
      <c r="BP83" s="456"/>
      <c r="BR83" s="144">
        <f t="shared" si="292"/>
        <v>865.3125</v>
      </c>
      <c r="BS83" s="456">
        <f t="shared" si="226"/>
        <v>0.14581328589194284</v>
      </c>
      <c r="BT83" s="456">
        <f t="shared" si="227"/>
        <v>7.0795940763299633E-2</v>
      </c>
      <c r="BU83" s="456">
        <f t="shared" si="228"/>
        <v>0.99449999999999994</v>
      </c>
      <c r="BV83" s="456">
        <f t="shared" si="229"/>
        <v>1.2853692685099694</v>
      </c>
      <c r="BW83" s="456">
        <f t="shared" si="230"/>
        <v>8.6684081362612603E-2</v>
      </c>
      <c r="BX83" s="144">
        <f t="shared" si="293"/>
        <v>1372.053349872582</v>
      </c>
      <c r="BY83" s="150">
        <f t="shared" si="231"/>
        <v>4.5314533213652082</v>
      </c>
      <c r="BZ83" s="5">
        <f t="shared" si="294"/>
        <v>66.3</v>
      </c>
      <c r="CA83" s="150">
        <f t="shared" si="295"/>
        <v>0.93602484335870084</v>
      </c>
      <c r="CB83" s="5">
        <f t="shared" si="296"/>
        <v>93.602484335870088</v>
      </c>
      <c r="CE83" s="59">
        <f t="shared" si="232"/>
        <v>-50</v>
      </c>
      <c r="CF83">
        <f t="shared" si="233"/>
        <v>-50</v>
      </c>
      <c r="CG83" s="150">
        <f t="shared" si="234"/>
        <v>0.57811476431127329</v>
      </c>
      <c r="CI83" s="147">
        <v>78</v>
      </c>
      <c r="CJ83" s="188">
        <f t="shared" si="297"/>
        <v>0.39</v>
      </c>
      <c r="CK83" s="188"/>
      <c r="CL83" s="188">
        <f t="shared" si="235"/>
        <v>66.3</v>
      </c>
      <c r="CM83" s="465">
        <f t="shared" si="236"/>
        <v>12</v>
      </c>
      <c r="CN83" s="149">
        <f t="shared" si="237"/>
        <v>8.5350000000000001</v>
      </c>
      <c r="CO83" s="379">
        <f t="shared" si="238"/>
        <v>20.535</v>
      </c>
      <c r="CP83" s="379"/>
      <c r="CQ83" s="188">
        <f t="shared" si="239"/>
        <v>0.4156318480642805</v>
      </c>
      <c r="CR83" s="149">
        <f t="shared" si="240"/>
        <v>166.85124908692478</v>
      </c>
      <c r="CS83" s="149">
        <f t="shared" si="298"/>
        <v>66.3</v>
      </c>
      <c r="CT83" s="188">
        <f t="shared" si="241"/>
        <v>0.98147793580543985</v>
      </c>
      <c r="CU83" s="188">
        <f t="shared" si="242"/>
        <v>170</v>
      </c>
      <c r="CV83" s="188">
        <f t="shared" si="243"/>
        <v>0.97795728956301287</v>
      </c>
      <c r="CW83" s="149">
        <f t="shared" si="244"/>
        <v>785.85461538637037</v>
      </c>
      <c r="CX83" s="149">
        <f t="shared" si="245"/>
        <v>170</v>
      </c>
      <c r="CY83" s="188">
        <f t="shared" si="246"/>
        <v>26.586028119507905</v>
      </c>
      <c r="CZ83" s="188">
        <f t="shared" si="247"/>
        <v>3.3232535149384881</v>
      </c>
      <c r="DA83" s="188">
        <f t="shared" si="248"/>
        <v>4.6724126747817047</v>
      </c>
      <c r="DB83" s="172">
        <f t="shared" si="249"/>
        <v>249.37910883856827</v>
      </c>
      <c r="DC83" s="379">
        <f t="shared" si="299"/>
        <v>125.0677524889261</v>
      </c>
      <c r="DE83" s="188">
        <f t="shared" si="250"/>
        <v>13.333333333333334</v>
      </c>
      <c r="DF83" s="150">
        <f t="shared" si="251"/>
        <v>2.3432923257176337</v>
      </c>
      <c r="DG83" s="150">
        <f t="shared" si="252"/>
        <v>0.19478938397857323</v>
      </c>
      <c r="DH83" s="150"/>
      <c r="DI83" s="150">
        <f t="shared" si="253"/>
        <v>2.3432923257176337</v>
      </c>
      <c r="DJ83" s="314">
        <f t="shared" si="300"/>
        <v>499.2974999999999</v>
      </c>
      <c r="DK83" s="456">
        <f t="shared" si="254"/>
        <v>0.19478938397857321</v>
      </c>
      <c r="DM83" s="150">
        <f t="shared" si="255"/>
        <v>15.925182214700984</v>
      </c>
      <c r="DN83" s="150">
        <f t="shared" si="256"/>
        <v>26.586028119507905</v>
      </c>
      <c r="DO83" s="150">
        <f t="shared" si="257"/>
        <v>11.016810952721903</v>
      </c>
      <c r="DQ83" s="314">
        <f t="shared" si="258"/>
        <v>390</v>
      </c>
      <c r="DR83" s="144">
        <f t="shared" si="259"/>
        <v>125.0677524889261</v>
      </c>
      <c r="DT83">
        <f t="shared" si="260"/>
        <v>390</v>
      </c>
      <c r="DU83">
        <f t="shared" si="261"/>
        <v>125.0677524889261</v>
      </c>
      <c r="DW83" s="5">
        <f t="shared" si="301"/>
        <v>7.9956661897201933</v>
      </c>
      <c r="DX83" s="5">
        <f t="shared" si="262"/>
        <v>3.3232535149384881</v>
      </c>
      <c r="DY83" s="5">
        <f t="shared" si="302"/>
        <v>4.6724126747817056</v>
      </c>
      <c r="DZ83" s="5">
        <f t="shared" si="263"/>
        <v>4.6724126747817047</v>
      </c>
      <c r="EA83" s="150">
        <f t="shared" si="303"/>
        <v>0.4156318480642805</v>
      </c>
      <c r="EB83" s="150">
        <f t="shared" si="264"/>
        <v>66.3</v>
      </c>
      <c r="EC83" s="150">
        <f t="shared" si="265"/>
        <v>0.38840070298769774</v>
      </c>
      <c r="ED83" s="150">
        <f t="shared" si="304"/>
        <v>170.7</v>
      </c>
      <c r="EE83" s="144">
        <f t="shared" si="266"/>
        <v>0.76239345342706499</v>
      </c>
      <c r="EF83" s="5">
        <f t="shared" si="267"/>
        <v>43.025133380281531</v>
      </c>
      <c r="EG83" s="5"/>
      <c r="EH83" s="150">
        <f t="shared" si="305"/>
        <v>9.8957164254803072</v>
      </c>
      <c r="EI83" s="150">
        <f t="shared" si="268"/>
        <v>0.58668651513585379</v>
      </c>
      <c r="EJ83" s="150"/>
      <c r="EK83" s="456">
        <f t="shared" si="269"/>
        <v>0.3329456921499705</v>
      </c>
      <c r="EL83" s="456">
        <f t="shared" si="270"/>
        <v>2.0757120000000002</v>
      </c>
      <c r="EM83" s="456">
        <f t="shared" si="271"/>
        <v>2.8640515319964078E-2</v>
      </c>
      <c r="EN83" s="456">
        <f t="shared" si="272"/>
        <v>3.6126453665158376E-2</v>
      </c>
      <c r="EO83">
        <f t="shared" si="273"/>
        <v>5.4000000000000003E-3</v>
      </c>
      <c r="EP83" s="144">
        <f t="shared" si="306"/>
        <v>34.040515319964079</v>
      </c>
      <c r="EQ83" s="456">
        <f t="shared" si="274"/>
        <v>2.7893821525092455</v>
      </c>
      <c r="ER83" s="144">
        <f t="shared" si="307"/>
        <v>2789.3821525092453</v>
      </c>
      <c r="ES83" s="456">
        <f t="shared" si="308"/>
        <v>0.86531250000000004</v>
      </c>
      <c r="ET83" s="456"/>
      <c r="EV83" s="144">
        <f t="shared" si="309"/>
        <v>865.3125</v>
      </c>
      <c r="EW83" s="456">
        <f t="shared" si="275"/>
        <v>0.14688780536028112</v>
      </c>
      <c r="EX83" s="456">
        <f t="shared" si="276"/>
        <v>6.8840213408450479E-2</v>
      </c>
      <c r="EY83" s="456">
        <f t="shared" si="277"/>
        <v>31.876234821662486</v>
      </c>
      <c r="EZ83" s="456">
        <f t="shared" si="278"/>
        <v>32.708223993704166</v>
      </c>
      <c r="FA83" s="456">
        <f t="shared" si="279"/>
        <v>8.8400000000000006E-2</v>
      </c>
      <c r="FB83" s="144">
        <f t="shared" si="310"/>
        <v>32796.623993704168</v>
      </c>
      <c r="FC83" s="150">
        <f t="shared" si="311"/>
        <v>36.451318646213409</v>
      </c>
      <c r="FD83" s="5">
        <f t="shared" si="312"/>
        <v>66.3</v>
      </c>
      <c r="FE83" s="150">
        <f t="shared" si="313"/>
        <v>0.64524719364702077</v>
      </c>
      <c r="FF83" s="5">
        <f t="shared" si="314"/>
        <v>64.524719364702079</v>
      </c>
      <c r="FI83" s="59">
        <f t="shared" si="280"/>
        <v>-50</v>
      </c>
      <c r="FJ83">
        <f t="shared" si="281"/>
        <v>-50</v>
      </c>
      <c r="FL83">
        <f t="shared" si="282"/>
        <v>0.58436815193571956</v>
      </c>
    </row>
    <row r="84" spans="5:168">
      <c r="E84" s="147">
        <v>79</v>
      </c>
      <c r="F84" s="188">
        <f t="shared" si="283"/>
        <v>0.39500000000000002</v>
      </c>
      <c r="G84" s="188"/>
      <c r="H84" s="188">
        <f t="shared" si="183"/>
        <v>67.150000000000006</v>
      </c>
      <c r="I84" s="465">
        <f t="shared" si="184"/>
        <v>11.9330501435829</v>
      </c>
      <c r="J84" s="149">
        <f t="shared" si="185"/>
        <v>8.5418316180017442</v>
      </c>
      <c r="K84" s="149">
        <f t="shared" si="186"/>
        <v>20.541831618001744</v>
      </c>
      <c r="L84" s="379"/>
      <c r="M84" s="188">
        <f t="shared" si="187"/>
        <v>0.41718382794592179</v>
      </c>
      <c r="N84" s="149">
        <f t="shared" si="188"/>
        <v>166.53991099690799</v>
      </c>
      <c r="O84" s="149">
        <f t="shared" si="284"/>
        <v>67.150000000000006</v>
      </c>
      <c r="P84" s="188">
        <f t="shared" si="189"/>
        <v>0.97964653527592938</v>
      </c>
      <c r="Q84" s="188">
        <f t="shared" si="190"/>
        <v>170</v>
      </c>
      <c r="R84" s="188">
        <f t="shared" si="191"/>
        <v>0.97613245842559726</v>
      </c>
      <c r="S84" s="149">
        <f t="shared" si="192"/>
        <v>768.56462001934653</v>
      </c>
      <c r="T84" s="149">
        <f t="shared" si="193"/>
        <v>170</v>
      </c>
      <c r="U84" s="188">
        <f t="shared" si="194"/>
        <v>27.109748764030449</v>
      </c>
      <c r="V84" s="188">
        <f t="shared" si="195"/>
        <v>3.4077308531141495</v>
      </c>
      <c r="W84" s="188">
        <f t="shared" si="196"/>
        <v>4.7606444337237663</v>
      </c>
      <c r="X84" s="172">
        <f t="shared" si="197"/>
        <v>248.9150027886848</v>
      </c>
      <c r="Y84" s="379">
        <f t="shared" si="198"/>
        <v>119.49750886206506</v>
      </c>
      <c r="AA84" s="188">
        <f t="shared" si="199"/>
        <v>13.333333333333334</v>
      </c>
      <c r="AB84" s="150">
        <f t="shared" si="200"/>
        <v>2.341418198627375</v>
      </c>
      <c r="AC84" s="150">
        <f t="shared" si="201"/>
        <v>0.19427137248027013</v>
      </c>
      <c r="AD84" s="150"/>
      <c r="AE84" s="150">
        <f t="shared" si="202"/>
        <v>2.341418198627375</v>
      </c>
      <c r="AF84" s="314">
        <f t="shared" si="203"/>
        <v>506.10352336660333</v>
      </c>
      <c r="AG84" s="456">
        <f t="shared" si="204"/>
        <v>0.19427137248027015</v>
      </c>
      <c r="AI84" s="150">
        <f t="shared" si="205"/>
        <v>16.033354493467527</v>
      </c>
      <c r="AJ84" s="150">
        <f t="shared" si="206"/>
        <v>27.109748764030449</v>
      </c>
      <c r="AK84" s="150">
        <f t="shared" si="207"/>
        <v>11.404752170886752</v>
      </c>
      <c r="AM84" s="314">
        <f t="shared" si="208"/>
        <v>395</v>
      </c>
      <c r="AN84" s="144">
        <f t="shared" si="209"/>
        <v>119.49750886206506</v>
      </c>
      <c r="AP84">
        <f t="shared" si="210"/>
        <v>395</v>
      </c>
      <c r="AQ84">
        <f t="shared" si="211"/>
        <v>119.49750886206506</v>
      </c>
      <c r="AS84" s="5">
        <f t="shared" si="285"/>
        <v>8.3683752868379155</v>
      </c>
      <c r="AT84" s="5">
        <f t="shared" si="212"/>
        <v>3.4077308531141495</v>
      </c>
      <c r="AU84" s="5">
        <f t="shared" si="286"/>
        <v>4.9606444337237665</v>
      </c>
      <c r="AV84" s="5">
        <f t="shared" si="213"/>
        <v>4.7606444337237663</v>
      </c>
      <c r="AW84" s="150">
        <f t="shared" si="287"/>
        <v>0.40721534781954061</v>
      </c>
      <c r="AX84" s="150">
        <f t="shared" si="214"/>
        <v>65.867487970286334</v>
      </c>
      <c r="AY84" s="150">
        <f t="shared" si="215"/>
        <v>0.40175607479463571</v>
      </c>
      <c r="AZ84" s="150">
        <f t="shared" si="288"/>
        <v>163.94895336419142</v>
      </c>
      <c r="BA84" s="144">
        <f t="shared" si="216"/>
        <v>0.79179628645887601</v>
      </c>
      <c r="BB84" s="5">
        <f t="shared" si="217"/>
        <v>46.5244663234295</v>
      </c>
      <c r="BC84" s="5"/>
      <c r="BD84" s="150">
        <f t="shared" si="289"/>
        <v>9.9879632218757273</v>
      </c>
      <c r="BE84" s="150">
        <f t="shared" si="218"/>
        <v>0.60253647889859752</v>
      </c>
      <c r="BF84" s="150"/>
      <c r="BG84" s="456">
        <f t="shared" si="219"/>
        <v>0.33918199169324337</v>
      </c>
      <c r="BH84" s="456">
        <f t="shared" si="220"/>
        <v>1.5937824024062006</v>
      </c>
      <c r="BI84" s="456">
        <f t="shared" si="221"/>
        <v>6.5309415250019306E-2</v>
      </c>
      <c r="BJ84" s="456">
        <f t="shared" si="222"/>
        <v>3.4540431057976613E-2</v>
      </c>
      <c r="BK84">
        <f t="shared" si="223"/>
        <v>5.3698725646123052E-3</v>
      </c>
      <c r="BL84" s="144">
        <f t="shared" si="290"/>
        <v>70.679287814631607</v>
      </c>
      <c r="BM84" s="456">
        <f t="shared" si="224"/>
        <v>2.2395701149821869</v>
      </c>
      <c r="BN84" s="144">
        <f t="shared" si="291"/>
        <v>2239.5701149821871</v>
      </c>
      <c r="BO84" s="456">
        <f t="shared" si="225"/>
        <v>0.87640624999999994</v>
      </c>
      <c r="BP84" s="456"/>
      <c r="BR84" s="144">
        <f t="shared" si="292"/>
        <v>876.40624999999989</v>
      </c>
      <c r="BS84" s="456">
        <f t="shared" si="226"/>
        <v>0.14963911398231325</v>
      </c>
      <c r="BT84" s="456">
        <f t="shared" si="227"/>
        <v>7.2610041680704007E-2</v>
      </c>
      <c r="BU84" s="456">
        <f t="shared" si="228"/>
        <v>1.00725</v>
      </c>
      <c r="BV84" s="456">
        <f t="shared" si="229"/>
        <v>1.3060606226728417</v>
      </c>
      <c r="BW84" s="456">
        <f t="shared" si="230"/>
        <v>8.782331729371512E-2</v>
      </c>
      <c r="BX84" s="144">
        <f t="shared" si="293"/>
        <v>1393.8839399665567</v>
      </c>
      <c r="BY84" s="150">
        <f t="shared" si="231"/>
        <v>4.5805395927633752</v>
      </c>
      <c r="BZ84" s="5">
        <f t="shared" si="294"/>
        <v>67.150000000000006</v>
      </c>
      <c r="CA84" s="150">
        <f t="shared" si="295"/>
        <v>0.9361424071425013</v>
      </c>
      <c r="CB84" s="5">
        <f t="shared" si="296"/>
        <v>93.61424071425013</v>
      </c>
      <c r="CE84" s="59">
        <f t="shared" si="232"/>
        <v>-50</v>
      </c>
      <c r="CF84">
        <f t="shared" si="233"/>
        <v>-50</v>
      </c>
      <c r="CG84" s="150">
        <f t="shared" si="234"/>
        <v>0.57819392111664603</v>
      </c>
      <c r="CI84" s="147">
        <v>79</v>
      </c>
      <c r="CJ84" s="188">
        <f t="shared" si="297"/>
        <v>0.39500000000000002</v>
      </c>
      <c r="CK84" s="188"/>
      <c r="CL84" s="188">
        <f t="shared" si="235"/>
        <v>67.150000000000006</v>
      </c>
      <c r="CM84" s="465">
        <f t="shared" si="236"/>
        <v>12</v>
      </c>
      <c r="CN84" s="149">
        <f t="shared" si="237"/>
        <v>8.5350000000000001</v>
      </c>
      <c r="CO84" s="379">
        <f t="shared" si="238"/>
        <v>20.535</v>
      </c>
      <c r="CP84" s="379"/>
      <c r="CQ84" s="188">
        <f t="shared" si="239"/>
        <v>0.4156318480642805</v>
      </c>
      <c r="CR84" s="149">
        <f t="shared" si="240"/>
        <v>166.85124908692478</v>
      </c>
      <c r="CS84" s="149">
        <f t="shared" si="298"/>
        <v>67.150000000000006</v>
      </c>
      <c r="CT84" s="188">
        <f t="shared" si="241"/>
        <v>0.98147793580543985</v>
      </c>
      <c r="CU84" s="188">
        <f t="shared" si="242"/>
        <v>170</v>
      </c>
      <c r="CV84" s="188">
        <f t="shared" si="243"/>
        <v>0.97795728956301287</v>
      </c>
      <c r="CW84" s="149">
        <f t="shared" si="244"/>
        <v>772.87540124804264</v>
      </c>
      <c r="CX84" s="149">
        <f t="shared" si="245"/>
        <v>170</v>
      </c>
      <c r="CY84" s="188">
        <f t="shared" si="246"/>
        <v>26.926874633860574</v>
      </c>
      <c r="CZ84" s="188">
        <f t="shared" si="247"/>
        <v>3.3658593292325714</v>
      </c>
      <c r="DA84" s="188">
        <f t="shared" si="248"/>
        <v>4.732315401381471</v>
      </c>
      <c r="DB84" s="172">
        <f t="shared" si="249"/>
        <v>249.37910883856827</v>
      </c>
      <c r="DC84" s="379">
        <f t="shared" si="299"/>
        <v>123.48461638147133</v>
      </c>
      <c r="DE84" s="188">
        <f t="shared" si="250"/>
        <v>13.333333333333334</v>
      </c>
      <c r="DF84" s="150">
        <f t="shared" si="251"/>
        <v>2.3432923257176337</v>
      </c>
      <c r="DG84" s="150">
        <f t="shared" si="252"/>
        <v>0.19478938397857323</v>
      </c>
      <c r="DH84" s="150"/>
      <c r="DI84" s="150">
        <f t="shared" si="253"/>
        <v>2.3432923257176337</v>
      </c>
      <c r="DJ84" s="314">
        <f t="shared" si="300"/>
        <v>505.6987499999999</v>
      </c>
      <c r="DK84" s="456">
        <f t="shared" si="254"/>
        <v>0.19478938397857321</v>
      </c>
      <c r="DM84" s="150">
        <f t="shared" si="255"/>
        <v>16.026941602902816</v>
      </c>
      <c r="DN84" s="150">
        <f t="shared" si="256"/>
        <v>26.926874633860574</v>
      </c>
      <c r="DO84" s="150">
        <f t="shared" si="257"/>
        <v>11.2692898522424</v>
      </c>
      <c r="DQ84" s="314">
        <f t="shared" si="258"/>
        <v>395</v>
      </c>
      <c r="DR84" s="144">
        <f t="shared" si="259"/>
        <v>123.48461638147133</v>
      </c>
      <c r="DT84">
        <f t="shared" si="260"/>
        <v>395</v>
      </c>
      <c r="DU84">
        <f t="shared" si="261"/>
        <v>123.48461638147133</v>
      </c>
      <c r="DW84" s="5">
        <f t="shared" si="301"/>
        <v>8.0981747306140424</v>
      </c>
      <c r="DX84" s="5">
        <f t="shared" si="262"/>
        <v>3.3658593292325714</v>
      </c>
      <c r="DY84" s="5">
        <f t="shared" si="302"/>
        <v>4.732315401381471</v>
      </c>
      <c r="DZ84" s="5">
        <f t="shared" si="263"/>
        <v>4.732315401381471</v>
      </c>
      <c r="EA84" s="150">
        <f t="shared" si="303"/>
        <v>0.4156318480642805</v>
      </c>
      <c r="EB84" s="150">
        <f t="shared" si="264"/>
        <v>67.15000000000002</v>
      </c>
      <c r="EC84" s="150">
        <f t="shared" si="265"/>
        <v>0.39338019917984779</v>
      </c>
      <c r="ED84" s="150">
        <f t="shared" si="304"/>
        <v>170.70000000000002</v>
      </c>
      <c r="EE84" s="144">
        <f t="shared" si="266"/>
        <v>0.78206731473345048</v>
      </c>
      <c r="EF84" s="5">
        <f t="shared" si="267"/>
        <v>44.135413778161912</v>
      </c>
      <c r="EG84" s="5"/>
      <c r="EH84" s="150">
        <f t="shared" si="305"/>
        <v>10.02258458478134</v>
      </c>
      <c r="EI84" s="150">
        <f t="shared" si="268"/>
        <v>0.59420813712477505</v>
      </c>
      <c r="EJ84" s="150"/>
      <c r="EK84" s="456">
        <f t="shared" si="269"/>
        <v>0.3415374859809282</v>
      </c>
      <c r="EL84" s="456">
        <f t="shared" si="270"/>
        <v>2.0757120000000002</v>
      </c>
      <c r="EM84" s="456">
        <f t="shared" si="271"/>
        <v>2.8277977151356933E-2</v>
      </c>
      <c r="EN84" s="456">
        <f t="shared" si="272"/>
        <v>3.5669156783320922E-2</v>
      </c>
      <c r="EO84">
        <f t="shared" si="273"/>
        <v>5.4000000000000003E-3</v>
      </c>
      <c r="EP84" s="144">
        <f t="shared" si="306"/>
        <v>33.677977151356934</v>
      </c>
      <c r="EQ84" s="456">
        <f t="shared" si="274"/>
        <v>2.8065623281863017</v>
      </c>
      <c r="ER84" s="144">
        <f t="shared" si="307"/>
        <v>2806.5623281863018</v>
      </c>
      <c r="ES84" s="456">
        <f t="shared" si="308"/>
        <v>0.87640624999999994</v>
      </c>
      <c r="ET84" s="456"/>
      <c r="EV84" s="144">
        <f t="shared" si="309"/>
        <v>876.40624999999989</v>
      </c>
      <c r="EW84" s="456">
        <f t="shared" si="275"/>
        <v>0.15067830263864482</v>
      </c>
      <c r="EX84" s="456">
        <f t="shared" si="276"/>
        <v>7.0616662045059106E-2</v>
      </c>
      <c r="EY84" s="456">
        <f t="shared" si="277"/>
        <v>31.876234821662539</v>
      </c>
      <c r="EZ84" s="456">
        <f t="shared" si="278"/>
        <v>32.730080742836797</v>
      </c>
      <c r="FA84" s="456">
        <f t="shared" si="279"/>
        <v>8.953333333333334E-2</v>
      </c>
      <c r="FB84" s="144">
        <f t="shared" si="310"/>
        <v>32819.614076170132</v>
      </c>
      <c r="FC84" s="150">
        <f t="shared" si="311"/>
        <v>36.502582654356438</v>
      </c>
      <c r="FD84" s="5">
        <f t="shared" si="312"/>
        <v>67.150000000000006</v>
      </c>
      <c r="FE84" s="150">
        <f t="shared" si="313"/>
        <v>0.64783721042360087</v>
      </c>
      <c r="FF84" s="5">
        <f t="shared" si="314"/>
        <v>64.783721042360085</v>
      </c>
      <c r="FI84" s="59">
        <f t="shared" si="280"/>
        <v>-50</v>
      </c>
      <c r="FJ84">
        <f t="shared" si="281"/>
        <v>-50</v>
      </c>
      <c r="FL84">
        <f t="shared" si="282"/>
        <v>0.58436815193571956</v>
      </c>
    </row>
    <row r="85" spans="5:168">
      <c r="E85" s="147">
        <v>80</v>
      </c>
      <c r="F85" s="188">
        <f t="shared" si="283"/>
        <v>0.4</v>
      </c>
      <c r="G85" s="188"/>
      <c r="H85" s="188">
        <f t="shared" si="183"/>
        <v>68</v>
      </c>
      <c r="I85" s="465">
        <f t="shared" si="184"/>
        <v>11.932211725490587</v>
      </c>
      <c r="J85" s="149">
        <f t="shared" si="185"/>
        <v>8.5419171708683077</v>
      </c>
      <c r="K85" s="149">
        <f t="shared" si="186"/>
        <v>20.541917170868309</v>
      </c>
      <c r="L85" s="379"/>
      <c r="M85" s="188">
        <f t="shared" si="187"/>
        <v>0.41720334736423981</v>
      </c>
      <c r="N85" s="149">
        <f t="shared" si="188"/>
        <v>166.53600148525018</v>
      </c>
      <c r="O85" s="149">
        <f t="shared" si="284"/>
        <v>68</v>
      </c>
      <c r="P85" s="188">
        <f t="shared" si="189"/>
        <v>0.97962353814853054</v>
      </c>
      <c r="Q85" s="188">
        <f t="shared" si="190"/>
        <v>170</v>
      </c>
      <c r="R85" s="188">
        <f t="shared" si="191"/>
        <v>0.97610954379088322</v>
      </c>
      <c r="S85" s="149">
        <f t="shared" si="192"/>
        <v>755.92752623430249</v>
      </c>
      <c r="T85" s="149">
        <f t="shared" si="193"/>
        <v>170</v>
      </c>
      <c r="U85" s="188">
        <f t="shared" si="194"/>
        <v>27.453829612161101</v>
      </c>
      <c r="V85" s="188">
        <f t="shared" si="195"/>
        <v>3.4512247490771477</v>
      </c>
      <c r="W85" s="188">
        <f t="shared" si="196"/>
        <v>4.8210189345649583</v>
      </c>
      <c r="X85" s="172">
        <f t="shared" si="197"/>
        <v>248.90915931112039</v>
      </c>
      <c r="Y85" s="379">
        <f t="shared" si="198"/>
        <v>118.03248789110764</v>
      </c>
      <c r="AA85" s="188">
        <f t="shared" si="199"/>
        <v>13.333333333333334</v>
      </c>
      <c r="AB85" s="150">
        <f t="shared" si="200"/>
        <v>2.3413947477983976</v>
      </c>
      <c r="AC85" s="150">
        <f t="shared" si="201"/>
        <v>0.1942648660966573</v>
      </c>
      <c r="AD85" s="150"/>
      <c r="AE85" s="150">
        <f t="shared" si="202"/>
        <v>2.3413947477983976</v>
      </c>
      <c r="AF85" s="314">
        <f t="shared" si="203"/>
        <v>512.51503025209843</v>
      </c>
      <c r="AG85" s="456">
        <f t="shared" si="204"/>
        <v>0.19426486609665733</v>
      </c>
      <c r="AI85" s="150">
        <f t="shared" si="205"/>
        <v>16.134593107085923</v>
      </c>
      <c r="AJ85" s="150">
        <f t="shared" si="206"/>
        <v>27.453829612161101</v>
      </c>
      <c r="AK85" s="150">
        <f t="shared" si="207"/>
        <v>11.659626873205752</v>
      </c>
      <c r="AM85" s="314">
        <f t="shared" si="208"/>
        <v>400</v>
      </c>
      <c r="AN85" s="144">
        <f t="shared" si="209"/>
        <v>118.03248789110764</v>
      </c>
      <c r="AP85">
        <f t="shared" si="210"/>
        <v>400</v>
      </c>
      <c r="AQ85">
        <f t="shared" si="211"/>
        <v>118.03248789110764</v>
      </c>
      <c r="AS85" s="5">
        <f t="shared" si="285"/>
        <v>8.4722436836421053</v>
      </c>
      <c r="AT85" s="5">
        <f t="shared" si="212"/>
        <v>3.4512247490771477</v>
      </c>
      <c r="AU85" s="5">
        <f t="shared" si="286"/>
        <v>5.0210189345649576</v>
      </c>
      <c r="AV85" s="5">
        <f t="shared" si="213"/>
        <v>4.8210189345649583</v>
      </c>
      <c r="AW85" s="150">
        <f t="shared" si="287"/>
        <v>0.40735664340493943</v>
      </c>
      <c r="AX85" s="150">
        <f t="shared" si="214"/>
        <v>66.721944196625373</v>
      </c>
      <c r="AY85" s="150">
        <f t="shared" si="215"/>
        <v>0.40675824331850069</v>
      </c>
      <c r="AZ85" s="150">
        <f t="shared" si="288"/>
        <v>164.03341614488343</v>
      </c>
      <c r="BA85" s="144">
        <f t="shared" si="216"/>
        <v>0.81205288213579963</v>
      </c>
      <c r="BB85" s="5">
        <f t="shared" si="217"/>
        <v>47.690137057187712</v>
      </c>
      <c r="BC85" s="5"/>
      <c r="BD85" s="150">
        <f t="shared" si="289"/>
        <v>10.116486546841093</v>
      </c>
      <c r="BE85" s="150">
        <f t="shared" si="218"/>
        <v>0.61011123317550564</v>
      </c>
      <c r="BF85" s="150"/>
      <c r="BG85" s="456">
        <f t="shared" si="219"/>
        <v>0.34796722017821724</v>
      </c>
      <c r="BH85" s="456">
        <f t="shared" si="220"/>
        <v>1.5942300344087033</v>
      </c>
      <c r="BI85" s="456">
        <f t="shared" si="221"/>
        <v>6.4504199528941999E-2</v>
      </c>
      <c r="BJ85" s="456">
        <f t="shared" si="222"/>
        <v>3.4117254899151947E-2</v>
      </c>
      <c r="BK85">
        <f t="shared" si="223"/>
        <v>5.369495276470764E-3</v>
      </c>
      <c r="BL85" s="144">
        <f t="shared" si="290"/>
        <v>69.873694805412768</v>
      </c>
      <c r="BM85" s="456">
        <f t="shared" si="224"/>
        <v>2.2568557475615521</v>
      </c>
      <c r="BN85" s="144">
        <f t="shared" si="291"/>
        <v>2256.8557475615521</v>
      </c>
      <c r="BO85" s="456">
        <f t="shared" si="225"/>
        <v>0.88749999999999996</v>
      </c>
      <c r="BP85" s="456"/>
      <c r="BR85" s="144">
        <f t="shared" si="292"/>
        <v>887.5</v>
      </c>
      <c r="BS85" s="456">
        <f t="shared" si="226"/>
        <v>0.15351495007862526</v>
      </c>
      <c r="BT85" s="456">
        <f t="shared" si="227"/>
        <v>7.444714336938725E-2</v>
      </c>
      <c r="BU85" s="456">
        <f t="shared" si="228"/>
        <v>1.02</v>
      </c>
      <c r="BV85" s="456">
        <f t="shared" si="229"/>
        <v>1.3268711009889036</v>
      </c>
      <c r="BW85" s="456">
        <f t="shared" si="230"/>
        <v>8.8962592262167156E-2</v>
      </c>
      <c r="BX85" s="144">
        <f t="shared" si="293"/>
        <v>1415.8336932510706</v>
      </c>
      <c r="BY85" s="150">
        <f t="shared" si="231"/>
        <v>4.6300631356180357</v>
      </c>
      <c r="BZ85" s="5">
        <f t="shared" si="294"/>
        <v>68</v>
      </c>
      <c r="CA85" s="150">
        <f t="shared" si="295"/>
        <v>0.9362514235052698</v>
      </c>
      <c r="CB85" s="5">
        <f t="shared" si="296"/>
        <v>93.625142350526986</v>
      </c>
      <c r="CE85" s="59">
        <f t="shared" si="232"/>
        <v>-50</v>
      </c>
      <c r="CF85">
        <f t="shared" si="233"/>
        <v>-50</v>
      </c>
      <c r="CG85" s="150">
        <f t="shared" si="234"/>
        <v>0.57827109900188434</v>
      </c>
      <c r="CI85" s="147">
        <v>80</v>
      </c>
      <c r="CJ85" s="188">
        <f t="shared" si="297"/>
        <v>0.4</v>
      </c>
      <c r="CK85" s="188"/>
      <c r="CL85" s="188">
        <f t="shared" si="235"/>
        <v>68</v>
      </c>
      <c r="CM85" s="465">
        <f t="shared" si="236"/>
        <v>12</v>
      </c>
      <c r="CN85" s="149">
        <f t="shared" si="237"/>
        <v>8.5350000000000001</v>
      </c>
      <c r="CO85" s="379">
        <f t="shared" si="238"/>
        <v>20.535</v>
      </c>
      <c r="CP85" s="379"/>
      <c r="CQ85" s="188">
        <f t="shared" si="239"/>
        <v>0.4156318480642805</v>
      </c>
      <c r="CR85" s="149">
        <f t="shared" si="240"/>
        <v>166.85124908692478</v>
      </c>
      <c r="CS85" s="149">
        <f t="shared" si="298"/>
        <v>68</v>
      </c>
      <c r="CT85" s="188">
        <f t="shared" si="241"/>
        <v>0.98147793580543985</v>
      </c>
      <c r="CU85" s="188">
        <f t="shared" si="242"/>
        <v>170</v>
      </c>
      <c r="CV85" s="188">
        <f t="shared" si="243"/>
        <v>0.97795728956301287</v>
      </c>
      <c r="CW85" s="149">
        <f t="shared" si="244"/>
        <v>760.22078513727251</v>
      </c>
      <c r="CX85" s="149">
        <f t="shared" si="245"/>
        <v>170</v>
      </c>
      <c r="CY85" s="188">
        <f t="shared" si="246"/>
        <v>27.267721148213237</v>
      </c>
      <c r="CZ85" s="188">
        <f t="shared" si="247"/>
        <v>3.4084651435266551</v>
      </c>
      <c r="DA85" s="188">
        <f t="shared" si="248"/>
        <v>4.7922181279812364</v>
      </c>
      <c r="DB85" s="172">
        <f t="shared" si="249"/>
        <v>249.37910883856827</v>
      </c>
      <c r="DC85" s="379">
        <f t="shared" si="299"/>
        <v>121.94105867670294</v>
      </c>
      <c r="DE85" s="188">
        <f t="shared" si="250"/>
        <v>13.333333333333334</v>
      </c>
      <c r="DF85" s="150">
        <f t="shared" si="251"/>
        <v>2.3432923257176337</v>
      </c>
      <c r="DG85" s="150">
        <f t="shared" si="252"/>
        <v>0.19478938397857323</v>
      </c>
      <c r="DH85" s="150"/>
      <c r="DI85" s="150">
        <f t="shared" si="253"/>
        <v>2.3432923257176337</v>
      </c>
      <c r="DJ85" s="314">
        <f t="shared" si="300"/>
        <v>512.09999999999991</v>
      </c>
      <c r="DK85" s="456">
        <f t="shared" si="254"/>
        <v>0.19478938397857321</v>
      </c>
      <c r="DM85" s="150">
        <f t="shared" si="255"/>
        <v>16.128058956808339</v>
      </c>
      <c r="DN85" s="150">
        <f t="shared" si="256"/>
        <v>27.267721148213237</v>
      </c>
      <c r="DO85" s="150">
        <f t="shared" si="257"/>
        <v>11.52176875176289</v>
      </c>
      <c r="DQ85" s="314">
        <f t="shared" si="258"/>
        <v>400</v>
      </c>
      <c r="DR85" s="144">
        <f t="shared" si="259"/>
        <v>121.94105867670294</v>
      </c>
      <c r="DT85">
        <f t="shared" si="260"/>
        <v>400</v>
      </c>
      <c r="DU85">
        <f t="shared" si="261"/>
        <v>121.94105867670294</v>
      </c>
      <c r="DW85" s="5">
        <f t="shared" si="301"/>
        <v>8.2006832715078914</v>
      </c>
      <c r="DX85" s="5">
        <f t="shared" si="262"/>
        <v>3.4084651435266551</v>
      </c>
      <c r="DY85" s="5">
        <f t="shared" si="302"/>
        <v>4.7922181279812364</v>
      </c>
      <c r="DZ85" s="5">
        <f t="shared" si="263"/>
        <v>4.7922181279812364</v>
      </c>
      <c r="EA85" s="150">
        <f t="shared" si="303"/>
        <v>0.41563184806428055</v>
      </c>
      <c r="EB85" s="150">
        <f t="shared" si="264"/>
        <v>68</v>
      </c>
      <c r="EC85" s="150">
        <f t="shared" si="265"/>
        <v>0.39835969537199761</v>
      </c>
      <c r="ED85" s="150">
        <f t="shared" si="304"/>
        <v>170.70000000000002</v>
      </c>
      <c r="EE85" s="144">
        <f t="shared" si="266"/>
        <v>0.80199179847686008</v>
      </c>
      <c r="EF85" s="5">
        <f t="shared" si="267"/>
        <v>45.259837875378338</v>
      </c>
      <c r="EG85" s="5"/>
      <c r="EH85" s="150">
        <f t="shared" si="305"/>
        <v>10.149452744082369</v>
      </c>
      <c r="EI85" s="150">
        <f t="shared" si="268"/>
        <v>0.60172975911369608</v>
      </c>
      <c r="EJ85" s="150"/>
      <c r="EK85" s="456">
        <f t="shared" si="269"/>
        <v>0.35023872941482781</v>
      </c>
      <c r="EL85" s="456">
        <f t="shared" si="270"/>
        <v>2.0757120000000002</v>
      </c>
      <c r="EM85" s="456">
        <f t="shared" si="271"/>
        <v>2.7924502436964975E-2</v>
      </c>
      <c r="EN85" s="456">
        <f t="shared" si="272"/>
        <v>3.5223292323529415E-2</v>
      </c>
      <c r="EO85">
        <f t="shared" si="273"/>
        <v>5.4000000000000003E-3</v>
      </c>
      <c r="EP85" s="144">
        <f t="shared" si="306"/>
        <v>33.324502436964977</v>
      </c>
      <c r="EQ85" s="456">
        <f t="shared" si="274"/>
        <v>2.8240730863603791</v>
      </c>
      <c r="ER85" s="144">
        <f t="shared" si="307"/>
        <v>2824.073086360379</v>
      </c>
      <c r="ES85" s="456">
        <f t="shared" si="308"/>
        <v>0.88749999999999996</v>
      </c>
      <c r="ET85" s="456"/>
      <c r="EV85" s="144">
        <f t="shared" si="309"/>
        <v>887.5</v>
      </c>
      <c r="EW85" s="456">
        <f t="shared" si="275"/>
        <v>0.1545170865065417</v>
      </c>
      <c r="EX85" s="456">
        <f t="shared" si="276"/>
        <v>7.2415740600605336E-2</v>
      </c>
      <c r="EY85" s="456">
        <f t="shared" si="277"/>
        <v>31.876234821662486</v>
      </c>
      <c r="EZ85" s="456">
        <f t="shared" si="278"/>
        <v>32.752236130407688</v>
      </c>
      <c r="FA85" s="456">
        <f t="shared" si="279"/>
        <v>9.0666666666666673E-2</v>
      </c>
      <c r="FB85" s="144">
        <f t="shared" si="310"/>
        <v>32842.902797074355</v>
      </c>
      <c r="FC85" s="150">
        <f t="shared" si="311"/>
        <v>36.554475883434733</v>
      </c>
      <c r="FD85" s="5">
        <f t="shared" si="312"/>
        <v>68</v>
      </c>
      <c r="FE85" s="150">
        <f t="shared" si="313"/>
        <v>0.65037866074534734</v>
      </c>
      <c r="FF85" s="5">
        <f t="shared" si="314"/>
        <v>65.037866074534733</v>
      </c>
      <c r="FI85" s="59">
        <f t="shared" si="280"/>
        <v>-50</v>
      </c>
      <c r="FJ85">
        <f t="shared" si="281"/>
        <v>-50</v>
      </c>
      <c r="FL85">
        <f t="shared" si="282"/>
        <v>0.58436815193571945</v>
      </c>
    </row>
    <row r="86" spans="5:168">
      <c r="E86" s="147">
        <v>81</v>
      </c>
      <c r="F86" s="188">
        <f t="shared" si="283"/>
        <v>0.40500000000000003</v>
      </c>
      <c r="G86" s="188"/>
      <c r="H86" s="188">
        <f t="shared" si="183"/>
        <v>68.850000000000009</v>
      </c>
      <c r="I86" s="465">
        <f t="shared" si="184"/>
        <v>11.931373305042948</v>
      </c>
      <c r="J86" s="149">
        <f t="shared" si="185"/>
        <v>8.5420027239752088</v>
      </c>
      <c r="K86" s="149">
        <f t="shared" si="186"/>
        <v>20.542002723975209</v>
      </c>
      <c r="L86" s="379"/>
      <c r="M86" s="188">
        <f t="shared" si="187"/>
        <v>0.41722286826611432</v>
      </c>
      <c r="N86" s="149">
        <f t="shared" si="188"/>
        <v>166.53209143791429</v>
      </c>
      <c r="O86" s="149">
        <f t="shared" si="284"/>
        <v>68.850000000000009</v>
      </c>
      <c r="P86" s="188">
        <f t="shared" si="189"/>
        <v>0.97960053787008405</v>
      </c>
      <c r="Q86" s="188">
        <f t="shared" si="190"/>
        <v>170</v>
      </c>
      <c r="R86" s="188">
        <f t="shared" si="191"/>
        <v>0.97608662601642493</v>
      </c>
      <c r="S86" s="149">
        <f t="shared" si="192"/>
        <v>743.60299092945968</v>
      </c>
      <c r="T86" s="149">
        <f t="shared" si="193"/>
        <v>170</v>
      </c>
      <c r="U86" s="188">
        <f t="shared" si="194"/>
        <v>27.797933580203399</v>
      </c>
      <c r="V86" s="188">
        <f t="shared" si="195"/>
        <v>3.4947276649772889</v>
      </c>
      <c r="W86" s="188">
        <f t="shared" si="196"/>
        <v>4.8813962858233015</v>
      </c>
      <c r="X86" s="172">
        <f t="shared" si="197"/>
        <v>248.9033150370208</v>
      </c>
      <c r="Y86" s="379">
        <f t="shared" si="198"/>
        <v>116.60279232632232</v>
      </c>
      <c r="AA86" s="188">
        <f t="shared" si="199"/>
        <v>13.333333333333334</v>
      </c>
      <c r="AB86" s="150">
        <f t="shared" si="200"/>
        <v>2.3413712973732888</v>
      </c>
      <c r="AC86" s="150">
        <f t="shared" si="201"/>
        <v>0.19425835921624729</v>
      </c>
      <c r="AD86" s="150"/>
      <c r="AE86" s="150">
        <f t="shared" si="202"/>
        <v>2.3413712973732888</v>
      </c>
      <c r="AF86" s="314">
        <f t="shared" si="203"/>
        <v>518.92666548149384</v>
      </c>
      <c r="AG86" s="456">
        <f t="shared" si="204"/>
        <v>0.19425835921624732</v>
      </c>
      <c r="AI86" s="150">
        <f t="shared" si="205"/>
        <v>16.23520244221816</v>
      </c>
      <c r="AJ86" s="150">
        <f t="shared" si="206"/>
        <v>27.797933580203399</v>
      </c>
      <c r="AK86" s="150">
        <f t="shared" si="207"/>
        <v>11.914518701385232</v>
      </c>
      <c r="AM86" s="314">
        <f t="shared" si="208"/>
        <v>405</v>
      </c>
      <c r="AN86" s="144">
        <f t="shared" si="209"/>
        <v>116.60279232632232</v>
      </c>
      <c r="AP86">
        <f t="shared" si="210"/>
        <v>405</v>
      </c>
      <c r="AQ86">
        <f t="shared" si="211"/>
        <v>116.60279232632232</v>
      </c>
      <c r="AS86" s="5">
        <f t="shared" si="285"/>
        <v>8.5761239508005893</v>
      </c>
      <c r="AT86" s="5">
        <f t="shared" si="212"/>
        <v>3.4947276649772889</v>
      </c>
      <c r="AU86" s="5">
        <f t="shared" si="286"/>
        <v>5.0813962858233008</v>
      </c>
      <c r="AV86" s="5">
        <f t="shared" si="213"/>
        <v>4.8813962858233015</v>
      </c>
      <c r="AW86" s="150">
        <f t="shared" si="287"/>
        <v>0.40749500415640016</v>
      </c>
      <c r="AX86" s="150">
        <f t="shared" si="214"/>
        <v>67.576429261257218</v>
      </c>
      <c r="AY86" s="150">
        <f t="shared" si="215"/>
        <v>0.41176036300997704</v>
      </c>
      <c r="AZ86" s="150">
        <f t="shared" si="288"/>
        <v>164.11591627535998</v>
      </c>
      <c r="BA86" s="144">
        <f t="shared" si="216"/>
        <v>0.83256747312694246</v>
      </c>
      <c r="BB86" s="5">
        <f t="shared" si="217"/>
        <v>48.870336120635265</v>
      </c>
      <c r="BC86" s="5"/>
      <c r="BD86" s="150">
        <f t="shared" si="289"/>
        <v>10.245025174085365</v>
      </c>
      <c r="BE86" s="150">
        <f t="shared" si="218"/>
        <v>0.61768619923905765</v>
      </c>
      <c r="BF86" s="150"/>
      <c r="BG86" s="456">
        <f t="shared" si="219"/>
        <v>0.35686583877998573</v>
      </c>
      <c r="BH86" s="456">
        <f t="shared" si="220"/>
        <v>1.5946661070782611</v>
      </c>
      <c r="BI86" s="456">
        <f t="shared" si="221"/>
        <v>6.3718400119433291E-2</v>
      </c>
      <c r="BJ86" s="456">
        <f t="shared" si="222"/>
        <v>3.3704282570753079E-2</v>
      </c>
      <c r="BK86">
        <f t="shared" si="223"/>
        <v>5.3691179872693267E-3</v>
      </c>
      <c r="BL86" s="144">
        <f t="shared" si="290"/>
        <v>69.087518106702618</v>
      </c>
      <c r="BM86" s="456">
        <f t="shared" si="224"/>
        <v>2.274443040020004</v>
      </c>
      <c r="BN86" s="144">
        <f t="shared" si="291"/>
        <v>2274.443040020004</v>
      </c>
      <c r="BO86" s="456">
        <f t="shared" si="225"/>
        <v>0.89859375000000008</v>
      </c>
      <c r="BP86" s="456"/>
      <c r="BR86" s="144">
        <f t="shared" si="292"/>
        <v>898.59375000000011</v>
      </c>
      <c r="BS86" s="456">
        <f t="shared" si="226"/>
        <v>0.15744081122646431</v>
      </c>
      <c r="BT86" s="456">
        <f t="shared" si="227"/>
        <v>7.6307248146078574E-2</v>
      </c>
      <c r="BU86" s="456">
        <f t="shared" si="228"/>
        <v>1.0327500000000001</v>
      </c>
      <c r="BV86" s="456">
        <f t="shared" si="229"/>
        <v>1.3478012680888021</v>
      </c>
      <c r="BW86" s="456">
        <f t="shared" si="230"/>
        <v>9.0101905681676281E-2</v>
      </c>
      <c r="BX86" s="144">
        <f t="shared" si="293"/>
        <v>1437.9031737704784</v>
      </c>
      <c r="BY86" s="150">
        <f t="shared" si="231"/>
        <v>4.6800274818971852</v>
      </c>
      <c r="BZ86" s="5">
        <f t="shared" si="294"/>
        <v>68.850000000000009</v>
      </c>
      <c r="CA86" s="150">
        <f t="shared" si="295"/>
        <v>0.936352159217547</v>
      </c>
      <c r="CB86" s="5">
        <f t="shared" si="296"/>
        <v>93.635215921754707</v>
      </c>
      <c r="CE86" s="59">
        <f t="shared" si="232"/>
        <v>-50</v>
      </c>
      <c r="CF86">
        <f t="shared" si="233"/>
        <v>-50</v>
      </c>
      <c r="CG86" s="150">
        <f t="shared" si="234"/>
        <v>0.57834637126032673</v>
      </c>
      <c r="CI86" s="147">
        <v>81</v>
      </c>
      <c r="CJ86" s="188">
        <f t="shared" si="297"/>
        <v>0.40500000000000003</v>
      </c>
      <c r="CK86" s="188"/>
      <c r="CL86" s="188">
        <f t="shared" si="235"/>
        <v>68.850000000000009</v>
      </c>
      <c r="CM86" s="465">
        <f t="shared" si="236"/>
        <v>12</v>
      </c>
      <c r="CN86" s="149">
        <f t="shared" si="237"/>
        <v>8.5350000000000001</v>
      </c>
      <c r="CO86" s="379">
        <f t="shared" si="238"/>
        <v>20.535</v>
      </c>
      <c r="CP86" s="379"/>
      <c r="CQ86" s="188">
        <f t="shared" si="239"/>
        <v>0.4156318480642805</v>
      </c>
      <c r="CR86" s="149">
        <f t="shared" si="240"/>
        <v>166.85124908692478</v>
      </c>
      <c r="CS86" s="149">
        <f t="shared" si="298"/>
        <v>68.850000000000009</v>
      </c>
      <c r="CT86" s="188">
        <f t="shared" si="241"/>
        <v>0.98147793580543985</v>
      </c>
      <c r="CU86" s="188">
        <f t="shared" si="242"/>
        <v>170</v>
      </c>
      <c r="CV86" s="188">
        <f t="shared" si="243"/>
        <v>0.97795728956301287</v>
      </c>
      <c r="CW86" s="149">
        <f t="shared" si="244"/>
        <v>747.87874627468807</v>
      </c>
      <c r="CX86" s="149">
        <f t="shared" si="245"/>
        <v>170</v>
      </c>
      <c r="CY86" s="188">
        <f t="shared" si="246"/>
        <v>27.608567662565907</v>
      </c>
      <c r="CZ86" s="188">
        <f t="shared" si="247"/>
        <v>3.4510709578207384</v>
      </c>
      <c r="DA86" s="188">
        <f t="shared" si="248"/>
        <v>4.8521208545810026</v>
      </c>
      <c r="DB86" s="172">
        <f t="shared" si="249"/>
        <v>249.37910883856827</v>
      </c>
      <c r="DC86" s="379">
        <f t="shared" si="299"/>
        <v>120.43561350785474</v>
      </c>
      <c r="DE86" s="188">
        <f t="shared" si="250"/>
        <v>13.333333333333334</v>
      </c>
      <c r="DF86" s="150">
        <f t="shared" si="251"/>
        <v>2.3432923257176337</v>
      </c>
      <c r="DG86" s="150">
        <f t="shared" si="252"/>
        <v>0.19478938397857323</v>
      </c>
      <c r="DH86" s="150"/>
      <c r="DI86" s="150">
        <f t="shared" si="253"/>
        <v>2.3432923257176337</v>
      </c>
      <c r="DJ86" s="314">
        <f t="shared" si="300"/>
        <v>518.50124999999991</v>
      </c>
      <c r="DK86" s="456">
        <f t="shared" si="254"/>
        <v>0.19478938397857321</v>
      </c>
      <c r="DM86" s="150">
        <f t="shared" si="255"/>
        <v>16.228546277646505</v>
      </c>
      <c r="DN86" s="150">
        <f t="shared" si="256"/>
        <v>27.608567662565907</v>
      </c>
      <c r="DO86" s="150">
        <f t="shared" si="257"/>
        <v>11.774247651283385</v>
      </c>
      <c r="DQ86" s="314">
        <f t="shared" si="258"/>
        <v>405</v>
      </c>
      <c r="DR86" s="144">
        <f t="shared" si="259"/>
        <v>120.43561350785474</v>
      </c>
      <c r="DT86">
        <f t="shared" si="260"/>
        <v>405</v>
      </c>
      <c r="DU86">
        <f t="shared" si="261"/>
        <v>120.43561350785474</v>
      </c>
      <c r="DW86" s="5">
        <f t="shared" si="301"/>
        <v>8.3031918124017405</v>
      </c>
      <c r="DX86" s="5">
        <f t="shared" si="262"/>
        <v>3.4510709578207384</v>
      </c>
      <c r="DY86" s="5">
        <f t="shared" si="302"/>
        <v>4.8521208545810026</v>
      </c>
      <c r="DZ86" s="5">
        <f t="shared" si="263"/>
        <v>4.8521208545810026</v>
      </c>
      <c r="EA86" s="150">
        <f t="shared" si="303"/>
        <v>0.41563184806428055</v>
      </c>
      <c r="EB86" s="150">
        <f t="shared" si="264"/>
        <v>68.850000000000009</v>
      </c>
      <c r="EC86" s="150">
        <f t="shared" si="265"/>
        <v>0.40333919156414766</v>
      </c>
      <c r="ED86" s="150">
        <f t="shared" si="304"/>
        <v>170.70000000000002</v>
      </c>
      <c r="EE86" s="144">
        <f t="shared" si="266"/>
        <v>0.8221669046572937</v>
      </c>
      <c r="EF86" s="5">
        <f t="shared" si="267"/>
        <v>46.398405671930838</v>
      </c>
      <c r="EG86" s="5"/>
      <c r="EH86" s="150">
        <f t="shared" si="305"/>
        <v>10.2763209033834</v>
      </c>
      <c r="EI86" s="150">
        <f t="shared" si="268"/>
        <v>0.60925138110261745</v>
      </c>
      <c r="EJ86" s="150"/>
      <c r="EK86" s="456">
        <f t="shared" si="269"/>
        <v>0.35904942245166971</v>
      </c>
      <c r="EL86" s="456">
        <f t="shared" si="270"/>
        <v>2.0757120000000002</v>
      </c>
      <c r="EM86" s="456">
        <f t="shared" si="271"/>
        <v>2.7579755493298733E-2</v>
      </c>
      <c r="EN86" s="456">
        <f t="shared" si="272"/>
        <v>3.4788436862745097E-2</v>
      </c>
      <c r="EO86">
        <f t="shared" si="273"/>
        <v>5.4000000000000003E-3</v>
      </c>
      <c r="EP86" s="144">
        <f t="shared" si="306"/>
        <v>32.979755493298732</v>
      </c>
      <c r="EQ86" s="456">
        <f t="shared" si="274"/>
        <v>2.8419173322360995</v>
      </c>
      <c r="ER86" s="144">
        <f t="shared" si="307"/>
        <v>2841.9173322360994</v>
      </c>
      <c r="ES86" s="456">
        <f t="shared" si="308"/>
        <v>0.89859375000000008</v>
      </c>
      <c r="ET86" s="456"/>
      <c r="EV86" s="144">
        <f t="shared" si="309"/>
        <v>898.59375000000011</v>
      </c>
      <c r="EW86" s="456">
        <f t="shared" si="275"/>
        <v>0.15840415696397192</v>
      </c>
      <c r="EX86" s="456">
        <f t="shared" si="276"/>
        <v>7.4237449075089362E-2</v>
      </c>
      <c r="EY86" s="456">
        <f t="shared" si="277"/>
        <v>31.876234821662486</v>
      </c>
      <c r="EZ86" s="456">
        <f t="shared" si="278"/>
        <v>32.77469095239892</v>
      </c>
      <c r="FA86" s="456">
        <f t="shared" si="279"/>
        <v>9.1800000000000007E-2</v>
      </c>
      <c r="FB86" s="144">
        <f t="shared" si="310"/>
        <v>32866.490952398919</v>
      </c>
      <c r="FC86" s="150">
        <f t="shared" si="311"/>
        <v>36.607002034635016</v>
      </c>
      <c r="FD86" s="5">
        <f t="shared" si="312"/>
        <v>68.850000000000009</v>
      </c>
      <c r="FE86" s="150">
        <f t="shared" si="313"/>
        <v>0.65287272226255533</v>
      </c>
      <c r="FF86" s="5">
        <f t="shared" si="314"/>
        <v>65.287272226255538</v>
      </c>
      <c r="FI86" s="59">
        <f t="shared" si="280"/>
        <v>-50</v>
      </c>
      <c r="FJ86">
        <f t="shared" si="281"/>
        <v>-50</v>
      </c>
      <c r="FL86">
        <f t="shared" si="282"/>
        <v>0.58436815193571945</v>
      </c>
    </row>
    <row r="87" spans="5:168">
      <c r="E87" s="147">
        <v>82</v>
      </c>
      <c r="F87" s="188">
        <f t="shared" si="283"/>
        <v>0.41</v>
      </c>
      <c r="G87" s="188"/>
      <c r="H87" s="188">
        <f t="shared" si="183"/>
        <v>69.7</v>
      </c>
      <c r="I87" s="465">
        <f t="shared" si="184"/>
        <v>11.930534882327043</v>
      </c>
      <c r="J87" s="149">
        <f t="shared" si="185"/>
        <v>8.5420882773135656</v>
      </c>
      <c r="K87" s="149">
        <f t="shared" si="186"/>
        <v>20.542088277313567</v>
      </c>
      <c r="L87" s="379"/>
      <c r="M87" s="188">
        <f t="shared" si="187"/>
        <v>0.41724239064994134</v>
      </c>
      <c r="N87" s="149">
        <f t="shared" si="188"/>
        <v>166.52818085534591</v>
      </c>
      <c r="O87" s="149">
        <f t="shared" si="284"/>
        <v>69.7</v>
      </c>
      <c r="P87" s="188">
        <f t="shared" si="189"/>
        <v>0.97957753444321127</v>
      </c>
      <c r="Q87" s="188">
        <f t="shared" si="190"/>
        <v>170</v>
      </c>
      <c r="R87" s="188">
        <f t="shared" si="191"/>
        <v>0.97606370510483398</v>
      </c>
      <c r="S87" s="149">
        <f t="shared" si="192"/>
        <v>731.57958041964082</v>
      </c>
      <c r="T87" s="149">
        <f t="shared" si="193"/>
        <v>170</v>
      </c>
      <c r="U87" s="188">
        <f t="shared" si="194"/>
        <v>28.142060673031249</v>
      </c>
      <c r="V87" s="188">
        <f t="shared" si="195"/>
        <v>3.5382396033289365</v>
      </c>
      <c r="W87" s="188">
        <f t="shared" si="196"/>
        <v>4.9417764882690527</v>
      </c>
      <c r="X87" s="172">
        <f t="shared" si="197"/>
        <v>248.8974699669005</v>
      </c>
      <c r="Y87" s="379">
        <f t="shared" si="198"/>
        <v>115.20715969270748</v>
      </c>
      <c r="AA87" s="188">
        <f t="shared" si="199"/>
        <v>13.333333333333334</v>
      </c>
      <c r="AB87" s="150">
        <f t="shared" si="200"/>
        <v>2.341347847354474</v>
      </c>
      <c r="AC87" s="150">
        <f t="shared" si="201"/>
        <v>0.19425185183965915</v>
      </c>
      <c r="AD87" s="150"/>
      <c r="AE87" s="150">
        <f t="shared" si="202"/>
        <v>2.341347847354474</v>
      </c>
      <c r="AF87" s="314">
        <f t="shared" si="203"/>
        <v>525.33842905478411</v>
      </c>
      <c r="AG87" s="456">
        <f t="shared" si="204"/>
        <v>0.1942518518396591</v>
      </c>
      <c r="AI87" s="150">
        <f t="shared" si="205"/>
        <v>16.335194126147936</v>
      </c>
      <c r="AJ87" s="150">
        <f t="shared" si="206"/>
        <v>28.142060673031249</v>
      </c>
      <c r="AK87" s="150">
        <f t="shared" si="207"/>
        <v>12.169427659035492</v>
      </c>
      <c r="AM87" s="314">
        <f t="shared" si="208"/>
        <v>410</v>
      </c>
      <c r="AN87" s="144">
        <f t="shared" si="209"/>
        <v>115.20715969270748</v>
      </c>
      <c r="AP87">
        <f t="shared" si="210"/>
        <v>410</v>
      </c>
      <c r="AQ87">
        <f t="shared" si="211"/>
        <v>115.20715969270748</v>
      </c>
      <c r="AS87" s="5">
        <f t="shared" si="285"/>
        <v>8.680016091597988</v>
      </c>
      <c r="AT87" s="5">
        <f t="shared" si="212"/>
        <v>3.5382396033289365</v>
      </c>
      <c r="AU87" s="5">
        <f t="shared" si="286"/>
        <v>5.141776488269052</v>
      </c>
      <c r="AV87" s="5">
        <f t="shared" si="213"/>
        <v>4.9417764882690527</v>
      </c>
      <c r="AW87" s="150">
        <f t="shared" si="287"/>
        <v>0.40763053501177876</v>
      </c>
      <c r="AX87" s="150">
        <f t="shared" si="214"/>
        <v>68.43094274541572</v>
      </c>
      <c r="AY87" s="150">
        <f t="shared" si="215"/>
        <v>0.4167624356137396</v>
      </c>
      <c r="AZ87" s="150">
        <f t="shared" si="288"/>
        <v>164.19652276156273</v>
      </c>
      <c r="BA87" s="144">
        <f t="shared" si="216"/>
        <v>0.85334013962639044</v>
      </c>
      <c r="BB87" s="5">
        <f t="shared" si="217"/>
        <v>50.065067599949145</v>
      </c>
      <c r="BC87" s="5"/>
      <c r="BD87" s="150">
        <f t="shared" si="289"/>
        <v>10.373579082670977</v>
      </c>
      <c r="BE87" s="150">
        <f t="shared" si="218"/>
        <v>0.62526137865914766</v>
      </c>
      <c r="BF87" s="150"/>
      <c r="BG87" s="456">
        <f t="shared" si="219"/>
        <v>0.36587788614705796</v>
      </c>
      <c r="BH87" s="456">
        <f t="shared" si="220"/>
        <v>1.5950910333324801</v>
      </c>
      <c r="BI87" s="456">
        <f t="shared" si="221"/>
        <v>6.2951323113271215E-2</v>
      </c>
      <c r="BJ87" s="456">
        <f t="shared" si="222"/>
        <v>3.330114940373935E-2</v>
      </c>
      <c r="BK87">
        <f t="shared" si="223"/>
        <v>5.3687406970471694E-3</v>
      </c>
      <c r="BL87" s="144">
        <f t="shared" si="290"/>
        <v>68.320063810318388</v>
      </c>
      <c r="BM87" s="456">
        <f t="shared" si="224"/>
        <v>2.292335774416931</v>
      </c>
      <c r="BN87" s="144">
        <f t="shared" si="291"/>
        <v>2292.3357744169311</v>
      </c>
      <c r="BO87" s="456">
        <f t="shared" si="225"/>
        <v>0.90968749999999987</v>
      </c>
      <c r="BP87" s="456"/>
      <c r="BR87" s="144">
        <f t="shared" si="292"/>
        <v>909.68749999999989</v>
      </c>
      <c r="BS87" s="456">
        <f t="shared" si="226"/>
        <v>0.16141671447664324</v>
      </c>
      <c r="BT87" s="456">
        <f t="shared" si="227"/>
        <v>7.8190358328547607E-2</v>
      </c>
      <c r="BU87" s="456">
        <f t="shared" si="228"/>
        <v>1.0455000000000001</v>
      </c>
      <c r="BV87" s="456">
        <f t="shared" si="229"/>
        <v>1.3688516940802768</v>
      </c>
      <c r="BW87" s="456">
        <f t="shared" si="230"/>
        <v>9.1241256993887632E-2</v>
      </c>
      <c r="BX87" s="144">
        <f t="shared" si="293"/>
        <v>1460.0929510741644</v>
      </c>
      <c r="BY87" s="150">
        <f t="shared" si="231"/>
        <v>4.730436289301414</v>
      </c>
      <c r="BZ87" s="5">
        <f t="shared" si="294"/>
        <v>69.7</v>
      </c>
      <c r="CA87" s="150">
        <f t="shared" si="295"/>
        <v>0.93644486684298323</v>
      </c>
      <c r="CB87" s="5">
        <f t="shared" si="296"/>
        <v>93.644486684298329</v>
      </c>
      <c r="CE87" s="59">
        <f t="shared" si="232"/>
        <v>-50</v>
      </c>
      <c r="CF87">
        <f t="shared" si="233"/>
        <v>-50</v>
      </c>
      <c r="CG87" s="150">
        <f t="shared" si="234"/>
        <v>0.57841980761002676</v>
      </c>
      <c r="CI87" s="147">
        <v>82</v>
      </c>
      <c r="CJ87" s="188">
        <f t="shared" si="297"/>
        <v>0.41</v>
      </c>
      <c r="CK87" s="188"/>
      <c r="CL87" s="188">
        <f t="shared" si="235"/>
        <v>69.7</v>
      </c>
      <c r="CM87" s="465">
        <f t="shared" si="236"/>
        <v>12</v>
      </c>
      <c r="CN87" s="149">
        <f t="shared" si="237"/>
        <v>8.5350000000000001</v>
      </c>
      <c r="CO87" s="379">
        <f t="shared" si="238"/>
        <v>20.535</v>
      </c>
      <c r="CP87" s="379"/>
      <c r="CQ87" s="188">
        <f t="shared" si="239"/>
        <v>0.4156318480642805</v>
      </c>
      <c r="CR87" s="149">
        <f t="shared" si="240"/>
        <v>166.85124908692478</v>
      </c>
      <c r="CS87" s="149">
        <f t="shared" si="298"/>
        <v>69.7</v>
      </c>
      <c r="CT87" s="188">
        <f t="shared" si="241"/>
        <v>0.98147793580543985</v>
      </c>
      <c r="CU87" s="188">
        <f t="shared" si="242"/>
        <v>170</v>
      </c>
      <c r="CV87" s="188">
        <f t="shared" si="243"/>
        <v>0.97795728956301287</v>
      </c>
      <c r="CW87" s="149">
        <f t="shared" si="244"/>
        <v>735.83785028163572</v>
      </c>
      <c r="CX87" s="149">
        <f t="shared" si="245"/>
        <v>170</v>
      </c>
      <c r="CY87" s="188">
        <f t="shared" si="246"/>
        <v>27.94941417691857</v>
      </c>
      <c r="CZ87" s="188">
        <f t="shared" si="247"/>
        <v>3.4936767721148207</v>
      </c>
      <c r="DA87" s="188">
        <f t="shared" si="248"/>
        <v>4.9120235811807671</v>
      </c>
      <c r="DB87" s="172">
        <f t="shared" si="249"/>
        <v>249.37910883856827</v>
      </c>
      <c r="DC87" s="379">
        <f t="shared" si="299"/>
        <v>118.96688651385654</v>
      </c>
      <c r="DE87" s="188">
        <f t="shared" si="250"/>
        <v>13.333333333333334</v>
      </c>
      <c r="DF87" s="150">
        <f t="shared" si="251"/>
        <v>2.3432923257176337</v>
      </c>
      <c r="DG87" s="150">
        <f t="shared" si="252"/>
        <v>0.19478938397857323</v>
      </c>
      <c r="DH87" s="150"/>
      <c r="DI87" s="150">
        <f t="shared" si="253"/>
        <v>2.3432923257176337</v>
      </c>
      <c r="DJ87" s="314">
        <f t="shared" si="300"/>
        <v>524.9024999999998</v>
      </c>
      <c r="DK87" s="456">
        <f t="shared" si="254"/>
        <v>0.19478938397857321</v>
      </c>
      <c r="DM87" s="150">
        <f t="shared" si="255"/>
        <v>16.328415197352829</v>
      </c>
      <c r="DN87" s="150">
        <f t="shared" si="256"/>
        <v>27.94941417691857</v>
      </c>
      <c r="DO87" s="150">
        <f t="shared" si="257"/>
        <v>12.026726550803877</v>
      </c>
      <c r="DQ87" s="314">
        <f t="shared" si="258"/>
        <v>410</v>
      </c>
      <c r="DR87" s="144">
        <f t="shared" si="259"/>
        <v>118.96688651385654</v>
      </c>
      <c r="DT87">
        <f t="shared" si="260"/>
        <v>410</v>
      </c>
      <c r="DU87">
        <f t="shared" si="261"/>
        <v>118.96688651385654</v>
      </c>
      <c r="DW87" s="5">
        <f t="shared" si="301"/>
        <v>8.4057003532955878</v>
      </c>
      <c r="DX87" s="5">
        <f t="shared" si="262"/>
        <v>3.4936767721148207</v>
      </c>
      <c r="DY87" s="5">
        <f t="shared" si="302"/>
        <v>4.9120235811807671</v>
      </c>
      <c r="DZ87" s="5">
        <f t="shared" si="263"/>
        <v>4.9120235811807671</v>
      </c>
      <c r="EA87" s="150">
        <f t="shared" si="303"/>
        <v>0.4156318480642805</v>
      </c>
      <c r="EB87" s="150">
        <f t="shared" si="264"/>
        <v>69.700000000000017</v>
      </c>
      <c r="EC87" s="150">
        <f t="shared" si="265"/>
        <v>0.40831868775629765</v>
      </c>
      <c r="ED87" s="150">
        <f t="shared" si="304"/>
        <v>170.70000000000002</v>
      </c>
      <c r="EE87" s="144">
        <f t="shared" si="266"/>
        <v>0.84259263327475087</v>
      </c>
      <c r="EF87" s="5">
        <f t="shared" si="267"/>
        <v>47.55111716781937</v>
      </c>
      <c r="EG87" s="5"/>
      <c r="EH87" s="150">
        <f t="shared" si="305"/>
        <v>10.403189062684428</v>
      </c>
      <c r="EI87" s="150">
        <f t="shared" si="268"/>
        <v>0.6167730030915386</v>
      </c>
      <c r="EJ87" s="150"/>
      <c r="EK87" s="456">
        <f t="shared" si="269"/>
        <v>0.36796956509145345</v>
      </c>
      <c r="EL87" s="456">
        <f t="shared" si="270"/>
        <v>2.0757120000000007</v>
      </c>
      <c r="EM87" s="456">
        <f t="shared" si="271"/>
        <v>2.7243417011673147E-2</v>
      </c>
      <c r="EN87" s="456">
        <f t="shared" si="272"/>
        <v>3.4364187632711624E-2</v>
      </c>
      <c r="EO87">
        <f t="shared" si="273"/>
        <v>5.4000000000000003E-3</v>
      </c>
      <c r="EP87" s="144">
        <f t="shared" si="306"/>
        <v>32.643417011673151</v>
      </c>
      <c r="EQ87" s="456">
        <f t="shared" si="274"/>
        <v>2.8600980951074497</v>
      </c>
      <c r="ER87" s="144">
        <f t="shared" si="307"/>
        <v>2860.0980951074498</v>
      </c>
      <c r="ES87" s="456">
        <f t="shared" si="308"/>
        <v>0.90968749999999987</v>
      </c>
      <c r="ET87" s="456"/>
      <c r="EV87" s="144">
        <f t="shared" si="309"/>
        <v>909.68749999999989</v>
      </c>
      <c r="EW87" s="456">
        <f t="shared" si="275"/>
        <v>0.16233951401093535</v>
      </c>
      <c r="EX87" s="456">
        <f t="shared" si="276"/>
        <v>7.608178746851102E-2</v>
      </c>
      <c r="EY87" s="456">
        <f t="shared" si="277"/>
        <v>31.876234821662489</v>
      </c>
      <c r="EZ87" s="456">
        <f t="shared" si="278"/>
        <v>32.797446016656451</v>
      </c>
      <c r="FA87" s="456">
        <f t="shared" si="279"/>
        <v>9.2933333333333354E-2</v>
      </c>
      <c r="FB87" s="144">
        <f t="shared" si="310"/>
        <v>32890.379349989787</v>
      </c>
      <c r="FC87" s="150">
        <f t="shared" si="311"/>
        <v>36.660164945097236</v>
      </c>
      <c r="FD87" s="5">
        <f t="shared" si="312"/>
        <v>69.7</v>
      </c>
      <c r="FE87" s="150">
        <f t="shared" si="313"/>
        <v>0.65532053317121974</v>
      </c>
      <c r="FF87" s="5">
        <f t="shared" si="314"/>
        <v>65.532053317121978</v>
      </c>
      <c r="FI87" s="59">
        <f t="shared" si="280"/>
        <v>-50</v>
      </c>
      <c r="FJ87">
        <f t="shared" si="281"/>
        <v>-50</v>
      </c>
      <c r="FL87">
        <f t="shared" si="282"/>
        <v>0.58436815193571956</v>
      </c>
    </row>
    <row r="88" spans="5:168">
      <c r="E88" s="147">
        <v>83</v>
      </c>
      <c r="F88" s="188">
        <f t="shared" si="283"/>
        <v>0.41499999999999998</v>
      </c>
      <c r="G88" s="188"/>
      <c r="H88" s="188">
        <f t="shared" si="183"/>
        <v>70.55</v>
      </c>
      <c r="I88" s="465">
        <f t="shared" si="184"/>
        <v>11.929696457425687</v>
      </c>
      <c r="J88" s="149">
        <f t="shared" si="185"/>
        <v>8.5421738308749298</v>
      </c>
      <c r="K88" s="149">
        <f t="shared" si="186"/>
        <v>20.54217383087493</v>
      </c>
      <c r="L88" s="379"/>
      <c r="M88" s="188">
        <f t="shared" si="187"/>
        <v>0.41726191451420291</v>
      </c>
      <c r="N88" s="149">
        <f t="shared" si="188"/>
        <v>166.52426973796605</v>
      </c>
      <c r="O88" s="149">
        <f t="shared" si="284"/>
        <v>70.55</v>
      </c>
      <c r="P88" s="188">
        <f t="shared" si="189"/>
        <v>0.97955452787038855</v>
      </c>
      <c r="Q88" s="188">
        <f t="shared" si="190"/>
        <v>170</v>
      </c>
      <c r="R88" s="188">
        <f t="shared" si="191"/>
        <v>0.97604078105857772</v>
      </c>
      <c r="S88" s="149">
        <f t="shared" si="192"/>
        <v>719.84641206168385</v>
      </c>
      <c r="T88" s="149">
        <f t="shared" si="193"/>
        <v>170</v>
      </c>
      <c r="U88" s="188">
        <f t="shared" si="194"/>
        <v>28.486210895520038</v>
      </c>
      <c r="V88" s="188">
        <f t="shared" si="195"/>
        <v>3.5817605666473624</v>
      </c>
      <c r="W88" s="188">
        <f t="shared" si="196"/>
        <v>5.0021595426727021</v>
      </c>
      <c r="X88" s="172">
        <f t="shared" si="197"/>
        <v>248.8916241012445</v>
      </c>
      <c r="Y88" s="379">
        <f t="shared" si="198"/>
        <v>113.84438696556029</v>
      </c>
      <c r="AA88" s="188">
        <f t="shared" si="199"/>
        <v>13.333333333333332</v>
      </c>
      <c r="AB88" s="150">
        <f t="shared" si="200"/>
        <v>2.3413243977442573</v>
      </c>
      <c r="AC88" s="150">
        <f t="shared" si="201"/>
        <v>0.19424534396747878</v>
      </c>
      <c r="AD88" s="150"/>
      <c r="AE88" s="150">
        <f t="shared" si="202"/>
        <v>2.3413243977442577</v>
      </c>
      <c r="AF88" s="314">
        <f t="shared" si="203"/>
        <v>531.75032097196424</v>
      </c>
      <c r="AG88" s="456">
        <f t="shared" si="204"/>
        <v>0.19424534396747881</v>
      </c>
      <c r="AI88" s="150">
        <f t="shared" si="205"/>
        <v>16.434579432666258</v>
      </c>
      <c r="AJ88" s="150">
        <f t="shared" si="206"/>
        <v>28.486210895520038</v>
      </c>
      <c r="AK88" s="150">
        <f t="shared" si="207"/>
        <v>12.424353749767928</v>
      </c>
      <c r="AM88" s="314">
        <f t="shared" si="208"/>
        <v>415</v>
      </c>
      <c r="AN88" s="144">
        <f t="shared" si="209"/>
        <v>113.84438696556029</v>
      </c>
      <c r="AP88">
        <f t="shared" si="210"/>
        <v>415</v>
      </c>
      <c r="AQ88">
        <f t="shared" si="211"/>
        <v>113.84438696556029</v>
      </c>
      <c r="AS88" s="5">
        <f t="shared" si="285"/>
        <v>8.7839201093200643</v>
      </c>
      <c r="AT88" s="5">
        <f t="shared" si="212"/>
        <v>3.5817605666473624</v>
      </c>
      <c r="AU88" s="5">
        <f t="shared" si="286"/>
        <v>5.2021595426727014</v>
      </c>
      <c r="AV88" s="5">
        <f t="shared" si="213"/>
        <v>5.0021595426727021</v>
      </c>
      <c r="AW88" s="150">
        <f t="shared" si="287"/>
        <v>0.40776333596738679</v>
      </c>
      <c r="AX88" s="150">
        <f t="shared" si="214"/>
        <v>69.285484250054623</v>
      </c>
      <c r="AY88" s="150">
        <f t="shared" si="215"/>
        <v>0.42176446279230673</v>
      </c>
      <c r="AZ88" s="150">
        <f t="shared" si="288"/>
        <v>164.27530141194825</v>
      </c>
      <c r="BA88" s="144">
        <f t="shared" si="216"/>
        <v>0.87437096185803254</v>
      </c>
      <c r="BB88" s="5">
        <f t="shared" si="217"/>
        <v>51.274335582823475</v>
      </c>
      <c r="BC88" s="5"/>
      <c r="BD88" s="150">
        <f t="shared" si="289"/>
        <v>10.502148252786984</v>
      </c>
      <c r="BE88" s="150">
        <f t="shared" si="218"/>
        <v>0.63283677293431062</v>
      </c>
      <c r="BF88" s="150"/>
      <c r="BG88" s="456">
        <f t="shared" si="219"/>
        <v>0.37500340093995682</v>
      </c>
      <c r="BH88" s="456">
        <f t="shared" si="220"/>
        <v>1.5955052066445272</v>
      </c>
      <c r="BI88" s="456">
        <f t="shared" si="221"/>
        <v>6.2202307278542646E-2</v>
      </c>
      <c r="BJ88" s="456">
        <f t="shared" si="222"/>
        <v>3.2907507901437955E-2</v>
      </c>
      <c r="BK88">
        <f t="shared" si="223"/>
        <v>5.3683634058415584E-3</v>
      </c>
      <c r="BL88" s="144">
        <f t="shared" si="290"/>
        <v>67.570670684384197</v>
      </c>
      <c r="BM88" s="456">
        <f t="shared" si="224"/>
        <v>2.3105378206176361</v>
      </c>
      <c r="BN88" s="144">
        <f t="shared" si="291"/>
        <v>2310.537820617636</v>
      </c>
      <c r="BO88" s="456">
        <f t="shared" si="225"/>
        <v>0.92078124999999988</v>
      </c>
      <c r="BP88" s="456"/>
      <c r="BR88" s="144">
        <f t="shared" si="292"/>
        <v>920.78124999999989</v>
      </c>
      <c r="BS88" s="456">
        <f t="shared" si="226"/>
        <v>0.16544267688527509</v>
      </c>
      <c r="BT88" s="456">
        <f t="shared" si="227"/>
        <v>8.0096476235582456E-2</v>
      </c>
      <c r="BU88" s="456">
        <f t="shared" si="228"/>
        <v>1.0582499999999999</v>
      </c>
      <c r="BV88" s="456">
        <f t="shared" si="229"/>
        <v>1.390022954597089</v>
      </c>
      <c r="BW88" s="456">
        <f t="shared" si="230"/>
        <v>9.2380645666739508E-2</v>
      </c>
      <c r="BX88" s="144">
        <f t="shared" si="293"/>
        <v>1482.4036002638286</v>
      </c>
      <c r="BY88" s="150">
        <f t="shared" si="231"/>
        <v>4.7812933415658474</v>
      </c>
      <c r="BZ88" s="5">
        <f t="shared" si="294"/>
        <v>70.55</v>
      </c>
      <c r="CA88" s="150">
        <f t="shared" si="295"/>
        <v>0.93652978557149436</v>
      </c>
      <c r="CB88" s="5">
        <f t="shared" si="296"/>
        <v>93.652978557149439</v>
      </c>
      <c r="CE88" s="59">
        <f t="shared" si="232"/>
        <v>-50</v>
      </c>
      <c r="CF88">
        <f t="shared" si="233"/>
        <v>-50</v>
      </c>
      <c r="CG88" s="150">
        <f t="shared" si="234"/>
        <v>0.5784914744091314</v>
      </c>
      <c r="CI88" s="147">
        <v>83</v>
      </c>
      <c r="CJ88" s="188">
        <f t="shared" si="297"/>
        <v>0.41499999999999998</v>
      </c>
      <c r="CK88" s="188"/>
      <c r="CL88" s="188">
        <f t="shared" si="235"/>
        <v>70.55</v>
      </c>
      <c r="CM88" s="465">
        <f t="shared" si="236"/>
        <v>12</v>
      </c>
      <c r="CN88" s="149">
        <f t="shared" si="237"/>
        <v>8.5350000000000001</v>
      </c>
      <c r="CO88" s="379">
        <f t="shared" si="238"/>
        <v>20.535</v>
      </c>
      <c r="CP88" s="379"/>
      <c r="CQ88" s="188">
        <f t="shared" si="239"/>
        <v>0.4156318480642805</v>
      </c>
      <c r="CR88" s="149">
        <f t="shared" si="240"/>
        <v>166.85124908692478</v>
      </c>
      <c r="CS88" s="149">
        <f t="shared" si="298"/>
        <v>70.55</v>
      </c>
      <c r="CT88" s="188">
        <f t="shared" si="241"/>
        <v>0.98147793580543985</v>
      </c>
      <c r="CU88" s="188">
        <f t="shared" si="242"/>
        <v>170</v>
      </c>
      <c r="CV88" s="188">
        <f t="shared" si="243"/>
        <v>0.97795728956301287</v>
      </c>
      <c r="CW88" s="149">
        <f t="shared" si="244"/>
        <v>724.08721385524632</v>
      </c>
      <c r="CX88" s="149">
        <f t="shared" si="245"/>
        <v>170</v>
      </c>
      <c r="CY88" s="188">
        <f t="shared" si="246"/>
        <v>28.290260691271232</v>
      </c>
      <c r="CZ88" s="188">
        <f t="shared" si="247"/>
        <v>3.5362825864089045</v>
      </c>
      <c r="DA88" s="188">
        <f t="shared" si="248"/>
        <v>4.9719263077805325</v>
      </c>
      <c r="DB88" s="172">
        <f t="shared" si="249"/>
        <v>249.37910883856827</v>
      </c>
      <c r="DC88" s="379">
        <f t="shared" si="299"/>
        <v>117.53355053176188</v>
      </c>
      <c r="DE88" s="188">
        <f t="shared" si="250"/>
        <v>13.333333333333334</v>
      </c>
      <c r="DF88" s="150">
        <f t="shared" si="251"/>
        <v>2.3432923257176337</v>
      </c>
      <c r="DG88" s="150">
        <f t="shared" si="252"/>
        <v>0.19478938397857323</v>
      </c>
      <c r="DH88" s="150"/>
      <c r="DI88" s="150">
        <f t="shared" si="253"/>
        <v>2.3432923257176337</v>
      </c>
      <c r="DJ88" s="314">
        <f t="shared" si="300"/>
        <v>531.30374999999992</v>
      </c>
      <c r="DK88" s="456">
        <f t="shared" si="254"/>
        <v>0.19478938397857321</v>
      </c>
      <c r="DM88" s="150">
        <f t="shared" si="255"/>
        <v>16.427676994285328</v>
      </c>
      <c r="DN88" s="150">
        <f t="shared" si="256"/>
        <v>28.290260691271232</v>
      </c>
      <c r="DO88" s="150">
        <f t="shared" si="257"/>
        <v>12.279205450324369</v>
      </c>
      <c r="DQ88" s="314">
        <f t="shared" si="258"/>
        <v>415</v>
      </c>
      <c r="DR88" s="144">
        <f t="shared" si="259"/>
        <v>117.53355053176188</v>
      </c>
      <c r="DT88">
        <f t="shared" si="260"/>
        <v>415</v>
      </c>
      <c r="DU88">
        <f t="shared" si="261"/>
        <v>117.53355053176188</v>
      </c>
      <c r="DW88" s="5">
        <f t="shared" si="301"/>
        <v>8.5082088941894369</v>
      </c>
      <c r="DX88" s="5">
        <f t="shared" si="262"/>
        <v>3.5362825864089045</v>
      </c>
      <c r="DY88" s="5">
        <f t="shared" si="302"/>
        <v>4.9719263077805325</v>
      </c>
      <c r="DZ88" s="5">
        <f t="shared" si="263"/>
        <v>4.9719263077805325</v>
      </c>
      <c r="EA88" s="150">
        <f t="shared" si="303"/>
        <v>0.41563184806428055</v>
      </c>
      <c r="EB88" s="150">
        <f t="shared" si="264"/>
        <v>70.549999999999983</v>
      </c>
      <c r="EC88" s="150">
        <f t="shared" si="265"/>
        <v>0.41329818394844747</v>
      </c>
      <c r="ED88" s="150">
        <f t="shared" si="304"/>
        <v>170.7</v>
      </c>
      <c r="EE88" s="144">
        <f t="shared" si="266"/>
        <v>0.86326898432923249</v>
      </c>
      <c r="EF88" s="5">
        <f t="shared" si="267"/>
        <v>48.717972363043963</v>
      </c>
      <c r="EG88" s="5"/>
      <c r="EH88" s="150">
        <f t="shared" si="305"/>
        <v>10.530057221985457</v>
      </c>
      <c r="EI88" s="150">
        <f t="shared" si="268"/>
        <v>0.62429462508045963</v>
      </c>
      <c r="EJ88" s="150"/>
      <c r="EK88" s="456">
        <f t="shared" si="269"/>
        <v>0.37699915733417944</v>
      </c>
      <c r="EL88" s="456">
        <f t="shared" si="270"/>
        <v>2.0757120000000002</v>
      </c>
      <c r="EM88" s="456">
        <f t="shared" si="271"/>
        <v>2.6915183071773468E-2</v>
      </c>
      <c r="EN88" s="456">
        <f t="shared" si="272"/>
        <v>3.3950161275691004E-2</v>
      </c>
      <c r="EO88">
        <f t="shared" si="273"/>
        <v>5.4000000000000003E-3</v>
      </c>
      <c r="EP88" s="144">
        <f t="shared" si="306"/>
        <v>32.315183071773468</v>
      </c>
      <c r="EQ88" s="456">
        <f t="shared" si="274"/>
        <v>2.8786185281995373</v>
      </c>
      <c r="ER88" s="144">
        <f t="shared" si="307"/>
        <v>2878.6185281995372</v>
      </c>
      <c r="ES88" s="456">
        <f t="shared" si="308"/>
        <v>0.92078124999999988</v>
      </c>
      <c r="ET88" s="456"/>
      <c r="EV88" s="144">
        <f t="shared" si="309"/>
        <v>920.78124999999989</v>
      </c>
      <c r="EW88" s="456">
        <f t="shared" si="275"/>
        <v>0.16632315764743213</v>
      </c>
      <c r="EX88" s="456">
        <f t="shared" si="276"/>
        <v>7.7948755780870335E-2</v>
      </c>
      <c r="EY88" s="456">
        <f t="shared" si="277"/>
        <v>31.876234821662543</v>
      </c>
      <c r="EZ88" s="456">
        <f t="shared" si="278"/>
        <v>32.820502142964813</v>
      </c>
      <c r="FA88" s="456">
        <f t="shared" si="279"/>
        <v>9.4066666666666673E-2</v>
      </c>
      <c r="FB88" s="144">
        <f t="shared" si="310"/>
        <v>32914.568809631484</v>
      </c>
      <c r="FC88" s="150">
        <f t="shared" si="311"/>
        <v>36.713968587831019</v>
      </c>
      <c r="FD88" s="5">
        <f t="shared" si="312"/>
        <v>70.55</v>
      </c>
      <c r="FE88" s="150">
        <f t="shared" si="313"/>
        <v>0.65772319380698185</v>
      </c>
      <c r="FF88" s="5">
        <f t="shared" si="314"/>
        <v>65.772319380698178</v>
      </c>
      <c r="FI88" s="59">
        <f t="shared" si="280"/>
        <v>-50</v>
      </c>
      <c r="FJ88">
        <f t="shared" si="281"/>
        <v>-50</v>
      </c>
      <c r="FL88">
        <f t="shared" si="282"/>
        <v>0.58436815193571945</v>
      </c>
    </row>
    <row r="89" spans="5:168">
      <c r="E89" s="147">
        <v>84</v>
      </c>
      <c r="F89" s="188">
        <f t="shared" si="283"/>
        <v>0.42</v>
      </c>
      <c r="G89" s="188"/>
      <c r="H89" s="188">
        <f t="shared" si="183"/>
        <v>71.399999999999991</v>
      </c>
      <c r="I89" s="465">
        <f t="shared" si="184"/>
        <v>11.928858030417715</v>
      </c>
      <c r="J89" s="149">
        <f t="shared" si="185"/>
        <v>8.5422593846512527</v>
      </c>
      <c r="K89" s="149">
        <f t="shared" si="186"/>
        <v>20.542259384651253</v>
      </c>
      <c r="L89" s="379"/>
      <c r="M89" s="188">
        <f t="shared" si="187"/>
        <v>0.41728143985746174</v>
      </c>
      <c r="N89" s="149">
        <f t="shared" si="188"/>
        <v>166.52035808617288</v>
      </c>
      <c r="O89" s="149">
        <f t="shared" si="284"/>
        <v>71.399999999999991</v>
      </c>
      <c r="P89" s="188">
        <f t="shared" si="189"/>
        <v>0.97953151815395811</v>
      </c>
      <c r="Q89" s="188">
        <f t="shared" si="190"/>
        <v>170</v>
      </c>
      <c r="R89" s="188">
        <f t="shared" si="191"/>
        <v>0.97601785387999018</v>
      </c>
      <c r="S89" s="149">
        <f t="shared" si="192"/>
        <v>708.3931214547589</v>
      </c>
      <c r="T89" s="149">
        <f t="shared" si="193"/>
        <v>170</v>
      </c>
      <c r="U89" s="188">
        <f t="shared" si="194"/>
        <v>28.830384252546484</v>
      </c>
      <c r="V89" s="188">
        <f t="shared" si="195"/>
        <v>3.6252905574487242</v>
      </c>
      <c r="W89" s="188">
        <f t="shared" si="196"/>
        <v>5.0625454498049383</v>
      </c>
      <c r="X89" s="172">
        <f t="shared" si="197"/>
        <v>248.88577744051022</v>
      </c>
      <c r="Y89" s="379">
        <f t="shared" si="198"/>
        <v>112.51332711178138</v>
      </c>
      <c r="AA89" s="188">
        <f t="shared" si="199"/>
        <v>13.333333333333336</v>
      </c>
      <c r="AB89" s="150">
        <f t="shared" si="200"/>
        <v>2.3413009485448359</v>
      </c>
      <c r="AC89" s="150">
        <f t="shared" si="201"/>
        <v>0.19423883560026189</v>
      </c>
      <c r="AD89" s="150"/>
      <c r="AE89" s="150">
        <f t="shared" si="202"/>
        <v>2.3413009485448355</v>
      </c>
      <c r="AF89" s="314">
        <f t="shared" si="203"/>
        <v>538.16234123302866</v>
      </c>
      <c r="AG89" s="456">
        <f t="shared" si="204"/>
        <v>0.19423883560026187</v>
      </c>
      <c r="AI89" s="150">
        <f t="shared" si="205"/>
        <v>16.533369296935216</v>
      </c>
      <c r="AJ89" s="150">
        <f t="shared" si="206"/>
        <v>28.830384252546484</v>
      </c>
      <c r="AK89" s="150">
        <f t="shared" si="207"/>
        <v>12.679296977194925</v>
      </c>
      <c r="AM89" s="314">
        <f t="shared" si="208"/>
        <v>420</v>
      </c>
      <c r="AN89" s="144">
        <f t="shared" si="209"/>
        <v>112.51332711178138</v>
      </c>
      <c r="AP89">
        <f t="shared" si="210"/>
        <v>420</v>
      </c>
      <c r="AQ89">
        <f t="shared" si="211"/>
        <v>112.51332711178138</v>
      </c>
      <c r="AS89" s="5">
        <f t="shared" si="285"/>
        <v>8.8878360072536609</v>
      </c>
      <c r="AT89" s="5">
        <f t="shared" si="212"/>
        <v>3.6252905574487242</v>
      </c>
      <c r="AU89" s="5">
        <f t="shared" si="286"/>
        <v>5.2625454498049367</v>
      </c>
      <c r="AV89" s="5">
        <f t="shared" si="213"/>
        <v>5.0625454498049383</v>
      </c>
      <c r="AW89" s="150">
        <f t="shared" si="287"/>
        <v>0.40789350236548055</v>
      </c>
      <c r="AX89" s="150">
        <f t="shared" si="214"/>
        <v>70.140053394700146</v>
      </c>
      <c r="AY89" s="150">
        <f t="shared" si="215"/>
        <v>0.42676644613081749</v>
      </c>
      <c r="AZ89" s="150">
        <f t="shared" si="288"/>
        <v>164.35231502056746</v>
      </c>
      <c r="BA89" s="144">
        <f t="shared" si="216"/>
        <v>0.89566002007556711</v>
      </c>
      <c r="BB89" s="5">
        <f t="shared" si="217"/>
        <v>52.498144158469636</v>
      </c>
      <c r="BC89" s="5"/>
      <c r="BD89" s="150">
        <f t="shared" si="289"/>
        <v>10.630732665683244</v>
      </c>
      <c r="BE89" s="150">
        <f t="shared" si="218"/>
        <v>0.64041238349585206</v>
      </c>
      <c r="BF89" s="150"/>
      <c r="BG89" s="456">
        <f t="shared" si="219"/>
        <v>0.3842424218313642</v>
      </c>
      <c r="BH89" s="456">
        <f t="shared" si="220"/>
        <v>1.595909002174372</v>
      </c>
      <c r="BI89" s="456">
        <f t="shared" si="221"/>
        <v>6.1470722158604579E-2</v>
      </c>
      <c r="BJ89" s="456">
        <f t="shared" si="222"/>
        <v>3.2523026740491089E-2</v>
      </c>
      <c r="BK89">
        <f t="shared" si="223"/>
        <v>5.3679861136879713E-3</v>
      </c>
      <c r="BL89" s="144">
        <f t="shared" si="290"/>
        <v>66.83870827229255</v>
      </c>
      <c r="BM89" s="456">
        <f t="shared" si="224"/>
        <v>2.3290531386529123</v>
      </c>
      <c r="BN89" s="144">
        <f t="shared" si="291"/>
        <v>2329.0531386529124</v>
      </c>
      <c r="BO89" s="456">
        <f t="shared" si="225"/>
        <v>0.93187500000000001</v>
      </c>
      <c r="BP89" s="456"/>
      <c r="BR89" s="144">
        <f t="shared" si="292"/>
        <v>931.875</v>
      </c>
      <c r="BS89" s="456">
        <f t="shared" si="226"/>
        <v>0.16951871551383715</v>
      </c>
      <c r="BT89" s="456">
        <f t="shared" si="227"/>
        <v>8.2025604186967666E-2</v>
      </c>
      <c r="BU89" s="456">
        <f t="shared" si="228"/>
        <v>1.0709999999999997</v>
      </c>
      <c r="BV89" s="456">
        <f t="shared" si="229"/>
        <v>1.4113156308485915</v>
      </c>
      <c r="BW89" s="456">
        <f t="shared" si="230"/>
        <v>9.3520071192933513E-2</v>
      </c>
      <c r="BX89" s="144">
        <f t="shared" si="293"/>
        <v>1504.8357020415251</v>
      </c>
      <c r="BY89" s="150">
        <f t="shared" si="231"/>
        <v>4.8326025489667295</v>
      </c>
      <c r="BZ89" s="5">
        <f t="shared" si="294"/>
        <v>71.399999999999991</v>
      </c>
      <c r="CA89" s="150">
        <f t="shared" si="295"/>
        <v>0.93660714199200279</v>
      </c>
      <c r="CB89" s="5">
        <f t="shared" si="296"/>
        <v>93.660714199200285</v>
      </c>
      <c r="CE89" s="59">
        <f t="shared" si="232"/>
        <v>-50</v>
      </c>
      <c r="CF89">
        <f t="shared" si="233"/>
        <v>-50</v>
      </c>
      <c r="CG89" s="150">
        <f t="shared" si="234"/>
        <v>0.57856143485587641</v>
      </c>
      <c r="CI89" s="147">
        <v>84</v>
      </c>
      <c r="CJ89" s="188">
        <f t="shared" si="297"/>
        <v>0.42</v>
      </c>
      <c r="CK89" s="188"/>
      <c r="CL89" s="188">
        <f t="shared" si="235"/>
        <v>71.399999999999991</v>
      </c>
      <c r="CM89" s="465">
        <f t="shared" si="236"/>
        <v>12</v>
      </c>
      <c r="CN89" s="149">
        <f t="shared" si="237"/>
        <v>8.5350000000000001</v>
      </c>
      <c r="CO89" s="379">
        <f t="shared" si="238"/>
        <v>20.535</v>
      </c>
      <c r="CP89" s="379"/>
      <c r="CQ89" s="188">
        <f t="shared" si="239"/>
        <v>0.4156318480642805</v>
      </c>
      <c r="CR89" s="149">
        <f t="shared" si="240"/>
        <v>166.85124908692478</v>
      </c>
      <c r="CS89" s="149">
        <f t="shared" si="298"/>
        <v>71.399999999999991</v>
      </c>
      <c r="CT89" s="188">
        <f t="shared" si="241"/>
        <v>0.98147793580543985</v>
      </c>
      <c r="CU89" s="188">
        <f t="shared" si="242"/>
        <v>170</v>
      </c>
      <c r="CV89" s="188">
        <f t="shared" si="243"/>
        <v>0.97795728956301287</v>
      </c>
      <c r="CW89" s="149">
        <f t="shared" si="244"/>
        <v>712.61647196672186</v>
      </c>
      <c r="CX89" s="149">
        <f t="shared" si="245"/>
        <v>170</v>
      </c>
      <c r="CY89" s="188">
        <f t="shared" si="246"/>
        <v>28.631107205623898</v>
      </c>
      <c r="CZ89" s="188">
        <f t="shared" si="247"/>
        <v>3.5788884007029873</v>
      </c>
      <c r="DA89" s="188">
        <f t="shared" si="248"/>
        <v>5.0318290343802978</v>
      </c>
      <c r="DB89" s="172">
        <f t="shared" si="249"/>
        <v>249.37910883856827</v>
      </c>
      <c r="DC89" s="379">
        <f t="shared" si="299"/>
        <v>116.13434159685997</v>
      </c>
      <c r="DE89" s="188">
        <f t="shared" si="250"/>
        <v>13.333333333333334</v>
      </c>
      <c r="DF89" s="150">
        <f t="shared" si="251"/>
        <v>2.3432923257176337</v>
      </c>
      <c r="DG89" s="150">
        <f t="shared" si="252"/>
        <v>0.19478938397857323</v>
      </c>
      <c r="DH89" s="150"/>
      <c r="DI89" s="150">
        <f t="shared" si="253"/>
        <v>2.3432923257176337</v>
      </c>
      <c r="DJ89" s="314">
        <f t="shared" si="300"/>
        <v>537.70499999999993</v>
      </c>
      <c r="DK89" s="456">
        <f t="shared" si="254"/>
        <v>0.19478938397857321</v>
      </c>
      <c r="DM89" s="150">
        <f t="shared" si="255"/>
        <v>16.526342608090875</v>
      </c>
      <c r="DN89" s="150">
        <f t="shared" si="256"/>
        <v>28.631107205623898</v>
      </c>
      <c r="DO89" s="150">
        <f t="shared" si="257"/>
        <v>12.531684349844863</v>
      </c>
      <c r="DQ89" s="314">
        <f t="shared" si="258"/>
        <v>420</v>
      </c>
      <c r="DR89" s="144">
        <f t="shared" si="259"/>
        <v>116.13434159685997</v>
      </c>
      <c r="DT89">
        <f t="shared" si="260"/>
        <v>420</v>
      </c>
      <c r="DU89">
        <f t="shared" si="261"/>
        <v>116.13434159685997</v>
      </c>
      <c r="DW89" s="5">
        <f t="shared" si="301"/>
        <v>8.6107174350832842</v>
      </c>
      <c r="DX89" s="5">
        <f t="shared" si="262"/>
        <v>3.5788884007029873</v>
      </c>
      <c r="DY89" s="5">
        <f t="shared" si="302"/>
        <v>5.0318290343802969</v>
      </c>
      <c r="DZ89" s="5">
        <f t="shared" si="263"/>
        <v>5.0318290343802978</v>
      </c>
      <c r="EA89" s="150">
        <f t="shared" si="303"/>
        <v>0.41563184806428055</v>
      </c>
      <c r="EB89" s="150">
        <f t="shared" si="264"/>
        <v>71.40000000000002</v>
      </c>
      <c r="EC89" s="150">
        <f t="shared" si="265"/>
        <v>0.41827768014059746</v>
      </c>
      <c r="ED89" s="150">
        <f t="shared" si="304"/>
        <v>170.70000000000007</v>
      </c>
      <c r="EE89" s="144">
        <f t="shared" si="266"/>
        <v>0.88419595782073801</v>
      </c>
      <c r="EF89" s="5">
        <f t="shared" si="267"/>
        <v>49.8989712576046</v>
      </c>
      <c r="EG89" s="5"/>
      <c r="EH89" s="150">
        <f t="shared" si="305"/>
        <v>10.656925381286488</v>
      </c>
      <c r="EI89" s="150">
        <f t="shared" si="268"/>
        <v>0.63181624706938089</v>
      </c>
      <c r="EJ89" s="150"/>
      <c r="EK89" s="456">
        <f t="shared" si="269"/>
        <v>0.38613819917984771</v>
      </c>
      <c r="EL89" s="456">
        <f t="shared" si="270"/>
        <v>2.0757120000000007</v>
      </c>
      <c r="EM89" s="456">
        <f t="shared" si="271"/>
        <v>2.6594764225680936E-2</v>
      </c>
      <c r="EN89" s="456">
        <f t="shared" si="272"/>
        <v>3.354599268907564E-2</v>
      </c>
      <c r="EO89">
        <f t="shared" si="273"/>
        <v>5.4000000000000003E-3</v>
      </c>
      <c r="EP89" s="144">
        <f t="shared" si="306"/>
        <v>31.994764225680935</v>
      </c>
      <c r="EQ89" s="456">
        <f t="shared" si="274"/>
        <v>2.8974819087368102</v>
      </c>
      <c r="ER89" s="144">
        <f t="shared" si="307"/>
        <v>2897.4819087368101</v>
      </c>
      <c r="ES89" s="456">
        <f t="shared" si="308"/>
        <v>0.93187500000000001</v>
      </c>
      <c r="ET89" s="456"/>
      <c r="EV89" s="144">
        <f t="shared" si="309"/>
        <v>931.875</v>
      </c>
      <c r="EW89" s="456">
        <f t="shared" si="275"/>
        <v>0.17035508787346224</v>
      </c>
      <c r="EX89" s="456">
        <f t="shared" si="276"/>
        <v>7.9838354012167392E-2</v>
      </c>
      <c r="EY89" s="456">
        <f t="shared" si="277"/>
        <v>31.876234821662489</v>
      </c>
      <c r="EZ89" s="456">
        <f t="shared" si="278"/>
        <v>32.843860163122422</v>
      </c>
      <c r="FA89" s="456">
        <f t="shared" si="279"/>
        <v>9.5200000000000007E-2</v>
      </c>
      <c r="FB89" s="144">
        <f t="shared" si="310"/>
        <v>32939.06016312242</v>
      </c>
      <c r="FC89" s="150">
        <f t="shared" si="311"/>
        <v>36.768417071859233</v>
      </c>
      <c r="FD89" s="5">
        <f t="shared" si="312"/>
        <v>71.399999999999991</v>
      </c>
      <c r="FE89" s="150">
        <f t="shared" si="313"/>
        <v>0.66008176816128339</v>
      </c>
      <c r="FF89" s="5">
        <f t="shared" si="314"/>
        <v>66.008176816128341</v>
      </c>
      <c r="FI89" s="59">
        <f t="shared" si="280"/>
        <v>-50</v>
      </c>
      <c r="FJ89">
        <f t="shared" si="281"/>
        <v>-50</v>
      </c>
      <c r="FL89">
        <f t="shared" si="282"/>
        <v>0.58436815193571945</v>
      </c>
    </row>
    <row r="90" spans="5:168">
      <c r="E90" s="147">
        <v>85</v>
      </c>
      <c r="F90" s="188">
        <f t="shared" si="283"/>
        <v>0.42499999999999999</v>
      </c>
      <c r="G90" s="188"/>
      <c r="H90" s="188">
        <f t="shared" si="183"/>
        <v>72.25</v>
      </c>
      <c r="I90" s="465">
        <f t="shared" si="184"/>
        <v>11.928019601378217</v>
      </c>
      <c r="J90" s="149">
        <f t="shared" si="185"/>
        <v>8.5423449386348747</v>
      </c>
      <c r="K90" s="149">
        <f t="shared" si="186"/>
        <v>20.542344938634876</v>
      </c>
      <c r="L90" s="379"/>
      <c r="M90" s="188">
        <f t="shared" si="187"/>
        <v>0.41730096667835609</v>
      </c>
      <c r="N90" s="149">
        <f t="shared" si="188"/>
        <v>166.51644590034263</v>
      </c>
      <c r="O90" s="149">
        <f t="shared" si="284"/>
        <v>72.25</v>
      </c>
      <c r="P90" s="188">
        <f t="shared" si="189"/>
        <v>0.97950850529613309</v>
      </c>
      <c r="Q90" s="188">
        <f t="shared" si="190"/>
        <v>170</v>
      </c>
      <c r="R90" s="188">
        <f t="shared" si="191"/>
        <v>0.97599492357127637</v>
      </c>
      <c r="S90" s="149">
        <f t="shared" si="192"/>
        <v>697.20983195596295</v>
      </c>
      <c r="T90" s="149">
        <f t="shared" si="193"/>
        <v>170</v>
      </c>
      <c r="U90" s="188">
        <f t="shared" si="194"/>
        <v>29.174580748988774</v>
      </c>
      <c r="V90" s="188">
        <f t="shared" si="195"/>
        <v>3.6688295782500822</v>
      </c>
      <c r="W90" s="188">
        <f t="shared" si="196"/>
        <v>5.1229342104366724</v>
      </c>
      <c r="X90" s="172">
        <f t="shared" si="197"/>
        <v>248.87992998512965</v>
      </c>
      <c r="Y90" s="379">
        <f t="shared" si="198"/>
        <v>111.21288586986445</v>
      </c>
      <c r="AA90" s="188">
        <f t="shared" si="199"/>
        <v>13.333333333333334</v>
      </c>
      <c r="AB90" s="150">
        <f t="shared" si="200"/>
        <v>2.3412774997582972</v>
      </c>
      <c r="AC90" s="150">
        <f t="shared" si="201"/>
        <v>0.19423232673853483</v>
      </c>
      <c r="AD90" s="150"/>
      <c r="AE90" s="150">
        <f t="shared" si="202"/>
        <v>2.3412774997582972</v>
      </c>
      <c r="AF90" s="314">
        <f t="shared" si="203"/>
        <v>544.57448983797315</v>
      </c>
      <c r="AG90" s="456">
        <f t="shared" si="204"/>
        <v>0.1942323267385348</v>
      </c>
      <c r="AI90" s="150">
        <f t="shared" si="205"/>
        <v>16.631574329557782</v>
      </c>
      <c r="AJ90" s="150">
        <f t="shared" si="206"/>
        <v>29.174580748988774</v>
      </c>
      <c r="AK90" s="150">
        <f t="shared" si="207"/>
        <v>12.934257344929955</v>
      </c>
      <c r="AM90" s="314">
        <f t="shared" si="208"/>
        <v>425</v>
      </c>
      <c r="AN90" s="144">
        <f t="shared" si="209"/>
        <v>111.21288586986445</v>
      </c>
      <c r="AP90">
        <f t="shared" si="210"/>
        <v>425</v>
      </c>
      <c r="AQ90">
        <f t="shared" si="211"/>
        <v>111.21288586986445</v>
      </c>
      <c r="AS90" s="5">
        <f t="shared" si="285"/>
        <v>8.9917637886867539</v>
      </c>
      <c r="AT90" s="5">
        <f t="shared" si="212"/>
        <v>3.6688295782500822</v>
      </c>
      <c r="AU90" s="5">
        <f t="shared" si="286"/>
        <v>5.3229342104366717</v>
      </c>
      <c r="AV90" s="5">
        <f t="shared" si="213"/>
        <v>5.1229342104366724</v>
      </c>
      <c r="AW90" s="150">
        <f t="shared" si="287"/>
        <v>0.40802112516190936</v>
      </c>
      <c r="AX90" s="150">
        <f t="shared" si="214"/>
        <v>70.994649816383031</v>
      </c>
      <c r="AY90" s="150">
        <f t="shared" si="215"/>
        <v>0.43176838714148491</v>
      </c>
      <c r="AZ90" s="150">
        <f t="shared" si="288"/>
        <v>164.42762353770703</v>
      </c>
      <c r="BA90" s="144">
        <f t="shared" si="216"/>
        <v>0.91720739456252054</v>
      </c>
      <c r="BB90" s="5">
        <f t="shared" si="217"/>
        <v>53.736497417617294</v>
      </c>
      <c r="BC90" s="5"/>
      <c r="BD90" s="150">
        <f t="shared" si="289"/>
        <v>10.759332303609281</v>
      </c>
      <c r="BE90" s="150">
        <f t="shared" si="218"/>
        <v>0.64798821171170229</v>
      </c>
      <c r="BF90" s="150"/>
      <c r="BG90" s="456">
        <f t="shared" si="219"/>
        <v>0.39359498750626659</v>
      </c>
      <c r="BH90" s="456">
        <f t="shared" si="220"/>
        <v>1.5963027778219545</v>
      </c>
      <c r="BI90" s="456">
        <f t="shared" si="221"/>
        <v>6.0755966302236446E-2</v>
      </c>
      <c r="BJ90" s="456">
        <f t="shared" si="222"/>
        <v>3.2147389840747817E-2</v>
      </c>
      <c r="BK90">
        <f t="shared" si="223"/>
        <v>5.3676088206201979E-3</v>
      </c>
      <c r="BL90" s="144">
        <f t="shared" si="290"/>
        <v>66.12357512285665</v>
      </c>
      <c r="BM90" s="456">
        <f t="shared" si="224"/>
        <v>2.3478857811432441</v>
      </c>
      <c r="BN90" s="144">
        <f t="shared" si="291"/>
        <v>2347.885781143244</v>
      </c>
      <c r="BO90" s="456">
        <f t="shared" si="225"/>
        <v>0.94296874999999991</v>
      </c>
      <c r="BP90" s="456"/>
      <c r="BR90" s="144">
        <f t="shared" si="292"/>
        <v>942.96874999999989</v>
      </c>
      <c r="BS90" s="456">
        <f t="shared" si="226"/>
        <v>0.17364484742923528</v>
      </c>
      <c r="BT90" s="456">
        <f t="shared" si="227"/>
        <v>8.3977744503465984E-2</v>
      </c>
      <c r="BU90" s="456">
        <f t="shared" si="228"/>
        <v>1.08375</v>
      </c>
      <c r="BV90" s="456">
        <f t="shared" si="229"/>
        <v>1.4327303096699671</v>
      </c>
      <c r="BW90" s="456">
        <f t="shared" si="230"/>
        <v>9.4659533088510731E-2</v>
      </c>
      <c r="BX90" s="144">
        <f t="shared" si="293"/>
        <v>1527.3898427584777</v>
      </c>
      <c r="BY90" s="150">
        <f t="shared" si="231"/>
        <v>4.884367949024579</v>
      </c>
      <c r="BZ90" s="5">
        <f t="shared" si="294"/>
        <v>72.25</v>
      </c>
      <c r="CA90" s="150">
        <f t="shared" si="295"/>
        <v>0.93667715080970793</v>
      </c>
      <c r="CB90" s="5">
        <f t="shared" si="296"/>
        <v>93.667715080970794</v>
      </c>
      <c r="CE90" s="59">
        <f t="shared" si="232"/>
        <v>-50</v>
      </c>
      <c r="CF90">
        <f t="shared" si="233"/>
        <v>-50</v>
      </c>
      <c r="CG90" s="150">
        <f t="shared" si="234"/>
        <v>0.57862974917446275</v>
      </c>
      <c r="CI90" s="147">
        <v>85</v>
      </c>
      <c r="CJ90" s="188">
        <f t="shared" si="297"/>
        <v>0.42499999999999999</v>
      </c>
      <c r="CK90" s="188"/>
      <c r="CL90" s="188">
        <f t="shared" si="235"/>
        <v>72.25</v>
      </c>
      <c r="CM90" s="465">
        <f t="shared" si="236"/>
        <v>12</v>
      </c>
      <c r="CN90" s="149">
        <f t="shared" si="237"/>
        <v>8.5350000000000001</v>
      </c>
      <c r="CO90" s="379">
        <f t="shared" si="238"/>
        <v>20.535</v>
      </c>
      <c r="CP90" s="379"/>
      <c r="CQ90" s="188">
        <f t="shared" si="239"/>
        <v>0.4156318480642805</v>
      </c>
      <c r="CR90" s="149">
        <f t="shared" si="240"/>
        <v>166.85124908692478</v>
      </c>
      <c r="CS90" s="149">
        <f t="shared" si="298"/>
        <v>72.25</v>
      </c>
      <c r="CT90" s="188">
        <f t="shared" si="241"/>
        <v>0.98147793580543985</v>
      </c>
      <c r="CU90" s="188">
        <f t="shared" si="242"/>
        <v>170</v>
      </c>
      <c r="CV90" s="188">
        <f t="shared" si="243"/>
        <v>0.97795728956301287</v>
      </c>
      <c r="CW90" s="149">
        <f t="shared" si="244"/>
        <v>701.41574737504459</v>
      </c>
      <c r="CX90" s="149">
        <f t="shared" si="245"/>
        <v>170</v>
      </c>
      <c r="CY90" s="188">
        <f t="shared" si="246"/>
        <v>28.971953719976565</v>
      </c>
      <c r="CZ90" s="188">
        <f t="shared" si="247"/>
        <v>3.6214942149970706</v>
      </c>
      <c r="DA90" s="188">
        <f t="shared" si="248"/>
        <v>5.0917317609800632</v>
      </c>
      <c r="DB90" s="172">
        <f t="shared" si="249"/>
        <v>249.37910883856827</v>
      </c>
      <c r="DC90" s="379">
        <f t="shared" si="299"/>
        <v>114.7680552251322</v>
      </c>
      <c r="DE90" s="188">
        <f t="shared" si="250"/>
        <v>13.333333333333334</v>
      </c>
      <c r="DF90" s="150">
        <f t="shared" si="251"/>
        <v>2.3432923257176337</v>
      </c>
      <c r="DG90" s="150">
        <f t="shared" si="252"/>
        <v>0.19478938397857323</v>
      </c>
      <c r="DH90" s="150"/>
      <c r="DI90" s="150">
        <f t="shared" si="253"/>
        <v>2.3432923257176337</v>
      </c>
      <c r="DJ90" s="314">
        <f t="shared" si="300"/>
        <v>544.10624999999993</v>
      </c>
      <c r="DK90" s="456">
        <f t="shared" si="254"/>
        <v>0.19478938397857321</v>
      </c>
      <c r="DM90" s="150">
        <f t="shared" si="255"/>
        <v>16.62442265377744</v>
      </c>
      <c r="DN90" s="150">
        <f t="shared" si="256"/>
        <v>28.971953719976565</v>
      </c>
      <c r="DO90" s="150">
        <f t="shared" si="257"/>
        <v>12.784163249365355</v>
      </c>
      <c r="DQ90" s="314">
        <f t="shared" si="258"/>
        <v>425</v>
      </c>
      <c r="DR90" s="144">
        <f t="shared" si="259"/>
        <v>114.7680552251322</v>
      </c>
      <c r="DT90">
        <f t="shared" si="260"/>
        <v>425</v>
      </c>
      <c r="DU90">
        <f t="shared" si="261"/>
        <v>114.7680552251322</v>
      </c>
      <c r="DW90" s="5">
        <f t="shared" si="301"/>
        <v>8.7132259759771316</v>
      </c>
      <c r="DX90" s="5">
        <f t="shared" si="262"/>
        <v>3.6214942149970706</v>
      </c>
      <c r="DY90" s="5">
        <f t="shared" si="302"/>
        <v>5.0917317609800605</v>
      </c>
      <c r="DZ90" s="5">
        <f t="shared" si="263"/>
        <v>5.0917317609800632</v>
      </c>
      <c r="EA90" s="150">
        <f t="shared" si="303"/>
        <v>0.41563184806428066</v>
      </c>
      <c r="EB90" s="150">
        <f t="shared" si="264"/>
        <v>72.250000000000014</v>
      </c>
      <c r="EC90" s="150">
        <f t="shared" si="265"/>
        <v>0.4232571763327474</v>
      </c>
      <c r="ED90" s="150">
        <f t="shared" si="304"/>
        <v>170.70000000000007</v>
      </c>
      <c r="EE90" s="144">
        <f t="shared" si="266"/>
        <v>0.90537355374926765</v>
      </c>
      <c r="EF90" s="5">
        <f t="shared" si="267"/>
        <v>51.094113851501291</v>
      </c>
      <c r="EG90" s="5"/>
      <c r="EH90" s="150">
        <f t="shared" si="305"/>
        <v>10.783793540587517</v>
      </c>
      <c r="EI90" s="150">
        <f t="shared" si="268"/>
        <v>0.63933786905830214</v>
      </c>
      <c r="EJ90" s="150"/>
      <c r="EK90" s="456">
        <f t="shared" si="269"/>
        <v>0.39538669062845799</v>
      </c>
      <c r="EL90" s="456">
        <f t="shared" si="270"/>
        <v>2.0757120000000007</v>
      </c>
      <c r="EM90" s="456">
        <f t="shared" si="271"/>
        <v>2.6281884646555273E-2</v>
      </c>
      <c r="EN90" s="456">
        <f t="shared" si="272"/>
        <v>3.3151333951557102E-2</v>
      </c>
      <c r="EO90">
        <f t="shared" si="273"/>
        <v>5.4000000000000003E-3</v>
      </c>
      <c r="EP90" s="144">
        <f t="shared" si="306"/>
        <v>31.681884646555275</v>
      </c>
      <c r="EQ90" s="456">
        <f t="shared" si="274"/>
        <v>2.9166916382269839</v>
      </c>
      <c r="ER90" s="144">
        <f t="shared" si="307"/>
        <v>2916.6916382269837</v>
      </c>
      <c r="ES90" s="456">
        <f t="shared" si="308"/>
        <v>0.94296874999999991</v>
      </c>
      <c r="ET90" s="456"/>
      <c r="EV90" s="144">
        <f t="shared" si="309"/>
        <v>942.96874999999989</v>
      </c>
      <c r="EW90" s="456">
        <f t="shared" si="275"/>
        <v>0.1744353046890256</v>
      </c>
      <c r="EX90" s="456">
        <f t="shared" si="276"/>
        <v>8.1750582162402149E-2</v>
      </c>
      <c r="EY90" s="456">
        <f t="shared" si="277"/>
        <v>31.876234821662539</v>
      </c>
      <c r="EZ90" s="456">
        <f t="shared" si="278"/>
        <v>32.867520921019036</v>
      </c>
      <c r="FA90" s="456">
        <f t="shared" si="279"/>
        <v>9.6333333333333354E-2</v>
      </c>
      <c r="FB90" s="144">
        <f t="shared" si="310"/>
        <v>32963.854254352373</v>
      </c>
      <c r="FC90" s="150">
        <f t="shared" si="311"/>
        <v>36.823514642579354</v>
      </c>
      <c r="FD90" s="5">
        <f t="shared" si="312"/>
        <v>72.25</v>
      </c>
      <c r="FE90" s="150">
        <f t="shared" si="313"/>
        <v>0.66239728532407216</v>
      </c>
      <c r="FF90" s="5">
        <f t="shared" si="314"/>
        <v>66.239728532407213</v>
      </c>
      <c r="FI90" s="59">
        <f t="shared" si="280"/>
        <v>-50</v>
      </c>
      <c r="FJ90">
        <f t="shared" si="281"/>
        <v>-50</v>
      </c>
      <c r="FL90">
        <f t="shared" si="282"/>
        <v>0.58436815193571934</v>
      </c>
    </row>
    <row r="91" spans="5:168">
      <c r="E91" s="147">
        <v>86</v>
      </c>
      <c r="F91" s="188">
        <f t="shared" si="283"/>
        <v>0.43</v>
      </c>
      <c r="G91" s="188"/>
      <c r="H91" s="188">
        <f t="shared" si="183"/>
        <v>73.099999999999994</v>
      </c>
      <c r="I91" s="465">
        <f t="shared" si="184"/>
        <v>11.927181170378756</v>
      </c>
      <c r="J91" s="149">
        <f t="shared" si="185"/>
        <v>8.5424304928184949</v>
      </c>
      <c r="K91" s="149">
        <f t="shared" si="186"/>
        <v>20.542430492818497</v>
      </c>
      <c r="L91" s="379"/>
      <c r="M91" s="188">
        <f t="shared" si="187"/>
        <v>0.41732049497559603</v>
      </c>
      <c r="N91" s="149">
        <f t="shared" si="188"/>
        <v>166.51253318083135</v>
      </c>
      <c r="O91" s="149">
        <f t="shared" si="284"/>
        <v>73.099999999999994</v>
      </c>
      <c r="P91" s="188">
        <f t="shared" si="189"/>
        <v>0.97948548929900792</v>
      </c>
      <c r="Q91" s="188">
        <f t="shared" si="190"/>
        <v>170</v>
      </c>
      <c r="R91" s="188">
        <f t="shared" si="191"/>
        <v>0.97597199013452396</v>
      </c>
      <c r="S91" s="149">
        <f t="shared" si="192"/>
        <v>686.28712632274392</v>
      </c>
      <c r="T91" s="149">
        <f t="shared" si="193"/>
        <v>170</v>
      </c>
      <c r="U91" s="188">
        <f t="shared" si="194"/>
        <v>29.518800389726465</v>
      </c>
      <c r="V91" s="188">
        <f t="shared" si="195"/>
        <v>3.7123776315693893</v>
      </c>
      <c r="W91" s="188">
        <f t="shared" si="196"/>
        <v>5.1833258253390273</v>
      </c>
      <c r="X91" s="172">
        <f t="shared" si="197"/>
        <v>248.87408173551003</v>
      </c>
      <c r="Y91" s="379">
        <f t="shared" si="198"/>
        <v>109.9420187495751</v>
      </c>
      <c r="AA91" s="188">
        <f t="shared" si="199"/>
        <v>13.333333333333336</v>
      </c>
      <c r="AB91" s="150">
        <f t="shared" si="200"/>
        <v>2.341254051386632</v>
      </c>
      <c r="AC91" s="150">
        <f t="shared" si="201"/>
        <v>0.19422581738279693</v>
      </c>
      <c r="AD91" s="150"/>
      <c r="AE91" s="150">
        <f t="shared" si="202"/>
        <v>2.341254051386632</v>
      </c>
      <c r="AF91" s="314">
        <f t="shared" si="203"/>
        <v>550.98676678679271</v>
      </c>
      <c r="AG91" s="456">
        <f t="shared" si="204"/>
        <v>0.1942258173827969</v>
      </c>
      <c r="AI91" s="150">
        <f t="shared" si="205"/>
        <v>16.729204829904816</v>
      </c>
      <c r="AJ91" s="150">
        <f t="shared" si="206"/>
        <v>29.518800389726465</v>
      </c>
      <c r="AK91" s="150">
        <f t="shared" si="207"/>
        <v>13.189234856587502</v>
      </c>
      <c r="AM91" s="314">
        <f t="shared" si="208"/>
        <v>430</v>
      </c>
      <c r="AN91" s="144">
        <f t="shared" si="209"/>
        <v>109.9420187495751</v>
      </c>
      <c r="AP91">
        <f t="shared" si="210"/>
        <v>430</v>
      </c>
      <c r="AQ91">
        <f t="shared" si="211"/>
        <v>109.9420187495751</v>
      </c>
      <c r="AS91" s="5">
        <f t="shared" si="285"/>
        <v>9.0957034569084154</v>
      </c>
      <c r="AT91" s="5">
        <f t="shared" si="212"/>
        <v>3.7123776315693893</v>
      </c>
      <c r="AU91" s="5">
        <f t="shared" si="286"/>
        <v>5.3833258253390266</v>
      </c>
      <c r="AV91" s="5">
        <f t="shared" si="213"/>
        <v>5.1833258253390273</v>
      </c>
      <c r="AW91" s="150">
        <f t="shared" si="287"/>
        <v>0.40814629117550499</v>
      </c>
      <c r="AX91" s="150">
        <f t="shared" si="214"/>
        <v>71.849273168643364</v>
      </c>
      <c r="AY91" s="150">
        <f t="shared" si="215"/>
        <v>0.43677028726773898</v>
      </c>
      <c r="AZ91" s="150">
        <f t="shared" si="288"/>
        <v>164.5012842290711</v>
      </c>
      <c r="BA91" s="144">
        <f t="shared" si="216"/>
        <v>0.93901316563225723</v>
      </c>
      <c r="BB91" s="5">
        <f t="shared" si="217"/>
        <v>54.989399452514874</v>
      </c>
      <c r="BC91" s="5"/>
      <c r="BD91" s="150">
        <f t="shared" si="289"/>
        <v>10.88794714975724</v>
      </c>
      <c r="BE91" s="150">
        <f t="shared" si="218"/>
        <v>0.6555642588900007</v>
      </c>
      <c r="BF91" s="150"/>
      <c r="BG91" s="456">
        <f t="shared" si="219"/>
        <v>0.4030611366620831</v>
      </c>
      <c r="BH91" s="456">
        <f t="shared" si="220"/>
        <v>1.5966868752085035</v>
      </c>
      <c r="BI91" s="456">
        <f t="shared" si="221"/>
        <v>6.0057465614541894E-2</v>
      </c>
      <c r="BJ91" s="456">
        <f t="shared" si="222"/>
        <v>3.1780295498613657E-2</v>
      </c>
      <c r="BK91">
        <f t="shared" si="223"/>
        <v>5.36723152667044E-3</v>
      </c>
      <c r="BL91" s="144">
        <f t="shared" si="290"/>
        <v>65.424697141212334</v>
      </c>
      <c r="BM91" s="456">
        <f t="shared" si="224"/>
        <v>2.3670398957910379</v>
      </c>
      <c r="BN91" s="144">
        <f t="shared" si="291"/>
        <v>2367.0398957910379</v>
      </c>
      <c r="BO91" s="456">
        <f t="shared" si="225"/>
        <v>0.95406249999999992</v>
      </c>
      <c r="BP91" s="456"/>
      <c r="BR91" s="144">
        <f t="shared" si="292"/>
        <v>954.06249999999989</v>
      </c>
      <c r="BS91" s="456">
        <f t="shared" si="226"/>
        <v>0.17782108970386021</v>
      </c>
      <c r="BT91" s="456">
        <f t="shared" si="227"/>
        <v>8.5952899506799185E-2</v>
      </c>
      <c r="BU91" s="456">
        <f t="shared" si="228"/>
        <v>1.0964999999999998</v>
      </c>
      <c r="BV91" s="456">
        <f t="shared" si="229"/>
        <v>1.4542675835731238</v>
      </c>
      <c r="BW91" s="456">
        <f t="shared" si="230"/>
        <v>9.57990308915245E-2</v>
      </c>
      <c r="BX91" s="144">
        <f t="shared" si="293"/>
        <v>1550.0666144646482</v>
      </c>
      <c r="BY91" s="150">
        <f t="shared" si="231"/>
        <v>4.9365937073968986</v>
      </c>
      <c r="BZ91" s="5">
        <f t="shared" si="294"/>
        <v>73.099999999999994</v>
      </c>
      <c r="CA91" s="150">
        <f t="shared" si="295"/>
        <v>0.93674001551237662</v>
      </c>
      <c r="CB91" s="5">
        <f t="shared" si="296"/>
        <v>93.674001551237666</v>
      </c>
      <c r="CE91" s="59">
        <f t="shared" si="232"/>
        <v>-50</v>
      </c>
      <c r="CF91">
        <f t="shared" si="233"/>
        <v>-50</v>
      </c>
      <c r="CG91" s="150">
        <f t="shared" si="234"/>
        <v>0.57869647478796582</v>
      </c>
      <c r="CI91" s="147">
        <v>86</v>
      </c>
      <c r="CJ91" s="188">
        <f t="shared" si="297"/>
        <v>0.43</v>
      </c>
      <c r="CK91" s="188"/>
      <c r="CL91" s="188">
        <f t="shared" si="235"/>
        <v>73.099999999999994</v>
      </c>
      <c r="CM91" s="465">
        <f t="shared" si="236"/>
        <v>12</v>
      </c>
      <c r="CN91" s="149">
        <f t="shared" si="237"/>
        <v>8.5350000000000001</v>
      </c>
      <c r="CO91" s="379">
        <f t="shared" si="238"/>
        <v>20.535</v>
      </c>
      <c r="CP91" s="379"/>
      <c r="CQ91" s="188">
        <f t="shared" si="239"/>
        <v>0.4156318480642805</v>
      </c>
      <c r="CR91" s="149">
        <f t="shared" si="240"/>
        <v>166.85124908692478</v>
      </c>
      <c r="CS91" s="149">
        <f t="shared" si="298"/>
        <v>73.099999999999994</v>
      </c>
      <c r="CT91" s="188">
        <f t="shared" si="241"/>
        <v>0.98147793580543985</v>
      </c>
      <c r="CU91" s="188">
        <f t="shared" si="242"/>
        <v>170</v>
      </c>
      <c r="CV91" s="188">
        <f t="shared" si="243"/>
        <v>0.97795728956301287</v>
      </c>
      <c r="CW91" s="149">
        <f t="shared" si="244"/>
        <v>690.47562226764887</v>
      </c>
      <c r="CX91" s="149">
        <f t="shared" si="245"/>
        <v>170</v>
      </c>
      <c r="CY91" s="188">
        <f t="shared" si="246"/>
        <v>29.312800234329227</v>
      </c>
      <c r="CZ91" s="188">
        <f t="shared" si="247"/>
        <v>3.6641000292911539</v>
      </c>
      <c r="DA91" s="188">
        <f t="shared" si="248"/>
        <v>5.1516344875798286</v>
      </c>
      <c r="DB91" s="172">
        <f t="shared" si="249"/>
        <v>249.37910883856827</v>
      </c>
      <c r="DC91" s="379">
        <f t="shared" si="299"/>
        <v>113.43354295507251</v>
      </c>
      <c r="DE91" s="188">
        <f t="shared" si="250"/>
        <v>13.333333333333334</v>
      </c>
      <c r="DF91" s="150">
        <f t="shared" si="251"/>
        <v>2.3432923257176337</v>
      </c>
      <c r="DG91" s="150">
        <f t="shared" si="252"/>
        <v>0.19478938397857323</v>
      </c>
      <c r="DH91" s="150"/>
      <c r="DI91" s="150">
        <f t="shared" si="253"/>
        <v>2.3432923257176337</v>
      </c>
      <c r="DJ91" s="314">
        <f t="shared" si="300"/>
        <v>550.50749999999994</v>
      </c>
      <c r="DK91" s="456">
        <f t="shared" si="254"/>
        <v>0.19478938397857321</v>
      </c>
      <c r="DM91" s="150">
        <f t="shared" si="255"/>
        <v>16.721927435043401</v>
      </c>
      <c r="DN91" s="150">
        <f t="shared" si="256"/>
        <v>29.312800234329227</v>
      </c>
      <c r="DO91" s="150">
        <f t="shared" si="257"/>
        <v>13.036642148885846</v>
      </c>
      <c r="DQ91" s="314">
        <f t="shared" si="258"/>
        <v>430</v>
      </c>
      <c r="DR91" s="144">
        <f t="shared" si="259"/>
        <v>113.43354295507251</v>
      </c>
      <c r="DT91">
        <f t="shared" si="260"/>
        <v>430</v>
      </c>
      <c r="DU91">
        <f t="shared" si="261"/>
        <v>113.43354295507251</v>
      </c>
      <c r="DW91" s="5">
        <f t="shared" si="301"/>
        <v>8.8157345168709824</v>
      </c>
      <c r="DX91" s="5">
        <f t="shared" si="262"/>
        <v>3.6641000292911539</v>
      </c>
      <c r="DY91" s="5">
        <f t="shared" si="302"/>
        <v>5.1516344875798286</v>
      </c>
      <c r="DZ91" s="5">
        <f t="shared" si="263"/>
        <v>5.1516344875798286</v>
      </c>
      <c r="EA91" s="150">
        <f t="shared" si="303"/>
        <v>0.41563184806428055</v>
      </c>
      <c r="EB91" s="150">
        <f t="shared" si="264"/>
        <v>73.09999999999998</v>
      </c>
      <c r="EC91" s="150">
        <f t="shared" si="265"/>
        <v>0.42823667252489739</v>
      </c>
      <c r="ED91" s="150">
        <f t="shared" si="304"/>
        <v>170.7</v>
      </c>
      <c r="EE91" s="144">
        <f t="shared" si="266"/>
        <v>0.92680177211482118</v>
      </c>
      <c r="EF91" s="5">
        <f t="shared" si="267"/>
        <v>52.303400144734077</v>
      </c>
      <c r="EG91" s="5"/>
      <c r="EH91" s="150">
        <f t="shared" si="305"/>
        <v>10.910661699888546</v>
      </c>
      <c r="EI91" s="150">
        <f t="shared" si="268"/>
        <v>0.64685949104722329</v>
      </c>
      <c r="EJ91" s="150"/>
      <c r="EK91" s="456">
        <f t="shared" si="269"/>
        <v>0.4047446316800104</v>
      </c>
      <c r="EL91" s="456">
        <f t="shared" si="270"/>
        <v>2.0757120000000002</v>
      </c>
      <c r="EM91" s="456">
        <f t="shared" si="271"/>
        <v>2.5976281336711603E-2</v>
      </c>
      <c r="EN91" s="456">
        <f t="shared" si="272"/>
        <v>3.2765853324213411E-2</v>
      </c>
      <c r="EO91">
        <f t="shared" si="273"/>
        <v>5.4000000000000003E-3</v>
      </c>
      <c r="EP91" s="144">
        <f t="shared" si="306"/>
        <v>31.376281336711603</v>
      </c>
      <c r="EQ91" s="456">
        <f t="shared" si="274"/>
        <v>2.9362512429512932</v>
      </c>
      <c r="ER91" s="144">
        <f t="shared" si="307"/>
        <v>2936.2512429512931</v>
      </c>
      <c r="ES91" s="456">
        <f t="shared" si="308"/>
        <v>0.95406249999999992</v>
      </c>
      <c r="ET91" s="456"/>
      <c r="EV91" s="144">
        <f t="shared" si="309"/>
        <v>954.06249999999989</v>
      </c>
      <c r="EW91" s="456">
        <f t="shared" si="275"/>
        <v>0.17856380809412226</v>
      </c>
      <c r="EX91" s="456">
        <f t="shared" si="276"/>
        <v>8.3685440231574551E-2</v>
      </c>
      <c r="EY91" s="456">
        <f t="shared" si="277"/>
        <v>31.876234821662489</v>
      </c>
      <c r="EZ91" s="456">
        <f t="shared" si="278"/>
        <v>32.891485272713133</v>
      </c>
      <c r="FA91" s="456">
        <f t="shared" si="279"/>
        <v>9.746666666666666E-2</v>
      </c>
      <c r="FB91" s="144">
        <f t="shared" si="310"/>
        <v>32988.951939379804</v>
      </c>
      <c r="FC91" s="150">
        <f t="shared" si="311"/>
        <v>36.879265682331095</v>
      </c>
      <c r="FD91" s="5">
        <f t="shared" si="312"/>
        <v>73.099999999999994</v>
      </c>
      <c r="FE91" s="150">
        <f t="shared" si="313"/>
        <v>0.66467074085714684</v>
      </c>
      <c r="FF91" s="5">
        <f t="shared" si="314"/>
        <v>66.467074085714685</v>
      </c>
      <c r="FI91" s="59">
        <f t="shared" si="280"/>
        <v>-50</v>
      </c>
      <c r="FJ91">
        <f t="shared" si="281"/>
        <v>-50</v>
      </c>
      <c r="FL91">
        <f t="shared" si="282"/>
        <v>0.58436815193571945</v>
      </c>
    </row>
    <row r="92" spans="5:168">
      <c r="E92" s="147">
        <v>87</v>
      </c>
      <c r="F92" s="188">
        <f t="shared" si="283"/>
        <v>0.435</v>
      </c>
      <c r="G92" s="188"/>
      <c r="H92" s="188">
        <f t="shared" si="183"/>
        <v>73.95</v>
      </c>
      <c r="I92" s="465">
        <f t="shared" si="184"/>
        <v>11.926342737487568</v>
      </c>
      <c r="J92" s="149">
        <f t="shared" si="185"/>
        <v>8.5425160471951465</v>
      </c>
      <c r="K92" s="149">
        <f t="shared" si="186"/>
        <v>20.542516047195146</v>
      </c>
      <c r="L92" s="379"/>
      <c r="M92" s="188">
        <f t="shared" si="187"/>
        <v>0.41734002474795873</v>
      </c>
      <c r="N92" s="149">
        <f t="shared" si="188"/>
        <v>166.50861992797587</v>
      </c>
      <c r="O92" s="149">
        <f t="shared" si="284"/>
        <v>73.95</v>
      </c>
      <c r="P92" s="188">
        <f t="shared" si="189"/>
        <v>0.979462470164564</v>
      </c>
      <c r="Q92" s="188">
        <f t="shared" si="190"/>
        <v>170</v>
      </c>
      <c r="R92" s="188">
        <f t="shared" si="191"/>
        <v>0.97594905357170569</v>
      </c>
      <c r="S92" s="149">
        <f t="shared" si="192"/>
        <v>675.61602031102632</v>
      </c>
      <c r="T92" s="149">
        <f t="shared" si="193"/>
        <v>170</v>
      </c>
      <c r="U92" s="188">
        <f t="shared" si="194"/>
        <v>29.863043179640549</v>
      </c>
      <c r="V92" s="188">
        <f t="shared" si="195"/>
        <v>3.7559347199254947</v>
      </c>
      <c r="W92" s="188">
        <f t="shared" si="196"/>
        <v>5.2437202952833424</v>
      </c>
      <c r="X92" s="172">
        <f t="shared" si="197"/>
        <v>248.86823269203592</v>
      </c>
      <c r="Y92" s="379">
        <f t="shared" si="198"/>
        <v>108.69972823402655</v>
      </c>
      <c r="AA92" s="188">
        <f t="shared" si="199"/>
        <v>13.333333333333336</v>
      </c>
      <c r="AB92" s="150">
        <f t="shared" si="200"/>
        <v>2.3412306034317387</v>
      </c>
      <c r="AC92" s="150">
        <f t="shared" si="201"/>
        <v>0.1942193075335219</v>
      </c>
      <c r="AD92" s="150"/>
      <c r="AE92" s="150">
        <f t="shared" si="202"/>
        <v>2.3412306034317383</v>
      </c>
      <c r="AF92" s="314">
        <f t="shared" si="203"/>
        <v>557.39917207948326</v>
      </c>
      <c r="AG92" s="456">
        <f t="shared" si="204"/>
        <v>0.19421930753352185</v>
      </c>
      <c r="AI92" s="150">
        <f t="shared" si="205"/>
        <v>16.826270798746627</v>
      </c>
      <c r="AJ92" s="150">
        <f t="shared" si="206"/>
        <v>29.863043179640549</v>
      </c>
      <c r="AK92" s="150">
        <f t="shared" si="207"/>
        <v>13.444229515783119</v>
      </c>
      <c r="AM92" s="314">
        <f t="shared" si="208"/>
        <v>435</v>
      </c>
      <c r="AN92" s="144">
        <f t="shared" si="209"/>
        <v>108.69972823402655</v>
      </c>
      <c r="AP92">
        <f t="shared" si="210"/>
        <v>435</v>
      </c>
      <c r="AQ92">
        <f t="shared" si="211"/>
        <v>108.69972823402655</v>
      </c>
      <c r="AS92" s="5">
        <f t="shared" si="285"/>
        <v>9.1996550152088368</v>
      </c>
      <c r="AT92" s="5">
        <f t="shared" si="212"/>
        <v>3.7559347199254947</v>
      </c>
      <c r="AU92" s="5">
        <f t="shared" si="286"/>
        <v>5.4437202952833417</v>
      </c>
      <c r="AV92" s="5">
        <f t="shared" si="213"/>
        <v>5.2437202952833424</v>
      </c>
      <c r="AW92" s="150">
        <f t="shared" si="287"/>
        <v>0.40826908332064593</v>
      </c>
      <c r="AX92" s="150">
        <f t="shared" si="214"/>
        <v>72.703923120602326</v>
      </c>
      <c r="AY92" s="150">
        <f t="shared" si="215"/>
        <v>0.44177214788809588</v>
      </c>
      <c r="AZ92" s="150">
        <f t="shared" si="288"/>
        <v>164.57335182438609</v>
      </c>
      <c r="BA92" s="144">
        <f t="shared" si="216"/>
        <v>0.96107741362799426</v>
      </c>
      <c r="BB92" s="5">
        <f t="shared" si="217"/>
        <v>56.256854356930319</v>
      </c>
      <c r="BC92" s="5"/>
      <c r="BD92" s="150">
        <f t="shared" si="289"/>
        <v>11.016577188208771</v>
      </c>
      <c r="BE92" s="150">
        <f t="shared" si="218"/>
        <v>0.66314052628244546</v>
      </c>
      <c r="BF92" s="150"/>
      <c r="BG92" s="456">
        <f t="shared" si="219"/>
        <v>0.41264090800879033</v>
      </c>
      <c r="BH92" s="456">
        <f t="shared" si="220"/>
        <v>1.5970616205916526</v>
      </c>
      <c r="BI92" s="456">
        <f t="shared" si="221"/>
        <v>5.9374671819096579E-2</v>
      </c>
      <c r="BJ92" s="456">
        <f t="shared" si="222"/>
        <v>3.1421455578863146E-2</v>
      </c>
      <c r="BK92">
        <f t="shared" si="223"/>
        <v>5.3668542318694055E-3</v>
      </c>
      <c r="BL92" s="144">
        <f t="shared" si="290"/>
        <v>64.741526050965987</v>
      </c>
      <c r="BM92" s="456">
        <f t="shared" si="224"/>
        <v>2.3865197279444001</v>
      </c>
      <c r="BN92" s="144">
        <f t="shared" si="291"/>
        <v>2386.5197279444001</v>
      </c>
      <c r="BO92" s="456">
        <f t="shared" si="225"/>
        <v>0.96515624999999983</v>
      </c>
      <c r="BP92" s="456"/>
      <c r="BR92" s="144">
        <f t="shared" si="292"/>
        <v>965.15624999999977</v>
      </c>
      <c r="BS92" s="456">
        <f t="shared" si="226"/>
        <v>0.18204745941564282</v>
      </c>
      <c r="BT92" s="456">
        <f t="shared" si="227"/>
        <v>8.795107151963176E-2</v>
      </c>
      <c r="BU92" s="456">
        <f t="shared" si="228"/>
        <v>1.1092500000000001</v>
      </c>
      <c r="BV92" s="456">
        <f t="shared" si="229"/>
        <v>1.4759280507982764</v>
      </c>
      <c r="BW92" s="456">
        <f t="shared" si="230"/>
        <v>9.6938564160803098E-2</v>
      </c>
      <c r="BX92" s="144">
        <f t="shared" si="293"/>
        <v>1572.8666149590795</v>
      </c>
      <c r="BY92" s="150">
        <f t="shared" si="231"/>
        <v>4.9892841189544459</v>
      </c>
      <c r="BZ92" s="5">
        <f t="shared" si="294"/>
        <v>73.95</v>
      </c>
      <c r="CA92" s="150">
        <f t="shared" si="295"/>
        <v>0.93679592898972786</v>
      </c>
      <c r="CB92" s="5">
        <f t="shared" si="296"/>
        <v>93.679592898972786</v>
      </c>
      <c r="CE92" s="59">
        <f t="shared" si="232"/>
        <v>-50</v>
      </c>
      <c r="CF92">
        <f t="shared" si="233"/>
        <v>-50</v>
      </c>
      <c r="CG92" s="150">
        <f t="shared" si="234"/>
        <v>0.57876166647931915</v>
      </c>
      <c r="CI92" s="147">
        <v>87</v>
      </c>
      <c r="CJ92" s="188">
        <f t="shared" si="297"/>
        <v>0.435</v>
      </c>
      <c r="CK92" s="188"/>
      <c r="CL92" s="188">
        <f t="shared" si="235"/>
        <v>73.95</v>
      </c>
      <c r="CM92" s="465">
        <f t="shared" si="236"/>
        <v>12</v>
      </c>
      <c r="CN92" s="149">
        <f t="shared" si="237"/>
        <v>8.5350000000000001</v>
      </c>
      <c r="CO92" s="379">
        <f t="shared" si="238"/>
        <v>20.535</v>
      </c>
      <c r="CP92" s="379"/>
      <c r="CQ92" s="188">
        <f t="shared" si="239"/>
        <v>0.4156318480642805</v>
      </c>
      <c r="CR92" s="149">
        <f t="shared" si="240"/>
        <v>166.85124908692478</v>
      </c>
      <c r="CS92" s="149">
        <f t="shared" si="298"/>
        <v>73.95</v>
      </c>
      <c r="CT92" s="188">
        <f t="shared" si="241"/>
        <v>0.98147793580543985</v>
      </c>
      <c r="CU92" s="188">
        <f t="shared" si="242"/>
        <v>170</v>
      </c>
      <c r="CV92" s="188">
        <f t="shared" si="243"/>
        <v>0.97795728956301287</v>
      </c>
      <c r="CW92" s="149">
        <f t="shared" si="244"/>
        <v>679.78711185691679</v>
      </c>
      <c r="CX92" s="149">
        <f t="shared" si="245"/>
        <v>170</v>
      </c>
      <c r="CY92" s="188">
        <f t="shared" si="246"/>
        <v>29.653646748681897</v>
      </c>
      <c r="CZ92" s="188">
        <f t="shared" si="247"/>
        <v>3.7067058435852371</v>
      </c>
      <c r="DA92" s="188">
        <f t="shared" si="248"/>
        <v>5.2115372141795948</v>
      </c>
      <c r="DB92" s="172">
        <f t="shared" si="249"/>
        <v>249.37910883856827</v>
      </c>
      <c r="DC92" s="379">
        <f t="shared" si="299"/>
        <v>112.12970912800272</v>
      </c>
      <c r="DE92" s="188">
        <f t="shared" si="250"/>
        <v>13.333333333333334</v>
      </c>
      <c r="DF92" s="150">
        <f t="shared" si="251"/>
        <v>2.3432923257176337</v>
      </c>
      <c r="DG92" s="150">
        <f t="shared" si="252"/>
        <v>0.19478938397857323</v>
      </c>
      <c r="DH92" s="150"/>
      <c r="DI92" s="150">
        <f t="shared" si="253"/>
        <v>2.3432923257176337</v>
      </c>
      <c r="DJ92" s="314">
        <f t="shared" si="300"/>
        <v>556.90874999999983</v>
      </c>
      <c r="DK92" s="456">
        <f t="shared" si="254"/>
        <v>0.19478938397857321</v>
      </c>
      <c r="DM92" s="150">
        <f t="shared" si="255"/>
        <v>16.818866956911386</v>
      </c>
      <c r="DN92" s="150">
        <f t="shared" si="256"/>
        <v>29.653646748681897</v>
      </c>
      <c r="DO92" s="150">
        <f t="shared" si="257"/>
        <v>13.289121048406344</v>
      </c>
      <c r="DQ92" s="314">
        <f t="shared" si="258"/>
        <v>435</v>
      </c>
      <c r="DR92" s="144">
        <f t="shared" si="259"/>
        <v>112.12970912800272</v>
      </c>
      <c r="DT92">
        <f t="shared" si="260"/>
        <v>435</v>
      </c>
      <c r="DU92">
        <f t="shared" si="261"/>
        <v>112.12970912800272</v>
      </c>
      <c r="DW92" s="5">
        <f t="shared" si="301"/>
        <v>8.9182430577648297</v>
      </c>
      <c r="DX92" s="5">
        <f t="shared" si="262"/>
        <v>3.7067058435852371</v>
      </c>
      <c r="DY92" s="5">
        <f t="shared" si="302"/>
        <v>5.211537214179593</v>
      </c>
      <c r="DZ92" s="5">
        <f t="shared" si="263"/>
        <v>5.2115372141795948</v>
      </c>
      <c r="EA92" s="150">
        <f t="shared" si="303"/>
        <v>0.41563184806428061</v>
      </c>
      <c r="EB92" s="150">
        <f t="shared" si="264"/>
        <v>73.95</v>
      </c>
      <c r="EC92" s="150">
        <f t="shared" si="265"/>
        <v>0.43321616871704732</v>
      </c>
      <c r="ED92" s="150">
        <f t="shared" si="304"/>
        <v>170.70000000000005</v>
      </c>
      <c r="EE92" s="144">
        <f t="shared" si="266"/>
        <v>0.94848061291739894</v>
      </c>
      <c r="EF92" s="5">
        <f t="shared" si="267"/>
        <v>53.526830137302902</v>
      </c>
      <c r="EG92" s="5"/>
      <c r="EH92" s="150">
        <f t="shared" si="305"/>
        <v>11.037529859189577</v>
      </c>
      <c r="EI92" s="150">
        <f t="shared" si="268"/>
        <v>0.65438111303614455</v>
      </c>
      <c r="EJ92" s="150"/>
      <c r="EK92" s="456">
        <f t="shared" si="269"/>
        <v>0.41421202233450505</v>
      </c>
      <c r="EL92" s="456">
        <f t="shared" si="270"/>
        <v>2.0757120000000007</v>
      </c>
      <c r="EM92" s="456">
        <f t="shared" si="271"/>
        <v>2.5677703390312622E-2</v>
      </c>
      <c r="EN92" s="456">
        <f t="shared" si="272"/>
        <v>3.238923432048682E-2</v>
      </c>
      <c r="EO92">
        <f t="shared" si="273"/>
        <v>5.4000000000000003E-3</v>
      </c>
      <c r="EP92" s="144">
        <f t="shared" si="306"/>
        <v>31.077703390312621</v>
      </c>
      <c r="EQ92" s="456">
        <f t="shared" si="274"/>
        <v>2.9561643746528339</v>
      </c>
      <c r="ER92" s="144">
        <f t="shared" si="307"/>
        <v>2956.1643746528339</v>
      </c>
      <c r="ES92" s="456">
        <f t="shared" si="308"/>
        <v>0.96515624999999983</v>
      </c>
      <c r="ET92" s="456"/>
      <c r="EV92" s="144">
        <f t="shared" si="309"/>
        <v>965.15624999999977</v>
      </c>
      <c r="EW92" s="456">
        <f t="shared" si="275"/>
        <v>0.18274059808875226</v>
      </c>
      <c r="EX92" s="456">
        <f t="shared" si="276"/>
        <v>8.564292821968468E-2</v>
      </c>
      <c r="EY92" s="456">
        <f t="shared" si="277"/>
        <v>31.876234821662543</v>
      </c>
      <c r="EZ92" s="456">
        <f t="shared" si="278"/>
        <v>32.915754086512159</v>
      </c>
      <c r="FA92" s="456">
        <f t="shared" si="279"/>
        <v>9.8600000000000007E-2</v>
      </c>
      <c r="FB92" s="144">
        <f t="shared" si="310"/>
        <v>33014.354086512154</v>
      </c>
      <c r="FC92" s="150">
        <f t="shared" si="311"/>
        <v>36.935674711164992</v>
      </c>
      <c r="FD92" s="5">
        <f t="shared" si="312"/>
        <v>73.95</v>
      </c>
      <c r="FE92" s="150">
        <f t="shared" si="313"/>
        <v>0.66690309810194115</v>
      </c>
      <c r="FF92" s="5">
        <f t="shared" si="314"/>
        <v>66.690309810194108</v>
      </c>
      <c r="FI92" s="59">
        <f t="shared" si="280"/>
        <v>-50</v>
      </c>
      <c r="FJ92">
        <f t="shared" si="281"/>
        <v>-50</v>
      </c>
      <c r="FL92">
        <f t="shared" si="282"/>
        <v>0.58436815193571934</v>
      </c>
    </row>
    <row r="93" spans="5:168">
      <c r="E93" s="147">
        <v>88</v>
      </c>
      <c r="F93" s="188">
        <f t="shared" si="283"/>
        <v>0.44</v>
      </c>
      <c r="G93" s="188"/>
      <c r="H93" s="188">
        <f t="shared" si="183"/>
        <v>74.8</v>
      </c>
      <c r="I93" s="465">
        <f t="shared" si="184"/>
        <v>11.925504302769763</v>
      </c>
      <c r="J93" s="149">
        <f t="shared" si="185"/>
        <v>8.5426016017581876</v>
      </c>
      <c r="K93" s="149">
        <f t="shared" si="186"/>
        <v>20.542601601758186</v>
      </c>
      <c r="L93" s="379"/>
      <c r="M93" s="188">
        <f t="shared" si="187"/>
        <v>0.41735955599428476</v>
      </c>
      <c r="N93" s="149">
        <f t="shared" si="188"/>
        <v>166.50470614209479</v>
      </c>
      <c r="O93" s="149">
        <f t="shared" si="284"/>
        <v>74.8</v>
      </c>
      <c r="P93" s="188">
        <f t="shared" si="189"/>
        <v>0.97943944789467519</v>
      </c>
      <c r="Q93" s="188">
        <f t="shared" si="190"/>
        <v>170</v>
      </c>
      <c r="R93" s="188">
        <f t="shared" si="191"/>
        <v>0.9759261138846903</v>
      </c>
      <c r="S93" s="149">
        <f t="shared" si="192"/>
        <v>665.18793807347561</v>
      </c>
      <c r="T93" s="149">
        <f t="shared" si="193"/>
        <v>170</v>
      </c>
      <c r="U93" s="188">
        <f t="shared" si="194"/>
        <v>30.207309123613392</v>
      </c>
      <c r="V93" s="188">
        <f t="shared" si="195"/>
        <v>3.7995008458381396</v>
      </c>
      <c r="W93" s="188">
        <f t="shared" si="196"/>
        <v>5.3041176210411658</v>
      </c>
      <c r="X93" s="172">
        <f t="shared" si="197"/>
        <v>248.86238285507014</v>
      </c>
      <c r="Y93" s="379">
        <f t="shared" si="198"/>
        <v>107.48506116840237</v>
      </c>
      <c r="AA93" s="188">
        <f t="shared" si="199"/>
        <v>13.333333333333332</v>
      </c>
      <c r="AB93" s="150">
        <f t="shared" si="200"/>
        <v>2.3412071558954262</v>
      </c>
      <c r="AC93" s="150">
        <f t="shared" si="201"/>
        <v>0.19421279719115916</v>
      </c>
      <c r="AD93" s="150"/>
      <c r="AE93" s="150">
        <f t="shared" si="202"/>
        <v>2.3412071558954266</v>
      </c>
      <c r="AF93" s="314">
        <f t="shared" si="203"/>
        <v>563.81170571604036</v>
      </c>
      <c r="AG93" s="456">
        <f t="shared" si="204"/>
        <v>0.19421279719115916</v>
      </c>
      <c r="AI93" s="150">
        <f t="shared" si="205"/>
        <v>16.922781950232995</v>
      </c>
      <c r="AJ93" s="150">
        <f t="shared" si="206"/>
        <v>30.207309123613392</v>
      </c>
      <c r="AK93" s="150">
        <f t="shared" si="207"/>
        <v>13.699241326133373</v>
      </c>
      <c r="AM93" s="314">
        <f t="shared" si="208"/>
        <v>440</v>
      </c>
      <c r="AN93" s="144">
        <f t="shared" si="209"/>
        <v>107.48506116840237</v>
      </c>
      <c r="AP93">
        <f t="shared" si="210"/>
        <v>440</v>
      </c>
      <c r="AQ93">
        <f t="shared" si="211"/>
        <v>107.48506116840237</v>
      </c>
      <c r="AS93" s="5">
        <f t="shared" si="285"/>
        <v>9.3036184668793052</v>
      </c>
      <c r="AT93" s="5">
        <f t="shared" si="212"/>
        <v>3.7995008458381396</v>
      </c>
      <c r="AU93" s="5">
        <f t="shared" si="286"/>
        <v>5.504117621041166</v>
      </c>
      <c r="AV93" s="5">
        <f t="shared" si="213"/>
        <v>5.3041176210411658</v>
      </c>
      <c r="AW93" s="150">
        <f t="shared" si="287"/>
        <v>0.40838958082430898</v>
      </c>
      <c r="AX93" s="150">
        <f t="shared" si="214"/>
        <v>73.558599356096195</v>
      </c>
      <c r="AY93" s="150">
        <f t="shared" si="215"/>
        <v>0.44677397031976485</v>
      </c>
      <c r="AZ93" s="150">
        <f t="shared" si="288"/>
        <v>164.64387865624505</v>
      </c>
      <c r="BA93" s="144">
        <f t="shared" si="216"/>
        <v>0.9834002189228126</v>
      </c>
      <c r="BB93" s="5">
        <f t="shared" si="217"/>
        <v>57.53886622615164</v>
      </c>
      <c r="BC93" s="5"/>
      <c r="BD93" s="150">
        <f t="shared" si="289"/>
        <v>11.145222403885418</v>
      </c>
      <c r="BE93" s="150">
        <f t="shared" si="218"/>
        <v>0.67071701508741655</v>
      </c>
      <c r="BF93" s="150"/>
      <c r="BG93" s="456">
        <f t="shared" si="219"/>
        <v>0.4223343402690361</v>
      </c>
      <c r="BH93" s="456">
        <f t="shared" si="220"/>
        <v>1.5974273257195155</v>
      </c>
      <c r="BI93" s="456">
        <f t="shared" si="221"/>
        <v>5.8707061022684214E-2</v>
      </c>
      <c r="BJ93" s="456">
        <f t="shared" si="222"/>
        <v>3.1070594760365753E-2</v>
      </c>
      <c r="BK93">
        <f t="shared" si="223"/>
        <v>5.3664769362463931E-3</v>
      </c>
      <c r="BL93" s="144">
        <f t="shared" si="290"/>
        <v>64.073537958930601</v>
      </c>
      <c r="BM93" s="456">
        <f t="shared" si="224"/>
        <v>2.4063296232360112</v>
      </c>
      <c r="BN93" s="144">
        <f t="shared" si="291"/>
        <v>2406.3296232360112</v>
      </c>
      <c r="BO93" s="456">
        <f t="shared" si="225"/>
        <v>0.97625000000000006</v>
      </c>
      <c r="BP93" s="456"/>
      <c r="BR93" s="144">
        <f t="shared" si="292"/>
        <v>976.25000000000011</v>
      </c>
      <c r="BS93" s="456">
        <f t="shared" si="226"/>
        <v>0.18632397364810419</v>
      </c>
      <c r="BT93" s="456">
        <f t="shared" si="227"/>
        <v>8.9972262865554764E-2</v>
      </c>
      <c r="BU93" s="456">
        <f t="shared" si="228"/>
        <v>1.1219999999999999</v>
      </c>
      <c r="BV93" s="456">
        <f t="shared" si="229"/>
        <v>1.4977123153662044</v>
      </c>
      <c r="BW93" s="456">
        <f t="shared" si="230"/>
        <v>9.8078132474794938E-2</v>
      </c>
      <c r="BX93" s="144">
        <f t="shared" si="293"/>
        <v>1595.7904478409994</v>
      </c>
      <c r="BY93" s="150">
        <f t="shared" si="231"/>
        <v>5.0424436090359404</v>
      </c>
      <c r="BZ93" s="5">
        <f t="shared" si="294"/>
        <v>74.8</v>
      </c>
      <c r="CA93" s="150">
        <f t="shared" si="295"/>
        <v>0.9368450741096146</v>
      </c>
      <c r="CB93" s="5">
        <f t="shared" si="296"/>
        <v>93.684507410961459</v>
      </c>
      <c r="CE93" s="59">
        <f t="shared" si="232"/>
        <v>-50</v>
      </c>
      <c r="CF93">
        <f t="shared" si="233"/>
        <v>-50</v>
      </c>
      <c r="CG93" s="150">
        <f t="shared" si="234"/>
        <v>0.57882537654132393</v>
      </c>
      <c r="CI93" s="147">
        <v>88</v>
      </c>
      <c r="CJ93" s="188">
        <f t="shared" si="297"/>
        <v>0.44</v>
      </c>
      <c r="CK93" s="188"/>
      <c r="CL93" s="188">
        <f t="shared" si="235"/>
        <v>74.8</v>
      </c>
      <c r="CM93" s="465">
        <f t="shared" si="236"/>
        <v>12</v>
      </c>
      <c r="CN93" s="149">
        <f t="shared" si="237"/>
        <v>8.5350000000000001</v>
      </c>
      <c r="CO93" s="379">
        <f t="shared" si="238"/>
        <v>20.535</v>
      </c>
      <c r="CP93" s="379"/>
      <c r="CQ93" s="188">
        <f t="shared" si="239"/>
        <v>0.4156318480642805</v>
      </c>
      <c r="CR93" s="149">
        <f t="shared" si="240"/>
        <v>166.85124908692478</v>
      </c>
      <c r="CS93" s="149">
        <f t="shared" si="298"/>
        <v>74.8</v>
      </c>
      <c r="CT93" s="188">
        <f t="shared" si="241"/>
        <v>0.98147793580543985</v>
      </c>
      <c r="CU93" s="188">
        <f t="shared" si="242"/>
        <v>170</v>
      </c>
      <c r="CV93" s="188">
        <f t="shared" si="243"/>
        <v>0.97795728956301287</v>
      </c>
      <c r="CW93" s="149">
        <f t="shared" si="244"/>
        <v>669.34163977692435</v>
      </c>
      <c r="CX93" s="149">
        <f t="shared" si="245"/>
        <v>170</v>
      </c>
      <c r="CY93" s="188">
        <f t="shared" si="246"/>
        <v>29.99449326303456</v>
      </c>
      <c r="CZ93" s="188">
        <f t="shared" si="247"/>
        <v>3.74931165787932</v>
      </c>
      <c r="DA93" s="188">
        <f t="shared" si="248"/>
        <v>5.2714399407793602</v>
      </c>
      <c r="DB93" s="172">
        <f t="shared" si="249"/>
        <v>249.37910883856827</v>
      </c>
      <c r="DC93" s="379">
        <f t="shared" si="299"/>
        <v>110.85550788791177</v>
      </c>
      <c r="DE93" s="188">
        <f t="shared" si="250"/>
        <v>13.333333333333334</v>
      </c>
      <c r="DF93" s="150">
        <f t="shared" si="251"/>
        <v>2.3432923257176337</v>
      </c>
      <c r="DG93" s="150">
        <f t="shared" si="252"/>
        <v>0.19478938397857323</v>
      </c>
      <c r="DH93" s="150"/>
      <c r="DI93" s="150">
        <f t="shared" si="253"/>
        <v>2.3432923257176337</v>
      </c>
      <c r="DJ93" s="314">
        <f t="shared" si="300"/>
        <v>563.30999999999983</v>
      </c>
      <c r="DK93" s="456">
        <f t="shared" si="254"/>
        <v>0.19478938397857321</v>
      </c>
      <c r="DM93" s="150">
        <f t="shared" si="255"/>
        <v>16.91525093771045</v>
      </c>
      <c r="DN93" s="150">
        <f t="shared" si="256"/>
        <v>29.99449326303456</v>
      </c>
      <c r="DO93" s="150">
        <f t="shared" si="257"/>
        <v>13.541599947926835</v>
      </c>
      <c r="DQ93" s="314">
        <f t="shared" si="258"/>
        <v>440</v>
      </c>
      <c r="DR93" s="144">
        <f t="shared" si="259"/>
        <v>110.85550788791177</v>
      </c>
      <c r="DT93">
        <f t="shared" si="260"/>
        <v>440</v>
      </c>
      <c r="DU93">
        <f t="shared" si="261"/>
        <v>110.85550788791177</v>
      </c>
      <c r="DW93" s="5">
        <f t="shared" si="301"/>
        <v>9.0207515986586806</v>
      </c>
      <c r="DX93" s="5">
        <f t="shared" si="262"/>
        <v>3.74931165787932</v>
      </c>
      <c r="DY93" s="5">
        <f t="shared" si="302"/>
        <v>5.2714399407793611</v>
      </c>
      <c r="DZ93" s="5">
        <f t="shared" si="263"/>
        <v>5.2714399407793602</v>
      </c>
      <c r="EA93" s="150">
        <f t="shared" si="303"/>
        <v>0.4156318480642805</v>
      </c>
      <c r="EB93" s="150">
        <f t="shared" si="264"/>
        <v>74.8</v>
      </c>
      <c r="EC93" s="150">
        <f t="shared" si="265"/>
        <v>0.43819566490919742</v>
      </c>
      <c r="ED93" s="150">
        <f t="shared" si="304"/>
        <v>170.7</v>
      </c>
      <c r="EE93" s="144">
        <f t="shared" si="266"/>
        <v>0.97041007615700037</v>
      </c>
      <c r="EF93" s="5">
        <f t="shared" si="267"/>
        <v>54.764403829207794</v>
      </c>
      <c r="EG93" s="5"/>
      <c r="EH93" s="150">
        <f t="shared" si="305"/>
        <v>11.164398018490605</v>
      </c>
      <c r="EI93" s="150">
        <f t="shared" si="268"/>
        <v>0.6619027350250658</v>
      </c>
      <c r="EJ93" s="150"/>
      <c r="EK93" s="456">
        <f t="shared" si="269"/>
        <v>0.4237888625919416</v>
      </c>
      <c r="EL93" s="456">
        <f t="shared" si="270"/>
        <v>2.0757120000000002</v>
      </c>
      <c r="EM93" s="456">
        <f t="shared" si="271"/>
        <v>2.5385911306331797E-2</v>
      </c>
      <c r="EN93" s="456">
        <f t="shared" si="272"/>
        <v>3.2021174839572196E-2</v>
      </c>
      <c r="EO93">
        <f t="shared" si="273"/>
        <v>5.4000000000000003E-3</v>
      </c>
      <c r="EP93" s="144">
        <f t="shared" si="306"/>
        <v>30.785911306331798</v>
      </c>
      <c r="EQ93" s="456">
        <f t="shared" si="274"/>
        <v>2.9764348114158881</v>
      </c>
      <c r="ER93" s="144">
        <f t="shared" si="307"/>
        <v>2976.4348114158879</v>
      </c>
      <c r="ES93" s="456">
        <f t="shared" si="308"/>
        <v>0.97625000000000006</v>
      </c>
      <c r="ET93" s="456"/>
      <c r="EV93" s="144">
        <f t="shared" si="309"/>
        <v>976.25000000000011</v>
      </c>
      <c r="EW93" s="456">
        <f t="shared" si="275"/>
        <v>0.18696567467291542</v>
      </c>
      <c r="EX93" s="456">
        <f t="shared" si="276"/>
        <v>8.7623046126732496E-2</v>
      </c>
      <c r="EY93" s="456">
        <f t="shared" si="277"/>
        <v>31.876234821662543</v>
      </c>
      <c r="EZ93" s="456">
        <f t="shared" si="278"/>
        <v>32.940328243052534</v>
      </c>
      <c r="FA93" s="456">
        <f t="shared" si="279"/>
        <v>9.9733333333333327E-2</v>
      </c>
      <c r="FB93" s="144">
        <f t="shared" si="310"/>
        <v>33040.061576385866</v>
      </c>
      <c r="FC93" s="150">
        <f t="shared" si="311"/>
        <v>36.992746387801752</v>
      </c>
      <c r="FD93" s="5">
        <f t="shared" si="312"/>
        <v>74.8</v>
      </c>
      <c r="FE93" s="150">
        <f t="shared" si="313"/>
        <v>0.66909528942534147</v>
      </c>
      <c r="FF93" s="5">
        <f t="shared" si="314"/>
        <v>66.909528942534152</v>
      </c>
      <c r="FI93" s="59">
        <f t="shared" si="280"/>
        <v>-50</v>
      </c>
      <c r="FJ93">
        <f t="shared" si="281"/>
        <v>-50</v>
      </c>
      <c r="FL93">
        <f t="shared" si="282"/>
        <v>0.58436815193571956</v>
      </c>
    </row>
    <row r="94" spans="5:168">
      <c r="E94" s="147">
        <v>89</v>
      </c>
      <c r="F94" s="188">
        <f t="shared" si="283"/>
        <v>0.44500000000000001</v>
      </c>
      <c r="G94" s="188"/>
      <c r="H94" s="188">
        <f t="shared" si="183"/>
        <v>75.650000000000006</v>
      </c>
      <c r="I94" s="465">
        <f t="shared" si="184"/>
        <v>11.924665866287498</v>
      </c>
      <c r="J94" s="149">
        <f t="shared" si="185"/>
        <v>8.542687156501275</v>
      </c>
      <c r="K94" s="149">
        <f t="shared" si="186"/>
        <v>20.542687156501273</v>
      </c>
      <c r="L94" s="379"/>
      <c r="M94" s="188">
        <f t="shared" si="187"/>
        <v>0.41737908871347446</v>
      </c>
      <c r="N94" s="149">
        <f t="shared" si="188"/>
        <v>166.50079182348972</v>
      </c>
      <c r="O94" s="149">
        <f t="shared" si="284"/>
        <v>75.650000000000006</v>
      </c>
      <c r="P94" s="188">
        <f t="shared" si="189"/>
        <v>0.97941642249111605</v>
      </c>
      <c r="Q94" s="188">
        <f t="shared" si="190"/>
        <v>170</v>
      </c>
      <c r="R94" s="188">
        <f t="shared" si="191"/>
        <v>0.97590317107524516</v>
      </c>
      <c r="S94" s="149">
        <f t="shared" si="192"/>
        <v>654.99468921631501</v>
      </c>
      <c r="T94" s="149">
        <f t="shared" si="193"/>
        <v>170</v>
      </c>
      <c r="U94" s="188">
        <f t="shared" si="194"/>
        <v>30.551598226528778</v>
      </c>
      <c r="V94" s="188">
        <f t="shared" si="195"/>
        <v>3.8430760118279603</v>
      </c>
      <c r="W94" s="188">
        <f t="shared" si="196"/>
        <v>5.3645178033842615</v>
      </c>
      <c r="X94" s="172">
        <f t="shared" si="197"/>
        <v>248.85653222495515</v>
      </c>
      <c r="Y94" s="379">
        <f t="shared" si="198"/>
        <v>106.29710632095795</v>
      </c>
      <c r="AA94" s="188">
        <f t="shared" si="199"/>
        <v>13.333333333333334</v>
      </c>
      <c r="AB94" s="150">
        <f t="shared" si="200"/>
        <v>2.3411837087794236</v>
      </c>
      <c r="AC94" s="150">
        <f t="shared" si="201"/>
        <v>0.1942062863561356</v>
      </c>
      <c r="AD94" s="150"/>
      <c r="AE94" s="150">
        <f t="shared" si="202"/>
        <v>2.3411837087794236</v>
      </c>
      <c r="AF94" s="314">
        <f t="shared" si="203"/>
        <v>570.22436769646004</v>
      </c>
      <c r="AG94" s="456">
        <f t="shared" si="204"/>
        <v>0.19420628635613554</v>
      </c>
      <c r="AI94" s="150">
        <f t="shared" si="205"/>
        <v>17.018747723262226</v>
      </c>
      <c r="AJ94" s="150">
        <f t="shared" si="206"/>
        <v>30.551598226528778</v>
      </c>
      <c r="AK94" s="150">
        <f t="shared" si="207"/>
        <v>13.954270291255884</v>
      </c>
      <c r="AM94" s="314">
        <f t="shared" si="208"/>
        <v>445</v>
      </c>
      <c r="AN94" s="144">
        <f t="shared" si="209"/>
        <v>106.29710632095795</v>
      </c>
      <c r="AP94">
        <f t="shared" si="210"/>
        <v>445</v>
      </c>
      <c r="AQ94">
        <f t="shared" si="211"/>
        <v>106.29710632095795</v>
      </c>
      <c r="AS94" s="5">
        <f t="shared" si="285"/>
        <v>9.4075938152122216</v>
      </c>
      <c r="AT94" s="5">
        <f t="shared" si="212"/>
        <v>3.8430760118279603</v>
      </c>
      <c r="AU94" s="5">
        <f t="shared" si="286"/>
        <v>5.5645178033842608</v>
      </c>
      <c r="AV94" s="5">
        <f t="shared" si="213"/>
        <v>5.3645178033842615</v>
      </c>
      <c r="AW94" s="150">
        <f t="shared" si="287"/>
        <v>0.40850785942879975</v>
      </c>
      <c r="AX94" s="150">
        <f t="shared" si="214"/>
        <v>74.413301572867198</v>
      </c>
      <c r="AY94" s="150">
        <f t="shared" si="215"/>
        <v>0.45177575582201984</v>
      </c>
      <c r="AZ94" s="150">
        <f t="shared" si="288"/>
        <v>164.71291478992694</v>
      </c>
      <c r="BA94" s="144">
        <f t="shared" si="216"/>
        <v>1.005981661919672</v>
      </c>
      <c r="BB94" s="5">
        <f t="shared" si="217"/>
        <v>58.835439156987654</v>
      </c>
      <c r="BC94" s="5"/>
      <c r="BD94" s="150">
        <f t="shared" si="289"/>
        <v>11.273882782502334</v>
      </c>
      <c r="BE94" s="150">
        <f t="shared" si="218"/>
        <v>0.67829372645289687</v>
      </c>
      <c r="BF94" s="150"/>
      <c r="BG94" s="456">
        <f t="shared" si="219"/>
        <v>0.43214147217824866</v>
      </c>
      <c r="BH94" s="456">
        <f t="shared" si="220"/>
        <v>1.5977842886284068</v>
      </c>
      <c r="BI94" s="456">
        <f t="shared" si="221"/>
        <v>5.8054132374724239E-2</v>
      </c>
      <c r="BJ94" s="456">
        <f t="shared" si="222"/>
        <v>3.0727449831575063E-2</v>
      </c>
      <c r="BK94">
        <f t="shared" si="223"/>
        <v>5.3660996398293736E-3</v>
      </c>
      <c r="BL94" s="144">
        <f t="shared" si="290"/>
        <v>63.420232014553612</v>
      </c>
      <c r="BM94" s="456">
        <f t="shared" si="224"/>
        <v>2.4264740303007293</v>
      </c>
      <c r="BN94" s="144">
        <f t="shared" si="291"/>
        <v>2426.4740303007293</v>
      </c>
      <c r="BO94" s="456">
        <f t="shared" si="225"/>
        <v>0.98734374999999996</v>
      </c>
      <c r="BP94" s="456"/>
      <c r="BR94" s="144">
        <f t="shared" si="292"/>
        <v>987.34375</v>
      </c>
      <c r="BS94" s="456">
        <f t="shared" si="226"/>
        <v>0.19065064949040383</v>
      </c>
      <c r="BT94" s="456">
        <f t="shared" si="227"/>
        <v>9.2016475869071468E-2</v>
      </c>
      <c r="BU94" s="456">
        <f t="shared" si="228"/>
        <v>1.1347500000000001</v>
      </c>
      <c r="BV94" s="456">
        <f t="shared" si="229"/>
        <v>1.5196209871312141</v>
      </c>
      <c r="BW94" s="456">
        <f t="shared" si="230"/>
        <v>9.921773543048959E-2</v>
      </c>
      <c r="BX94" s="144">
        <f t="shared" si="293"/>
        <v>1618.8387225617037</v>
      </c>
      <c r="BY94" s="150">
        <f t="shared" si="231"/>
        <v>5.096076734876986</v>
      </c>
      <c r="BZ94" s="5">
        <f t="shared" si="294"/>
        <v>75.650000000000006</v>
      </c>
      <c r="CA94" s="150">
        <f t="shared" si="295"/>
        <v>0.93688762425437055</v>
      </c>
      <c r="CB94" s="5">
        <f t="shared" si="296"/>
        <v>93.688762425437062</v>
      </c>
      <c r="CE94" s="59">
        <f t="shared" si="232"/>
        <v>-50</v>
      </c>
      <c r="CF94">
        <f t="shared" si="233"/>
        <v>-50</v>
      </c>
      <c r="CG94" s="150">
        <f t="shared" si="234"/>
        <v>0.57888765491654193</v>
      </c>
      <c r="CI94" s="147">
        <v>89</v>
      </c>
      <c r="CJ94" s="188">
        <f t="shared" si="297"/>
        <v>0.44500000000000001</v>
      </c>
      <c r="CK94" s="188"/>
      <c r="CL94" s="188">
        <f t="shared" si="235"/>
        <v>75.650000000000006</v>
      </c>
      <c r="CM94" s="465">
        <f t="shared" si="236"/>
        <v>12</v>
      </c>
      <c r="CN94" s="149">
        <f t="shared" si="237"/>
        <v>8.5350000000000001</v>
      </c>
      <c r="CO94" s="379">
        <f t="shared" si="238"/>
        <v>20.535</v>
      </c>
      <c r="CP94" s="379"/>
      <c r="CQ94" s="188">
        <f t="shared" si="239"/>
        <v>0.4156318480642805</v>
      </c>
      <c r="CR94" s="149">
        <f t="shared" si="240"/>
        <v>166.85124908692478</v>
      </c>
      <c r="CS94" s="149">
        <f t="shared" si="298"/>
        <v>75.650000000000006</v>
      </c>
      <c r="CT94" s="188">
        <f t="shared" si="241"/>
        <v>0.98147793580543985</v>
      </c>
      <c r="CU94" s="188">
        <f t="shared" si="242"/>
        <v>170</v>
      </c>
      <c r="CV94" s="188">
        <f t="shared" si="243"/>
        <v>0.97795728956301287</v>
      </c>
      <c r="CW94" s="149">
        <f t="shared" si="244"/>
        <v>659.1310151388434</v>
      </c>
      <c r="CX94" s="149">
        <f t="shared" si="245"/>
        <v>170</v>
      </c>
      <c r="CY94" s="188">
        <f t="shared" si="246"/>
        <v>30.33533977738723</v>
      </c>
      <c r="CZ94" s="188">
        <f t="shared" si="247"/>
        <v>3.7919174721734037</v>
      </c>
      <c r="DA94" s="188">
        <f t="shared" si="248"/>
        <v>5.3313426673791264</v>
      </c>
      <c r="DB94" s="172">
        <f t="shared" si="249"/>
        <v>249.37910883856827</v>
      </c>
      <c r="DC94" s="379">
        <f t="shared" si="299"/>
        <v>109.60994038355319</v>
      </c>
      <c r="DE94" s="188">
        <f t="shared" si="250"/>
        <v>13.333333333333334</v>
      </c>
      <c r="DF94" s="150">
        <f t="shared" si="251"/>
        <v>2.3432923257176337</v>
      </c>
      <c r="DG94" s="150">
        <f t="shared" si="252"/>
        <v>0.19478938397857323</v>
      </c>
      <c r="DH94" s="150"/>
      <c r="DI94" s="150">
        <f t="shared" si="253"/>
        <v>2.3432923257176337</v>
      </c>
      <c r="DJ94" s="314">
        <f t="shared" si="300"/>
        <v>569.71124999999984</v>
      </c>
      <c r="DK94" s="456">
        <f t="shared" si="254"/>
        <v>0.19478938397857321</v>
      </c>
      <c r="DM94" s="150">
        <f t="shared" si="255"/>
        <v>17.011088820447174</v>
      </c>
      <c r="DN94" s="150">
        <f t="shared" si="256"/>
        <v>30.33533977738723</v>
      </c>
      <c r="DO94" s="150">
        <f t="shared" si="257"/>
        <v>13.794078847447331</v>
      </c>
      <c r="DQ94" s="314">
        <f t="shared" si="258"/>
        <v>445</v>
      </c>
      <c r="DR94" s="144">
        <f t="shared" si="259"/>
        <v>109.60994038355319</v>
      </c>
      <c r="DT94">
        <f t="shared" si="260"/>
        <v>445</v>
      </c>
      <c r="DU94">
        <f t="shared" si="261"/>
        <v>109.60994038355319</v>
      </c>
      <c r="DW94" s="5">
        <f t="shared" si="301"/>
        <v>9.1232601395525297</v>
      </c>
      <c r="DX94" s="5">
        <f t="shared" si="262"/>
        <v>3.7919174721734037</v>
      </c>
      <c r="DY94" s="5">
        <f t="shared" si="302"/>
        <v>5.3313426673791255</v>
      </c>
      <c r="DZ94" s="5">
        <f t="shared" si="263"/>
        <v>5.3313426673791264</v>
      </c>
      <c r="EA94" s="150">
        <f t="shared" si="303"/>
        <v>0.4156318480642805</v>
      </c>
      <c r="EB94" s="150">
        <f t="shared" si="264"/>
        <v>75.650000000000006</v>
      </c>
      <c r="EC94" s="150">
        <f t="shared" si="265"/>
        <v>0.44317516110134747</v>
      </c>
      <c r="ED94" s="150">
        <f t="shared" si="304"/>
        <v>170.7</v>
      </c>
      <c r="EE94" s="144">
        <f t="shared" si="266"/>
        <v>0.99259016183362614</v>
      </c>
      <c r="EF94" s="5">
        <f t="shared" si="267"/>
        <v>56.016121220448724</v>
      </c>
      <c r="EG94" s="5"/>
      <c r="EH94" s="150">
        <f t="shared" si="305"/>
        <v>11.291266177791636</v>
      </c>
      <c r="EI94" s="150">
        <f t="shared" si="268"/>
        <v>0.66942435701398706</v>
      </c>
      <c r="EJ94" s="150"/>
      <c r="EK94" s="456">
        <f t="shared" si="269"/>
        <v>0.43347515245232054</v>
      </c>
      <c r="EL94" s="456">
        <f t="shared" si="270"/>
        <v>2.0757120000000002</v>
      </c>
      <c r="EM94" s="456">
        <f t="shared" si="271"/>
        <v>2.5100676347833684E-2</v>
      </c>
      <c r="EN94" s="456">
        <f t="shared" si="272"/>
        <v>3.1661386358228683E-2</v>
      </c>
      <c r="EO94">
        <f t="shared" si="273"/>
        <v>5.4000000000000003E-3</v>
      </c>
      <c r="EP94" s="144">
        <f t="shared" si="306"/>
        <v>30.500676347833682</v>
      </c>
      <c r="EQ94" s="456">
        <f t="shared" si="274"/>
        <v>2.9970664587301168</v>
      </c>
      <c r="ER94" s="144">
        <f t="shared" si="307"/>
        <v>2997.0664587301167</v>
      </c>
      <c r="ES94" s="456">
        <f t="shared" si="308"/>
        <v>0.98734374999999996</v>
      </c>
      <c r="ET94" s="456"/>
      <c r="EV94" s="144">
        <f t="shared" si="309"/>
        <v>987.34375</v>
      </c>
      <c r="EW94" s="456">
        <f t="shared" si="275"/>
        <v>0.191239037846612</v>
      </c>
      <c r="EX94" s="456">
        <f t="shared" si="276"/>
        <v>8.9625793952718011E-2</v>
      </c>
      <c r="EY94" s="456">
        <f t="shared" si="277"/>
        <v>31.876234821662486</v>
      </c>
      <c r="EZ94" s="456">
        <f t="shared" si="278"/>
        <v>32.965208635382169</v>
      </c>
      <c r="FA94" s="456">
        <f t="shared" si="279"/>
        <v>0.10086666666666666</v>
      </c>
      <c r="FB94" s="144">
        <f t="shared" si="310"/>
        <v>33066.075302048834</v>
      </c>
      <c r="FC94" s="150">
        <f t="shared" si="311"/>
        <v>37.050485510778955</v>
      </c>
      <c r="FD94" s="5">
        <f t="shared" si="312"/>
        <v>75.650000000000006</v>
      </c>
      <c r="FE94" s="150">
        <f t="shared" si="313"/>
        <v>0.67124821740687757</v>
      </c>
      <c r="FF94" s="5">
        <f t="shared" si="314"/>
        <v>67.12482174068775</v>
      </c>
      <c r="FI94" s="59">
        <f t="shared" si="280"/>
        <v>-50</v>
      </c>
      <c r="FJ94">
        <f t="shared" si="281"/>
        <v>-50</v>
      </c>
      <c r="FL94">
        <f t="shared" si="282"/>
        <v>0.58436815193571956</v>
      </c>
    </row>
    <row r="95" spans="5:168">
      <c r="E95" s="147">
        <v>90</v>
      </c>
      <c r="F95" s="188">
        <f t="shared" si="283"/>
        <v>0.45</v>
      </c>
      <c r="G95" s="188"/>
      <c r="H95" s="188">
        <f t="shared" si="183"/>
        <v>76.5</v>
      </c>
      <c r="I95" s="465">
        <f t="shared" si="184"/>
        <v>11.923827428100134</v>
      </c>
      <c r="J95" s="149">
        <f t="shared" si="185"/>
        <v>8.5427727114183529</v>
      </c>
      <c r="K95" s="149">
        <f t="shared" si="186"/>
        <v>20.542772711418351</v>
      </c>
      <c r="L95" s="379"/>
      <c r="M95" s="188">
        <f t="shared" si="187"/>
        <v>0.41739862290448471</v>
      </c>
      <c r="N95" s="149">
        <f t="shared" si="188"/>
        <v>166.4968769724461</v>
      </c>
      <c r="O95" s="149">
        <f t="shared" si="284"/>
        <v>76.5</v>
      </c>
      <c r="P95" s="188">
        <f t="shared" si="189"/>
        <v>0.97939339395556535</v>
      </c>
      <c r="Q95" s="188">
        <f t="shared" si="190"/>
        <v>170</v>
      </c>
      <c r="R95" s="188">
        <f t="shared" si="191"/>
        <v>0.97588022514504291</v>
      </c>
      <c r="S95" s="149">
        <f t="shared" si="192"/>
        <v>645.02844738569718</v>
      </c>
      <c r="T95" s="149">
        <f t="shared" si="193"/>
        <v>170</v>
      </c>
      <c r="U95" s="188">
        <f t="shared" si="194"/>
        <v>30.895910493271913</v>
      </c>
      <c r="V95" s="188">
        <f t="shared" si="195"/>
        <v>3.8866602204164908</v>
      </c>
      <c r="W95" s="188">
        <f t="shared" si="196"/>
        <v>5.4249208430846121</v>
      </c>
      <c r="X95" s="172">
        <f t="shared" si="197"/>
        <v>248.85068080201424</v>
      </c>
      <c r="Y95" s="379">
        <f t="shared" si="198"/>
        <v>105.13499210318581</v>
      </c>
      <c r="AA95" s="188">
        <f t="shared" si="199"/>
        <v>13.333333333333334</v>
      </c>
      <c r="AB95" s="150">
        <f t="shared" si="200"/>
        <v>2.3411602620853773</v>
      </c>
      <c r="AC95" s="150">
        <f t="shared" si="201"/>
        <v>0.19419977502885613</v>
      </c>
      <c r="AD95" s="150"/>
      <c r="AE95" s="150">
        <f t="shared" si="202"/>
        <v>2.3411602620853773</v>
      </c>
      <c r="AF95" s="314">
        <f t="shared" si="203"/>
        <v>576.63715802073875</v>
      </c>
      <c r="AG95" s="456">
        <f t="shared" si="204"/>
        <v>0.1941997750288561</v>
      </c>
      <c r="AI95" s="150">
        <f t="shared" si="205"/>
        <v>17.114177292276903</v>
      </c>
      <c r="AJ95" s="150">
        <f t="shared" si="206"/>
        <v>30.895910493271913</v>
      </c>
      <c r="AK95" s="150">
        <f t="shared" si="207"/>
        <v>14.209316414769315</v>
      </c>
      <c r="AM95" s="314">
        <f t="shared" si="208"/>
        <v>450</v>
      </c>
      <c r="AN95" s="144">
        <f t="shared" si="209"/>
        <v>105.13499210318581</v>
      </c>
      <c r="AP95">
        <f t="shared" si="210"/>
        <v>450</v>
      </c>
      <c r="AQ95">
        <f t="shared" si="211"/>
        <v>105.13499210318581</v>
      </c>
      <c r="AS95" s="5">
        <f t="shared" si="285"/>
        <v>9.5115810635011027</v>
      </c>
      <c r="AT95" s="5">
        <f t="shared" si="212"/>
        <v>3.8866602204164908</v>
      </c>
      <c r="AU95" s="5">
        <f t="shared" si="286"/>
        <v>5.6249208430846114</v>
      </c>
      <c r="AV95" s="5">
        <f t="shared" si="213"/>
        <v>5.4249208430846121</v>
      </c>
      <c r="AW95" s="150">
        <f t="shared" si="287"/>
        <v>0.40862399158125412</v>
      </c>
      <c r="AX95" s="150">
        <f t="shared" si="214"/>
        <v>75.268029481807417</v>
      </c>
      <c r="AY95" s="150">
        <f t="shared" si="215"/>
        <v>0.45677750559934976</v>
      </c>
      <c r="AZ95" s="150">
        <f t="shared" si="288"/>
        <v>164.78050814487079</v>
      </c>
      <c r="BA95" s="144">
        <f t="shared" si="216"/>
        <v>1.0288218230514239</v>
      </c>
      <c r="BB95" s="5">
        <f t="shared" si="217"/>
        <v>60.14657724776869</v>
      </c>
      <c r="BC95" s="5"/>
      <c r="BD95" s="150">
        <f t="shared" si="289"/>
        <v>11.402558310525007</v>
      </c>
      <c r="BE95" s="150">
        <f t="shared" si="218"/>
        <v>0.6858706614792015</v>
      </c>
      <c r="BF95" s="150"/>
      <c r="BG95" s="456">
        <f t="shared" si="219"/>
        <v>0.44206234248473791</v>
      </c>
      <c r="BH95" s="456">
        <f t="shared" si="220"/>
        <v>1.5981327943885109</v>
      </c>
      <c r="BI95" s="456">
        <f t="shared" si="221"/>
        <v>5.741540681418205E-2</v>
      </c>
      <c r="BJ95" s="456">
        <f t="shared" si="222"/>
        <v>3.0391769031992727E-2</v>
      </c>
      <c r="BK95">
        <f t="shared" si="223"/>
        <v>5.3657223426450606E-3</v>
      </c>
      <c r="BL95" s="144">
        <f t="shared" si="290"/>
        <v>62.781129156827113</v>
      </c>
      <c r="BM95" s="456">
        <f t="shared" si="224"/>
        <v>2.4469575035756428</v>
      </c>
      <c r="BN95" s="144">
        <f t="shared" si="291"/>
        <v>2446.9575035756429</v>
      </c>
      <c r="BO95" s="456">
        <f t="shared" si="225"/>
        <v>0.99843749999999998</v>
      </c>
      <c r="BP95" s="456"/>
      <c r="BR95" s="144">
        <f t="shared" si="292"/>
        <v>998.4375</v>
      </c>
      <c r="BS95" s="456">
        <f t="shared" si="226"/>
        <v>0.19502750403738439</v>
      </c>
      <c r="BT95" s="456">
        <f t="shared" si="227"/>
        <v>9.4083712855583493E-2</v>
      </c>
      <c r="BU95" s="456">
        <f t="shared" si="228"/>
        <v>1.1475</v>
      </c>
      <c r="BV95" s="456">
        <f t="shared" si="229"/>
        <v>1.5416546818348</v>
      </c>
      <c r="BW95" s="456">
        <f t="shared" si="230"/>
        <v>0.1003573726424099</v>
      </c>
      <c r="BX95" s="144">
        <f t="shared" si="293"/>
        <v>1642.0120544772099</v>
      </c>
      <c r="BY95" s="150">
        <f t="shared" si="231"/>
        <v>5.1501881872096797</v>
      </c>
      <c r="BZ95" s="5">
        <f t="shared" si="294"/>
        <v>76.5</v>
      </c>
      <c r="CA95" s="150">
        <f t="shared" si="295"/>
        <v>0.93692374382039156</v>
      </c>
      <c r="CB95" s="5">
        <f t="shared" si="296"/>
        <v>93.692374382039162</v>
      </c>
      <c r="CE95" s="59">
        <f t="shared" si="232"/>
        <v>-50</v>
      </c>
      <c r="CF95">
        <f t="shared" si="233"/>
        <v>-50</v>
      </c>
      <c r="CG95" s="150">
        <f t="shared" si="234"/>
        <v>0.5789485493278661</v>
      </c>
      <c r="CI95" s="147">
        <v>90</v>
      </c>
      <c r="CJ95" s="188">
        <f t="shared" si="297"/>
        <v>0.45</v>
      </c>
      <c r="CK95" s="188"/>
      <c r="CL95" s="188">
        <f t="shared" si="235"/>
        <v>76.5</v>
      </c>
      <c r="CM95" s="465">
        <f t="shared" si="236"/>
        <v>12</v>
      </c>
      <c r="CN95" s="149">
        <f t="shared" si="237"/>
        <v>8.5350000000000001</v>
      </c>
      <c r="CO95" s="379">
        <f t="shared" si="238"/>
        <v>20.535</v>
      </c>
      <c r="CP95" s="379"/>
      <c r="CQ95" s="188">
        <f t="shared" si="239"/>
        <v>0.4156318480642805</v>
      </c>
      <c r="CR95" s="149">
        <f t="shared" si="240"/>
        <v>166.85124908692478</v>
      </c>
      <c r="CS95" s="149">
        <f t="shared" si="298"/>
        <v>76.5</v>
      </c>
      <c r="CT95" s="188">
        <f t="shared" si="241"/>
        <v>0.98147793580543985</v>
      </c>
      <c r="CU95" s="188">
        <f t="shared" si="242"/>
        <v>170</v>
      </c>
      <c r="CV95" s="188">
        <f t="shared" si="243"/>
        <v>0.97795728956301287</v>
      </c>
      <c r="CW95" s="149">
        <f t="shared" si="244"/>
        <v>649.1474111159938</v>
      </c>
      <c r="CX95" s="149">
        <f t="shared" si="245"/>
        <v>170</v>
      </c>
      <c r="CY95" s="188">
        <f t="shared" si="246"/>
        <v>30.676186291739892</v>
      </c>
      <c r="CZ95" s="188">
        <f t="shared" si="247"/>
        <v>3.834523286467487</v>
      </c>
      <c r="DA95" s="188">
        <f t="shared" si="248"/>
        <v>5.3912453939788918</v>
      </c>
      <c r="DB95" s="172">
        <f t="shared" si="249"/>
        <v>249.37910883856827</v>
      </c>
      <c r="DC95" s="379">
        <f t="shared" si="299"/>
        <v>108.39205215706926</v>
      </c>
      <c r="DE95" s="188">
        <f t="shared" si="250"/>
        <v>13.333333333333334</v>
      </c>
      <c r="DF95" s="150">
        <f t="shared" si="251"/>
        <v>2.3432923257176337</v>
      </c>
      <c r="DG95" s="150">
        <f t="shared" si="252"/>
        <v>0.19478938397857323</v>
      </c>
      <c r="DH95" s="150"/>
      <c r="DI95" s="150">
        <f t="shared" si="253"/>
        <v>2.3432923257176337</v>
      </c>
      <c r="DJ95" s="314">
        <f t="shared" si="300"/>
        <v>576.11249999999984</v>
      </c>
      <c r="DK95" s="456">
        <f t="shared" si="254"/>
        <v>0.19478938397857321</v>
      </c>
      <c r="DM95" s="150">
        <f t="shared" si="255"/>
        <v>17.106389783603419</v>
      </c>
      <c r="DN95" s="150">
        <f t="shared" si="256"/>
        <v>30.676186291739892</v>
      </c>
      <c r="DO95" s="150">
        <f t="shared" si="257"/>
        <v>14.046557746967821</v>
      </c>
      <c r="DQ95" s="314">
        <f t="shared" si="258"/>
        <v>450</v>
      </c>
      <c r="DR95" s="144">
        <f t="shared" si="259"/>
        <v>108.39205215706926</v>
      </c>
      <c r="DT95">
        <f t="shared" si="260"/>
        <v>450</v>
      </c>
      <c r="DU95">
        <f t="shared" si="261"/>
        <v>108.39205215706926</v>
      </c>
      <c r="DW95" s="5">
        <f t="shared" si="301"/>
        <v>9.2257686804463805</v>
      </c>
      <c r="DX95" s="5">
        <f t="shared" si="262"/>
        <v>3.834523286467487</v>
      </c>
      <c r="DY95" s="5">
        <f t="shared" si="302"/>
        <v>5.3912453939788936</v>
      </c>
      <c r="DZ95" s="5">
        <f t="shared" si="263"/>
        <v>5.3912453939788918</v>
      </c>
      <c r="EA95" s="150">
        <f t="shared" si="303"/>
        <v>0.41563184806428044</v>
      </c>
      <c r="EB95" s="150">
        <f t="shared" si="264"/>
        <v>76.499999999999986</v>
      </c>
      <c r="EC95" s="150">
        <f t="shared" si="265"/>
        <v>0.4481546572934974</v>
      </c>
      <c r="ED95" s="150">
        <f t="shared" si="304"/>
        <v>170.69999999999996</v>
      </c>
      <c r="EE95" s="144">
        <f t="shared" si="266"/>
        <v>1.015020869947276</v>
      </c>
      <c r="EF95" s="5">
        <f t="shared" si="267"/>
        <v>57.281982311025736</v>
      </c>
      <c r="EG95" s="5"/>
      <c r="EH95" s="150">
        <f t="shared" si="305"/>
        <v>11.418134337092662</v>
      </c>
      <c r="EI95" s="150">
        <f t="shared" si="268"/>
        <v>0.6769459790029082</v>
      </c>
      <c r="EJ95" s="150"/>
      <c r="EK95" s="456">
        <f t="shared" si="269"/>
        <v>0.44327089191564117</v>
      </c>
      <c r="EL95" s="456">
        <f t="shared" si="270"/>
        <v>2.0757119999999998</v>
      </c>
      <c r="EM95" s="456">
        <f t="shared" si="271"/>
        <v>2.482177994396886E-2</v>
      </c>
      <c r="EN95" s="456">
        <f t="shared" si="272"/>
        <v>3.1309593176470585E-2</v>
      </c>
      <c r="EO95">
        <f t="shared" si="273"/>
        <v>5.4000000000000003E-3</v>
      </c>
      <c r="EP95" s="144">
        <f t="shared" si="306"/>
        <v>30.221779943968858</v>
      </c>
      <c r="EQ95" s="456">
        <f t="shared" si="274"/>
        <v>3.018063350734399</v>
      </c>
      <c r="ER95" s="144">
        <f t="shared" si="307"/>
        <v>3018.0633507343991</v>
      </c>
      <c r="ES95" s="456">
        <f t="shared" si="308"/>
        <v>0.99843749999999998</v>
      </c>
      <c r="ET95" s="456"/>
      <c r="EV95" s="144">
        <f t="shared" si="309"/>
        <v>998.4375</v>
      </c>
      <c r="EW95" s="456">
        <f t="shared" si="275"/>
        <v>0.19556068760984172</v>
      </c>
      <c r="EX95" s="456">
        <f t="shared" si="276"/>
        <v>9.1651171697641171E-2</v>
      </c>
      <c r="EY95" s="456">
        <f t="shared" si="277"/>
        <v>31.876234821662543</v>
      </c>
      <c r="EZ95" s="456">
        <f t="shared" si="278"/>
        <v>32.990396169043947</v>
      </c>
      <c r="FA95" s="456">
        <f t="shared" si="279"/>
        <v>0.10199999999999998</v>
      </c>
      <c r="FB95" s="144">
        <f t="shared" si="310"/>
        <v>33092.396169043946</v>
      </c>
      <c r="FC95" s="150">
        <f t="shared" si="311"/>
        <v>37.108897019778347</v>
      </c>
      <c r="FD95" s="5">
        <f t="shared" si="312"/>
        <v>76.5</v>
      </c>
      <c r="FE95" s="150">
        <f t="shared" si="313"/>
        <v>0.67336275597044126</v>
      </c>
      <c r="FF95" s="5">
        <f t="shared" si="314"/>
        <v>67.336275597044121</v>
      </c>
      <c r="FI95" s="59">
        <f t="shared" si="280"/>
        <v>-50</v>
      </c>
      <c r="FJ95">
        <f t="shared" si="281"/>
        <v>-50</v>
      </c>
      <c r="FL95">
        <f t="shared" si="282"/>
        <v>0.58436815193571956</v>
      </c>
    </row>
    <row r="96" spans="5:168">
      <c r="E96" s="147">
        <v>91</v>
      </c>
      <c r="F96" s="188">
        <f t="shared" si="283"/>
        <v>0.45500000000000002</v>
      </c>
      <c r="G96" s="188"/>
      <c r="H96" s="188">
        <f t="shared" si="183"/>
        <v>77.350000000000009</v>
      </c>
      <c r="I96" s="465">
        <f t="shared" si="184"/>
        <v>11.922988988264407</v>
      </c>
      <c r="J96" s="149">
        <f t="shared" si="185"/>
        <v>8.5428582665036323</v>
      </c>
      <c r="K96" s="149">
        <f t="shared" si="186"/>
        <v>20.542858266503632</v>
      </c>
      <c r="L96" s="379"/>
      <c r="M96" s="188">
        <f t="shared" si="187"/>
        <v>0.41741815856632569</v>
      </c>
      <c r="N96" s="149">
        <f t="shared" si="188"/>
        <v>166.49296158923414</v>
      </c>
      <c r="O96" s="149">
        <f t="shared" si="284"/>
        <v>77.350000000000009</v>
      </c>
      <c r="P96" s="188">
        <f t="shared" si="189"/>
        <v>0.97937036228961261</v>
      </c>
      <c r="Q96" s="188">
        <f t="shared" si="190"/>
        <v>170</v>
      </c>
      <c r="R96" s="188">
        <f t="shared" si="191"/>
        <v>0.9758572760956683</v>
      </c>
      <c r="S96" s="149">
        <f t="shared" si="192"/>
        <v>635.28173026597449</v>
      </c>
      <c r="T96" s="188">
        <f t="shared" si="193"/>
        <v>170</v>
      </c>
      <c r="U96" s="188">
        <f t="shared" si="194"/>
        <v>31.240245928729365</v>
      </c>
      <c r="V96" s="188">
        <f t="shared" si="195"/>
        <v>3.9302534741261526</v>
      </c>
      <c r="W96" s="188">
        <f t="shared" si="196"/>
        <v>5.4853267409144051</v>
      </c>
      <c r="X96" s="172">
        <f t="shared" si="197"/>
        <v>248.84482858655244</v>
      </c>
      <c r="Y96" s="379">
        <f t="shared" si="198"/>
        <v>103.99788443715688</v>
      </c>
      <c r="AA96" s="188">
        <f t="shared" si="199"/>
        <v>13.333333333333334</v>
      </c>
      <c r="AB96" s="150">
        <f t="shared" si="200"/>
        <v>2.3411368158148642</v>
      </c>
      <c r="AC96" s="150">
        <f t="shared" si="201"/>
        <v>0.19419326320970573</v>
      </c>
      <c r="AD96" s="150"/>
      <c r="AE96" s="150">
        <f t="shared" si="202"/>
        <v>2.3411368158148642</v>
      </c>
      <c r="AF96" s="314">
        <f t="shared" si="203"/>
        <v>583.05007668887265</v>
      </c>
      <c r="AG96" s="456">
        <f t="shared" si="204"/>
        <v>0.1941932632097057</v>
      </c>
      <c r="AI96" s="150">
        <f t="shared" si="205"/>
        <v>17.209079577521258</v>
      </c>
      <c r="AJ96" s="150">
        <f t="shared" si="206"/>
        <v>31.240245928729365</v>
      </c>
      <c r="AK96" s="150">
        <f t="shared" si="207"/>
        <v>14.464379700293355</v>
      </c>
      <c r="AM96" s="314">
        <f t="shared" si="208"/>
        <v>455</v>
      </c>
      <c r="AN96" s="144">
        <f t="shared" si="209"/>
        <v>103.99788443715688</v>
      </c>
      <c r="AP96">
        <f t="shared" si="210"/>
        <v>455</v>
      </c>
      <c r="AQ96">
        <f t="shared" si="211"/>
        <v>103.99788443715688</v>
      </c>
      <c r="AS96" s="5">
        <f t="shared" si="285"/>
        <v>9.6155802150405574</v>
      </c>
      <c r="AT96" s="5">
        <f t="shared" si="212"/>
        <v>3.9302534741261526</v>
      </c>
      <c r="AU96" s="5">
        <f t="shared" si="286"/>
        <v>5.6853267409144053</v>
      </c>
      <c r="AV96" s="5">
        <f t="shared" si="213"/>
        <v>5.4853267409144051</v>
      </c>
      <c r="AW96" s="150">
        <f t="shared" si="287"/>
        <v>0.40873804661090596</v>
      </c>
      <c r="AX96" s="150">
        <f t="shared" si="214"/>
        <v>76.122782806251223</v>
      </c>
      <c r="AY96" s="150">
        <f t="shared" si="215"/>
        <v>0.46177922080440548</v>
      </c>
      <c r="AZ96" s="150">
        <f t="shared" si="288"/>
        <v>164.84670460842224</v>
      </c>
      <c r="BA96" s="144">
        <f t="shared" si="216"/>
        <v>1.0519207827808232</v>
      </c>
      <c r="BB96" s="5">
        <f t="shared" si="217"/>
        <v>61.472284598347137</v>
      </c>
      <c r="BC96" s="5"/>
      <c r="BD96" s="150">
        <f t="shared" si="289"/>
        <v>11.531248975128785</v>
      </c>
      <c r="BE96" s="150">
        <f t="shared" si="218"/>
        <v>0.69344782122153081</v>
      </c>
      <c r="BF96" s="150"/>
      <c r="BG96" s="456">
        <f t="shared" si="219"/>
        <v>0.45209698994978936</v>
      </c>
      <c r="BH96" s="456">
        <f t="shared" si="220"/>
        <v>1.5984731158014107</v>
      </c>
      <c r="BI96" s="456">
        <f t="shared" si="221"/>
        <v>5.6790425897373327E-2</v>
      </c>
      <c r="BJ96" s="456">
        <f t="shared" si="222"/>
        <v>3.0063311436144623E-2</v>
      </c>
      <c r="BK96">
        <f t="shared" si="223"/>
        <v>5.3653450447189834E-3</v>
      </c>
      <c r="BL96" s="144">
        <f t="shared" si="290"/>
        <v>62.15577094209231</v>
      </c>
      <c r="BM96" s="456">
        <f t="shared" si="224"/>
        <v>2.4677847061864009</v>
      </c>
      <c r="BN96" s="144">
        <f t="shared" si="291"/>
        <v>2467.7847061864009</v>
      </c>
      <c r="BO96" s="456">
        <f t="shared" si="225"/>
        <v>1.00953125</v>
      </c>
      <c r="BP96" s="456"/>
      <c r="BR96" s="144">
        <f t="shared" si="292"/>
        <v>1009.53125</v>
      </c>
      <c r="BS96" s="456">
        <f t="shared" si="226"/>
        <v>0.19945455438961296</v>
      </c>
      <c r="BT96" s="456">
        <f t="shared" si="227"/>
        <v>9.6173976151377627E-2</v>
      </c>
      <c r="BU96" s="456">
        <f t="shared" si="228"/>
        <v>1.16025</v>
      </c>
      <c r="BV96" s="456">
        <f t="shared" si="229"/>
        <v>1.5638140211600233</v>
      </c>
      <c r="BW96" s="456">
        <f t="shared" si="230"/>
        <v>0.10149704374166831</v>
      </c>
      <c r="BX96" s="144">
        <f t="shared" si="293"/>
        <v>1665.3110649016915</v>
      </c>
      <c r="BY96" s="150">
        <f t="shared" si="231"/>
        <v>5.2047827920301852</v>
      </c>
      <c r="BZ96" s="5">
        <f t="shared" si="294"/>
        <v>77.350000000000009</v>
      </c>
      <c r="CA96" s="150">
        <f t="shared" si="295"/>
        <v>0.9369535886837479</v>
      </c>
      <c r="CB96" s="5">
        <f t="shared" si="296"/>
        <v>93.695358868374797</v>
      </c>
      <c r="CE96" s="59">
        <f t="shared" si="232"/>
        <v>-50</v>
      </c>
      <c r="CF96">
        <f t="shared" si="233"/>
        <v>-50</v>
      </c>
      <c r="CG96" s="150">
        <f t="shared" si="234"/>
        <v>0.57900810540047976</v>
      </c>
      <c r="CI96" s="147">
        <v>91</v>
      </c>
      <c r="CJ96" s="188">
        <f t="shared" si="297"/>
        <v>0.45500000000000002</v>
      </c>
      <c r="CK96" s="188"/>
      <c r="CL96" s="188">
        <f t="shared" si="235"/>
        <v>77.350000000000009</v>
      </c>
      <c r="CM96" s="465">
        <f t="shared" si="236"/>
        <v>12</v>
      </c>
      <c r="CN96" s="149">
        <f t="shared" si="237"/>
        <v>8.5350000000000001</v>
      </c>
      <c r="CO96" s="379">
        <f t="shared" si="238"/>
        <v>20.535</v>
      </c>
      <c r="CP96" s="379"/>
      <c r="CQ96" s="188">
        <f t="shared" si="239"/>
        <v>0.4156318480642805</v>
      </c>
      <c r="CR96" s="149">
        <f t="shared" si="240"/>
        <v>166.85124908692478</v>
      </c>
      <c r="CS96" s="149">
        <f t="shared" si="298"/>
        <v>77.350000000000009</v>
      </c>
      <c r="CT96" s="188">
        <f t="shared" si="241"/>
        <v>0.98147793580543985</v>
      </c>
      <c r="CU96" s="188">
        <f t="shared" si="242"/>
        <v>170</v>
      </c>
      <c r="CV96" s="188">
        <f t="shared" si="243"/>
        <v>0.97795728956301287</v>
      </c>
      <c r="CW96" s="149">
        <f t="shared" si="244"/>
        <v>639.38334494088201</v>
      </c>
      <c r="CX96" s="188">
        <f t="shared" si="245"/>
        <v>170</v>
      </c>
      <c r="CY96" s="188">
        <f t="shared" si="246"/>
        <v>31.017032806092562</v>
      </c>
      <c r="CZ96" s="188">
        <f t="shared" si="247"/>
        <v>3.8771291007615707</v>
      </c>
      <c r="DA96" s="188">
        <f t="shared" si="248"/>
        <v>5.4511481205786572</v>
      </c>
      <c r="DB96" s="172">
        <f t="shared" si="249"/>
        <v>249.37910883856827</v>
      </c>
      <c r="DC96" s="379">
        <f t="shared" si="299"/>
        <v>107.20093070479378</v>
      </c>
      <c r="DE96" s="188">
        <f t="shared" si="250"/>
        <v>13.333333333333334</v>
      </c>
      <c r="DF96" s="150">
        <f t="shared" si="251"/>
        <v>2.3432923257176337</v>
      </c>
      <c r="DG96" s="150">
        <f t="shared" si="252"/>
        <v>0.19478938397857323</v>
      </c>
      <c r="DH96" s="150"/>
      <c r="DI96" s="150">
        <f t="shared" si="253"/>
        <v>2.3432923257176337</v>
      </c>
      <c r="DJ96" s="314">
        <f t="shared" si="300"/>
        <v>582.51374999999985</v>
      </c>
      <c r="DK96" s="456">
        <f t="shared" si="254"/>
        <v>0.19478938397857321</v>
      </c>
      <c r="DM96" s="150">
        <f t="shared" si="255"/>
        <v>17.201162751395614</v>
      </c>
      <c r="DN96" s="150">
        <f t="shared" si="256"/>
        <v>31.017032806092562</v>
      </c>
      <c r="DO96" s="150">
        <f t="shared" si="257"/>
        <v>14.299036646488318</v>
      </c>
      <c r="DQ96" s="314">
        <f t="shared" si="258"/>
        <v>455</v>
      </c>
      <c r="DR96" s="144">
        <f t="shared" si="259"/>
        <v>107.20093070479378</v>
      </c>
      <c r="DT96">
        <f t="shared" si="260"/>
        <v>455</v>
      </c>
      <c r="DU96">
        <f t="shared" si="261"/>
        <v>107.20093070479378</v>
      </c>
      <c r="DW96" s="5">
        <f t="shared" si="301"/>
        <v>9.3282772213402279</v>
      </c>
      <c r="DX96" s="5">
        <f t="shared" si="262"/>
        <v>3.8771291007615707</v>
      </c>
      <c r="DY96" s="5">
        <f t="shared" si="302"/>
        <v>5.4511481205786572</v>
      </c>
      <c r="DZ96" s="5">
        <f t="shared" si="263"/>
        <v>5.4511481205786572</v>
      </c>
      <c r="EA96" s="150">
        <f t="shared" si="303"/>
        <v>0.41563184806428055</v>
      </c>
      <c r="EB96" s="150">
        <f t="shared" si="264"/>
        <v>77.350000000000023</v>
      </c>
      <c r="EC96" s="150">
        <f t="shared" si="265"/>
        <v>0.45313415348564734</v>
      </c>
      <c r="ED96" s="150">
        <f t="shared" si="304"/>
        <v>170.70000000000005</v>
      </c>
      <c r="EE96" s="144">
        <f t="shared" si="266"/>
        <v>1.0377022004979497</v>
      </c>
      <c r="EF96" s="5">
        <f t="shared" si="267"/>
        <v>58.561987100938758</v>
      </c>
      <c r="EG96" s="5"/>
      <c r="EH96" s="150">
        <f t="shared" si="305"/>
        <v>11.545002496393696</v>
      </c>
      <c r="EI96" s="150">
        <f t="shared" si="268"/>
        <v>0.68446760099182946</v>
      </c>
      <c r="EJ96" s="150"/>
      <c r="EK96" s="456">
        <f t="shared" si="269"/>
        <v>0.45317608098190465</v>
      </c>
      <c r="EL96" s="456">
        <f t="shared" si="270"/>
        <v>2.0757120000000002</v>
      </c>
      <c r="EM96" s="456">
        <f t="shared" si="271"/>
        <v>2.4549013131397776E-2</v>
      </c>
      <c r="EN96" s="456">
        <f t="shared" si="272"/>
        <v>3.0965531712992888E-2</v>
      </c>
      <c r="EO96">
        <f t="shared" si="273"/>
        <v>5.4000000000000003E-3</v>
      </c>
      <c r="EP96" s="144">
        <f t="shared" si="306"/>
        <v>29.949013131397777</v>
      </c>
      <c r="EQ96" s="456">
        <f t="shared" si="274"/>
        <v>3.039429651635996</v>
      </c>
      <c r="ER96" s="144">
        <f t="shared" si="307"/>
        <v>3039.4296516359959</v>
      </c>
      <c r="ES96" s="456">
        <f t="shared" si="308"/>
        <v>1.00953125</v>
      </c>
      <c r="ET96" s="456"/>
      <c r="EV96" s="144">
        <f t="shared" si="309"/>
        <v>1009.53125</v>
      </c>
      <c r="EW96" s="456">
        <f t="shared" si="275"/>
        <v>0.19993062396260503</v>
      </c>
      <c r="EX96" s="456">
        <f t="shared" si="276"/>
        <v>9.3699179361502058E-2</v>
      </c>
      <c r="EY96" s="456">
        <f t="shared" si="277"/>
        <v>31.876234821662486</v>
      </c>
      <c r="EZ96" s="456">
        <f t="shared" si="278"/>
        <v>33.015891762159818</v>
      </c>
      <c r="FA96" s="456">
        <f t="shared" si="279"/>
        <v>0.10313333333333335</v>
      </c>
      <c r="FB96" s="144">
        <f t="shared" si="310"/>
        <v>33119.025095493147</v>
      </c>
      <c r="FC96" s="150">
        <f t="shared" si="311"/>
        <v>37.167985997129144</v>
      </c>
      <c r="FD96" s="5">
        <f t="shared" si="312"/>
        <v>77.350000000000009</v>
      </c>
      <c r="FE96" s="150">
        <f t="shared" si="313"/>
        <v>0.675439751463487</v>
      </c>
      <c r="FF96" s="5">
        <f t="shared" si="314"/>
        <v>67.5439751463487</v>
      </c>
      <c r="FI96" s="59">
        <f t="shared" si="280"/>
        <v>-50</v>
      </c>
      <c r="FJ96">
        <f t="shared" si="281"/>
        <v>-50</v>
      </c>
      <c r="FL96">
        <f t="shared" si="282"/>
        <v>0.58436815193571945</v>
      </c>
    </row>
    <row r="97" spans="5:168">
      <c r="E97" s="147">
        <v>92</v>
      </c>
      <c r="F97" s="188">
        <f t="shared" si="283"/>
        <v>0.46</v>
      </c>
      <c r="G97" s="188"/>
      <c r="H97" s="188">
        <f t="shared" si="183"/>
        <v>78.2</v>
      </c>
      <c r="I97" s="465">
        <f t="shared" si="184"/>
        <v>11.922150546834558</v>
      </c>
      <c r="J97" s="149">
        <f t="shared" si="185"/>
        <v>8.5429438217515763</v>
      </c>
      <c r="K97" s="149">
        <f t="shared" si="186"/>
        <v>20.542943821751578</v>
      </c>
      <c r="L97" s="379"/>
      <c r="M97" s="188">
        <f t="shared" si="187"/>
        <v>0.41743769569805816</v>
      </c>
      <c r="N97" s="149">
        <f t="shared" si="188"/>
        <v>166.48904567410972</v>
      </c>
      <c r="O97" s="149">
        <f t="shared" si="284"/>
        <v>78.2</v>
      </c>
      <c r="P97" s="188">
        <f t="shared" si="189"/>
        <v>0.97934732749476305</v>
      </c>
      <c r="Q97" s="188">
        <f t="shared" si="190"/>
        <v>170</v>
      </c>
      <c r="R97" s="188">
        <f t="shared" si="191"/>
        <v>0.97583432392862013</v>
      </c>
      <c r="S97" s="149">
        <f t="shared" si="192"/>
        <v>625.74738088243771</v>
      </c>
      <c r="T97" s="460">
        <f t="shared" si="193"/>
        <v>170</v>
      </c>
      <c r="U97" s="188">
        <f t="shared" si="194"/>
        <v>31.584604537789122</v>
      </c>
      <c r="V97" s="188">
        <f t="shared" si="195"/>
        <v>3.973855775480263</v>
      </c>
      <c r="W97" s="188">
        <f t="shared" si="196"/>
        <v>5.5457354976460449</v>
      </c>
      <c r="X97" s="172">
        <f t="shared" si="197"/>
        <v>248.83897557885766</v>
      </c>
      <c r="Y97" s="379">
        <f t="shared" si="198"/>
        <v>102.88498475907105</v>
      </c>
      <c r="AA97" s="188">
        <f t="shared" si="199"/>
        <v>13.333333333333334</v>
      </c>
      <c r="AB97" s="150">
        <f t="shared" si="200"/>
        <v>2.3411133699693885</v>
      </c>
      <c r="AC97" s="150">
        <f t="shared" si="201"/>
        <v>0.19418675089904996</v>
      </c>
      <c r="AD97" s="150"/>
      <c r="AE97" s="150">
        <f t="shared" si="202"/>
        <v>2.3411133699693885</v>
      </c>
      <c r="AF97" s="314">
        <f t="shared" si="203"/>
        <v>589.46312370085866</v>
      </c>
      <c r="AG97" s="456">
        <f t="shared" si="204"/>
        <v>0.19418675089904996</v>
      </c>
      <c r="AI97" s="150">
        <f t="shared" si="205"/>
        <v>17.303463254792664</v>
      </c>
      <c r="AJ97" s="150">
        <f t="shared" si="206"/>
        <v>31.584604537789122</v>
      </c>
      <c r="AK97" s="150">
        <f t="shared" si="207"/>
        <v>14.719460151448732</v>
      </c>
      <c r="AM97" s="314">
        <f t="shared" si="208"/>
        <v>460</v>
      </c>
      <c r="AN97" s="144">
        <f t="shared" si="209"/>
        <v>102.88498475907105</v>
      </c>
      <c r="AP97">
        <f t="shared" si="210"/>
        <v>460</v>
      </c>
      <c r="AQ97">
        <f t="shared" si="211"/>
        <v>102.88498475907105</v>
      </c>
      <c r="AS97" s="5">
        <f t="shared" si="285"/>
        <v>9.7195912731263068</v>
      </c>
      <c r="AT97" s="5">
        <f t="shared" si="212"/>
        <v>3.973855775480263</v>
      </c>
      <c r="AU97" s="5">
        <f t="shared" si="286"/>
        <v>5.7457354976460433</v>
      </c>
      <c r="AV97" s="5">
        <f t="shared" si="213"/>
        <v>5.5457354976460449</v>
      </c>
      <c r="AW97" s="150">
        <f t="shared" si="287"/>
        <v>0.40885009089503332</v>
      </c>
      <c r="AX97" s="150">
        <f t="shared" si="214"/>
        <v>76.977561281313172</v>
      </c>
      <c r="AY97" s="150">
        <f t="shared" si="215"/>
        <v>0.46678090254075899</v>
      </c>
      <c r="AZ97" s="150">
        <f t="shared" si="288"/>
        <v>164.91154814242114</v>
      </c>
      <c r="BA97" s="144">
        <f t="shared" si="216"/>
        <v>1.0752786216005417</v>
      </c>
      <c r="BB97" s="5">
        <f t="shared" si="217"/>
        <v>62.812565310098108</v>
      </c>
      <c r="BC97" s="5"/>
      <c r="BD97" s="150">
        <f t="shared" si="289"/>
        <v>11.659954764161007</v>
      </c>
      <c r="BE97" s="150">
        <f t="shared" si="218"/>
        <v>0.70102520669236423</v>
      </c>
      <c r="BF97" s="150"/>
      <c r="BG97" s="456">
        <f t="shared" si="219"/>
        <v>0.4622454533477553</v>
      </c>
      <c r="BH97" s="456">
        <f t="shared" si="220"/>
        <v>1.5988055140530666</v>
      </c>
      <c r="BI97" s="456">
        <f t="shared" si="221"/>
        <v>5.6178750700634224E-2</v>
      </c>
      <c r="BJ97" s="456">
        <f t="shared" si="222"/>
        <v>2.9741846376901422E-2</v>
      </c>
      <c r="BK97">
        <f t="shared" si="223"/>
        <v>5.3649677460755512E-3</v>
      </c>
      <c r="BL97" s="144">
        <f t="shared" si="290"/>
        <v>61.543718446709775</v>
      </c>
      <c r="BM97" s="456">
        <f t="shared" si="224"/>
        <v>2.4889604129237419</v>
      </c>
      <c r="BN97" s="144">
        <f t="shared" si="291"/>
        <v>2488.9604129237418</v>
      </c>
      <c r="BO97" s="456">
        <f t="shared" si="225"/>
        <v>1.0206250000000001</v>
      </c>
      <c r="BP97" s="456"/>
      <c r="BR97" s="144">
        <f t="shared" si="292"/>
        <v>1020.6250000000001</v>
      </c>
      <c r="BS97" s="456">
        <f t="shared" si="226"/>
        <v>0.20393181765342147</v>
      </c>
      <c r="BT97" s="456">
        <f t="shared" si="227"/>
        <v>9.8287268083614404E-2</v>
      </c>
      <c r="BU97" s="456">
        <f t="shared" si="228"/>
        <v>1.173</v>
      </c>
      <c r="BV97" s="456">
        <f t="shared" si="229"/>
        <v>1.5860996327866141</v>
      </c>
      <c r="BW97" s="456">
        <f t="shared" si="230"/>
        <v>0.10263674837508423</v>
      </c>
      <c r="BX97" s="144">
        <f t="shared" si="293"/>
        <v>1688.7363811616985</v>
      </c>
      <c r="BY97" s="150">
        <f t="shared" si="231"/>
        <v>5.2598655125321496</v>
      </c>
      <c r="BZ97" s="5">
        <f t="shared" si="294"/>
        <v>78.2</v>
      </c>
      <c r="CA97" s="150">
        <f t="shared" si="295"/>
        <v>0.93697730663438061</v>
      </c>
      <c r="CB97" s="5">
        <f t="shared" si="296"/>
        <v>93.697730663438065</v>
      </c>
      <c r="CE97" s="59">
        <f t="shared" si="232"/>
        <v>-50</v>
      </c>
      <c r="CF97">
        <f t="shared" si="233"/>
        <v>-50</v>
      </c>
      <c r="CG97" s="150">
        <f t="shared" si="234"/>
        <v>0.57906636677586287</v>
      </c>
      <c r="CI97" s="147">
        <v>92</v>
      </c>
      <c r="CJ97" s="188">
        <f t="shared" si="297"/>
        <v>0.46</v>
      </c>
      <c r="CK97" s="188"/>
      <c r="CL97" s="188">
        <f t="shared" si="235"/>
        <v>78.2</v>
      </c>
      <c r="CM97" s="465">
        <f t="shared" si="236"/>
        <v>12</v>
      </c>
      <c r="CN97" s="149">
        <f t="shared" si="237"/>
        <v>8.5350000000000001</v>
      </c>
      <c r="CO97" s="379">
        <f t="shared" si="238"/>
        <v>20.535</v>
      </c>
      <c r="CP97" s="379"/>
      <c r="CQ97" s="188">
        <f t="shared" si="239"/>
        <v>0.4156318480642805</v>
      </c>
      <c r="CR97" s="149">
        <f t="shared" si="240"/>
        <v>166.85124908692478</v>
      </c>
      <c r="CS97" s="149">
        <f t="shared" si="298"/>
        <v>78.2</v>
      </c>
      <c r="CT97" s="188">
        <f t="shared" si="241"/>
        <v>0.98147793580543985</v>
      </c>
      <c r="CU97" s="188">
        <f t="shared" si="242"/>
        <v>170</v>
      </c>
      <c r="CV97" s="188">
        <f t="shared" si="243"/>
        <v>0.97795728956301287</v>
      </c>
      <c r="CW97" s="149">
        <f t="shared" si="244"/>
        <v>629.83165920678982</v>
      </c>
      <c r="CX97" s="460">
        <f t="shared" si="245"/>
        <v>170</v>
      </c>
      <c r="CY97" s="188">
        <f t="shared" si="246"/>
        <v>31.357879320445225</v>
      </c>
      <c r="CZ97" s="188">
        <f t="shared" si="247"/>
        <v>3.9197349150556531</v>
      </c>
      <c r="DA97" s="188">
        <f t="shared" si="248"/>
        <v>5.5110508471784225</v>
      </c>
      <c r="DB97" s="172">
        <f t="shared" si="249"/>
        <v>249.37910883856827</v>
      </c>
      <c r="DC97" s="379">
        <f t="shared" si="299"/>
        <v>106.03570319713299</v>
      </c>
      <c r="DE97" s="188">
        <f t="shared" si="250"/>
        <v>13.333333333333334</v>
      </c>
      <c r="DF97" s="150">
        <f t="shared" si="251"/>
        <v>2.3432923257176337</v>
      </c>
      <c r="DG97" s="150">
        <f t="shared" si="252"/>
        <v>0.19478938397857323</v>
      </c>
      <c r="DH97" s="150"/>
      <c r="DI97" s="150">
        <f t="shared" si="253"/>
        <v>2.3432923257176337</v>
      </c>
      <c r="DJ97" s="314">
        <f t="shared" si="300"/>
        <v>588.91499999999985</v>
      </c>
      <c r="DK97" s="456">
        <f t="shared" si="254"/>
        <v>0.19478938397857321</v>
      </c>
      <c r="DM97" s="150">
        <f t="shared" si="255"/>
        <v>17.29541640352809</v>
      </c>
      <c r="DN97" s="150">
        <f t="shared" si="256"/>
        <v>31.357879320445225</v>
      </c>
      <c r="DO97" s="150">
        <f t="shared" si="257"/>
        <v>14.55151554600881</v>
      </c>
      <c r="DQ97" s="314">
        <f t="shared" si="258"/>
        <v>460</v>
      </c>
      <c r="DR97" s="144">
        <f t="shared" si="259"/>
        <v>106.03570319713299</v>
      </c>
      <c r="DT97">
        <f t="shared" si="260"/>
        <v>460</v>
      </c>
      <c r="DU97">
        <f t="shared" si="261"/>
        <v>106.03570319713299</v>
      </c>
      <c r="DW97" s="5">
        <f t="shared" si="301"/>
        <v>9.4307857622340752</v>
      </c>
      <c r="DX97" s="5">
        <f t="shared" si="262"/>
        <v>3.9197349150556531</v>
      </c>
      <c r="DY97" s="5">
        <f t="shared" si="302"/>
        <v>5.5110508471784225</v>
      </c>
      <c r="DZ97" s="5">
        <f t="shared" si="263"/>
        <v>5.5110508471784225</v>
      </c>
      <c r="EA97" s="150">
        <f t="shared" si="303"/>
        <v>0.4156318480642805</v>
      </c>
      <c r="EB97" s="150">
        <f t="shared" si="264"/>
        <v>78.2</v>
      </c>
      <c r="EC97" s="150">
        <f t="shared" si="265"/>
        <v>0.45811364967779733</v>
      </c>
      <c r="ED97" s="150">
        <f t="shared" si="304"/>
        <v>170.7</v>
      </c>
      <c r="EE97" s="144">
        <f t="shared" si="266"/>
        <v>1.0606341534856474</v>
      </c>
      <c r="EF97" s="5">
        <f t="shared" si="267"/>
        <v>59.856135590187854</v>
      </c>
      <c r="EG97" s="5"/>
      <c r="EH97" s="150">
        <f t="shared" si="305"/>
        <v>11.671870655694724</v>
      </c>
      <c r="EI97" s="150">
        <f t="shared" si="268"/>
        <v>0.69198922298075061</v>
      </c>
      <c r="EJ97" s="150"/>
      <c r="EK97" s="456">
        <f t="shared" si="269"/>
        <v>0.46319071965110975</v>
      </c>
      <c r="EL97" s="456">
        <f t="shared" si="270"/>
        <v>2.0757120000000002</v>
      </c>
      <c r="EM97" s="456">
        <f t="shared" si="271"/>
        <v>2.4282176032143454E-2</v>
      </c>
      <c r="EN97" s="456">
        <f t="shared" si="272"/>
        <v>3.0628949846547314E-2</v>
      </c>
      <c r="EO97">
        <f t="shared" si="273"/>
        <v>5.4000000000000003E-3</v>
      </c>
      <c r="EP97" s="144">
        <f t="shared" si="306"/>
        <v>29.682176032143452</v>
      </c>
      <c r="EQ97" s="456">
        <f t="shared" si="274"/>
        <v>3.061169657301404</v>
      </c>
      <c r="ER97" s="144">
        <f t="shared" si="307"/>
        <v>3061.1696573014042</v>
      </c>
      <c r="ES97" s="456">
        <f t="shared" si="308"/>
        <v>1.0206250000000001</v>
      </c>
      <c r="ET97" s="456"/>
      <c r="EV97" s="144">
        <f t="shared" si="309"/>
        <v>1020.6250000000001</v>
      </c>
      <c r="EW97" s="456">
        <f t="shared" si="275"/>
        <v>0.20434884690490138</v>
      </c>
      <c r="EX97" s="456">
        <f t="shared" si="276"/>
        <v>9.5769816944300604E-2</v>
      </c>
      <c r="EY97" s="456">
        <f t="shared" si="277"/>
        <v>31.876234821662429</v>
      </c>
      <c r="EZ97" s="456">
        <f t="shared" si="278"/>
        <v>33.041696345517664</v>
      </c>
      <c r="FA97" s="456">
        <f t="shared" si="279"/>
        <v>0.10426666666666667</v>
      </c>
      <c r="FB97" s="144">
        <f t="shared" si="310"/>
        <v>33145.963012184329</v>
      </c>
      <c r="FC97" s="150">
        <f t="shared" si="311"/>
        <v>37.227757669485733</v>
      </c>
      <c r="FD97" s="5">
        <f t="shared" si="312"/>
        <v>78.2</v>
      </c>
      <c r="FE97" s="150">
        <f t="shared" si="313"/>
        <v>0.67748002368647586</v>
      </c>
      <c r="FF97" s="5">
        <f t="shared" si="314"/>
        <v>67.74800236864759</v>
      </c>
      <c r="FI97" s="59">
        <f t="shared" si="280"/>
        <v>-50</v>
      </c>
      <c r="FJ97">
        <f t="shared" si="281"/>
        <v>-50</v>
      </c>
      <c r="FL97">
        <f t="shared" si="282"/>
        <v>0.58436815193571956</v>
      </c>
    </row>
    <row r="98" spans="5:168">
      <c r="E98" s="147">
        <v>93</v>
      </c>
      <c r="F98" s="188">
        <f t="shared" si="283"/>
        <v>0.46500000000000002</v>
      </c>
      <c r="G98" s="188"/>
      <c r="H98" s="188">
        <f t="shared" si="183"/>
        <v>79.05</v>
      </c>
      <c r="I98" s="465">
        <f t="shared" si="184"/>
        <v>11.921312103862478</v>
      </c>
      <c r="J98" s="149">
        <f t="shared" si="185"/>
        <v>8.5430293771568895</v>
      </c>
      <c r="K98" s="149">
        <f t="shared" si="186"/>
        <v>20.543029377156891</v>
      </c>
      <c r="L98" s="379"/>
      <c r="M98" s="188">
        <f t="shared" si="187"/>
        <v>0.41745723429879028</v>
      </c>
      <c r="N98" s="149">
        <f t="shared" si="188"/>
        <v>166.48512922731504</v>
      </c>
      <c r="O98" s="149">
        <f t="shared" si="284"/>
        <v>79.05</v>
      </c>
      <c r="P98" s="188">
        <f t="shared" si="189"/>
        <v>0.97932428957244144</v>
      </c>
      <c r="Q98" s="188">
        <f t="shared" si="190"/>
        <v>170</v>
      </c>
      <c r="R98" s="188">
        <f t="shared" si="191"/>
        <v>0.97581136864531848</v>
      </c>
      <c r="S98" s="149">
        <f t="shared" si="192"/>
        <v>616.41855011034363</v>
      </c>
      <c r="T98" s="460">
        <f t="shared" si="193"/>
        <v>170</v>
      </c>
      <c r="U98" s="188">
        <f t="shared" si="194"/>
        <v>31.928986325340571</v>
      </c>
      <c r="V98" s="188">
        <f t="shared" si="195"/>
        <v>4.0174671270030311</v>
      </c>
      <c r="W98" s="188">
        <f t="shared" si="196"/>
        <v>5.6061471140521526</v>
      </c>
      <c r="X98" s="172">
        <f t="shared" si="197"/>
        <v>248.83312177920155</v>
      </c>
      <c r="Y98" s="379">
        <f t="shared" si="198"/>
        <v>101.79552814897455</v>
      </c>
      <c r="AA98" s="188">
        <f t="shared" si="199"/>
        <v>13.333333333333334</v>
      </c>
      <c r="AB98" s="150">
        <f t="shared" si="200"/>
        <v>2.3410899245503916</v>
      </c>
      <c r="AC98" s="150">
        <f t="shared" si="201"/>
        <v>0.1941802380972365</v>
      </c>
      <c r="AD98" s="150"/>
      <c r="AE98" s="150">
        <f t="shared" si="202"/>
        <v>2.3410899245503916</v>
      </c>
      <c r="AF98" s="314">
        <f t="shared" si="203"/>
        <v>595.87629905669291</v>
      </c>
      <c r="AG98" s="456">
        <f t="shared" si="204"/>
        <v>0.1941802380972365</v>
      </c>
      <c r="AI98" s="150">
        <f t="shared" si="205"/>
        <v>17.397336764717377</v>
      </c>
      <c r="AJ98" s="150">
        <f t="shared" si="206"/>
        <v>31.928986325340571</v>
      </c>
      <c r="AK98" s="150">
        <f t="shared" si="207"/>
        <v>14.974557771857212</v>
      </c>
      <c r="AM98" s="314">
        <f t="shared" si="208"/>
        <v>465</v>
      </c>
      <c r="AN98" s="144">
        <f t="shared" si="209"/>
        <v>101.79552814897455</v>
      </c>
      <c r="AP98">
        <f t="shared" si="210"/>
        <v>465</v>
      </c>
      <c r="AQ98">
        <f t="shared" si="211"/>
        <v>101.79552814897455</v>
      </c>
      <c r="AS98" s="5">
        <f t="shared" si="285"/>
        <v>9.8236142410551803</v>
      </c>
      <c r="AT98" s="5">
        <f t="shared" si="212"/>
        <v>4.0174671270030311</v>
      </c>
      <c r="AU98" s="5">
        <f t="shared" si="286"/>
        <v>5.8061471140521492</v>
      </c>
      <c r="AV98" s="5">
        <f t="shared" si="213"/>
        <v>5.6061471140521526</v>
      </c>
      <c r="AW98" s="150">
        <f t="shared" si="287"/>
        <v>0.40896018801441703</v>
      </c>
      <c r="AX98" s="150">
        <f t="shared" si="214"/>
        <v>77.832364653267533</v>
      </c>
      <c r="AY98" s="150">
        <f t="shared" si="215"/>
        <v>0.47178255186548851</v>
      </c>
      <c r="AZ98" s="150">
        <f t="shared" si="288"/>
        <v>164.97508088314927</v>
      </c>
      <c r="BA98" s="144">
        <f t="shared" si="216"/>
        <v>1.0988954200331822</v>
      </c>
      <c r="BB98" s="5">
        <f t="shared" si="217"/>
        <v>64.167423485920239</v>
      </c>
      <c r="BC98" s="5"/>
      <c r="BD98" s="150">
        <f t="shared" si="289"/>
        <v>11.78867566610554</v>
      </c>
      <c r="BE98" s="150">
        <f t="shared" si="218"/>
        <v>0.70860281886370036</v>
      </c>
      <c r="BF98" s="150"/>
      <c r="BG98" s="456">
        <f t="shared" si="219"/>
        <v>0.47250777146613826</v>
      </c>
      <c r="BH98" s="456">
        <f t="shared" si="220"/>
        <v>1.5991302393255316</v>
      </c>
      <c r="BI98" s="456">
        <f t="shared" si="221"/>
        <v>5.5579960792338137E-2</v>
      </c>
      <c r="BJ98" s="456">
        <f t="shared" si="222"/>
        <v>2.9427152905242726E-2</v>
      </c>
      <c r="BK98">
        <f t="shared" si="223"/>
        <v>5.3645904467381151E-3</v>
      </c>
      <c r="BL98" s="144">
        <f t="shared" si="290"/>
        <v>60.944551239076254</v>
      </c>
      <c r="BM98" s="456">
        <f t="shared" si="224"/>
        <v>2.5104895133142882</v>
      </c>
      <c r="BN98" s="144">
        <f t="shared" si="291"/>
        <v>2510.4895133142882</v>
      </c>
      <c r="BO98" s="456">
        <f t="shared" si="225"/>
        <v>1.03171875</v>
      </c>
      <c r="BP98" s="456"/>
      <c r="BR98" s="144">
        <f t="shared" si="292"/>
        <v>1031.71875</v>
      </c>
      <c r="BS98" s="456">
        <f t="shared" si="226"/>
        <v>0.20845931094094336</v>
      </c>
      <c r="BT98" s="456">
        <f t="shared" si="227"/>
        <v>0.10042359098031645</v>
      </c>
      <c r="BU98" s="456">
        <f t="shared" si="228"/>
        <v>1.1857499999999999</v>
      </c>
      <c r="BV98" s="456">
        <f t="shared" si="229"/>
        <v>1.6085121504468114</v>
      </c>
      <c r="BW98" s="456">
        <f t="shared" si="230"/>
        <v>0.10377648620435673</v>
      </c>
      <c r="BX98" s="144">
        <f t="shared" si="293"/>
        <v>1712.288636651168</v>
      </c>
      <c r="BY98" s="150">
        <f t="shared" si="231"/>
        <v>5.3154414512045323</v>
      </c>
      <c r="BZ98" s="5">
        <f t="shared" si="294"/>
        <v>79.05</v>
      </c>
      <c r="CA98" s="150">
        <f t="shared" si="295"/>
        <v>0.93699503778121174</v>
      </c>
      <c r="CB98" s="5">
        <f t="shared" si="296"/>
        <v>93.699503778121169</v>
      </c>
      <c r="CE98" s="59">
        <f t="shared" si="232"/>
        <v>-50</v>
      </c>
      <c r="CF98">
        <f t="shared" si="233"/>
        <v>-50</v>
      </c>
      <c r="CG98" s="150">
        <f t="shared" si="234"/>
        <v>0.57912337521844204</v>
      </c>
      <c r="CI98" s="147">
        <v>93</v>
      </c>
      <c r="CJ98" s="188">
        <f t="shared" si="297"/>
        <v>0.46500000000000002</v>
      </c>
      <c r="CK98" s="188"/>
      <c r="CL98" s="188">
        <f t="shared" si="235"/>
        <v>79.05</v>
      </c>
      <c r="CM98" s="465">
        <f t="shared" si="236"/>
        <v>12</v>
      </c>
      <c r="CN98" s="149">
        <f t="shared" si="237"/>
        <v>8.5350000000000001</v>
      </c>
      <c r="CO98" s="379">
        <f t="shared" si="238"/>
        <v>20.535</v>
      </c>
      <c r="CP98" s="379"/>
      <c r="CQ98" s="188">
        <f t="shared" si="239"/>
        <v>0.4156318480642805</v>
      </c>
      <c r="CR98" s="149">
        <f t="shared" si="240"/>
        <v>166.85124908692478</v>
      </c>
      <c r="CS98" s="149">
        <f t="shared" si="298"/>
        <v>79.05</v>
      </c>
      <c r="CT98" s="188">
        <f t="shared" si="241"/>
        <v>0.98147793580543985</v>
      </c>
      <c r="CU98" s="188">
        <f t="shared" si="242"/>
        <v>170</v>
      </c>
      <c r="CV98" s="188">
        <f t="shared" si="243"/>
        <v>0.97795728956301287</v>
      </c>
      <c r="CW98" s="149">
        <f t="shared" si="244"/>
        <v>620.48550437572442</v>
      </c>
      <c r="CX98" s="460">
        <f t="shared" si="245"/>
        <v>170</v>
      </c>
      <c r="CY98" s="188">
        <f t="shared" si="246"/>
        <v>31.698725834797887</v>
      </c>
      <c r="CZ98" s="188">
        <f t="shared" si="247"/>
        <v>3.9623407293497364</v>
      </c>
      <c r="DA98" s="188">
        <f t="shared" si="248"/>
        <v>5.5709535737781879</v>
      </c>
      <c r="DB98" s="172">
        <f t="shared" si="249"/>
        <v>249.37910883856827</v>
      </c>
      <c r="DC98" s="379">
        <f t="shared" si="299"/>
        <v>104.8955343455509</v>
      </c>
      <c r="DE98" s="188">
        <f t="shared" si="250"/>
        <v>13.333333333333334</v>
      </c>
      <c r="DF98" s="150">
        <f t="shared" si="251"/>
        <v>2.3432923257176337</v>
      </c>
      <c r="DG98" s="150">
        <f t="shared" si="252"/>
        <v>0.19478938397857323</v>
      </c>
      <c r="DH98" s="150"/>
      <c r="DI98" s="150">
        <f t="shared" si="253"/>
        <v>2.3432923257176337</v>
      </c>
      <c r="DJ98" s="314">
        <f t="shared" si="300"/>
        <v>595.31624999999985</v>
      </c>
      <c r="DK98" s="456">
        <f t="shared" si="254"/>
        <v>0.19478938397857321</v>
      </c>
      <c r="DM98" s="150">
        <f t="shared" si="255"/>
        <v>17.389159184470568</v>
      </c>
      <c r="DN98" s="150">
        <f t="shared" si="256"/>
        <v>31.698725834797887</v>
      </c>
      <c r="DO98" s="150">
        <f t="shared" si="257"/>
        <v>14.803994445529298</v>
      </c>
      <c r="DQ98" s="314">
        <f t="shared" si="258"/>
        <v>465</v>
      </c>
      <c r="DR98" s="144">
        <f t="shared" si="259"/>
        <v>104.8955343455509</v>
      </c>
      <c r="DT98">
        <f t="shared" si="260"/>
        <v>465</v>
      </c>
      <c r="DU98">
        <f t="shared" si="261"/>
        <v>104.8955343455509</v>
      </c>
      <c r="DW98" s="5">
        <f t="shared" si="301"/>
        <v>9.5332943031279243</v>
      </c>
      <c r="DX98" s="5">
        <f t="shared" si="262"/>
        <v>3.9623407293497364</v>
      </c>
      <c r="DY98" s="5">
        <f t="shared" si="302"/>
        <v>5.5709535737781879</v>
      </c>
      <c r="DZ98" s="5">
        <f t="shared" si="263"/>
        <v>5.5709535737781879</v>
      </c>
      <c r="EA98" s="150">
        <f t="shared" si="303"/>
        <v>0.4156318480642805</v>
      </c>
      <c r="EB98" s="150">
        <f t="shared" si="264"/>
        <v>79.049999999999983</v>
      </c>
      <c r="EC98" s="150">
        <f t="shared" si="265"/>
        <v>0.46309314586994726</v>
      </c>
      <c r="ED98" s="150">
        <f t="shared" si="304"/>
        <v>170.69999999999996</v>
      </c>
      <c r="EE98" s="144">
        <f t="shared" si="266"/>
        <v>1.0838167289103691</v>
      </c>
      <c r="EF98" s="5">
        <f t="shared" si="267"/>
        <v>61.16442777877301</v>
      </c>
      <c r="EG98" s="5"/>
      <c r="EH98" s="150">
        <f t="shared" si="305"/>
        <v>11.798738814995753</v>
      </c>
      <c r="EI98" s="150">
        <f t="shared" si="268"/>
        <v>0.69951084496967175</v>
      </c>
      <c r="EJ98" s="150"/>
      <c r="EK98" s="456">
        <f t="shared" si="269"/>
        <v>0.47331480792325703</v>
      </c>
      <c r="EL98" s="456">
        <f t="shared" si="270"/>
        <v>2.0757119999999998</v>
      </c>
      <c r="EM98" s="456">
        <f t="shared" si="271"/>
        <v>2.4021077365131156E-2</v>
      </c>
      <c r="EN98" s="456">
        <f t="shared" si="272"/>
        <v>3.0299606299810242E-2</v>
      </c>
      <c r="EO98">
        <f t="shared" si="273"/>
        <v>5.4000000000000003E-3</v>
      </c>
      <c r="EP98" s="144">
        <f t="shared" si="306"/>
        <v>29.421077365131158</v>
      </c>
      <c r="EQ98" s="456">
        <f t="shared" si="274"/>
        <v>3.0832877970161094</v>
      </c>
      <c r="ER98" s="144">
        <f t="shared" si="307"/>
        <v>3083.2877970161094</v>
      </c>
      <c r="ES98" s="456">
        <f t="shared" si="308"/>
        <v>1.03171875</v>
      </c>
      <c r="ET98" s="456"/>
      <c r="EV98" s="144">
        <f t="shared" si="309"/>
        <v>1031.71875</v>
      </c>
      <c r="EW98" s="456">
        <f t="shared" si="275"/>
        <v>0.20881535643673108</v>
      </c>
      <c r="EX98" s="456">
        <f t="shared" si="276"/>
        <v>9.7863084446036835E-2</v>
      </c>
      <c r="EY98" s="456">
        <f t="shared" si="277"/>
        <v>31.876234821662486</v>
      </c>
      <c r="EZ98" s="456">
        <f t="shared" si="278"/>
        <v>33.067810862658426</v>
      </c>
      <c r="FA98" s="456">
        <f t="shared" si="279"/>
        <v>0.10539999999999998</v>
      </c>
      <c r="FB98" s="144">
        <f t="shared" si="310"/>
        <v>33173.21086265843</v>
      </c>
      <c r="FC98" s="150">
        <f t="shared" si="311"/>
        <v>37.288217409674537</v>
      </c>
      <c r="FD98" s="5">
        <f t="shared" si="312"/>
        <v>79.05</v>
      </c>
      <c r="FE98" s="150">
        <f t="shared" si="313"/>
        <v>0.6794843668751821</v>
      </c>
      <c r="FF98" s="5">
        <f t="shared" si="314"/>
        <v>67.94843668751821</v>
      </c>
      <c r="FI98" s="59">
        <f t="shared" si="280"/>
        <v>-50</v>
      </c>
      <c r="FJ98">
        <f t="shared" si="281"/>
        <v>-50</v>
      </c>
      <c r="FL98">
        <f t="shared" si="282"/>
        <v>0.58436815193571956</v>
      </c>
    </row>
    <row r="99" spans="5:168">
      <c r="E99" s="147">
        <v>94</v>
      </c>
      <c r="F99" s="188">
        <f t="shared" si="283"/>
        <v>0.47</v>
      </c>
      <c r="G99" s="188"/>
      <c r="H99" s="188">
        <f t="shared" si="183"/>
        <v>79.899999999999991</v>
      </c>
      <c r="I99" s="465">
        <f t="shared" si="184"/>
        <v>11.920473659397826</v>
      </c>
      <c r="J99" s="149">
        <f t="shared" si="185"/>
        <v>8.5431149327145075</v>
      </c>
      <c r="K99" s="149">
        <f t="shared" si="186"/>
        <v>20.543114932714509</v>
      </c>
      <c r="L99" s="379"/>
      <c r="M99" s="188">
        <f t="shared" si="187"/>
        <v>0.41747677436767555</v>
      </c>
      <c r="N99" s="149">
        <f t="shared" si="188"/>
        <v>166.48121224907942</v>
      </c>
      <c r="O99" s="149">
        <f t="shared" si="284"/>
        <v>79.899999999999991</v>
      </c>
      <c r="P99" s="188">
        <f t="shared" si="189"/>
        <v>0.97930124852399658</v>
      </c>
      <c r="Q99" s="188">
        <f t="shared" si="190"/>
        <v>170</v>
      </c>
      <c r="R99" s="188">
        <f t="shared" si="191"/>
        <v>0.97578841024710716</v>
      </c>
      <c r="S99" s="149">
        <f t="shared" si="192"/>
        <v>607.28868030039416</v>
      </c>
      <c r="T99" s="460">
        <f t="shared" si="193"/>
        <v>170</v>
      </c>
      <c r="U99" s="188">
        <f t="shared" si="194"/>
        <v>32.27339129627449</v>
      </c>
      <c r="V99" s="188">
        <f t="shared" si="195"/>
        <v>4.0610875312195622</v>
      </c>
      <c r="W99" s="188">
        <f t="shared" si="196"/>
        <v>5.6665615909055571</v>
      </c>
      <c r="X99" s="172">
        <f t="shared" si="197"/>
        <v>248.82726718784025</v>
      </c>
      <c r="Y99" s="379">
        <f t="shared" si="198"/>
        <v>100.72878157743951</v>
      </c>
      <c r="AA99" s="188">
        <f t="shared" si="199"/>
        <v>13.333333333333334</v>
      </c>
      <c r="AB99" s="150">
        <f t="shared" si="200"/>
        <v>2.3410664795592488</v>
      </c>
      <c r="AC99" s="150">
        <f t="shared" si="201"/>
        <v>0.19417372480459524</v>
      </c>
      <c r="AD99" s="150"/>
      <c r="AE99" s="150">
        <f t="shared" si="202"/>
        <v>2.3410664795592488</v>
      </c>
      <c r="AF99" s="314">
        <f t="shared" si="203"/>
        <v>602.2896027563728</v>
      </c>
      <c r="AG99" s="456">
        <f t="shared" si="204"/>
        <v>0.19417372480459527</v>
      </c>
      <c r="AI99" s="150">
        <f t="shared" si="205"/>
        <v>17.490708321578591</v>
      </c>
      <c r="AJ99" s="150">
        <f t="shared" si="206"/>
        <v>32.27339129627449</v>
      </c>
      <c r="AK99" s="150">
        <f t="shared" si="207"/>
        <v>15.229672565141595</v>
      </c>
      <c r="AM99" s="314">
        <f t="shared" si="208"/>
        <v>470</v>
      </c>
      <c r="AN99" s="144">
        <f t="shared" si="209"/>
        <v>100.72878157743951</v>
      </c>
      <c r="AP99">
        <f t="shared" si="210"/>
        <v>470</v>
      </c>
      <c r="AQ99">
        <f t="shared" si="211"/>
        <v>100.72878157743951</v>
      </c>
      <c r="AS99" s="5">
        <f t="shared" si="285"/>
        <v>9.9276491221251177</v>
      </c>
      <c r="AT99" s="5">
        <f t="shared" si="212"/>
        <v>4.0610875312195622</v>
      </c>
      <c r="AU99" s="5">
        <f t="shared" si="286"/>
        <v>5.8665615909055555</v>
      </c>
      <c r="AV99" s="5">
        <f t="shared" si="213"/>
        <v>5.6665615909055571</v>
      </c>
      <c r="AW99" s="150">
        <f t="shared" si="287"/>
        <v>0.40906839889907831</v>
      </c>
      <c r="AX99" s="150">
        <f t="shared" si="214"/>
        <v>78.687192678966781</v>
      </c>
      <c r="AY99" s="150">
        <f t="shared" si="215"/>
        <v>0.47678416979160088</v>
      </c>
      <c r="AZ99" s="150">
        <f t="shared" si="288"/>
        <v>165.03734323511711</v>
      </c>
      <c r="BA99" s="144">
        <f t="shared" si="216"/>
        <v>1.1227712586312908</v>
      </c>
      <c r="BB99" s="5">
        <f t="shared" si="217"/>
        <v>65.536863230236293</v>
      </c>
      <c r="BC99" s="5"/>
      <c r="BD99" s="150">
        <f t="shared" si="289"/>
        <v>11.917411670049521</v>
      </c>
      <c r="BE99" s="150">
        <f t="shared" si="218"/>
        <v>0.71618065866915892</v>
      </c>
      <c r="BF99" s="150"/>
      <c r="BG99" s="456">
        <f t="shared" si="219"/>
        <v>0.48288398310567054</v>
      </c>
      <c r="BH99" s="456">
        <f t="shared" si="220"/>
        <v>1.5994475313704108</v>
      </c>
      <c r="BI99" s="456">
        <f t="shared" si="221"/>
        <v>5.4993653269199395E-2</v>
      </c>
      <c r="BJ99" s="456">
        <f t="shared" si="222"/>
        <v>2.9119019283806075E-2</v>
      </c>
      <c r="BK99">
        <f t="shared" si="223"/>
        <v>5.3642131467290218E-3</v>
      </c>
      <c r="BL99" s="144">
        <f t="shared" si="290"/>
        <v>60.35786641592842</v>
      </c>
      <c r="BM99" s="456">
        <f t="shared" si="224"/>
        <v>2.5323770147897786</v>
      </c>
      <c r="BN99" s="144">
        <f t="shared" si="291"/>
        <v>2532.3770147897785</v>
      </c>
      <c r="BO99" s="456">
        <f t="shared" si="225"/>
        <v>1.0428124999999997</v>
      </c>
      <c r="BP99" s="456"/>
      <c r="BR99" s="144">
        <f t="shared" si="292"/>
        <v>1042.8124999999998</v>
      </c>
      <c r="BS99" s="456">
        <f t="shared" si="226"/>
        <v>0.21303705137014881</v>
      </c>
      <c r="BT99" s="456">
        <f t="shared" si="227"/>
        <v>0.10258294717035808</v>
      </c>
      <c r="BU99" s="456">
        <f t="shared" si="228"/>
        <v>1.1984999999999999</v>
      </c>
      <c r="BV99" s="456">
        <f t="shared" si="229"/>
        <v>1.6310522139819463</v>
      </c>
      <c r="BW99" s="456">
        <f t="shared" si="230"/>
        <v>0.10491625690528902</v>
      </c>
      <c r="BX99" s="144">
        <f t="shared" si="293"/>
        <v>1735.9684708872353</v>
      </c>
      <c r="BY99" s="150">
        <f t="shared" si="231"/>
        <v>5.3715158520929416</v>
      </c>
      <c r="BZ99" s="5">
        <f t="shared" si="294"/>
        <v>79.899999999999991</v>
      </c>
      <c r="CA99" s="150">
        <f t="shared" si="295"/>
        <v>0.93700691493030264</v>
      </c>
      <c r="CB99" s="5">
        <f t="shared" si="296"/>
        <v>93.700691493030263</v>
      </c>
      <c r="CE99" s="59">
        <f t="shared" si="232"/>
        <v>-50</v>
      </c>
      <c r="CF99">
        <f t="shared" si="233"/>
        <v>-50</v>
      </c>
      <c r="CG99" s="150">
        <f t="shared" si="234"/>
        <v>0.57917917071543423</v>
      </c>
      <c r="CI99" s="147">
        <v>94</v>
      </c>
      <c r="CJ99" s="188">
        <f t="shared" si="297"/>
        <v>0.47</v>
      </c>
      <c r="CK99" s="188"/>
      <c r="CL99" s="188">
        <f t="shared" si="235"/>
        <v>79.899999999999991</v>
      </c>
      <c r="CM99" s="465">
        <f t="shared" si="236"/>
        <v>12</v>
      </c>
      <c r="CN99" s="149">
        <f t="shared" si="237"/>
        <v>8.5350000000000001</v>
      </c>
      <c r="CO99" s="379">
        <f t="shared" si="238"/>
        <v>20.535</v>
      </c>
      <c r="CP99" s="379"/>
      <c r="CQ99" s="188">
        <f t="shared" si="239"/>
        <v>0.4156318480642805</v>
      </c>
      <c r="CR99" s="149">
        <f t="shared" si="240"/>
        <v>166.85124908692478</v>
      </c>
      <c r="CS99" s="149">
        <f t="shared" si="298"/>
        <v>79.899999999999991</v>
      </c>
      <c r="CT99" s="188">
        <f t="shared" si="241"/>
        <v>0.98147793580543985</v>
      </c>
      <c r="CU99" s="188">
        <f t="shared" si="242"/>
        <v>170</v>
      </c>
      <c r="CV99" s="188">
        <f t="shared" si="243"/>
        <v>0.97795728956301287</v>
      </c>
      <c r="CW99" s="149">
        <f t="shared" si="244"/>
        <v>611.33832240289337</v>
      </c>
      <c r="CX99" s="460">
        <f t="shared" si="245"/>
        <v>170</v>
      </c>
      <c r="CY99" s="188">
        <f t="shared" si="246"/>
        <v>32.039572349150554</v>
      </c>
      <c r="CZ99" s="188">
        <f t="shared" si="247"/>
        <v>4.0049465436438192</v>
      </c>
      <c r="DA99" s="188">
        <f t="shared" si="248"/>
        <v>5.6308563003779533</v>
      </c>
      <c r="DB99" s="172">
        <f t="shared" si="249"/>
        <v>249.37910883856827</v>
      </c>
      <c r="DC99" s="379">
        <f t="shared" si="299"/>
        <v>103.77962440570464</v>
      </c>
      <c r="DE99" s="188">
        <f t="shared" si="250"/>
        <v>13.333333333333334</v>
      </c>
      <c r="DF99" s="150">
        <f t="shared" si="251"/>
        <v>2.3432923257176337</v>
      </c>
      <c r="DG99" s="150">
        <f t="shared" si="252"/>
        <v>0.19478938397857323</v>
      </c>
      <c r="DH99" s="150"/>
      <c r="DI99" s="150">
        <f t="shared" si="253"/>
        <v>2.3432923257176337</v>
      </c>
      <c r="DJ99" s="314">
        <f t="shared" si="300"/>
        <v>601.71749999999975</v>
      </c>
      <c r="DK99" s="456">
        <f t="shared" si="254"/>
        <v>0.19478938397857321</v>
      </c>
      <c r="DM99" s="150">
        <f t="shared" si="255"/>
        <v>17.482399312287935</v>
      </c>
      <c r="DN99" s="150">
        <f t="shared" si="256"/>
        <v>32.039572349150554</v>
      </c>
      <c r="DO99" s="150">
        <f t="shared" si="257"/>
        <v>15.05647334504979</v>
      </c>
      <c r="DQ99" s="314">
        <f t="shared" si="258"/>
        <v>470</v>
      </c>
      <c r="DR99" s="144">
        <f t="shared" si="259"/>
        <v>103.77962440570464</v>
      </c>
      <c r="DT99">
        <f t="shared" si="260"/>
        <v>470</v>
      </c>
      <c r="DU99">
        <f t="shared" si="261"/>
        <v>103.77962440570464</v>
      </c>
      <c r="DW99" s="5">
        <f t="shared" si="301"/>
        <v>9.6358028440217716</v>
      </c>
      <c r="DX99" s="5">
        <f t="shared" si="262"/>
        <v>4.0049465436438192</v>
      </c>
      <c r="DY99" s="5">
        <f t="shared" si="302"/>
        <v>5.6308563003779524</v>
      </c>
      <c r="DZ99" s="5">
        <f t="shared" si="263"/>
        <v>5.6308563003779533</v>
      </c>
      <c r="EA99" s="150">
        <f t="shared" si="303"/>
        <v>0.41563184806428055</v>
      </c>
      <c r="EB99" s="150">
        <f t="shared" si="264"/>
        <v>79.900000000000006</v>
      </c>
      <c r="EC99" s="150">
        <f t="shared" si="265"/>
        <v>0.46807264206209714</v>
      </c>
      <c r="ED99" s="150">
        <f t="shared" si="304"/>
        <v>170.70000000000005</v>
      </c>
      <c r="EE99" s="144">
        <f t="shared" si="266"/>
        <v>1.1072499267721145</v>
      </c>
      <c r="EF99" s="5">
        <f t="shared" si="267"/>
        <v>62.486863666694205</v>
      </c>
      <c r="EG99" s="5"/>
      <c r="EH99" s="150">
        <f t="shared" si="305"/>
        <v>11.925606974296784</v>
      </c>
      <c r="EI99" s="150">
        <f t="shared" si="268"/>
        <v>0.7070324669585929</v>
      </c>
      <c r="EJ99" s="150"/>
      <c r="EK99" s="456">
        <f t="shared" si="269"/>
        <v>0.48354834579834671</v>
      </c>
      <c r="EL99" s="456">
        <f t="shared" si="270"/>
        <v>2.0757120000000002</v>
      </c>
      <c r="EM99" s="456">
        <f t="shared" si="271"/>
        <v>2.3765533988906361E-2</v>
      </c>
      <c r="EN99" s="456">
        <f t="shared" si="272"/>
        <v>2.9977270062578228E-2</v>
      </c>
      <c r="EO99">
        <f t="shared" si="273"/>
        <v>5.4000000000000003E-3</v>
      </c>
      <c r="EP99" s="144">
        <f t="shared" si="306"/>
        <v>29.165533988906361</v>
      </c>
      <c r="EQ99" s="456">
        <f t="shared" si="274"/>
        <v>3.1057886354110109</v>
      </c>
      <c r="ER99" s="144">
        <f t="shared" si="307"/>
        <v>3105.788635411011</v>
      </c>
      <c r="ES99" s="456">
        <f t="shared" si="308"/>
        <v>1.0428124999999997</v>
      </c>
      <c r="ET99" s="456"/>
      <c r="EV99" s="144">
        <f t="shared" si="309"/>
        <v>1042.8124999999998</v>
      </c>
      <c r="EW99" s="456">
        <f t="shared" si="275"/>
        <v>0.21333015255809415</v>
      </c>
      <c r="EX99" s="456">
        <f t="shared" si="276"/>
        <v>9.9978981866710753E-2</v>
      </c>
      <c r="EY99" s="456">
        <f t="shared" si="277"/>
        <v>31.876234821662489</v>
      </c>
      <c r="EZ99" s="456">
        <f t="shared" si="278"/>
        <v>33.094236269964654</v>
      </c>
      <c r="FA99" s="456">
        <f t="shared" si="279"/>
        <v>0.10653333333333334</v>
      </c>
      <c r="FB99" s="144">
        <f t="shared" si="310"/>
        <v>33200.769603297987</v>
      </c>
      <c r="FC99" s="150">
        <f t="shared" si="311"/>
        <v>37.349370738708998</v>
      </c>
      <c r="FD99" s="5">
        <f t="shared" si="312"/>
        <v>79.899999999999991</v>
      </c>
      <c r="FE99" s="150">
        <f t="shared" si="313"/>
        <v>0.68145355063830304</v>
      </c>
      <c r="FF99" s="5">
        <f t="shared" si="314"/>
        <v>68.145355063830308</v>
      </c>
      <c r="FI99" s="59">
        <f t="shared" si="280"/>
        <v>-50</v>
      </c>
      <c r="FJ99">
        <f t="shared" si="281"/>
        <v>-50</v>
      </c>
      <c r="FL99">
        <f t="shared" si="282"/>
        <v>0.58436815193571945</v>
      </c>
    </row>
    <row r="100" spans="5:168">
      <c r="E100" s="147">
        <v>95</v>
      </c>
      <c r="F100" s="188">
        <f t="shared" si="283"/>
        <v>0.47499999999999998</v>
      </c>
      <c r="G100" s="188"/>
      <c r="H100" s="188">
        <f t="shared" si="183"/>
        <v>80.75</v>
      </c>
      <c r="I100" s="465">
        <f t="shared" si="184"/>
        <v>11.919635213488156</v>
      </c>
      <c r="J100" s="149">
        <f t="shared" si="185"/>
        <v>8.5432004884195756</v>
      </c>
      <c r="K100" s="149">
        <f t="shared" si="186"/>
        <v>20.543200488419576</v>
      </c>
      <c r="L100" s="379"/>
      <c r="M100" s="188">
        <f t="shared" si="187"/>
        <v>0.41749631590391006</v>
      </c>
      <c r="N100" s="149">
        <f t="shared" si="188"/>
        <v>166.47729473962005</v>
      </c>
      <c r="O100" s="149">
        <f t="shared" si="284"/>
        <v>80.75</v>
      </c>
      <c r="P100" s="188">
        <f t="shared" si="189"/>
        <v>0.97927820435070623</v>
      </c>
      <c r="Q100" s="188">
        <f t="shared" si="190"/>
        <v>170</v>
      </c>
      <c r="R100" s="188">
        <f t="shared" si="191"/>
        <v>0.97576544873525917</v>
      </c>
      <c r="S100" s="149">
        <f t="shared" si="192"/>
        <v>598.35148993840937</v>
      </c>
      <c r="T100" s="460">
        <f t="shared" si="193"/>
        <v>170</v>
      </c>
      <c r="U100" s="188">
        <f t="shared" si="194"/>
        <v>32.617819455483058</v>
      </c>
      <c r="V100" s="188">
        <f t="shared" si="195"/>
        <v>4.1047169906558487</v>
      </c>
      <c r="W100" s="188">
        <f t="shared" si="196"/>
        <v>5.7269789289793014</v>
      </c>
      <c r="X100" s="172">
        <f t="shared" si="197"/>
        <v>248.82141180501557</v>
      </c>
      <c r="Y100" s="379">
        <f t="shared" si="198"/>
        <v>99.684042260759611</v>
      </c>
      <c r="AA100" s="188">
        <f t="shared" si="199"/>
        <v>13.333333333333334</v>
      </c>
      <c r="AB100" s="150">
        <f t="shared" si="200"/>
        <v>2.3410430349972793</v>
      </c>
      <c r="AC100" s="150">
        <f t="shared" si="201"/>
        <v>0.19416721102144055</v>
      </c>
      <c r="AD100" s="150"/>
      <c r="AE100" s="150">
        <f t="shared" si="202"/>
        <v>2.3410430349972793</v>
      </c>
      <c r="AF100" s="314">
        <f t="shared" si="203"/>
        <v>608.70303479989457</v>
      </c>
      <c r="AG100" s="456">
        <f t="shared" si="204"/>
        <v>0.19416721102144052</v>
      </c>
      <c r="AI100" s="150">
        <f t="shared" si="205"/>
        <v>17.583585921722939</v>
      </c>
      <c r="AJ100" s="150">
        <f t="shared" si="206"/>
        <v>32.617819455483058</v>
      </c>
      <c r="AK100" s="150">
        <f t="shared" si="207"/>
        <v>15.48480453492572</v>
      </c>
      <c r="AM100" s="314">
        <f t="shared" si="208"/>
        <v>475</v>
      </c>
      <c r="AN100" s="144">
        <f t="shared" si="209"/>
        <v>99.684042260759611</v>
      </c>
      <c r="AP100">
        <f t="shared" si="210"/>
        <v>475</v>
      </c>
      <c r="AQ100">
        <f t="shared" si="211"/>
        <v>99.684042260759611</v>
      </c>
      <c r="AS100" s="5">
        <f t="shared" si="285"/>
        <v>10.031695919635149</v>
      </c>
      <c r="AT100" s="5">
        <f t="shared" si="212"/>
        <v>4.1047169906558487</v>
      </c>
      <c r="AU100" s="5">
        <f t="shared" si="286"/>
        <v>5.9269789289793007</v>
      </c>
      <c r="AV100" s="5">
        <f t="shared" si="213"/>
        <v>5.7269789289793014</v>
      </c>
      <c r="AW100" s="150">
        <f t="shared" si="287"/>
        <v>0.40917478196499563</v>
      </c>
      <c r="AX100" s="150">
        <f t="shared" si="214"/>
        <v>79.542045125295999</v>
      </c>
      <c r="AY100" s="150">
        <f t="shared" si="215"/>
        <v>0.48178575729030471</v>
      </c>
      <c r="AZ100" s="150">
        <f t="shared" si="288"/>
        <v>165.09837395912714</v>
      </c>
      <c r="BA100" s="144">
        <f t="shared" si="216"/>
        <v>1.1469062179773695</v>
      </c>
      <c r="BB100" s="5">
        <f t="shared" si="217"/>
        <v>66.920888648993611</v>
      </c>
      <c r="BC100" s="5"/>
      <c r="BD100" s="150">
        <f t="shared" si="289"/>
        <v>12.046162765652189</v>
      </c>
      <c r="BE100" s="150">
        <f t="shared" si="218"/>
        <v>0.72375872700595334</v>
      </c>
      <c r="BF100" s="150"/>
      <c r="BG100" s="456">
        <f t="shared" si="219"/>
        <v>0.49337412708038969</v>
      </c>
      <c r="BH100" s="456">
        <f t="shared" si="220"/>
        <v>1.5997576200468293</v>
      </c>
      <c r="BI100" s="456">
        <f t="shared" si="221"/>
        <v>5.4419441852221979E-2</v>
      </c>
      <c r="BJ100" s="456">
        <f t="shared" si="222"/>
        <v>2.8817242511781058E-2</v>
      </c>
      <c r="BK100">
        <f t="shared" si="223"/>
        <v>5.36383584606967E-3</v>
      </c>
      <c r="BL100" s="144">
        <f t="shared" si="290"/>
        <v>59.783277698291649</v>
      </c>
      <c r="BM100" s="456">
        <f t="shared" si="224"/>
        <v>2.5546280459590833</v>
      </c>
      <c r="BN100" s="144">
        <f t="shared" si="291"/>
        <v>2554.6280459590835</v>
      </c>
      <c r="BO100" s="456">
        <f t="shared" si="225"/>
        <v>1.05390625</v>
      </c>
      <c r="BP100" s="456"/>
      <c r="BR100" s="144">
        <f t="shared" si="292"/>
        <v>1053.90625</v>
      </c>
      <c r="BS100" s="456">
        <f t="shared" si="226"/>
        <v>0.21766505606487782</v>
      </c>
      <c r="BT100" s="456">
        <f t="shared" si="227"/>
        <v>0.10476533898345562</v>
      </c>
      <c r="BU100" s="456">
        <f t="shared" si="228"/>
        <v>1.2112499999999999</v>
      </c>
      <c r="BV100" s="456">
        <f t="shared" si="229"/>
        <v>1.6537204693997802</v>
      </c>
      <c r="BW100" s="456">
        <f t="shared" si="230"/>
        <v>0.10605606016706133</v>
      </c>
      <c r="BX100" s="144">
        <f t="shared" si="293"/>
        <v>1759.7765295668414</v>
      </c>
      <c r="BY100" s="150">
        <f t="shared" si="231"/>
        <v>5.4280941032242165</v>
      </c>
      <c r="BZ100" s="5">
        <f t="shared" si="294"/>
        <v>80.75</v>
      </c>
      <c r="CA100" s="150">
        <f t="shared" si="295"/>
        <v>0.93701306393800687</v>
      </c>
      <c r="CB100" s="5">
        <f t="shared" si="296"/>
        <v>93.701306393800692</v>
      </c>
      <c r="CE100" s="59">
        <f t="shared" si="232"/>
        <v>-50</v>
      </c>
      <c r="CF100">
        <f t="shared" si="233"/>
        <v>-50</v>
      </c>
      <c r="CG100" s="150">
        <f t="shared" si="234"/>
        <v>0.57923379157038446</v>
      </c>
      <c r="CI100" s="147">
        <v>95</v>
      </c>
      <c r="CJ100" s="188">
        <f t="shared" si="297"/>
        <v>0.47499999999999998</v>
      </c>
      <c r="CK100" s="188"/>
      <c r="CL100" s="188">
        <f t="shared" si="235"/>
        <v>80.75</v>
      </c>
      <c r="CM100" s="465">
        <f t="shared" si="236"/>
        <v>12</v>
      </c>
      <c r="CN100" s="149">
        <f t="shared" si="237"/>
        <v>8.5350000000000001</v>
      </c>
      <c r="CO100" s="379">
        <f t="shared" si="238"/>
        <v>20.535</v>
      </c>
      <c r="CP100" s="379"/>
      <c r="CQ100" s="188">
        <f t="shared" si="239"/>
        <v>0.4156318480642805</v>
      </c>
      <c r="CR100" s="149">
        <f t="shared" si="240"/>
        <v>166.85124908692478</v>
      </c>
      <c r="CS100" s="149">
        <f t="shared" si="298"/>
        <v>80.75</v>
      </c>
      <c r="CT100" s="188">
        <f t="shared" si="241"/>
        <v>0.98147793580543985</v>
      </c>
      <c r="CU100" s="188">
        <f t="shared" si="242"/>
        <v>170</v>
      </c>
      <c r="CV100" s="188">
        <f t="shared" si="243"/>
        <v>0.97795728956301287</v>
      </c>
      <c r="CW100" s="149">
        <f t="shared" si="244"/>
        <v>602.38383139543384</v>
      </c>
      <c r="CX100" s="460">
        <f t="shared" si="245"/>
        <v>170</v>
      </c>
      <c r="CY100" s="188">
        <f t="shared" si="246"/>
        <v>32.380418863503223</v>
      </c>
      <c r="CZ100" s="188">
        <f t="shared" si="247"/>
        <v>4.0475523579379038</v>
      </c>
      <c r="DA100" s="188">
        <f t="shared" si="248"/>
        <v>5.6907590269777195</v>
      </c>
      <c r="DB100" s="172">
        <f t="shared" si="249"/>
        <v>249.37910883856827</v>
      </c>
      <c r="DC100" s="379">
        <f t="shared" si="299"/>
        <v>102.6872073066972</v>
      </c>
      <c r="DE100" s="188">
        <f t="shared" si="250"/>
        <v>13.333333333333334</v>
      </c>
      <c r="DF100" s="150">
        <f t="shared" si="251"/>
        <v>2.3432923257176337</v>
      </c>
      <c r="DG100" s="150">
        <f t="shared" si="252"/>
        <v>0.19478938397857323</v>
      </c>
      <c r="DH100" s="150"/>
      <c r="DI100" s="150">
        <f t="shared" si="253"/>
        <v>2.3432923257176337</v>
      </c>
      <c r="DJ100" s="314">
        <f t="shared" si="300"/>
        <v>608.11874999999975</v>
      </c>
      <c r="DK100" s="456">
        <f t="shared" si="254"/>
        <v>0.19478938397857321</v>
      </c>
      <c r="DM100" s="150">
        <f t="shared" si="255"/>
        <v>17.575144787048391</v>
      </c>
      <c r="DN100" s="150">
        <f t="shared" si="256"/>
        <v>32.380418863503223</v>
      </c>
      <c r="DO100" s="150">
        <f t="shared" si="257"/>
        <v>15.308952244570287</v>
      </c>
      <c r="DQ100" s="314">
        <f t="shared" si="258"/>
        <v>475</v>
      </c>
      <c r="DR100" s="144">
        <f t="shared" si="259"/>
        <v>102.6872073066972</v>
      </c>
      <c r="DT100">
        <f t="shared" si="260"/>
        <v>475</v>
      </c>
      <c r="DU100">
        <f t="shared" si="261"/>
        <v>102.6872073066972</v>
      </c>
      <c r="DW100" s="5">
        <f t="shared" si="301"/>
        <v>9.7383113849156206</v>
      </c>
      <c r="DX100" s="5">
        <f t="shared" si="262"/>
        <v>4.0475523579379038</v>
      </c>
      <c r="DY100" s="5">
        <f t="shared" si="302"/>
        <v>5.6907590269777169</v>
      </c>
      <c r="DZ100" s="5">
        <f t="shared" si="263"/>
        <v>5.6907590269777195</v>
      </c>
      <c r="EA100" s="150">
        <f t="shared" si="303"/>
        <v>0.41563184806428066</v>
      </c>
      <c r="EB100" s="150">
        <f t="shared" si="264"/>
        <v>80.75</v>
      </c>
      <c r="EC100" s="150">
        <f t="shared" si="265"/>
        <v>0.47305213825424713</v>
      </c>
      <c r="ED100" s="150">
        <f t="shared" si="304"/>
        <v>170.70000000000002</v>
      </c>
      <c r="EE100" s="144">
        <f t="shared" si="266"/>
        <v>1.1309337470708849</v>
      </c>
      <c r="EF100" s="5">
        <f t="shared" si="267"/>
        <v>63.823443253951467</v>
      </c>
      <c r="EG100" s="5"/>
      <c r="EH100" s="150">
        <f t="shared" si="305"/>
        <v>12.052475133597815</v>
      </c>
      <c r="EI100" s="150">
        <f t="shared" si="268"/>
        <v>0.71455408894751415</v>
      </c>
      <c r="EJ100" s="150"/>
      <c r="EK100" s="456">
        <f t="shared" si="269"/>
        <v>0.49389133327637846</v>
      </c>
      <c r="EL100" s="456">
        <f t="shared" si="270"/>
        <v>2.0757120000000007</v>
      </c>
      <c r="EM100" s="456">
        <f t="shared" si="271"/>
        <v>2.3515370473233658E-2</v>
      </c>
      <c r="EN100" s="456">
        <f t="shared" si="272"/>
        <v>2.9661719851393188E-2</v>
      </c>
      <c r="EO100">
        <f t="shared" si="273"/>
        <v>5.4000000000000003E-3</v>
      </c>
      <c r="EP100" s="144">
        <f t="shared" si="306"/>
        <v>28.915370473233658</v>
      </c>
      <c r="EQ100" s="456">
        <f t="shared" si="274"/>
        <v>3.1286768745539781</v>
      </c>
      <c r="ER100" s="144">
        <f t="shared" si="307"/>
        <v>3128.676874553978</v>
      </c>
      <c r="ES100" s="456">
        <f t="shared" si="308"/>
        <v>1.05390625</v>
      </c>
      <c r="ET100" s="456"/>
      <c r="EV100" s="144">
        <f t="shared" si="309"/>
        <v>1053.90625</v>
      </c>
      <c r="EW100" s="456">
        <f t="shared" si="275"/>
        <v>0.21789323526899051</v>
      </c>
      <c r="EX100" s="456">
        <f t="shared" si="276"/>
        <v>0.1021175092063224</v>
      </c>
      <c r="EY100" s="456">
        <f t="shared" si="277"/>
        <v>31.876234821662543</v>
      </c>
      <c r="EZ100" s="456">
        <f t="shared" si="278"/>
        <v>33.120973536751364</v>
      </c>
      <c r="FA100" s="456">
        <f t="shared" si="279"/>
        <v>0.10766666666666666</v>
      </c>
      <c r="FB100" s="144">
        <f t="shared" si="310"/>
        <v>33228.640203418028</v>
      </c>
      <c r="FC100" s="150">
        <f t="shared" si="311"/>
        <v>37.41122332797201</v>
      </c>
      <c r="FD100" s="5">
        <f t="shared" si="312"/>
        <v>80.75</v>
      </c>
      <c r="FE100" s="150">
        <f t="shared" si="313"/>
        <v>0.68338832085266887</v>
      </c>
      <c r="FF100" s="5">
        <f t="shared" si="314"/>
        <v>68.338832085266887</v>
      </c>
      <c r="FI100" s="59">
        <f t="shared" si="280"/>
        <v>-50</v>
      </c>
      <c r="FJ100">
        <f t="shared" si="281"/>
        <v>-50</v>
      </c>
      <c r="FL100">
        <f t="shared" si="282"/>
        <v>0.58436815193571934</v>
      </c>
    </row>
    <row r="101" spans="5:168">
      <c r="E101" s="147">
        <v>96</v>
      </c>
      <c r="F101" s="188">
        <f t="shared" si="283"/>
        <v>0.48</v>
      </c>
      <c r="G101" s="188"/>
      <c r="H101" s="188">
        <f>F101*Vout</f>
        <v>81.599999999999994</v>
      </c>
      <c r="I101" s="465">
        <f t="shared" si="184"/>
        <v>11.918796766179019</v>
      </c>
      <c r="J101" s="149">
        <f t="shared" si="185"/>
        <v>8.5432860442674468</v>
      </c>
      <c r="K101" s="149">
        <f t="shared" si="186"/>
        <v>20.543286044267447</v>
      </c>
      <c r="L101" s="379"/>
      <c r="M101" s="188">
        <f t="shared" si="187"/>
        <v>0.41751585890673043</v>
      </c>
      <c r="N101" s="149">
        <f>M101*I101*(Isw_max+VIN_nom/Lmag*ILIM_delay)*0.5*Efficiency</f>
        <v>166.47337669914239</v>
      </c>
      <c r="O101" s="149">
        <f t="shared" si="284"/>
        <v>81.599999999999994</v>
      </c>
      <c r="P101" s="188">
        <f>N101/Vout</f>
        <v>0.97925515705377875</v>
      </c>
      <c r="Q101" s="188">
        <f t="shared" si="190"/>
        <v>170</v>
      </c>
      <c r="R101" s="188">
        <f>Isw_max/2*I101*Nps*(Q101+Vfwd1+F101/FL101*Rdcr_sec)/Q101/(I101+Nps*(Q101+Vfwd1+F101/FL101*Rdcr_sec))</f>
        <v>0.97574248411097952</v>
      </c>
      <c r="S101" s="149">
        <f t="shared" si="192"/>
        <v>589.60095926378096</v>
      </c>
      <c r="T101" s="460">
        <f>MIN(Vout, S101)</f>
        <v>170</v>
      </c>
      <c r="U101" s="188">
        <f t="shared" si="194"/>
        <v>32.962270807859859</v>
      </c>
      <c r="V101" s="188">
        <f t="shared" si="195"/>
        <v>4.1483555078387813</v>
      </c>
      <c r="W101" s="188">
        <f t="shared" si="196"/>
        <v>5.7873991290466469</v>
      </c>
      <c r="X101" s="172">
        <f t="shared" si="197"/>
        <v>248.8155556309554</v>
      </c>
      <c r="Y101" s="379">
        <f t="shared" si="198"/>
        <v>98.660636116906417</v>
      </c>
      <c r="AA101" s="188">
        <f t="shared" si="199"/>
        <v>13.333333333333334</v>
      </c>
      <c r="AB101" s="150">
        <f>L*AA101/J101*1000000</f>
        <v>2.3410195908657441</v>
      </c>
      <c r="AC101" s="150">
        <f>0.5*AB101*AA101*Nps*X101/1000</f>
        <v>0.19416069674807068</v>
      </c>
      <c r="AD101" s="150"/>
      <c r="AE101" s="150">
        <f t="shared" si="202"/>
        <v>2.3410195908657441</v>
      </c>
      <c r="AF101" s="314">
        <f>MAX(12, F101/(0.5*AE101/1000000*Isw_min*Nps)/1000)</f>
        <v>615.11659518725617</v>
      </c>
      <c r="AG101" s="456">
        <f t="shared" si="204"/>
        <v>0.19416069674807065</v>
      </c>
      <c r="AI101" s="150">
        <f t="shared" si="205"/>
        <v>17.675977351569827</v>
      </c>
      <c r="AJ101" s="150">
        <f>MAX(IF(F101&gt;AC101,U101,AI101),Isw_min)</f>
        <v>32.962270807859859</v>
      </c>
      <c r="AK101" s="150">
        <f>IF(F101&gt;AG101, (AJ101-Isw_min)/1.08*0.8+1.2, AF101*0.2/350+1)</f>
        <v>15.739953684834461</v>
      </c>
      <c r="AM101" s="314">
        <f t="shared" si="208"/>
        <v>480</v>
      </c>
      <c r="AN101" s="144">
        <f t="shared" si="209"/>
        <v>98.660636116906417</v>
      </c>
      <c r="AP101">
        <f t="shared" si="210"/>
        <v>480</v>
      </c>
      <c r="AQ101">
        <f t="shared" si="211"/>
        <v>98.660636116906417</v>
      </c>
      <c r="AS101" s="5">
        <f t="shared" si="285"/>
        <v>10.135754636885427</v>
      </c>
      <c r="AT101" s="5">
        <f t="shared" si="212"/>
        <v>4.1483555078387813</v>
      </c>
      <c r="AU101" s="5">
        <f t="shared" si="286"/>
        <v>5.9873991290466453</v>
      </c>
      <c r="AV101" s="5">
        <f t="shared" si="213"/>
        <v>5.7873991290466469</v>
      </c>
      <c r="AW101" s="150">
        <f t="shared" si="287"/>
        <v>0.4092793932424465</v>
      </c>
      <c r="AX101" s="150">
        <f t="shared" si="214"/>
        <v>80.396921768660718</v>
      </c>
      <c r="AY101" s="150">
        <f t="shared" si="215"/>
        <v>0.48678731529314417</v>
      </c>
      <c r="AZ101" s="150">
        <f t="shared" si="288"/>
        <v>165.15821025501774</v>
      </c>
      <c r="BA101" s="144">
        <f t="shared" si="216"/>
        <v>1.1713003786838911</v>
      </c>
      <c r="BB101" s="5">
        <f t="shared" si="217"/>
        <v>68.319503849665111</v>
      </c>
      <c r="BC101" s="5"/>
      <c r="BD101" s="150">
        <f t="shared" si="289"/>
        <v>12.174928943115615</v>
      </c>
      <c r="BE101" s="150">
        <f t="shared" si="218"/>
        <v>0.73133702473674156</v>
      </c>
      <c r="BF101" s="150"/>
      <c r="BG101" s="456">
        <f t="shared" si="219"/>
        <v>0.50397824221770871</v>
      </c>
      <c r="BH101" s="456">
        <f t="shared" si="220"/>
        <v>1.6000607258264397</v>
      </c>
      <c r="BI101" s="456">
        <f t="shared" si="221"/>
        <v>5.3856956038030195E-2</v>
      </c>
      <c r="BJ101" s="456">
        <f t="shared" si="222"/>
        <v>2.8521627878908416E-2</v>
      </c>
      <c r="BK101">
        <f t="shared" si="223"/>
        <v>5.3634585447805581E-3</v>
      </c>
      <c r="BL101" s="144">
        <f t="shared" si="290"/>
        <v>59.220414582810747</v>
      </c>
      <c r="BM101" s="456">
        <f t="shared" si="224"/>
        <v>2.5772478599874735</v>
      </c>
      <c r="BN101" s="144">
        <f t="shared" si="291"/>
        <v>2577.2478599874735</v>
      </c>
      <c r="BO101" s="456">
        <f t="shared" si="225"/>
        <v>1.0649999999999999</v>
      </c>
      <c r="BP101" s="456"/>
      <c r="BR101" s="144">
        <f t="shared" si="292"/>
        <v>1065</v>
      </c>
      <c r="BS101" s="456">
        <f t="shared" si="226"/>
        <v>0.22234334215487148</v>
      </c>
      <c r="BT101" s="456">
        <f t="shared" si="227"/>
        <v>0.10697076875015787</v>
      </c>
      <c r="BU101" s="456">
        <f t="shared" si="228"/>
        <v>1.224</v>
      </c>
      <c r="BV101" s="456">
        <f>(BU101+(BS101+BT101)*(1+Ltc*(Ta-25)))/(1-(BS101+BT101)*Ltc*ThetaCa)</f>
        <v>1.6765175689326128</v>
      </c>
      <c r="BW101" s="456">
        <f t="shared" si="230"/>
        <v>0.10719589569154762</v>
      </c>
      <c r="BX101" s="144">
        <f t="shared" si="293"/>
        <v>1783.7134646241605</v>
      </c>
      <c r="BY101" s="150">
        <f t="shared" si="231"/>
        <v>5.4851817391944442</v>
      </c>
      <c r="BZ101" s="5">
        <f t="shared" si="294"/>
        <v>81.599999999999994</v>
      </c>
      <c r="CA101" s="150">
        <f t="shared" si="295"/>
        <v>0.93701360404090739</v>
      </c>
      <c r="CB101" s="5">
        <f t="shared" si="296"/>
        <v>93.701360404090735</v>
      </c>
      <c r="CE101" s="59">
        <f t="shared" si="232"/>
        <v>-50</v>
      </c>
      <c r="CF101">
        <f t="shared" si="233"/>
        <v>-50</v>
      </c>
      <c r="CG101" s="150">
        <f t="shared" si="234"/>
        <v>0.57928727449085671</v>
      </c>
      <c r="CI101" s="147">
        <v>96</v>
      </c>
      <c r="CJ101" s="188">
        <f t="shared" si="297"/>
        <v>0.48</v>
      </c>
      <c r="CK101" s="188"/>
      <c r="CL101" s="188">
        <f t="shared" si="235"/>
        <v>81.599999999999994</v>
      </c>
      <c r="CM101" s="465">
        <f t="shared" si="236"/>
        <v>12</v>
      </c>
      <c r="CN101" s="149">
        <f t="shared" si="237"/>
        <v>8.5350000000000001</v>
      </c>
      <c r="CO101" s="379">
        <f t="shared" si="238"/>
        <v>20.535</v>
      </c>
      <c r="CP101" s="379"/>
      <c r="CQ101" s="188">
        <f t="shared" si="239"/>
        <v>0.4156318480642805</v>
      </c>
      <c r="CR101" s="149">
        <f t="shared" si="240"/>
        <v>166.85124908692478</v>
      </c>
      <c r="CS101" s="149">
        <f t="shared" si="298"/>
        <v>81.599999999999994</v>
      </c>
      <c r="CT101" s="188">
        <f t="shared" si="241"/>
        <v>0.98147793580543985</v>
      </c>
      <c r="CU101" s="188">
        <f t="shared" si="242"/>
        <v>170</v>
      </c>
      <c r="CV101" s="188">
        <f t="shared" si="243"/>
        <v>0.97795728956301287</v>
      </c>
      <c r="CW101" s="149">
        <f t="shared" si="244"/>
        <v>593.61601122998366</v>
      </c>
      <c r="CX101" s="460">
        <f t="shared" si="245"/>
        <v>170</v>
      </c>
      <c r="CY101" s="188">
        <f t="shared" si="246"/>
        <v>32.721265377855886</v>
      </c>
      <c r="CZ101" s="188">
        <f t="shared" si="247"/>
        <v>4.0901581722319857</v>
      </c>
      <c r="DA101" s="188">
        <f t="shared" si="248"/>
        <v>5.7506617535774849</v>
      </c>
      <c r="DB101" s="172">
        <f t="shared" si="249"/>
        <v>249.37910883856827</v>
      </c>
      <c r="DC101" s="379">
        <f t="shared" si="299"/>
        <v>101.61754889725246</v>
      </c>
      <c r="DE101" s="188">
        <f t="shared" si="250"/>
        <v>13.333333333333334</v>
      </c>
      <c r="DF101" s="150">
        <f t="shared" si="251"/>
        <v>2.3432923257176337</v>
      </c>
      <c r="DG101" s="150">
        <f t="shared" si="252"/>
        <v>0.19478938397857323</v>
      </c>
      <c r="DH101" s="150"/>
      <c r="DI101" s="150">
        <f t="shared" si="253"/>
        <v>2.3432923257176337</v>
      </c>
      <c r="DJ101" s="314">
        <f t="shared" si="300"/>
        <v>614.51999999999975</v>
      </c>
      <c r="DK101" s="456">
        <f t="shared" si="254"/>
        <v>0.19478938397857321</v>
      </c>
      <c r="DM101" s="150">
        <f t="shared" si="255"/>
        <v>17.667403398834328</v>
      </c>
      <c r="DN101" s="150">
        <f t="shared" si="256"/>
        <v>32.721265377855886</v>
      </c>
      <c r="DO101" s="150">
        <f t="shared" si="257"/>
        <v>15.561431144090779</v>
      </c>
      <c r="DQ101" s="314">
        <f t="shared" si="258"/>
        <v>480</v>
      </c>
      <c r="DR101" s="144">
        <f t="shared" si="259"/>
        <v>101.61754889725246</v>
      </c>
      <c r="DT101">
        <f t="shared" si="260"/>
        <v>480</v>
      </c>
      <c r="DU101">
        <f t="shared" si="261"/>
        <v>101.61754889725246</v>
      </c>
      <c r="DW101" s="5">
        <f t="shared" si="301"/>
        <v>9.840819925809468</v>
      </c>
      <c r="DX101" s="5">
        <f t="shared" si="262"/>
        <v>4.0901581722319857</v>
      </c>
      <c r="DY101" s="5">
        <f t="shared" si="302"/>
        <v>5.7506617535774822</v>
      </c>
      <c r="DZ101" s="5">
        <f t="shared" si="263"/>
        <v>5.7506617535774849</v>
      </c>
      <c r="EA101" s="150">
        <f t="shared" si="303"/>
        <v>0.41563184806428061</v>
      </c>
      <c r="EB101" s="150">
        <f t="shared" si="264"/>
        <v>81.600000000000009</v>
      </c>
      <c r="EC101" s="150">
        <f t="shared" si="265"/>
        <v>0.47803163444639701</v>
      </c>
      <c r="ED101" s="150">
        <f t="shared" si="304"/>
        <v>170.70000000000007</v>
      </c>
      <c r="EE101" s="144">
        <f t="shared" si="266"/>
        <v>1.1548681898066784</v>
      </c>
      <c r="EF101" s="5">
        <f t="shared" si="267"/>
        <v>65.174166540544789</v>
      </c>
      <c r="EG101" s="5"/>
      <c r="EH101" s="150">
        <f t="shared" si="305"/>
        <v>12.179343292898844</v>
      </c>
      <c r="EI101" s="150">
        <f t="shared" si="268"/>
        <v>0.7220757109364353</v>
      </c>
      <c r="EJ101" s="150"/>
      <c r="EK101" s="456">
        <f t="shared" si="269"/>
        <v>0.50434377035735212</v>
      </c>
      <c r="EL101" s="456">
        <f t="shared" si="270"/>
        <v>2.0757120000000007</v>
      </c>
      <c r="EM101" s="456">
        <f t="shared" si="271"/>
        <v>2.3270418697470815E-2</v>
      </c>
      <c r="EN101" s="456">
        <f t="shared" si="272"/>
        <v>2.935274360294118E-2</v>
      </c>
      <c r="EO101">
        <f t="shared" si="273"/>
        <v>5.4000000000000003E-3</v>
      </c>
      <c r="EP101" s="144">
        <f t="shared" si="306"/>
        <v>28.670418697470815</v>
      </c>
      <c r="EQ101" s="456">
        <f t="shared" si="274"/>
        <v>3.1519573562056054</v>
      </c>
      <c r="ER101" s="144">
        <f t="shared" si="307"/>
        <v>3151.9573562056053</v>
      </c>
      <c r="ES101" s="456">
        <f t="shared" si="308"/>
        <v>1.0649999999999999</v>
      </c>
      <c r="ET101" s="456"/>
      <c r="EV101" s="144">
        <f t="shared" si="309"/>
        <v>1065</v>
      </c>
      <c r="EW101" s="456">
        <f t="shared" si="275"/>
        <v>0.22250460456942009</v>
      </c>
      <c r="EX101" s="456">
        <f t="shared" si="276"/>
        <v>0.1042786664648717</v>
      </c>
      <c r="EY101" s="456">
        <f t="shared" si="277"/>
        <v>31.876234821662543</v>
      </c>
      <c r="EZ101" s="456">
        <f t="shared" si="278"/>
        <v>33.14802364535722</v>
      </c>
      <c r="FA101" s="456">
        <f t="shared" si="279"/>
        <v>0.10880000000000002</v>
      </c>
      <c r="FB101" s="144">
        <f t="shared" si="310"/>
        <v>33256.823645357224</v>
      </c>
      <c r="FC101" s="150">
        <f t="shared" si="311"/>
        <v>37.473781001562827</v>
      </c>
      <c r="FD101" s="5">
        <f t="shared" si="312"/>
        <v>81.599999999999994</v>
      </c>
      <c r="FE101" s="150">
        <f t="shared" si="313"/>
        <v>0.68528940051823006</v>
      </c>
      <c r="FF101" s="5">
        <f t="shared" si="314"/>
        <v>68.528940051823</v>
      </c>
      <c r="FI101" s="59">
        <f t="shared" si="280"/>
        <v>-50</v>
      </c>
      <c r="FJ101">
        <f t="shared" si="281"/>
        <v>-50</v>
      </c>
      <c r="FL101">
        <f t="shared" si="282"/>
        <v>0.58436815193571934</v>
      </c>
    </row>
    <row r="102" spans="5:168">
      <c r="E102" s="147">
        <v>97</v>
      </c>
      <c r="F102" s="188">
        <f>IF(PLOT_TYPE=1, E102/100*Iout_max, min_I*EXP(N102*rr/100))</f>
        <v>0.48499999999999999</v>
      </c>
      <c r="G102" s="188"/>
      <c r="H102" s="188">
        <f>F102*Vout</f>
        <v>82.45</v>
      </c>
      <c r="I102" s="465">
        <f t="shared" si="184"/>
        <v>11.917958317514074</v>
      </c>
      <c r="J102" s="149">
        <f t="shared" si="185"/>
        <v>8.5433716002536659</v>
      </c>
      <c r="K102" s="149">
        <f t="shared" si="186"/>
        <v>20.543371600253664</v>
      </c>
      <c r="L102" s="379"/>
      <c r="M102" s="188">
        <f t="shared" si="187"/>
        <v>0.41753540337541178</v>
      </c>
      <c r="N102" s="149">
        <f>M102*I102*(Isw_max+VIN_nom/Lmag*ILIM_delay)*0.5*Efficiency</f>
        <v>166.46945812784119</v>
      </c>
      <c r="O102" s="149">
        <f t="shared" si="284"/>
        <v>82.45</v>
      </c>
      <c r="P102" s="188">
        <f>N102/Vout</f>
        <v>0.97923210663436</v>
      </c>
      <c r="Q102" s="188">
        <f t="shared" si="190"/>
        <v>170</v>
      </c>
      <c r="R102" s="188">
        <f>Isw_max/2*I102*Nps*(Q102+Vfwd1+F102/FL102*Rdcr_sec)/Q102/(I102+Nps*(Q102+Vfwd1+F102/FL102*Rdcr_sec))</f>
        <v>0.97571951637540844</v>
      </c>
      <c r="S102" s="149">
        <f t="shared" si="192"/>
        <v>581.03131677751776</v>
      </c>
      <c r="T102" s="460">
        <f>MIN(Vout, S102)</f>
        <v>170</v>
      </c>
      <c r="U102" s="188">
        <f t="shared" si="194"/>
        <v>33.30674535829985</v>
      </c>
      <c r="V102" s="188">
        <f t="shared" si="195"/>
        <v>4.1920030852961387</v>
      </c>
      <c r="W102" s="188">
        <f t="shared" si="196"/>
        <v>5.8478221918810585</v>
      </c>
      <c r="X102" s="172">
        <f t="shared" si="197"/>
        <v>248.80969866587452</v>
      </c>
      <c r="Y102" s="379">
        <f t="shared" si="198"/>
        <v>97.657916315117944</v>
      </c>
      <c r="AA102" s="188">
        <f t="shared" si="199"/>
        <v>13.333333333333336</v>
      </c>
      <c r="AB102" s="150">
        <f>L*AA102/J102*1000000</f>
        <v>2.3409961471658534</v>
      </c>
      <c r="AC102" s="150">
        <f>0.5*AB102*AA102*Nps*X102/1000</f>
        <v>0.1941541819847698</v>
      </c>
      <c r="AD102" s="150"/>
      <c r="AE102" s="150">
        <f t="shared" si="202"/>
        <v>2.3409961471658529</v>
      </c>
      <c r="AF102" s="314">
        <f>MAX(12, F102/(0.5*AE102/1000000*Isw_min*Nps)/1000)</f>
        <v>621.53028391845396</v>
      </c>
      <c r="AG102" s="456">
        <f t="shared" si="204"/>
        <v>0.19415418198476977</v>
      </c>
      <c r="AI102" s="150">
        <f t="shared" si="205"/>
        <v>17.767890195246196</v>
      </c>
      <c r="AJ102" s="150">
        <f>MAX(IF(F102&gt;AC102,U102,AI102),Isw_min)</f>
        <v>33.30674535829985</v>
      </c>
      <c r="AK102" s="150">
        <f>IF(F102&gt;AG102, (AJ102-Isw_min)/1.08*0.8+1.2, AF102*0.2/350+1)</f>
        <v>15.995120018493713</v>
      </c>
      <c r="AM102" s="314">
        <f t="shared" si="208"/>
        <v>485</v>
      </c>
      <c r="AN102" s="144">
        <f t="shared" si="209"/>
        <v>97.657916315117944</v>
      </c>
      <c r="AP102">
        <f t="shared" si="210"/>
        <v>485</v>
      </c>
      <c r="AQ102">
        <f t="shared" si="211"/>
        <v>97.657916315117944</v>
      </c>
      <c r="AS102" s="5">
        <f t="shared" si="285"/>
        <v>10.239825277177195</v>
      </c>
      <c r="AT102" s="5">
        <f t="shared" si="212"/>
        <v>4.1920030852961387</v>
      </c>
      <c r="AU102" s="5">
        <f t="shared" si="286"/>
        <v>6.047822191881056</v>
      </c>
      <c r="AV102" s="5">
        <f t="shared" si="213"/>
        <v>5.8478221918810585</v>
      </c>
      <c r="AW102" s="150">
        <f t="shared" si="287"/>
        <v>0.40938228649656661</v>
      </c>
      <c r="AX102" s="150">
        <f t="shared" si="214"/>
        <v>81.25182239450568</v>
      </c>
      <c r="AY102" s="150">
        <f t="shared" si="215"/>
        <v>0.49178884469400375</v>
      </c>
      <c r="AZ102" s="150">
        <f t="shared" si="288"/>
        <v>165.21688783945766</v>
      </c>
      <c r="BA102" s="144">
        <f t="shared" si="216"/>
        <v>1.1959538213933099</v>
      </c>
      <c r="BB102" s="5">
        <f t="shared" si="217"/>
        <v>69.732712941249716</v>
      </c>
      <c r="BC102" s="5"/>
      <c r="BD102" s="150">
        <f t="shared" si="289"/>
        <v>12.303710193157215</v>
      </c>
      <c r="BE102" s="150">
        <f t="shared" si="218"/>
        <v>0.73891555269136711</v>
      </c>
      <c r="BF102" s="150"/>
      <c r="BG102" s="456">
        <f t="shared" si="219"/>
        <v>0.51469636735848256</v>
      </c>
      <c r="BH102" s="456">
        <f t="shared" si="220"/>
        <v>1.6003570602678123</v>
      </c>
      <c r="BI102" s="456">
        <f t="shared" si="221"/>
        <v>5.3305840301663486E-2</v>
      </c>
      <c r="BJ102" s="456">
        <f t="shared" si="222"/>
        <v>2.8231988546525075E-2</v>
      </c>
      <c r="BK102">
        <f t="shared" si="223"/>
        <v>5.3630812428813335E-3</v>
      </c>
      <c r="BL102" s="144">
        <f t="shared" si="290"/>
        <v>58.668921544544816</v>
      </c>
      <c r="BM102" s="456">
        <f t="shared" si="224"/>
        <v>2.6002418380878094</v>
      </c>
      <c r="BN102" s="144">
        <f t="shared" si="291"/>
        <v>2600.2418380878094</v>
      </c>
      <c r="BO102" s="456">
        <f t="shared" si="225"/>
        <v>1.0760937499999998</v>
      </c>
      <c r="BP102" s="456"/>
      <c r="BR102" s="144">
        <f t="shared" si="292"/>
        <v>1076.0937499999998</v>
      </c>
      <c r="BS102" s="456">
        <f t="shared" si="226"/>
        <v>0.22707192677580113</v>
      </c>
      <c r="BT102" s="456">
        <f t="shared" si="227"/>
        <v>0.10919923880183771</v>
      </c>
      <c r="BU102" s="456">
        <f t="shared" si="228"/>
        <v>1.23675</v>
      </c>
      <c r="BV102" s="456">
        <f>(BU102+(BS102+BT102)*(1+Ltc*(Ta-25)))/(1-(BS102+BT102)*Ltc*ThetaCa)</f>
        <v>1.6994441710961625</v>
      </c>
      <c r="BW102" s="456">
        <f t="shared" si="230"/>
        <v>0.10833576319267425</v>
      </c>
      <c r="BX102" s="144">
        <f t="shared" si="293"/>
        <v>1807.7799342888368</v>
      </c>
      <c r="BY102" s="150">
        <f t="shared" si="231"/>
        <v>5.5427844439211924</v>
      </c>
      <c r="BZ102" s="5">
        <f t="shared" si="294"/>
        <v>82.45</v>
      </c>
      <c r="CA102" s="150">
        <f t="shared" si="295"/>
        <v>0.93700864816417229</v>
      </c>
      <c r="CB102" s="5">
        <f t="shared" si="296"/>
        <v>93.700864816417223</v>
      </c>
      <c r="CE102" s="59">
        <f t="shared" si="232"/>
        <v>-50</v>
      </c>
      <c r="CF102">
        <f t="shared" si="233"/>
        <v>-50</v>
      </c>
      <c r="CG102" s="150">
        <f t="shared" si="234"/>
        <v>0.57933965467070092</v>
      </c>
      <c r="CI102" s="147">
        <v>97</v>
      </c>
      <c r="CJ102" s="188">
        <f t="shared" si="297"/>
        <v>0.48499999999999999</v>
      </c>
      <c r="CK102" s="188"/>
      <c r="CL102" s="188">
        <f t="shared" si="235"/>
        <v>82.45</v>
      </c>
      <c r="CM102" s="465">
        <f t="shared" si="236"/>
        <v>12</v>
      </c>
      <c r="CN102" s="149">
        <f t="shared" si="237"/>
        <v>8.5350000000000001</v>
      </c>
      <c r="CO102" s="379">
        <f t="shared" si="238"/>
        <v>20.535</v>
      </c>
      <c r="CP102" s="379"/>
      <c r="CQ102" s="188">
        <f t="shared" si="239"/>
        <v>0.4156318480642805</v>
      </c>
      <c r="CR102" s="149">
        <f t="shared" si="240"/>
        <v>166.85124908692478</v>
      </c>
      <c r="CS102" s="149">
        <f t="shared" si="298"/>
        <v>82.45</v>
      </c>
      <c r="CT102" s="188">
        <f t="shared" si="241"/>
        <v>0.98147793580543985</v>
      </c>
      <c r="CU102" s="188">
        <f t="shared" si="242"/>
        <v>170</v>
      </c>
      <c r="CV102" s="188">
        <f t="shared" si="243"/>
        <v>0.97795728956301287</v>
      </c>
      <c r="CW102" s="149">
        <f t="shared" si="244"/>
        <v>585.0290900598992</v>
      </c>
      <c r="CX102" s="460">
        <f t="shared" si="245"/>
        <v>170</v>
      </c>
      <c r="CY102" s="188">
        <f t="shared" si="246"/>
        <v>33.062111892208556</v>
      </c>
      <c r="CZ102" s="188">
        <f t="shared" si="247"/>
        <v>4.1327639865260695</v>
      </c>
      <c r="DA102" s="188">
        <f t="shared" si="248"/>
        <v>5.8105644801772502</v>
      </c>
      <c r="DB102" s="172">
        <f t="shared" si="249"/>
        <v>249.37910883856827</v>
      </c>
      <c r="DC102" s="379">
        <f t="shared" si="299"/>
        <v>100.56994530037353</v>
      </c>
      <c r="DE102" s="188">
        <f t="shared" si="250"/>
        <v>13.333333333333334</v>
      </c>
      <c r="DF102" s="150">
        <f t="shared" si="251"/>
        <v>2.3432923257176337</v>
      </c>
      <c r="DG102" s="150">
        <f t="shared" si="252"/>
        <v>0.19478938397857323</v>
      </c>
      <c r="DH102" s="150"/>
      <c r="DI102" s="150">
        <f t="shared" si="253"/>
        <v>2.3432923257176337</v>
      </c>
      <c r="DJ102" s="314">
        <f t="shared" si="300"/>
        <v>620.92124999999976</v>
      </c>
      <c r="DK102" s="456">
        <f t="shared" si="254"/>
        <v>0.19478938397857321</v>
      </c>
      <c r="DM102" s="150">
        <f t="shared" si="255"/>
        <v>17.759182735378658</v>
      </c>
      <c r="DN102" s="150">
        <f t="shared" si="256"/>
        <v>33.062111892208556</v>
      </c>
      <c r="DO102" s="150">
        <f t="shared" si="257"/>
        <v>15.813910043611273</v>
      </c>
      <c r="DQ102" s="314">
        <f t="shared" si="258"/>
        <v>485</v>
      </c>
      <c r="DR102" s="144">
        <f t="shared" si="259"/>
        <v>100.56994530037353</v>
      </c>
      <c r="DT102">
        <f t="shared" si="260"/>
        <v>485</v>
      </c>
      <c r="DU102">
        <f t="shared" si="261"/>
        <v>100.56994530037353</v>
      </c>
      <c r="DW102" s="5">
        <f t="shared" si="301"/>
        <v>9.9433284667033206</v>
      </c>
      <c r="DX102" s="5">
        <f t="shared" si="262"/>
        <v>4.1327639865260695</v>
      </c>
      <c r="DY102" s="5">
        <f t="shared" si="302"/>
        <v>5.8105644801772511</v>
      </c>
      <c r="DZ102" s="5">
        <f t="shared" si="263"/>
        <v>5.8105644801772502</v>
      </c>
      <c r="EA102" s="150">
        <f t="shared" si="303"/>
        <v>0.4156318480642805</v>
      </c>
      <c r="EB102" s="150">
        <f t="shared" si="264"/>
        <v>82.449999999999989</v>
      </c>
      <c r="EC102" s="150">
        <f t="shared" si="265"/>
        <v>0.48301113063854728</v>
      </c>
      <c r="ED102" s="150">
        <f t="shared" si="304"/>
        <v>170.69999999999993</v>
      </c>
      <c r="EE102" s="144">
        <f t="shared" si="266"/>
        <v>1.1790532549794963</v>
      </c>
      <c r="EF102" s="5">
        <f t="shared" si="267"/>
        <v>66.539033526474213</v>
      </c>
      <c r="EG102" s="5"/>
      <c r="EH102" s="150">
        <f t="shared" si="305"/>
        <v>12.306211452199873</v>
      </c>
      <c r="EI102" s="150">
        <f t="shared" si="268"/>
        <v>0.72959733292535678</v>
      </c>
      <c r="EJ102" s="150"/>
      <c r="EK102" s="456">
        <f t="shared" si="269"/>
        <v>0.51490565704126801</v>
      </c>
      <c r="EL102" s="456">
        <f t="shared" si="270"/>
        <v>2.0757119999999998</v>
      </c>
      <c r="EM102" s="456">
        <f t="shared" si="271"/>
        <v>2.3030517473785539E-2</v>
      </c>
      <c r="EN102" s="456">
        <f t="shared" si="272"/>
        <v>2.905013799878714E-2</v>
      </c>
      <c r="EO102">
        <f t="shared" si="273"/>
        <v>5.4000000000000003E-3</v>
      </c>
      <c r="EP102" s="144">
        <f t="shared" si="306"/>
        <v>28.430517473785542</v>
      </c>
      <c r="EQ102" s="456">
        <f t="shared" si="274"/>
        <v>3.1756350642387576</v>
      </c>
      <c r="ER102" s="144">
        <f t="shared" si="307"/>
        <v>3175.6350642387574</v>
      </c>
      <c r="ES102" s="456">
        <f t="shared" si="308"/>
        <v>1.0760937499999998</v>
      </c>
      <c r="ET102" s="456"/>
      <c r="EV102" s="144">
        <f t="shared" si="309"/>
        <v>1076.0937499999998</v>
      </c>
      <c r="EW102" s="456">
        <f t="shared" si="275"/>
        <v>0.22716426045938296</v>
      </c>
      <c r="EX102" s="456">
        <f t="shared" si="276"/>
        <v>0.10646245364235879</v>
      </c>
      <c r="EY102" s="456">
        <f t="shared" si="277"/>
        <v>31.876234821662543</v>
      </c>
      <c r="EZ102" s="456">
        <f t="shared" si="278"/>
        <v>33.175387591238021</v>
      </c>
      <c r="FA102" s="456">
        <f t="shared" si="279"/>
        <v>0.10993333333333333</v>
      </c>
      <c r="FB102" s="144">
        <f t="shared" si="310"/>
        <v>33285.320924571351</v>
      </c>
      <c r="FC102" s="150">
        <f t="shared" si="311"/>
        <v>37.537049738810111</v>
      </c>
      <c r="FD102" s="5">
        <f t="shared" si="312"/>
        <v>82.45</v>
      </c>
      <c r="FE102" s="150">
        <f t="shared" si="313"/>
        <v>0.6871574905748461</v>
      </c>
      <c r="FF102" s="5">
        <f t="shared" si="314"/>
        <v>68.715749057484615</v>
      </c>
      <c r="FI102" s="59">
        <f t="shared" si="280"/>
        <v>-50</v>
      </c>
      <c r="FJ102">
        <f t="shared" si="281"/>
        <v>-50</v>
      </c>
      <c r="FL102">
        <f t="shared" si="282"/>
        <v>0.58436815193571956</v>
      </c>
    </row>
    <row r="103" spans="5:168">
      <c r="E103" s="147">
        <v>98</v>
      </c>
      <c r="F103" s="188">
        <f>IF(PLOT_TYPE=1, E103/100*Iout_max, min_I*EXP(N103*rr/100))</f>
        <v>0.49</v>
      </c>
      <c r="G103" s="188"/>
      <c r="H103" s="188">
        <f>F103*Vout</f>
        <v>83.3</v>
      </c>
      <c r="I103" s="465">
        <f t="shared" si="184"/>
        <v>11.917119867535181</v>
      </c>
      <c r="J103" s="149">
        <f t="shared" si="185"/>
        <v>8.543457156373961</v>
      </c>
      <c r="K103" s="149">
        <f t="shared" si="186"/>
        <v>20.543457156373961</v>
      </c>
      <c r="L103" s="379"/>
      <c r="M103" s="188">
        <f t="shared" si="187"/>
        <v>0.41755494930926546</v>
      </c>
      <c r="N103" s="149">
        <f>M103*I103*(Isw_max+VIN_nom/Lmag*ILIM_delay)*0.5*Efficiency</f>
        <v>166.46553902590057</v>
      </c>
      <c r="O103" s="149">
        <f t="shared" si="284"/>
        <v>83.3</v>
      </c>
      <c r="P103" s="188">
        <f>N103/Vout</f>
        <v>0.97920905309353279</v>
      </c>
      <c r="Q103" s="188">
        <f t="shared" si="190"/>
        <v>170</v>
      </c>
      <c r="R103" s="188">
        <f>Isw_max/2*I103*Nps*(Q103+Vfwd1+F103/FL103*Rdcr_sec)/Q103/(I103+Nps*(Q103+Vfwd1+F103/FL103*Rdcr_sec))</f>
        <v>0.97569654552962626</v>
      </c>
      <c r="S103" s="149">
        <f t="shared" si="192"/>
        <v>572.63702657633996</v>
      </c>
      <c r="T103" s="460">
        <f>MIN(Vout, S103)</f>
        <v>170</v>
      </c>
      <c r="U103" s="188">
        <f t="shared" si="194"/>
        <v>33.651243111699408</v>
      </c>
      <c r="V103" s="188">
        <f t="shared" si="195"/>
        <v>4.2356597255565953</v>
      </c>
      <c r="W103" s="188">
        <f t="shared" si="196"/>
        <v>5.9082481182562221</v>
      </c>
      <c r="X103" s="172">
        <f t="shared" si="197"/>
        <v>248.80384090997538</v>
      </c>
      <c r="Y103" s="379">
        <f t="shared" si="198"/>
        <v>96.675261912561183</v>
      </c>
      <c r="AA103" s="188">
        <f t="shared" si="199"/>
        <v>13.333333333333332</v>
      </c>
      <c r="AB103" s="150">
        <f>L*AA103/J103*1000000</f>
        <v>2.340972703898764</v>
      </c>
      <c r="AC103" s="150">
        <f>0.5*AB103*AA103*Nps*X103/1000</f>
        <v>0.19414766673180764</v>
      </c>
      <c r="AD103" s="150"/>
      <c r="AE103" s="150">
        <f t="shared" si="202"/>
        <v>2.3409727038987644</v>
      </c>
      <c r="AF103" s="314">
        <f>MAX(12, F103/(0.5*AE103/1000000*Isw_min*Nps)/1000)</f>
        <v>627.94410099348602</v>
      </c>
      <c r="AG103" s="456">
        <f t="shared" si="204"/>
        <v>0.19414766673180775</v>
      </c>
      <c r="AI103" s="150">
        <f t="shared" si="205"/>
        <v>17.859331841868023</v>
      </c>
      <c r="AJ103" s="150">
        <f>MAX(IF(F103&gt;AC103,U103,AI103),Isw_min)</f>
        <v>33.651243111699408</v>
      </c>
      <c r="AK103" s="150">
        <f>IF(F103&gt;AG103, (AJ103-Isw_min)/1.08*0.8+1.2, AF103*0.2/350+1)</f>
        <v>16.250303539530425</v>
      </c>
      <c r="AM103" s="314">
        <f t="shared" si="208"/>
        <v>490</v>
      </c>
      <c r="AN103" s="144">
        <f t="shared" si="209"/>
        <v>96.675261912561183</v>
      </c>
      <c r="AP103">
        <f t="shared" si="210"/>
        <v>490</v>
      </c>
      <c r="AQ103">
        <f t="shared" si="211"/>
        <v>96.675261912561183</v>
      </c>
      <c r="AS103" s="5">
        <f t="shared" si="285"/>
        <v>10.343907843812817</v>
      </c>
      <c r="AT103" s="5">
        <f t="shared" si="212"/>
        <v>4.2356597255565953</v>
      </c>
      <c r="AU103" s="5">
        <f t="shared" si="286"/>
        <v>6.1082481182562214</v>
      </c>
      <c r="AV103" s="5">
        <f t="shared" si="213"/>
        <v>5.9082481182562221</v>
      </c>
      <c r="AW103" s="150">
        <f t="shared" si="287"/>
        <v>0.40948351334067085</v>
      </c>
      <c r="AX103" s="150">
        <f t="shared" si="214"/>
        <v>82.106746796862879</v>
      </c>
      <c r="AY103" s="150">
        <f t="shared" si="215"/>
        <v>0.49679034635099212</v>
      </c>
      <c r="AZ103" s="150">
        <f t="shared" si="288"/>
        <v>165.27444101913537</v>
      </c>
      <c r="BA103" s="144">
        <f t="shared" si="216"/>
        <v>1.2208666267780772</v>
      </c>
      <c r="BB103" s="5">
        <f t="shared" si="217"/>
        <v>71.160520034273162</v>
      </c>
      <c r="BC103" s="5"/>
      <c r="BD103" s="150">
        <f t="shared" si="289"/>
        <v>12.43250650698393</v>
      </c>
      <c r="BE103" s="150">
        <f t="shared" si="218"/>
        <v>0.74649431166849456</v>
      </c>
      <c r="BF103" s="150"/>
      <c r="BG103" s="456">
        <f t="shared" si="219"/>
        <v>0.52552854135707239</v>
      </c>
      <c r="BH103" s="456">
        <f t="shared" si="220"/>
        <v>1.6006468264623419</v>
      </c>
      <c r="BI103" s="456">
        <f t="shared" si="221"/>
        <v>5.2765753347230632E-2</v>
      </c>
      <c r="BJ103" s="456">
        <f t="shared" si="222"/>
        <v>2.7948145153760675E-2</v>
      </c>
      <c r="BK103">
        <f t="shared" si="223"/>
        <v>5.3627039403908311E-3</v>
      </c>
      <c r="BL103" s="144">
        <f t="shared" si="290"/>
        <v>58.128457287621465</v>
      </c>
      <c r="BM103" s="456">
        <f t="shared" si="224"/>
        <v>2.6236154931284905</v>
      </c>
      <c r="BN103" s="144">
        <f t="shared" si="291"/>
        <v>2623.6154931284905</v>
      </c>
      <c r="BO103" s="456">
        <f t="shared" si="225"/>
        <v>1.0871875</v>
      </c>
      <c r="BP103" s="456"/>
      <c r="BR103" s="144">
        <f t="shared" si="292"/>
        <v>1087.1875</v>
      </c>
      <c r="BS103" s="456">
        <f t="shared" si="226"/>
        <v>0.23185082706929669</v>
      </c>
      <c r="BT103" s="456">
        <f t="shared" si="227"/>
        <v>0.11145075147068391</v>
      </c>
      <c r="BU103" s="456">
        <f t="shared" si="228"/>
        <v>1.2494999999999998</v>
      </c>
      <c r="BV103" s="456">
        <f>(BU103+(BS103+BT103)*(1+Ltc*(Ta-25)))/(1-(BS103+BT103)*Ltc*ThetaCa)</f>
        <v>1.7225009407492411</v>
      </c>
      <c r="BW103" s="456">
        <f t="shared" si="230"/>
        <v>0.10947566239581719</v>
      </c>
      <c r="BX103" s="144">
        <f t="shared" si="293"/>
        <v>1831.9766031450583</v>
      </c>
      <c r="BY103" s="150">
        <f t="shared" si="231"/>
        <v>5.6009080535611711</v>
      </c>
      <c r="BZ103" s="5">
        <f t="shared" si="294"/>
        <v>83.3</v>
      </c>
      <c r="CA103" s="150">
        <f t="shared" si="295"/>
        <v>0.9369983032098308</v>
      </c>
      <c r="CB103" s="5">
        <f t="shared" si="296"/>
        <v>93.699830320983082</v>
      </c>
      <c r="CE103" s="59">
        <f t="shared" si="232"/>
        <v>-50</v>
      </c>
      <c r="CF103">
        <f t="shared" si="233"/>
        <v>-50</v>
      </c>
      <c r="CG103" s="150">
        <f t="shared" si="234"/>
        <v>0.57939096586728267</v>
      </c>
      <c r="CI103" s="147">
        <v>98</v>
      </c>
      <c r="CJ103" s="188">
        <f t="shared" si="297"/>
        <v>0.49</v>
      </c>
      <c r="CK103" s="188"/>
      <c r="CL103" s="188">
        <f t="shared" si="235"/>
        <v>83.3</v>
      </c>
      <c r="CM103" s="465">
        <f t="shared" si="236"/>
        <v>12</v>
      </c>
      <c r="CN103" s="149">
        <f t="shared" si="237"/>
        <v>8.5350000000000001</v>
      </c>
      <c r="CO103" s="379">
        <f t="shared" si="238"/>
        <v>20.535</v>
      </c>
      <c r="CP103" s="379"/>
      <c r="CQ103" s="188">
        <f t="shared" si="239"/>
        <v>0.4156318480642805</v>
      </c>
      <c r="CR103" s="149">
        <f t="shared" si="240"/>
        <v>166.85124908692478</v>
      </c>
      <c r="CS103" s="149">
        <f t="shared" si="298"/>
        <v>83.3</v>
      </c>
      <c r="CT103" s="188">
        <f t="shared" si="241"/>
        <v>0.98147793580543985</v>
      </c>
      <c r="CU103" s="188">
        <f t="shared" si="242"/>
        <v>170</v>
      </c>
      <c r="CV103" s="188">
        <f t="shared" si="243"/>
        <v>0.97795728956301287</v>
      </c>
      <c r="CW103" s="149">
        <f t="shared" si="244"/>
        <v>576.61753164857294</v>
      </c>
      <c r="CX103" s="460">
        <f t="shared" si="245"/>
        <v>170</v>
      </c>
      <c r="CY103" s="188">
        <f t="shared" si="246"/>
        <v>33.402958406561218</v>
      </c>
      <c r="CZ103" s="188">
        <f t="shared" si="247"/>
        <v>4.1753698008201532</v>
      </c>
      <c r="DA103" s="188">
        <f t="shared" si="248"/>
        <v>5.8704672067770165</v>
      </c>
      <c r="DB103" s="172">
        <f t="shared" si="249"/>
        <v>249.37910883856827</v>
      </c>
      <c r="DC103" s="379">
        <f t="shared" si="299"/>
        <v>99.543721368737067</v>
      </c>
      <c r="DE103" s="188">
        <f t="shared" si="250"/>
        <v>13.333333333333334</v>
      </c>
      <c r="DF103" s="150">
        <f t="shared" si="251"/>
        <v>2.3432923257176337</v>
      </c>
      <c r="DG103" s="150">
        <f t="shared" si="252"/>
        <v>0.19478938397857323</v>
      </c>
      <c r="DH103" s="150"/>
      <c r="DI103" s="150">
        <f t="shared" si="253"/>
        <v>2.3432923257176337</v>
      </c>
      <c r="DJ103" s="314">
        <f t="shared" si="300"/>
        <v>627.32249999999976</v>
      </c>
      <c r="DK103" s="456">
        <f t="shared" si="254"/>
        <v>0.19478938397857321</v>
      </c>
      <c r="DM103" s="150">
        <f t="shared" si="255"/>
        <v>17.850490189347742</v>
      </c>
      <c r="DN103" s="150">
        <f t="shared" si="256"/>
        <v>33.402958406561218</v>
      </c>
      <c r="DO103" s="150">
        <f t="shared" si="257"/>
        <v>16.066388943131766</v>
      </c>
      <c r="DQ103" s="314">
        <f t="shared" si="258"/>
        <v>490</v>
      </c>
      <c r="DR103" s="144">
        <f t="shared" si="259"/>
        <v>99.543721368737067</v>
      </c>
      <c r="DT103">
        <f t="shared" si="260"/>
        <v>490</v>
      </c>
      <c r="DU103">
        <f t="shared" si="261"/>
        <v>99.543721368737067</v>
      </c>
      <c r="DW103" s="5">
        <f t="shared" si="301"/>
        <v>10.04583700759717</v>
      </c>
      <c r="DX103" s="5">
        <f t="shared" si="262"/>
        <v>4.1753698008201532</v>
      </c>
      <c r="DY103" s="5">
        <f t="shared" si="302"/>
        <v>5.8704672067770165</v>
      </c>
      <c r="DZ103" s="5">
        <f t="shared" si="263"/>
        <v>5.8704672067770165</v>
      </c>
      <c r="EA103" s="150">
        <f t="shared" si="303"/>
        <v>0.4156318480642805</v>
      </c>
      <c r="EB103" s="150">
        <f t="shared" si="264"/>
        <v>83.299999999999983</v>
      </c>
      <c r="EC103" s="150">
        <f t="shared" si="265"/>
        <v>0.48799062683069716</v>
      </c>
      <c r="ED103" s="150">
        <f t="shared" si="304"/>
        <v>170.69999999999996</v>
      </c>
      <c r="EE103" s="144">
        <f t="shared" si="266"/>
        <v>1.2034889425893383</v>
      </c>
      <c r="EF103" s="5">
        <f t="shared" si="267"/>
        <v>67.918044211739627</v>
      </c>
      <c r="EG103" s="5"/>
      <c r="EH103" s="150">
        <f t="shared" si="305"/>
        <v>12.433079611500901</v>
      </c>
      <c r="EI103" s="150">
        <f t="shared" si="268"/>
        <v>0.73711895491427781</v>
      </c>
      <c r="EJ103" s="150"/>
      <c r="EK103" s="456">
        <f t="shared" si="269"/>
        <v>0.52557699332812591</v>
      </c>
      <c r="EL103" s="456">
        <f t="shared" si="270"/>
        <v>2.0757119999999998</v>
      </c>
      <c r="EM103" s="456">
        <f t="shared" si="271"/>
        <v>2.2795512193440788E-2</v>
      </c>
      <c r="EN103" s="456">
        <f t="shared" si="272"/>
        <v>2.8753708019207676E-2</v>
      </c>
      <c r="EO103">
        <f t="shared" si="273"/>
        <v>5.4000000000000003E-3</v>
      </c>
      <c r="EP103" s="144">
        <f t="shared" si="306"/>
        <v>28.195512193440791</v>
      </c>
      <c r="EQ103" s="456">
        <f t="shared" si="274"/>
        <v>3.1997151272220483</v>
      </c>
      <c r="ER103" s="144">
        <f t="shared" si="307"/>
        <v>3199.7151272220485</v>
      </c>
      <c r="ES103" s="456">
        <f t="shared" si="308"/>
        <v>1.0871875</v>
      </c>
      <c r="ET103" s="456"/>
      <c r="EV103" s="144">
        <f t="shared" si="309"/>
        <v>1087.1875</v>
      </c>
      <c r="EW103" s="456">
        <f t="shared" si="275"/>
        <v>0.23187220293887911</v>
      </c>
      <c r="EX103" s="456">
        <f t="shared" si="276"/>
        <v>0.10866887073878342</v>
      </c>
      <c r="EY103" s="456">
        <f t="shared" si="277"/>
        <v>31.876234821662486</v>
      </c>
      <c r="EZ103" s="456">
        <f t="shared" si="278"/>
        <v>33.203066383061049</v>
      </c>
      <c r="FA103" s="456">
        <f t="shared" si="279"/>
        <v>0.11106666666666666</v>
      </c>
      <c r="FB103" s="144">
        <f t="shared" si="310"/>
        <v>33314.133049727716</v>
      </c>
      <c r="FC103" s="150">
        <f t="shared" si="311"/>
        <v>37.601035676949763</v>
      </c>
      <c r="FD103" s="5">
        <f t="shared" si="312"/>
        <v>83.3</v>
      </c>
      <c r="FE103" s="150">
        <f t="shared" si="313"/>
        <v>0.68899327068280403</v>
      </c>
      <c r="FF103" s="5">
        <f t="shared" si="314"/>
        <v>68.8993270682804</v>
      </c>
      <c r="FI103" s="59">
        <f t="shared" si="280"/>
        <v>-50</v>
      </c>
      <c r="FJ103">
        <f t="shared" si="281"/>
        <v>-50</v>
      </c>
      <c r="FL103">
        <f t="shared" si="282"/>
        <v>0.58436815193571956</v>
      </c>
    </row>
    <row r="104" spans="5:168">
      <c r="E104" s="147">
        <v>99</v>
      </c>
      <c r="F104" s="188">
        <f>IF(PLOT_TYPE=1, E104/100*Iout_max, min_I*EXP(N104*rr/100))</f>
        <v>0.495</v>
      </c>
      <c r="G104" s="188"/>
      <c r="H104" s="188">
        <f>F104*Vout</f>
        <v>84.15</v>
      </c>
      <c r="I104" s="465">
        <f t="shared" si="184"/>
        <v>11.916281416282496</v>
      </c>
      <c r="J104" s="149">
        <f t="shared" si="185"/>
        <v>8.5435427126242356</v>
      </c>
      <c r="K104" s="149">
        <f t="shared" si="186"/>
        <v>20.543542712624237</v>
      </c>
      <c r="L104" s="379"/>
      <c r="M104" s="188">
        <f t="shared" si="187"/>
        <v>0.4175744967076373</v>
      </c>
      <c r="N104" s="149">
        <f>M104*I104*(Isw_max+VIN_nom/Lmag*ILIM_delay)*0.5*Efficiency</f>
        <v>166.46161939349483</v>
      </c>
      <c r="O104" s="149">
        <f t="shared" si="284"/>
        <v>84.15</v>
      </c>
      <c r="P104" s="188">
        <f>N104/Vout</f>
        <v>0.97918599643232251</v>
      </c>
      <c r="Q104" s="188">
        <f t="shared" si="190"/>
        <v>170</v>
      </c>
      <c r="R104" s="188">
        <f>Isw_max/2*I104*Nps*(Q104+Vfwd1+F104/FL104*Rdcr_sec)/Q104/(I104+Nps*(Q104+Vfwd1+F104/FL104*Rdcr_sec))</f>
        <v>0.97567357157465395</v>
      </c>
      <c r="S104" s="149">
        <f t="shared" si="192"/>
        <v>564.41277645441698</v>
      </c>
      <c r="T104" s="460">
        <f>MIN(Vout, S104)</f>
        <v>170</v>
      </c>
      <c r="U104" s="188">
        <f t="shared" si="194"/>
        <v>33.995764072956312</v>
      </c>
      <c r="V104" s="188">
        <f t="shared" si="195"/>
        <v>4.2793254311497186</v>
      </c>
      <c r="W104" s="188">
        <f t="shared" si="196"/>
        <v>5.9686769089460379</v>
      </c>
      <c r="X104" s="172">
        <f t="shared" si="197"/>
        <v>248.79798236344857</v>
      </c>
      <c r="Y104" s="379">
        <f t="shared" si="198"/>
        <v>95.712076572030625</v>
      </c>
      <c r="AA104" s="188">
        <f t="shared" si="199"/>
        <v>13.333333333333334</v>
      </c>
      <c r="AB104" s="150">
        <f>L*AA104/J104*1000000</f>
        <v>2.3409492610655889</v>
      </c>
      <c r="AC104" s="150">
        <f>0.5*AB104*AA104*Nps*X104/1000</f>
        <v>0.19414115098944149</v>
      </c>
      <c r="AD104" s="150"/>
      <c r="AE104" s="150">
        <f t="shared" si="202"/>
        <v>2.3409492610655889</v>
      </c>
      <c r="AF104" s="314">
        <f>MAX(12, F104/(0.5*AE104/1000000*Isw_min*Nps)/1000)</f>
        <v>634.35804641234949</v>
      </c>
      <c r="AG104" s="456">
        <f t="shared" si="204"/>
        <v>0.19414115098944146</v>
      </c>
      <c r="AI104" s="150">
        <f t="shared" si="205"/>
        <v>17.950309492488255</v>
      </c>
      <c r="AJ104" s="150">
        <f>MAX(IF(F104&gt;AC104,U104,AI104),Isw_min)</f>
        <v>33.995764072956312</v>
      </c>
      <c r="AK104" s="150">
        <f>IF(F104&gt;AG104, (AJ104-Isw_min)/1.08*0.8+1.2, AF104*0.2/350+1)</f>
        <v>16.505504251572575</v>
      </c>
      <c r="AM104" s="314">
        <f t="shared" si="208"/>
        <v>495</v>
      </c>
      <c r="AN104" s="144">
        <f t="shared" si="209"/>
        <v>95.712076572030625</v>
      </c>
      <c r="AP104">
        <f t="shared" si="210"/>
        <v>495</v>
      </c>
      <c r="AQ104">
        <f t="shared" si="211"/>
        <v>95.712076572030625</v>
      </c>
      <c r="AS104" s="5">
        <f t="shared" si="285"/>
        <v>10.448002340095755</v>
      </c>
      <c r="AT104" s="5">
        <f t="shared" si="212"/>
        <v>4.2793254311497186</v>
      </c>
      <c r="AU104" s="5">
        <f t="shared" si="286"/>
        <v>6.1686769089460363</v>
      </c>
      <c r="AV104" s="5">
        <f t="shared" si="213"/>
        <v>5.9686769089460379</v>
      </c>
      <c r="AW104" s="150">
        <f t="shared" si="287"/>
        <v>0.40958312334283981</v>
      </c>
      <c r="AX104" s="150">
        <f t="shared" si="214"/>
        <v>82.96169477792597</v>
      </c>
      <c r="AY104" s="150">
        <f t="shared" si="215"/>
        <v>0.50179182108821418</v>
      </c>
      <c r="AZ104" s="150">
        <f t="shared" si="288"/>
        <v>165.33090275965546</v>
      </c>
      <c r="BA104" s="144">
        <f t="shared" si="216"/>
        <v>1.2460388755406535</v>
      </c>
      <c r="BB104" s="5">
        <f t="shared" si="217"/>
        <v>72.602929240788541</v>
      </c>
      <c r="BC104" s="5"/>
      <c r="BD104" s="150">
        <f t="shared" si="289"/>
        <v>12.561317876267946</v>
      </c>
      <c r="BE104" s="150">
        <f t="shared" si="218"/>
        <v>0.75407330243714887</v>
      </c>
      <c r="BF104" s="150"/>
      <c r="BG104" s="456">
        <f t="shared" si="219"/>
        <v>0.53647480308140549</v>
      </c>
      <c r="BH104" s="456">
        <f t="shared" si="220"/>
        <v>1.6009302194536492</v>
      </c>
      <c r="BI104" s="456">
        <f t="shared" si="221"/>
        <v>5.2236367403104597E-2</v>
      </c>
      <c r="BJ104" s="456">
        <f t="shared" si="222"/>
        <v>2.7669925447141575E-2</v>
      </c>
      <c r="BK104">
        <f t="shared" si="223"/>
        <v>5.3623266373271231E-3</v>
      </c>
      <c r="BL104" s="144">
        <f t="shared" si="290"/>
        <v>57.598694040431717</v>
      </c>
      <c r="BM104" s="456">
        <f t="shared" si="224"/>
        <v>2.6473744733631608</v>
      </c>
      <c r="BN104" s="144">
        <f t="shared" si="291"/>
        <v>2647.3744733631606</v>
      </c>
      <c r="BO104" s="456">
        <f t="shared" si="225"/>
        <v>1.0982812499999999</v>
      </c>
      <c r="BP104" s="456"/>
      <c r="BR104" s="144">
        <f t="shared" si="292"/>
        <v>1098.2812499999998</v>
      </c>
      <c r="BS104" s="456">
        <f t="shared" si="226"/>
        <v>0.23668006018297302</v>
      </c>
      <c r="BT104" s="456">
        <f t="shared" si="227"/>
        <v>0.11372530908969357</v>
      </c>
      <c r="BU104" s="456">
        <f t="shared" si="228"/>
        <v>1.2622500000000001</v>
      </c>
      <c r="BV104" s="456">
        <f>(BU104+(BS104+BT104)*(1+Ltc*(Ta-25)))/(1-(BS104+BT104)*Ltc*ThetaCa)</f>
        <v>1.7456885491542227</v>
      </c>
      <c r="BW104" s="456">
        <f t="shared" si="230"/>
        <v>0.11061559303723463</v>
      </c>
      <c r="BX104" s="144">
        <f t="shared" si="293"/>
        <v>1856.3041421914572</v>
      </c>
      <c r="BY104" s="150">
        <f t="shared" si="231"/>
        <v>5.6595585595950499</v>
      </c>
      <c r="BZ104" s="5">
        <f t="shared" si="294"/>
        <v>84.15</v>
      </c>
      <c r="CA104" s="150">
        <f t="shared" si="295"/>
        <v>0.93698267032634908</v>
      </c>
      <c r="CB104" s="5">
        <f t="shared" si="296"/>
        <v>93.698267032634902</v>
      </c>
      <c r="CE104" s="59">
        <f t="shared" si="232"/>
        <v>-50</v>
      </c>
      <c r="CF104">
        <f t="shared" si="233"/>
        <v>-50</v>
      </c>
      <c r="CG104" s="150">
        <f t="shared" si="234"/>
        <v>0.57944124047403456</v>
      </c>
      <c r="CI104" s="147">
        <v>99</v>
      </c>
      <c r="CJ104" s="188">
        <f t="shared" si="297"/>
        <v>0.495</v>
      </c>
      <c r="CK104" s="188"/>
      <c r="CL104" s="188">
        <f t="shared" si="235"/>
        <v>84.15</v>
      </c>
      <c r="CM104" s="465">
        <f t="shared" si="236"/>
        <v>12</v>
      </c>
      <c r="CN104" s="149">
        <f t="shared" si="237"/>
        <v>8.5350000000000001</v>
      </c>
      <c r="CO104" s="379">
        <f t="shared" si="238"/>
        <v>20.535</v>
      </c>
      <c r="CP104" s="379"/>
      <c r="CQ104" s="188">
        <f t="shared" si="239"/>
        <v>0.4156318480642805</v>
      </c>
      <c r="CR104" s="149">
        <f t="shared" si="240"/>
        <v>166.85124908692478</v>
      </c>
      <c r="CS104" s="149">
        <f t="shared" si="298"/>
        <v>84.15</v>
      </c>
      <c r="CT104" s="188">
        <f t="shared" si="241"/>
        <v>0.98147793580543985</v>
      </c>
      <c r="CU104" s="188">
        <f t="shared" si="242"/>
        <v>170</v>
      </c>
      <c r="CV104" s="188">
        <f t="shared" si="243"/>
        <v>0.97795728956301287</v>
      </c>
      <c r="CW104" s="149">
        <f t="shared" si="244"/>
        <v>568.37602347044196</v>
      </c>
      <c r="CX104" s="460">
        <f t="shared" si="245"/>
        <v>170</v>
      </c>
      <c r="CY104" s="188">
        <f t="shared" si="246"/>
        <v>33.743804920913888</v>
      </c>
      <c r="CZ104" s="188">
        <f t="shared" si="247"/>
        <v>4.217975615114236</v>
      </c>
      <c r="DA104" s="188">
        <f t="shared" si="248"/>
        <v>5.9303699333767819</v>
      </c>
      <c r="DB104" s="172">
        <f t="shared" si="249"/>
        <v>249.37910883856827</v>
      </c>
      <c r="DC104" s="379">
        <f t="shared" si="299"/>
        <v>98.538229233699312</v>
      </c>
      <c r="DE104" s="188">
        <f t="shared" si="250"/>
        <v>13.333333333333334</v>
      </c>
      <c r="DF104" s="150">
        <f t="shared" si="251"/>
        <v>2.3432923257176337</v>
      </c>
      <c r="DG104" s="150">
        <f t="shared" si="252"/>
        <v>0.19478938397857323</v>
      </c>
      <c r="DH104" s="150"/>
      <c r="DI104" s="150">
        <f t="shared" si="253"/>
        <v>2.3432923257176337</v>
      </c>
      <c r="DJ104" s="314">
        <f t="shared" si="300"/>
        <v>633.72374999999977</v>
      </c>
      <c r="DK104" s="456">
        <f t="shared" si="254"/>
        <v>0.19478938397857321</v>
      </c>
      <c r="DM104" s="150">
        <f t="shared" si="255"/>
        <v>17.941332965290748</v>
      </c>
      <c r="DN104" s="150">
        <f t="shared" si="256"/>
        <v>33.743804920913888</v>
      </c>
      <c r="DO104" s="150">
        <f t="shared" si="257"/>
        <v>16.318867842652264</v>
      </c>
      <c r="DQ104" s="314">
        <f t="shared" si="258"/>
        <v>495</v>
      </c>
      <c r="DR104" s="144">
        <f t="shared" si="259"/>
        <v>98.538229233699312</v>
      </c>
      <c r="DT104">
        <f t="shared" si="260"/>
        <v>495</v>
      </c>
      <c r="DU104">
        <f t="shared" si="261"/>
        <v>98.538229233699312</v>
      </c>
      <c r="DW104" s="5">
        <f t="shared" si="301"/>
        <v>10.148345548491019</v>
      </c>
      <c r="DX104" s="5">
        <f t="shared" si="262"/>
        <v>4.217975615114236</v>
      </c>
      <c r="DY104" s="5">
        <f t="shared" si="302"/>
        <v>5.9303699333767828</v>
      </c>
      <c r="DZ104" s="5">
        <f t="shared" si="263"/>
        <v>5.9303699333767819</v>
      </c>
      <c r="EA104" s="150">
        <f t="shared" si="303"/>
        <v>0.41563184806428044</v>
      </c>
      <c r="EB104" s="150">
        <f t="shared" si="264"/>
        <v>84.15</v>
      </c>
      <c r="EC104" s="150">
        <f t="shared" si="265"/>
        <v>0.49297012302284721</v>
      </c>
      <c r="ED104" s="150">
        <f t="shared" si="304"/>
        <v>170.7</v>
      </c>
      <c r="EE104" s="144">
        <f t="shared" si="266"/>
        <v>1.228175252636204</v>
      </c>
      <c r="EF104" s="5">
        <f t="shared" si="267"/>
        <v>69.311198596341129</v>
      </c>
      <c r="EG104" s="5"/>
      <c r="EH104" s="150">
        <f t="shared" si="305"/>
        <v>12.55994777080193</v>
      </c>
      <c r="EI104" s="150">
        <f t="shared" si="268"/>
        <v>0.74464057690319918</v>
      </c>
      <c r="EJ104" s="150"/>
      <c r="EK104" s="456">
        <f t="shared" si="269"/>
        <v>0.53635777921792605</v>
      </c>
      <c r="EL104" s="456">
        <f t="shared" si="270"/>
        <v>2.0757120000000002</v>
      </c>
      <c r="EM104" s="456">
        <f t="shared" si="271"/>
        <v>2.2565254494517142E-2</v>
      </c>
      <c r="EN104" s="456">
        <f t="shared" si="272"/>
        <v>2.8463266524064161E-2</v>
      </c>
      <c r="EO104">
        <f t="shared" si="273"/>
        <v>5.4000000000000003E-3</v>
      </c>
      <c r="EP104" s="144">
        <f t="shared" si="306"/>
        <v>27.965254494517144</v>
      </c>
      <c r="EQ104" s="456">
        <f t="shared" si="274"/>
        <v>3.2242028211679146</v>
      </c>
      <c r="ER104" s="144">
        <f t="shared" si="307"/>
        <v>3224.2028211679144</v>
      </c>
      <c r="ES104" s="456">
        <f t="shared" si="308"/>
        <v>1.0982812499999999</v>
      </c>
      <c r="ET104" s="456"/>
      <c r="EV104" s="144">
        <f t="shared" si="309"/>
        <v>1098.2812499999998</v>
      </c>
      <c r="EW104" s="456">
        <f t="shared" si="275"/>
        <v>0.23662843200790853</v>
      </c>
      <c r="EX104" s="456">
        <f t="shared" si="276"/>
        <v>0.11089791775414587</v>
      </c>
      <c r="EY104" s="456">
        <f t="shared" si="277"/>
        <v>31.876234821662543</v>
      </c>
      <c r="EZ104" s="456">
        <f t="shared" si="278"/>
        <v>33.231061042801471</v>
      </c>
      <c r="FA104" s="456">
        <f t="shared" si="279"/>
        <v>0.11220000000000002</v>
      </c>
      <c r="FB104" s="144">
        <f t="shared" si="310"/>
        <v>33343.261042801474</v>
      </c>
      <c r="FC104" s="150">
        <f t="shared" si="311"/>
        <v>37.665745113969386</v>
      </c>
      <c r="FD104" s="5">
        <f t="shared" si="312"/>
        <v>84.15</v>
      </c>
      <c r="FE104" s="150">
        <f t="shared" si="313"/>
        <v>0.6907973999688648</v>
      </c>
      <c r="FF104" s="5">
        <f t="shared" si="314"/>
        <v>69.079739996886474</v>
      </c>
      <c r="FI104" s="59">
        <f t="shared" si="280"/>
        <v>-50</v>
      </c>
      <c r="FJ104">
        <f t="shared" si="281"/>
        <v>-50</v>
      </c>
      <c r="FL104">
        <f t="shared" si="282"/>
        <v>0.58436815193571956</v>
      </c>
    </row>
    <row r="105" spans="5:168">
      <c r="E105" s="147">
        <v>100</v>
      </c>
      <c r="F105" s="188">
        <f>IF(PLOT_TYPE=1, E105/100*Iout_max, min_I*EXP(N105*rr/100))</f>
        <v>0.5</v>
      </c>
      <c r="G105" s="188"/>
      <c r="H105" s="188">
        <f>F105*Vout</f>
        <v>85</v>
      </c>
      <c r="I105" s="465">
        <f t="shared" si="184"/>
        <v>11.915442963794554</v>
      </c>
      <c r="J105" s="149">
        <f t="shared" si="185"/>
        <v>8.5436282690005552</v>
      </c>
      <c r="K105" s="149">
        <f t="shared" si="186"/>
        <v>20.543628269000557</v>
      </c>
      <c r="L105" s="379"/>
      <c r="M105" s="188">
        <f t="shared" si="187"/>
        <v>0.41759404556990626</v>
      </c>
      <c r="N105" s="149">
        <f>M105*I105*(Isw_max+VIN_nom/Lmag*ILIM_delay)*0.5*Efficiency</f>
        <v>166.45769923078907</v>
      </c>
      <c r="O105" s="149">
        <f t="shared" si="284"/>
        <v>85</v>
      </c>
      <c r="P105" s="188">
        <f>N105/Vout</f>
        <v>0.9791629366517004</v>
      </c>
      <c r="Q105" s="188">
        <f t="shared" si="190"/>
        <v>170</v>
      </c>
      <c r="R105" s="188">
        <f>Isw_max/2*I105*Nps*(Q105+Vfwd1+F105/FL105*Rdcr_sec)/Q105/(I105+Nps*(Q105+Vfwd1+F105/FL105*Rdcr_sec))</f>
        <v>0.97565059451145919</v>
      </c>
      <c r="S105" s="149">
        <f t="shared" si="192"/>
        <v>556.35346671901175</v>
      </c>
      <c r="T105" s="460">
        <f>MIN(Vout, S105)</f>
        <v>170</v>
      </c>
      <c r="U105" s="188">
        <f t="shared" si="194"/>
        <v>34.340308246969691</v>
      </c>
      <c r="V105" s="188">
        <f>L*U105/I105*1000000</f>
        <v>4.3230002046059628</v>
      </c>
      <c r="W105" s="188">
        <f t="shared" si="196"/>
        <v>6.0291085647246092</v>
      </c>
      <c r="X105" s="172">
        <f t="shared" si="197"/>
        <v>248.79212302647346</v>
      </c>
      <c r="Y105" s="379">
        <f>MIN(1/(V105+W105+0.2)*1000, 350)</f>
        <v>94.767787355118429</v>
      </c>
      <c r="AA105" s="188">
        <f t="shared" si="199"/>
        <v>13.333333333333334</v>
      </c>
      <c r="AB105" s="150">
        <f>L*AA105/J105*1000000</f>
        <v>2.3409258186673925</v>
      </c>
      <c r="AC105" s="150">
        <f>0.5*AB105*AA105*Nps*X105/1000</f>
        <v>0.19413463475791537</v>
      </c>
      <c r="AD105" s="150"/>
      <c r="AE105" s="150">
        <f t="shared" si="202"/>
        <v>2.3409258186673925</v>
      </c>
      <c r="AF105" s="314">
        <f>MAX(12, F105/(0.5*AE105/1000000*Isw_min*Nps)/1000)</f>
        <v>640.77212017504132</v>
      </c>
      <c r="AG105" s="456">
        <f t="shared" si="204"/>
        <v>0.1941346347579154</v>
      </c>
      <c r="AI105" s="150">
        <f t="shared" si="205"/>
        <v>18.040830166729663</v>
      </c>
      <c r="AJ105" s="150">
        <f>MAX(IF(F105&gt;AC105,U105,AI105),Isw_min)</f>
        <v>34.340308246969691</v>
      </c>
      <c r="AK105" s="150">
        <f>IF(F105&gt;AG105, (AJ105-Isw_min)/1.08*0.8+1.2, AF105*0.2/350+1)</f>
        <v>16.760722158249152</v>
      </c>
      <c r="AM105" s="314">
        <f t="shared" si="208"/>
        <v>500</v>
      </c>
      <c r="AN105" s="144">
        <f t="shared" si="209"/>
        <v>94.767787355118429</v>
      </c>
      <c r="AP105">
        <f t="shared" si="210"/>
        <v>500</v>
      </c>
      <c r="AQ105" s="3">
        <f t="shared" si="211"/>
        <v>94.767787355118429</v>
      </c>
      <c r="AS105" s="5">
        <f t="shared" si="285"/>
        <v>10.552108769330571</v>
      </c>
      <c r="AT105" s="5">
        <f t="shared" si="212"/>
        <v>4.3230002046059628</v>
      </c>
      <c r="AU105" s="5">
        <f t="shared" si="286"/>
        <v>6.2291085647246085</v>
      </c>
      <c r="AV105" s="5">
        <f t="shared" si="213"/>
        <v>6.0291085647246092</v>
      </c>
      <c r="AW105" s="150">
        <f t="shared" si="287"/>
        <v>0.40968116412623135</v>
      </c>
      <c r="AX105" s="150">
        <f t="shared" si="214"/>
        <v>83.816666147650054</v>
      </c>
      <c r="AY105" s="150">
        <f t="shared" si="215"/>
        <v>0.50679326969743821</v>
      </c>
      <c r="AZ105" s="150">
        <f t="shared" si="288"/>
        <v>165.38630475043527</v>
      </c>
      <c r="BA105" s="144">
        <f t="shared" si="216"/>
        <v>1.2714706484135185</v>
      </c>
      <c r="BB105" s="5">
        <f t="shared" si="217"/>
        <v>74.059944674376993</v>
      </c>
      <c r="BC105" s="5"/>
      <c r="BD105" s="150">
        <f t="shared" si="289"/>
        <v>12.690144293123801</v>
      </c>
      <c r="BE105" s="150">
        <f t="shared" si="218"/>
        <v>0.76165252573816256</v>
      </c>
      <c r="BF105" s="150"/>
      <c r="BG105" s="456">
        <f t="shared" si="219"/>
        <v>0.54753519141302875</v>
      </c>
      <c r="BH105" s="456">
        <f t="shared" si="220"/>
        <v>1.6012074266322986</v>
      </c>
      <c r="BI105" s="456">
        <f t="shared" si="221"/>
        <v>5.1717367558599535E-2</v>
      </c>
      <c r="BJ105" s="456">
        <f t="shared" si="222"/>
        <v>2.7397163931995028E-2</v>
      </c>
      <c r="BK105">
        <f t="shared" si="223"/>
        <v>5.361949333707549E-3</v>
      </c>
      <c r="BL105" s="144">
        <f t="shared" si="290"/>
        <v>57.079316892307084</v>
      </c>
      <c r="BM105" s="456">
        <f t="shared" si="224"/>
        <v>2.6715245662874314</v>
      </c>
      <c r="BN105" s="144">
        <f t="shared" si="291"/>
        <v>2671.5245662874313</v>
      </c>
      <c r="BO105" s="456">
        <f t="shared" si="225"/>
        <v>1.109375</v>
      </c>
      <c r="BP105" s="456"/>
      <c r="BR105" s="144">
        <f t="shared" si="292"/>
        <v>1109.375</v>
      </c>
      <c r="BS105" s="456">
        <f t="shared" si="226"/>
        <v>0.24155964327045387</v>
      </c>
      <c r="BT105" s="456">
        <f t="shared" si="227"/>
        <v>0.11602291399266447</v>
      </c>
      <c r="BU105" s="456">
        <f t="shared" si="228"/>
        <v>1.2749999999999999</v>
      </c>
      <c r="BV105" s="456">
        <f>(BU105+(BS105+BT105)*(1+Ltc*(Ta-25)))/(1-(BS105+BT105)*Ltc*ThetaCa)</f>
        <v>1.7690076740383229</v>
      </c>
      <c r="BW105" s="456">
        <f t="shared" si="230"/>
        <v>0.11175555486353342</v>
      </c>
      <c r="BX105" s="144">
        <f t="shared" si="293"/>
        <v>1880.7632289018563</v>
      </c>
      <c r="BY105" s="150">
        <f>SUM(BM105,BO105:BQ105,BV105, BW105)+BK105+BI105</f>
        <v>5.7187421120815944</v>
      </c>
      <c r="BZ105" s="5">
        <f t="shared" si="294"/>
        <v>85</v>
      </c>
      <c r="CA105" s="150">
        <f>BZ105/(BZ105+BY105)</f>
        <v>0.93696184516076975</v>
      </c>
      <c r="CB105" s="5">
        <f>CA105*100</f>
        <v>93.696184516076968</v>
      </c>
      <c r="CE105" s="59">
        <f t="shared" si="232"/>
        <v>-50</v>
      </c>
      <c r="CF105">
        <f t="shared" si="233"/>
        <v>-50</v>
      </c>
      <c r="CG105" s="150">
        <f t="shared" si="234"/>
        <v>0.57949050958865145</v>
      </c>
      <c r="CI105" s="147">
        <v>100</v>
      </c>
      <c r="CJ105" s="188">
        <f t="shared" si="297"/>
        <v>0.5</v>
      </c>
      <c r="CK105" s="188"/>
      <c r="CL105" s="188">
        <f t="shared" si="235"/>
        <v>85</v>
      </c>
      <c r="CM105" s="465">
        <f t="shared" si="236"/>
        <v>12</v>
      </c>
      <c r="CN105" s="149">
        <f t="shared" si="237"/>
        <v>8.5350000000000001</v>
      </c>
      <c r="CO105" s="379">
        <f t="shared" si="238"/>
        <v>20.535</v>
      </c>
      <c r="CP105" s="379"/>
      <c r="CQ105" s="188">
        <f t="shared" si="239"/>
        <v>0.4156318480642805</v>
      </c>
      <c r="CR105" s="149">
        <f t="shared" si="240"/>
        <v>166.85124908692478</v>
      </c>
      <c r="CS105" s="149">
        <f t="shared" si="298"/>
        <v>85</v>
      </c>
      <c r="CT105" s="188">
        <f t="shared" si="241"/>
        <v>0.98147793580543985</v>
      </c>
      <c r="CU105" s="188">
        <f t="shared" si="242"/>
        <v>170</v>
      </c>
      <c r="CV105" s="188">
        <f t="shared" si="243"/>
        <v>0.97795728956301287</v>
      </c>
      <c r="CW105" s="149">
        <f t="shared" si="244"/>
        <v>560.29946552594765</v>
      </c>
      <c r="CX105" s="460">
        <f t="shared" si="245"/>
        <v>170</v>
      </c>
      <c r="CY105" s="188">
        <f t="shared" si="246"/>
        <v>34.084651435266551</v>
      </c>
      <c r="CZ105" s="188">
        <f t="shared" si="247"/>
        <v>4.2605814294083189</v>
      </c>
      <c r="DA105" s="188">
        <f t="shared" si="248"/>
        <v>5.9902726599765472</v>
      </c>
      <c r="DB105" s="172">
        <f t="shared" si="249"/>
        <v>249.37910883856827</v>
      </c>
      <c r="DC105" s="379">
        <f t="shared" si="299"/>
        <v>97.552846941362333</v>
      </c>
      <c r="DE105" s="188">
        <f t="shared" si="250"/>
        <v>13.333333333333334</v>
      </c>
      <c r="DF105" s="150">
        <f t="shared" si="251"/>
        <v>2.3432923257176337</v>
      </c>
      <c r="DG105" s="150">
        <f t="shared" si="252"/>
        <v>0.19478938397857323</v>
      </c>
      <c r="DH105" s="150"/>
      <c r="DI105" s="150">
        <f t="shared" si="253"/>
        <v>2.3432923257176337</v>
      </c>
      <c r="DJ105" s="314">
        <f t="shared" si="300"/>
        <v>640.12499999999977</v>
      </c>
      <c r="DK105" s="456">
        <f t="shared" si="254"/>
        <v>0.19478938397857321</v>
      </c>
      <c r="DM105" s="150">
        <f t="shared" si="255"/>
        <v>18.031718086273894</v>
      </c>
      <c r="DN105" s="150">
        <f t="shared" si="256"/>
        <v>34.084651435266551</v>
      </c>
      <c r="DO105" s="150">
        <f t="shared" si="257"/>
        <v>16.57134674217275</v>
      </c>
      <c r="DQ105" s="314">
        <f t="shared" si="258"/>
        <v>500</v>
      </c>
      <c r="DR105" s="144">
        <f t="shared" si="259"/>
        <v>97.552846941362333</v>
      </c>
      <c r="DT105">
        <f t="shared" si="260"/>
        <v>500</v>
      </c>
      <c r="DU105" s="3">
        <f t="shared" si="261"/>
        <v>97.552846941362333</v>
      </c>
      <c r="DW105" s="5">
        <f t="shared" si="301"/>
        <v>10.250854089384866</v>
      </c>
      <c r="DX105" s="5">
        <f t="shared" si="262"/>
        <v>4.2605814294083189</v>
      </c>
      <c r="DY105" s="5">
        <f t="shared" si="302"/>
        <v>5.9902726599765472</v>
      </c>
      <c r="DZ105" s="5">
        <f t="shared" si="263"/>
        <v>5.9902726599765472</v>
      </c>
      <c r="EA105" s="150">
        <f t="shared" si="303"/>
        <v>0.4156318480642805</v>
      </c>
      <c r="EB105" s="150">
        <f t="shared" si="264"/>
        <v>84.999999999999986</v>
      </c>
      <c r="EC105" s="150">
        <f t="shared" si="265"/>
        <v>0.49794961921499714</v>
      </c>
      <c r="ED105" s="150">
        <f t="shared" si="304"/>
        <v>170.69999999999996</v>
      </c>
      <c r="EE105" s="144">
        <f t="shared" si="266"/>
        <v>1.2531121851200937</v>
      </c>
      <c r="EF105" s="5">
        <f t="shared" si="267"/>
        <v>70.718496680278676</v>
      </c>
      <c r="EG105" s="5"/>
      <c r="EH105" s="150">
        <f t="shared" si="305"/>
        <v>12.686815930102961</v>
      </c>
      <c r="EI105" s="150">
        <f t="shared" si="268"/>
        <v>0.75216219889212033</v>
      </c>
      <c r="EJ105" s="150"/>
      <c r="EK105" s="456">
        <f t="shared" si="269"/>
        <v>0.54724801471066842</v>
      </c>
      <c r="EL105" s="456">
        <f t="shared" si="270"/>
        <v>2.0757120000000002</v>
      </c>
      <c r="EM105" s="456">
        <f t="shared" si="271"/>
        <v>2.2339601949571977E-2</v>
      </c>
      <c r="EN105" s="456">
        <f t="shared" si="272"/>
        <v>2.8178633858823524E-2</v>
      </c>
      <c r="EO105">
        <f t="shared" si="273"/>
        <v>5.4000000000000003E-3</v>
      </c>
      <c r="EP105" s="144">
        <f t="shared" si="306"/>
        <v>27.739601949571981</v>
      </c>
      <c r="EQ105" s="456">
        <f t="shared" si="274"/>
        <v>3.2491035724464354</v>
      </c>
      <c r="ER105" s="144">
        <f t="shared" si="307"/>
        <v>3249.1035724464355</v>
      </c>
      <c r="ES105" s="456">
        <f t="shared" si="308"/>
        <v>1.109375</v>
      </c>
      <c r="ET105" s="456"/>
      <c r="EV105" s="144">
        <f t="shared" si="309"/>
        <v>1109.375</v>
      </c>
      <c r="EW105" s="456">
        <f t="shared" si="275"/>
        <v>0.24143294766647139</v>
      </c>
      <c r="EX105" s="456">
        <f t="shared" si="276"/>
        <v>0.11314959468844593</v>
      </c>
      <c r="EY105" s="456">
        <f t="shared" si="277"/>
        <v>31.876234821662489</v>
      </c>
      <c r="EZ105" s="456">
        <f t="shared" si="278"/>
        <v>33.259372605839225</v>
      </c>
      <c r="FA105" s="456">
        <f t="shared" si="279"/>
        <v>0.11333333333333333</v>
      </c>
      <c r="FB105" s="144">
        <f t="shared" si="310"/>
        <v>33372.705939172563</v>
      </c>
      <c r="FC105" s="150">
        <f t="shared" si="311"/>
        <v>37.731184511618999</v>
      </c>
      <c r="FD105" s="5">
        <f t="shared" si="312"/>
        <v>85</v>
      </c>
      <c r="FE105" s="150">
        <f t="shared" si="313"/>
        <v>0.69257051773954825</v>
      </c>
      <c r="FF105" s="5">
        <f t="shared" si="314"/>
        <v>69.257051773954828</v>
      </c>
      <c r="FI105" s="59">
        <f t="shared" si="280"/>
        <v>-50</v>
      </c>
      <c r="FJ105">
        <f t="shared" si="281"/>
        <v>-50</v>
      </c>
      <c r="FL105">
        <f t="shared" si="282"/>
        <v>0.58436815193571956</v>
      </c>
    </row>
    <row r="106" spans="5:168">
      <c r="E106" s="147"/>
      <c r="F106" s="188"/>
      <c r="G106" s="188"/>
      <c r="H106" s="188"/>
      <c r="I106" s="465"/>
      <c r="J106" s="379"/>
      <c r="K106" s="379"/>
      <c r="L106" s="379"/>
      <c r="M106" s="188"/>
      <c r="N106" s="149"/>
      <c r="O106" s="149"/>
      <c r="P106" s="188"/>
      <c r="Q106" s="188"/>
      <c r="R106" s="188"/>
      <c r="S106" s="149"/>
      <c r="T106" s="149"/>
      <c r="U106" s="188"/>
      <c r="V106" s="188"/>
      <c r="W106" s="188"/>
      <c r="X106" s="172"/>
      <c r="Y106" s="379"/>
      <c r="AA106" s="188"/>
      <c r="AB106" s="150"/>
      <c r="AC106" s="150"/>
      <c r="AD106" s="150"/>
      <c r="AE106" s="150"/>
      <c r="AF106" s="314"/>
      <c r="AI106" s="150"/>
      <c r="AJ106" s="150"/>
      <c r="AK106" s="150"/>
      <c r="AM106" s="314"/>
      <c r="AN106" s="144"/>
      <c r="AQ106" s="3"/>
      <c r="AS106" s="5"/>
      <c r="AT106" s="5"/>
      <c r="AU106" s="5"/>
      <c r="AV106" s="5"/>
      <c r="AW106" s="150"/>
      <c r="AX106" s="150"/>
      <c r="AY106" s="150"/>
      <c r="AZ106" s="150"/>
      <c r="BA106" s="144"/>
      <c r="BB106" s="5"/>
      <c r="BC106" s="5"/>
      <c r="BD106" s="150"/>
      <c r="BE106" s="150"/>
      <c r="BF106" s="150"/>
      <c r="BG106" s="456"/>
      <c r="BH106" s="456"/>
      <c r="BI106" s="456"/>
      <c r="BJ106" s="456"/>
      <c r="BN106" s="144"/>
      <c r="BO106" s="456"/>
      <c r="BP106" s="456"/>
      <c r="BR106" s="144"/>
      <c r="BS106" s="456"/>
      <c r="BT106" s="456"/>
      <c r="BU106" s="456"/>
      <c r="BV106" s="456"/>
      <c r="BW106" s="456"/>
      <c r="BX106" s="144"/>
      <c r="BY106" s="150"/>
      <c r="BZ106" s="5"/>
      <c r="CA106" s="150"/>
      <c r="CB106" s="5"/>
      <c r="CE106" s="59"/>
      <c r="CI106" s="147"/>
      <c r="CJ106" s="188"/>
      <c r="CK106" s="188"/>
      <c r="CL106" s="188"/>
      <c r="CM106" s="465"/>
      <c r="CN106" s="379"/>
      <c r="CO106" s="379"/>
      <c r="CP106" s="379"/>
      <c r="CQ106" s="188"/>
      <c r="CR106" s="149"/>
      <c r="CS106" s="149"/>
      <c r="CT106" s="188"/>
      <c r="CU106" s="188"/>
      <c r="CV106" s="188"/>
      <c r="CW106" s="149"/>
      <c r="CX106" s="149"/>
      <c r="CY106" s="188"/>
      <c r="CZ106" s="188"/>
      <c r="DA106" s="188"/>
      <c r="DB106" s="172"/>
      <c r="DC106" s="379"/>
      <c r="DE106" s="188"/>
      <c r="DF106" s="150"/>
      <c r="DG106" s="150"/>
      <c r="DH106" s="150"/>
      <c r="DI106" s="150"/>
      <c r="DJ106" s="314"/>
      <c r="DM106" s="150"/>
      <c r="DN106" s="150"/>
      <c r="DO106" s="150"/>
      <c r="DQ106" s="314"/>
      <c r="DR106" s="144"/>
      <c r="DU106" s="3"/>
      <c r="DW106" s="5"/>
      <c r="DX106" s="5"/>
      <c r="DY106" s="5"/>
      <c r="DZ106" s="5"/>
      <c r="EA106" s="150"/>
      <c r="EB106" s="150"/>
      <c r="EC106" s="150"/>
      <c r="ED106" s="150"/>
      <c r="EE106" s="144"/>
      <c r="EF106" s="5"/>
      <c r="EG106" s="5"/>
      <c r="EH106" s="150"/>
      <c r="EI106" s="150"/>
      <c r="EJ106" s="150"/>
      <c r="EK106" s="456"/>
      <c r="EL106" s="456"/>
      <c r="EM106" s="456"/>
      <c r="EN106" s="456"/>
      <c r="ER106" s="144"/>
      <c r="ES106" s="456"/>
      <c r="ET106" s="456"/>
      <c r="EV106" s="144"/>
      <c r="EW106" s="456"/>
      <c r="EX106" s="456"/>
      <c r="EY106" s="456"/>
      <c r="EZ106" s="456"/>
      <c r="FA106" s="456"/>
      <c r="FB106" s="144"/>
      <c r="FC106" s="150"/>
      <c r="FD106" s="5"/>
      <c r="FE106" s="150"/>
      <c r="FF106" s="5"/>
      <c r="FI106" s="59"/>
      <c r="FL106" t="e">
        <f>MIN(SQRT(2*L*DJ106*1000*CJ106*CN106)/CM106, 1-EA106)</f>
        <v>#DIV/0!</v>
      </c>
    </row>
    <row r="107" spans="5:168">
      <c r="H107" s="188"/>
      <c r="I107" s="465"/>
      <c r="J107" s="379"/>
      <c r="K107" s="379"/>
      <c r="L107" s="379"/>
      <c r="M107" s="188"/>
      <c r="N107" s="149"/>
      <c r="O107" s="149"/>
      <c r="P107" s="188"/>
      <c r="Q107" s="625"/>
      <c r="R107" s="188"/>
      <c r="S107" s="149"/>
      <c r="T107" s="149"/>
      <c r="U107" s="188"/>
      <c r="V107" s="188"/>
      <c r="W107" s="188"/>
      <c r="X107" s="172"/>
      <c r="Y107" s="379"/>
      <c r="AA107" s="188"/>
      <c r="AB107" s="150"/>
      <c r="AC107" s="150"/>
      <c r="AD107" s="150"/>
      <c r="AE107" s="150"/>
      <c r="AF107" s="314"/>
      <c r="AI107" s="150"/>
      <c r="AJ107" s="150"/>
      <c r="AK107" s="150"/>
      <c r="AM107" s="314"/>
      <c r="AN107" s="144"/>
      <c r="AS107" s="5"/>
      <c r="AT107" s="5"/>
      <c r="AU107" s="5"/>
      <c r="AV107" s="5"/>
      <c r="AW107" s="150"/>
      <c r="AX107" s="150"/>
      <c r="AY107" s="150"/>
      <c r="AZ107" s="150"/>
      <c r="BA107" s="144"/>
      <c r="BB107" s="5"/>
      <c r="BD107" s="150"/>
      <c r="BE107" s="150"/>
      <c r="BG107" s="456"/>
      <c r="BH107" s="456"/>
      <c r="BI107" s="456"/>
      <c r="BJ107" s="456"/>
      <c r="BN107" s="144"/>
      <c r="BO107" s="456"/>
      <c r="BR107" s="144"/>
      <c r="BS107" s="456"/>
      <c r="BT107" s="456"/>
      <c r="BU107" s="456"/>
      <c r="BV107" s="456"/>
      <c r="BW107" s="456"/>
      <c r="BX107" s="144"/>
      <c r="BY107" s="150"/>
      <c r="BZ107" s="5"/>
      <c r="CA107" s="150"/>
      <c r="CB107" s="5"/>
      <c r="CE107" s="59"/>
      <c r="CL107" s="188"/>
      <c r="CM107" s="465"/>
      <c r="CN107" s="379"/>
      <c r="CO107" s="379"/>
      <c r="CP107" s="379"/>
      <c r="CQ107" s="188"/>
      <c r="CR107" s="149"/>
      <c r="CS107" s="149"/>
      <c r="CT107" s="188"/>
      <c r="CU107" s="625"/>
      <c r="CV107" s="188"/>
      <c r="CW107" s="149"/>
      <c r="CX107" s="149"/>
      <c r="CY107" s="188"/>
      <c r="CZ107" s="188"/>
      <c r="DA107" s="188"/>
      <c r="DB107" s="172"/>
      <c r="DC107" s="379"/>
      <c r="DE107" s="188"/>
      <c r="DF107" s="150"/>
      <c r="DG107" s="150"/>
      <c r="DH107" s="150"/>
      <c r="DI107" s="150"/>
      <c r="DJ107" s="314"/>
      <c r="DM107" s="150"/>
      <c r="DN107" s="150"/>
      <c r="DO107" s="150"/>
      <c r="DQ107" s="314"/>
      <c r="DR107" s="144"/>
      <c r="DW107" s="5"/>
      <c r="DX107" s="5"/>
      <c r="DY107" s="5"/>
      <c r="DZ107" s="5"/>
      <c r="EA107" s="150"/>
      <c r="EB107" s="150"/>
      <c r="EC107" s="150"/>
      <c r="ED107" s="150"/>
      <c r="EE107" s="144"/>
      <c r="EF107" s="5"/>
      <c r="EH107" s="150"/>
      <c r="EI107" s="150"/>
      <c r="EK107" s="456"/>
      <c r="EL107" s="456"/>
      <c r="EM107" s="456"/>
      <c r="EN107" s="456"/>
      <c r="ER107" s="144"/>
      <c r="ES107" s="456"/>
      <c r="EV107" s="144"/>
      <c r="EW107" s="456"/>
      <c r="EX107" s="456"/>
      <c r="EY107" s="456"/>
      <c r="EZ107" s="456"/>
      <c r="FA107" s="456"/>
      <c r="FB107" s="144"/>
      <c r="FC107" s="150"/>
      <c r="FD107" s="5"/>
      <c r="FE107" s="150"/>
      <c r="FF107" s="5"/>
      <c r="FI107" s="59"/>
      <c r="FL107" t="e">
        <f>MIN(SQRT(2*L*DJ107*1000*CJ107*CN107)/CM107, 1-EA107)</f>
        <v>#DIV/0!</v>
      </c>
    </row>
    <row r="108" spans="5:168">
      <c r="E108" s="159" t="s">
        <v>434</v>
      </c>
      <c r="H108" s="188"/>
      <c r="I108" s="465"/>
      <c r="J108" s="379"/>
      <c r="K108" s="379"/>
      <c r="L108" s="379"/>
      <c r="M108" s="188"/>
      <c r="N108" s="149">
        <f>Efficiency</f>
        <v>1</v>
      </c>
      <c r="O108" s="149"/>
      <c r="P108" s="188"/>
      <c r="Q108" s="188"/>
      <c r="R108" s="188"/>
      <c r="S108" s="149"/>
      <c r="T108" s="149"/>
      <c r="U108" s="188"/>
      <c r="V108" s="188"/>
      <c r="W108" s="188"/>
      <c r="X108" s="172"/>
      <c r="Y108" s="379"/>
      <c r="AA108" s="188"/>
      <c r="AB108" s="150"/>
      <c r="AC108" s="150"/>
      <c r="AD108" s="150"/>
      <c r="AE108" s="150"/>
      <c r="AF108" s="314"/>
      <c r="AI108" s="150"/>
      <c r="AJ108" s="150"/>
      <c r="AK108" s="150"/>
      <c r="AM108" s="314"/>
      <c r="AN108" s="144"/>
      <c r="AS108" s="5"/>
      <c r="AT108" s="5"/>
      <c r="AU108" s="5"/>
      <c r="AV108" s="5"/>
      <c r="AW108" s="150"/>
      <c r="AX108" s="150"/>
      <c r="AY108" s="150"/>
      <c r="AZ108" s="150"/>
      <c r="BA108" s="144"/>
      <c r="BB108" s="5"/>
      <c r="BD108" s="150"/>
      <c r="BE108" s="150"/>
      <c r="BG108" s="456"/>
      <c r="BH108" s="456"/>
      <c r="BI108" s="456"/>
      <c r="BJ108" s="456"/>
      <c r="BN108" s="144"/>
      <c r="BO108" s="456"/>
      <c r="BR108" s="144"/>
      <c r="BS108" s="456"/>
      <c r="BT108" s="456"/>
      <c r="BU108" s="456"/>
      <c r="BV108" s="456"/>
      <c r="BW108" s="456"/>
      <c r="BX108" s="144"/>
      <c r="BY108" s="150"/>
      <c r="BZ108" s="5"/>
      <c r="CA108" s="150"/>
      <c r="CB108" s="5"/>
      <c r="CE108" s="59">
        <f>Ioutmax_Vinmin</f>
        <v>0.8612730973686441</v>
      </c>
      <c r="CI108" s="159" t="s">
        <v>434</v>
      </c>
      <c r="CL108" s="188"/>
      <c r="CM108" s="465"/>
      <c r="CN108" s="379"/>
      <c r="CO108" s="379"/>
      <c r="CP108" s="379"/>
      <c r="CQ108" s="188"/>
      <c r="CR108" s="149">
        <f>Efficiency</f>
        <v>1</v>
      </c>
      <c r="CS108" s="149"/>
      <c r="CT108" s="188"/>
      <c r="CU108" s="188"/>
      <c r="CV108" s="188"/>
      <c r="CW108" s="149"/>
      <c r="CX108" s="149"/>
      <c r="CY108" s="188"/>
      <c r="CZ108" s="188"/>
      <c r="DA108" s="188"/>
      <c r="DB108" s="172"/>
      <c r="DC108" s="379"/>
      <c r="DE108" s="188"/>
      <c r="DF108" s="150"/>
      <c r="DG108" s="150"/>
      <c r="DH108" s="150"/>
      <c r="DI108" s="150"/>
      <c r="DJ108" s="314"/>
      <c r="DM108" s="150"/>
      <c r="DN108" s="150"/>
      <c r="DO108" s="150"/>
      <c r="DQ108" s="314"/>
      <c r="DR108" s="144"/>
      <c r="DW108" s="5"/>
      <c r="DX108" s="5"/>
      <c r="DY108" s="5"/>
      <c r="DZ108" s="5"/>
      <c r="EA108" s="150"/>
      <c r="EB108" s="150"/>
      <c r="EC108" s="150"/>
      <c r="ED108" s="150"/>
      <c r="EE108" s="144"/>
      <c r="EF108" s="5"/>
      <c r="EH108" s="150"/>
      <c r="EI108" s="150"/>
      <c r="EK108" s="456"/>
      <c r="EL108" s="456"/>
      <c r="EM108" s="456"/>
      <c r="EN108" s="456"/>
      <c r="ER108" s="144"/>
      <c r="ES108" s="456"/>
      <c r="EV108" s="144"/>
      <c r="EW108" s="456"/>
      <c r="EX108" s="456"/>
      <c r="EY108" s="456"/>
      <c r="EZ108" s="456"/>
      <c r="FA108" s="456"/>
      <c r="FB108" s="144"/>
      <c r="FC108" s="150"/>
      <c r="FD108" s="5"/>
      <c r="FE108" s="150"/>
      <c r="FF108" s="5"/>
      <c r="FI108" s="59">
        <f>Ioutmax_Vinmin</f>
        <v>0.8612730973686441</v>
      </c>
      <c r="FL108" t="e">
        <f>MIN(SQRT(2*L*DJ108*1000*CJ108*CN108)/CM108, 1-EA108)</f>
        <v>#DIV/0!</v>
      </c>
    </row>
    <row r="109" spans="5:168" ht="45" customHeight="1" thickBot="1">
      <c r="E109" s="211" t="s">
        <v>25</v>
      </c>
      <c r="F109" s="380" t="s">
        <v>194</v>
      </c>
      <c r="G109" s="230"/>
      <c r="H109" s="455" t="s">
        <v>223</v>
      </c>
      <c r="I109" s="212" t="s">
        <v>412</v>
      </c>
      <c r="J109" s="213" t="s">
        <v>418</v>
      </c>
      <c r="K109" s="455" t="s">
        <v>413</v>
      </c>
      <c r="L109" s="455"/>
      <c r="M109" s="214" t="s">
        <v>48</v>
      </c>
      <c r="N109" s="455" t="s">
        <v>402</v>
      </c>
      <c r="O109" s="455" t="s">
        <v>656</v>
      </c>
      <c r="P109" s="455" t="s">
        <v>403</v>
      </c>
      <c r="Q109" s="455" t="s">
        <v>433</v>
      </c>
      <c r="R109" s="455" t="s">
        <v>654</v>
      </c>
      <c r="S109" s="455" t="s">
        <v>657</v>
      </c>
      <c r="T109" s="455" t="s">
        <v>655</v>
      </c>
      <c r="U109" s="455" t="s">
        <v>414</v>
      </c>
      <c r="V109" s="455" t="s">
        <v>466</v>
      </c>
      <c r="W109" s="455" t="s">
        <v>465</v>
      </c>
      <c r="X109" s="469" t="s">
        <v>420</v>
      </c>
      <c r="Y109" s="466" t="s">
        <v>425</v>
      </c>
      <c r="AA109" s="215" t="s">
        <v>417</v>
      </c>
      <c r="AB109" s="215" t="s">
        <v>464</v>
      </c>
      <c r="AC109" s="215" t="s">
        <v>423</v>
      </c>
      <c r="AD109" s="468"/>
      <c r="AE109" s="215" t="s">
        <v>463</v>
      </c>
      <c r="AF109" s="215" t="s">
        <v>681</v>
      </c>
      <c r="AG109" s="215" t="s">
        <v>427</v>
      </c>
      <c r="AH109" s="468"/>
      <c r="AI109" s="215" t="s">
        <v>429</v>
      </c>
      <c r="AJ109" s="470" t="s">
        <v>430</v>
      </c>
      <c r="AK109" s="470" t="s">
        <v>431</v>
      </c>
      <c r="AM109" s="467" t="s">
        <v>275</v>
      </c>
      <c r="AN109" s="467" t="s">
        <v>432</v>
      </c>
      <c r="AP109" s="215" t="s">
        <v>275</v>
      </c>
      <c r="AQ109" s="215" t="s">
        <v>432</v>
      </c>
      <c r="AR109" s="471"/>
      <c r="AS109" s="215" t="s">
        <v>467</v>
      </c>
      <c r="AT109" s="215" t="s">
        <v>461</v>
      </c>
      <c r="AU109" s="215" t="s">
        <v>462</v>
      </c>
      <c r="AV109" s="215" t="s">
        <v>653</v>
      </c>
      <c r="AW109" s="215" t="s">
        <v>48</v>
      </c>
      <c r="AX109" s="471" t="s">
        <v>651</v>
      </c>
      <c r="AY109" s="468" t="s">
        <v>650</v>
      </c>
      <c r="AZ109" s="468" t="s">
        <v>652</v>
      </c>
      <c r="BA109" s="215" t="s">
        <v>481</v>
      </c>
      <c r="BB109" s="215" t="s">
        <v>514</v>
      </c>
      <c r="BC109" s="468"/>
      <c r="BD109" s="479" t="s">
        <v>456</v>
      </c>
      <c r="BE109" s="215" t="s">
        <v>457</v>
      </c>
      <c r="BF109" s="468"/>
      <c r="BG109" s="479" t="s">
        <v>474</v>
      </c>
      <c r="BH109" s="215" t="s">
        <v>475</v>
      </c>
      <c r="BI109" s="215" t="s">
        <v>473</v>
      </c>
      <c r="BJ109" s="215" t="s">
        <v>469</v>
      </c>
      <c r="BK109" s="215" t="s">
        <v>478</v>
      </c>
      <c r="BL109" s="215" t="s">
        <v>777</v>
      </c>
      <c r="BM109" s="215" t="s">
        <v>776</v>
      </c>
      <c r="BN109" s="215" t="s">
        <v>491</v>
      </c>
      <c r="BO109" s="479" t="s">
        <v>476</v>
      </c>
      <c r="BP109" s="215" t="s">
        <v>477</v>
      </c>
      <c r="BQ109" s="215" t="s">
        <v>483</v>
      </c>
      <c r="BR109" s="215" t="s">
        <v>487</v>
      </c>
      <c r="BS109" s="479" t="s">
        <v>458</v>
      </c>
      <c r="BT109" s="215" t="s">
        <v>459</v>
      </c>
      <c r="BU109" s="215" t="s">
        <v>468</v>
      </c>
      <c r="BV109" s="215" t="s">
        <v>666</v>
      </c>
      <c r="BW109" s="215" t="s">
        <v>484</v>
      </c>
      <c r="BX109" s="215" t="s">
        <v>667</v>
      </c>
      <c r="BY109" s="479" t="s">
        <v>482</v>
      </c>
      <c r="BZ109" s="215" t="s">
        <v>223</v>
      </c>
      <c r="CA109" s="215" t="s">
        <v>47</v>
      </c>
      <c r="CB109" s="215" t="s">
        <v>485</v>
      </c>
      <c r="CC109" s="215"/>
      <c r="CE109" s="490" t="s">
        <v>664</v>
      </c>
      <c r="CF109" s="490" t="s">
        <v>665</v>
      </c>
      <c r="CG109" s="667" t="s">
        <v>828</v>
      </c>
      <c r="CI109" s="211" t="s">
        <v>25</v>
      </c>
      <c r="CJ109" s="380" t="s">
        <v>194</v>
      </c>
      <c r="CK109" s="230"/>
      <c r="CL109" s="455" t="s">
        <v>223</v>
      </c>
      <c r="CM109" s="212" t="s">
        <v>412</v>
      </c>
      <c r="CN109" s="213" t="s">
        <v>418</v>
      </c>
      <c r="CO109" s="455" t="s">
        <v>413</v>
      </c>
      <c r="CP109" s="455"/>
      <c r="CQ109" s="214" t="s">
        <v>48</v>
      </c>
      <c r="CR109" s="455" t="s">
        <v>402</v>
      </c>
      <c r="CS109" s="455" t="s">
        <v>656</v>
      </c>
      <c r="CT109" s="455" t="s">
        <v>403</v>
      </c>
      <c r="CU109" s="455" t="s">
        <v>433</v>
      </c>
      <c r="CV109" s="455" t="s">
        <v>654</v>
      </c>
      <c r="CW109" s="455" t="s">
        <v>657</v>
      </c>
      <c r="CX109" s="455" t="s">
        <v>655</v>
      </c>
      <c r="CY109" s="455" t="s">
        <v>414</v>
      </c>
      <c r="CZ109" s="455" t="s">
        <v>466</v>
      </c>
      <c r="DA109" s="455" t="s">
        <v>465</v>
      </c>
      <c r="DB109" s="469" t="s">
        <v>420</v>
      </c>
      <c r="DC109" s="466" t="s">
        <v>425</v>
      </c>
      <c r="DE109" s="215" t="s">
        <v>417</v>
      </c>
      <c r="DF109" s="215" t="s">
        <v>464</v>
      </c>
      <c r="DG109" s="215" t="s">
        <v>423</v>
      </c>
      <c r="DH109" s="468"/>
      <c r="DI109" s="215" t="s">
        <v>463</v>
      </c>
      <c r="DJ109" s="215" t="s">
        <v>681</v>
      </c>
      <c r="DK109" s="215" t="s">
        <v>427</v>
      </c>
      <c r="DL109" s="468"/>
      <c r="DM109" s="215" t="s">
        <v>429</v>
      </c>
      <c r="DN109" s="470" t="s">
        <v>430</v>
      </c>
      <c r="DO109" s="470" t="s">
        <v>431</v>
      </c>
      <c r="DQ109" s="467" t="s">
        <v>275</v>
      </c>
      <c r="DR109" s="467" t="s">
        <v>432</v>
      </c>
      <c r="DT109" s="215" t="s">
        <v>275</v>
      </c>
      <c r="DU109" s="215" t="s">
        <v>432</v>
      </c>
      <c r="DV109" s="471"/>
      <c r="DW109" s="215" t="s">
        <v>467</v>
      </c>
      <c r="DX109" s="215" t="s">
        <v>461</v>
      </c>
      <c r="DY109" s="215" t="s">
        <v>462</v>
      </c>
      <c r="DZ109" s="215" t="s">
        <v>653</v>
      </c>
      <c r="EA109" s="215" t="s">
        <v>48</v>
      </c>
      <c r="EB109" s="471" t="s">
        <v>651</v>
      </c>
      <c r="EC109" s="468" t="s">
        <v>650</v>
      </c>
      <c r="ED109" s="468" t="s">
        <v>652</v>
      </c>
      <c r="EE109" s="215" t="s">
        <v>481</v>
      </c>
      <c r="EF109" s="215" t="s">
        <v>514</v>
      </c>
      <c r="EG109" s="468"/>
      <c r="EH109" s="479" t="s">
        <v>456</v>
      </c>
      <c r="EI109" s="215" t="s">
        <v>457</v>
      </c>
      <c r="EJ109" s="468"/>
      <c r="EK109" s="479" t="s">
        <v>474</v>
      </c>
      <c r="EL109" s="215" t="s">
        <v>475</v>
      </c>
      <c r="EM109" s="215" t="s">
        <v>473</v>
      </c>
      <c r="EN109" s="215" t="s">
        <v>469</v>
      </c>
      <c r="EO109" s="215" t="s">
        <v>478</v>
      </c>
      <c r="EP109" s="215" t="s">
        <v>777</v>
      </c>
      <c r="EQ109" s="215" t="s">
        <v>776</v>
      </c>
      <c r="ER109" s="215" t="s">
        <v>491</v>
      </c>
      <c r="ES109" s="479" t="s">
        <v>476</v>
      </c>
      <c r="ET109" s="215" t="s">
        <v>477</v>
      </c>
      <c r="EU109" s="215" t="s">
        <v>483</v>
      </c>
      <c r="EV109" s="215" t="s">
        <v>487</v>
      </c>
      <c r="EW109" s="479" t="s">
        <v>458</v>
      </c>
      <c r="EX109" s="215" t="s">
        <v>459</v>
      </c>
      <c r="EY109" s="215" t="s">
        <v>468</v>
      </c>
      <c r="EZ109" s="215" t="s">
        <v>666</v>
      </c>
      <c r="FA109" s="215" t="s">
        <v>484</v>
      </c>
      <c r="FB109" s="215" t="s">
        <v>667</v>
      </c>
      <c r="FC109" s="479" t="s">
        <v>482</v>
      </c>
      <c r="FD109" s="215" t="s">
        <v>223</v>
      </c>
      <c r="FE109" s="215" t="s">
        <v>47</v>
      </c>
      <c r="FF109" s="215" t="s">
        <v>485</v>
      </c>
      <c r="FG109" s="215"/>
      <c r="FI109" s="490" t="s">
        <v>664</v>
      </c>
      <c r="FJ109" s="490" t="s">
        <v>665</v>
      </c>
      <c r="FL109" t="s">
        <v>825</v>
      </c>
    </row>
    <row r="110" spans="5:168">
      <c r="E110" s="147">
        <v>0.1</v>
      </c>
      <c r="F110" s="188">
        <v>1.0000000000000001E-9</v>
      </c>
      <c r="G110" s="188"/>
      <c r="H110" s="188">
        <f t="shared" ref="H110:H141" si="315">F110*Vout</f>
        <v>1.7000000000000001E-7</v>
      </c>
      <c r="I110" s="465">
        <f t="shared" ref="I110:I141" si="316">VIN_min-F110*(Rdcr_pri+RON/1000)/CG110/Nps</f>
        <v>8.9999893519694041</v>
      </c>
      <c r="J110" s="149">
        <f t="shared" ref="J110:J141" si="317">(T110+Vfwd1+F110/CG110*Rdcr_sec)*Nps</f>
        <v>8.5350010865337342</v>
      </c>
      <c r="K110" s="149">
        <f t="shared" ref="K110:K141" si="318">(Vout+Vfwd1+F110/CG110*Rdcr_sec)*Nps++I110</f>
        <v>17.534990438503137</v>
      </c>
      <c r="L110" s="379"/>
      <c r="M110" s="188">
        <f t="shared" ref="M110:M141" si="319">(Vout+Vfwd1+F110/FL110*Rdcr_sec)*Nps/((Vout+Vfwd1+F110/FL110*Rdcr_sec)*Nps+I110)</f>
        <v>0.48674113154573739</v>
      </c>
      <c r="N110" s="149">
        <f>M110*I110*(Isw_max+VIN_min/Lmag*ILIM_delay)*0.5*Efficiency</f>
        <v>146.41642655266949</v>
      </c>
      <c r="O110" s="149">
        <f t="shared" si="284"/>
        <v>1.7000000000000001E-7</v>
      </c>
      <c r="P110" s="188">
        <f t="shared" ref="P110:P141" si="320">N110/Vout</f>
        <v>0.8612730973686441</v>
      </c>
      <c r="Q110" s="188">
        <f t="shared" ref="Q110:Q141" si="321">MIN(Vout,N110/F110)</f>
        <v>170</v>
      </c>
      <c r="R110" s="188"/>
      <c r="S110" s="149">
        <f t="shared" ref="S110:S141" si="322">(SQRT(Isw_max^2*Nps^2*I110^2+4*Isw_max*F110/Efficiency*(Nps^2*Vfwd1*I110-Nps*I110^2)+4*(F110/Efficiency)^2*Nps^2*Vfwd1^2+8*(F110/Efficiency)^2*Nps*Vfwd1*I110+4*(F110/Efficiency)^2*I110^2)-2*F110/Efficiency*I110-2*F110/Efficiency*Nps*Vfwd1+Isw_max*Nps*I110)/(4*F110/Efficiency*Nps)</f>
        <v>299999644885.64703</v>
      </c>
      <c r="T110" s="149">
        <f t="shared" ref="T110:T141" si="323">MIN(Vout, S110)</f>
        <v>170</v>
      </c>
      <c r="U110" s="188">
        <f t="shared" ref="U110:U141" si="324">MIN(2*(Vout+Vfwd1+F110/FL110*Rdcr_sec)*F110/(I110*M110), Isw_max)</f>
        <v>7.7933383051840018E-8</v>
      </c>
      <c r="V110" s="188">
        <f t="shared" ref="V110:V141" si="325">L*U110/I110*1000000</f>
        <v>1.2988912542677576E-8</v>
      </c>
      <c r="W110" s="188">
        <f t="shared" ref="W110:W141" si="326">L*U110/J110*1000000</f>
        <v>1.3696550638077998E-8</v>
      </c>
      <c r="X110" s="172">
        <f t="shared" ref="X110:X141" si="327">IF(1/((350000*L)*(1/I110+1/J110))&gt;Isw_min, 350, 0.001/((Isw_min*L)*(1/I110+1/J110)))</f>
        <v>219.03325002442415</v>
      </c>
      <c r="Y110" s="379">
        <f t="shared" ref="Y110:Y173" si="328">MIN(1/(V110+W110+0.2)*1000, 350)</f>
        <v>350</v>
      </c>
      <c r="AA110" s="188">
        <f t="shared" ref="AA110:AA141" si="329">1/((X110*1000*L)*(1/I110+1/J110))</f>
        <v>13.333333333333334</v>
      </c>
      <c r="AB110" s="150">
        <f t="shared" ref="AB110:AB141" si="330">L*AA110/J110*1000000</f>
        <v>2.3432920274088067</v>
      </c>
      <c r="AC110" s="150">
        <f t="shared" ref="AC110:AC141" si="331">0.5*AB110*AA110*Nps*X110/1000</f>
        <v>0.17108628950655769</v>
      </c>
      <c r="AD110" s="150"/>
      <c r="AE110" s="150">
        <f t="shared" ref="AE110:AE141" si="332">L*Isw_min/J110*1000000</f>
        <v>2.3432920274088067</v>
      </c>
      <c r="AF110" s="314">
        <f t="shared" ref="AF110:AF141" si="333">MAX(12000,F110/(0.5*AE110/1000000*Isw_min*Nps))/1000</f>
        <v>12</v>
      </c>
      <c r="AG110" s="456">
        <f t="shared" ref="AG110:AG141" si="334">0.5*AE110/1000000*Isw_min*Nps*X110*1000</f>
        <v>0.17108628950655766</v>
      </c>
      <c r="AI110" s="150">
        <f t="shared" ref="AI110:AI141" si="335">SQRT(F110/(0.5*L/J110*Fsw_DCM*Nps))</f>
        <v>8.0640299916929679E-4</v>
      </c>
      <c r="AJ110" s="150">
        <f t="shared" ref="AJ110:AJ141" si="336">MAX(IF(F110&gt;AC110,U110,AI110),Isw_min)</f>
        <v>13.333333333333334</v>
      </c>
      <c r="AK110" s="150">
        <f t="shared" ref="AK110:AK141" si="337">IF(F110&gt;AG110, (AJ110-Isw_min)/1.08*0.8+1.2, AF110*0.2/350+1)</f>
        <v>1.0068571428571429</v>
      </c>
      <c r="AM110" s="314">
        <f t="shared" ref="AM110:AM141" si="338">F110*1000</f>
        <v>1.0000000000000002E-6</v>
      </c>
      <c r="AN110" s="144">
        <f t="shared" ref="AN110:AN141" si="339">IF(F110&gt;AG110, Y110, AF110)</f>
        <v>12</v>
      </c>
      <c r="AP110" s="144">
        <f t="shared" ref="AP110:AP141" si="340">IF(H110&gt;N110, "",AM110)</f>
        <v>1.0000000000000002E-6</v>
      </c>
      <c r="AQ110" s="144">
        <f t="shared" ref="AQ110:AQ141" si="341">IF(H110&gt;N110, "",AN110)</f>
        <v>12</v>
      </c>
      <c r="AS110" s="5">
        <f t="shared" si="285"/>
        <v>83.333333333333329</v>
      </c>
      <c r="AT110" s="5">
        <f t="shared" ref="AT110:AT141" si="342">L*AJ110/I110*1000000</f>
        <v>2.22222485136869</v>
      </c>
      <c r="AU110" s="5">
        <f t="shared" ref="AU110:AU169" si="343">AS110-AT110</f>
        <v>81.111108481964635</v>
      </c>
      <c r="AV110" s="5"/>
      <c r="AW110" s="150">
        <f t="shared" ref="AW110:AW169" si="344">AT110/AS110</f>
        <v>2.666669821642428E-2</v>
      </c>
      <c r="AX110" s="150">
        <f t="shared" si="214"/>
        <v>1.6000000000000003</v>
      </c>
      <c r="AY110" s="150">
        <f t="shared" si="215"/>
        <v>0.3244444339278586</v>
      </c>
      <c r="AZ110" s="150">
        <f t="shared" si="288"/>
        <v>4.9315070091656006</v>
      </c>
      <c r="BA110" s="144">
        <f t="shared" ref="BA110:BA116" si="345">F110*AT110/Vout_ripple*1000</f>
        <v>1.3071910890404058E-9</v>
      </c>
      <c r="BB110" s="5">
        <f t="shared" ref="BB110:BB116" si="346">H110/Efficiency/I110*AU110/Vinripple1</f>
        <v>2.5535008807013496E-6</v>
      </c>
      <c r="BD110" s="150">
        <f t="shared" si="289"/>
        <v>1.2570794657441162</v>
      </c>
      <c r="BE110" s="150">
        <f t="shared" si="218"/>
        <v>0.3797334936375239</v>
      </c>
      <c r="BG110" s="456">
        <f t="shared" ref="BG110:BG169" si="347">Rdson*BD110^2</f>
        <v>5.3728458628647434E-3</v>
      </c>
      <c r="BH110" s="456">
        <f t="shared" ref="BH110:BH141" si="348">0.5*K110*AJ110*AN110*1000*Tfall</f>
        <v>6.719408336034402E-2</v>
      </c>
      <c r="BI110" s="456">
        <f t="shared" ref="BI110:BI141" si="349">Qg*Vdd*AN110*1000*0+Qg*I110*AN110*1000</f>
        <v>4.946394147842384E-3</v>
      </c>
      <c r="BJ110" s="456">
        <f t="shared" ref="BJ110:BJ169" si="350">0.5*(Coss+Csw)*K110^2*AN110*1000</f>
        <v>2.5274518131564185E-3</v>
      </c>
      <c r="BK110">
        <f t="shared" ref="BK110:BK169" si="351">I110*IQ</f>
        <v>4.0499952083862317E-3</v>
      </c>
      <c r="BL110" s="144">
        <f>(BK110+BI110)*1000</f>
        <v>8.996389356228617</v>
      </c>
      <c r="BM110" s="456">
        <f t="shared" ref="BM110:BM141" si="352">(BH110+BI110*0+BJ110+BK110*0+BG110*(1+RdsonTC*(Ta-25)))/(1-BG110*RdsonTC*ThetaJA)</f>
        <v>7.6642890827621588E-2</v>
      </c>
      <c r="BN110" s="144">
        <f t="shared" ref="BN110:BN173" si="353">BM110*1000</f>
        <v>76.642890827621585</v>
      </c>
      <c r="BO110" s="456">
        <f t="shared" ref="BO110:BO169" si="354">Vfwd2*F110</f>
        <v>2.5000000000000001E-9</v>
      </c>
      <c r="BR110" s="144">
        <f t="shared" ref="BR110:BR169" si="355">SUM(BO110:BQ110)*1000</f>
        <v>2.5000000000000002E-6</v>
      </c>
      <c r="BS110" s="456">
        <f t="shared" ref="BS110:BS169" si="356">Rdcr_pri*BD110^2</f>
        <v>2.3703731747932691E-3</v>
      </c>
      <c r="BT110" s="456">
        <f t="shared" ref="BT110:BT169" si="357">Rdcr_sec*BE110^2</f>
        <v>2.8839505238031884E-2</v>
      </c>
      <c r="BU110" s="456">
        <f t="shared" ref="BU110:BU169" si="358">AJ110^2.5*AN110^2.5*k_core</f>
        <v>1.6190861620062107E-2</v>
      </c>
      <c r="BV110" s="456"/>
      <c r="BW110" s="456">
        <f t="shared" ref="BW110:BW169" si="359">0.5*Lleak*0.000000001*AJ110^2*AN110*1000</f>
        <v>2.1333333333333339E-3</v>
      </c>
      <c r="BX110" s="144">
        <f t="shared" ref="BX110:BX169" si="360">SUM(BS110:BW110)*1000</f>
        <v>49.534073366220596</v>
      </c>
      <c r="BY110" s="150">
        <f t="shared" ref="BY110:BY169" si="361">SUM(BG110:BK110,BO110:BQ110,BS110:BW110)</f>
        <v>0.13362484625881438</v>
      </c>
      <c r="BZ110" s="5">
        <f t="shared" ref="BZ110:BZ169" si="362">MIN(H110,O110)</f>
        <v>1.7000000000000001E-7</v>
      </c>
      <c r="CA110" s="150">
        <f t="shared" ref="CA110:CA169" si="363">BZ110/(BZ110+BY110)</f>
        <v>1.2722168704603337E-6</v>
      </c>
      <c r="CB110" s="5">
        <f t="shared" ref="CB110:CB169" si="364">CA110*100</f>
        <v>1.2722168704603338E-4</v>
      </c>
      <c r="CE110" s="59">
        <f t="shared" ref="CE110:CE141" si="365">IF(ABS(F110-Ioutmax_Vinmin)&lt;Iout/200, AN110, -50)</f>
        <v>-50</v>
      </c>
      <c r="CF110">
        <f t="shared" ref="CF110:CF141" si="366">IF(ABS(F110-Ioutmax_Vinmin)&lt;Iout/200, N110*CA110, -50)</f>
        <v>-50</v>
      </c>
      <c r="CG110" s="150">
        <f t="shared" ref="CG110:CG141" si="367">MIN(SQRT(2*DU110*1000*Ls1_*CL110)/CU110,1-EA110-0.00000005*DU110*1000)</f>
        <v>9.2035798661684451E-6</v>
      </c>
      <c r="CI110" s="147">
        <v>0.1</v>
      </c>
      <c r="CJ110" s="188">
        <v>1.0000000000000001E-9</v>
      </c>
      <c r="CK110" s="188"/>
      <c r="CL110" s="188">
        <f t="shared" ref="CL110:CL173" si="368">CJ110*Vout</f>
        <v>1.7000000000000001E-7</v>
      </c>
      <c r="CM110" s="465">
        <f t="shared" ref="CM110:CM173" si="369">VIN_min</f>
        <v>9</v>
      </c>
      <c r="CN110" s="379">
        <f t="shared" ref="CN110:CN173" si="370">(CX110+Vfwd1)*Nps</f>
        <v>8.5350000000000001</v>
      </c>
      <c r="CO110" s="379">
        <f t="shared" ref="CO110:CO173" si="371">(Vout+Vfwd1)*Nps+CM110</f>
        <v>17.535</v>
      </c>
      <c r="CP110" s="379"/>
      <c r="CQ110" s="188">
        <f t="shared" ref="CQ110:CQ173" si="372">(Vout+Vfwd1)*Nps/((Vout+Vfwd1)*Nps+CM110)</f>
        <v>0.48674080410607357</v>
      </c>
      <c r="CR110" s="149">
        <f>CQ110*CM110*(Isw_max+VIN_min/Lmag*ILIM_delay)*0.5*Efficiency</f>
        <v>146.41650128314802</v>
      </c>
      <c r="CS110" s="149">
        <f t="shared" ref="CS110:CS173" si="373">CX110*CJ110</f>
        <v>1.7000000000000001E-7</v>
      </c>
      <c r="CT110" s="188">
        <f t="shared" ref="CT110:CT173" si="374">CR110/Vout</f>
        <v>0.86127353695969422</v>
      </c>
      <c r="CU110" s="188">
        <f t="shared" ref="CU110:CU173" si="375">MIN(Vout,CR110/CJ110)</f>
        <v>170</v>
      </c>
      <c r="CV110" s="188"/>
      <c r="CW110" s="149">
        <f t="shared" ref="CW110:CW173" si="376">(SQRT(Isw_max^2*Nps^2*CM110^2+4*Isw_max*CJ110/Efficiency*(Nps^2*Vfwd1*CM110-Nps*CM110^2)+4*(CJ110/Efficiency)^2*Nps^2*Vfwd1^2+8*(CJ110/Efficiency)^2*Nps*Vfwd1*CM110+4*(CJ110/Efficiency)^2*CM110^2)-2*CJ110/Efficiency*CM110-2*CJ110/Efficiency*Nps*Vfwd1+Isw_max*Nps*CM110)/(4*CJ110/Efficiency*Nps)</f>
        <v>299999999820</v>
      </c>
      <c r="CX110" s="149">
        <f t="shared" ref="CX110:CX173" si="377">MIN(Vout, CW110)</f>
        <v>170</v>
      </c>
      <c r="CY110" s="188">
        <f t="shared" ref="CY110:CY173" si="378">MIN(2*Vout*CJ110/(Efficiency*CM110*CQ110), Isw_max)</f>
        <v>7.7613747314977557E-8</v>
      </c>
      <c r="CZ110" s="188">
        <f t="shared" ref="CZ110:CZ173" si="379">L*CY110/CM110*1000000</f>
        <v>1.2935624552496258E-8</v>
      </c>
      <c r="DA110" s="188">
        <f t="shared" ref="DA110:DA173" si="380">L*CY110/CN110*1000000</f>
        <v>1.3640377384003084E-8</v>
      </c>
      <c r="DB110" s="172">
        <f t="shared" ref="DB110:DB173" si="381">IF(1/((350000*L)*(1/CM110+1/CN110))&gt;Isw_min, 350, 0.001/((Isw_min*L)*(1/CM110+1/CN110)))</f>
        <v>219.03336184773312</v>
      </c>
      <c r="DC110" s="379">
        <f t="shared" ref="DC110:DC173" si="382">MIN(1/(CZ110+DA110)*1000, 350)</f>
        <v>350</v>
      </c>
      <c r="DE110" s="188">
        <f t="shared" ref="DE110:DE173" si="383">1/((DB110*1000*L)*(1/CM110+1/CN110))</f>
        <v>13.333333333333334</v>
      </c>
      <c r="DF110" s="150">
        <f t="shared" ref="DF110:DF173" si="384">L*DE110/CN110*1000000</f>
        <v>2.3432923257176337</v>
      </c>
      <c r="DG110" s="150">
        <f t="shared" ref="DG110:DG173" si="385">0.5*DF110*DE110*Nps*DB110/1000</f>
        <v>0.17108639863130889</v>
      </c>
      <c r="DH110" s="150"/>
      <c r="DI110" s="150">
        <f t="shared" ref="DI110:DI173" si="386">L*Isw_min/CN110*1000000</f>
        <v>2.3432923257176337</v>
      </c>
      <c r="DJ110" s="314">
        <f t="shared" ref="DJ110:DJ173" si="387">MAX(12000,CJ110/(0.5*DI110/1000000*Isw_min*Nps))/1000</f>
        <v>12</v>
      </c>
      <c r="DK110" s="456">
        <f t="shared" ref="DK110:DK173" si="388">0.5*DI110/1000000*Isw_min*Nps*DB110*1000</f>
        <v>0.17108639863130887</v>
      </c>
      <c r="DM110" s="150">
        <f t="shared" ref="DM110:DM173" si="389">SQRT(CJ110/(0.5*L/CN110*Fsw_DCM*Nps))</f>
        <v>8.0640294784041695E-4</v>
      </c>
      <c r="DN110" s="150">
        <f t="shared" ref="DN110:DN173" si="390">MAX(IF(CJ110&gt;DG110,CY110,DM110),Isw_min)</f>
        <v>13.333333333333334</v>
      </c>
      <c r="DO110" s="150">
        <f t="shared" ref="DO110:DO173" si="391">IF(CJ110&gt;DK110, (DN110-Isw_min)/1.08*0.8+1.2, DJ110*0.2/350+1)</f>
        <v>1.0068571428571429</v>
      </c>
      <c r="DQ110" s="314">
        <f t="shared" ref="DQ110:DQ173" si="392">CJ110*1000</f>
        <v>1.0000000000000002E-6</v>
      </c>
      <c r="DR110" s="144">
        <f t="shared" ref="DR110:DR173" si="393">IF(CJ110&gt;DK110, DC110, DJ110)</f>
        <v>12</v>
      </c>
      <c r="DT110" s="144">
        <f>IF(CL110&gt;CR110, "",DQ110)</f>
        <v>1.0000000000000002E-6</v>
      </c>
      <c r="DU110" s="144">
        <f>IF(CL110&gt;CR110, "",DR110)</f>
        <v>12</v>
      </c>
      <c r="DW110" s="5">
        <f t="shared" ref="DW110:DW173" si="394">1/DR110*1000</f>
        <v>83.333333333333329</v>
      </c>
      <c r="DX110" s="5">
        <f t="shared" ref="DX110:DX173" si="395">L*DN110/CM110*1000000</f>
        <v>2.2222222222222223</v>
      </c>
      <c r="DY110" s="5">
        <f t="shared" ref="DY110:DY173" si="396">DW110-DX110</f>
        <v>81.1111111111111</v>
      </c>
      <c r="DZ110" s="5"/>
      <c r="EA110" s="150">
        <f t="shared" ref="EA110:EA173" si="397">DX110/DW110</f>
        <v>2.6666666666666668E-2</v>
      </c>
      <c r="EB110" s="150">
        <f t="shared" ref="EB110:EB173" si="398">0.5*L*DN110^2*DR110*1000</f>
        <v>1.6000000000000003</v>
      </c>
      <c r="EC110" s="150">
        <f t="shared" ref="EC110:EC173" si="399">DN110*Nps/2*(1-EA110)</f>
        <v>0.32444444444444448</v>
      </c>
      <c r="ED110" s="150">
        <f t="shared" ref="ED110:ED173" si="400">EB110/EC110</f>
        <v>4.9315068493150687</v>
      </c>
      <c r="EE110" s="144">
        <f t="shared" ref="EE110:EE173" si="401">CJ110*DX110/Vout_ripple*1000</f>
        <v>1.3071895424836604E-9</v>
      </c>
      <c r="EF110" s="5">
        <f t="shared" ref="EF110:EF173" si="402">CL110/Efficiency/CM110*DY110/Vinripple1</f>
        <v>2.5534979423868308E-6</v>
      </c>
      <c r="EH110" s="150">
        <f t="shared" ref="EH110:EH173" si="403">DN110*SQRT(EA110/3)</f>
        <v>1.257078722109418</v>
      </c>
      <c r="EI110" s="150">
        <f t="shared" ref="EI110:EI173" si="404">DN110*Nps*SQRT((1-EA110)/3)</f>
        <v>0.37973349979189031</v>
      </c>
      <c r="EK110" s="456">
        <f t="shared" ref="EK110:EK173" si="405">Rdson*EH110^2</f>
        <v>5.3728395061728405E-3</v>
      </c>
      <c r="EL110" s="456">
        <f t="shared" ref="EL110:EL173" si="406">0.5*CO110*DN110*DR110*1000*Trise</f>
        <v>8.5290240000000017E-2</v>
      </c>
      <c r="EM110" s="456">
        <f t="shared" ref="EM110:EM173" si="407">Qg*Vdd*DR110*1000</f>
        <v>2.7479999999999996E-3</v>
      </c>
      <c r="EN110" s="456">
        <f t="shared" ref="EN110:EN173" si="408">0.5*(Coss+Csw)*CO110^2*DR110*1000</f>
        <v>2.5274545694999998E-3</v>
      </c>
      <c r="EO110">
        <f t="shared" ref="EO110:EO173" si="409">CM110*IQ</f>
        <v>4.0499999999999998E-3</v>
      </c>
      <c r="EP110" s="144">
        <f t="shared" ref="EP110:EP173" si="410">(EO110+EM110)*1000</f>
        <v>6.7979999999999992</v>
      </c>
      <c r="EQ110" s="144"/>
      <c r="ER110" s="144">
        <f>SUM(EK110:EO110)*1000</f>
        <v>99.98853407567286</v>
      </c>
      <c r="ES110" s="456">
        <f t="shared" ref="ES110:ES173" si="411">Vfwd2*CJ110</f>
        <v>2.5000000000000001E-9</v>
      </c>
      <c r="EV110" s="144">
        <f t="shared" ref="EV110:EV169" si="412">SUM(ES110:EU110)*1000</f>
        <v>2.5000000000000002E-6</v>
      </c>
      <c r="EW110" s="456">
        <f t="shared" ref="EW110:EW173" si="413">Rdcr_pri*EH110^2</f>
        <v>2.3703703703703708E-3</v>
      </c>
      <c r="EX110" s="456">
        <f t="shared" ref="EX110:EX173" si="414">Rdcr_sec*EI110^2</f>
        <v>2.8839506172839514E-2</v>
      </c>
      <c r="EY110" s="456">
        <f t="shared" ref="EY110:EY173" si="415">DN110^2.5*DR110^2.5*k_core</f>
        <v>1.6190861620062107E-2</v>
      </c>
      <c r="EZ110" s="456"/>
      <c r="FA110" s="456">
        <f t="shared" ref="FA110:FA173" si="416">0.5*Lleak*0.000000001*DN110^2*DR110*1000</f>
        <v>2.1333333333333339E-3</v>
      </c>
      <c r="FB110" s="144">
        <f t="shared" ref="FB110:FB173" si="417">SUM(EW110:FA110)*1000</f>
        <v>49.534071496605328</v>
      </c>
      <c r="FC110" s="150">
        <f t="shared" ref="FC110:FC173" si="418">SUM(EK110:EO110,ES110:EU110,EW110:FA110)</f>
        <v>0.14952260807227818</v>
      </c>
      <c r="FD110" s="5">
        <f t="shared" ref="FD110:FD173" si="419">MIN(CL110,CS110)</f>
        <v>1.7000000000000001E-7</v>
      </c>
      <c r="FE110" s="150">
        <f t="shared" ref="FE110:FE173" si="420">FD110/(FD110+FC110)</f>
        <v>1.1369505181198767E-6</v>
      </c>
      <c r="FF110" s="5">
        <f t="shared" ref="FF110:FF173" si="421">FE110*100</f>
        <v>1.1369505181198767E-4</v>
      </c>
      <c r="FI110" s="59">
        <f t="shared" ref="FI110:FI173" si="422">IF(ABS(CJ110-Ioutmax_Vinmin)&lt;Iout/200, DR110, -50)</f>
        <v>-50</v>
      </c>
      <c r="FJ110">
        <f t="shared" ref="FJ110:FJ173" si="423">IF(ABS(CJ110-Ioutmax_Vinmin)&lt;Iout/200, CR110*FE110, -50)</f>
        <v>-50</v>
      </c>
      <c r="FL110">
        <f t="shared" ref="FL110:FL141" si="424">MIN(SQRT(2*L*DR110*1000*CJ110*(CX110+Vfwd1))/(Nps*(CX110+Vfwd1)), 1-EA110)</f>
        <v>9.1846896368813035E-6</v>
      </c>
    </row>
    <row r="111" spans="5:168">
      <c r="E111" s="147">
        <v>1</v>
      </c>
      <c r="F111" s="188">
        <f t="shared" ref="F111:F142" si="425">IF(PLOT_TYPE=1, E111/100*Iout_max, min_I*EXP(N111*rr/100))</f>
        <v>5.0000000000000001E-3</v>
      </c>
      <c r="G111" s="188"/>
      <c r="H111" s="188">
        <f t="shared" si="315"/>
        <v>0.85</v>
      </c>
      <c r="I111" s="465">
        <f t="shared" si="316"/>
        <v>8.9761902797627151</v>
      </c>
      <c r="J111" s="149">
        <f t="shared" si="317"/>
        <v>8.5374295632895194</v>
      </c>
      <c r="K111" s="149">
        <f t="shared" si="318"/>
        <v>17.513619843052233</v>
      </c>
      <c r="L111" s="379"/>
      <c r="M111" s="188">
        <f t="shared" si="319"/>
        <v>0.48747387466674702</v>
      </c>
      <c r="N111" s="149">
        <f t="shared" ref="N111:N141" si="426">M111*I111*(Isw_max+VIN_min/Lmag*ILIM_delay)*0.5*Efficiency</f>
        <v>146.24908442371876</v>
      </c>
      <c r="O111" s="149">
        <f t="shared" si="284"/>
        <v>0.85</v>
      </c>
      <c r="P111" s="188">
        <f t="shared" si="320"/>
        <v>0.86028873190422794</v>
      </c>
      <c r="Q111" s="188">
        <f t="shared" si="321"/>
        <v>170</v>
      </c>
      <c r="R111" s="188"/>
      <c r="S111" s="149">
        <f t="shared" si="322"/>
        <v>59661.746832450364</v>
      </c>
      <c r="T111" s="149">
        <f t="shared" si="323"/>
        <v>170</v>
      </c>
      <c r="U111" s="188">
        <f t="shared" si="324"/>
        <v>0.39022401027841591</v>
      </c>
      <c r="V111" s="188">
        <f t="shared" si="325"/>
        <v>6.5209849298459535E-2</v>
      </c>
      <c r="W111" s="188">
        <f t="shared" si="326"/>
        <v>6.8561153105676773E-2</v>
      </c>
      <c r="X111" s="172">
        <f t="shared" si="327"/>
        <v>218.78284714099024</v>
      </c>
      <c r="Y111" s="379">
        <f t="shared" si="328"/>
        <v>350</v>
      </c>
      <c r="AA111" s="188">
        <f t="shared" si="329"/>
        <v>13.333333333333334</v>
      </c>
      <c r="AB111" s="150">
        <f t="shared" si="330"/>
        <v>2.3426254766421626</v>
      </c>
      <c r="AC111" s="150">
        <f t="shared" si="331"/>
        <v>0.17084209052159724</v>
      </c>
      <c r="AD111" s="150"/>
      <c r="AE111" s="150">
        <f t="shared" si="332"/>
        <v>2.3426254766421626</v>
      </c>
      <c r="AF111" s="314">
        <f t="shared" si="333"/>
        <v>12</v>
      </c>
      <c r="AG111" s="456">
        <f t="shared" si="334"/>
        <v>0.17084209052159727</v>
      </c>
      <c r="AI111" s="150">
        <f t="shared" si="335"/>
        <v>1.8034284347731653</v>
      </c>
      <c r="AJ111" s="150">
        <f t="shared" si="336"/>
        <v>13.333333333333334</v>
      </c>
      <c r="AK111" s="150">
        <f t="shared" si="337"/>
        <v>1.0068571428571429</v>
      </c>
      <c r="AM111" s="314">
        <f t="shared" si="338"/>
        <v>5</v>
      </c>
      <c r="AN111" s="144">
        <f t="shared" si="339"/>
        <v>12</v>
      </c>
      <c r="AP111" s="144">
        <f t="shared" si="340"/>
        <v>5</v>
      </c>
      <c r="AQ111" s="144">
        <f t="shared" si="341"/>
        <v>12</v>
      </c>
      <c r="AS111" s="5">
        <f t="shared" si="285"/>
        <v>83.333333333333329</v>
      </c>
      <c r="AT111" s="5">
        <f t="shared" si="342"/>
        <v>2.2281167596336537</v>
      </c>
      <c r="AU111" s="5">
        <f t="shared" si="343"/>
        <v>81.105216573699678</v>
      </c>
      <c r="AV111" s="5"/>
      <c r="AW111" s="150">
        <f t="shared" si="344"/>
        <v>2.6737401115603847E-2</v>
      </c>
      <c r="AX111" s="150">
        <f t="shared" si="214"/>
        <v>1.6000000000000003</v>
      </c>
      <c r="AY111" s="150">
        <f t="shared" si="215"/>
        <v>0.32442086629479877</v>
      </c>
      <c r="AZ111" s="150">
        <f t="shared" si="288"/>
        <v>4.9318652596966208</v>
      </c>
      <c r="BA111" s="144">
        <f t="shared" si="345"/>
        <v>6.5532845871578054E-3</v>
      </c>
      <c r="BB111" s="5">
        <f t="shared" si="346"/>
        <v>12.800425707528399</v>
      </c>
      <c r="BD111" s="150">
        <f t="shared" si="289"/>
        <v>1.2587448449262371</v>
      </c>
      <c r="BE111" s="150">
        <f t="shared" si="218"/>
        <v>0.37971970147278011</v>
      </c>
      <c r="BG111" s="456">
        <f t="shared" si="347"/>
        <v>5.3870911877364801E-3</v>
      </c>
      <c r="BH111" s="456">
        <f t="shared" si="348"/>
        <v>6.711219123857616E-2</v>
      </c>
      <c r="BI111" s="456">
        <f t="shared" si="349"/>
        <v>4.9333141777575884E-3</v>
      </c>
      <c r="BJ111" s="456">
        <f t="shared" si="350"/>
        <v>2.5212949536571527E-3</v>
      </c>
      <c r="BK111">
        <f t="shared" si="351"/>
        <v>4.0392856258932219E-3</v>
      </c>
      <c r="BL111" s="144">
        <f t="shared" ref="BL111:BL174" si="427">(BK111+BI111)*1000</f>
        <v>8.9725998036508106</v>
      </c>
      <c r="BM111" s="456">
        <f t="shared" si="352"/>
        <v>7.6573103495413963E-2</v>
      </c>
      <c r="BN111" s="144">
        <f t="shared" si="353"/>
        <v>76.57310349541396</v>
      </c>
      <c r="BO111" s="456">
        <f t="shared" si="354"/>
        <v>1.2500000000000001E-2</v>
      </c>
      <c r="BR111" s="144">
        <f t="shared" si="355"/>
        <v>12.5</v>
      </c>
      <c r="BS111" s="456">
        <f t="shared" si="356"/>
        <v>2.3766578769425649E-3</v>
      </c>
      <c r="BT111" s="456">
        <f t="shared" si="357"/>
        <v>2.8837410337315451E-2</v>
      </c>
      <c r="BU111" s="456">
        <f t="shared" si="358"/>
        <v>1.6190861620062107E-2</v>
      </c>
      <c r="BV111" s="456"/>
      <c r="BW111" s="456">
        <f t="shared" si="359"/>
        <v>2.1333333333333339E-3</v>
      </c>
      <c r="BX111" s="144">
        <f t="shared" si="360"/>
        <v>49.538263167653461</v>
      </c>
      <c r="BY111" s="150">
        <f t="shared" si="361"/>
        <v>0.14603144035127405</v>
      </c>
      <c r="BZ111" s="5">
        <f t="shared" si="362"/>
        <v>0.85</v>
      </c>
      <c r="CA111" s="150">
        <f t="shared" si="363"/>
        <v>0.85338671608621852</v>
      </c>
      <c r="CB111" s="5">
        <f t="shared" si="364"/>
        <v>85.338671608621851</v>
      </c>
      <c r="CE111" s="59">
        <f t="shared" si="365"/>
        <v>-50</v>
      </c>
      <c r="CF111">
        <f t="shared" si="366"/>
        <v>-50</v>
      </c>
      <c r="CG111" s="150">
        <f t="shared" si="367"/>
        <v>2.057983021710106E-2</v>
      </c>
      <c r="CI111" s="147">
        <v>1</v>
      </c>
      <c r="CJ111" s="188">
        <f t="shared" ref="CJ111:CJ174" si="428">IF(PLOT_TYPE=1, CI111/100*Iout_max, min_I*EXP(CR111*rr/100))</f>
        <v>5.0000000000000001E-3</v>
      </c>
      <c r="CK111" s="188"/>
      <c r="CL111" s="188">
        <f t="shared" si="368"/>
        <v>0.85</v>
      </c>
      <c r="CM111" s="465">
        <f t="shared" si="369"/>
        <v>9</v>
      </c>
      <c r="CN111" s="379">
        <f t="shared" si="370"/>
        <v>8.5350000000000001</v>
      </c>
      <c r="CO111" s="379">
        <f t="shared" si="371"/>
        <v>17.535</v>
      </c>
      <c r="CP111" s="379"/>
      <c r="CQ111" s="188">
        <f t="shared" si="372"/>
        <v>0.48674080410607357</v>
      </c>
      <c r="CR111" s="149">
        <f t="shared" ref="CR111:CR174" si="429">CQ111*CM111*(Isw_max+VIN_min/Lmag*ILIM_delay)*0.5*Efficiency</f>
        <v>146.41650128314802</v>
      </c>
      <c r="CS111" s="149">
        <f t="shared" si="373"/>
        <v>0.85</v>
      </c>
      <c r="CT111" s="188">
        <f t="shared" si="374"/>
        <v>0.86127353695969422</v>
      </c>
      <c r="CU111" s="188">
        <f t="shared" si="375"/>
        <v>170</v>
      </c>
      <c r="CV111" s="188"/>
      <c r="CW111" s="149">
        <f t="shared" si="376"/>
        <v>59820.002106294247</v>
      </c>
      <c r="CX111" s="149">
        <f t="shared" si="377"/>
        <v>170</v>
      </c>
      <c r="CY111" s="188">
        <f t="shared" si="378"/>
        <v>0.38806873657488772</v>
      </c>
      <c r="CZ111" s="188">
        <f t="shared" si="379"/>
        <v>6.4678122762481277E-2</v>
      </c>
      <c r="DA111" s="188">
        <f t="shared" si="380"/>
        <v>6.8201886920015414E-2</v>
      </c>
      <c r="DB111" s="172">
        <f t="shared" si="381"/>
        <v>219.03336184773312</v>
      </c>
      <c r="DC111" s="379">
        <f t="shared" si="382"/>
        <v>350</v>
      </c>
      <c r="DE111" s="188">
        <f t="shared" si="383"/>
        <v>13.333333333333334</v>
      </c>
      <c r="DF111" s="150">
        <f t="shared" si="384"/>
        <v>2.3432923257176337</v>
      </c>
      <c r="DG111" s="150">
        <f t="shared" si="385"/>
        <v>0.17108639863130889</v>
      </c>
      <c r="DH111" s="150"/>
      <c r="DI111" s="150">
        <f t="shared" si="386"/>
        <v>2.3432923257176337</v>
      </c>
      <c r="DJ111" s="314">
        <f t="shared" si="387"/>
        <v>12</v>
      </c>
      <c r="DK111" s="456">
        <f t="shared" si="388"/>
        <v>0.17108639863130887</v>
      </c>
      <c r="DM111" s="150">
        <f t="shared" si="389"/>
        <v>1.8031718086273896</v>
      </c>
      <c r="DN111" s="150">
        <f t="shared" si="390"/>
        <v>13.333333333333334</v>
      </c>
      <c r="DO111" s="150">
        <f t="shared" si="391"/>
        <v>1.0068571428571429</v>
      </c>
      <c r="DQ111" s="314">
        <f t="shared" si="392"/>
        <v>5</v>
      </c>
      <c r="DR111" s="144">
        <f t="shared" si="393"/>
        <v>12</v>
      </c>
      <c r="DT111">
        <f t="shared" ref="DT111:DT174" si="430">IF(CL111&gt;CR111, " ",DQ111)</f>
        <v>5</v>
      </c>
      <c r="DU111">
        <f t="shared" ref="DU111:DU174" si="431">IF(CL111&gt;CR111, " ",DR111)</f>
        <v>12</v>
      </c>
      <c r="DW111" s="5">
        <f t="shared" si="394"/>
        <v>83.333333333333329</v>
      </c>
      <c r="DX111" s="5">
        <f t="shared" si="395"/>
        <v>2.2222222222222223</v>
      </c>
      <c r="DY111" s="5">
        <f t="shared" si="396"/>
        <v>81.1111111111111</v>
      </c>
      <c r="DZ111" s="5"/>
      <c r="EA111" s="150">
        <f t="shared" si="397"/>
        <v>2.6666666666666668E-2</v>
      </c>
      <c r="EB111" s="150">
        <f t="shared" si="398"/>
        <v>1.6000000000000003</v>
      </c>
      <c r="EC111" s="150">
        <f t="shared" si="399"/>
        <v>0.32444444444444448</v>
      </c>
      <c r="ED111" s="150">
        <f t="shared" si="400"/>
        <v>4.9315068493150687</v>
      </c>
      <c r="EE111" s="144">
        <f t="shared" si="401"/>
        <v>6.5359477124183009E-3</v>
      </c>
      <c r="EF111" s="5">
        <f t="shared" si="402"/>
        <v>12.767489711934152</v>
      </c>
      <c r="EH111" s="150">
        <f t="shared" si="403"/>
        <v>1.257078722109418</v>
      </c>
      <c r="EI111" s="150">
        <f t="shared" si="404"/>
        <v>0.37973349979189031</v>
      </c>
      <c r="EK111" s="456">
        <f t="shared" si="405"/>
        <v>5.3728395061728405E-3</v>
      </c>
      <c r="EL111" s="456">
        <f t="shared" si="406"/>
        <v>8.5290240000000017E-2</v>
      </c>
      <c r="EM111" s="456">
        <f t="shared" si="407"/>
        <v>2.7479999999999996E-3</v>
      </c>
      <c r="EN111" s="456">
        <f t="shared" si="408"/>
        <v>2.5274545694999998E-3</v>
      </c>
      <c r="EO111">
        <f t="shared" si="409"/>
        <v>4.0499999999999998E-3</v>
      </c>
      <c r="EP111" s="144">
        <f t="shared" si="410"/>
        <v>6.7979999999999992</v>
      </c>
      <c r="EQ111" s="144"/>
      <c r="ER111" s="144">
        <f t="shared" ref="ER111:ER174" si="432">SUM(EK111:EO111)*1000</f>
        <v>99.98853407567286</v>
      </c>
      <c r="ES111" s="456">
        <f t="shared" si="411"/>
        <v>1.2500000000000001E-2</v>
      </c>
      <c r="EV111" s="144">
        <f t="shared" si="412"/>
        <v>12.5</v>
      </c>
      <c r="EW111" s="456">
        <f t="shared" si="413"/>
        <v>2.3703703703703708E-3</v>
      </c>
      <c r="EX111" s="456">
        <f t="shared" si="414"/>
        <v>2.8839506172839514E-2</v>
      </c>
      <c r="EY111" s="456">
        <f t="shared" si="415"/>
        <v>1.6190861620062107E-2</v>
      </c>
      <c r="EZ111" s="456"/>
      <c r="FA111" s="456">
        <f t="shared" si="416"/>
        <v>2.1333333333333339E-3</v>
      </c>
      <c r="FB111" s="144">
        <f t="shared" si="417"/>
        <v>49.534071496605328</v>
      </c>
      <c r="FC111" s="150">
        <f t="shared" si="418"/>
        <v>0.16202260557227818</v>
      </c>
      <c r="FD111" s="5">
        <f t="shared" si="419"/>
        <v>0.85</v>
      </c>
      <c r="FE111" s="150">
        <f t="shared" si="420"/>
        <v>0.83990218728300281</v>
      </c>
      <c r="FF111" s="5">
        <f t="shared" si="421"/>
        <v>83.990218728300277</v>
      </c>
      <c r="FI111" s="59">
        <f t="shared" si="422"/>
        <v>-50</v>
      </c>
      <c r="FJ111">
        <f t="shared" si="423"/>
        <v>-50</v>
      </c>
      <c r="FL111">
        <f t="shared" si="424"/>
        <v>2.0537590380304453E-2</v>
      </c>
    </row>
    <row r="112" spans="5:168">
      <c r="E112" s="147">
        <v>2</v>
      </c>
      <c r="F112" s="188">
        <f t="shared" si="425"/>
        <v>0.01</v>
      </c>
      <c r="G112" s="188"/>
      <c r="H112" s="188">
        <f t="shared" si="315"/>
        <v>1.7</v>
      </c>
      <c r="I112" s="465">
        <f t="shared" si="316"/>
        <v>8.9674003812464669</v>
      </c>
      <c r="J112" s="149">
        <f t="shared" si="317"/>
        <v>8.5383264917095438</v>
      </c>
      <c r="K112" s="149">
        <f t="shared" si="318"/>
        <v>17.505726872956011</v>
      </c>
      <c r="L112" s="379"/>
      <c r="M112" s="188">
        <f t="shared" si="319"/>
        <v>0.48774495674077972</v>
      </c>
      <c r="N112" s="149">
        <f t="shared" si="426"/>
        <v>146.18711942226955</v>
      </c>
      <c r="O112" s="149">
        <f t="shared" si="284"/>
        <v>1.7</v>
      </c>
      <c r="P112" s="188">
        <f t="shared" si="320"/>
        <v>0.85992423189570322</v>
      </c>
      <c r="Q112" s="188">
        <f t="shared" si="321"/>
        <v>170</v>
      </c>
      <c r="R112" s="188"/>
      <c r="S112" s="149">
        <f t="shared" si="322"/>
        <v>29711.990821781932</v>
      </c>
      <c r="T112" s="149">
        <f t="shared" si="323"/>
        <v>170</v>
      </c>
      <c r="U112" s="188">
        <f t="shared" si="324"/>
        <v>0.78086102862941442</v>
      </c>
      <c r="V112" s="188">
        <f t="shared" si="325"/>
        <v>0.1306166216681531</v>
      </c>
      <c r="W112" s="188">
        <f t="shared" si="326"/>
        <v>0.13718045849867774</v>
      </c>
      <c r="X112" s="172">
        <f t="shared" si="327"/>
        <v>218.6901257874874</v>
      </c>
      <c r="Y112" s="379">
        <f t="shared" si="328"/>
        <v>350</v>
      </c>
      <c r="AA112" s="188">
        <f t="shared" si="329"/>
        <v>13.333333333333334</v>
      </c>
      <c r="AB112" s="150">
        <f t="shared" si="330"/>
        <v>2.3423793900853283</v>
      </c>
      <c r="AC112" s="150">
        <f t="shared" si="331"/>
        <v>0.17075174781992616</v>
      </c>
      <c r="AD112" s="150"/>
      <c r="AE112" s="150">
        <f t="shared" si="332"/>
        <v>2.3423793900853283</v>
      </c>
      <c r="AF112" s="314">
        <f t="shared" si="333"/>
        <v>12.807489737564312</v>
      </c>
      <c r="AG112" s="456">
        <f t="shared" si="334"/>
        <v>0.17075174781992616</v>
      </c>
      <c r="AI112" s="150">
        <f t="shared" si="335"/>
        <v>2.5505669198692047</v>
      </c>
      <c r="AJ112" s="150">
        <f t="shared" si="336"/>
        <v>13.333333333333334</v>
      </c>
      <c r="AK112" s="150">
        <f t="shared" si="337"/>
        <v>1.0073185655643224</v>
      </c>
      <c r="AM112" s="314">
        <f t="shared" si="338"/>
        <v>10</v>
      </c>
      <c r="AN112" s="144">
        <f t="shared" si="339"/>
        <v>12.807489737564312</v>
      </c>
      <c r="AP112" s="144">
        <f t="shared" si="340"/>
        <v>10</v>
      </c>
      <c r="AQ112" s="144">
        <f t="shared" si="341"/>
        <v>12.807489737564312</v>
      </c>
      <c r="AS112" s="5">
        <f t="shared" si="285"/>
        <v>78.079313002844287</v>
      </c>
      <c r="AT112" s="5">
        <f t="shared" si="342"/>
        <v>2.2303007727664328</v>
      </c>
      <c r="AU112" s="5">
        <f t="shared" si="343"/>
        <v>75.849012230077861</v>
      </c>
      <c r="AV112" s="5"/>
      <c r="AW112" s="150">
        <f t="shared" si="344"/>
        <v>2.8564554258887844E-2</v>
      </c>
      <c r="AX112" s="150">
        <f t="shared" si="214"/>
        <v>1.7076652983419087</v>
      </c>
      <c r="AY112" s="150">
        <f t="shared" si="215"/>
        <v>0.32381181524703745</v>
      </c>
      <c r="AZ112" s="150">
        <f t="shared" si="288"/>
        <v>5.2736349260113418</v>
      </c>
      <c r="BA112" s="144">
        <f t="shared" si="345"/>
        <v>1.3119416310390781E-2</v>
      </c>
      <c r="BB112" s="5">
        <f t="shared" si="346"/>
        <v>23.96519900029438</v>
      </c>
      <c r="BD112" s="150">
        <f t="shared" si="289"/>
        <v>1.3010435528653961</v>
      </c>
      <c r="BE112" s="150">
        <f t="shared" si="218"/>
        <v>0.3793631009099549</v>
      </c>
      <c r="BG112" s="456">
        <f t="shared" si="347"/>
        <v>5.7552287099388831E-3</v>
      </c>
      <c r="BH112" s="456">
        <f t="shared" si="348"/>
        <v>7.1595943916160143E-2</v>
      </c>
      <c r="BI112" s="456">
        <f t="shared" si="349"/>
        <v>5.2601248866793546E-3</v>
      </c>
      <c r="BJ112" s="456">
        <f t="shared" si="350"/>
        <v>2.6885299853684546E-3</v>
      </c>
      <c r="BK112">
        <f t="shared" si="351"/>
        <v>4.0353301715609097E-3</v>
      </c>
      <c r="BL112" s="144">
        <f t="shared" si="427"/>
        <v>9.2954550582402646</v>
      </c>
      <c r="BM112" s="456">
        <f t="shared" si="352"/>
        <v>8.1705341706926241E-2</v>
      </c>
      <c r="BN112" s="144">
        <f t="shared" si="353"/>
        <v>81.705341706926234</v>
      </c>
      <c r="BO112" s="456">
        <f t="shared" si="354"/>
        <v>2.5000000000000001E-2</v>
      </c>
      <c r="BR112" s="144">
        <f t="shared" si="355"/>
        <v>25</v>
      </c>
      <c r="BS112" s="456">
        <f t="shared" si="356"/>
        <v>2.5390714896789193E-3</v>
      </c>
      <c r="BT112" s="456">
        <f t="shared" si="357"/>
        <v>2.8783272466403328E-2</v>
      </c>
      <c r="BU112" s="456">
        <f t="shared" si="358"/>
        <v>1.9053593137858541E-2</v>
      </c>
      <c r="BV112" s="456"/>
      <c r="BW112" s="456">
        <f t="shared" si="359"/>
        <v>2.2768870644558781E-3</v>
      </c>
      <c r="BX112" s="144">
        <f t="shared" si="360"/>
        <v>52.652824158396655</v>
      </c>
      <c r="BY112" s="150">
        <f>SUM(BG112:BK112,BO112:BQ112,BS112:BW112)</f>
        <v>0.16698798182810443</v>
      </c>
      <c r="BZ112" s="5">
        <f t="shared" si="362"/>
        <v>1.7</v>
      </c>
      <c r="CA112" s="150">
        <f t="shared" si="363"/>
        <v>0.91055754860050342</v>
      </c>
      <c r="CB112" s="5">
        <f t="shared" si="364"/>
        <v>91.055754860050342</v>
      </c>
      <c r="CE112" s="59">
        <f t="shared" si="365"/>
        <v>-50</v>
      </c>
      <c r="CF112">
        <f t="shared" si="366"/>
        <v>-50</v>
      </c>
      <c r="CG112" s="150">
        <f t="shared" si="367"/>
        <v>3.0061701255134261E-2</v>
      </c>
      <c r="CI112" s="147">
        <v>2</v>
      </c>
      <c r="CJ112" s="188">
        <f t="shared" si="428"/>
        <v>0.01</v>
      </c>
      <c r="CK112" s="188"/>
      <c r="CL112" s="188">
        <f t="shared" si="368"/>
        <v>1.7</v>
      </c>
      <c r="CM112" s="465">
        <f t="shared" si="369"/>
        <v>9</v>
      </c>
      <c r="CN112" s="379">
        <f t="shared" si="370"/>
        <v>8.5350000000000001</v>
      </c>
      <c r="CO112" s="379">
        <f t="shared" si="371"/>
        <v>17.535</v>
      </c>
      <c r="CP112" s="379"/>
      <c r="CQ112" s="188">
        <f t="shared" si="372"/>
        <v>0.48674080410607357</v>
      </c>
      <c r="CR112" s="149">
        <f t="shared" si="429"/>
        <v>146.41650128314802</v>
      </c>
      <c r="CS112" s="149">
        <f t="shared" si="373"/>
        <v>1.7</v>
      </c>
      <c r="CT112" s="188">
        <f t="shared" si="374"/>
        <v>0.86127353695969422</v>
      </c>
      <c r="CU112" s="188">
        <f t="shared" si="375"/>
        <v>170</v>
      </c>
      <c r="CV112" s="188"/>
      <c r="CW112" s="149">
        <f t="shared" si="376"/>
        <v>29820.004225252338</v>
      </c>
      <c r="CX112" s="149">
        <f t="shared" si="377"/>
        <v>170</v>
      </c>
      <c r="CY112" s="188">
        <f t="shared" si="378"/>
        <v>0.77613747314977544</v>
      </c>
      <c r="CZ112" s="188">
        <f t="shared" si="379"/>
        <v>0.12935624552496255</v>
      </c>
      <c r="DA112" s="188">
        <f t="shared" si="380"/>
        <v>0.13640377384003083</v>
      </c>
      <c r="DB112" s="172">
        <f t="shared" si="381"/>
        <v>219.03336184773312</v>
      </c>
      <c r="DC112" s="379">
        <f t="shared" si="382"/>
        <v>350</v>
      </c>
      <c r="DE112" s="188">
        <f t="shared" si="383"/>
        <v>13.333333333333334</v>
      </c>
      <c r="DF112" s="150">
        <f t="shared" si="384"/>
        <v>2.3432923257176337</v>
      </c>
      <c r="DG112" s="150">
        <f t="shared" si="385"/>
        <v>0.17108639863130889</v>
      </c>
      <c r="DH112" s="150"/>
      <c r="DI112" s="150">
        <f t="shared" si="386"/>
        <v>2.3432923257176337</v>
      </c>
      <c r="DJ112" s="314">
        <f t="shared" si="387"/>
        <v>12.802499999999997</v>
      </c>
      <c r="DK112" s="456">
        <f t="shared" si="388"/>
        <v>0.17108639863130887</v>
      </c>
      <c r="DM112" s="150">
        <f t="shared" si="389"/>
        <v>2.5500700270496774</v>
      </c>
      <c r="DN112" s="150">
        <f t="shared" si="390"/>
        <v>13.333333333333334</v>
      </c>
      <c r="DO112" s="150">
        <f t="shared" si="391"/>
        <v>1.0073157142857143</v>
      </c>
      <c r="DQ112" s="314">
        <f t="shared" si="392"/>
        <v>10</v>
      </c>
      <c r="DR112" s="144">
        <f t="shared" si="393"/>
        <v>12.802499999999997</v>
      </c>
      <c r="DT112">
        <f t="shared" si="430"/>
        <v>10</v>
      </c>
      <c r="DU112">
        <f t="shared" si="431"/>
        <v>12.802499999999997</v>
      </c>
      <c r="DW112" s="5">
        <f t="shared" si="394"/>
        <v>78.10974419058779</v>
      </c>
      <c r="DX112" s="5">
        <f t="shared" si="395"/>
        <v>2.2222222222222223</v>
      </c>
      <c r="DY112" s="5">
        <f t="shared" si="396"/>
        <v>75.887521968365562</v>
      </c>
      <c r="DZ112" s="5"/>
      <c r="EA112" s="150">
        <f t="shared" si="397"/>
        <v>2.8449999999999996E-2</v>
      </c>
      <c r="EB112" s="150">
        <f t="shared" si="398"/>
        <v>1.7070000000000001</v>
      </c>
      <c r="EC112" s="150">
        <f t="shared" si="399"/>
        <v>0.32385000000000003</v>
      </c>
      <c r="ED112" s="150">
        <f t="shared" si="400"/>
        <v>5.2709587772116722</v>
      </c>
      <c r="EE112" s="144">
        <f t="shared" si="401"/>
        <v>1.3071895424836602E-2</v>
      </c>
      <c r="EF112" s="5">
        <f t="shared" si="402"/>
        <v>23.890516175226189</v>
      </c>
      <c r="EH112" s="150">
        <f t="shared" si="403"/>
        <v>1.2984321029325816</v>
      </c>
      <c r="EI112" s="150">
        <f t="shared" si="404"/>
        <v>0.37938546800494793</v>
      </c>
      <c r="EK112" s="456">
        <f t="shared" si="405"/>
        <v>5.7321481481481494E-3</v>
      </c>
      <c r="EL112" s="456">
        <f t="shared" si="406"/>
        <v>9.099402479999999E-2</v>
      </c>
      <c r="EM112" s="456">
        <f t="shared" si="407"/>
        <v>2.9317724999999993E-3</v>
      </c>
      <c r="EN112" s="456">
        <f t="shared" si="408"/>
        <v>2.6964780938353119E-3</v>
      </c>
      <c r="EO112">
        <f t="shared" si="409"/>
        <v>4.0499999999999998E-3</v>
      </c>
      <c r="EP112" s="144">
        <f t="shared" si="410"/>
        <v>6.981772499999999</v>
      </c>
      <c r="EQ112" s="144"/>
      <c r="ER112" s="144">
        <f t="shared" si="432"/>
        <v>106.40442354198346</v>
      </c>
      <c r="ES112" s="456">
        <f t="shared" si="411"/>
        <v>2.5000000000000001E-2</v>
      </c>
      <c r="EV112" s="144">
        <f t="shared" si="412"/>
        <v>25</v>
      </c>
      <c r="EW112" s="456">
        <f t="shared" si="413"/>
        <v>2.5288888888888895E-3</v>
      </c>
      <c r="EX112" s="456">
        <f t="shared" si="414"/>
        <v>2.8786666666666679E-2</v>
      </c>
      <c r="EY112" s="456">
        <f t="shared" si="415"/>
        <v>1.9035040585145397E-2</v>
      </c>
      <c r="EZ112" s="456"/>
      <c r="FA112" s="456">
        <f t="shared" si="416"/>
        <v>2.2759999999999998E-3</v>
      </c>
      <c r="FB112" s="144">
        <f t="shared" si="417"/>
        <v>52.626596140700961</v>
      </c>
      <c r="FC112" s="150">
        <f t="shared" si="418"/>
        <v>0.18403101968268443</v>
      </c>
      <c r="FD112" s="5">
        <f t="shared" si="419"/>
        <v>1.7</v>
      </c>
      <c r="FE112" s="150">
        <f t="shared" si="420"/>
        <v>0.90232059994761682</v>
      </c>
      <c r="FF112" s="5">
        <f t="shared" si="421"/>
        <v>90.232059994761684</v>
      </c>
      <c r="FI112" s="59">
        <f t="shared" si="422"/>
        <v>-50</v>
      </c>
      <c r="FJ112">
        <f t="shared" si="423"/>
        <v>-50</v>
      </c>
      <c r="FL112">
        <f t="shared" si="424"/>
        <v>2.9999999999999992E-2</v>
      </c>
    </row>
    <row r="113" spans="5:168">
      <c r="E113" s="147">
        <v>3</v>
      </c>
      <c r="F113" s="188">
        <f t="shared" si="425"/>
        <v>1.4999999999999999E-2</v>
      </c>
      <c r="G113" s="188"/>
      <c r="H113" s="188">
        <f t="shared" si="315"/>
        <v>2.5499999999999998</v>
      </c>
      <c r="I113" s="465">
        <f t="shared" si="316"/>
        <v>8.9674003812464669</v>
      </c>
      <c r="J113" s="149">
        <f t="shared" si="317"/>
        <v>8.5383264917095438</v>
      </c>
      <c r="K113" s="149">
        <f t="shared" si="318"/>
        <v>17.505726872956011</v>
      </c>
      <c r="L113" s="379"/>
      <c r="M113" s="188">
        <f t="shared" si="319"/>
        <v>0.48774495674077972</v>
      </c>
      <c r="N113" s="149">
        <f t="shared" si="426"/>
        <v>146.18711942226955</v>
      </c>
      <c r="O113" s="149">
        <f t="shared" si="284"/>
        <v>2.5499999999999998</v>
      </c>
      <c r="P113" s="188">
        <f t="shared" si="320"/>
        <v>0.85992423189570322</v>
      </c>
      <c r="Q113" s="188">
        <f t="shared" si="321"/>
        <v>170</v>
      </c>
      <c r="R113" s="188"/>
      <c r="S113" s="149">
        <f t="shared" si="322"/>
        <v>19748.214752132561</v>
      </c>
      <c r="T113" s="149">
        <f t="shared" si="323"/>
        <v>170</v>
      </c>
      <c r="U113" s="188">
        <f t="shared" si="324"/>
        <v>1.1712915429441215</v>
      </c>
      <c r="V113" s="188">
        <f t="shared" si="325"/>
        <v>0.19592493250222962</v>
      </c>
      <c r="W113" s="188">
        <f t="shared" si="326"/>
        <v>0.20577068774801657</v>
      </c>
      <c r="X113" s="172">
        <f t="shared" si="327"/>
        <v>218.6901257874874</v>
      </c>
      <c r="Y113" s="379">
        <f t="shared" si="328"/>
        <v>350</v>
      </c>
      <c r="AA113" s="188">
        <f t="shared" si="329"/>
        <v>13.333333333333334</v>
      </c>
      <c r="AB113" s="150">
        <f t="shared" si="330"/>
        <v>2.3423793900853283</v>
      </c>
      <c r="AC113" s="150">
        <f t="shared" si="331"/>
        <v>0.17075174781992616</v>
      </c>
      <c r="AD113" s="150"/>
      <c r="AE113" s="150">
        <f t="shared" si="332"/>
        <v>2.3423793900853283</v>
      </c>
      <c r="AF113" s="314">
        <f t="shared" si="333"/>
        <v>19.211234606346469</v>
      </c>
      <c r="AG113" s="456">
        <f t="shared" si="334"/>
        <v>0.17075174781992616</v>
      </c>
      <c r="AI113" s="150">
        <f t="shared" si="335"/>
        <v>3.1237937542508503</v>
      </c>
      <c r="AJ113" s="150">
        <f t="shared" si="336"/>
        <v>13.333333333333334</v>
      </c>
      <c r="AK113" s="150">
        <f t="shared" si="337"/>
        <v>1.0109778483464837</v>
      </c>
      <c r="AM113" s="314">
        <f t="shared" si="338"/>
        <v>15</v>
      </c>
      <c r="AN113" s="144">
        <f t="shared" si="339"/>
        <v>19.211234606346469</v>
      </c>
      <c r="AP113" s="144">
        <f t="shared" si="340"/>
        <v>15</v>
      </c>
      <c r="AQ113" s="144">
        <f t="shared" si="341"/>
        <v>19.211234606346469</v>
      </c>
      <c r="AS113" s="5">
        <f t="shared" si="285"/>
        <v>52.052875335229523</v>
      </c>
      <c r="AT113" s="5">
        <f t="shared" si="342"/>
        <v>2.2303007727664328</v>
      </c>
      <c r="AU113" s="5">
        <f t="shared" si="343"/>
        <v>49.822574562463089</v>
      </c>
      <c r="AV113" s="5"/>
      <c r="AW113" s="150">
        <f t="shared" si="344"/>
        <v>4.2846831388331764E-2</v>
      </c>
      <c r="AX113" s="150">
        <f t="shared" si="214"/>
        <v>2.561497947512863</v>
      </c>
      <c r="AY113" s="150">
        <f t="shared" si="215"/>
        <v>0.31905105620388946</v>
      </c>
      <c r="AZ113" s="150">
        <f t="shared" si="288"/>
        <v>8.0284891640538518</v>
      </c>
      <c r="BA113" s="144">
        <f t="shared" si="345"/>
        <v>1.967912446558617E-2</v>
      </c>
      <c r="BB113" s="5">
        <f t="shared" si="346"/>
        <v>23.612856891423355</v>
      </c>
      <c r="BD113" s="150">
        <f t="shared" si="289"/>
        <v>1.5934464188289859</v>
      </c>
      <c r="BE113" s="150">
        <f t="shared" si="218"/>
        <v>0.37656403097474789</v>
      </c>
      <c r="BG113" s="456">
        <f t="shared" si="347"/>
        <v>8.6328430649083281E-3</v>
      </c>
      <c r="BH113" s="456">
        <f t="shared" si="348"/>
        <v>0.10739391587424021</v>
      </c>
      <c r="BI113" s="456">
        <f t="shared" si="349"/>
        <v>7.8901873300190328E-3</v>
      </c>
      <c r="BJ113" s="456">
        <f t="shared" si="350"/>
        <v>4.0327949780526824E-3</v>
      </c>
      <c r="BK113">
        <f t="shared" si="351"/>
        <v>4.0353301715609097E-3</v>
      </c>
      <c r="BL113" s="144">
        <f t="shared" si="427"/>
        <v>11.925517501579943</v>
      </c>
      <c r="BM113" s="456">
        <f t="shared" si="352"/>
        <v>0.12264198029978408</v>
      </c>
      <c r="BN113" s="144">
        <f t="shared" si="353"/>
        <v>122.64198029978408</v>
      </c>
      <c r="BO113" s="456">
        <f t="shared" si="354"/>
        <v>3.7499999999999999E-2</v>
      </c>
      <c r="BR113" s="144">
        <f t="shared" si="355"/>
        <v>37.5</v>
      </c>
      <c r="BS113" s="456">
        <f t="shared" si="356"/>
        <v>3.8086072345183799E-3</v>
      </c>
      <c r="BT113" s="456">
        <f t="shared" si="357"/>
        <v>2.8360093884790178E-2</v>
      </c>
      <c r="BU113" s="456">
        <f t="shared" si="358"/>
        <v>5.250552857364197E-2</v>
      </c>
      <c r="BV113" s="456"/>
      <c r="BW113" s="456">
        <f t="shared" si="359"/>
        <v>3.4153305966838176E-3</v>
      </c>
      <c r="BX113" s="144">
        <f t="shared" si="360"/>
        <v>88.089560289634335</v>
      </c>
      <c r="BY113" s="150">
        <f t="shared" si="361"/>
        <v>0.25757463170841549</v>
      </c>
      <c r="BZ113" s="5">
        <f t="shared" si="362"/>
        <v>2.5499999999999998</v>
      </c>
      <c r="CA113" s="150">
        <f t="shared" si="363"/>
        <v>0.90825724495463167</v>
      </c>
      <c r="CB113" s="5">
        <f t="shared" si="364"/>
        <v>90.825724495463163</v>
      </c>
      <c r="CE113" s="59">
        <f t="shared" si="365"/>
        <v>-50</v>
      </c>
      <c r="CF113">
        <f t="shared" si="366"/>
        <v>-50</v>
      </c>
      <c r="CG113" s="150">
        <f t="shared" si="367"/>
        <v>4.5092551882701386E-2</v>
      </c>
      <c r="CI113" s="147">
        <v>3</v>
      </c>
      <c r="CJ113" s="188">
        <f t="shared" si="428"/>
        <v>1.4999999999999999E-2</v>
      </c>
      <c r="CK113" s="188"/>
      <c r="CL113" s="188">
        <f t="shared" si="368"/>
        <v>2.5499999999999998</v>
      </c>
      <c r="CM113" s="465">
        <f t="shared" si="369"/>
        <v>9</v>
      </c>
      <c r="CN113" s="379">
        <f t="shared" si="370"/>
        <v>8.5350000000000001</v>
      </c>
      <c r="CO113" s="379">
        <f t="shared" si="371"/>
        <v>17.535</v>
      </c>
      <c r="CP113" s="379"/>
      <c r="CQ113" s="188">
        <f t="shared" si="372"/>
        <v>0.48674080410607357</v>
      </c>
      <c r="CR113" s="149">
        <f t="shared" si="429"/>
        <v>146.41650128314802</v>
      </c>
      <c r="CS113" s="149">
        <f t="shared" si="373"/>
        <v>2.5499999999999998</v>
      </c>
      <c r="CT113" s="188">
        <f t="shared" si="374"/>
        <v>0.86127353695969422</v>
      </c>
      <c r="CU113" s="188">
        <f t="shared" si="375"/>
        <v>170</v>
      </c>
      <c r="CV113" s="188"/>
      <c r="CW113" s="149">
        <f t="shared" si="376"/>
        <v>19820.006356988386</v>
      </c>
      <c r="CX113" s="149">
        <f t="shared" si="377"/>
        <v>170</v>
      </c>
      <c r="CY113" s="188">
        <f t="shared" si="378"/>
        <v>1.164206209724663</v>
      </c>
      <c r="CZ113" s="188">
        <f t="shared" si="379"/>
        <v>0.19403436828744386</v>
      </c>
      <c r="DA113" s="188">
        <f t="shared" si="380"/>
        <v>0.20460566076004624</v>
      </c>
      <c r="DB113" s="172">
        <f t="shared" si="381"/>
        <v>219.03336184773312</v>
      </c>
      <c r="DC113" s="379">
        <f t="shared" si="382"/>
        <v>350</v>
      </c>
      <c r="DE113" s="188">
        <f t="shared" si="383"/>
        <v>13.333333333333334</v>
      </c>
      <c r="DF113" s="150">
        <f t="shared" si="384"/>
        <v>2.3432923257176337</v>
      </c>
      <c r="DG113" s="150">
        <f t="shared" si="385"/>
        <v>0.17108639863130889</v>
      </c>
      <c r="DH113" s="150"/>
      <c r="DI113" s="150">
        <f t="shared" si="386"/>
        <v>2.3432923257176337</v>
      </c>
      <c r="DJ113" s="314">
        <f t="shared" si="387"/>
        <v>19.203749999999992</v>
      </c>
      <c r="DK113" s="456">
        <f t="shared" si="388"/>
        <v>0.17108639863130887</v>
      </c>
      <c r="DM113" s="150">
        <f t="shared" si="389"/>
        <v>3.1231851873185028</v>
      </c>
      <c r="DN113" s="150">
        <f t="shared" si="390"/>
        <v>13.333333333333334</v>
      </c>
      <c r="DO113" s="150">
        <f t="shared" si="391"/>
        <v>1.0109735714285715</v>
      </c>
      <c r="DQ113" s="314">
        <f t="shared" si="392"/>
        <v>15</v>
      </c>
      <c r="DR113" s="144">
        <f t="shared" si="393"/>
        <v>19.203749999999992</v>
      </c>
      <c r="DT113">
        <f t="shared" si="430"/>
        <v>15</v>
      </c>
      <c r="DU113">
        <f t="shared" si="431"/>
        <v>19.203749999999992</v>
      </c>
      <c r="DW113" s="5">
        <f t="shared" si="394"/>
        <v>52.073162793725203</v>
      </c>
      <c r="DX113" s="5">
        <f t="shared" si="395"/>
        <v>2.2222222222222223</v>
      </c>
      <c r="DY113" s="5">
        <f t="shared" si="396"/>
        <v>49.850940571502981</v>
      </c>
      <c r="DZ113" s="5"/>
      <c r="EA113" s="150">
        <f t="shared" si="397"/>
        <v>4.2674999999999984E-2</v>
      </c>
      <c r="EB113" s="150">
        <f t="shared" si="398"/>
        <v>2.5604999999999993</v>
      </c>
      <c r="EC113" s="150">
        <f t="shared" si="399"/>
        <v>0.31910833333333338</v>
      </c>
      <c r="ED113" s="150">
        <f t="shared" si="400"/>
        <v>8.0239208210377839</v>
      </c>
      <c r="EE113" s="144">
        <f t="shared" si="401"/>
        <v>1.9607843137254902E-2</v>
      </c>
      <c r="EF113" s="5">
        <f t="shared" si="402"/>
        <v>23.540721936543072</v>
      </c>
      <c r="EH113" s="150">
        <f t="shared" si="403"/>
        <v>1.5902480589168748</v>
      </c>
      <c r="EI113" s="150">
        <f t="shared" si="404"/>
        <v>0.37659783048488998</v>
      </c>
      <c r="EK113" s="456">
        <f t="shared" si="405"/>
        <v>8.5982222222222189E-3</v>
      </c>
      <c r="EL113" s="456">
        <f t="shared" si="406"/>
        <v>0.13649103719999994</v>
      </c>
      <c r="EM113" s="456">
        <f t="shared" si="407"/>
        <v>4.3976587499999983E-3</v>
      </c>
      <c r="EN113" s="456">
        <f t="shared" si="408"/>
        <v>4.0447171407529681E-3</v>
      </c>
      <c r="EO113">
        <f t="shared" si="409"/>
        <v>4.0499999999999998E-3</v>
      </c>
      <c r="EP113" s="144">
        <f t="shared" si="410"/>
        <v>8.4476587499999987</v>
      </c>
      <c r="EQ113" s="144"/>
      <c r="ER113" s="144">
        <f t="shared" si="432"/>
        <v>157.58163531297515</v>
      </c>
      <c r="ES113" s="456">
        <f t="shared" si="411"/>
        <v>3.7499999999999999E-2</v>
      </c>
      <c r="EV113" s="144">
        <f t="shared" si="412"/>
        <v>37.5</v>
      </c>
      <c r="EW113" s="456">
        <f t="shared" si="413"/>
        <v>3.7933333333333322E-3</v>
      </c>
      <c r="EX113" s="456">
        <f t="shared" si="414"/>
        <v>2.8365185185185188E-2</v>
      </c>
      <c r="EY113" s="456">
        <f t="shared" si="415"/>
        <v>5.2454403750122058E-2</v>
      </c>
      <c r="EZ113" s="456"/>
      <c r="FA113" s="456">
        <f t="shared" si="416"/>
        <v>3.4139999999999995E-3</v>
      </c>
      <c r="FB113" s="144">
        <f t="shared" si="417"/>
        <v>88.026922268640575</v>
      </c>
      <c r="FC113" s="150">
        <f t="shared" si="418"/>
        <v>0.28310855758161574</v>
      </c>
      <c r="FD113" s="5">
        <f t="shared" si="419"/>
        <v>2.5499999999999998</v>
      </c>
      <c r="FE113" s="150">
        <f t="shared" si="420"/>
        <v>0.90007140502117522</v>
      </c>
      <c r="FF113" s="5">
        <f t="shared" si="421"/>
        <v>90.007140502117522</v>
      </c>
      <c r="FI113" s="59">
        <f t="shared" si="422"/>
        <v>-50</v>
      </c>
      <c r="FJ113">
        <f t="shared" si="423"/>
        <v>-50</v>
      </c>
      <c r="FL113">
        <f t="shared" si="424"/>
        <v>4.4999999999999984E-2</v>
      </c>
    </row>
    <row r="114" spans="5:168">
      <c r="E114" s="147">
        <v>4</v>
      </c>
      <c r="F114" s="188">
        <f t="shared" si="425"/>
        <v>0.02</v>
      </c>
      <c r="G114" s="188"/>
      <c r="H114" s="188">
        <f t="shared" si="315"/>
        <v>3.4</v>
      </c>
      <c r="I114" s="465">
        <f t="shared" si="316"/>
        <v>8.9674003812464669</v>
      </c>
      <c r="J114" s="149">
        <f t="shared" si="317"/>
        <v>8.5383264917095438</v>
      </c>
      <c r="K114" s="149">
        <f t="shared" si="318"/>
        <v>17.505726872956011</v>
      </c>
      <c r="L114" s="379"/>
      <c r="M114" s="188">
        <f t="shared" si="319"/>
        <v>0.48774495674077972</v>
      </c>
      <c r="N114" s="149">
        <f t="shared" si="426"/>
        <v>146.18711942226955</v>
      </c>
      <c r="O114" s="149">
        <f t="shared" si="284"/>
        <v>3.4</v>
      </c>
      <c r="P114" s="188">
        <f t="shared" si="320"/>
        <v>0.85992423189570322</v>
      </c>
      <c r="Q114" s="188">
        <f t="shared" si="321"/>
        <v>170</v>
      </c>
      <c r="R114" s="188"/>
      <c r="S114" s="149">
        <f t="shared" si="322"/>
        <v>14766.327796068892</v>
      </c>
      <c r="T114" s="149">
        <f t="shared" si="323"/>
        <v>170</v>
      </c>
      <c r="U114" s="188">
        <f t="shared" si="324"/>
        <v>1.5617220572588288</v>
      </c>
      <c r="V114" s="188">
        <f t="shared" si="325"/>
        <v>0.26123324333630621</v>
      </c>
      <c r="W114" s="188">
        <f t="shared" si="326"/>
        <v>0.27436091699735549</v>
      </c>
      <c r="X114" s="172">
        <f t="shared" si="327"/>
        <v>218.6901257874874</v>
      </c>
      <c r="Y114" s="379">
        <f t="shared" si="328"/>
        <v>350</v>
      </c>
      <c r="AA114" s="188">
        <f t="shared" si="329"/>
        <v>13.333333333333334</v>
      </c>
      <c r="AB114" s="150">
        <f t="shared" si="330"/>
        <v>2.3423793900853283</v>
      </c>
      <c r="AC114" s="150">
        <f t="shared" si="331"/>
        <v>0.17075174781992616</v>
      </c>
      <c r="AD114" s="150"/>
      <c r="AE114" s="150">
        <f t="shared" si="332"/>
        <v>2.3423793900853283</v>
      </c>
      <c r="AF114" s="314">
        <f t="shared" si="333"/>
        <v>25.614979475128624</v>
      </c>
      <c r="AG114" s="456">
        <f t="shared" si="334"/>
        <v>0.17075174781992616</v>
      </c>
      <c r="AI114" s="150">
        <f t="shared" si="335"/>
        <v>3.6070463298192004</v>
      </c>
      <c r="AJ114" s="150">
        <f t="shared" si="336"/>
        <v>13.333333333333334</v>
      </c>
      <c r="AK114" s="150">
        <f t="shared" si="337"/>
        <v>1.0146371311286448</v>
      </c>
      <c r="AM114" s="314">
        <f t="shared" si="338"/>
        <v>20</v>
      </c>
      <c r="AN114" s="144">
        <f t="shared" si="339"/>
        <v>25.614979475128624</v>
      </c>
      <c r="AP114" s="144">
        <f t="shared" si="340"/>
        <v>20</v>
      </c>
      <c r="AQ114" s="144">
        <f t="shared" si="341"/>
        <v>25.614979475128624</v>
      </c>
      <c r="AS114" s="5">
        <f t="shared" si="285"/>
        <v>39.039656501422144</v>
      </c>
      <c r="AT114" s="5">
        <f t="shared" si="342"/>
        <v>2.2303007727664328</v>
      </c>
      <c r="AU114" s="5">
        <f t="shared" si="343"/>
        <v>36.80935572865571</v>
      </c>
      <c r="AV114" s="5"/>
      <c r="AW114" s="150">
        <f t="shared" si="344"/>
        <v>5.7129108517775688E-2</v>
      </c>
      <c r="AX114" s="150">
        <f t="shared" si="214"/>
        <v>3.4153305966838174</v>
      </c>
      <c r="AY114" s="150">
        <f t="shared" si="215"/>
        <v>0.31429029716074147</v>
      </c>
      <c r="AZ114" s="150">
        <f t="shared" si="288"/>
        <v>10.866802531091412</v>
      </c>
      <c r="BA114" s="144">
        <f t="shared" si="345"/>
        <v>2.6238832620781562E-2</v>
      </c>
      <c r="BB114" s="5">
        <f t="shared" si="346"/>
        <v>23.260514782552349</v>
      </c>
      <c r="BD114" s="150">
        <f t="shared" si="289"/>
        <v>1.8399534377003202</v>
      </c>
      <c r="BE114" s="150">
        <f t="shared" si="218"/>
        <v>0.37374399863527591</v>
      </c>
      <c r="BG114" s="456">
        <f t="shared" si="347"/>
        <v>1.1510457419877768E-2</v>
      </c>
      <c r="BH114" s="456">
        <f t="shared" si="348"/>
        <v>0.14319188783232029</v>
      </c>
      <c r="BI114" s="456">
        <f t="shared" si="349"/>
        <v>1.0520249773358709E-2</v>
      </c>
      <c r="BJ114" s="456">
        <f t="shared" si="350"/>
        <v>5.3770599707369093E-3</v>
      </c>
      <c r="BK114">
        <f t="shared" si="351"/>
        <v>4.0353301715609097E-3</v>
      </c>
      <c r="BL114" s="144">
        <f t="shared" si="427"/>
        <v>14.55557994491962</v>
      </c>
      <c r="BM114" s="456">
        <f t="shared" si="352"/>
        <v>0.16363475090013921</v>
      </c>
      <c r="BN114" s="144">
        <f t="shared" si="353"/>
        <v>163.63475090013921</v>
      </c>
      <c r="BO114" s="456">
        <f t="shared" si="354"/>
        <v>0.05</v>
      </c>
      <c r="BR114" s="144">
        <f t="shared" si="355"/>
        <v>50</v>
      </c>
      <c r="BS114" s="456">
        <f t="shared" si="356"/>
        <v>5.0781429793578395E-3</v>
      </c>
      <c r="BT114" s="456">
        <f t="shared" si="357"/>
        <v>2.7936915303177025E-2</v>
      </c>
      <c r="BU114" s="456">
        <f t="shared" si="358"/>
        <v>0.10778339930999388</v>
      </c>
      <c r="BV114" s="456"/>
      <c r="BW114" s="456">
        <f t="shared" si="359"/>
        <v>4.5537741289117563E-3</v>
      </c>
      <c r="BX114" s="144">
        <f t="shared" si="360"/>
        <v>145.35223172144049</v>
      </c>
      <c r="BY114" s="150">
        <f t="shared" si="361"/>
        <v>0.36998721688929509</v>
      </c>
      <c r="BZ114" s="5">
        <f t="shared" si="362"/>
        <v>3.4</v>
      </c>
      <c r="CA114" s="150">
        <f t="shared" si="363"/>
        <v>0.90185982190290281</v>
      </c>
      <c r="CB114" s="5">
        <f t="shared" si="364"/>
        <v>90.185982190290275</v>
      </c>
      <c r="CE114" s="59">
        <f t="shared" si="365"/>
        <v>-50</v>
      </c>
      <c r="CF114">
        <f t="shared" si="366"/>
        <v>-50</v>
      </c>
      <c r="CG114" s="150">
        <f t="shared" si="367"/>
        <v>6.0123402510268521E-2</v>
      </c>
      <c r="CI114" s="147">
        <v>4</v>
      </c>
      <c r="CJ114" s="188">
        <f t="shared" si="428"/>
        <v>0.02</v>
      </c>
      <c r="CK114" s="188"/>
      <c r="CL114" s="188">
        <f t="shared" si="368"/>
        <v>3.4</v>
      </c>
      <c r="CM114" s="465">
        <f t="shared" si="369"/>
        <v>9</v>
      </c>
      <c r="CN114" s="379">
        <f t="shared" si="370"/>
        <v>8.5350000000000001</v>
      </c>
      <c r="CO114" s="379">
        <f t="shared" si="371"/>
        <v>17.535</v>
      </c>
      <c r="CP114" s="379"/>
      <c r="CQ114" s="188">
        <f t="shared" si="372"/>
        <v>0.48674080410607357</v>
      </c>
      <c r="CR114" s="149">
        <f t="shared" si="429"/>
        <v>146.41650128314802</v>
      </c>
      <c r="CS114" s="149">
        <f t="shared" si="373"/>
        <v>3.4</v>
      </c>
      <c r="CT114" s="188">
        <f t="shared" si="374"/>
        <v>0.86127353695969422</v>
      </c>
      <c r="CU114" s="188">
        <f t="shared" si="375"/>
        <v>170</v>
      </c>
      <c r="CV114" s="188"/>
      <c r="CW114" s="149">
        <f t="shared" si="376"/>
        <v>14820.008501617856</v>
      </c>
      <c r="CX114" s="149">
        <f t="shared" si="377"/>
        <v>170</v>
      </c>
      <c r="CY114" s="188">
        <f t="shared" si="378"/>
        <v>1.5522749462995509</v>
      </c>
      <c r="CZ114" s="188">
        <f t="shared" si="379"/>
        <v>0.25871249104992511</v>
      </c>
      <c r="DA114" s="188">
        <f t="shared" si="380"/>
        <v>0.27280754768006166</v>
      </c>
      <c r="DB114" s="172">
        <f t="shared" si="381"/>
        <v>219.03336184773312</v>
      </c>
      <c r="DC114" s="379">
        <f t="shared" si="382"/>
        <v>350</v>
      </c>
      <c r="DE114" s="188">
        <f t="shared" si="383"/>
        <v>13.333333333333334</v>
      </c>
      <c r="DF114" s="150">
        <f t="shared" si="384"/>
        <v>2.3432923257176337</v>
      </c>
      <c r="DG114" s="150">
        <f t="shared" si="385"/>
        <v>0.17108639863130889</v>
      </c>
      <c r="DH114" s="150"/>
      <c r="DI114" s="150">
        <f t="shared" si="386"/>
        <v>2.3432923257176337</v>
      </c>
      <c r="DJ114" s="314">
        <f t="shared" si="387"/>
        <v>25.604999999999993</v>
      </c>
      <c r="DK114" s="456">
        <f t="shared" si="388"/>
        <v>0.17108639863130887</v>
      </c>
      <c r="DM114" s="150">
        <f t="shared" si="389"/>
        <v>3.6063436172547791</v>
      </c>
      <c r="DN114" s="150">
        <f t="shared" si="390"/>
        <v>13.333333333333334</v>
      </c>
      <c r="DO114" s="150">
        <f t="shared" si="391"/>
        <v>1.0146314285714286</v>
      </c>
      <c r="DQ114" s="314">
        <f t="shared" si="392"/>
        <v>20</v>
      </c>
      <c r="DR114" s="144">
        <f t="shared" si="393"/>
        <v>25.604999999999993</v>
      </c>
      <c r="DT114">
        <f t="shared" si="430"/>
        <v>20</v>
      </c>
      <c r="DU114">
        <f t="shared" si="431"/>
        <v>25.604999999999993</v>
      </c>
      <c r="DW114" s="5">
        <f t="shared" si="394"/>
        <v>39.054872095293895</v>
      </c>
      <c r="DX114" s="5">
        <f t="shared" si="395"/>
        <v>2.2222222222222223</v>
      </c>
      <c r="DY114" s="5">
        <f t="shared" si="396"/>
        <v>36.832649873071674</v>
      </c>
      <c r="DZ114" s="5"/>
      <c r="EA114" s="150">
        <f t="shared" si="397"/>
        <v>5.6899999999999992E-2</v>
      </c>
      <c r="EB114" s="150">
        <f t="shared" si="398"/>
        <v>3.4140000000000001</v>
      </c>
      <c r="EC114" s="150">
        <f t="shared" si="399"/>
        <v>0.31436666666666674</v>
      </c>
      <c r="ED114" s="150">
        <f t="shared" si="400"/>
        <v>10.859930018025658</v>
      </c>
      <c r="EE114" s="144">
        <f t="shared" si="401"/>
        <v>2.6143790849673203E-2</v>
      </c>
      <c r="EF114" s="5">
        <f t="shared" si="402"/>
        <v>23.190927697859937</v>
      </c>
      <c r="EH114" s="150">
        <f t="shared" si="403"/>
        <v>1.8362602897878753</v>
      </c>
      <c r="EI114" s="150">
        <f t="shared" si="404"/>
        <v>0.37378940396768684</v>
      </c>
      <c r="EK114" s="456">
        <f t="shared" si="405"/>
        <v>1.1464296296296295E-2</v>
      </c>
      <c r="EL114" s="456">
        <f t="shared" si="406"/>
        <v>0.18198804959999998</v>
      </c>
      <c r="EM114" s="456">
        <f t="shared" si="407"/>
        <v>5.8635449999999987E-3</v>
      </c>
      <c r="EN114" s="456">
        <f t="shared" si="408"/>
        <v>5.3929561876706238E-3</v>
      </c>
      <c r="EO114">
        <f t="shared" si="409"/>
        <v>4.0499999999999998E-3</v>
      </c>
      <c r="EP114" s="144">
        <f t="shared" si="410"/>
        <v>9.9135449999999992</v>
      </c>
      <c r="EQ114" s="144"/>
      <c r="ER114" s="144">
        <f t="shared" si="432"/>
        <v>208.75884708396691</v>
      </c>
      <c r="ES114" s="456">
        <f t="shared" si="411"/>
        <v>0.05</v>
      </c>
      <c r="EV114" s="144">
        <f t="shared" si="412"/>
        <v>50</v>
      </c>
      <c r="EW114" s="456">
        <f t="shared" si="413"/>
        <v>5.0577777777777774E-3</v>
      </c>
      <c r="EX114" s="456">
        <f t="shared" si="414"/>
        <v>2.7943703703703717E-2</v>
      </c>
      <c r="EY114" s="456">
        <f t="shared" si="415"/>
        <v>0.10767845022333958</v>
      </c>
      <c r="EZ114" s="456"/>
      <c r="FA114" s="456">
        <f t="shared" si="416"/>
        <v>4.5519999999999996E-3</v>
      </c>
      <c r="FB114" s="144">
        <f t="shared" si="417"/>
        <v>145.23193170482108</v>
      </c>
      <c r="FC114" s="150">
        <f t="shared" si="418"/>
        <v>0.40399077878878797</v>
      </c>
      <c r="FD114" s="5">
        <f t="shared" si="419"/>
        <v>3.4</v>
      </c>
      <c r="FE114" s="150">
        <f t="shared" si="420"/>
        <v>0.89379817084692803</v>
      </c>
      <c r="FF114" s="5">
        <f t="shared" si="421"/>
        <v>89.379817084692803</v>
      </c>
      <c r="FI114" s="59">
        <f t="shared" si="422"/>
        <v>-50</v>
      </c>
      <c r="FJ114">
        <f t="shared" si="423"/>
        <v>-50</v>
      </c>
      <c r="FL114">
        <f t="shared" si="424"/>
        <v>5.9999999999999984E-2</v>
      </c>
    </row>
    <row r="115" spans="5:168">
      <c r="E115" s="147">
        <v>5</v>
      </c>
      <c r="F115" s="188">
        <f t="shared" si="425"/>
        <v>2.5000000000000001E-2</v>
      </c>
      <c r="G115" s="188"/>
      <c r="H115" s="188">
        <f t="shared" si="315"/>
        <v>4.25</v>
      </c>
      <c r="I115" s="465">
        <f t="shared" si="316"/>
        <v>8.9674003812464669</v>
      </c>
      <c r="J115" s="149">
        <f t="shared" si="317"/>
        <v>8.5383264917095438</v>
      </c>
      <c r="K115" s="149">
        <f t="shared" si="318"/>
        <v>17.505726872956011</v>
      </c>
      <c r="L115" s="379"/>
      <c r="M115" s="188">
        <f t="shared" si="319"/>
        <v>0.48774495674077972</v>
      </c>
      <c r="N115" s="149">
        <f t="shared" si="426"/>
        <v>146.18711942226955</v>
      </c>
      <c r="O115" s="149">
        <f t="shared" si="284"/>
        <v>4.25</v>
      </c>
      <c r="P115" s="188">
        <f t="shared" si="320"/>
        <v>0.85992423189570322</v>
      </c>
      <c r="Q115" s="188">
        <f t="shared" si="321"/>
        <v>170</v>
      </c>
      <c r="R115" s="188"/>
      <c r="S115" s="149">
        <f t="shared" si="322"/>
        <v>11777.196493292304</v>
      </c>
      <c r="T115" s="149">
        <f t="shared" si="323"/>
        <v>170</v>
      </c>
      <c r="U115" s="188">
        <f t="shared" si="324"/>
        <v>1.9521525715735359</v>
      </c>
      <c r="V115" s="188">
        <f t="shared" si="325"/>
        <v>0.32654155417038272</v>
      </c>
      <c r="W115" s="188">
        <f t="shared" si="326"/>
        <v>0.34295114624669426</v>
      </c>
      <c r="X115" s="172">
        <f t="shared" si="327"/>
        <v>218.6901257874874</v>
      </c>
      <c r="Y115" s="379">
        <f t="shared" si="328"/>
        <v>350</v>
      </c>
      <c r="AA115" s="188">
        <f t="shared" si="329"/>
        <v>13.333333333333334</v>
      </c>
      <c r="AB115" s="150">
        <f t="shared" si="330"/>
        <v>2.3423793900853283</v>
      </c>
      <c r="AC115" s="150">
        <f t="shared" si="331"/>
        <v>0.17075174781992616</v>
      </c>
      <c r="AD115" s="150"/>
      <c r="AE115" s="150">
        <f t="shared" si="332"/>
        <v>2.3423793900853283</v>
      </c>
      <c r="AF115" s="314">
        <f t="shared" si="333"/>
        <v>32.018724343910783</v>
      </c>
      <c r="AG115" s="456">
        <f t="shared" si="334"/>
        <v>0.17075174781992616</v>
      </c>
      <c r="AI115" s="150">
        <f t="shared" si="335"/>
        <v>4.0328003957334291</v>
      </c>
      <c r="AJ115" s="150">
        <f t="shared" si="336"/>
        <v>13.333333333333334</v>
      </c>
      <c r="AK115" s="150">
        <f t="shared" si="337"/>
        <v>1.0182964139108062</v>
      </c>
      <c r="AM115" s="314">
        <f t="shared" si="338"/>
        <v>25</v>
      </c>
      <c r="AN115" s="144">
        <f t="shared" si="339"/>
        <v>32.018724343910783</v>
      </c>
      <c r="AP115" s="144">
        <f t="shared" si="340"/>
        <v>25</v>
      </c>
      <c r="AQ115" s="144">
        <f t="shared" si="341"/>
        <v>32.018724343910783</v>
      </c>
      <c r="AS115" s="5">
        <f t="shared" si="285"/>
        <v>31.231725201137714</v>
      </c>
      <c r="AT115" s="5">
        <f t="shared" si="342"/>
        <v>2.2303007727664328</v>
      </c>
      <c r="AU115" s="5">
        <f t="shared" si="343"/>
        <v>29.00142442837128</v>
      </c>
      <c r="AV115" s="5"/>
      <c r="AW115" s="150">
        <f t="shared" si="344"/>
        <v>7.1411385647219619E-2</v>
      </c>
      <c r="AX115" s="150">
        <f t="shared" si="214"/>
        <v>4.2691632458547719</v>
      </c>
      <c r="AY115" s="150">
        <f t="shared" si="215"/>
        <v>0.30952953811759348</v>
      </c>
      <c r="AZ115" s="150">
        <f t="shared" si="288"/>
        <v>13.792425988865956</v>
      </c>
      <c r="BA115" s="144">
        <f t="shared" si="345"/>
        <v>3.2798540775976957E-2</v>
      </c>
      <c r="BB115" s="5">
        <f t="shared" si="346"/>
        <v>22.908172673681332</v>
      </c>
      <c r="BD115" s="150">
        <f t="shared" si="289"/>
        <v>2.0571304810661704</v>
      </c>
      <c r="BE115" s="150">
        <f t="shared" si="218"/>
        <v>0.37090252575012123</v>
      </c>
      <c r="BG115" s="456">
        <f t="shared" si="347"/>
        <v>1.4388071774847213E-2</v>
      </c>
      <c r="BH115" s="456">
        <f t="shared" si="348"/>
        <v>0.17898985979040039</v>
      </c>
      <c r="BI115" s="456">
        <f t="shared" si="349"/>
        <v>1.3150312216698387E-2</v>
      </c>
      <c r="BJ115" s="456">
        <f t="shared" si="350"/>
        <v>6.7213249634211379E-3</v>
      </c>
      <c r="BK115">
        <f t="shared" si="351"/>
        <v>4.0353301715609097E-3</v>
      </c>
      <c r="BL115" s="144">
        <f t="shared" si="427"/>
        <v>17.185642388259296</v>
      </c>
      <c r="BM115" s="456">
        <f t="shared" si="352"/>
        <v>0.20468376903887192</v>
      </c>
      <c r="BN115" s="144">
        <f t="shared" si="353"/>
        <v>204.68376903887193</v>
      </c>
      <c r="BO115" s="456">
        <f t="shared" si="354"/>
        <v>6.25E-2</v>
      </c>
      <c r="BR115" s="144">
        <f t="shared" si="355"/>
        <v>62.5</v>
      </c>
      <c r="BS115" s="456">
        <f t="shared" si="356"/>
        <v>6.3476787241973E-3</v>
      </c>
      <c r="BT115" s="456">
        <f t="shared" si="357"/>
        <v>2.7513736721563872E-2</v>
      </c>
      <c r="BU115" s="456">
        <f t="shared" si="358"/>
        <v>0.18828984976808635</v>
      </c>
      <c r="BV115" s="456"/>
      <c r="BW115" s="456">
        <f t="shared" si="359"/>
        <v>5.6922176611396962E-3</v>
      </c>
      <c r="BX115" s="144">
        <f t="shared" si="360"/>
        <v>227.84348287498725</v>
      </c>
      <c r="BY115" s="150">
        <f t="shared" si="361"/>
        <v>0.50762838179191527</v>
      </c>
      <c r="BZ115" s="5">
        <f t="shared" si="362"/>
        <v>4.25</v>
      </c>
      <c r="CA115" s="150">
        <f t="shared" si="363"/>
        <v>0.89330222096902789</v>
      </c>
      <c r="CB115" s="5">
        <f t="shared" si="364"/>
        <v>89.330222096902787</v>
      </c>
      <c r="CE115" s="59">
        <f t="shared" si="365"/>
        <v>-50</v>
      </c>
      <c r="CF115">
        <f t="shared" si="366"/>
        <v>-50</v>
      </c>
      <c r="CG115" s="150">
        <f t="shared" si="367"/>
        <v>7.515425313783565E-2</v>
      </c>
      <c r="CI115" s="147">
        <v>5</v>
      </c>
      <c r="CJ115" s="188">
        <f t="shared" si="428"/>
        <v>2.5000000000000001E-2</v>
      </c>
      <c r="CK115" s="188"/>
      <c r="CL115" s="188">
        <f t="shared" si="368"/>
        <v>4.25</v>
      </c>
      <c r="CM115" s="465">
        <f t="shared" si="369"/>
        <v>9</v>
      </c>
      <c r="CN115" s="379">
        <f t="shared" si="370"/>
        <v>8.5350000000000001</v>
      </c>
      <c r="CO115" s="379">
        <f t="shared" si="371"/>
        <v>17.535</v>
      </c>
      <c r="CP115" s="379"/>
      <c r="CQ115" s="188">
        <f t="shared" si="372"/>
        <v>0.48674080410607357</v>
      </c>
      <c r="CR115" s="149">
        <f t="shared" si="429"/>
        <v>146.41650128314802</v>
      </c>
      <c r="CS115" s="149">
        <f t="shared" si="373"/>
        <v>4.25</v>
      </c>
      <c r="CT115" s="188">
        <f t="shared" si="374"/>
        <v>0.86127353695969422</v>
      </c>
      <c r="CU115" s="188">
        <f t="shared" si="375"/>
        <v>170</v>
      </c>
      <c r="CV115" s="188"/>
      <c r="CW115" s="149">
        <f t="shared" si="376"/>
        <v>11820.010659257605</v>
      </c>
      <c r="CX115" s="149">
        <f t="shared" si="377"/>
        <v>170</v>
      </c>
      <c r="CY115" s="188">
        <f t="shared" si="378"/>
        <v>1.9403436828744387</v>
      </c>
      <c r="CZ115" s="188">
        <f t="shared" si="379"/>
        <v>0.32339061381240641</v>
      </c>
      <c r="DA115" s="188">
        <f t="shared" si="380"/>
        <v>0.34100943460007704</v>
      </c>
      <c r="DB115" s="172">
        <f t="shared" si="381"/>
        <v>219.03336184773312</v>
      </c>
      <c r="DC115" s="379">
        <f t="shared" si="382"/>
        <v>350</v>
      </c>
      <c r="DE115" s="188">
        <f t="shared" si="383"/>
        <v>13.333333333333334</v>
      </c>
      <c r="DF115" s="150">
        <f t="shared" si="384"/>
        <v>2.3432923257176337</v>
      </c>
      <c r="DG115" s="150">
        <f t="shared" si="385"/>
        <v>0.17108639863130889</v>
      </c>
      <c r="DH115" s="150"/>
      <c r="DI115" s="150">
        <f t="shared" si="386"/>
        <v>2.3432923257176337</v>
      </c>
      <c r="DJ115" s="314">
        <f t="shared" si="387"/>
        <v>32.006249999999994</v>
      </c>
      <c r="DK115" s="456">
        <f t="shared" si="388"/>
        <v>0.17108639863130887</v>
      </c>
      <c r="DM115" s="150">
        <f t="shared" si="389"/>
        <v>4.0320147392020846</v>
      </c>
      <c r="DN115" s="150">
        <f t="shared" si="390"/>
        <v>13.333333333333334</v>
      </c>
      <c r="DO115" s="150">
        <f t="shared" si="391"/>
        <v>1.0182892857142858</v>
      </c>
      <c r="DQ115" s="314">
        <f t="shared" si="392"/>
        <v>25</v>
      </c>
      <c r="DR115" s="144">
        <f t="shared" si="393"/>
        <v>32.006249999999994</v>
      </c>
      <c r="DT115">
        <f t="shared" si="430"/>
        <v>25</v>
      </c>
      <c r="DU115">
        <f t="shared" si="431"/>
        <v>32.006249999999994</v>
      </c>
      <c r="DW115" s="5">
        <f t="shared" si="394"/>
        <v>31.243897676235115</v>
      </c>
      <c r="DX115" s="5">
        <f t="shared" si="395"/>
        <v>2.2222222222222223</v>
      </c>
      <c r="DY115" s="5">
        <f t="shared" si="396"/>
        <v>29.021675454012893</v>
      </c>
      <c r="DZ115" s="5"/>
      <c r="EA115" s="150">
        <f t="shared" si="397"/>
        <v>7.1124999999999994E-2</v>
      </c>
      <c r="EB115" s="150">
        <f t="shared" si="398"/>
        <v>4.2675000000000001</v>
      </c>
      <c r="EC115" s="150">
        <f t="shared" si="399"/>
        <v>0.30962500000000004</v>
      </c>
      <c r="ED115" s="150">
        <f t="shared" si="400"/>
        <v>13.782801776342348</v>
      </c>
      <c r="EE115" s="144">
        <f t="shared" si="401"/>
        <v>3.2679738562091505E-2</v>
      </c>
      <c r="EF115" s="5">
        <f t="shared" si="402"/>
        <v>22.84113345917681</v>
      </c>
      <c r="EH115" s="150">
        <f t="shared" si="403"/>
        <v>2.0530014161745762</v>
      </c>
      <c r="EI115" s="150">
        <f t="shared" si="404"/>
        <v>0.37095971629155516</v>
      </c>
      <c r="EK115" s="456">
        <f t="shared" si="405"/>
        <v>1.4330370370370372E-2</v>
      </c>
      <c r="EL115" s="456">
        <f t="shared" si="406"/>
        <v>0.22748506199999999</v>
      </c>
      <c r="EM115" s="456">
        <f t="shared" si="407"/>
        <v>7.3294312499999981E-3</v>
      </c>
      <c r="EN115" s="456">
        <f t="shared" si="408"/>
        <v>6.7411952345882804E-3</v>
      </c>
      <c r="EO115">
        <f t="shared" si="409"/>
        <v>4.0499999999999998E-3</v>
      </c>
      <c r="EP115" s="144">
        <f t="shared" si="410"/>
        <v>11.379431249999998</v>
      </c>
      <c r="EQ115" s="144"/>
      <c r="ER115" s="144">
        <f t="shared" si="432"/>
        <v>259.93605885495862</v>
      </c>
      <c r="ES115" s="456">
        <f t="shared" si="411"/>
        <v>6.25E-2</v>
      </c>
      <c r="EV115" s="144">
        <f t="shared" si="412"/>
        <v>62.5</v>
      </c>
      <c r="EW115" s="456">
        <f t="shared" si="413"/>
        <v>6.322222222222223E-3</v>
      </c>
      <c r="EX115" s="456">
        <f t="shared" si="414"/>
        <v>2.7522222222222222E-2</v>
      </c>
      <c r="EY115" s="456">
        <f t="shared" si="415"/>
        <v>0.18810651125876177</v>
      </c>
      <c r="EZ115" s="456"/>
      <c r="FA115" s="456">
        <f t="shared" si="416"/>
        <v>5.6900000000000006E-3</v>
      </c>
      <c r="FB115" s="144">
        <f t="shared" si="417"/>
        <v>227.64095570320623</v>
      </c>
      <c r="FC115" s="150">
        <f t="shared" si="418"/>
        <v>0.55007701455816482</v>
      </c>
      <c r="FD115" s="5">
        <f t="shared" si="419"/>
        <v>4.25</v>
      </c>
      <c r="FE115" s="150">
        <f t="shared" si="420"/>
        <v>0.88540246065014483</v>
      </c>
      <c r="FF115" s="5">
        <f t="shared" si="421"/>
        <v>88.540246065014486</v>
      </c>
      <c r="FI115" s="59">
        <f t="shared" si="422"/>
        <v>-50</v>
      </c>
      <c r="FJ115">
        <f t="shared" si="423"/>
        <v>-50</v>
      </c>
      <c r="FL115">
        <f t="shared" si="424"/>
        <v>7.4999999999999997E-2</v>
      </c>
    </row>
    <row r="116" spans="5:168">
      <c r="E116" s="147">
        <v>6</v>
      </c>
      <c r="F116" s="188">
        <f t="shared" si="425"/>
        <v>0.03</v>
      </c>
      <c r="G116" s="188"/>
      <c r="H116" s="188">
        <f t="shared" si="315"/>
        <v>5.0999999999999996</v>
      </c>
      <c r="I116" s="465">
        <f t="shared" si="316"/>
        <v>8.9674003812464669</v>
      </c>
      <c r="J116" s="149">
        <f t="shared" si="317"/>
        <v>8.5383264917095438</v>
      </c>
      <c r="K116" s="149">
        <f t="shared" si="318"/>
        <v>17.505726872956011</v>
      </c>
      <c r="L116" s="379"/>
      <c r="M116" s="188">
        <f t="shared" si="319"/>
        <v>0.48774495674077972</v>
      </c>
      <c r="N116" s="149">
        <f t="shared" si="426"/>
        <v>146.18711942226955</v>
      </c>
      <c r="O116" s="149">
        <f t="shared" si="284"/>
        <v>5.0999999999999996</v>
      </c>
      <c r="P116" s="188">
        <f t="shared" si="320"/>
        <v>0.85992423189570322</v>
      </c>
      <c r="Q116" s="188">
        <f t="shared" si="321"/>
        <v>170</v>
      </c>
      <c r="R116" s="188"/>
      <c r="S116" s="149">
        <f t="shared" si="322"/>
        <v>9784.4430237825545</v>
      </c>
      <c r="T116" s="149">
        <f t="shared" si="323"/>
        <v>170</v>
      </c>
      <c r="U116" s="188">
        <f t="shared" si="324"/>
        <v>2.342583085888243</v>
      </c>
      <c r="V116" s="188">
        <f t="shared" si="325"/>
        <v>0.39184986500445923</v>
      </c>
      <c r="W116" s="188">
        <f t="shared" si="326"/>
        <v>0.41154137549603315</v>
      </c>
      <c r="X116" s="172">
        <f t="shared" si="327"/>
        <v>218.6901257874874</v>
      </c>
      <c r="Y116" s="379">
        <f t="shared" si="328"/>
        <v>350</v>
      </c>
      <c r="AA116" s="188">
        <f t="shared" si="329"/>
        <v>13.333333333333334</v>
      </c>
      <c r="AB116" s="150">
        <f t="shared" si="330"/>
        <v>2.3423793900853283</v>
      </c>
      <c r="AC116" s="150">
        <f t="shared" si="331"/>
        <v>0.17075174781992616</v>
      </c>
      <c r="AD116" s="150"/>
      <c r="AE116" s="150">
        <f t="shared" si="332"/>
        <v>2.3423793900853283</v>
      </c>
      <c r="AF116" s="314">
        <f t="shared" si="333"/>
        <v>38.422469212692938</v>
      </c>
      <c r="AG116" s="456">
        <f t="shared" si="334"/>
        <v>0.17075174781992616</v>
      </c>
      <c r="AI116" s="150">
        <f t="shared" si="335"/>
        <v>4.4177114933179196</v>
      </c>
      <c r="AJ116" s="150">
        <f t="shared" si="336"/>
        <v>13.333333333333334</v>
      </c>
      <c r="AK116" s="150">
        <f t="shared" si="337"/>
        <v>1.0219556966929675</v>
      </c>
      <c r="AM116" s="314">
        <f t="shared" si="338"/>
        <v>30</v>
      </c>
      <c r="AN116" s="144">
        <f t="shared" si="339"/>
        <v>38.422469212692938</v>
      </c>
      <c r="AP116" s="144">
        <f t="shared" si="340"/>
        <v>30</v>
      </c>
      <c r="AQ116" s="144">
        <f t="shared" si="341"/>
        <v>38.422469212692938</v>
      </c>
      <c r="AS116" s="5">
        <f t="shared" si="285"/>
        <v>26.026437667614761</v>
      </c>
      <c r="AT116" s="5">
        <f t="shared" si="342"/>
        <v>2.2303007727664328</v>
      </c>
      <c r="AU116" s="5">
        <f t="shared" si="343"/>
        <v>23.796136894848328</v>
      </c>
      <c r="AV116" s="5"/>
      <c r="AW116" s="150">
        <f t="shared" si="344"/>
        <v>8.5693662776663529E-2</v>
      </c>
      <c r="AX116" s="150">
        <f t="shared" si="214"/>
        <v>5.1229958950257259</v>
      </c>
      <c r="AY116" s="150">
        <f t="shared" si="215"/>
        <v>0.30476877907444549</v>
      </c>
      <c r="AZ116" s="150">
        <f t="shared" si="288"/>
        <v>16.809451120891676</v>
      </c>
      <c r="BA116" s="144">
        <f t="shared" si="345"/>
        <v>3.9358248931172339E-2</v>
      </c>
      <c r="BB116" s="5">
        <f t="shared" si="346"/>
        <v>22.555830564810318</v>
      </c>
      <c r="BD116" s="150">
        <f t="shared" si="289"/>
        <v>2.2534735364227911</v>
      </c>
      <c r="BE116" s="150">
        <f t="shared" si="218"/>
        <v>0.36803911571972014</v>
      </c>
      <c r="BG116" s="456">
        <f t="shared" si="347"/>
        <v>1.7265686129816656E-2</v>
      </c>
      <c r="BH116" s="456">
        <f t="shared" si="348"/>
        <v>0.21478783174848043</v>
      </c>
      <c r="BI116" s="456">
        <f t="shared" si="349"/>
        <v>1.5780374660038066E-2</v>
      </c>
      <c r="BJ116" s="456">
        <f t="shared" si="350"/>
        <v>8.0655899561053648E-3</v>
      </c>
      <c r="BK116">
        <f t="shared" si="351"/>
        <v>4.0353301715609097E-3</v>
      </c>
      <c r="BL116" s="144">
        <f t="shared" si="427"/>
        <v>19.815704831598975</v>
      </c>
      <c r="BM116" s="456">
        <f t="shared" si="352"/>
        <v>0.24578915056412745</v>
      </c>
      <c r="BN116" s="144">
        <f t="shared" si="353"/>
        <v>245.78915056412745</v>
      </c>
      <c r="BO116" s="456">
        <f t="shared" si="354"/>
        <v>7.4999999999999997E-2</v>
      </c>
      <c r="BR116" s="144">
        <f t="shared" si="355"/>
        <v>75</v>
      </c>
      <c r="BS116" s="456">
        <f t="shared" si="356"/>
        <v>7.6172144690367614E-3</v>
      </c>
      <c r="BT116" s="456">
        <f t="shared" si="357"/>
        <v>2.7090558139950711E-2</v>
      </c>
      <c r="BU116" s="456">
        <f t="shared" si="358"/>
        <v>0.29701612243365022</v>
      </c>
      <c r="BV116" s="456"/>
      <c r="BW116" s="456">
        <f t="shared" si="359"/>
        <v>6.8306611933676353E-3</v>
      </c>
      <c r="BX116" s="144">
        <f t="shared" si="360"/>
        <v>338.55455623600528</v>
      </c>
      <c r="BY116" s="150">
        <f t="shared" si="361"/>
        <v>0.67348936890200672</v>
      </c>
      <c r="BZ116" s="5">
        <f t="shared" si="362"/>
        <v>5.0999999999999996</v>
      </c>
      <c r="CA116" s="150">
        <f t="shared" si="363"/>
        <v>0.88334795028295165</v>
      </c>
      <c r="CB116" s="5">
        <f t="shared" si="364"/>
        <v>88.334795028295162</v>
      </c>
      <c r="CE116" s="59">
        <f t="shared" si="365"/>
        <v>-50</v>
      </c>
      <c r="CF116">
        <f t="shared" si="366"/>
        <v>-50</v>
      </c>
      <c r="CG116" s="150">
        <f t="shared" si="367"/>
        <v>9.0185103765402772E-2</v>
      </c>
      <c r="CI116" s="147">
        <v>6</v>
      </c>
      <c r="CJ116" s="188">
        <f t="shared" si="428"/>
        <v>0.03</v>
      </c>
      <c r="CK116" s="188"/>
      <c r="CL116" s="188">
        <f t="shared" si="368"/>
        <v>5.0999999999999996</v>
      </c>
      <c r="CM116" s="465">
        <f t="shared" si="369"/>
        <v>9</v>
      </c>
      <c r="CN116" s="379">
        <f t="shared" si="370"/>
        <v>8.5350000000000001</v>
      </c>
      <c r="CO116" s="379">
        <f t="shared" si="371"/>
        <v>17.535</v>
      </c>
      <c r="CP116" s="379"/>
      <c r="CQ116" s="188">
        <f t="shared" si="372"/>
        <v>0.48674080410607357</v>
      </c>
      <c r="CR116" s="149">
        <f t="shared" si="429"/>
        <v>146.41650128314802</v>
      </c>
      <c r="CS116" s="149">
        <f t="shared" si="373"/>
        <v>5.0999999999999996</v>
      </c>
      <c r="CT116" s="188">
        <f t="shared" si="374"/>
        <v>0.86127353695969422</v>
      </c>
      <c r="CU116" s="188">
        <f t="shared" si="375"/>
        <v>170</v>
      </c>
      <c r="CV116" s="188"/>
      <c r="CW116" s="149">
        <f t="shared" si="376"/>
        <v>9820.0128300259057</v>
      </c>
      <c r="CX116" s="149">
        <f t="shared" si="377"/>
        <v>170</v>
      </c>
      <c r="CY116" s="188">
        <f t="shared" si="378"/>
        <v>2.3284124194493261</v>
      </c>
      <c r="CZ116" s="188">
        <f t="shared" si="379"/>
        <v>0.38806873657488772</v>
      </c>
      <c r="DA116" s="188">
        <f t="shared" si="380"/>
        <v>0.40921132152009249</v>
      </c>
      <c r="DB116" s="172">
        <f t="shared" si="381"/>
        <v>219.03336184773312</v>
      </c>
      <c r="DC116" s="379">
        <f t="shared" si="382"/>
        <v>350</v>
      </c>
      <c r="DE116" s="188">
        <f t="shared" si="383"/>
        <v>13.333333333333334</v>
      </c>
      <c r="DF116" s="150">
        <f t="shared" si="384"/>
        <v>2.3432923257176337</v>
      </c>
      <c r="DG116" s="150">
        <f t="shared" si="385"/>
        <v>0.17108639863130889</v>
      </c>
      <c r="DH116" s="150"/>
      <c r="DI116" s="150">
        <f t="shared" si="386"/>
        <v>2.3432923257176337</v>
      </c>
      <c r="DJ116" s="314">
        <f t="shared" si="387"/>
        <v>38.407499999999985</v>
      </c>
      <c r="DK116" s="456">
        <f t="shared" si="388"/>
        <v>0.17108639863130887</v>
      </c>
      <c r="DM116" s="150">
        <f t="shared" si="389"/>
        <v>4.4168508497085819</v>
      </c>
      <c r="DN116" s="150">
        <f t="shared" si="390"/>
        <v>13.333333333333334</v>
      </c>
      <c r="DO116" s="150">
        <f t="shared" si="391"/>
        <v>1.0219471428571429</v>
      </c>
      <c r="DQ116" s="314">
        <f t="shared" si="392"/>
        <v>30</v>
      </c>
      <c r="DR116" s="144">
        <f t="shared" si="393"/>
        <v>38.407499999999985</v>
      </c>
      <c r="DT116">
        <f t="shared" si="430"/>
        <v>30</v>
      </c>
      <c r="DU116">
        <f t="shared" si="431"/>
        <v>38.407499999999985</v>
      </c>
      <c r="DW116" s="5">
        <f t="shared" si="394"/>
        <v>26.036581396862601</v>
      </c>
      <c r="DX116" s="5">
        <f t="shared" si="395"/>
        <v>2.2222222222222223</v>
      </c>
      <c r="DY116" s="5">
        <f t="shared" si="396"/>
        <v>23.81435917464038</v>
      </c>
      <c r="DZ116" s="5"/>
      <c r="EA116" s="150">
        <f t="shared" si="397"/>
        <v>8.5349999999999968E-2</v>
      </c>
      <c r="EB116" s="150">
        <f t="shared" si="398"/>
        <v>5.1209999999999987</v>
      </c>
      <c r="EC116" s="150">
        <f t="shared" si="399"/>
        <v>0.3048833333333334</v>
      </c>
      <c r="ED116" s="150">
        <f t="shared" si="400"/>
        <v>16.796588859126434</v>
      </c>
      <c r="EE116" s="144">
        <f t="shared" si="401"/>
        <v>3.9215686274509803E-2</v>
      </c>
      <c r="EF116" s="5">
        <f t="shared" si="402"/>
        <v>22.491339220493689</v>
      </c>
      <c r="EH116" s="150">
        <f t="shared" si="403"/>
        <v>2.2489503724577333</v>
      </c>
      <c r="EI116" s="150">
        <f t="shared" si="404"/>
        <v>0.36810827714641753</v>
      </c>
      <c r="EK116" s="456">
        <f t="shared" si="405"/>
        <v>1.7196444444444441E-2</v>
      </c>
      <c r="EL116" s="456">
        <f t="shared" si="406"/>
        <v>0.27298207439999989</v>
      </c>
      <c r="EM116" s="456">
        <f t="shared" si="407"/>
        <v>8.7953174999999967E-3</v>
      </c>
      <c r="EN116" s="456">
        <f t="shared" si="408"/>
        <v>8.0894342815059361E-3</v>
      </c>
      <c r="EO116">
        <f t="shared" si="409"/>
        <v>4.0499999999999998E-3</v>
      </c>
      <c r="EP116" s="144">
        <f t="shared" si="410"/>
        <v>12.845317499999997</v>
      </c>
      <c r="EQ116" s="144"/>
      <c r="ER116" s="144">
        <f t="shared" si="432"/>
        <v>311.11327062595029</v>
      </c>
      <c r="ES116" s="456">
        <f t="shared" si="411"/>
        <v>7.4999999999999997E-2</v>
      </c>
      <c r="EV116" s="144">
        <f t="shared" si="412"/>
        <v>75</v>
      </c>
      <c r="EW116" s="456">
        <f t="shared" si="413"/>
        <v>7.586666666666666E-3</v>
      </c>
      <c r="EX116" s="456">
        <f t="shared" si="414"/>
        <v>2.7100740740740748E-2</v>
      </c>
      <c r="EY116" s="456">
        <f t="shared" si="415"/>
        <v>0.2967269167584668</v>
      </c>
      <c r="EZ116" s="456"/>
      <c r="FA116" s="456">
        <f t="shared" si="416"/>
        <v>6.827999999999999E-3</v>
      </c>
      <c r="FB116" s="144">
        <f t="shared" si="417"/>
        <v>338.24232416587427</v>
      </c>
      <c r="FC116" s="150">
        <f t="shared" si="418"/>
        <v>0.72435559479182443</v>
      </c>
      <c r="FD116" s="5">
        <f t="shared" si="419"/>
        <v>5.0999999999999996</v>
      </c>
      <c r="FE116" s="150">
        <f t="shared" si="420"/>
        <v>0.87563334981821028</v>
      </c>
      <c r="FF116" s="5">
        <f t="shared" si="421"/>
        <v>87.563334981821029</v>
      </c>
      <c r="FI116" s="59">
        <f t="shared" si="422"/>
        <v>-50</v>
      </c>
      <c r="FJ116">
        <f t="shared" si="423"/>
        <v>-50</v>
      </c>
      <c r="FL116">
        <f t="shared" si="424"/>
        <v>8.9999999999999969E-2</v>
      </c>
    </row>
    <row r="117" spans="5:168">
      <c r="E117" s="147">
        <v>7</v>
      </c>
      <c r="F117" s="188">
        <f t="shared" si="425"/>
        <v>3.5000000000000003E-2</v>
      </c>
      <c r="G117" s="188"/>
      <c r="H117" s="188">
        <f t="shared" si="315"/>
        <v>5.95</v>
      </c>
      <c r="I117" s="465">
        <f t="shared" si="316"/>
        <v>8.9674003812464669</v>
      </c>
      <c r="J117" s="149">
        <f t="shared" si="317"/>
        <v>8.5383264917095438</v>
      </c>
      <c r="K117" s="149">
        <f t="shared" si="318"/>
        <v>17.505726872956011</v>
      </c>
      <c r="L117" s="379"/>
      <c r="M117" s="188">
        <f t="shared" si="319"/>
        <v>0.48774495674077972</v>
      </c>
      <c r="N117" s="149">
        <f t="shared" si="426"/>
        <v>146.18711942226955</v>
      </c>
      <c r="O117" s="149">
        <f t="shared" si="284"/>
        <v>5.95</v>
      </c>
      <c r="P117" s="188">
        <f t="shared" si="320"/>
        <v>0.85992423189570322</v>
      </c>
      <c r="Q117" s="188">
        <f t="shared" si="321"/>
        <v>170</v>
      </c>
      <c r="R117" s="188"/>
      <c r="S117" s="149">
        <f t="shared" si="322"/>
        <v>8361.0483218856934</v>
      </c>
      <c r="T117" s="149">
        <f t="shared" si="323"/>
        <v>170</v>
      </c>
      <c r="U117" s="188">
        <f t="shared" si="324"/>
        <v>2.7330136002029506</v>
      </c>
      <c r="V117" s="188">
        <f t="shared" si="325"/>
        <v>0.45715817583853585</v>
      </c>
      <c r="W117" s="188">
        <f t="shared" si="326"/>
        <v>0.48013160474537209</v>
      </c>
      <c r="X117" s="172">
        <f t="shared" si="327"/>
        <v>218.6901257874874</v>
      </c>
      <c r="Y117" s="379">
        <f t="shared" si="328"/>
        <v>350</v>
      </c>
      <c r="AA117" s="188">
        <f t="shared" si="329"/>
        <v>13.333333333333334</v>
      </c>
      <c r="AB117" s="150">
        <f t="shared" si="330"/>
        <v>2.3423793900853283</v>
      </c>
      <c r="AC117" s="150">
        <f t="shared" si="331"/>
        <v>0.17075174781992616</v>
      </c>
      <c r="AD117" s="150"/>
      <c r="AE117" s="150">
        <f t="shared" si="332"/>
        <v>2.3423793900853283</v>
      </c>
      <c r="AF117" s="314">
        <f t="shared" si="333"/>
        <v>44.826214081475094</v>
      </c>
      <c r="AG117" s="456">
        <f t="shared" si="334"/>
        <v>0.17075174781992616</v>
      </c>
      <c r="AI117" s="150">
        <f t="shared" si="335"/>
        <v>4.7716737780949341</v>
      </c>
      <c r="AJ117" s="150">
        <f t="shared" si="336"/>
        <v>13.333333333333334</v>
      </c>
      <c r="AK117" s="150">
        <f t="shared" si="337"/>
        <v>1.0256149794751286</v>
      </c>
      <c r="AM117" s="314">
        <f t="shared" si="338"/>
        <v>35</v>
      </c>
      <c r="AN117" s="144">
        <f t="shared" si="339"/>
        <v>44.826214081475094</v>
      </c>
      <c r="AP117" s="144">
        <f t="shared" si="340"/>
        <v>35</v>
      </c>
      <c r="AQ117" s="144">
        <f t="shared" si="341"/>
        <v>44.826214081475094</v>
      </c>
      <c r="AS117" s="5">
        <f t="shared" si="285"/>
        <v>22.308375143669796</v>
      </c>
      <c r="AT117" s="5">
        <f t="shared" si="342"/>
        <v>2.2303007727664328</v>
      </c>
      <c r="AU117" s="5">
        <f t="shared" si="343"/>
        <v>20.078074370903362</v>
      </c>
      <c r="AV117" s="5"/>
      <c r="AW117" s="150">
        <f t="shared" si="344"/>
        <v>9.9975939906107453E-2</v>
      </c>
      <c r="AX117" s="150">
        <f t="shared" si="214"/>
        <v>5.9768285441966809</v>
      </c>
      <c r="AY117" s="150">
        <f t="shared" si="215"/>
        <v>0.30000802003129756</v>
      </c>
      <c r="AZ117" s="150">
        <f t="shared" si="288"/>
        <v>19.922229224315949</v>
      </c>
      <c r="BA117" s="144">
        <f t="shared" ref="BA117:BA180" si="433">F117*AT117/Vout_ripple*1000</f>
        <v>4.5917957086367742E-2</v>
      </c>
      <c r="BB117" s="5">
        <f t="shared" ref="BB117:BB180" si="434">H117/Efficiency/I117*AU117/Vinripple1</f>
        <v>22.203488455939308</v>
      </c>
      <c r="BD117" s="150">
        <f t="shared" si="289"/>
        <v>2.4340296100467111</v>
      </c>
      <c r="BE117" s="150">
        <f t="shared" si="218"/>
        <v>0.36515325247310587</v>
      </c>
      <c r="BG117" s="456">
        <f t="shared" si="347"/>
        <v>2.0143300484786089E-2</v>
      </c>
      <c r="BH117" s="456">
        <f t="shared" si="348"/>
        <v>0.25058580370656047</v>
      </c>
      <c r="BI117" s="456">
        <f t="shared" si="349"/>
        <v>1.8410437103377742E-2</v>
      </c>
      <c r="BJ117" s="456">
        <f t="shared" si="350"/>
        <v>9.4098549487895925E-3</v>
      </c>
      <c r="BK117">
        <f t="shared" si="351"/>
        <v>4.0353301715609097E-3</v>
      </c>
      <c r="BL117" s="144">
        <f t="shared" si="427"/>
        <v>22.445767274938653</v>
      </c>
      <c r="BM117" s="456">
        <f t="shared" si="352"/>
        <v>0.28695101164240605</v>
      </c>
      <c r="BN117" s="144">
        <f t="shared" si="353"/>
        <v>286.95101164240606</v>
      </c>
      <c r="BO117" s="456">
        <f t="shared" si="354"/>
        <v>8.7500000000000008E-2</v>
      </c>
      <c r="BR117" s="144">
        <f t="shared" si="355"/>
        <v>87.500000000000014</v>
      </c>
      <c r="BS117" s="456">
        <f t="shared" si="356"/>
        <v>8.8867502138762176E-3</v>
      </c>
      <c r="BT117" s="456">
        <f t="shared" si="357"/>
        <v>2.6667379558337562E-2</v>
      </c>
      <c r="BU117" s="456">
        <f t="shared" si="358"/>
        <v>0.43666360724172898</v>
      </c>
      <c r="BV117" s="456"/>
      <c r="BW117" s="456">
        <f t="shared" si="359"/>
        <v>7.9691047255955744E-3</v>
      </c>
      <c r="BX117" s="144">
        <f t="shared" si="360"/>
        <v>480.18684173953835</v>
      </c>
      <c r="BY117" s="150">
        <f t="shared" si="361"/>
        <v>0.87027156815461304</v>
      </c>
      <c r="BZ117" s="5">
        <f t="shared" si="362"/>
        <v>5.95</v>
      </c>
      <c r="CA117" s="150">
        <f t="shared" si="363"/>
        <v>0.87239927919907068</v>
      </c>
      <c r="CB117" s="5">
        <f t="shared" si="364"/>
        <v>87.239927919907075</v>
      </c>
      <c r="CE117" s="59">
        <f t="shared" si="365"/>
        <v>-50</v>
      </c>
      <c r="CF117">
        <f t="shared" si="366"/>
        <v>-50</v>
      </c>
      <c r="CG117" s="150">
        <f t="shared" si="367"/>
        <v>0.10521595439296992</v>
      </c>
      <c r="CI117" s="147">
        <v>7</v>
      </c>
      <c r="CJ117" s="188">
        <f t="shared" si="428"/>
        <v>3.5000000000000003E-2</v>
      </c>
      <c r="CK117" s="188"/>
      <c r="CL117" s="188">
        <f t="shared" si="368"/>
        <v>5.95</v>
      </c>
      <c r="CM117" s="465">
        <f t="shared" si="369"/>
        <v>9</v>
      </c>
      <c r="CN117" s="379">
        <f t="shared" si="370"/>
        <v>8.5350000000000001</v>
      </c>
      <c r="CO117" s="379">
        <f t="shared" si="371"/>
        <v>17.535</v>
      </c>
      <c r="CP117" s="379"/>
      <c r="CQ117" s="188">
        <f t="shared" si="372"/>
        <v>0.48674080410607357</v>
      </c>
      <c r="CR117" s="149">
        <f t="shared" si="429"/>
        <v>146.41650128314802</v>
      </c>
      <c r="CS117" s="149">
        <f t="shared" si="373"/>
        <v>5.95</v>
      </c>
      <c r="CT117" s="188">
        <f t="shared" si="374"/>
        <v>0.86127353695969422</v>
      </c>
      <c r="CU117" s="188">
        <f t="shared" si="375"/>
        <v>170</v>
      </c>
      <c r="CV117" s="188"/>
      <c r="CW117" s="149">
        <f t="shared" si="376"/>
        <v>8391.4435854710173</v>
      </c>
      <c r="CX117" s="149">
        <f t="shared" si="377"/>
        <v>170</v>
      </c>
      <c r="CY117" s="188">
        <f t="shared" si="378"/>
        <v>2.7164811560242144</v>
      </c>
      <c r="CZ117" s="188">
        <f t="shared" si="379"/>
        <v>0.45274685933736913</v>
      </c>
      <c r="DA117" s="188">
        <f t="shared" si="380"/>
        <v>0.47741320844010798</v>
      </c>
      <c r="DB117" s="172">
        <f t="shared" si="381"/>
        <v>219.03336184773312</v>
      </c>
      <c r="DC117" s="379">
        <f t="shared" si="382"/>
        <v>350</v>
      </c>
      <c r="DE117" s="188">
        <f t="shared" si="383"/>
        <v>13.333333333333334</v>
      </c>
      <c r="DF117" s="150">
        <f t="shared" si="384"/>
        <v>2.3432923257176337</v>
      </c>
      <c r="DG117" s="150">
        <f t="shared" si="385"/>
        <v>0.17108639863130889</v>
      </c>
      <c r="DH117" s="150"/>
      <c r="DI117" s="150">
        <f t="shared" si="386"/>
        <v>2.3432923257176337</v>
      </c>
      <c r="DJ117" s="314">
        <f t="shared" si="387"/>
        <v>44.808749999999989</v>
      </c>
      <c r="DK117" s="456">
        <f t="shared" si="388"/>
        <v>0.17108639863130887</v>
      </c>
      <c r="DM117" s="150">
        <f t="shared" si="389"/>
        <v>4.7707441767506253</v>
      </c>
      <c r="DN117" s="150">
        <f t="shared" si="390"/>
        <v>13.333333333333334</v>
      </c>
      <c r="DO117" s="150">
        <f t="shared" si="391"/>
        <v>1.0256050000000001</v>
      </c>
      <c r="DQ117" s="314">
        <f t="shared" si="392"/>
        <v>35</v>
      </c>
      <c r="DR117" s="144">
        <f t="shared" si="393"/>
        <v>44.808749999999989</v>
      </c>
      <c r="DT117">
        <f t="shared" si="430"/>
        <v>35</v>
      </c>
      <c r="DU117">
        <f t="shared" si="431"/>
        <v>44.808749999999989</v>
      </c>
      <c r="DW117" s="5">
        <f t="shared" si="394"/>
        <v>22.317069768739369</v>
      </c>
      <c r="DX117" s="5">
        <f t="shared" si="395"/>
        <v>2.2222222222222223</v>
      </c>
      <c r="DY117" s="5">
        <f t="shared" si="396"/>
        <v>20.094847546517148</v>
      </c>
      <c r="DZ117" s="5"/>
      <c r="EA117" s="150">
        <f t="shared" si="397"/>
        <v>9.9574999999999983E-2</v>
      </c>
      <c r="EB117" s="150">
        <f t="shared" si="398"/>
        <v>5.9744999999999999</v>
      </c>
      <c r="EC117" s="150">
        <f t="shared" si="399"/>
        <v>0.3001416666666667</v>
      </c>
      <c r="ED117" s="150">
        <f t="shared" si="400"/>
        <v>19.905600133270397</v>
      </c>
      <c r="EE117" s="144">
        <f t="shared" si="401"/>
        <v>4.5751633986928109E-2</v>
      </c>
      <c r="EF117" s="5">
        <f t="shared" si="402"/>
        <v>22.141544981810558</v>
      </c>
      <c r="EH117" s="150">
        <f t="shared" si="403"/>
        <v>2.429144034581058</v>
      </c>
      <c r="EI117" s="150">
        <f t="shared" si="404"/>
        <v>0.3652345770820396</v>
      </c>
      <c r="EK117" s="456">
        <f t="shared" si="405"/>
        <v>2.0062518518518518E-2</v>
      </c>
      <c r="EL117" s="456">
        <f t="shared" si="406"/>
        <v>0.31847908679999998</v>
      </c>
      <c r="EM117" s="456">
        <f t="shared" si="407"/>
        <v>1.0261203749999998E-2</v>
      </c>
      <c r="EN117" s="456">
        <f t="shared" si="408"/>
        <v>9.4376733284235927E-3</v>
      </c>
      <c r="EO117">
        <f t="shared" si="409"/>
        <v>4.0499999999999998E-3</v>
      </c>
      <c r="EP117" s="144">
        <f t="shared" si="410"/>
        <v>14.311203749999997</v>
      </c>
      <c r="EQ117" s="144"/>
      <c r="ER117" s="144">
        <f t="shared" si="432"/>
        <v>362.29048239694214</v>
      </c>
      <c r="ES117" s="456">
        <f t="shared" si="411"/>
        <v>8.7500000000000008E-2</v>
      </c>
      <c r="EV117" s="144">
        <f t="shared" si="412"/>
        <v>87.500000000000014</v>
      </c>
      <c r="EW117" s="456">
        <f t="shared" si="413"/>
        <v>8.8511111111111117E-3</v>
      </c>
      <c r="EX117" s="456">
        <f t="shared" si="414"/>
        <v>2.6679259259259264E-2</v>
      </c>
      <c r="EY117" s="456">
        <f t="shared" si="415"/>
        <v>0.43623842630432519</v>
      </c>
      <c r="EZ117" s="456"/>
      <c r="FA117" s="456">
        <f t="shared" si="416"/>
        <v>7.9659999999999991E-3</v>
      </c>
      <c r="FB117" s="144">
        <f t="shared" si="417"/>
        <v>479.73479667469553</v>
      </c>
      <c r="FC117" s="150">
        <f t="shared" si="418"/>
        <v>0.92952527907163773</v>
      </c>
      <c r="FD117" s="5">
        <f t="shared" si="419"/>
        <v>5.95</v>
      </c>
      <c r="FE117" s="150">
        <f t="shared" si="420"/>
        <v>0.8648852585948964</v>
      </c>
      <c r="FF117" s="5">
        <f t="shared" si="421"/>
        <v>86.488525859489641</v>
      </c>
      <c r="FI117" s="59">
        <f t="shared" si="422"/>
        <v>-50</v>
      </c>
      <c r="FJ117">
        <f t="shared" si="423"/>
        <v>-50</v>
      </c>
      <c r="FL117">
        <f t="shared" si="424"/>
        <v>0.105</v>
      </c>
    </row>
    <row r="118" spans="5:168">
      <c r="E118" s="147">
        <v>8</v>
      </c>
      <c r="F118" s="188">
        <f t="shared" si="425"/>
        <v>0.04</v>
      </c>
      <c r="G118" s="188"/>
      <c r="H118" s="188">
        <f t="shared" si="315"/>
        <v>6.8</v>
      </c>
      <c r="I118" s="465">
        <f t="shared" si="316"/>
        <v>8.9674003812464669</v>
      </c>
      <c r="J118" s="149">
        <f t="shared" si="317"/>
        <v>8.5383264917095438</v>
      </c>
      <c r="K118" s="149">
        <f t="shared" si="318"/>
        <v>17.505726872956011</v>
      </c>
      <c r="L118" s="379"/>
      <c r="M118" s="188">
        <f t="shared" si="319"/>
        <v>0.48774495674077972</v>
      </c>
      <c r="N118" s="149">
        <f t="shared" si="426"/>
        <v>146.18711942226955</v>
      </c>
      <c r="O118" s="149">
        <f t="shared" si="284"/>
        <v>6.8</v>
      </c>
      <c r="P118" s="188">
        <f t="shared" si="320"/>
        <v>0.85992423189570322</v>
      </c>
      <c r="Q118" s="188">
        <f t="shared" si="321"/>
        <v>170</v>
      </c>
      <c r="R118" s="188"/>
      <c r="S118" s="149">
        <f t="shared" si="322"/>
        <v>7293.5028548360478</v>
      </c>
      <c r="T118" s="149">
        <f t="shared" si="323"/>
        <v>170</v>
      </c>
      <c r="U118" s="188">
        <f t="shared" si="324"/>
        <v>3.1234441145176577</v>
      </c>
      <c r="V118" s="188">
        <f t="shared" si="325"/>
        <v>0.52246648667261242</v>
      </c>
      <c r="W118" s="188">
        <f t="shared" si="326"/>
        <v>0.54872183399471097</v>
      </c>
      <c r="X118" s="172">
        <f t="shared" si="327"/>
        <v>218.6901257874874</v>
      </c>
      <c r="Y118" s="379">
        <f t="shared" si="328"/>
        <v>350</v>
      </c>
      <c r="AA118" s="188">
        <f t="shared" si="329"/>
        <v>13.333333333333334</v>
      </c>
      <c r="AB118" s="150">
        <f t="shared" si="330"/>
        <v>2.3423793900853283</v>
      </c>
      <c r="AC118" s="150">
        <f t="shared" si="331"/>
        <v>0.17075174781992616</v>
      </c>
      <c r="AD118" s="150"/>
      <c r="AE118" s="150">
        <f t="shared" si="332"/>
        <v>2.3423793900853283</v>
      </c>
      <c r="AF118" s="314">
        <f t="shared" si="333"/>
        <v>51.229958950257249</v>
      </c>
      <c r="AG118" s="456">
        <f t="shared" si="334"/>
        <v>0.17075174781992616</v>
      </c>
      <c r="AI118" s="150">
        <f t="shared" si="335"/>
        <v>5.1011338397384094</v>
      </c>
      <c r="AJ118" s="150">
        <f t="shared" si="336"/>
        <v>13.333333333333334</v>
      </c>
      <c r="AK118" s="150">
        <f t="shared" si="337"/>
        <v>1.0292742622572899</v>
      </c>
      <c r="AM118" s="314">
        <f t="shared" si="338"/>
        <v>40</v>
      </c>
      <c r="AN118" s="144">
        <f t="shared" si="339"/>
        <v>51.229958950257249</v>
      </c>
      <c r="AP118" s="144">
        <f t="shared" si="340"/>
        <v>40</v>
      </c>
      <c r="AQ118" s="144">
        <f t="shared" si="341"/>
        <v>51.229958950257249</v>
      </c>
      <c r="AS118" s="5">
        <f t="shared" si="285"/>
        <v>19.519828250711072</v>
      </c>
      <c r="AT118" s="5">
        <f t="shared" si="342"/>
        <v>2.2303007727664328</v>
      </c>
      <c r="AU118" s="5">
        <f t="shared" si="343"/>
        <v>17.289527477944638</v>
      </c>
      <c r="AV118" s="5"/>
      <c r="AW118" s="150">
        <f t="shared" si="344"/>
        <v>0.11425821703555138</v>
      </c>
      <c r="AX118" s="150">
        <f t="shared" si="214"/>
        <v>6.8306611933676349</v>
      </c>
      <c r="AY118" s="150">
        <f t="shared" si="215"/>
        <v>0.29524726098814957</v>
      </c>
      <c r="AZ118" s="150">
        <f t="shared" si="288"/>
        <v>23.135392248877796</v>
      </c>
      <c r="BA118" s="144">
        <f t="shared" si="433"/>
        <v>5.2477665241563123E-2</v>
      </c>
      <c r="BB118" s="5">
        <f t="shared" si="434"/>
        <v>21.851146347068291</v>
      </c>
      <c r="BD118" s="150">
        <f t="shared" si="289"/>
        <v>2.6020871057307922</v>
      </c>
      <c r="BE118" s="150">
        <f t="shared" si="218"/>
        <v>0.36224439938199465</v>
      </c>
      <c r="BG118" s="456">
        <f t="shared" si="347"/>
        <v>2.3020914839755532E-2</v>
      </c>
      <c r="BH118" s="456">
        <f t="shared" si="348"/>
        <v>0.28638377566464057</v>
      </c>
      <c r="BI118" s="456">
        <f t="shared" si="349"/>
        <v>2.1040499546717419E-2</v>
      </c>
      <c r="BJ118" s="456">
        <f t="shared" si="350"/>
        <v>1.0754119941473819E-2</v>
      </c>
      <c r="BK118">
        <f t="shared" si="351"/>
        <v>4.0353301715609097E-3</v>
      </c>
      <c r="BL118" s="144">
        <f t="shared" si="427"/>
        <v>25.075829718278328</v>
      </c>
      <c r="BM118" s="456">
        <f t="shared" si="352"/>
        <v>0.32816946875965769</v>
      </c>
      <c r="BN118" s="144">
        <f t="shared" si="353"/>
        <v>328.16946875965766</v>
      </c>
      <c r="BO118" s="456">
        <f t="shared" si="354"/>
        <v>0.1</v>
      </c>
      <c r="BR118" s="144">
        <f t="shared" si="355"/>
        <v>100</v>
      </c>
      <c r="BS118" s="456">
        <f t="shared" si="356"/>
        <v>1.0156285958715677E-2</v>
      </c>
      <c r="BT118" s="456">
        <f t="shared" si="357"/>
        <v>2.6244200976724408E-2</v>
      </c>
      <c r="BU118" s="456">
        <f t="shared" si="358"/>
        <v>0.60971498041147254</v>
      </c>
      <c r="BV118" s="456"/>
      <c r="BW118" s="456">
        <f t="shared" si="359"/>
        <v>9.1075482578235126E-3</v>
      </c>
      <c r="BX118" s="144">
        <f t="shared" si="360"/>
        <v>655.22301560473613</v>
      </c>
      <c r="BY118" s="150">
        <f t="shared" si="361"/>
        <v>1.1004576557688843</v>
      </c>
      <c r="BZ118" s="5">
        <f t="shared" si="362"/>
        <v>6.8</v>
      </c>
      <c r="CA118" s="150">
        <f t="shared" si="363"/>
        <v>0.86070963180654048</v>
      </c>
      <c r="CB118" s="5">
        <f t="shared" si="364"/>
        <v>86.070963180654047</v>
      </c>
      <c r="CE118" s="59">
        <f t="shared" si="365"/>
        <v>-50</v>
      </c>
      <c r="CF118">
        <f t="shared" si="366"/>
        <v>-50</v>
      </c>
      <c r="CG118" s="150">
        <f t="shared" si="367"/>
        <v>0.12024680502053704</v>
      </c>
      <c r="CI118" s="147">
        <v>8</v>
      </c>
      <c r="CJ118" s="188">
        <f t="shared" si="428"/>
        <v>0.04</v>
      </c>
      <c r="CK118" s="188"/>
      <c r="CL118" s="188">
        <f t="shared" si="368"/>
        <v>6.8</v>
      </c>
      <c r="CM118" s="465">
        <f t="shared" si="369"/>
        <v>9</v>
      </c>
      <c r="CN118" s="379">
        <f t="shared" si="370"/>
        <v>8.5350000000000001</v>
      </c>
      <c r="CO118" s="379">
        <f t="shared" si="371"/>
        <v>17.535</v>
      </c>
      <c r="CP118" s="379"/>
      <c r="CQ118" s="188">
        <f t="shared" si="372"/>
        <v>0.48674080410607357</v>
      </c>
      <c r="CR118" s="149">
        <f t="shared" si="429"/>
        <v>146.41650128314802</v>
      </c>
      <c r="CS118" s="149">
        <f t="shared" si="373"/>
        <v>6.8</v>
      </c>
      <c r="CT118" s="188">
        <f t="shared" si="374"/>
        <v>0.86127353695969422</v>
      </c>
      <c r="CU118" s="188">
        <f t="shared" si="375"/>
        <v>170</v>
      </c>
      <c r="CV118" s="188"/>
      <c r="CW118" s="149">
        <f t="shared" si="376"/>
        <v>7320.017211428386</v>
      </c>
      <c r="CX118" s="149">
        <f t="shared" si="377"/>
        <v>170</v>
      </c>
      <c r="CY118" s="188">
        <f t="shared" si="378"/>
        <v>3.1045498925991017</v>
      </c>
      <c r="CZ118" s="188">
        <f t="shared" si="379"/>
        <v>0.51742498209985022</v>
      </c>
      <c r="DA118" s="188">
        <f t="shared" si="380"/>
        <v>0.54561509536012331</v>
      </c>
      <c r="DB118" s="172">
        <f t="shared" si="381"/>
        <v>219.03336184773312</v>
      </c>
      <c r="DC118" s="379">
        <f t="shared" si="382"/>
        <v>350</v>
      </c>
      <c r="DE118" s="188">
        <f t="shared" si="383"/>
        <v>13.333333333333334</v>
      </c>
      <c r="DF118" s="150">
        <f t="shared" si="384"/>
        <v>2.3432923257176337</v>
      </c>
      <c r="DG118" s="150">
        <f t="shared" si="385"/>
        <v>0.17108639863130889</v>
      </c>
      <c r="DH118" s="150"/>
      <c r="DI118" s="150">
        <f t="shared" si="386"/>
        <v>2.3432923257176337</v>
      </c>
      <c r="DJ118" s="314">
        <f t="shared" si="387"/>
        <v>51.209999999999987</v>
      </c>
      <c r="DK118" s="456">
        <f t="shared" si="388"/>
        <v>0.17108639863130887</v>
      </c>
      <c r="DM118" s="150">
        <f t="shared" si="389"/>
        <v>5.1001400540993549</v>
      </c>
      <c r="DN118" s="150">
        <f t="shared" si="390"/>
        <v>13.333333333333334</v>
      </c>
      <c r="DO118" s="150">
        <f t="shared" si="391"/>
        <v>1.029262857142857</v>
      </c>
      <c r="DQ118" s="314">
        <f t="shared" si="392"/>
        <v>40</v>
      </c>
      <c r="DR118" s="144">
        <f t="shared" si="393"/>
        <v>51.209999999999987</v>
      </c>
      <c r="DT118">
        <f t="shared" si="430"/>
        <v>40</v>
      </c>
      <c r="DU118">
        <f t="shared" si="431"/>
        <v>51.209999999999987</v>
      </c>
      <c r="DW118" s="5">
        <f t="shared" si="394"/>
        <v>19.527436047646948</v>
      </c>
      <c r="DX118" s="5">
        <f t="shared" si="395"/>
        <v>2.2222222222222223</v>
      </c>
      <c r="DY118" s="5">
        <f t="shared" si="396"/>
        <v>17.305213825424726</v>
      </c>
      <c r="DZ118" s="5"/>
      <c r="EA118" s="150">
        <f t="shared" si="397"/>
        <v>0.11379999999999998</v>
      </c>
      <c r="EB118" s="150">
        <f t="shared" si="398"/>
        <v>6.8280000000000003</v>
      </c>
      <c r="EC118" s="150">
        <f t="shared" si="399"/>
        <v>0.29540000000000005</v>
      </c>
      <c r="ED118" s="150">
        <f t="shared" si="400"/>
        <v>23.114421123899795</v>
      </c>
      <c r="EE118" s="144">
        <f t="shared" si="401"/>
        <v>5.2287581699346407E-2</v>
      </c>
      <c r="EF118" s="5">
        <f t="shared" si="402"/>
        <v>21.791750743127427</v>
      </c>
      <c r="EH118" s="150">
        <f t="shared" si="403"/>
        <v>2.5968642058651632</v>
      </c>
      <c r="EI118" s="150">
        <f t="shared" si="404"/>
        <v>0.36233808644536519</v>
      </c>
      <c r="EK118" s="456">
        <f t="shared" si="405"/>
        <v>2.2928592592592598E-2</v>
      </c>
      <c r="EL118" s="456">
        <f t="shared" si="406"/>
        <v>0.36397609919999996</v>
      </c>
      <c r="EM118" s="456">
        <f t="shared" si="407"/>
        <v>1.1727089999999997E-2</v>
      </c>
      <c r="EN118" s="456">
        <f t="shared" si="408"/>
        <v>1.0785912375341248E-2</v>
      </c>
      <c r="EO118">
        <f t="shared" si="409"/>
        <v>4.0499999999999998E-3</v>
      </c>
      <c r="EP118" s="144">
        <f t="shared" si="410"/>
        <v>15.777089999999998</v>
      </c>
      <c r="EQ118" s="144"/>
      <c r="ER118" s="144">
        <f t="shared" si="432"/>
        <v>413.46769416793381</v>
      </c>
      <c r="ES118" s="456">
        <f t="shared" si="411"/>
        <v>0.1</v>
      </c>
      <c r="EV118" s="144">
        <f t="shared" si="412"/>
        <v>100</v>
      </c>
      <c r="EW118" s="456">
        <f t="shared" si="413"/>
        <v>1.0115555555555558E-2</v>
      </c>
      <c r="EX118" s="456">
        <f t="shared" si="414"/>
        <v>2.6257777777777786E-2</v>
      </c>
      <c r="EY118" s="456">
        <f t="shared" si="415"/>
        <v>0.60912129872465293</v>
      </c>
      <c r="EZ118" s="456"/>
      <c r="FA118" s="456">
        <f t="shared" si="416"/>
        <v>9.1039999999999992E-3</v>
      </c>
      <c r="FB118" s="144">
        <f t="shared" si="417"/>
        <v>654.59863205798626</v>
      </c>
      <c r="FC118" s="150">
        <f t="shared" si="418"/>
        <v>1.1680663262259201</v>
      </c>
      <c r="FD118" s="5">
        <f t="shared" si="419"/>
        <v>6.8</v>
      </c>
      <c r="FE118" s="150">
        <f t="shared" si="420"/>
        <v>0.85340655079873373</v>
      </c>
      <c r="FF118" s="5">
        <f t="shared" si="421"/>
        <v>85.340655079873372</v>
      </c>
      <c r="FI118" s="59">
        <f t="shared" si="422"/>
        <v>-50</v>
      </c>
      <c r="FJ118">
        <f t="shared" si="423"/>
        <v>-50</v>
      </c>
      <c r="FL118">
        <f t="shared" si="424"/>
        <v>0.11999999999999997</v>
      </c>
    </row>
    <row r="119" spans="5:168">
      <c r="E119" s="147">
        <v>9</v>
      </c>
      <c r="F119" s="188">
        <f t="shared" si="425"/>
        <v>4.4999999999999998E-2</v>
      </c>
      <c r="G119" s="188"/>
      <c r="H119" s="188">
        <f t="shared" si="315"/>
        <v>7.6499999999999995</v>
      </c>
      <c r="I119" s="465">
        <f t="shared" si="316"/>
        <v>8.9674003812464669</v>
      </c>
      <c r="J119" s="149">
        <f t="shared" si="317"/>
        <v>8.5383264917095438</v>
      </c>
      <c r="K119" s="149">
        <f t="shared" si="318"/>
        <v>17.505726872956011</v>
      </c>
      <c r="L119" s="379"/>
      <c r="M119" s="188">
        <f t="shared" si="319"/>
        <v>0.48774495674077972</v>
      </c>
      <c r="N119" s="149">
        <f t="shared" si="426"/>
        <v>146.18711942226955</v>
      </c>
      <c r="O119" s="149">
        <f t="shared" si="284"/>
        <v>7.6499999999999995</v>
      </c>
      <c r="P119" s="188">
        <f t="shared" si="320"/>
        <v>0.85992423189570322</v>
      </c>
      <c r="Q119" s="188">
        <f t="shared" si="321"/>
        <v>170</v>
      </c>
      <c r="R119" s="188"/>
      <c r="S119" s="149">
        <f t="shared" si="322"/>
        <v>6463.1902155968965</v>
      </c>
      <c r="T119" s="149">
        <f t="shared" si="323"/>
        <v>170</v>
      </c>
      <c r="U119" s="188">
        <f t="shared" si="324"/>
        <v>3.5138746288323648</v>
      </c>
      <c r="V119" s="188">
        <f t="shared" si="325"/>
        <v>0.58777479750668904</v>
      </c>
      <c r="W119" s="188">
        <f t="shared" si="326"/>
        <v>0.61731206324404986</v>
      </c>
      <c r="X119" s="172">
        <f t="shared" si="327"/>
        <v>218.6901257874874</v>
      </c>
      <c r="Y119" s="379">
        <f t="shared" si="328"/>
        <v>350</v>
      </c>
      <c r="AA119" s="188">
        <f t="shared" si="329"/>
        <v>13.333333333333334</v>
      </c>
      <c r="AB119" s="150">
        <f t="shared" si="330"/>
        <v>2.3423793900853283</v>
      </c>
      <c r="AC119" s="150">
        <f t="shared" si="331"/>
        <v>0.17075174781992616</v>
      </c>
      <c r="AD119" s="150"/>
      <c r="AE119" s="150">
        <f t="shared" si="332"/>
        <v>2.3423793900853283</v>
      </c>
      <c r="AF119" s="314">
        <f t="shared" si="333"/>
        <v>57.633703819039404</v>
      </c>
      <c r="AG119" s="456">
        <f t="shared" si="334"/>
        <v>0.17075174781992616</v>
      </c>
      <c r="AI119" s="150">
        <f t="shared" si="335"/>
        <v>5.4105694947287999</v>
      </c>
      <c r="AJ119" s="150">
        <f t="shared" si="336"/>
        <v>13.333333333333334</v>
      </c>
      <c r="AK119" s="150">
        <f t="shared" si="337"/>
        <v>1.032933545039451</v>
      </c>
      <c r="AM119" s="314">
        <f t="shared" si="338"/>
        <v>45</v>
      </c>
      <c r="AN119" s="144">
        <f t="shared" si="339"/>
        <v>57.633703819039404</v>
      </c>
      <c r="AP119" s="144">
        <f t="shared" si="340"/>
        <v>45</v>
      </c>
      <c r="AQ119" s="144">
        <f t="shared" si="341"/>
        <v>57.633703819039404</v>
      </c>
      <c r="AS119" s="5">
        <f t="shared" si="285"/>
        <v>17.350958445076511</v>
      </c>
      <c r="AT119" s="5">
        <f t="shared" si="342"/>
        <v>2.2303007727664328</v>
      </c>
      <c r="AU119" s="5">
        <f t="shared" si="343"/>
        <v>15.120657672310077</v>
      </c>
      <c r="AV119" s="5"/>
      <c r="AW119" s="150">
        <f t="shared" si="344"/>
        <v>0.12854049416499527</v>
      </c>
      <c r="AX119" s="150">
        <f t="shared" si="214"/>
        <v>7.6844938425385889</v>
      </c>
      <c r="AY119" s="150">
        <f t="shared" si="215"/>
        <v>0.29048650194500164</v>
      </c>
      <c r="AZ119" s="150">
        <f t="shared" si="288"/>
        <v>26.453875794867429</v>
      </c>
      <c r="BA119" s="144">
        <f t="shared" si="433"/>
        <v>5.9037373396758519E-2</v>
      </c>
      <c r="BB119" s="5">
        <f t="shared" si="434"/>
        <v>21.49880423819728</v>
      </c>
      <c r="BD119" s="150">
        <f t="shared" si="289"/>
        <v>2.7599301565504804</v>
      </c>
      <c r="BE119" s="150">
        <f t="shared" si="218"/>
        <v>0.35931199809574449</v>
      </c>
      <c r="BG119" s="456">
        <f t="shared" si="347"/>
        <v>2.5898529194724979E-2</v>
      </c>
      <c r="BH119" s="456">
        <f t="shared" si="348"/>
        <v>0.32218174762272062</v>
      </c>
      <c r="BI119" s="456">
        <f t="shared" si="349"/>
        <v>2.3670561990057092E-2</v>
      </c>
      <c r="BJ119" s="456">
        <f t="shared" si="350"/>
        <v>1.2098384934158046E-2</v>
      </c>
      <c r="BK119">
        <f t="shared" si="351"/>
        <v>4.0353301715609097E-3</v>
      </c>
      <c r="BL119" s="144">
        <f t="shared" si="427"/>
        <v>27.705892161617999</v>
      </c>
      <c r="BM119" s="456">
        <f t="shared" si="352"/>
        <v>0.36944463872237976</v>
      </c>
      <c r="BN119" s="144">
        <f t="shared" si="353"/>
        <v>369.44463872237975</v>
      </c>
      <c r="BO119" s="456">
        <f t="shared" si="354"/>
        <v>0.11249999999999999</v>
      </c>
      <c r="BR119" s="144">
        <f t="shared" si="355"/>
        <v>112.49999999999999</v>
      </c>
      <c r="BS119" s="456">
        <f t="shared" si="356"/>
        <v>1.1425821703555139E-2</v>
      </c>
      <c r="BT119" s="456">
        <f t="shared" si="357"/>
        <v>2.5821022395111262E-2</v>
      </c>
      <c r="BU119" s="456">
        <f t="shared" si="358"/>
        <v>0.81848018851026616</v>
      </c>
      <c r="BV119" s="456"/>
      <c r="BW119" s="456">
        <f t="shared" si="359"/>
        <v>1.0245991790051453E-2</v>
      </c>
      <c r="BX119" s="144">
        <f t="shared" si="360"/>
        <v>865.97302439898408</v>
      </c>
      <c r="BY119" s="150">
        <f t="shared" si="361"/>
        <v>1.3663575783122057</v>
      </c>
      <c r="BZ119" s="5">
        <f t="shared" si="362"/>
        <v>7.6499999999999995</v>
      </c>
      <c r="CA119" s="150">
        <f t="shared" si="363"/>
        <v>0.84845792034703471</v>
      </c>
      <c r="CB119" s="5">
        <f t="shared" si="364"/>
        <v>84.845792034703464</v>
      </c>
      <c r="CE119" s="59">
        <f t="shared" si="365"/>
        <v>-50</v>
      </c>
      <c r="CF119">
        <f t="shared" si="366"/>
        <v>-50</v>
      </c>
      <c r="CG119" s="150">
        <f t="shared" si="367"/>
        <v>0.13527765564810418</v>
      </c>
      <c r="CI119" s="147">
        <v>9</v>
      </c>
      <c r="CJ119" s="188">
        <f t="shared" si="428"/>
        <v>4.4999999999999998E-2</v>
      </c>
      <c r="CK119" s="188"/>
      <c r="CL119" s="188">
        <f t="shared" si="368"/>
        <v>7.6499999999999995</v>
      </c>
      <c r="CM119" s="465">
        <f t="shared" si="369"/>
        <v>9</v>
      </c>
      <c r="CN119" s="379">
        <f t="shared" si="370"/>
        <v>8.5350000000000001</v>
      </c>
      <c r="CO119" s="379">
        <f t="shared" si="371"/>
        <v>17.535</v>
      </c>
      <c r="CP119" s="379"/>
      <c r="CQ119" s="188">
        <f t="shared" si="372"/>
        <v>0.48674080410607357</v>
      </c>
      <c r="CR119" s="149">
        <f t="shared" si="429"/>
        <v>146.41650128314802</v>
      </c>
      <c r="CS119" s="149">
        <f t="shared" si="373"/>
        <v>7.6499999999999995</v>
      </c>
      <c r="CT119" s="188">
        <f t="shared" si="374"/>
        <v>0.86127353695969422</v>
      </c>
      <c r="CU119" s="188">
        <f t="shared" si="375"/>
        <v>170</v>
      </c>
      <c r="CV119" s="188"/>
      <c r="CW119" s="149">
        <f t="shared" si="376"/>
        <v>6486.6860889730133</v>
      </c>
      <c r="CX119" s="149">
        <f t="shared" si="377"/>
        <v>170</v>
      </c>
      <c r="CY119" s="188">
        <f t="shared" si="378"/>
        <v>3.4926186291739891</v>
      </c>
      <c r="CZ119" s="188">
        <f t="shared" si="379"/>
        <v>0.58210310486233152</v>
      </c>
      <c r="DA119" s="188">
        <f t="shared" si="380"/>
        <v>0.6138169822801387</v>
      </c>
      <c r="DB119" s="172">
        <f t="shared" si="381"/>
        <v>219.03336184773312</v>
      </c>
      <c r="DC119" s="379">
        <f t="shared" si="382"/>
        <v>350</v>
      </c>
      <c r="DE119" s="188">
        <f t="shared" si="383"/>
        <v>13.333333333333334</v>
      </c>
      <c r="DF119" s="150">
        <f t="shared" si="384"/>
        <v>2.3432923257176337</v>
      </c>
      <c r="DG119" s="150">
        <f t="shared" si="385"/>
        <v>0.17108639863130889</v>
      </c>
      <c r="DH119" s="150"/>
      <c r="DI119" s="150">
        <f t="shared" si="386"/>
        <v>2.3432923257176337</v>
      </c>
      <c r="DJ119" s="314">
        <f t="shared" si="387"/>
        <v>57.611249999999984</v>
      </c>
      <c r="DK119" s="456">
        <f t="shared" si="388"/>
        <v>0.17108639863130887</v>
      </c>
      <c r="DM119" s="150">
        <f t="shared" si="389"/>
        <v>5.4095154258821685</v>
      </c>
      <c r="DN119" s="150">
        <f t="shared" si="390"/>
        <v>13.333333333333334</v>
      </c>
      <c r="DO119" s="150">
        <f t="shared" si="391"/>
        <v>1.0329207142857142</v>
      </c>
      <c r="DQ119" s="314">
        <f t="shared" si="392"/>
        <v>45</v>
      </c>
      <c r="DR119" s="144">
        <f t="shared" si="393"/>
        <v>57.611249999999984</v>
      </c>
      <c r="DT119">
        <f t="shared" si="430"/>
        <v>45</v>
      </c>
      <c r="DU119">
        <f t="shared" si="431"/>
        <v>57.611249999999984</v>
      </c>
      <c r="DW119" s="5">
        <f t="shared" si="394"/>
        <v>17.357720931241733</v>
      </c>
      <c r="DX119" s="5">
        <f t="shared" si="395"/>
        <v>2.2222222222222223</v>
      </c>
      <c r="DY119" s="5">
        <f t="shared" si="396"/>
        <v>15.135498709019512</v>
      </c>
      <c r="DZ119" s="5"/>
      <c r="EA119" s="150">
        <f t="shared" si="397"/>
        <v>0.12802499999999997</v>
      </c>
      <c r="EB119" s="150">
        <f t="shared" si="398"/>
        <v>7.6814999999999998</v>
      </c>
      <c r="EC119" s="150">
        <f t="shared" si="399"/>
        <v>0.29065833333333341</v>
      </c>
      <c r="ED119" s="150">
        <f t="shared" si="400"/>
        <v>26.427936580750586</v>
      </c>
      <c r="EE119" s="144">
        <f t="shared" si="401"/>
        <v>5.8823529411764705E-2</v>
      </c>
      <c r="EF119" s="5">
        <f t="shared" si="402"/>
        <v>21.441956504444306</v>
      </c>
      <c r="EH119" s="150">
        <f t="shared" si="403"/>
        <v>2.7543904346818127</v>
      </c>
      <c r="EI119" s="150">
        <f t="shared" si="404"/>
        <v>0.35941825424076829</v>
      </c>
      <c r="EK119" s="456">
        <f t="shared" si="405"/>
        <v>2.579466666666666E-2</v>
      </c>
      <c r="EL119" s="456">
        <f t="shared" si="406"/>
        <v>0.40947311159999994</v>
      </c>
      <c r="EM119" s="456">
        <f t="shared" si="407"/>
        <v>1.3192976249999995E-2</v>
      </c>
      <c r="EN119" s="456">
        <f t="shared" si="408"/>
        <v>1.2134151422258902E-2</v>
      </c>
      <c r="EO119">
        <f t="shared" si="409"/>
        <v>4.0499999999999998E-3</v>
      </c>
      <c r="EP119" s="144">
        <f t="shared" si="410"/>
        <v>17.242976249999995</v>
      </c>
      <c r="EQ119" s="144"/>
      <c r="ER119" s="144">
        <f t="shared" si="432"/>
        <v>464.64490593892549</v>
      </c>
      <c r="ES119" s="456">
        <f t="shared" si="411"/>
        <v>0.11249999999999999</v>
      </c>
      <c r="EV119" s="144">
        <f t="shared" si="412"/>
        <v>112.49999999999999</v>
      </c>
      <c r="EW119" s="456">
        <f t="shared" si="413"/>
        <v>1.1379999999999998E-2</v>
      </c>
      <c r="EX119" s="456">
        <f t="shared" si="414"/>
        <v>2.5836296296296316E-2</v>
      </c>
      <c r="EY119" s="456">
        <f t="shared" si="415"/>
        <v>0.8176832313834852</v>
      </c>
      <c r="EZ119" s="456"/>
      <c r="FA119" s="456">
        <f t="shared" si="416"/>
        <v>1.0241999999999999E-2</v>
      </c>
      <c r="FB119" s="144">
        <f t="shared" si="417"/>
        <v>865.14152767978146</v>
      </c>
      <c r="FC119" s="150">
        <f t="shared" si="418"/>
        <v>1.4422864336187071</v>
      </c>
      <c r="FD119" s="5">
        <f t="shared" si="419"/>
        <v>7.6499999999999995</v>
      </c>
      <c r="FE119" s="150">
        <f t="shared" si="420"/>
        <v>0.8413725255854394</v>
      </c>
      <c r="FF119" s="5">
        <f t="shared" si="421"/>
        <v>84.137252558543935</v>
      </c>
      <c r="FI119" s="59">
        <f t="shared" si="422"/>
        <v>-50</v>
      </c>
      <c r="FJ119">
        <f t="shared" si="423"/>
        <v>-50</v>
      </c>
      <c r="FL119">
        <f t="shared" si="424"/>
        <v>0.13499999999999998</v>
      </c>
    </row>
    <row r="120" spans="5:168">
      <c r="E120" s="147">
        <v>10</v>
      </c>
      <c r="F120" s="188">
        <f t="shared" si="425"/>
        <v>0.05</v>
      </c>
      <c r="G120" s="188"/>
      <c r="H120" s="188">
        <f t="shared" si="315"/>
        <v>8.5</v>
      </c>
      <c r="I120" s="465">
        <f t="shared" si="316"/>
        <v>8.9674003812464669</v>
      </c>
      <c r="J120" s="149">
        <f t="shared" si="317"/>
        <v>8.5383264917095438</v>
      </c>
      <c r="K120" s="149">
        <f t="shared" si="318"/>
        <v>17.505726872956011</v>
      </c>
      <c r="L120" s="379"/>
      <c r="M120" s="188">
        <f t="shared" si="319"/>
        <v>0.48774495674077972</v>
      </c>
      <c r="N120" s="149">
        <f t="shared" si="426"/>
        <v>146.18711942226955</v>
      </c>
      <c r="O120" s="149">
        <f t="shared" si="284"/>
        <v>8.5</v>
      </c>
      <c r="P120" s="188">
        <f t="shared" si="320"/>
        <v>0.85992423189570322</v>
      </c>
      <c r="Q120" s="188">
        <f t="shared" si="321"/>
        <v>170</v>
      </c>
      <c r="R120" s="188"/>
      <c r="S120" s="149">
        <f t="shared" si="322"/>
        <v>5798.9405599967486</v>
      </c>
      <c r="T120" s="149">
        <f t="shared" si="323"/>
        <v>170</v>
      </c>
      <c r="U120" s="188">
        <f t="shared" si="324"/>
        <v>3.9043051431470719</v>
      </c>
      <c r="V120" s="188">
        <f t="shared" si="325"/>
        <v>0.65308310834076544</v>
      </c>
      <c r="W120" s="188">
        <f t="shared" si="326"/>
        <v>0.68590229249338852</v>
      </c>
      <c r="X120" s="172">
        <f t="shared" si="327"/>
        <v>218.6901257874874</v>
      </c>
      <c r="Y120" s="379">
        <f t="shared" si="328"/>
        <v>350</v>
      </c>
      <c r="AA120" s="188">
        <f t="shared" si="329"/>
        <v>13.333333333333334</v>
      </c>
      <c r="AB120" s="150">
        <f t="shared" si="330"/>
        <v>2.3423793900853283</v>
      </c>
      <c r="AC120" s="150">
        <f t="shared" si="331"/>
        <v>0.17075174781992616</v>
      </c>
      <c r="AD120" s="150"/>
      <c r="AE120" s="150">
        <f t="shared" si="332"/>
        <v>2.3423793900853283</v>
      </c>
      <c r="AF120" s="314">
        <f t="shared" si="333"/>
        <v>64.037448687821566</v>
      </c>
      <c r="AG120" s="456">
        <f t="shared" si="334"/>
        <v>0.17075174781992616</v>
      </c>
      <c r="AI120" s="150">
        <f t="shared" si="335"/>
        <v>5.7032410139898007</v>
      </c>
      <c r="AJ120" s="150">
        <f t="shared" si="336"/>
        <v>13.333333333333334</v>
      </c>
      <c r="AK120" s="150">
        <f t="shared" si="337"/>
        <v>1.0365928278216123</v>
      </c>
      <c r="AM120" s="314">
        <f t="shared" si="338"/>
        <v>50</v>
      </c>
      <c r="AN120" s="144">
        <f t="shared" si="339"/>
        <v>64.037448687821566</v>
      </c>
      <c r="AP120" s="144">
        <f t="shared" si="340"/>
        <v>50</v>
      </c>
      <c r="AQ120" s="144">
        <f t="shared" si="341"/>
        <v>64.037448687821566</v>
      </c>
      <c r="AS120" s="5">
        <f t="shared" si="285"/>
        <v>15.615862600568857</v>
      </c>
      <c r="AT120" s="5">
        <f t="shared" si="342"/>
        <v>2.2303007727664328</v>
      </c>
      <c r="AU120" s="5">
        <f t="shared" si="343"/>
        <v>13.385561827802423</v>
      </c>
      <c r="AV120" s="5"/>
      <c r="AW120" s="150">
        <f t="shared" si="344"/>
        <v>0.14282277129443924</v>
      </c>
      <c r="AX120" s="150">
        <f t="shared" si="214"/>
        <v>8.5383264917095438</v>
      </c>
      <c r="AY120" s="150">
        <f t="shared" si="215"/>
        <v>0.28572574290185365</v>
      </c>
      <c r="AZ120" s="150">
        <f t="shared" si="288"/>
        <v>29.882944410236238</v>
      </c>
      <c r="BA120" s="144">
        <f t="shared" si="433"/>
        <v>6.5597081551953915E-2</v>
      </c>
      <c r="BB120" s="5">
        <f t="shared" si="434"/>
        <v>21.146462129326263</v>
      </c>
      <c r="BD120" s="150">
        <f t="shared" si="289"/>
        <v>2.9092218258948672</v>
      </c>
      <c r="BE120" s="150">
        <f t="shared" si="218"/>
        <v>0.35635546729002282</v>
      </c>
      <c r="BG120" s="456">
        <f t="shared" si="347"/>
        <v>2.8776143549694419E-2</v>
      </c>
      <c r="BH120" s="456">
        <f t="shared" si="348"/>
        <v>0.35797971958080077</v>
      </c>
      <c r="BI120" s="456">
        <f t="shared" si="349"/>
        <v>2.6300624433396775E-2</v>
      </c>
      <c r="BJ120" s="456">
        <f t="shared" si="350"/>
        <v>1.3442649926842276E-2</v>
      </c>
      <c r="BK120">
        <f t="shared" si="351"/>
        <v>4.0353301715609097E-3</v>
      </c>
      <c r="BL120" s="144">
        <f t="shared" si="427"/>
        <v>30.335954604957685</v>
      </c>
      <c r="BM120" s="456">
        <f t="shared" si="352"/>
        <v>0.41077663865872188</v>
      </c>
      <c r="BN120" s="144">
        <f t="shared" si="353"/>
        <v>410.77663865872188</v>
      </c>
      <c r="BO120" s="456">
        <f t="shared" si="354"/>
        <v>0.125</v>
      </c>
      <c r="BR120" s="144">
        <f t="shared" si="355"/>
        <v>125</v>
      </c>
      <c r="BS120" s="456">
        <f t="shared" si="356"/>
        <v>1.2695357448394598E-2</v>
      </c>
      <c r="BT120" s="456">
        <f t="shared" si="357"/>
        <v>2.5397843813498105E-2</v>
      </c>
      <c r="BU120" s="456">
        <f t="shared" si="358"/>
        <v>1.0651282367968784</v>
      </c>
      <c r="BV120" s="456"/>
      <c r="BW120" s="456">
        <f t="shared" si="359"/>
        <v>1.1384435322279392E-2</v>
      </c>
      <c r="BX120" s="144">
        <f t="shared" si="360"/>
        <v>1114.6058733810505</v>
      </c>
      <c r="BY120" s="150">
        <f t="shared" si="361"/>
        <v>1.6701403410433457</v>
      </c>
      <c r="BZ120" s="5">
        <f t="shared" si="362"/>
        <v>8.5</v>
      </c>
      <c r="CA120" s="150">
        <f t="shared" si="363"/>
        <v>0.83578001039934435</v>
      </c>
      <c r="CB120" s="5">
        <f t="shared" si="364"/>
        <v>83.578001039934435</v>
      </c>
      <c r="CE120" s="59">
        <f t="shared" si="365"/>
        <v>-50</v>
      </c>
      <c r="CF120">
        <f t="shared" si="366"/>
        <v>-50</v>
      </c>
      <c r="CG120" s="150">
        <f t="shared" si="367"/>
        <v>0.1503085062756713</v>
      </c>
      <c r="CI120" s="147">
        <v>10</v>
      </c>
      <c r="CJ120" s="188">
        <f t="shared" si="428"/>
        <v>0.05</v>
      </c>
      <c r="CK120" s="188"/>
      <c r="CL120" s="188">
        <f t="shared" si="368"/>
        <v>8.5</v>
      </c>
      <c r="CM120" s="465">
        <f t="shared" si="369"/>
        <v>9</v>
      </c>
      <c r="CN120" s="379">
        <f t="shared" si="370"/>
        <v>8.5350000000000001</v>
      </c>
      <c r="CO120" s="379">
        <f t="shared" si="371"/>
        <v>17.535</v>
      </c>
      <c r="CP120" s="379"/>
      <c r="CQ120" s="188">
        <f t="shared" si="372"/>
        <v>0.48674080410607357</v>
      </c>
      <c r="CR120" s="149">
        <f t="shared" si="429"/>
        <v>146.41650128314802</v>
      </c>
      <c r="CS120" s="149">
        <f t="shared" si="373"/>
        <v>8.5</v>
      </c>
      <c r="CT120" s="188">
        <f t="shared" si="374"/>
        <v>0.86127353695969422</v>
      </c>
      <c r="CU120" s="188">
        <f t="shared" si="375"/>
        <v>170</v>
      </c>
      <c r="CV120" s="188"/>
      <c r="CW120" s="149">
        <f t="shared" si="376"/>
        <v>5820.0216468004573</v>
      </c>
      <c r="CX120" s="149">
        <f t="shared" si="377"/>
        <v>170</v>
      </c>
      <c r="CY120" s="188">
        <f t="shared" si="378"/>
        <v>3.8806873657488774</v>
      </c>
      <c r="CZ120" s="188">
        <f t="shared" si="379"/>
        <v>0.64678122762481283</v>
      </c>
      <c r="DA120" s="188">
        <f t="shared" si="380"/>
        <v>0.68201886920015409</v>
      </c>
      <c r="DB120" s="172">
        <f t="shared" si="381"/>
        <v>219.03336184773312</v>
      </c>
      <c r="DC120" s="379">
        <f t="shared" si="382"/>
        <v>350</v>
      </c>
      <c r="DE120" s="188">
        <f t="shared" si="383"/>
        <v>13.333333333333334</v>
      </c>
      <c r="DF120" s="150">
        <f t="shared" si="384"/>
        <v>2.3432923257176337</v>
      </c>
      <c r="DG120" s="150">
        <f t="shared" si="385"/>
        <v>0.17108639863130889</v>
      </c>
      <c r="DH120" s="150"/>
      <c r="DI120" s="150">
        <f t="shared" si="386"/>
        <v>2.3432923257176337</v>
      </c>
      <c r="DJ120" s="314">
        <f t="shared" si="387"/>
        <v>64.012499999999989</v>
      </c>
      <c r="DK120" s="456">
        <f t="shared" si="388"/>
        <v>0.17108639863130887</v>
      </c>
      <c r="DM120" s="150">
        <f t="shared" si="389"/>
        <v>5.7021299278678059</v>
      </c>
      <c r="DN120" s="150">
        <f t="shared" si="390"/>
        <v>13.333333333333334</v>
      </c>
      <c r="DO120" s="150">
        <f t="shared" si="391"/>
        <v>1.0365785714285713</v>
      </c>
      <c r="DQ120" s="314">
        <f t="shared" si="392"/>
        <v>50</v>
      </c>
      <c r="DR120" s="144">
        <f t="shared" si="393"/>
        <v>64.012499999999989</v>
      </c>
      <c r="DT120">
        <f t="shared" si="430"/>
        <v>50</v>
      </c>
      <c r="DU120">
        <f t="shared" si="431"/>
        <v>64.012499999999989</v>
      </c>
      <c r="DW120" s="5">
        <f t="shared" si="394"/>
        <v>15.621948838117557</v>
      </c>
      <c r="DX120" s="5">
        <f t="shared" si="395"/>
        <v>2.2222222222222223</v>
      </c>
      <c r="DY120" s="5">
        <f t="shared" si="396"/>
        <v>13.399726615895336</v>
      </c>
      <c r="DZ120" s="5"/>
      <c r="EA120" s="150">
        <f t="shared" si="397"/>
        <v>0.14224999999999999</v>
      </c>
      <c r="EB120" s="150">
        <f t="shared" si="398"/>
        <v>8.5350000000000001</v>
      </c>
      <c r="EC120" s="150">
        <f t="shared" si="399"/>
        <v>0.28591666666666671</v>
      </c>
      <c r="ED120" s="150">
        <f t="shared" si="400"/>
        <v>29.85135529000291</v>
      </c>
      <c r="EE120" s="144">
        <f t="shared" si="401"/>
        <v>6.535947712418301E-2</v>
      </c>
      <c r="EF120" s="5">
        <f t="shared" si="402"/>
        <v>21.092162265761171</v>
      </c>
      <c r="EH120" s="150">
        <f t="shared" si="403"/>
        <v>2.9033824463252564</v>
      </c>
      <c r="EI120" s="150">
        <f t="shared" si="404"/>
        <v>0.35647450690627808</v>
      </c>
      <c r="EK120" s="456">
        <f t="shared" si="405"/>
        <v>2.8660740740740744E-2</v>
      </c>
      <c r="EL120" s="456">
        <f t="shared" si="406"/>
        <v>0.45497012399999998</v>
      </c>
      <c r="EM120" s="456">
        <f t="shared" si="407"/>
        <v>1.4658862499999996E-2</v>
      </c>
      <c r="EN120" s="456">
        <f t="shared" si="408"/>
        <v>1.3482390469176561E-2</v>
      </c>
      <c r="EO120">
        <f t="shared" si="409"/>
        <v>4.0499999999999998E-3</v>
      </c>
      <c r="EP120" s="144">
        <f t="shared" si="410"/>
        <v>18.708862499999995</v>
      </c>
      <c r="EQ120" s="144"/>
      <c r="ER120" s="144">
        <f t="shared" si="432"/>
        <v>515.82211770991728</v>
      </c>
      <c r="ES120" s="456">
        <f t="shared" si="411"/>
        <v>0.125</v>
      </c>
      <c r="EV120" s="144">
        <f t="shared" si="412"/>
        <v>125</v>
      </c>
      <c r="EW120" s="456">
        <f t="shared" si="413"/>
        <v>1.2644444444444446E-2</v>
      </c>
      <c r="EX120" s="456">
        <f t="shared" si="414"/>
        <v>2.5414814814814821E-2</v>
      </c>
      <c r="EY120" s="456">
        <f t="shared" si="415"/>
        <v>1.0640911175713139</v>
      </c>
      <c r="EZ120" s="456"/>
      <c r="FA120" s="456">
        <f t="shared" si="416"/>
        <v>1.1380000000000001E-2</v>
      </c>
      <c r="FB120" s="144">
        <f t="shared" si="417"/>
        <v>1113.530376830573</v>
      </c>
      <c r="FC120" s="150">
        <f t="shared" si="418"/>
        <v>1.7543524945404902</v>
      </c>
      <c r="FD120" s="5">
        <f t="shared" si="419"/>
        <v>8.5</v>
      </c>
      <c r="FE120" s="150">
        <f t="shared" si="420"/>
        <v>0.8289163069560439</v>
      </c>
      <c r="FF120" s="5">
        <f t="shared" si="421"/>
        <v>82.891630695604391</v>
      </c>
      <c r="FI120" s="59">
        <f t="shared" si="422"/>
        <v>-50</v>
      </c>
      <c r="FJ120">
        <f t="shared" si="423"/>
        <v>-50</v>
      </c>
      <c r="FL120">
        <f t="shared" si="424"/>
        <v>0.15</v>
      </c>
    </row>
    <row r="121" spans="5:168">
      <c r="E121" s="147">
        <v>11</v>
      </c>
      <c r="F121" s="188">
        <f t="shared" si="425"/>
        <v>5.5E-2</v>
      </c>
      <c r="G121" s="188"/>
      <c r="H121" s="188">
        <f t="shared" si="315"/>
        <v>9.35</v>
      </c>
      <c r="I121" s="465">
        <f t="shared" si="316"/>
        <v>8.9674003812464669</v>
      </c>
      <c r="J121" s="149">
        <f t="shared" si="317"/>
        <v>8.5383264917095438</v>
      </c>
      <c r="K121" s="149">
        <f t="shared" si="318"/>
        <v>17.505726872956011</v>
      </c>
      <c r="L121" s="379"/>
      <c r="M121" s="188">
        <f t="shared" si="319"/>
        <v>0.48774495674077972</v>
      </c>
      <c r="N121" s="149">
        <f t="shared" si="426"/>
        <v>146.18711942226955</v>
      </c>
      <c r="O121" s="149">
        <f t="shared" si="284"/>
        <v>9.35</v>
      </c>
      <c r="P121" s="188">
        <f t="shared" si="320"/>
        <v>0.85992423189570322</v>
      </c>
      <c r="Q121" s="188">
        <f t="shared" si="321"/>
        <v>170</v>
      </c>
      <c r="R121" s="188"/>
      <c r="S121" s="149">
        <f t="shared" si="322"/>
        <v>5255.4639872458629</v>
      </c>
      <c r="T121" s="149">
        <f t="shared" si="323"/>
        <v>170</v>
      </c>
      <c r="U121" s="188">
        <f t="shared" si="324"/>
        <v>4.2947356574617794</v>
      </c>
      <c r="V121" s="188">
        <f t="shared" si="325"/>
        <v>0.71839141917484206</v>
      </c>
      <c r="W121" s="188">
        <f t="shared" si="326"/>
        <v>0.75449252174272752</v>
      </c>
      <c r="X121" s="172">
        <f t="shared" si="327"/>
        <v>218.6901257874874</v>
      </c>
      <c r="Y121" s="379">
        <f t="shared" si="328"/>
        <v>350</v>
      </c>
      <c r="AA121" s="188">
        <f t="shared" si="329"/>
        <v>13.333333333333334</v>
      </c>
      <c r="AB121" s="150">
        <f t="shared" si="330"/>
        <v>2.3423793900853283</v>
      </c>
      <c r="AC121" s="150">
        <f t="shared" si="331"/>
        <v>0.17075174781992616</v>
      </c>
      <c r="AD121" s="150"/>
      <c r="AE121" s="150">
        <f t="shared" si="332"/>
        <v>2.3423793900853283</v>
      </c>
      <c r="AF121" s="314">
        <f t="shared" si="333"/>
        <v>70.441193556603707</v>
      </c>
      <c r="AG121" s="456">
        <f t="shared" si="334"/>
        <v>0.17075174781992616</v>
      </c>
      <c r="AI121" s="150">
        <f t="shared" si="335"/>
        <v>5.9816096387194095</v>
      </c>
      <c r="AJ121" s="150">
        <f t="shared" si="336"/>
        <v>13.333333333333334</v>
      </c>
      <c r="AK121" s="150">
        <f t="shared" si="337"/>
        <v>1.0402521106037736</v>
      </c>
      <c r="AM121" s="314">
        <f t="shared" si="338"/>
        <v>55</v>
      </c>
      <c r="AN121" s="144">
        <f t="shared" si="339"/>
        <v>70.441193556603707</v>
      </c>
      <c r="AP121" s="144">
        <f t="shared" si="340"/>
        <v>55</v>
      </c>
      <c r="AQ121" s="144">
        <f t="shared" si="341"/>
        <v>70.441193556603707</v>
      </c>
      <c r="AS121" s="5">
        <f t="shared" si="285"/>
        <v>14.196238727789874</v>
      </c>
      <c r="AT121" s="5">
        <f t="shared" si="342"/>
        <v>2.2303007727664328</v>
      </c>
      <c r="AU121" s="5">
        <f t="shared" si="343"/>
        <v>11.965937955023442</v>
      </c>
      <c r="AV121" s="5"/>
      <c r="AW121" s="150">
        <f t="shared" si="344"/>
        <v>0.15710504842388309</v>
      </c>
      <c r="AX121" s="150">
        <f t="shared" si="214"/>
        <v>9.3921591408804979</v>
      </c>
      <c r="AY121" s="150">
        <f t="shared" si="215"/>
        <v>0.28096498385870566</v>
      </c>
      <c r="AZ121" s="150">
        <f t="shared" si="288"/>
        <v>33.428219459559827</v>
      </c>
      <c r="BA121" s="144">
        <f t="shared" si="433"/>
        <v>7.2156789707149296E-2</v>
      </c>
      <c r="BB121" s="5">
        <f t="shared" si="434"/>
        <v>20.794120020455257</v>
      </c>
      <c r="BD121" s="150">
        <f t="shared" si="289"/>
        <v>3.0512175922882605</v>
      </c>
      <c r="BE121" s="150">
        <f t="shared" si="218"/>
        <v>0.35337420132124076</v>
      </c>
      <c r="BG121" s="456">
        <f t="shared" si="347"/>
        <v>3.1653757904663855E-2</v>
      </c>
      <c r="BH121" s="456">
        <f t="shared" si="348"/>
        <v>0.39377769153888076</v>
      </c>
      <c r="BI121" s="456">
        <f t="shared" si="349"/>
        <v>2.8930686876736448E-2</v>
      </c>
      <c r="BJ121" s="456">
        <f t="shared" si="350"/>
        <v>1.47869149195265E-2</v>
      </c>
      <c r="BK121">
        <f t="shared" si="351"/>
        <v>4.0353301715609097E-3</v>
      </c>
      <c r="BL121" s="144">
        <f t="shared" si="427"/>
        <v>32.96601704829736</v>
      </c>
      <c r="BM121" s="456">
        <f t="shared" si="352"/>
        <v>0.45216558601959222</v>
      </c>
      <c r="BN121" s="144">
        <f t="shared" si="353"/>
        <v>452.16558601959224</v>
      </c>
      <c r="BO121" s="456">
        <f t="shared" si="354"/>
        <v>0.13750000000000001</v>
      </c>
      <c r="BR121" s="144">
        <f t="shared" si="355"/>
        <v>137.5</v>
      </c>
      <c r="BS121" s="456">
        <f t="shared" si="356"/>
        <v>1.3964893193234055E-2</v>
      </c>
      <c r="BT121" s="456">
        <f t="shared" si="357"/>
        <v>2.4974665231884959E-2</v>
      </c>
      <c r="BU121" s="456">
        <f t="shared" si="358"/>
        <v>1.351710262218011</v>
      </c>
      <c r="BV121" s="456"/>
      <c r="BW121" s="456">
        <f t="shared" si="359"/>
        <v>1.2522878854507329E-2</v>
      </c>
      <c r="BX121" s="144">
        <f t="shared" si="360"/>
        <v>1403.1726994976375</v>
      </c>
      <c r="BY121" s="150">
        <f t="shared" si="361"/>
        <v>2.0138570809090059</v>
      </c>
      <c r="BZ121" s="5">
        <f t="shared" si="362"/>
        <v>9.35</v>
      </c>
      <c r="CA121" s="150">
        <f t="shared" si="363"/>
        <v>0.82278401896727171</v>
      </c>
      <c r="CB121" s="5">
        <f t="shared" si="364"/>
        <v>82.278401896727175</v>
      </c>
      <c r="CE121" s="59">
        <f t="shared" si="365"/>
        <v>-50</v>
      </c>
      <c r="CF121">
        <f t="shared" si="366"/>
        <v>-50</v>
      </c>
      <c r="CG121" s="150">
        <f t="shared" si="367"/>
        <v>0.16533935690323842</v>
      </c>
      <c r="CI121" s="147">
        <v>11</v>
      </c>
      <c r="CJ121" s="188">
        <f t="shared" si="428"/>
        <v>5.5E-2</v>
      </c>
      <c r="CK121" s="188"/>
      <c r="CL121" s="188">
        <f t="shared" si="368"/>
        <v>9.35</v>
      </c>
      <c r="CM121" s="465">
        <f t="shared" si="369"/>
        <v>9</v>
      </c>
      <c r="CN121" s="379">
        <f t="shared" si="370"/>
        <v>8.5350000000000001</v>
      </c>
      <c r="CO121" s="379">
        <f t="shared" si="371"/>
        <v>17.535</v>
      </c>
      <c r="CP121" s="379"/>
      <c r="CQ121" s="188">
        <f t="shared" si="372"/>
        <v>0.48674080410607357</v>
      </c>
      <c r="CR121" s="149">
        <f t="shared" si="429"/>
        <v>146.41650128314802</v>
      </c>
      <c r="CS121" s="149">
        <f t="shared" si="373"/>
        <v>9.35</v>
      </c>
      <c r="CT121" s="188">
        <f t="shared" si="374"/>
        <v>0.86127353695969422</v>
      </c>
      <c r="CU121" s="188">
        <f t="shared" si="375"/>
        <v>170</v>
      </c>
      <c r="CV121" s="188"/>
      <c r="CW121" s="149">
        <f t="shared" si="376"/>
        <v>5274.5693395818189</v>
      </c>
      <c r="CX121" s="149">
        <f t="shared" si="377"/>
        <v>170</v>
      </c>
      <c r="CY121" s="188">
        <f t="shared" si="378"/>
        <v>4.2687561023237652</v>
      </c>
      <c r="CZ121" s="188">
        <f t="shared" si="379"/>
        <v>0.71145935038729424</v>
      </c>
      <c r="DA121" s="188">
        <f t="shared" si="380"/>
        <v>0.7502207561201697</v>
      </c>
      <c r="DB121" s="172">
        <f t="shared" si="381"/>
        <v>219.03336184773312</v>
      </c>
      <c r="DC121" s="379">
        <f t="shared" si="382"/>
        <v>350</v>
      </c>
      <c r="DE121" s="188">
        <f t="shared" si="383"/>
        <v>13.333333333333334</v>
      </c>
      <c r="DF121" s="150">
        <f t="shared" si="384"/>
        <v>2.3432923257176337</v>
      </c>
      <c r="DG121" s="150">
        <f t="shared" si="385"/>
        <v>0.17108639863130889</v>
      </c>
      <c r="DH121" s="150"/>
      <c r="DI121" s="150">
        <f t="shared" si="386"/>
        <v>2.3432923257176337</v>
      </c>
      <c r="DJ121" s="314">
        <f t="shared" si="387"/>
        <v>70.413749999999979</v>
      </c>
      <c r="DK121" s="456">
        <f t="shared" si="388"/>
        <v>0.17108639863130887</v>
      </c>
      <c r="DM121" s="150">
        <f t="shared" si="389"/>
        <v>5.9804443217635832</v>
      </c>
      <c r="DN121" s="150">
        <f t="shared" si="390"/>
        <v>13.333333333333334</v>
      </c>
      <c r="DO121" s="150">
        <f t="shared" si="391"/>
        <v>1.0402364285714285</v>
      </c>
      <c r="DQ121" s="314">
        <f t="shared" si="392"/>
        <v>55</v>
      </c>
      <c r="DR121" s="144">
        <f t="shared" si="393"/>
        <v>70.413749999999979</v>
      </c>
      <c r="DT121">
        <f t="shared" si="430"/>
        <v>55</v>
      </c>
      <c r="DU121">
        <f t="shared" si="431"/>
        <v>70.413749999999979</v>
      </c>
      <c r="DW121" s="5">
        <f t="shared" si="394"/>
        <v>14.201771671015964</v>
      </c>
      <c r="DX121" s="5">
        <f t="shared" si="395"/>
        <v>2.2222222222222223</v>
      </c>
      <c r="DY121" s="5">
        <f t="shared" si="396"/>
        <v>11.97954944879374</v>
      </c>
      <c r="DZ121" s="5"/>
      <c r="EA121" s="150">
        <f t="shared" si="397"/>
        <v>0.15647499999999995</v>
      </c>
      <c r="EB121" s="150">
        <f t="shared" si="398"/>
        <v>9.3884999999999987</v>
      </c>
      <c r="EC121" s="150">
        <f t="shared" si="399"/>
        <v>0.28117500000000006</v>
      </c>
      <c r="ED121" s="150">
        <f t="shared" si="400"/>
        <v>33.390237396639094</v>
      </c>
      <c r="EE121" s="144">
        <f t="shared" si="401"/>
        <v>7.1895424836601315E-2</v>
      </c>
      <c r="EF121" s="5">
        <f t="shared" si="402"/>
        <v>20.742368027078044</v>
      </c>
      <c r="EH121" s="150">
        <f t="shared" si="403"/>
        <v>3.0450931993278281</v>
      </c>
      <c r="EI121" s="150">
        <f t="shared" si="404"/>
        <v>0.35350624699807881</v>
      </c>
      <c r="EK121" s="456">
        <f t="shared" si="405"/>
        <v>3.1526814814814799E-2</v>
      </c>
      <c r="EL121" s="456">
        <f t="shared" si="406"/>
        <v>0.50046713639999996</v>
      </c>
      <c r="EM121" s="456">
        <f t="shared" si="407"/>
        <v>1.6124748749999997E-2</v>
      </c>
      <c r="EN121" s="456">
        <f t="shared" si="408"/>
        <v>1.4830629516094214E-2</v>
      </c>
      <c r="EO121">
        <f t="shared" si="409"/>
        <v>4.0499999999999998E-3</v>
      </c>
      <c r="EP121" s="144">
        <f t="shared" si="410"/>
        <v>20.174748749999999</v>
      </c>
      <c r="EQ121" s="144"/>
      <c r="ER121" s="144">
        <f t="shared" si="432"/>
        <v>566.99932948090907</v>
      </c>
      <c r="ES121" s="456">
        <f t="shared" si="411"/>
        <v>0.13750000000000001</v>
      </c>
      <c r="EV121" s="144">
        <f t="shared" si="412"/>
        <v>137.5</v>
      </c>
      <c r="EW121" s="456">
        <f t="shared" si="413"/>
        <v>1.3908888888888882E-2</v>
      </c>
      <c r="EX121" s="456">
        <f t="shared" si="414"/>
        <v>2.499333333333334E-2</v>
      </c>
      <c r="EY121" s="456">
        <f t="shared" si="415"/>
        <v>1.3503940970353492</v>
      </c>
      <c r="EZ121" s="456"/>
      <c r="FA121" s="456">
        <f t="shared" si="416"/>
        <v>1.2518E-2</v>
      </c>
      <c r="FB121" s="144">
        <f t="shared" si="417"/>
        <v>1401.8143192575715</v>
      </c>
      <c r="FC121" s="150">
        <f t="shared" si="418"/>
        <v>2.1063136487384804</v>
      </c>
      <c r="FD121" s="5">
        <f t="shared" si="419"/>
        <v>9.35</v>
      </c>
      <c r="FE121" s="150">
        <f t="shared" si="420"/>
        <v>0.81614385627697805</v>
      </c>
      <c r="FF121" s="5">
        <f t="shared" si="421"/>
        <v>81.6143856276978</v>
      </c>
      <c r="FI121" s="59">
        <f t="shared" si="422"/>
        <v>-50</v>
      </c>
      <c r="FJ121">
        <f t="shared" si="423"/>
        <v>-50</v>
      </c>
      <c r="FL121">
        <f t="shared" si="424"/>
        <v>0.16499999999999998</v>
      </c>
    </row>
    <row r="122" spans="5:168">
      <c r="E122" s="147">
        <v>12</v>
      </c>
      <c r="F122" s="188">
        <f t="shared" si="425"/>
        <v>0.06</v>
      </c>
      <c r="G122" s="188"/>
      <c r="H122" s="188">
        <f t="shared" si="315"/>
        <v>10.199999999999999</v>
      </c>
      <c r="I122" s="465">
        <f t="shared" si="316"/>
        <v>8.9674003812464669</v>
      </c>
      <c r="J122" s="149">
        <f t="shared" si="317"/>
        <v>8.5383264917095438</v>
      </c>
      <c r="K122" s="149">
        <f t="shared" si="318"/>
        <v>17.505726872956011</v>
      </c>
      <c r="L122" s="379"/>
      <c r="M122" s="188">
        <f t="shared" si="319"/>
        <v>0.48774495674077972</v>
      </c>
      <c r="N122" s="149">
        <f t="shared" si="426"/>
        <v>146.18711942226955</v>
      </c>
      <c r="O122" s="149">
        <f t="shared" si="284"/>
        <v>10.199999999999999</v>
      </c>
      <c r="P122" s="188">
        <f t="shared" si="320"/>
        <v>0.85992423189570322</v>
      </c>
      <c r="Q122" s="188">
        <f t="shared" si="321"/>
        <v>170</v>
      </c>
      <c r="R122" s="188"/>
      <c r="S122" s="149">
        <f t="shared" si="322"/>
        <v>4802.5672301944969</v>
      </c>
      <c r="T122" s="149">
        <f t="shared" si="323"/>
        <v>170</v>
      </c>
      <c r="U122" s="188">
        <f t="shared" si="324"/>
        <v>4.6851661717764861</v>
      </c>
      <c r="V122" s="188">
        <f t="shared" si="325"/>
        <v>0.78369973000891846</v>
      </c>
      <c r="W122" s="188">
        <f t="shared" si="326"/>
        <v>0.82308275099206629</v>
      </c>
      <c r="X122" s="172">
        <f t="shared" si="327"/>
        <v>218.6901257874874</v>
      </c>
      <c r="Y122" s="379">
        <f t="shared" si="328"/>
        <v>350</v>
      </c>
      <c r="AA122" s="188">
        <f t="shared" si="329"/>
        <v>13.333333333333334</v>
      </c>
      <c r="AB122" s="150">
        <f t="shared" si="330"/>
        <v>2.3423793900853283</v>
      </c>
      <c r="AC122" s="150">
        <f t="shared" si="331"/>
        <v>0.17075174781992616</v>
      </c>
      <c r="AD122" s="150"/>
      <c r="AE122" s="150">
        <f t="shared" si="332"/>
        <v>2.3423793900853283</v>
      </c>
      <c r="AF122" s="314">
        <f t="shared" si="333"/>
        <v>76.844938425385877</v>
      </c>
      <c r="AG122" s="456">
        <f t="shared" si="334"/>
        <v>0.17075174781992616</v>
      </c>
      <c r="AI122" s="150">
        <f t="shared" si="335"/>
        <v>6.2475875085017005</v>
      </c>
      <c r="AJ122" s="150">
        <f t="shared" si="336"/>
        <v>13.333333333333334</v>
      </c>
      <c r="AK122" s="150">
        <f t="shared" si="337"/>
        <v>1.0439113933859347</v>
      </c>
      <c r="AM122" s="314">
        <f t="shared" si="338"/>
        <v>60</v>
      </c>
      <c r="AN122" s="144">
        <f t="shared" si="339"/>
        <v>76.844938425385877</v>
      </c>
      <c r="AP122" s="144">
        <f t="shared" si="340"/>
        <v>60</v>
      </c>
      <c r="AQ122" s="144">
        <f t="shared" si="341"/>
        <v>76.844938425385877</v>
      </c>
      <c r="AS122" s="5">
        <f t="shared" si="285"/>
        <v>13.013218833807381</v>
      </c>
      <c r="AT122" s="5">
        <f t="shared" si="342"/>
        <v>2.2303007727664328</v>
      </c>
      <c r="AU122" s="5">
        <f t="shared" si="343"/>
        <v>10.782918061040949</v>
      </c>
      <c r="AV122" s="5"/>
      <c r="AW122" s="150">
        <f t="shared" si="344"/>
        <v>0.17138732555332706</v>
      </c>
      <c r="AX122" s="150">
        <f t="shared" si="214"/>
        <v>10.245991790051452</v>
      </c>
      <c r="AY122" s="150">
        <f t="shared" si="215"/>
        <v>0.27620422481555768</v>
      </c>
      <c r="AZ122" s="150">
        <f t="shared" si="288"/>
        <v>37.095709875160203</v>
      </c>
      <c r="BA122" s="144">
        <f t="shared" si="433"/>
        <v>7.8716497862344678E-2</v>
      </c>
      <c r="BB122" s="5">
        <f t="shared" si="434"/>
        <v>20.441777911584236</v>
      </c>
      <c r="BD122" s="150">
        <f t="shared" si="289"/>
        <v>3.1868928376579717</v>
      </c>
      <c r="BE122" s="150">
        <f t="shared" si="218"/>
        <v>0.35036756877793213</v>
      </c>
      <c r="BG122" s="456">
        <f t="shared" si="347"/>
        <v>3.4531372259633313E-2</v>
      </c>
      <c r="BH122" s="456">
        <f t="shared" si="348"/>
        <v>0.42957566349696086</v>
      </c>
      <c r="BI122" s="456">
        <f t="shared" si="349"/>
        <v>3.1560749320076131E-2</v>
      </c>
      <c r="BJ122" s="456">
        <f t="shared" si="350"/>
        <v>1.613117991221073E-2</v>
      </c>
      <c r="BK122">
        <f t="shared" si="351"/>
        <v>4.0353301715609097E-3</v>
      </c>
      <c r="BL122" s="144">
        <f t="shared" si="427"/>
        <v>35.596079491637042</v>
      </c>
      <c r="BM122" s="456">
        <f t="shared" si="352"/>
        <v>0.49361159857977199</v>
      </c>
      <c r="BN122" s="144">
        <f t="shared" si="353"/>
        <v>493.61159857977202</v>
      </c>
      <c r="BO122" s="456">
        <f t="shared" si="354"/>
        <v>0.15</v>
      </c>
      <c r="BR122" s="144">
        <f t="shared" si="355"/>
        <v>150</v>
      </c>
      <c r="BS122" s="456">
        <f t="shared" si="356"/>
        <v>1.5234428938073519E-2</v>
      </c>
      <c r="BT122" s="456">
        <f t="shared" si="357"/>
        <v>2.4551486650271803E-2</v>
      </c>
      <c r="BU122" s="456">
        <f t="shared" si="358"/>
        <v>1.6801769143565453</v>
      </c>
      <c r="BV122" s="456"/>
      <c r="BW122" s="456">
        <f t="shared" si="359"/>
        <v>1.3661322386735271E-2</v>
      </c>
      <c r="BX122" s="144">
        <f t="shared" si="360"/>
        <v>1733.6241523316257</v>
      </c>
      <c r="BY122" s="150">
        <f t="shared" si="361"/>
        <v>2.3994584474920679</v>
      </c>
      <c r="BZ122" s="5">
        <f t="shared" si="362"/>
        <v>10.199999999999999</v>
      </c>
      <c r="CA122" s="150">
        <f t="shared" si="363"/>
        <v>0.8095586046422748</v>
      </c>
      <c r="CB122" s="5">
        <f t="shared" si="364"/>
        <v>80.955860464227484</v>
      </c>
      <c r="CE122" s="59">
        <f t="shared" si="365"/>
        <v>-50</v>
      </c>
      <c r="CF122">
        <f t="shared" si="366"/>
        <v>-50</v>
      </c>
      <c r="CG122" s="150">
        <f t="shared" si="367"/>
        <v>0.18037020753080554</v>
      </c>
      <c r="CI122" s="147">
        <v>12</v>
      </c>
      <c r="CJ122" s="188">
        <f t="shared" si="428"/>
        <v>0.06</v>
      </c>
      <c r="CK122" s="188"/>
      <c r="CL122" s="188">
        <f t="shared" si="368"/>
        <v>10.199999999999999</v>
      </c>
      <c r="CM122" s="465">
        <f t="shared" si="369"/>
        <v>9</v>
      </c>
      <c r="CN122" s="379">
        <f t="shared" si="370"/>
        <v>8.5350000000000001</v>
      </c>
      <c r="CO122" s="379">
        <f t="shared" si="371"/>
        <v>17.535</v>
      </c>
      <c r="CP122" s="379"/>
      <c r="CQ122" s="188">
        <f t="shared" si="372"/>
        <v>0.48674080410607357</v>
      </c>
      <c r="CR122" s="149">
        <f t="shared" si="429"/>
        <v>146.41650128314802</v>
      </c>
      <c r="CS122" s="149">
        <f t="shared" si="373"/>
        <v>10.199999999999999</v>
      </c>
      <c r="CT122" s="188">
        <f t="shared" si="374"/>
        <v>0.86127353695969422</v>
      </c>
      <c r="CU122" s="188">
        <f t="shared" si="375"/>
        <v>170</v>
      </c>
      <c r="CV122" s="188"/>
      <c r="CW122" s="149">
        <f t="shared" si="376"/>
        <v>4820.0261371412562</v>
      </c>
      <c r="CX122" s="149">
        <f t="shared" si="377"/>
        <v>170</v>
      </c>
      <c r="CY122" s="188">
        <f t="shared" si="378"/>
        <v>4.6568248388986522</v>
      </c>
      <c r="CZ122" s="188">
        <f t="shared" si="379"/>
        <v>0.77613747314977544</v>
      </c>
      <c r="DA122" s="188">
        <f t="shared" si="380"/>
        <v>0.81842264304018497</v>
      </c>
      <c r="DB122" s="172">
        <f t="shared" si="381"/>
        <v>219.03336184773312</v>
      </c>
      <c r="DC122" s="379">
        <f t="shared" si="382"/>
        <v>350</v>
      </c>
      <c r="DE122" s="188">
        <f t="shared" si="383"/>
        <v>13.333333333333334</v>
      </c>
      <c r="DF122" s="150">
        <f t="shared" si="384"/>
        <v>2.3432923257176337</v>
      </c>
      <c r="DG122" s="150">
        <f t="shared" si="385"/>
        <v>0.17108639863130889</v>
      </c>
      <c r="DH122" s="150"/>
      <c r="DI122" s="150">
        <f t="shared" si="386"/>
        <v>2.3432923257176337</v>
      </c>
      <c r="DJ122" s="314">
        <f t="shared" si="387"/>
        <v>76.814999999999969</v>
      </c>
      <c r="DK122" s="456">
        <f t="shared" si="388"/>
        <v>0.17108639863130887</v>
      </c>
      <c r="DM122" s="150">
        <f t="shared" si="389"/>
        <v>6.2463703746370056</v>
      </c>
      <c r="DN122" s="150">
        <f t="shared" si="390"/>
        <v>13.333333333333334</v>
      </c>
      <c r="DO122" s="150">
        <f t="shared" si="391"/>
        <v>1.0438942857142857</v>
      </c>
      <c r="DQ122" s="314">
        <f t="shared" si="392"/>
        <v>60</v>
      </c>
      <c r="DR122" s="144">
        <f t="shared" si="393"/>
        <v>76.814999999999969</v>
      </c>
      <c r="DT122">
        <f t="shared" si="430"/>
        <v>60</v>
      </c>
      <c r="DU122">
        <f t="shared" si="431"/>
        <v>76.814999999999969</v>
      </c>
      <c r="DW122" s="5">
        <f t="shared" si="394"/>
        <v>13.018290698431301</v>
      </c>
      <c r="DX122" s="5">
        <f t="shared" si="395"/>
        <v>2.2222222222222223</v>
      </c>
      <c r="DY122" s="5">
        <f t="shared" si="396"/>
        <v>10.796068476209079</v>
      </c>
      <c r="DZ122" s="5"/>
      <c r="EA122" s="150">
        <f t="shared" si="397"/>
        <v>0.17069999999999994</v>
      </c>
      <c r="EB122" s="150">
        <f t="shared" si="398"/>
        <v>10.241999999999997</v>
      </c>
      <c r="EC122" s="150">
        <f t="shared" si="399"/>
        <v>0.27643333333333336</v>
      </c>
      <c r="ED122" s="150">
        <f t="shared" si="400"/>
        <v>37.050524538767618</v>
      </c>
      <c r="EE122" s="144">
        <f t="shared" si="401"/>
        <v>7.8431372549019607E-2</v>
      </c>
      <c r="EF122" s="5">
        <f t="shared" si="402"/>
        <v>20.392573788394923</v>
      </c>
      <c r="EH122" s="150">
        <f t="shared" si="403"/>
        <v>3.1804961178337496</v>
      </c>
      <c r="EI122" s="150">
        <f t="shared" si="404"/>
        <v>0.35051285177473773</v>
      </c>
      <c r="EK122" s="456">
        <f t="shared" si="405"/>
        <v>3.4392888888888876E-2</v>
      </c>
      <c r="EL122" s="456">
        <f t="shared" si="406"/>
        <v>0.54596414879999977</v>
      </c>
      <c r="EM122" s="456">
        <f t="shared" si="407"/>
        <v>1.7590634999999993E-2</v>
      </c>
      <c r="EN122" s="456">
        <f t="shared" si="408"/>
        <v>1.6178868563011872E-2</v>
      </c>
      <c r="EO122">
        <f t="shared" si="409"/>
        <v>4.0499999999999998E-3</v>
      </c>
      <c r="EP122" s="144">
        <f t="shared" si="410"/>
        <v>21.640634999999993</v>
      </c>
      <c r="EQ122" s="144"/>
      <c r="ER122" s="144">
        <f t="shared" si="432"/>
        <v>618.17654125190063</v>
      </c>
      <c r="ES122" s="456">
        <f t="shared" si="411"/>
        <v>0.15</v>
      </c>
      <c r="EV122" s="144">
        <f t="shared" si="412"/>
        <v>150</v>
      </c>
      <c r="EW122" s="456">
        <f t="shared" si="413"/>
        <v>1.5173333333333329E-2</v>
      </c>
      <c r="EX122" s="456">
        <f t="shared" si="414"/>
        <v>2.4571851851851855E-2</v>
      </c>
      <c r="EY122" s="456">
        <f t="shared" si="415"/>
        <v>1.6785409200039036</v>
      </c>
      <c r="EZ122" s="456"/>
      <c r="FA122" s="456">
        <f t="shared" si="416"/>
        <v>1.3655999999999998E-2</v>
      </c>
      <c r="FB122" s="144">
        <f t="shared" si="417"/>
        <v>1731.9421051890886</v>
      </c>
      <c r="FC122" s="150">
        <f t="shared" si="418"/>
        <v>2.5001186464409897</v>
      </c>
      <c r="FD122" s="5">
        <f t="shared" si="419"/>
        <v>10.199999999999999</v>
      </c>
      <c r="FE122" s="150">
        <f t="shared" si="420"/>
        <v>0.80314210315337409</v>
      </c>
      <c r="FF122" s="5">
        <f t="shared" si="421"/>
        <v>80.314210315337405</v>
      </c>
      <c r="FI122" s="59">
        <f t="shared" si="422"/>
        <v>-50</v>
      </c>
      <c r="FJ122">
        <f t="shared" si="423"/>
        <v>-50</v>
      </c>
      <c r="FL122">
        <f t="shared" si="424"/>
        <v>0.17999999999999994</v>
      </c>
    </row>
    <row r="123" spans="5:168">
      <c r="E123" s="147">
        <v>13</v>
      </c>
      <c r="F123" s="188">
        <f t="shared" si="425"/>
        <v>6.5000000000000002E-2</v>
      </c>
      <c r="G123" s="188"/>
      <c r="H123" s="188">
        <f t="shared" si="315"/>
        <v>11.05</v>
      </c>
      <c r="I123" s="465">
        <f t="shared" si="316"/>
        <v>8.9674003812464669</v>
      </c>
      <c r="J123" s="149">
        <f t="shared" si="317"/>
        <v>8.5383264917095438</v>
      </c>
      <c r="K123" s="149">
        <f t="shared" si="318"/>
        <v>17.505726872956011</v>
      </c>
      <c r="L123" s="379"/>
      <c r="M123" s="188">
        <f t="shared" si="319"/>
        <v>0.48774495674077972</v>
      </c>
      <c r="N123" s="149">
        <f t="shared" si="426"/>
        <v>146.18711942226955</v>
      </c>
      <c r="O123" s="149">
        <f t="shared" si="284"/>
        <v>11.05</v>
      </c>
      <c r="P123" s="188">
        <f t="shared" si="320"/>
        <v>0.85992423189570322</v>
      </c>
      <c r="Q123" s="188">
        <f t="shared" si="321"/>
        <v>170</v>
      </c>
      <c r="R123" s="188"/>
      <c r="S123" s="149">
        <f t="shared" si="322"/>
        <v>4419.3472577796838</v>
      </c>
      <c r="T123" s="149">
        <f t="shared" si="323"/>
        <v>170</v>
      </c>
      <c r="U123" s="188">
        <f t="shared" si="324"/>
        <v>5.0755966860911936</v>
      </c>
      <c r="V123" s="188">
        <f t="shared" si="325"/>
        <v>0.84900804084299519</v>
      </c>
      <c r="W123" s="188">
        <f t="shared" si="326"/>
        <v>0.89167298024140529</v>
      </c>
      <c r="X123" s="172">
        <f t="shared" si="327"/>
        <v>218.6901257874874</v>
      </c>
      <c r="Y123" s="379">
        <f t="shared" si="328"/>
        <v>350</v>
      </c>
      <c r="AA123" s="188">
        <f t="shared" si="329"/>
        <v>13.333333333333334</v>
      </c>
      <c r="AB123" s="150">
        <f t="shared" si="330"/>
        <v>2.3423793900853283</v>
      </c>
      <c r="AC123" s="150">
        <f t="shared" si="331"/>
        <v>0.17075174781992616</v>
      </c>
      <c r="AD123" s="150"/>
      <c r="AE123" s="150">
        <f t="shared" si="332"/>
        <v>2.3423793900853283</v>
      </c>
      <c r="AF123" s="314">
        <f t="shared" si="333"/>
        <v>83.248683294168032</v>
      </c>
      <c r="AG123" s="456">
        <f t="shared" si="334"/>
        <v>0.17075174781992616</v>
      </c>
      <c r="AI123" s="150">
        <f t="shared" si="335"/>
        <v>6.502695247568659</v>
      </c>
      <c r="AJ123" s="150">
        <f t="shared" si="336"/>
        <v>13.333333333333334</v>
      </c>
      <c r="AK123" s="150">
        <f t="shared" si="337"/>
        <v>1.0475706761680961</v>
      </c>
      <c r="AM123" s="314">
        <f t="shared" si="338"/>
        <v>65</v>
      </c>
      <c r="AN123" s="144">
        <f t="shared" si="339"/>
        <v>83.248683294168032</v>
      </c>
      <c r="AP123" s="144">
        <f t="shared" si="340"/>
        <v>65</v>
      </c>
      <c r="AQ123" s="144">
        <f t="shared" si="341"/>
        <v>83.248683294168032</v>
      </c>
      <c r="AS123" s="5">
        <f t="shared" si="285"/>
        <v>12.012202000437583</v>
      </c>
      <c r="AT123" s="5">
        <f t="shared" si="342"/>
        <v>2.2303007727664328</v>
      </c>
      <c r="AU123" s="5">
        <f t="shared" si="343"/>
        <v>9.781901227671149</v>
      </c>
      <c r="AV123" s="5"/>
      <c r="AW123" s="150">
        <f t="shared" si="344"/>
        <v>0.185669602682771</v>
      </c>
      <c r="AX123" s="150">
        <f t="shared" si="214"/>
        <v>11.099824439222408</v>
      </c>
      <c r="AY123" s="150">
        <f t="shared" si="215"/>
        <v>0.27144346577240969</v>
      </c>
      <c r="AZ123" s="150">
        <f t="shared" si="288"/>
        <v>40.891846144231728</v>
      </c>
      <c r="BA123" s="144">
        <f t="shared" si="433"/>
        <v>8.5276206017540074E-2</v>
      </c>
      <c r="BB123" s="5">
        <f t="shared" si="434"/>
        <v>20.089435802713222</v>
      </c>
      <c r="BD123" s="150">
        <f t="shared" si="289"/>
        <v>3.3170232320473709</v>
      </c>
      <c r="BE123" s="150">
        <f t="shared" si="218"/>
        <v>0.34733491091926422</v>
      </c>
      <c r="BG123" s="456">
        <f t="shared" si="347"/>
        <v>3.7408986614602749E-2</v>
      </c>
      <c r="BH123" s="456">
        <f t="shared" si="348"/>
        <v>0.46537363545504096</v>
      </c>
      <c r="BI123" s="456">
        <f t="shared" si="349"/>
        <v>3.4190811763415804E-2</v>
      </c>
      <c r="BJ123" s="456">
        <f t="shared" si="350"/>
        <v>1.7475444904894957E-2</v>
      </c>
      <c r="BK123">
        <f t="shared" si="351"/>
        <v>4.0353301715609097E-3</v>
      </c>
      <c r="BL123" s="144">
        <f t="shared" si="427"/>
        <v>38.22614193497671</v>
      </c>
      <c r="BM123" s="456">
        <f t="shared" si="352"/>
        <v>0.53511479443903043</v>
      </c>
      <c r="BN123" s="144">
        <f t="shared" si="353"/>
        <v>535.11479443903045</v>
      </c>
      <c r="BO123" s="456">
        <f t="shared" si="354"/>
        <v>0.16250000000000001</v>
      </c>
      <c r="BR123" s="144">
        <f t="shared" si="355"/>
        <v>162.5</v>
      </c>
      <c r="BS123" s="456">
        <f t="shared" si="356"/>
        <v>1.6503964682912979E-2</v>
      </c>
      <c r="BT123" s="456">
        <f t="shared" si="357"/>
        <v>2.4128308068658642E-2</v>
      </c>
      <c r="BU123" s="456">
        <f t="shared" si="358"/>
        <v>2.0523918378957129</v>
      </c>
      <c r="BV123" s="456"/>
      <c r="BW123" s="456">
        <f t="shared" si="359"/>
        <v>1.4799765918963209E-2</v>
      </c>
      <c r="BX123" s="144">
        <f t="shared" si="360"/>
        <v>2107.8238765662477</v>
      </c>
      <c r="BY123" s="150">
        <f t="shared" si="361"/>
        <v>2.8288080854757633</v>
      </c>
      <c r="BZ123" s="5">
        <f t="shared" si="362"/>
        <v>11.05</v>
      </c>
      <c r="CA123" s="150">
        <f t="shared" si="363"/>
        <v>0.79617788011377399</v>
      </c>
      <c r="CB123" s="5">
        <f t="shared" si="364"/>
        <v>79.617788011377399</v>
      </c>
      <c r="CE123" s="59">
        <f t="shared" si="365"/>
        <v>-50</v>
      </c>
      <c r="CF123">
        <f t="shared" si="366"/>
        <v>-50</v>
      </c>
      <c r="CG123" s="150">
        <f t="shared" si="367"/>
        <v>0.19540105815837269</v>
      </c>
      <c r="CI123" s="147">
        <v>13</v>
      </c>
      <c r="CJ123" s="188">
        <f t="shared" si="428"/>
        <v>6.5000000000000002E-2</v>
      </c>
      <c r="CK123" s="188"/>
      <c r="CL123" s="188">
        <f t="shared" si="368"/>
        <v>11.05</v>
      </c>
      <c r="CM123" s="465">
        <f t="shared" si="369"/>
        <v>9</v>
      </c>
      <c r="CN123" s="379">
        <f t="shared" si="370"/>
        <v>8.5350000000000001</v>
      </c>
      <c r="CO123" s="379">
        <f t="shared" si="371"/>
        <v>17.535</v>
      </c>
      <c r="CP123" s="379"/>
      <c r="CQ123" s="188">
        <f t="shared" si="372"/>
        <v>0.48674080410607357</v>
      </c>
      <c r="CR123" s="149">
        <f t="shared" si="429"/>
        <v>146.41650128314802</v>
      </c>
      <c r="CS123" s="149">
        <f t="shared" si="373"/>
        <v>11.05</v>
      </c>
      <c r="CT123" s="188">
        <f t="shared" si="374"/>
        <v>0.86127353695969422</v>
      </c>
      <c r="CU123" s="188">
        <f t="shared" si="375"/>
        <v>170</v>
      </c>
      <c r="CV123" s="188"/>
      <c r="CW123" s="149">
        <f t="shared" si="376"/>
        <v>4435.4130186285083</v>
      </c>
      <c r="CX123" s="149">
        <f t="shared" si="377"/>
        <v>170</v>
      </c>
      <c r="CY123" s="188">
        <f t="shared" si="378"/>
        <v>5.0448935754735409</v>
      </c>
      <c r="CZ123" s="188">
        <f t="shared" si="379"/>
        <v>0.84081559591225696</v>
      </c>
      <c r="DA123" s="188">
        <f t="shared" si="380"/>
        <v>0.88662452996020047</v>
      </c>
      <c r="DB123" s="172">
        <f t="shared" si="381"/>
        <v>219.03336184773312</v>
      </c>
      <c r="DC123" s="379">
        <f t="shared" si="382"/>
        <v>350</v>
      </c>
      <c r="DE123" s="188">
        <f t="shared" si="383"/>
        <v>13.333333333333334</v>
      </c>
      <c r="DF123" s="150">
        <f t="shared" si="384"/>
        <v>2.3432923257176337</v>
      </c>
      <c r="DG123" s="150">
        <f t="shared" si="385"/>
        <v>0.17108639863130889</v>
      </c>
      <c r="DH123" s="150"/>
      <c r="DI123" s="150">
        <f t="shared" si="386"/>
        <v>2.3432923257176337</v>
      </c>
      <c r="DJ123" s="314">
        <f t="shared" si="387"/>
        <v>83.216249999999988</v>
      </c>
      <c r="DK123" s="456">
        <f t="shared" si="388"/>
        <v>0.17108639863130887</v>
      </c>
      <c r="DM123" s="150">
        <f t="shared" si="389"/>
        <v>6.5014284144771928</v>
      </c>
      <c r="DN123" s="150">
        <f t="shared" si="390"/>
        <v>13.333333333333334</v>
      </c>
      <c r="DO123" s="150">
        <f t="shared" si="391"/>
        <v>1.0475521428571428</v>
      </c>
      <c r="DQ123" s="314">
        <f t="shared" si="392"/>
        <v>65</v>
      </c>
      <c r="DR123" s="144">
        <f t="shared" si="393"/>
        <v>83.216249999999988</v>
      </c>
      <c r="DT123">
        <f t="shared" si="430"/>
        <v>65</v>
      </c>
      <c r="DU123">
        <f t="shared" si="431"/>
        <v>83.216249999999988</v>
      </c>
      <c r="DW123" s="5">
        <f t="shared" si="394"/>
        <v>12.016883721628892</v>
      </c>
      <c r="DX123" s="5">
        <f t="shared" si="395"/>
        <v>2.2222222222222223</v>
      </c>
      <c r="DY123" s="5">
        <f t="shared" si="396"/>
        <v>9.7946614994066685</v>
      </c>
      <c r="DZ123" s="5"/>
      <c r="EA123" s="150">
        <f t="shared" si="397"/>
        <v>0.18492499999999995</v>
      </c>
      <c r="EB123" s="150">
        <f t="shared" si="398"/>
        <v>11.095500000000001</v>
      </c>
      <c r="EC123" s="150">
        <f t="shared" si="399"/>
        <v>0.27169166666666672</v>
      </c>
      <c r="ED123" s="150">
        <f t="shared" si="400"/>
        <v>40.838573137441337</v>
      </c>
      <c r="EE123" s="144">
        <f t="shared" si="401"/>
        <v>8.4967320261437926E-2</v>
      </c>
      <c r="EF123" s="5">
        <f t="shared" si="402"/>
        <v>20.042779549711792</v>
      </c>
      <c r="EH123" s="150">
        <f t="shared" si="403"/>
        <v>3.3103653149642738</v>
      </c>
      <c r="EI123" s="150">
        <f t="shared" si="404"/>
        <v>0.34749367167166062</v>
      </c>
      <c r="EK123" s="456">
        <f t="shared" si="405"/>
        <v>3.7258962962962952E-2</v>
      </c>
      <c r="EL123" s="456">
        <f t="shared" si="406"/>
        <v>0.59146116120000003</v>
      </c>
      <c r="EM123" s="456">
        <f t="shared" si="407"/>
        <v>1.9056521249999996E-2</v>
      </c>
      <c r="EN123" s="456">
        <f t="shared" si="408"/>
        <v>1.7527107609929531E-2</v>
      </c>
      <c r="EO123">
        <f t="shared" si="409"/>
        <v>4.0499999999999998E-3</v>
      </c>
      <c r="EP123" s="144">
        <f t="shared" si="410"/>
        <v>23.106521249999997</v>
      </c>
      <c r="EQ123" s="144"/>
      <c r="ER123" s="144">
        <f t="shared" si="432"/>
        <v>669.35375302289242</v>
      </c>
      <c r="ES123" s="456">
        <f t="shared" si="411"/>
        <v>0.16250000000000001</v>
      </c>
      <c r="EV123" s="144">
        <f t="shared" si="412"/>
        <v>162.5</v>
      </c>
      <c r="EW123" s="456">
        <f t="shared" si="413"/>
        <v>1.6437777777777773E-2</v>
      </c>
      <c r="EX123" s="456">
        <f t="shared" si="414"/>
        <v>2.4150370370370378E-2</v>
      </c>
      <c r="EY123" s="456">
        <f t="shared" si="415"/>
        <v>2.0503934165226405</v>
      </c>
      <c r="EZ123" s="456"/>
      <c r="FA123" s="456">
        <f t="shared" si="416"/>
        <v>1.4794000000000002E-2</v>
      </c>
      <c r="FB123" s="144">
        <f t="shared" si="417"/>
        <v>2105.7755646707888</v>
      </c>
      <c r="FC123" s="150">
        <f t="shared" si="418"/>
        <v>2.9376293176936814</v>
      </c>
      <c r="FD123" s="5">
        <f t="shared" si="419"/>
        <v>11.05</v>
      </c>
      <c r="FE123" s="150">
        <f t="shared" si="420"/>
        <v>0.78998375986574654</v>
      </c>
      <c r="FF123" s="5">
        <f t="shared" si="421"/>
        <v>78.998375986574658</v>
      </c>
      <c r="FI123" s="59">
        <f t="shared" si="422"/>
        <v>-50</v>
      </c>
      <c r="FJ123">
        <f t="shared" si="423"/>
        <v>-50</v>
      </c>
      <c r="FL123">
        <f t="shared" si="424"/>
        <v>0.19499999999999998</v>
      </c>
    </row>
    <row r="124" spans="5:168">
      <c r="E124" s="147">
        <v>14</v>
      </c>
      <c r="F124" s="188">
        <f t="shared" si="425"/>
        <v>7.0000000000000007E-2</v>
      </c>
      <c r="G124" s="188"/>
      <c r="H124" s="188">
        <f t="shared" si="315"/>
        <v>11.9</v>
      </c>
      <c r="I124" s="465">
        <f t="shared" si="316"/>
        <v>8.9674003812464669</v>
      </c>
      <c r="J124" s="149">
        <f t="shared" si="317"/>
        <v>8.5383264917095438</v>
      </c>
      <c r="K124" s="149">
        <f t="shared" si="318"/>
        <v>17.505726872956011</v>
      </c>
      <c r="L124" s="379"/>
      <c r="M124" s="188">
        <f t="shared" si="319"/>
        <v>0.48774495674077972</v>
      </c>
      <c r="N124" s="149">
        <f t="shared" si="426"/>
        <v>146.18711942226955</v>
      </c>
      <c r="O124" s="149">
        <f t="shared" si="284"/>
        <v>11.9</v>
      </c>
      <c r="P124" s="188">
        <f t="shared" si="320"/>
        <v>0.85992423189570322</v>
      </c>
      <c r="Q124" s="188">
        <f t="shared" si="321"/>
        <v>170</v>
      </c>
      <c r="R124" s="188"/>
      <c r="S124" s="149">
        <f t="shared" si="322"/>
        <v>4090.8733335662578</v>
      </c>
      <c r="T124" s="149">
        <f t="shared" si="323"/>
        <v>170</v>
      </c>
      <c r="U124" s="188">
        <f t="shared" si="324"/>
        <v>5.4660272004059012</v>
      </c>
      <c r="V124" s="188">
        <f t="shared" si="325"/>
        <v>0.9143163516770717</v>
      </c>
      <c r="W124" s="188">
        <f t="shared" si="326"/>
        <v>0.96026320949074417</v>
      </c>
      <c r="X124" s="172">
        <f t="shared" si="327"/>
        <v>218.6901257874874</v>
      </c>
      <c r="Y124" s="379">
        <f t="shared" si="328"/>
        <v>350</v>
      </c>
      <c r="AA124" s="188">
        <f t="shared" si="329"/>
        <v>13.333333333333334</v>
      </c>
      <c r="AB124" s="150">
        <f t="shared" si="330"/>
        <v>2.3423793900853283</v>
      </c>
      <c r="AC124" s="150">
        <f t="shared" si="331"/>
        <v>0.17075174781992616</v>
      </c>
      <c r="AD124" s="150"/>
      <c r="AE124" s="150">
        <f t="shared" si="332"/>
        <v>2.3423793900853283</v>
      </c>
      <c r="AF124" s="314">
        <f t="shared" si="333"/>
        <v>89.652428162950187</v>
      </c>
      <c r="AG124" s="456">
        <f t="shared" si="334"/>
        <v>0.17075174781992616</v>
      </c>
      <c r="AI124" s="150">
        <f t="shared" si="335"/>
        <v>6.7481657722019222</v>
      </c>
      <c r="AJ124" s="150">
        <f t="shared" si="336"/>
        <v>13.333333333333334</v>
      </c>
      <c r="AK124" s="150">
        <f t="shared" si="337"/>
        <v>1.0512299589502572</v>
      </c>
      <c r="AM124" s="314">
        <f t="shared" si="338"/>
        <v>70</v>
      </c>
      <c r="AN124" s="144">
        <f t="shared" si="339"/>
        <v>89.652428162950187</v>
      </c>
      <c r="AP124" s="144">
        <f t="shared" si="340"/>
        <v>70</v>
      </c>
      <c r="AQ124" s="144">
        <f t="shared" si="341"/>
        <v>89.652428162950187</v>
      </c>
      <c r="AS124" s="5">
        <f t="shared" si="285"/>
        <v>11.154187571834898</v>
      </c>
      <c r="AT124" s="5">
        <f t="shared" si="342"/>
        <v>2.2303007727664328</v>
      </c>
      <c r="AU124" s="5">
        <f t="shared" si="343"/>
        <v>8.923886799068466</v>
      </c>
      <c r="AV124" s="5"/>
      <c r="AW124" s="150">
        <f t="shared" si="344"/>
        <v>0.19995187981221491</v>
      </c>
      <c r="AX124" s="150">
        <f t="shared" si="214"/>
        <v>11.953657088393362</v>
      </c>
      <c r="AY124" s="150">
        <f t="shared" si="215"/>
        <v>0.26668270672926175</v>
      </c>
      <c r="AZ124" s="150">
        <f t="shared" si="288"/>
        <v>44.823517936349738</v>
      </c>
      <c r="BA124" s="144">
        <f t="shared" si="433"/>
        <v>9.1835914172735483E-2</v>
      </c>
      <c r="BB124" s="5">
        <f t="shared" si="434"/>
        <v>19.737093693842215</v>
      </c>
      <c r="BD124" s="150">
        <f t="shared" si="289"/>
        <v>3.4422376857457548</v>
      </c>
      <c r="BE124" s="150">
        <f t="shared" si="218"/>
        <v>0.34427553998974053</v>
      </c>
      <c r="BG124" s="456">
        <f t="shared" si="347"/>
        <v>4.0286600969572178E-2</v>
      </c>
      <c r="BH124" s="456">
        <f t="shared" si="348"/>
        <v>0.50117160741312095</v>
      </c>
      <c r="BI124" s="456">
        <f t="shared" si="349"/>
        <v>3.6820874206755484E-2</v>
      </c>
      <c r="BJ124" s="456">
        <f t="shared" si="350"/>
        <v>1.8819709897579185E-2</v>
      </c>
      <c r="BK124">
        <f t="shared" si="351"/>
        <v>4.0353301715609097E-3</v>
      </c>
      <c r="BL124" s="144">
        <f t="shared" si="427"/>
        <v>40.856204378316392</v>
      </c>
      <c r="BM124" s="456">
        <f t="shared" si="352"/>
        <v>0.5766752920232483</v>
      </c>
      <c r="BN124" s="144">
        <f t="shared" si="353"/>
        <v>576.67529202324829</v>
      </c>
      <c r="BO124" s="456">
        <f t="shared" si="354"/>
        <v>0.17500000000000002</v>
      </c>
      <c r="BR124" s="144">
        <f t="shared" si="355"/>
        <v>175.00000000000003</v>
      </c>
      <c r="BS124" s="456">
        <f t="shared" si="356"/>
        <v>1.7773500427752435E-2</v>
      </c>
      <c r="BT124" s="456">
        <f t="shared" si="357"/>
        <v>2.3705129487045489E-2</v>
      </c>
      <c r="BU124" s="456">
        <f t="shared" si="358"/>
        <v>2.4701423822240445</v>
      </c>
      <c r="BV124" s="456"/>
      <c r="BW124" s="456">
        <f t="shared" si="359"/>
        <v>1.5938209451191149E-2</v>
      </c>
      <c r="BX124" s="144">
        <f t="shared" si="360"/>
        <v>2527.5592215900338</v>
      </c>
      <c r="BY124" s="150">
        <f t="shared" si="361"/>
        <v>3.3036933442486225</v>
      </c>
      <c r="BZ124" s="5">
        <f t="shared" si="362"/>
        <v>11.9</v>
      </c>
      <c r="CA124" s="150">
        <f t="shared" si="363"/>
        <v>0.78270455280536344</v>
      </c>
      <c r="CB124" s="5">
        <f t="shared" si="364"/>
        <v>78.270455280536339</v>
      </c>
      <c r="CE124" s="59">
        <f t="shared" si="365"/>
        <v>-50</v>
      </c>
      <c r="CF124">
        <f t="shared" si="366"/>
        <v>-50</v>
      </c>
      <c r="CG124" s="150">
        <f t="shared" si="367"/>
        <v>0.21043190878593984</v>
      </c>
      <c r="CI124" s="147">
        <v>14</v>
      </c>
      <c r="CJ124" s="188">
        <f t="shared" si="428"/>
        <v>7.0000000000000007E-2</v>
      </c>
      <c r="CK124" s="188"/>
      <c r="CL124" s="188">
        <f t="shared" si="368"/>
        <v>11.9</v>
      </c>
      <c r="CM124" s="465">
        <f t="shared" si="369"/>
        <v>9</v>
      </c>
      <c r="CN124" s="379">
        <f t="shared" si="370"/>
        <v>8.5350000000000001</v>
      </c>
      <c r="CO124" s="379">
        <f t="shared" si="371"/>
        <v>17.535</v>
      </c>
      <c r="CP124" s="379"/>
      <c r="CQ124" s="188">
        <f t="shared" si="372"/>
        <v>0.48674080410607357</v>
      </c>
      <c r="CR124" s="149">
        <f t="shared" si="429"/>
        <v>146.41650128314802</v>
      </c>
      <c r="CS124" s="149">
        <f t="shared" si="373"/>
        <v>11.9</v>
      </c>
      <c r="CT124" s="188">
        <f t="shared" si="374"/>
        <v>0.86127353695969422</v>
      </c>
      <c r="CU124" s="188">
        <f t="shared" si="375"/>
        <v>170</v>
      </c>
      <c r="CV124" s="188"/>
      <c r="CW124" s="149">
        <f t="shared" si="376"/>
        <v>4105.7449691889078</v>
      </c>
      <c r="CX124" s="149">
        <f t="shared" si="377"/>
        <v>170</v>
      </c>
      <c r="CY124" s="188">
        <f t="shared" si="378"/>
        <v>5.4329623120484287</v>
      </c>
      <c r="CZ124" s="188">
        <f t="shared" si="379"/>
        <v>0.90549371867473827</v>
      </c>
      <c r="DA124" s="188">
        <f t="shared" si="380"/>
        <v>0.95482641688021597</v>
      </c>
      <c r="DB124" s="172">
        <f t="shared" si="381"/>
        <v>219.03336184773312</v>
      </c>
      <c r="DC124" s="379">
        <f t="shared" si="382"/>
        <v>350</v>
      </c>
      <c r="DE124" s="188">
        <f t="shared" si="383"/>
        <v>13.333333333333334</v>
      </c>
      <c r="DF124" s="150">
        <f t="shared" si="384"/>
        <v>2.3432923257176337</v>
      </c>
      <c r="DG124" s="150">
        <f t="shared" si="385"/>
        <v>0.17108639863130889</v>
      </c>
      <c r="DH124" s="150"/>
      <c r="DI124" s="150">
        <f t="shared" si="386"/>
        <v>2.3432923257176337</v>
      </c>
      <c r="DJ124" s="314">
        <f t="shared" si="387"/>
        <v>89.617499999999978</v>
      </c>
      <c r="DK124" s="456">
        <f t="shared" si="388"/>
        <v>0.17108639863130887</v>
      </c>
      <c r="DM124" s="150">
        <f t="shared" si="389"/>
        <v>6.7468511173731995</v>
      </c>
      <c r="DN124" s="150">
        <f t="shared" si="390"/>
        <v>13.333333333333334</v>
      </c>
      <c r="DO124" s="150">
        <f t="shared" si="391"/>
        <v>1.05121</v>
      </c>
      <c r="DQ124" s="314">
        <f t="shared" si="392"/>
        <v>70</v>
      </c>
      <c r="DR124" s="144">
        <f t="shared" si="393"/>
        <v>89.617499999999978</v>
      </c>
      <c r="DT124">
        <f t="shared" si="430"/>
        <v>70</v>
      </c>
      <c r="DU124">
        <f t="shared" si="431"/>
        <v>89.617499999999978</v>
      </c>
      <c r="DW124" s="5">
        <f t="shared" si="394"/>
        <v>11.158534884369685</v>
      </c>
      <c r="DX124" s="5">
        <f t="shared" si="395"/>
        <v>2.2222222222222223</v>
      </c>
      <c r="DY124" s="5">
        <f t="shared" si="396"/>
        <v>8.9363126621474613</v>
      </c>
      <c r="DZ124" s="5"/>
      <c r="EA124" s="150">
        <f t="shared" si="397"/>
        <v>0.19914999999999997</v>
      </c>
      <c r="EB124" s="150">
        <f t="shared" si="398"/>
        <v>11.949</v>
      </c>
      <c r="EC124" s="150">
        <f t="shared" si="399"/>
        <v>0.26695000000000008</v>
      </c>
      <c r="ED124" s="150">
        <f t="shared" si="400"/>
        <v>44.761191234313529</v>
      </c>
      <c r="EE124" s="144">
        <f t="shared" si="401"/>
        <v>9.1503267973856217E-2</v>
      </c>
      <c r="EF124" s="5">
        <f t="shared" si="402"/>
        <v>19.692985311028661</v>
      </c>
      <c r="EH124" s="150">
        <f t="shared" si="403"/>
        <v>3.4353284386622307</v>
      </c>
      <c r="EI124" s="150">
        <f t="shared" si="404"/>
        <v>0.34444802865518692</v>
      </c>
      <c r="EK124" s="456">
        <f t="shared" si="405"/>
        <v>4.0125037037037029E-2</v>
      </c>
      <c r="EL124" s="456">
        <f t="shared" si="406"/>
        <v>0.63695817359999995</v>
      </c>
      <c r="EM124" s="456">
        <f t="shared" si="407"/>
        <v>2.0522407499999996E-2</v>
      </c>
      <c r="EN124" s="456">
        <f t="shared" si="408"/>
        <v>1.8875346656847185E-2</v>
      </c>
      <c r="EO124">
        <f t="shared" si="409"/>
        <v>4.0499999999999998E-3</v>
      </c>
      <c r="EP124" s="144">
        <f t="shared" si="410"/>
        <v>24.572407499999997</v>
      </c>
      <c r="EQ124" s="144"/>
      <c r="ER124" s="144">
        <f t="shared" si="432"/>
        <v>720.53096479388421</v>
      </c>
      <c r="ES124" s="456">
        <f t="shared" si="411"/>
        <v>0.17500000000000002</v>
      </c>
      <c r="EV124" s="144">
        <f t="shared" si="412"/>
        <v>175.00000000000003</v>
      </c>
      <c r="EW124" s="456">
        <f t="shared" si="413"/>
        <v>1.770222222222222E-2</v>
      </c>
      <c r="EX124" s="456">
        <f t="shared" si="414"/>
        <v>2.3728888888888897E-2</v>
      </c>
      <c r="EY124" s="456">
        <f t="shared" si="415"/>
        <v>2.4677371956314933</v>
      </c>
      <c r="EZ124" s="456"/>
      <c r="FA124" s="456">
        <f t="shared" si="416"/>
        <v>1.5931999999999998E-2</v>
      </c>
      <c r="FB124" s="144">
        <f t="shared" si="417"/>
        <v>2525.1003067426045</v>
      </c>
      <c r="FC124" s="150">
        <f t="shared" si="418"/>
        <v>3.4206312715364886</v>
      </c>
      <c r="FD124" s="5">
        <f t="shared" si="419"/>
        <v>11.9</v>
      </c>
      <c r="FE124" s="150">
        <f t="shared" si="420"/>
        <v>0.77673039635830643</v>
      </c>
      <c r="FF124" s="5">
        <f t="shared" si="421"/>
        <v>77.673039635830648</v>
      </c>
      <c r="FI124" s="59">
        <f t="shared" si="422"/>
        <v>-50</v>
      </c>
      <c r="FJ124">
        <f t="shared" si="423"/>
        <v>-50</v>
      </c>
      <c r="FL124">
        <f t="shared" si="424"/>
        <v>0.21</v>
      </c>
    </row>
    <row r="125" spans="5:168">
      <c r="E125" s="147">
        <v>15</v>
      </c>
      <c r="F125" s="188">
        <f t="shared" si="425"/>
        <v>7.4999999999999997E-2</v>
      </c>
      <c r="G125" s="188"/>
      <c r="H125" s="188">
        <f t="shared" si="315"/>
        <v>12.75</v>
      </c>
      <c r="I125" s="465">
        <f t="shared" si="316"/>
        <v>8.9674003812464669</v>
      </c>
      <c r="J125" s="149">
        <f t="shared" si="317"/>
        <v>8.5383264917095438</v>
      </c>
      <c r="K125" s="149">
        <f t="shared" si="318"/>
        <v>17.505726872956011</v>
      </c>
      <c r="L125" s="379"/>
      <c r="M125" s="188">
        <f t="shared" si="319"/>
        <v>0.48774495674077972</v>
      </c>
      <c r="N125" s="149">
        <f t="shared" si="426"/>
        <v>146.18711942226955</v>
      </c>
      <c r="O125" s="149">
        <f t="shared" si="284"/>
        <v>12.75</v>
      </c>
      <c r="P125" s="188">
        <f t="shared" si="320"/>
        <v>0.85992423189570322</v>
      </c>
      <c r="Q125" s="188">
        <f t="shared" si="321"/>
        <v>170</v>
      </c>
      <c r="R125" s="188"/>
      <c r="S125" s="149">
        <f t="shared" si="322"/>
        <v>3806.1962508714705</v>
      </c>
      <c r="T125" s="149">
        <f t="shared" si="323"/>
        <v>170</v>
      </c>
      <c r="U125" s="188">
        <f t="shared" si="324"/>
        <v>5.8564577147206078</v>
      </c>
      <c r="V125" s="188">
        <f t="shared" si="325"/>
        <v>0.97962466251114821</v>
      </c>
      <c r="W125" s="188">
        <f t="shared" si="326"/>
        <v>1.0288534387400829</v>
      </c>
      <c r="X125" s="172">
        <f t="shared" si="327"/>
        <v>218.6901257874874</v>
      </c>
      <c r="Y125" s="379">
        <f t="shared" si="328"/>
        <v>350</v>
      </c>
      <c r="AA125" s="188">
        <f t="shared" si="329"/>
        <v>13.333333333333334</v>
      </c>
      <c r="AB125" s="150">
        <f t="shared" si="330"/>
        <v>2.3423793900853283</v>
      </c>
      <c r="AC125" s="150">
        <f t="shared" si="331"/>
        <v>0.17075174781992616</v>
      </c>
      <c r="AD125" s="150"/>
      <c r="AE125" s="150">
        <f t="shared" si="332"/>
        <v>2.3423793900853283</v>
      </c>
      <c r="AF125" s="314">
        <f t="shared" si="333"/>
        <v>96.056173031732342</v>
      </c>
      <c r="AG125" s="456">
        <f t="shared" si="334"/>
        <v>0.17075174781992616</v>
      </c>
      <c r="AI125" s="150">
        <f t="shared" si="335"/>
        <v>6.9850151821941742</v>
      </c>
      <c r="AJ125" s="150">
        <f t="shared" si="336"/>
        <v>13.333333333333334</v>
      </c>
      <c r="AK125" s="150">
        <f t="shared" si="337"/>
        <v>1.0548892417324185</v>
      </c>
      <c r="AM125" s="314">
        <f t="shared" si="338"/>
        <v>75</v>
      </c>
      <c r="AN125" s="144">
        <f t="shared" si="339"/>
        <v>96.056173031732342</v>
      </c>
      <c r="AP125" s="144">
        <f t="shared" si="340"/>
        <v>75</v>
      </c>
      <c r="AQ125" s="144">
        <f t="shared" si="341"/>
        <v>96.056173031732342</v>
      </c>
      <c r="AS125" s="5">
        <f t="shared" si="285"/>
        <v>10.410575067045905</v>
      </c>
      <c r="AT125" s="5">
        <f t="shared" si="342"/>
        <v>2.2303007727664328</v>
      </c>
      <c r="AU125" s="5">
        <f t="shared" si="343"/>
        <v>8.1802742942794708</v>
      </c>
      <c r="AV125" s="5"/>
      <c r="AW125" s="150">
        <f t="shared" si="344"/>
        <v>0.21423415694165884</v>
      </c>
      <c r="AX125" s="150">
        <f t="shared" si="214"/>
        <v>12.807489737564316</v>
      </c>
      <c r="AY125" s="150">
        <f t="shared" si="215"/>
        <v>0.26192194768611377</v>
      </c>
      <c r="AZ125" s="150">
        <f t="shared" si="288"/>
        <v>48.898115834541521</v>
      </c>
      <c r="BA125" s="144">
        <f t="shared" si="433"/>
        <v>9.8395622327930837E-2</v>
      </c>
      <c r="BB125" s="5">
        <f t="shared" si="434"/>
        <v>19.384751584971191</v>
      </c>
      <c r="BD125" s="150">
        <f t="shared" si="289"/>
        <v>3.5630545110052134</v>
      </c>
      <c r="BE125" s="150">
        <f t="shared" si="218"/>
        <v>0.34118873739788314</v>
      </c>
      <c r="BG125" s="456">
        <f t="shared" si="347"/>
        <v>4.3164215324541642E-2</v>
      </c>
      <c r="BH125" s="456">
        <f t="shared" si="348"/>
        <v>0.53696957937120116</v>
      </c>
      <c r="BI125" s="456">
        <f t="shared" si="349"/>
        <v>3.9450936650095164E-2</v>
      </c>
      <c r="BJ125" s="456">
        <f t="shared" si="350"/>
        <v>2.0163974890263413E-2</v>
      </c>
      <c r="BK125">
        <f t="shared" si="351"/>
        <v>4.0353301715609097E-3</v>
      </c>
      <c r="BL125" s="144">
        <f t="shared" si="427"/>
        <v>43.486266821656073</v>
      </c>
      <c r="BM125" s="456">
        <f t="shared" si="352"/>
        <v>0.6182932100855435</v>
      </c>
      <c r="BN125" s="144">
        <f t="shared" si="353"/>
        <v>618.29321008554348</v>
      </c>
      <c r="BO125" s="456">
        <f t="shared" si="354"/>
        <v>0.1875</v>
      </c>
      <c r="BR125" s="144">
        <f t="shared" si="355"/>
        <v>187.5</v>
      </c>
      <c r="BS125" s="456">
        <f t="shared" si="356"/>
        <v>1.9043036172591902E-2</v>
      </c>
      <c r="BT125" s="456">
        <f t="shared" si="357"/>
        <v>2.3281950905432332E-2</v>
      </c>
      <c r="BU125" s="456">
        <f t="shared" si="358"/>
        <v>2.9351482771305273</v>
      </c>
      <c r="BV125" s="456"/>
      <c r="BW125" s="456">
        <f t="shared" si="359"/>
        <v>1.7076652983419087E-2</v>
      </c>
      <c r="BX125" s="144">
        <f t="shared" si="360"/>
        <v>2994.549917191971</v>
      </c>
      <c r="BY125" s="150">
        <f t="shared" si="361"/>
        <v>3.8258339535996329</v>
      </c>
      <c r="BZ125" s="5">
        <f t="shared" si="362"/>
        <v>12.75</v>
      </c>
      <c r="CA125" s="150">
        <f t="shared" si="363"/>
        <v>0.76919206814515595</v>
      </c>
      <c r="CB125" s="5">
        <f t="shared" si="364"/>
        <v>76.91920681451559</v>
      </c>
      <c r="CE125" s="59">
        <f t="shared" si="365"/>
        <v>-50</v>
      </c>
      <c r="CF125">
        <f t="shared" si="366"/>
        <v>-50</v>
      </c>
      <c r="CG125" s="150">
        <f t="shared" si="367"/>
        <v>0.22546275941350696</v>
      </c>
      <c r="CI125" s="147">
        <v>15</v>
      </c>
      <c r="CJ125" s="188">
        <f t="shared" si="428"/>
        <v>7.4999999999999997E-2</v>
      </c>
      <c r="CK125" s="188"/>
      <c r="CL125" s="188">
        <f t="shared" si="368"/>
        <v>12.75</v>
      </c>
      <c r="CM125" s="465">
        <f t="shared" si="369"/>
        <v>9</v>
      </c>
      <c r="CN125" s="379">
        <f t="shared" si="370"/>
        <v>8.5350000000000001</v>
      </c>
      <c r="CO125" s="379">
        <f t="shared" si="371"/>
        <v>17.535</v>
      </c>
      <c r="CP125" s="379"/>
      <c r="CQ125" s="188">
        <f t="shared" si="372"/>
        <v>0.48674080410607357</v>
      </c>
      <c r="CR125" s="149">
        <f t="shared" si="429"/>
        <v>146.41650128314802</v>
      </c>
      <c r="CS125" s="149">
        <f t="shared" si="373"/>
        <v>12.75</v>
      </c>
      <c r="CT125" s="188">
        <f t="shared" si="374"/>
        <v>0.86127353695969422</v>
      </c>
      <c r="CU125" s="188">
        <f t="shared" si="375"/>
        <v>170</v>
      </c>
      <c r="CV125" s="188"/>
      <c r="CW125" s="149">
        <f t="shared" si="376"/>
        <v>3820.0329779654144</v>
      </c>
      <c r="CX125" s="149">
        <f t="shared" si="377"/>
        <v>170</v>
      </c>
      <c r="CY125" s="188">
        <f t="shared" si="378"/>
        <v>5.8210310486233157</v>
      </c>
      <c r="CZ125" s="188">
        <f t="shared" si="379"/>
        <v>0.97017184143721924</v>
      </c>
      <c r="DA125" s="188">
        <f t="shared" si="380"/>
        <v>1.023028303800231</v>
      </c>
      <c r="DB125" s="172">
        <f t="shared" si="381"/>
        <v>219.03336184773312</v>
      </c>
      <c r="DC125" s="379">
        <f t="shared" si="382"/>
        <v>350</v>
      </c>
      <c r="DE125" s="188">
        <f t="shared" si="383"/>
        <v>13.333333333333334</v>
      </c>
      <c r="DF125" s="150">
        <f t="shared" si="384"/>
        <v>2.3432923257176337</v>
      </c>
      <c r="DG125" s="150">
        <f t="shared" si="385"/>
        <v>0.17108639863130889</v>
      </c>
      <c r="DH125" s="150"/>
      <c r="DI125" s="150">
        <f t="shared" si="386"/>
        <v>2.3432923257176337</v>
      </c>
      <c r="DJ125" s="314">
        <f t="shared" si="387"/>
        <v>96.018749999999969</v>
      </c>
      <c r="DK125" s="456">
        <f t="shared" si="388"/>
        <v>0.17108639863130887</v>
      </c>
      <c r="DM125" s="150">
        <f t="shared" si="389"/>
        <v>6.9836543851645869</v>
      </c>
      <c r="DN125" s="150">
        <f t="shared" si="390"/>
        <v>13.333333333333334</v>
      </c>
      <c r="DO125" s="150">
        <f t="shared" si="391"/>
        <v>1.0548678571428571</v>
      </c>
      <c r="DQ125" s="314">
        <f t="shared" si="392"/>
        <v>75</v>
      </c>
      <c r="DR125" s="144">
        <f t="shared" si="393"/>
        <v>96.018749999999969</v>
      </c>
      <c r="DT125">
        <f t="shared" si="430"/>
        <v>75</v>
      </c>
      <c r="DU125">
        <f t="shared" si="431"/>
        <v>96.018749999999969</v>
      </c>
      <c r="DW125" s="5">
        <f t="shared" si="394"/>
        <v>10.414632558745041</v>
      </c>
      <c r="DX125" s="5">
        <f t="shared" si="395"/>
        <v>2.2222222222222223</v>
      </c>
      <c r="DY125" s="5">
        <f t="shared" si="396"/>
        <v>8.1924103365228191</v>
      </c>
      <c r="DZ125" s="5"/>
      <c r="EA125" s="150">
        <f t="shared" si="397"/>
        <v>0.21337499999999993</v>
      </c>
      <c r="EB125" s="150">
        <f t="shared" si="398"/>
        <v>12.8025</v>
      </c>
      <c r="EC125" s="150">
        <f t="shared" si="399"/>
        <v>0.26220833333333343</v>
      </c>
      <c r="ED125" s="150">
        <f t="shared" si="400"/>
        <v>48.82567932623548</v>
      </c>
      <c r="EE125" s="144">
        <f t="shared" si="401"/>
        <v>9.8039215686274508E-2</v>
      </c>
      <c r="EF125" s="5">
        <f t="shared" si="402"/>
        <v>19.343191072345544</v>
      </c>
      <c r="EH125" s="150">
        <f t="shared" si="403"/>
        <v>3.5559027608252225</v>
      </c>
      <c r="EI125" s="150">
        <f t="shared" si="404"/>
        <v>0.34137521444451274</v>
      </c>
      <c r="EK125" s="456">
        <f t="shared" si="405"/>
        <v>4.2991111111111098E-2</v>
      </c>
      <c r="EL125" s="456">
        <f t="shared" si="406"/>
        <v>0.68245518599999977</v>
      </c>
      <c r="EM125" s="456">
        <f t="shared" si="407"/>
        <v>2.1988293749999992E-2</v>
      </c>
      <c r="EN125" s="456">
        <f t="shared" si="408"/>
        <v>2.022358570376484E-2</v>
      </c>
      <c r="EO125">
        <f t="shared" si="409"/>
        <v>4.0499999999999998E-3</v>
      </c>
      <c r="EP125" s="144">
        <f t="shared" si="410"/>
        <v>26.03829374999999</v>
      </c>
      <c r="EQ125" s="144"/>
      <c r="ER125" s="144">
        <f t="shared" si="432"/>
        <v>771.70817656487566</v>
      </c>
      <c r="ES125" s="456">
        <f t="shared" si="411"/>
        <v>0.1875</v>
      </c>
      <c r="EV125" s="144">
        <f t="shared" si="412"/>
        <v>187.5</v>
      </c>
      <c r="EW125" s="456">
        <f t="shared" si="413"/>
        <v>1.8966666666666659E-2</v>
      </c>
      <c r="EX125" s="456">
        <f t="shared" si="414"/>
        <v>2.3307407407407416E-2</v>
      </c>
      <c r="EY125" s="456">
        <f t="shared" si="415"/>
        <v>2.9322903126123143</v>
      </c>
      <c r="EZ125" s="456"/>
      <c r="FA125" s="456">
        <f t="shared" si="416"/>
        <v>1.7069999999999998E-2</v>
      </c>
      <c r="FB125" s="144">
        <f t="shared" si="417"/>
        <v>2991.6343866863881</v>
      </c>
      <c r="FC125" s="150">
        <f t="shared" si="418"/>
        <v>3.950842563251264</v>
      </c>
      <c r="FD125" s="5">
        <f t="shared" si="419"/>
        <v>12.75</v>
      </c>
      <c r="FE125" s="150">
        <f t="shared" si="420"/>
        <v>0.76343453641406422</v>
      </c>
      <c r="FF125" s="5">
        <f t="shared" si="421"/>
        <v>76.343453641406427</v>
      </c>
      <c r="FI125" s="59">
        <f t="shared" si="422"/>
        <v>-50</v>
      </c>
      <c r="FJ125">
        <f t="shared" si="423"/>
        <v>-50</v>
      </c>
      <c r="FL125">
        <f t="shared" si="424"/>
        <v>0.22499999999999995</v>
      </c>
    </row>
    <row r="126" spans="5:168">
      <c r="E126" s="147">
        <v>16</v>
      </c>
      <c r="F126" s="188">
        <f t="shared" si="425"/>
        <v>0.08</v>
      </c>
      <c r="G126" s="188"/>
      <c r="H126" s="188">
        <f t="shared" si="315"/>
        <v>13.6</v>
      </c>
      <c r="I126" s="465">
        <f t="shared" si="316"/>
        <v>8.9674003812464669</v>
      </c>
      <c r="J126" s="149">
        <f t="shared" si="317"/>
        <v>8.5383264917095438</v>
      </c>
      <c r="K126" s="149">
        <f t="shared" si="318"/>
        <v>17.505726872956011</v>
      </c>
      <c r="L126" s="379"/>
      <c r="M126" s="188">
        <f t="shared" si="319"/>
        <v>0.48774495674077972</v>
      </c>
      <c r="N126" s="149">
        <f t="shared" si="426"/>
        <v>146.18711942226955</v>
      </c>
      <c r="O126" s="149">
        <f t="shared" si="284"/>
        <v>13.6</v>
      </c>
      <c r="P126" s="188">
        <f t="shared" si="320"/>
        <v>0.85992423189570322</v>
      </c>
      <c r="Q126" s="188">
        <f t="shared" si="321"/>
        <v>170</v>
      </c>
      <c r="R126" s="188"/>
      <c r="S126" s="149">
        <f t="shared" si="322"/>
        <v>3557.1041047178892</v>
      </c>
      <c r="T126" s="149">
        <f t="shared" si="323"/>
        <v>170</v>
      </c>
      <c r="U126" s="188">
        <f t="shared" si="324"/>
        <v>6.2468882290353154</v>
      </c>
      <c r="V126" s="188">
        <f t="shared" si="325"/>
        <v>1.0449329733452248</v>
      </c>
      <c r="W126" s="188">
        <f t="shared" si="326"/>
        <v>1.0974436679894219</v>
      </c>
      <c r="X126" s="172">
        <f t="shared" si="327"/>
        <v>218.6901257874874</v>
      </c>
      <c r="Y126" s="379">
        <f t="shared" si="328"/>
        <v>350</v>
      </c>
      <c r="AA126" s="188">
        <f t="shared" si="329"/>
        <v>13.333333333333334</v>
      </c>
      <c r="AB126" s="150">
        <f t="shared" si="330"/>
        <v>2.3423793900853283</v>
      </c>
      <c r="AC126" s="150">
        <f t="shared" si="331"/>
        <v>0.17075174781992616</v>
      </c>
      <c r="AD126" s="150"/>
      <c r="AE126" s="150">
        <f t="shared" si="332"/>
        <v>2.3423793900853283</v>
      </c>
      <c r="AF126" s="314">
        <f t="shared" si="333"/>
        <v>102.4599179005145</v>
      </c>
      <c r="AG126" s="456">
        <f t="shared" si="334"/>
        <v>0.17075174781992616</v>
      </c>
      <c r="AI126" s="150">
        <f t="shared" si="335"/>
        <v>7.2140926596384007</v>
      </c>
      <c r="AJ126" s="150">
        <f t="shared" si="336"/>
        <v>13.333333333333334</v>
      </c>
      <c r="AK126" s="150">
        <f t="shared" si="337"/>
        <v>1.0585485245145798</v>
      </c>
      <c r="AM126" s="314">
        <f t="shared" si="338"/>
        <v>80</v>
      </c>
      <c r="AN126" s="144">
        <f t="shared" si="339"/>
        <v>102.4599179005145</v>
      </c>
      <c r="AP126" s="144">
        <f t="shared" si="340"/>
        <v>80</v>
      </c>
      <c r="AQ126" s="144">
        <f t="shared" si="341"/>
        <v>102.4599179005145</v>
      </c>
      <c r="AS126" s="5">
        <f t="shared" si="285"/>
        <v>9.7599141253555359</v>
      </c>
      <c r="AT126" s="5">
        <f t="shared" si="342"/>
        <v>2.2303007727664328</v>
      </c>
      <c r="AU126" s="5">
        <f t="shared" si="343"/>
        <v>7.5296133525891031</v>
      </c>
      <c r="AV126" s="5"/>
      <c r="AW126" s="150">
        <f t="shared" si="344"/>
        <v>0.22851643407110275</v>
      </c>
      <c r="AX126" s="150">
        <f t="shared" si="214"/>
        <v>13.66132238673527</v>
      </c>
      <c r="AY126" s="150">
        <f t="shared" si="215"/>
        <v>0.25716118864296578</v>
      </c>
      <c r="AZ126" s="150">
        <f t="shared" si="288"/>
        <v>53.123577701696675</v>
      </c>
      <c r="BA126" s="144">
        <f t="shared" si="433"/>
        <v>0.10495533048312625</v>
      </c>
      <c r="BB126" s="5">
        <f t="shared" si="434"/>
        <v>19.032409476100185</v>
      </c>
      <c r="BD126" s="150">
        <f t="shared" si="289"/>
        <v>3.6799068754006403</v>
      </c>
      <c r="BE126" s="150">
        <f t="shared" si="218"/>
        <v>0.33807375174523074</v>
      </c>
      <c r="BG126" s="456">
        <f t="shared" si="347"/>
        <v>4.6041829679511072E-2</v>
      </c>
      <c r="BH126" s="456">
        <f t="shared" si="348"/>
        <v>0.57276755132928114</v>
      </c>
      <c r="BI126" s="456">
        <f t="shared" si="349"/>
        <v>4.2080999093434837E-2</v>
      </c>
      <c r="BJ126" s="456">
        <f t="shared" si="350"/>
        <v>2.1508239882947637E-2</v>
      </c>
      <c r="BK126">
        <f t="shared" si="351"/>
        <v>4.0353301715609097E-3</v>
      </c>
      <c r="BL126" s="144">
        <f t="shared" si="427"/>
        <v>46.116329264995748</v>
      </c>
      <c r="BM126" s="456">
        <f t="shared" si="352"/>
        <v>0.65996866770740159</v>
      </c>
      <c r="BN126" s="144">
        <f t="shared" si="353"/>
        <v>659.96866770740155</v>
      </c>
      <c r="BO126" s="456">
        <f t="shared" si="354"/>
        <v>0.2</v>
      </c>
      <c r="BR126" s="144">
        <f t="shared" si="355"/>
        <v>200</v>
      </c>
      <c r="BS126" s="456">
        <f t="shared" si="356"/>
        <v>2.0312571917431358E-2</v>
      </c>
      <c r="BT126" s="456">
        <f t="shared" si="357"/>
        <v>2.2858772323819183E-2</v>
      </c>
      <c r="BU126" s="456">
        <f t="shared" si="358"/>
        <v>3.4490687779198055</v>
      </c>
      <c r="BV126" s="456"/>
      <c r="BW126" s="456">
        <f t="shared" si="359"/>
        <v>1.8215096515647025E-2</v>
      </c>
      <c r="BX126" s="144">
        <f t="shared" si="360"/>
        <v>3510.4552186767032</v>
      </c>
      <c r="BY126" s="150">
        <f t="shared" si="361"/>
        <v>4.3968891688334386</v>
      </c>
      <c r="BZ126" s="5">
        <f t="shared" si="362"/>
        <v>13.6</v>
      </c>
      <c r="CA126" s="150">
        <f t="shared" si="363"/>
        <v>0.75568615622482915</v>
      </c>
      <c r="CB126" s="5">
        <f t="shared" si="364"/>
        <v>75.568615622482909</v>
      </c>
      <c r="CE126" s="59">
        <f t="shared" si="365"/>
        <v>-50</v>
      </c>
      <c r="CF126">
        <f t="shared" si="366"/>
        <v>-50</v>
      </c>
      <c r="CG126" s="150">
        <f t="shared" si="367"/>
        <v>0.24049361004107409</v>
      </c>
      <c r="CI126" s="147">
        <v>16</v>
      </c>
      <c r="CJ126" s="188">
        <f t="shared" si="428"/>
        <v>0.08</v>
      </c>
      <c r="CK126" s="188"/>
      <c r="CL126" s="188">
        <f t="shared" si="368"/>
        <v>13.6</v>
      </c>
      <c r="CM126" s="465">
        <f t="shared" si="369"/>
        <v>9</v>
      </c>
      <c r="CN126" s="379">
        <f t="shared" si="370"/>
        <v>8.5350000000000001</v>
      </c>
      <c r="CO126" s="379">
        <f t="shared" si="371"/>
        <v>17.535</v>
      </c>
      <c r="CP126" s="379"/>
      <c r="CQ126" s="188">
        <f t="shared" si="372"/>
        <v>0.48674080410607357</v>
      </c>
      <c r="CR126" s="149">
        <f t="shared" si="429"/>
        <v>146.41650128314802</v>
      </c>
      <c r="CS126" s="149">
        <f t="shared" si="373"/>
        <v>13.6</v>
      </c>
      <c r="CT126" s="188">
        <f t="shared" si="374"/>
        <v>0.86127353695969422</v>
      </c>
      <c r="CU126" s="188">
        <f t="shared" si="375"/>
        <v>170</v>
      </c>
      <c r="CV126" s="188"/>
      <c r="CW126" s="149">
        <f t="shared" si="376"/>
        <v>3570.0352868498726</v>
      </c>
      <c r="CX126" s="149">
        <f t="shared" si="377"/>
        <v>170</v>
      </c>
      <c r="CY126" s="188">
        <f t="shared" si="378"/>
        <v>6.2090997851982035</v>
      </c>
      <c r="CZ126" s="188">
        <f t="shared" si="379"/>
        <v>1.0348499641997004</v>
      </c>
      <c r="DA126" s="188">
        <f t="shared" si="380"/>
        <v>1.0912301907202466</v>
      </c>
      <c r="DB126" s="172">
        <f t="shared" si="381"/>
        <v>219.03336184773312</v>
      </c>
      <c r="DC126" s="379">
        <f t="shared" si="382"/>
        <v>350</v>
      </c>
      <c r="DE126" s="188">
        <f t="shared" si="383"/>
        <v>13.333333333333334</v>
      </c>
      <c r="DF126" s="150">
        <f t="shared" si="384"/>
        <v>2.3432923257176337</v>
      </c>
      <c r="DG126" s="150">
        <f t="shared" si="385"/>
        <v>0.17108639863130889</v>
      </c>
      <c r="DH126" s="150"/>
      <c r="DI126" s="150">
        <f t="shared" si="386"/>
        <v>2.3432923257176337</v>
      </c>
      <c r="DJ126" s="314">
        <f t="shared" si="387"/>
        <v>102.41999999999997</v>
      </c>
      <c r="DK126" s="456">
        <f t="shared" si="388"/>
        <v>0.17108639863130887</v>
      </c>
      <c r="DM126" s="150">
        <f t="shared" si="389"/>
        <v>7.2126872345095583</v>
      </c>
      <c r="DN126" s="150">
        <f t="shared" si="390"/>
        <v>13.333333333333334</v>
      </c>
      <c r="DO126" s="150">
        <f t="shared" si="391"/>
        <v>1.0585257142857143</v>
      </c>
      <c r="DQ126" s="314">
        <f t="shared" si="392"/>
        <v>80</v>
      </c>
      <c r="DR126" s="144">
        <f t="shared" si="393"/>
        <v>102.41999999999997</v>
      </c>
      <c r="DT126">
        <f t="shared" si="430"/>
        <v>80</v>
      </c>
      <c r="DU126">
        <f t="shared" si="431"/>
        <v>102.41999999999997</v>
      </c>
      <c r="DW126" s="5">
        <f t="shared" si="394"/>
        <v>9.7637180238234738</v>
      </c>
      <c r="DX126" s="5">
        <f t="shared" si="395"/>
        <v>2.2222222222222223</v>
      </c>
      <c r="DY126" s="5">
        <f t="shared" si="396"/>
        <v>7.5414958016012514</v>
      </c>
      <c r="DZ126" s="5"/>
      <c r="EA126" s="150">
        <f t="shared" si="397"/>
        <v>0.22759999999999997</v>
      </c>
      <c r="EB126" s="150">
        <f t="shared" si="398"/>
        <v>13.656000000000001</v>
      </c>
      <c r="EC126" s="150">
        <f t="shared" si="399"/>
        <v>0.25746666666666668</v>
      </c>
      <c r="ED126" s="150">
        <f t="shared" si="400"/>
        <v>53.039875712066284</v>
      </c>
      <c r="EE126" s="144">
        <f t="shared" si="401"/>
        <v>0.10457516339869281</v>
      </c>
      <c r="EF126" s="5">
        <f t="shared" si="402"/>
        <v>18.993396833662405</v>
      </c>
      <c r="EH126" s="150">
        <f t="shared" si="403"/>
        <v>3.6725205795757505</v>
      </c>
      <c r="EI126" s="150">
        <f t="shared" si="404"/>
        <v>0.33827448858823167</v>
      </c>
      <c r="EK126" s="456">
        <f t="shared" si="405"/>
        <v>4.5857185185185181E-2</v>
      </c>
      <c r="EL126" s="456">
        <f t="shared" si="406"/>
        <v>0.72795219839999992</v>
      </c>
      <c r="EM126" s="456">
        <f t="shared" si="407"/>
        <v>2.3454179999999995E-2</v>
      </c>
      <c r="EN126" s="456">
        <f t="shared" si="408"/>
        <v>2.1571824750682495E-2</v>
      </c>
      <c r="EO126">
        <f t="shared" si="409"/>
        <v>4.0499999999999998E-3</v>
      </c>
      <c r="EP126" s="144">
        <f t="shared" si="410"/>
        <v>27.504179999999995</v>
      </c>
      <c r="EQ126" s="144"/>
      <c r="ER126" s="144">
        <f t="shared" si="432"/>
        <v>822.88538833586767</v>
      </c>
      <c r="ES126" s="456">
        <f t="shared" si="411"/>
        <v>0.2</v>
      </c>
      <c r="EV126" s="144">
        <f t="shared" si="412"/>
        <v>200</v>
      </c>
      <c r="EW126" s="456">
        <f t="shared" si="413"/>
        <v>2.0231111111111109E-2</v>
      </c>
      <c r="EX126" s="456">
        <f t="shared" si="414"/>
        <v>2.2885925925925935E-2</v>
      </c>
      <c r="EY126" s="456">
        <f t="shared" si="415"/>
        <v>3.4457104071468629</v>
      </c>
      <c r="EZ126" s="456"/>
      <c r="FA126" s="456">
        <f t="shared" si="416"/>
        <v>1.8207999999999998E-2</v>
      </c>
      <c r="FB126" s="144">
        <f t="shared" si="417"/>
        <v>3507.0354441838999</v>
      </c>
      <c r="FC126" s="150">
        <f t="shared" si="418"/>
        <v>4.5299208325197675</v>
      </c>
      <c r="FD126" s="5">
        <f t="shared" si="419"/>
        <v>13.6</v>
      </c>
      <c r="FE126" s="150">
        <f t="shared" si="420"/>
        <v>0.75014116860375835</v>
      </c>
      <c r="FF126" s="5">
        <f t="shared" si="421"/>
        <v>75.014116860375836</v>
      </c>
      <c r="FI126" s="59">
        <f t="shared" si="422"/>
        <v>-50</v>
      </c>
      <c r="FJ126">
        <f t="shared" si="423"/>
        <v>-50</v>
      </c>
      <c r="FL126">
        <f t="shared" si="424"/>
        <v>0.23999999999999994</v>
      </c>
    </row>
    <row r="127" spans="5:168">
      <c r="E127" s="147">
        <v>17</v>
      </c>
      <c r="F127" s="188">
        <f t="shared" si="425"/>
        <v>8.5000000000000006E-2</v>
      </c>
      <c r="G127" s="188"/>
      <c r="H127" s="188">
        <f t="shared" si="315"/>
        <v>14.450000000000001</v>
      </c>
      <c r="I127" s="465">
        <f t="shared" si="316"/>
        <v>8.9674003812464669</v>
      </c>
      <c r="J127" s="149">
        <f t="shared" si="317"/>
        <v>8.5383264917095438</v>
      </c>
      <c r="K127" s="149">
        <f t="shared" si="318"/>
        <v>17.505726872956011</v>
      </c>
      <c r="L127" s="379"/>
      <c r="M127" s="188">
        <f t="shared" si="319"/>
        <v>0.48774495674077972</v>
      </c>
      <c r="N127" s="149">
        <f t="shared" si="426"/>
        <v>146.18711942226955</v>
      </c>
      <c r="O127" s="149">
        <f t="shared" si="284"/>
        <v>14.450000000000001</v>
      </c>
      <c r="P127" s="188">
        <f t="shared" si="320"/>
        <v>0.85992423189570322</v>
      </c>
      <c r="Q127" s="188">
        <f t="shared" si="321"/>
        <v>170</v>
      </c>
      <c r="R127" s="188"/>
      <c r="S127" s="149">
        <f t="shared" si="322"/>
        <v>3337.3172030970527</v>
      </c>
      <c r="T127" s="149">
        <f t="shared" si="323"/>
        <v>170</v>
      </c>
      <c r="U127" s="188">
        <f t="shared" si="324"/>
        <v>6.6373187433500229</v>
      </c>
      <c r="V127" s="188">
        <f t="shared" si="325"/>
        <v>1.1102412841793015</v>
      </c>
      <c r="W127" s="188">
        <f t="shared" si="326"/>
        <v>1.1660338972387607</v>
      </c>
      <c r="X127" s="172">
        <f t="shared" si="327"/>
        <v>218.6901257874874</v>
      </c>
      <c r="Y127" s="379">
        <f t="shared" si="328"/>
        <v>350</v>
      </c>
      <c r="AA127" s="188">
        <f t="shared" si="329"/>
        <v>13.333333333333334</v>
      </c>
      <c r="AB127" s="150">
        <f t="shared" si="330"/>
        <v>2.3423793900853283</v>
      </c>
      <c r="AC127" s="150">
        <f t="shared" si="331"/>
        <v>0.17075174781992616</v>
      </c>
      <c r="AD127" s="150"/>
      <c r="AE127" s="150">
        <f t="shared" si="332"/>
        <v>2.3423793900853283</v>
      </c>
      <c r="AF127" s="314">
        <f t="shared" si="333"/>
        <v>108.86366276929665</v>
      </c>
      <c r="AG127" s="456">
        <f t="shared" si="334"/>
        <v>0.17075174781992616</v>
      </c>
      <c r="AI127" s="150">
        <f t="shared" si="335"/>
        <v>7.4361165071705404</v>
      </c>
      <c r="AJ127" s="150">
        <f t="shared" si="336"/>
        <v>13.333333333333334</v>
      </c>
      <c r="AK127" s="150">
        <f t="shared" si="337"/>
        <v>1.0622078072967409</v>
      </c>
      <c r="AM127" s="314">
        <f t="shared" si="338"/>
        <v>85</v>
      </c>
      <c r="AN127" s="144">
        <f t="shared" si="339"/>
        <v>108.86366276929665</v>
      </c>
      <c r="AP127" s="144">
        <f t="shared" si="340"/>
        <v>85</v>
      </c>
      <c r="AQ127" s="144">
        <f t="shared" si="341"/>
        <v>108.86366276929665</v>
      </c>
      <c r="AS127" s="5">
        <f t="shared" si="285"/>
        <v>9.1858015297463886</v>
      </c>
      <c r="AT127" s="5">
        <f t="shared" si="342"/>
        <v>2.2303007727664328</v>
      </c>
      <c r="AU127" s="5">
        <f t="shared" si="343"/>
        <v>6.9555007569799558</v>
      </c>
      <c r="AV127" s="5"/>
      <c r="AW127" s="150">
        <f t="shared" si="344"/>
        <v>0.24279871120054664</v>
      </c>
      <c r="AX127" s="150">
        <f t="shared" si="214"/>
        <v>14.515155035906224</v>
      </c>
      <c r="AY127" s="150">
        <f t="shared" si="215"/>
        <v>0.25240042959981784</v>
      </c>
      <c r="AZ127" s="150">
        <f t="shared" si="288"/>
        <v>57.508440294337355</v>
      </c>
      <c r="BA127" s="144">
        <f t="shared" si="433"/>
        <v>0.11151503863832164</v>
      </c>
      <c r="BB127" s="5">
        <f t="shared" si="434"/>
        <v>18.680067367229174</v>
      </c>
      <c r="BD127" s="150">
        <f t="shared" si="289"/>
        <v>3.7931611849283717</v>
      </c>
      <c r="BE127" s="150">
        <f t="shared" si="218"/>
        <v>0.33492979669033651</v>
      </c>
      <c r="BG127" s="456">
        <f t="shared" si="347"/>
        <v>4.8919444034480508E-2</v>
      </c>
      <c r="BH127" s="456">
        <f t="shared" si="348"/>
        <v>0.60856552328736113</v>
      </c>
      <c r="BI127" s="456">
        <f t="shared" si="349"/>
        <v>4.4711061536774517E-2</v>
      </c>
      <c r="BJ127" s="456">
        <f t="shared" si="350"/>
        <v>2.2852504875631865E-2</v>
      </c>
      <c r="BK127">
        <f t="shared" si="351"/>
        <v>4.0353301715609097E-3</v>
      </c>
      <c r="BL127" s="144">
        <f t="shared" si="427"/>
        <v>48.746391708335423</v>
      </c>
      <c r="BM127" s="456">
        <f t="shared" si="352"/>
        <v>0.70170178429981289</v>
      </c>
      <c r="BN127" s="144">
        <f t="shared" si="353"/>
        <v>701.70178429981286</v>
      </c>
      <c r="BO127" s="456">
        <f t="shared" si="354"/>
        <v>0.21250000000000002</v>
      </c>
      <c r="BR127" s="144">
        <f t="shared" si="355"/>
        <v>212.50000000000003</v>
      </c>
      <c r="BS127" s="456">
        <f t="shared" si="356"/>
        <v>2.1582107662270814E-2</v>
      </c>
      <c r="BT127" s="456">
        <f t="shared" si="357"/>
        <v>2.2435593742206033E-2</v>
      </c>
      <c r="BU127" s="456">
        <f t="shared" si="358"/>
        <v>4.0135086335154222</v>
      </c>
      <c r="BV127" s="456"/>
      <c r="BW127" s="456">
        <f t="shared" si="359"/>
        <v>1.9353540047874967E-2</v>
      </c>
      <c r="BX127" s="144">
        <f t="shared" si="360"/>
        <v>4076.8798749677735</v>
      </c>
      <c r="BY127" s="150">
        <f t="shared" si="361"/>
        <v>5.0184637388735824</v>
      </c>
      <c r="BZ127" s="5">
        <f t="shared" si="362"/>
        <v>14.450000000000001</v>
      </c>
      <c r="CA127" s="150">
        <f t="shared" si="363"/>
        <v>0.74222600169252262</v>
      </c>
      <c r="CB127" s="5">
        <f t="shared" si="364"/>
        <v>74.22260016925226</v>
      </c>
      <c r="CE127" s="59">
        <f t="shared" si="365"/>
        <v>-50</v>
      </c>
      <c r="CF127">
        <f t="shared" si="366"/>
        <v>-50</v>
      </c>
      <c r="CG127" s="150">
        <f t="shared" si="367"/>
        <v>0.25552446066864126</v>
      </c>
      <c r="CI127" s="147">
        <v>17</v>
      </c>
      <c r="CJ127" s="188">
        <f t="shared" si="428"/>
        <v>8.5000000000000006E-2</v>
      </c>
      <c r="CK127" s="188"/>
      <c r="CL127" s="188">
        <f t="shared" si="368"/>
        <v>14.450000000000001</v>
      </c>
      <c r="CM127" s="465">
        <f t="shared" si="369"/>
        <v>9</v>
      </c>
      <c r="CN127" s="379">
        <f t="shared" si="370"/>
        <v>8.5350000000000001</v>
      </c>
      <c r="CO127" s="379">
        <f t="shared" si="371"/>
        <v>17.535</v>
      </c>
      <c r="CP127" s="379"/>
      <c r="CQ127" s="188">
        <f t="shared" si="372"/>
        <v>0.48674080410607357</v>
      </c>
      <c r="CR127" s="149">
        <f t="shared" si="429"/>
        <v>146.41650128314802</v>
      </c>
      <c r="CS127" s="149">
        <f t="shared" si="373"/>
        <v>14.450000000000001</v>
      </c>
      <c r="CT127" s="188">
        <f t="shared" si="374"/>
        <v>0.86127353695969422</v>
      </c>
      <c r="CU127" s="188">
        <f t="shared" si="375"/>
        <v>170</v>
      </c>
      <c r="CV127" s="188"/>
      <c r="CW127" s="149">
        <f t="shared" si="376"/>
        <v>3349.4493749691569</v>
      </c>
      <c r="CX127" s="149">
        <f t="shared" si="377"/>
        <v>170</v>
      </c>
      <c r="CY127" s="188">
        <f t="shared" si="378"/>
        <v>6.5971685217730922</v>
      </c>
      <c r="CZ127" s="188">
        <f t="shared" si="379"/>
        <v>1.099528086962182</v>
      </c>
      <c r="DA127" s="188">
        <f t="shared" si="380"/>
        <v>1.1594320776402622</v>
      </c>
      <c r="DB127" s="172">
        <f t="shared" si="381"/>
        <v>219.03336184773312</v>
      </c>
      <c r="DC127" s="379">
        <f t="shared" si="382"/>
        <v>350</v>
      </c>
      <c r="DE127" s="188">
        <f t="shared" si="383"/>
        <v>13.333333333333334</v>
      </c>
      <c r="DF127" s="150">
        <f t="shared" si="384"/>
        <v>2.3432923257176337</v>
      </c>
      <c r="DG127" s="150">
        <f t="shared" si="385"/>
        <v>0.17108639863130889</v>
      </c>
      <c r="DH127" s="150"/>
      <c r="DI127" s="150">
        <f t="shared" si="386"/>
        <v>2.3432923257176337</v>
      </c>
      <c r="DJ127" s="314">
        <f t="shared" si="387"/>
        <v>108.82124999999998</v>
      </c>
      <c r="DK127" s="456">
        <f t="shared" si="388"/>
        <v>0.17108639863130887</v>
      </c>
      <c r="DM127" s="150">
        <f t="shared" si="389"/>
        <v>7.4346678281067611</v>
      </c>
      <c r="DN127" s="150">
        <f t="shared" si="390"/>
        <v>13.333333333333334</v>
      </c>
      <c r="DO127" s="150">
        <f t="shared" si="391"/>
        <v>1.0621835714285714</v>
      </c>
      <c r="DQ127" s="314">
        <f t="shared" si="392"/>
        <v>85</v>
      </c>
      <c r="DR127" s="144">
        <f t="shared" si="393"/>
        <v>108.82124999999998</v>
      </c>
      <c r="DT127">
        <f t="shared" si="430"/>
        <v>85</v>
      </c>
      <c r="DU127">
        <f t="shared" si="431"/>
        <v>108.82124999999998</v>
      </c>
      <c r="DW127" s="5">
        <f t="shared" si="394"/>
        <v>9.1893816694809161</v>
      </c>
      <c r="DX127" s="5">
        <f t="shared" si="395"/>
        <v>2.2222222222222223</v>
      </c>
      <c r="DY127" s="5">
        <f t="shared" si="396"/>
        <v>6.9671594472586937</v>
      </c>
      <c r="DZ127" s="5"/>
      <c r="EA127" s="150">
        <f t="shared" si="397"/>
        <v>0.24182499999999998</v>
      </c>
      <c r="EB127" s="150">
        <f t="shared" si="398"/>
        <v>14.509499999999999</v>
      </c>
      <c r="EC127" s="150">
        <f t="shared" si="399"/>
        <v>0.25272500000000003</v>
      </c>
      <c r="ED127" s="150">
        <f t="shared" si="400"/>
        <v>57.412206944307044</v>
      </c>
      <c r="EE127" s="144">
        <f t="shared" si="401"/>
        <v>0.11111111111111113</v>
      </c>
      <c r="EF127" s="5">
        <f t="shared" si="402"/>
        <v>18.643602594979278</v>
      </c>
      <c r="EH127" s="150">
        <f t="shared" si="403"/>
        <v>3.7855475654613522</v>
      </c>
      <c r="EI127" s="150">
        <f t="shared" si="404"/>
        <v>0.33514507638069552</v>
      </c>
      <c r="EK127" s="456">
        <f t="shared" si="405"/>
        <v>4.8723259259259258E-2</v>
      </c>
      <c r="EL127" s="456">
        <f t="shared" si="406"/>
        <v>0.77344921079999995</v>
      </c>
      <c r="EM127" s="456">
        <f t="shared" si="407"/>
        <v>2.4920066249999994E-2</v>
      </c>
      <c r="EN127" s="456">
        <f t="shared" si="408"/>
        <v>2.292006379760015E-2</v>
      </c>
      <c r="EO127">
        <f t="shared" si="409"/>
        <v>4.0499999999999998E-3</v>
      </c>
      <c r="EP127" s="144">
        <f t="shared" si="410"/>
        <v>28.970066249999995</v>
      </c>
      <c r="EQ127" s="144"/>
      <c r="ER127" s="144">
        <f t="shared" si="432"/>
        <v>874.06260010685935</v>
      </c>
      <c r="ES127" s="456">
        <f t="shared" si="411"/>
        <v>0.21250000000000002</v>
      </c>
      <c r="EV127" s="144">
        <f t="shared" si="412"/>
        <v>212.50000000000003</v>
      </c>
      <c r="EW127" s="456">
        <f t="shared" si="413"/>
        <v>2.1495555555555556E-2</v>
      </c>
      <c r="EX127" s="456">
        <f t="shared" si="414"/>
        <v>2.2464444444444447E-2</v>
      </c>
      <c r="EY127" s="456">
        <f t="shared" si="415"/>
        <v>4.0096006656088399</v>
      </c>
      <c r="EZ127" s="456"/>
      <c r="FA127" s="456">
        <f t="shared" si="416"/>
        <v>1.9346000000000002E-2</v>
      </c>
      <c r="FB127" s="144">
        <f t="shared" si="417"/>
        <v>4072.9066656088398</v>
      </c>
      <c r="FC127" s="150">
        <f t="shared" si="418"/>
        <v>5.1594692657156989</v>
      </c>
      <c r="FD127" s="5">
        <f t="shared" si="419"/>
        <v>14.450000000000001</v>
      </c>
      <c r="FE127" s="150">
        <f t="shared" si="420"/>
        <v>0.73688888792435203</v>
      </c>
      <c r="FF127" s="5">
        <f t="shared" si="421"/>
        <v>73.688888792435208</v>
      </c>
      <c r="FI127" s="59">
        <f t="shared" si="422"/>
        <v>-50</v>
      </c>
      <c r="FJ127">
        <f t="shared" si="423"/>
        <v>-50</v>
      </c>
      <c r="FL127">
        <f t="shared" si="424"/>
        <v>0.25499999999999995</v>
      </c>
    </row>
    <row r="128" spans="5:168">
      <c r="E128" s="147">
        <v>18</v>
      </c>
      <c r="F128" s="188">
        <f t="shared" si="425"/>
        <v>0.09</v>
      </c>
      <c r="G128" s="188"/>
      <c r="H128" s="188">
        <f t="shared" si="315"/>
        <v>15.299999999999999</v>
      </c>
      <c r="I128" s="465">
        <f t="shared" si="316"/>
        <v>8.9674003812464669</v>
      </c>
      <c r="J128" s="149">
        <f t="shared" si="317"/>
        <v>8.5383264917095438</v>
      </c>
      <c r="K128" s="149">
        <f t="shared" si="318"/>
        <v>17.505726872956011</v>
      </c>
      <c r="L128" s="379"/>
      <c r="M128" s="188">
        <f t="shared" si="319"/>
        <v>0.48774495674077972</v>
      </c>
      <c r="N128" s="149">
        <f t="shared" si="426"/>
        <v>146.18711942226955</v>
      </c>
      <c r="O128" s="149">
        <f t="shared" si="284"/>
        <v>15.299999999999999</v>
      </c>
      <c r="P128" s="188">
        <f t="shared" si="320"/>
        <v>0.85992423189570322</v>
      </c>
      <c r="Q128" s="188">
        <f t="shared" si="321"/>
        <v>170</v>
      </c>
      <c r="R128" s="188"/>
      <c r="S128" s="149">
        <f t="shared" si="322"/>
        <v>3141.9513411452431</v>
      </c>
      <c r="T128" s="149">
        <f t="shared" si="323"/>
        <v>170</v>
      </c>
      <c r="U128" s="188">
        <f t="shared" si="324"/>
        <v>7.0277492576647296</v>
      </c>
      <c r="V128" s="188">
        <f t="shared" si="325"/>
        <v>1.1755495950133781</v>
      </c>
      <c r="W128" s="188">
        <f t="shared" si="326"/>
        <v>1.2346241264880997</v>
      </c>
      <c r="X128" s="172">
        <f t="shared" si="327"/>
        <v>218.6901257874874</v>
      </c>
      <c r="Y128" s="379">
        <f t="shared" si="328"/>
        <v>350</v>
      </c>
      <c r="AA128" s="188">
        <f t="shared" si="329"/>
        <v>13.333333333333334</v>
      </c>
      <c r="AB128" s="150">
        <f t="shared" si="330"/>
        <v>2.3423793900853283</v>
      </c>
      <c r="AC128" s="150">
        <f t="shared" si="331"/>
        <v>0.17075174781992616</v>
      </c>
      <c r="AD128" s="150"/>
      <c r="AE128" s="150">
        <f t="shared" si="332"/>
        <v>2.3423793900853283</v>
      </c>
      <c r="AF128" s="314">
        <f t="shared" si="333"/>
        <v>115.26740763807881</v>
      </c>
      <c r="AG128" s="456">
        <f t="shared" si="334"/>
        <v>0.17075174781992616</v>
      </c>
      <c r="AI128" s="150">
        <f t="shared" si="335"/>
        <v>7.6517007596076132</v>
      </c>
      <c r="AJ128" s="150">
        <f t="shared" si="336"/>
        <v>13.333333333333334</v>
      </c>
      <c r="AK128" s="150">
        <f t="shared" si="337"/>
        <v>1.0658670900789022</v>
      </c>
      <c r="AM128" s="314">
        <f t="shared" si="338"/>
        <v>90</v>
      </c>
      <c r="AN128" s="144">
        <f t="shared" si="339"/>
        <v>115.26740763807881</v>
      </c>
      <c r="AP128" s="144">
        <f t="shared" si="340"/>
        <v>90</v>
      </c>
      <c r="AQ128" s="144">
        <f t="shared" si="341"/>
        <v>115.26740763807881</v>
      </c>
      <c r="AS128" s="5">
        <f t="shared" si="285"/>
        <v>8.6754792225382555</v>
      </c>
      <c r="AT128" s="5">
        <f t="shared" si="342"/>
        <v>2.2303007727664328</v>
      </c>
      <c r="AU128" s="5">
        <f t="shared" si="343"/>
        <v>6.4451784497718227</v>
      </c>
      <c r="AV128" s="5"/>
      <c r="AW128" s="150">
        <f t="shared" si="344"/>
        <v>0.25708098832999055</v>
      </c>
      <c r="AX128" s="150">
        <f t="shared" si="214"/>
        <v>15.368987685077178</v>
      </c>
      <c r="AY128" s="150">
        <f t="shared" si="215"/>
        <v>0.24763967055666986</v>
      </c>
      <c r="AZ128" s="150">
        <f t="shared" si="288"/>
        <v>62.061896829894785</v>
      </c>
      <c r="BA128" s="144">
        <f t="shared" si="433"/>
        <v>0.11807474679351704</v>
      </c>
      <c r="BB128" s="5">
        <f t="shared" si="434"/>
        <v>18.327725258358157</v>
      </c>
      <c r="BD128" s="150">
        <f t="shared" si="289"/>
        <v>3.9031306585961887</v>
      </c>
      <c r="BE128" s="150">
        <f t="shared" si="218"/>
        <v>0.33175604863056285</v>
      </c>
      <c r="BG128" s="456">
        <f t="shared" si="347"/>
        <v>5.1797058389449951E-2</v>
      </c>
      <c r="BH128" s="456">
        <f t="shared" si="348"/>
        <v>0.64436349524544123</v>
      </c>
      <c r="BI128" s="456">
        <f t="shared" si="349"/>
        <v>4.7341123980114183E-2</v>
      </c>
      <c r="BJ128" s="456">
        <f t="shared" si="350"/>
        <v>2.4196769868316093E-2</v>
      </c>
      <c r="BK128">
        <f t="shared" si="351"/>
        <v>4.0353301715609097E-3</v>
      </c>
      <c r="BL128" s="144">
        <f t="shared" si="427"/>
        <v>51.376454151675091</v>
      </c>
      <c r="BM128" s="456">
        <f t="shared" si="352"/>
        <v>0.74349267960441212</v>
      </c>
      <c r="BN128" s="144">
        <f t="shared" si="353"/>
        <v>743.49267960441216</v>
      </c>
      <c r="BO128" s="456">
        <f t="shared" si="354"/>
        <v>0.22499999999999998</v>
      </c>
      <c r="BR128" s="144">
        <f t="shared" si="355"/>
        <v>224.99999999999997</v>
      </c>
      <c r="BS128" s="456">
        <f t="shared" si="356"/>
        <v>2.2851643407110277E-2</v>
      </c>
      <c r="BT128" s="456">
        <f t="shared" si="357"/>
        <v>2.201241516059288E-2</v>
      </c>
      <c r="BU128" s="456">
        <f t="shared" si="358"/>
        <v>4.6300231324996295</v>
      </c>
      <c r="BV128" s="456"/>
      <c r="BW128" s="456">
        <f t="shared" si="359"/>
        <v>2.0491983580102905E-2</v>
      </c>
      <c r="BX128" s="144">
        <f t="shared" si="360"/>
        <v>4695.3791746474353</v>
      </c>
      <c r="BY128" s="150">
        <f t="shared" si="361"/>
        <v>5.6921129523023177</v>
      </c>
      <c r="BZ128" s="5">
        <f t="shared" si="362"/>
        <v>15.299999999999999</v>
      </c>
      <c r="CA128" s="150">
        <f t="shared" si="363"/>
        <v>0.72884516364618579</v>
      </c>
      <c r="CB128" s="5">
        <f t="shared" si="364"/>
        <v>72.884516364618577</v>
      </c>
      <c r="CE128" s="59">
        <f t="shared" si="365"/>
        <v>-50</v>
      </c>
      <c r="CF128">
        <f t="shared" si="366"/>
        <v>-50</v>
      </c>
      <c r="CG128" s="150">
        <f t="shared" si="367"/>
        <v>0.27055531129620836</v>
      </c>
      <c r="CI128" s="147">
        <v>18</v>
      </c>
      <c r="CJ128" s="188">
        <f t="shared" si="428"/>
        <v>0.09</v>
      </c>
      <c r="CK128" s="188"/>
      <c r="CL128" s="188">
        <f t="shared" si="368"/>
        <v>15.299999999999999</v>
      </c>
      <c r="CM128" s="465">
        <f t="shared" si="369"/>
        <v>9</v>
      </c>
      <c r="CN128" s="379">
        <f t="shared" si="370"/>
        <v>8.5350000000000001</v>
      </c>
      <c r="CO128" s="379">
        <f t="shared" si="371"/>
        <v>17.535</v>
      </c>
      <c r="CP128" s="379"/>
      <c r="CQ128" s="188">
        <f t="shared" si="372"/>
        <v>0.48674080410607357</v>
      </c>
      <c r="CR128" s="149">
        <f t="shared" si="429"/>
        <v>146.41650128314802</v>
      </c>
      <c r="CS128" s="149">
        <f t="shared" si="373"/>
        <v>15.299999999999999</v>
      </c>
      <c r="CT128" s="188">
        <f t="shared" si="374"/>
        <v>0.86127353695969422</v>
      </c>
      <c r="CU128" s="188">
        <f t="shared" si="375"/>
        <v>170</v>
      </c>
      <c r="CV128" s="188"/>
      <c r="CW128" s="149">
        <f t="shared" si="376"/>
        <v>3153.3732816759211</v>
      </c>
      <c r="CX128" s="149">
        <f t="shared" si="377"/>
        <v>170</v>
      </c>
      <c r="CY128" s="188">
        <f t="shared" si="378"/>
        <v>6.9852372583479783</v>
      </c>
      <c r="CZ128" s="188">
        <f t="shared" si="379"/>
        <v>1.164206209724663</v>
      </c>
      <c r="DA128" s="188">
        <f t="shared" si="380"/>
        <v>1.2276339645602774</v>
      </c>
      <c r="DB128" s="172">
        <f t="shared" si="381"/>
        <v>219.03336184773312</v>
      </c>
      <c r="DC128" s="379">
        <f t="shared" si="382"/>
        <v>350</v>
      </c>
      <c r="DE128" s="188">
        <f t="shared" si="383"/>
        <v>13.333333333333334</v>
      </c>
      <c r="DF128" s="150">
        <f t="shared" si="384"/>
        <v>2.3432923257176337</v>
      </c>
      <c r="DG128" s="150">
        <f t="shared" si="385"/>
        <v>0.17108639863130889</v>
      </c>
      <c r="DH128" s="150"/>
      <c r="DI128" s="150">
        <f t="shared" si="386"/>
        <v>2.3432923257176337</v>
      </c>
      <c r="DJ128" s="314">
        <f t="shared" si="387"/>
        <v>115.22249999999997</v>
      </c>
      <c r="DK128" s="456">
        <f t="shared" si="388"/>
        <v>0.17108639863130887</v>
      </c>
      <c r="DM128" s="150">
        <f t="shared" si="389"/>
        <v>7.6502100811490319</v>
      </c>
      <c r="DN128" s="150">
        <f t="shared" si="390"/>
        <v>13.333333333333334</v>
      </c>
      <c r="DO128" s="150">
        <f t="shared" si="391"/>
        <v>1.0658414285714286</v>
      </c>
      <c r="DQ128" s="314">
        <f t="shared" si="392"/>
        <v>90</v>
      </c>
      <c r="DR128" s="144">
        <f t="shared" si="393"/>
        <v>115.22249999999997</v>
      </c>
      <c r="DT128">
        <f t="shared" si="430"/>
        <v>90</v>
      </c>
      <c r="DU128">
        <f t="shared" si="431"/>
        <v>115.22249999999997</v>
      </c>
      <c r="DW128" s="5">
        <f t="shared" si="394"/>
        <v>8.6788604656208665</v>
      </c>
      <c r="DX128" s="5">
        <f t="shared" si="395"/>
        <v>2.2222222222222223</v>
      </c>
      <c r="DY128" s="5">
        <f t="shared" si="396"/>
        <v>6.4566382433986442</v>
      </c>
      <c r="DZ128" s="5"/>
      <c r="EA128" s="150">
        <f t="shared" si="397"/>
        <v>0.25604999999999994</v>
      </c>
      <c r="EB128" s="150">
        <f t="shared" si="398"/>
        <v>15.363</v>
      </c>
      <c r="EC128" s="150">
        <f t="shared" si="399"/>
        <v>0.24798333333333339</v>
      </c>
      <c r="ED128" s="150">
        <f t="shared" si="400"/>
        <v>61.95174406882181</v>
      </c>
      <c r="EE128" s="144">
        <f t="shared" si="401"/>
        <v>0.11764705882352941</v>
      </c>
      <c r="EF128" s="5">
        <f t="shared" si="402"/>
        <v>18.293808356296154</v>
      </c>
      <c r="EH128" s="150">
        <f t="shared" si="403"/>
        <v>3.8952963087977444</v>
      </c>
      <c r="EI128" s="150">
        <f t="shared" si="404"/>
        <v>0.33198616660158425</v>
      </c>
      <c r="EK128" s="456">
        <f t="shared" si="405"/>
        <v>5.1589333333333327E-2</v>
      </c>
      <c r="EL128" s="456">
        <f t="shared" si="406"/>
        <v>0.81894622319999988</v>
      </c>
      <c r="EM128" s="456">
        <f t="shared" si="407"/>
        <v>2.638595249999999E-2</v>
      </c>
      <c r="EN128" s="456">
        <f t="shared" si="408"/>
        <v>2.4268302844517805E-2</v>
      </c>
      <c r="EO128">
        <f t="shared" si="409"/>
        <v>4.0499999999999998E-3</v>
      </c>
      <c r="EP128" s="144">
        <f t="shared" si="410"/>
        <v>30.435952499999988</v>
      </c>
      <c r="EQ128" s="144"/>
      <c r="ER128" s="144">
        <f t="shared" si="432"/>
        <v>925.23981187785103</v>
      </c>
      <c r="ES128" s="456">
        <f t="shared" si="411"/>
        <v>0.22499999999999998</v>
      </c>
      <c r="EV128" s="144">
        <f t="shared" si="412"/>
        <v>224.99999999999997</v>
      </c>
      <c r="EW128" s="456">
        <f t="shared" si="413"/>
        <v>2.2759999999999999E-2</v>
      </c>
      <c r="EX128" s="456">
        <f t="shared" si="414"/>
        <v>2.2042962962962973E-2</v>
      </c>
      <c r="EY128" s="456">
        <f t="shared" si="415"/>
        <v>4.625514862190335</v>
      </c>
      <c r="EZ128" s="456"/>
      <c r="FA128" s="456">
        <f t="shared" si="416"/>
        <v>2.0483999999999999E-2</v>
      </c>
      <c r="FB128" s="144">
        <f t="shared" si="417"/>
        <v>4690.8018251532985</v>
      </c>
      <c r="FC128" s="150">
        <f t="shared" si="418"/>
        <v>5.8410416370311484</v>
      </c>
      <c r="FD128" s="5">
        <f t="shared" si="419"/>
        <v>15.299999999999999</v>
      </c>
      <c r="FE128" s="150">
        <f t="shared" si="420"/>
        <v>0.72371079262244853</v>
      </c>
      <c r="FF128" s="5">
        <f t="shared" si="421"/>
        <v>72.371079262244848</v>
      </c>
      <c r="FI128" s="59">
        <f t="shared" si="422"/>
        <v>-50</v>
      </c>
      <c r="FJ128">
        <f t="shared" si="423"/>
        <v>-50</v>
      </c>
      <c r="FL128">
        <f t="shared" si="424"/>
        <v>0.26999999999999996</v>
      </c>
    </row>
    <row r="129" spans="5:168">
      <c r="E129" s="147">
        <v>19</v>
      </c>
      <c r="F129" s="188">
        <f t="shared" si="425"/>
        <v>9.5000000000000001E-2</v>
      </c>
      <c r="G129" s="188"/>
      <c r="H129" s="188">
        <f t="shared" si="315"/>
        <v>16.149999999999999</v>
      </c>
      <c r="I129" s="465">
        <f t="shared" si="316"/>
        <v>8.9674003812464669</v>
      </c>
      <c r="J129" s="149">
        <f t="shared" si="317"/>
        <v>8.5383264917095438</v>
      </c>
      <c r="K129" s="149">
        <f t="shared" si="318"/>
        <v>17.505726872956011</v>
      </c>
      <c r="L129" s="379"/>
      <c r="M129" s="188">
        <f t="shared" si="319"/>
        <v>0.48774495674077972</v>
      </c>
      <c r="N129" s="149">
        <f t="shared" si="426"/>
        <v>146.18711942226955</v>
      </c>
      <c r="O129" s="149">
        <f t="shared" si="284"/>
        <v>16.149999999999999</v>
      </c>
      <c r="P129" s="188">
        <f t="shared" si="320"/>
        <v>0.85992423189570322</v>
      </c>
      <c r="Q129" s="188">
        <f t="shared" si="321"/>
        <v>170</v>
      </c>
      <c r="R129" s="188"/>
      <c r="S129" s="149">
        <f t="shared" si="322"/>
        <v>2967.1505676848124</v>
      </c>
      <c r="T129" s="149">
        <f t="shared" si="323"/>
        <v>170</v>
      </c>
      <c r="U129" s="188">
        <f t="shared" si="324"/>
        <v>7.4181797719794362</v>
      </c>
      <c r="V129" s="188">
        <f t="shared" si="325"/>
        <v>1.2408579058474545</v>
      </c>
      <c r="W129" s="188">
        <f t="shared" si="326"/>
        <v>1.3032143557374383</v>
      </c>
      <c r="X129" s="172">
        <f t="shared" si="327"/>
        <v>218.6901257874874</v>
      </c>
      <c r="Y129" s="379">
        <f t="shared" si="328"/>
        <v>350</v>
      </c>
      <c r="AA129" s="188">
        <f t="shared" si="329"/>
        <v>13.333333333333334</v>
      </c>
      <c r="AB129" s="150">
        <f t="shared" si="330"/>
        <v>2.3423793900853283</v>
      </c>
      <c r="AC129" s="150">
        <f t="shared" si="331"/>
        <v>0.17075174781992616</v>
      </c>
      <c r="AD129" s="150"/>
      <c r="AE129" s="150">
        <f t="shared" si="332"/>
        <v>2.3423793900853283</v>
      </c>
      <c r="AF129" s="314">
        <f t="shared" si="333"/>
        <v>121.67115250686096</v>
      </c>
      <c r="AG129" s="456">
        <f t="shared" si="334"/>
        <v>0.17075174781992616</v>
      </c>
      <c r="AI129" s="150">
        <f t="shared" si="335"/>
        <v>7.8613752181755876</v>
      </c>
      <c r="AJ129" s="150">
        <f t="shared" si="336"/>
        <v>13.333333333333334</v>
      </c>
      <c r="AK129" s="150">
        <f t="shared" si="337"/>
        <v>1.0695263728610633</v>
      </c>
      <c r="AM129" s="314">
        <f t="shared" si="338"/>
        <v>95</v>
      </c>
      <c r="AN129" s="144">
        <f t="shared" si="339"/>
        <v>121.67115250686096</v>
      </c>
      <c r="AP129" s="144">
        <f t="shared" si="340"/>
        <v>95</v>
      </c>
      <c r="AQ129" s="144">
        <f t="shared" si="341"/>
        <v>121.67115250686096</v>
      </c>
      <c r="AS129" s="5">
        <f t="shared" si="285"/>
        <v>8.2188750529309775</v>
      </c>
      <c r="AT129" s="5">
        <f t="shared" si="342"/>
        <v>2.2303007727664328</v>
      </c>
      <c r="AU129" s="5">
        <f t="shared" si="343"/>
        <v>5.9885742801645447</v>
      </c>
      <c r="AV129" s="5"/>
      <c r="AW129" s="150">
        <f t="shared" si="344"/>
        <v>0.27136326545943451</v>
      </c>
      <c r="AX129" s="150">
        <f t="shared" si="214"/>
        <v>16.22282033424813</v>
      </c>
      <c r="AY129" s="150">
        <f t="shared" si="215"/>
        <v>0.24287891151352187</v>
      </c>
      <c r="AZ129" s="150">
        <f t="shared" si="288"/>
        <v>66.79386132437007</v>
      </c>
      <c r="BA129" s="144">
        <f t="shared" si="433"/>
        <v>0.12463445494871242</v>
      </c>
      <c r="BB129" s="5">
        <f t="shared" si="434"/>
        <v>17.97538314948714</v>
      </c>
      <c r="BD129" s="150">
        <f t="shared" si="289"/>
        <v>4.0100855478779787</v>
      </c>
      <c r="BE129" s="150">
        <f t="shared" si="218"/>
        <v>0.32855164418230903</v>
      </c>
      <c r="BG129" s="456">
        <f t="shared" si="347"/>
        <v>5.4674672744419416E-2</v>
      </c>
      <c r="BH129" s="456">
        <f t="shared" si="348"/>
        <v>0.68016146720352133</v>
      </c>
      <c r="BI129" s="456">
        <f t="shared" si="349"/>
        <v>4.9971186423453863E-2</v>
      </c>
      <c r="BJ129" s="456">
        <f t="shared" si="350"/>
        <v>2.5541034861000317E-2</v>
      </c>
      <c r="BK129">
        <f t="shared" si="351"/>
        <v>4.0353301715609097E-3</v>
      </c>
      <c r="BL129" s="144">
        <f t="shared" si="427"/>
        <v>54.006516595014773</v>
      </c>
      <c r="BM129" s="456">
        <f t="shared" si="352"/>
        <v>0.78534147369462359</v>
      </c>
      <c r="BN129" s="144">
        <f t="shared" si="353"/>
        <v>785.34147369462357</v>
      </c>
      <c r="BO129" s="456">
        <f t="shared" si="354"/>
        <v>0.23749999999999999</v>
      </c>
      <c r="BR129" s="144">
        <f t="shared" si="355"/>
        <v>237.5</v>
      </c>
      <c r="BS129" s="456">
        <f t="shared" si="356"/>
        <v>2.4121179151949744E-2</v>
      </c>
      <c r="BT129" s="456">
        <f t="shared" si="357"/>
        <v>2.1589236578979723E-2</v>
      </c>
      <c r="BU129" s="456">
        <f t="shared" si="358"/>
        <v>5.3001224151082376</v>
      </c>
      <c r="BV129" s="456"/>
      <c r="BW129" s="456">
        <f t="shared" si="359"/>
        <v>2.1630427112330843E-2</v>
      </c>
      <c r="BX129" s="144">
        <f t="shared" si="360"/>
        <v>5367.4632579514973</v>
      </c>
      <c r="BY129" s="150">
        <f t="shared" si="361"/>
        <v>6.4193469493554529</v>
      </c>
      <c r="BZ129" s="5">
        <f t="shared" si="362"/>
        <v>16.149999999999999</v>
      </c>
      <c r="CA129" s="150">
        <f t="shared" si="363"/>
        <v>0.71557232188595599</v>
      </c>
      <c r="CB129" s="5">
        <f t="shared" si="364"/>
        <v>71.557232188595606</v>
      </c>
      <c r="CE129" s="59">
        <f t="shared" si="365"/>
        <v>-50</v>
      </c>
      <c r="CF129">
        <f t="shared" si="366"/>
        <v>-50</v>
      </c>
      <c r="CG129" s="150">
        <f t="shared" si="367"/>
        <v>0.28558616192377545</v>
      </c>
      <c r="CI129" s="147">
        <v>19</v>
      </c>
      <c r="CJ129" s="188">
        <f t="shared" si="428"/>
        <v>9.5000000000000001E-2</v>
      </c>
      <c r="CK129" s="188"/>
      <c r="CL129" s="188">
        <f t="shared" si="368"/>
        <v>16.149999999999999</v>
      </c>
      <c r="CM129" s="465">
        <f t="shared" si="369"/>
        <v>9</v>
      </c>
      <c r="CN129" s="379">
        <f t="shared" si="370"/>
        <v>8.5350000000000001</v>
      </c>
      <c r="CO129" s="379">
        <f t="shared" si="371"/>
        <v>17.535</v>
      </c>
      <c r="CP129" s="379"/>
      <c r="CQ129" s="188">
        <f t="shared" si="372"/>
        <v>0.48674080410607357</v>
      </c>
      <c r="CR129" s="149">
        <f t="shared" si="429"/>
        <v>146.41650128314802</v>
      </c>
      <c r="CS129" s="149">
        <f t="shared" si="373"/>
        <v>16.149999999999999</v>
      </c>
      <c r="CT129" s="188">
        <f t="shared" si="374"/>
        <v>0.86127353695969422</v>
      </c>
      <c r="CU129" s="188">
        <f t="shared" si="375"/>
        <v>170</v>
      </c>
      <c r="CV129" s="188"/>
      <c r="CW129" s="149">
        <f t="shared" si="376"/>
        <v>2977.9370380686028</v>
      </c>
      <c r="CX129" s="149">
        <f t="shared" si="377"/>
        <v>170</v>
      </c>
      <c r="CY129" s="188">
        <f t="shared" si="378"/>
        <v>7.3733059949228661</v>
      </c>
      <c r="CZ129" s="188">
        <f t="shared" si="379"/>
        <v>1.2288843324871443</v>
      </c>
      <c r="DA129" s="188">
        <f t="shared" si="380"/>
        <v>1.295835851480293</v>
      </c>
      <c r="DB129" s="172">
        <f t="shared" si="381"/>
        <v>219.03336184773312</v>
      </c>
      <c r="DC129" s="379">
        <f t="shared" si="382"/>
        <v>350</v>
      </c>
      <c r="DE129" s="188">
        <f t="shared" si="383"/>
        <v>13.333333333333334</v>
      </c>
      <c r="DF129" s="150">
        <f t="shared" si="384"/>
        <v>2.3432923257176337</v>
      </c>
      <c r="DG129" s="150">
        <f t="shared" si="385"/>
        <v>0.17108639863130889</v>
      </c>
      <c r="DH129" s="150"/>
      <c r="DI129" s="150">
        <f t="shared" si="386"/>
        <v>2.3432923257176337</v>
      </c>
      <c r="DJ129" s="314">
        <f t="shared" si="387"/>
        <v>121.62374999999997</v>
      </c>
      <c r="DK129" s="456">
        <f t="shared" si="388"/>
        <v>0.17108639863130887</v>
      </c>
      <c r="DM129" s="150">
        <f t="shared" si="389"/>
        <v>7.8598436916482539</v>
      </c>
      <c r="DN129" s="150">
        <f t="shared" si="390"/>
        <v>13.333333333333334</v>
      </c>
      <c r="DO129" s="150">
        <f t="shared" si="391"/>
        <v>1.0694992857142858</v>
      </c>
      <c r="DQ129" s="314">
        <f t="shared" si="392"/>
        <v>95</v>
      </c>
      <c r="DR129" s="144">
        <f t="shared" si="393"/>
        <v>121.62374999999997</v>
      </c>
      <c r="DT129">
        <f t="shared" si="430"/>
        <v>95</v>
      </c>
      <c r="DU129">
        <f t="shared" si="431"/>
        <v>121.62374999999997</v>
      </c>
      <c r="DW129" s="5">
        <f t="shared" si="394"/>
        <v>8.2220783358513483</v>
      </c>
      <c r="DX129" s="5">
        <f t="shared" si="395"/>
        <v>2.2222222222222223</v>
      </c>
      <c r="DY129" s="5">
        <f t="shared" si="396"/>
        <v>5.999856113629126</v>
      </c>
      <c r="DZ129" s="5"/>
      <c r="EA129" s="150">
        <f t="shared" si="397"/>
        <v>0.27027499999999988</v>
      </c>
      <c r="EB129" s="150">
        <f t="shared" si="398"/>
        <v>16.216500000000003</v>
      </c>
      <c r="EC129" s="150">
        <f t="shared" si="399"/>
        <v>0.24324166666666674</v>
      </c>
      <c r="ED129" s="150">
        <f t="shared" si="400"/>
        <v>66.668265442461191</v>
      </c>
      <c r="EE129" s="144">
        <f t="shared" si="401"/>
        <v>0.12418300653594772</v>
      </c>
      <c r="EF129" s="5">
        <f t="shared" si="402"/>
        <v>17.94401411761303</v>
      </c>
      <c r="EH129" s="150">
        <f t="shared" si="403"/>
        <v>4.00203651861103</v>
      </c>
      <c r="EI129" s="150">
        <f t="shared" si="404"/>
        <v>0.32879690905999626</v>
      </c>
      <c r="EK129" s="456">
        <f t="shared" si="405"/>
        <v>5.445540740740739E-2</v>
      </c>
      <c r="EL129" s="456">
        <f t="shared" si="406"/>
        <v>0.8644432355999998</v>
      </c>
      <c r="EM129" s="456">
        <f t="shared" si="407"/>
        <v>2.7851838749999993E-2</v>
      </c>
      <c r="EN129" s="456">
        <f t="shared" si="408"/>
        <v>2.5616541891435463E-2</v>
      </c>
      <c r="EO129">
        <f t="shared" si="409"/>
        <v>4.0499999999999998E-3</v>
      </c>
      <c r="EP129" s="144">
        <f t="shared" si="410"/>
        <v>31.901838749999996</v>
      </c>
      <c r="EQ129" s="144"/>
      <c r="ER129" s="144">
        <f t="shared" si="432"/>
        <v>976.41702364884259</v>
      </c>
      <c r="ES129" s="456">
        <f t="shared" si="411"/>
        <v>0.23749999999999999</v>
      </c>
      <c r="EV129" s="144">
        <f t="shared" si="412"/>
        <v>237.5</v>
      </c>
      <c r="EW129" s="456">
        <f t="shared" si="413"/>
        <v>2.4024444444444439E-2</v>
      </c>
      <c r="EX129" s="456">
        <f t="shared" si="414"/>
        <v>2.1621481481481492E-2</v>
      </c>
      <c r="EY129" s="456">
        <f t="shared" si="415"/>
        <v>5.2949616666981534</v>
      </c>
      <c r="EZ129" s="456"/>
      <c r="FA129" s="456">
        <f t="shared" si="416"/>
        <v>2.1622000000000002E-2</v>
      </c>
      <c r="FB129" s="144">
        <f t="shared" si="417"/>
        <v>5362.2295926240786</v>
      </c>
      <c r="FC129" s="150">
        <f t="shared" si="418"/>
        <v>6.5761466162729212</v>
      </c>
      <c r="FD129" s="5">
        <f t="shared" si="419"/>
        <v>16.149999999999999</v>
      </c>
      <c r="FE129" s="150">
        <f t="shared" si="420"/>
        <v>0.71063521118163908</v>
      </c>
      <c r="FF129" s="5">
        <f t="shared" si="421"/>
        <v>71.063521118163905</v>
      </c>
      <c r="FI129" s="59">
        <f t="shared" si="422"/>
        <v>-50</v>
      </c>
      <c r="FJ129">
        <f t="shared" si="423"/>
        <v>-50</v>
      </c>
      <c r="FL129">
        <f t="shared" si="424"/>
        <v>0.28499999999999998</v>
      </c>
    </row>
    <row r="130" spans="5:168">
      <c r="E130" s="147">
        <v>20</v>
      </c>
      <c r="F130" s="188">
        <f t="shared" si="425"/>
        <v>0.1</v>
      </c>
      <c r="G130" s="188"/>
      <c r="H130" s="188">
        <f t="shared" si="315"/>
        <v>17</v>
      </c>
      <c r="I130" s="465">
        <f t="shared" si="316"/>
        <v>8.9674003812464669</v>
      </c>
      <c r="J130" s="149">
        <f t="shared" si="317"/>
        <v>8.5383264917095438</v>
      </c>
      <c r="K130" s="149">
        <f t="shared" si="318"/>
        <v>17.505726872956011</v>
      </c>
      <c r="L130" s="379"/>
      <c r="M130" s="188">
        <f t="shared" si="319"/>
        <v>0.48774495674077972</v>
      </c>
      <c r="N130" s="149">
        <f t="shared" si="426"/>
        <v>146.18711942226955</v>
      </c>
      <c r="O130" s="149">
        <f t="shared" si="284"/>
        <v>17</v>
      </c>
      <c r="P130" s="188">
        <f t="shared" si="320"/>
        <v>0.85992423189570322</v>
      </c>
      <c r="Q130" s="188">
        <f t="shared" si="321"/>
        <v>170</v>
      </c>
      <c r="R130" s="188"/>
      <c r="S130" s="149">
        <f t="shared" si="322"/>
        <v>2809.8301218031288</v>
      </c>
      <c r="T130" s="149">
        <f t="shared" si="323"/>
        <v>170</v>
      </c>
      <c r="U130" s="188">
        <f t="shared" si="324"/>
        <v>7.8086102862941438</v>
      </c>
      <c r="V130" s="188">
        <f t="shared" si="325"/>
        <v>1.3061662166815309</v>
      </c>
      <c r="W130" s="188">
        <f t="shared" si="326"/>
        <v>1.371804584986777</v>
      </c>
      <c r="X130" s="172">
        <f t="shared" si="327"/>
        <v>218.6901257874874</v>
      </c>
      <c r="Y130" s="379">
        <f t="shared" si="328"/>
        <v>347.46704150727237</v>
      </c>
      <c r="AA130" s="188">
        <f t="shared" si="329"/>
        <v>13.333333333333334</v>
      </c>
      <c r="AB130" s="150">
        <f t="shared" si="330"/>
        <v>2.3423793900853283</v>
      </c>
      <c r="AC130" s="150">
        <f t="shared" si="331"/>
        <v>0.17075174781992616</v>
      </c>
      <c r="AD130" s="150"/>
      <c r="AE130" s="150">
        <f t="shared" si="332"/>
        <v>2.3423793900853283</v>
      </c>
      <c r="AF130" s="314">
        <f t="shared" si="333"/>
        <v>128.07489737564313</v>
      </c>
      <c r="AG130" s="456">
        <f t="shared" si="334"/>
        <v>0.17075174781992616</v>
      </c>
      <c r="AI130" s="150">
        <f t="shared" si="335"/>
        <v>8.0656007914668582</v>
      </c>
      <c r="AJ130" s="150">
        <f t="shared" si="336"/>
        <v>13.333333333333334</v>
      </c>
      <c r="AK130" s="150">
        <f t="shared" si="337"/>
        <v>1.0731856556432247</v>
      </c>
      <c r="AM130" s="314">
        <f t="shared" si="338"/>
        <v>100</v>
      </c>
      <c r="AN130" s="144">
        <f t="shared" si="339"/>
        <v>128.07489737564313</v>
      </c>
      <c r="AP130" s="144">
        <f t="shared" si="340"/>
        <v>100</v>
      </c>
      <c r="AQ130" s="144">
        <f t="shared" si="341"/>
        <v>128.07489737564313</v>
      </c>
      <c r="AS130" s="5">
        <f t="shared" si="285"/>
        <v>7.8079313002844284</v>
      </c>
      <c r="AT130" s="5">
        <f t="shared" si="342"/>
        <v>2.2303007727664328</v>
      </c>
      <c r="AU130" s="5">
        <f t="shared" si="343"/>
        <v>5.5776305275179956</v>
      </c>
      <c r="AV130" s="5"/>
      <c r="AW130" s="150">
        <f t="shared" si="344"/>
        <v>0.28564554258887848</v>
      </c>
      <c r="AX130" s="150">
        <f t="shared" si="214"/>
        <v>17.076652983419088</v>
      </c>
      <c r="AY130" s="150">
        <f t="shared" si="215"/>
        <v>0.23811815247037388</v>
      </c>
      <c r="AZ130" s="150">
        <f t="shared" si="288"/>
        <v>71.715040647914179</v>
      </c>
      <c r="BA130" s="144">
        <f t="shared" si="433"/>
        <v>0.13119416310390783</v>
      </c>
      <c r="BB130" s="5">
        <f t="shared" si="434"/>
        <v>17.623041040616126</v>
      </c>
      <c r="BD130" s="150">
        <f t="shared" si="289"/>
        <v>4.1142609621323407</v>
      </c>
      <c r="BE130" s="150">
        <f t="shared" si="218"/>
        <v>0.3253156774378278</v>
      </c>
      <c r="BG130" s="456">
        <f t="shared" si="347"/>
        <v>5.7552287099388852E-2</v>
      </c>
      <c r="BH130" s="456">
        <f t="shared" si="348"/>
        <v>0.71595943916160154</v>
      </c>
      <c r="BI130" s="456">
        <f t="shared" si="349"/>
        <v>5.260124886679355E-2</v>
      </c>
      <c r="BJ130" s="456">
        <f t="shared" si="350"/>
        <v>2.6885299853684552E-2</v>
      </c>
      <c r="BK130">
        <f t="shared" si="351"/>
        <v>4.0353301715609097E-3</v>
      </c>
      <c r="BL130" s="144">
        <f t="shared" si="427"/>
        <v>56.636579038354455</v>
      </c>
      <c r="BM130" s="456">
        <f t="shared" si="352"/>
        <v>0.82724828697681119</v>
      </c>
      <c r="BN130" s="144">
        <f t="shared" si="353"/>
        <v>827.24828697681119</v>
      </c>
      <c r="BO130" s="456">
        <f t="shared" si="354"/>
        <v>0.25</v>
      </c>
      <c r="BR130" s="144">
        <f t="shared" si="355"/>
        <v>250</v>
      </c>
      <c r="BS130" s="456">
        <f t="shared" si="356"/>
        <v>2.53907148967892E-2</v>
      </c>
      <c r="BT130" s="456">
        <f t="shared" si="357"/>
        <v>2.1166057997366566E-2</v>
      </c>
      <c r="BU130" s="456">
        <f t="shared" si="358"/>
        <v>6.0252751925787562</v>
      </c>
      <c r="BV130" s="456"/>
      <c r="BW130" s="456">
        <f t="shared" si="359"/>
        <v>2.2768870644558785E-2</v>
      </c>
      <c r="BX130" s="144">
        <f t="shared" si="360"/>
        <v>6094.60083611747</v>
      </c>
      <c r="BY130" s="150">
        <f t="shared" si="361"/>
        <v>7.2016344412704996</v>
      </c>
      <c r="BZ130" s="5">
        <f t="shared" si="362"/>
        <v>17</v>
      </c>
      <c r="CA130" s="150">
        <f t="shared" si="363"/>
        <v>0.70243189736848044</v>
      </c>
      <c r="CB130" s="5">
        <f t="shared" si="364"/>
        <v>70.243189736848038</v>
      </c>
      <c r="CE130" s="59">
        <f t="shared" si="365"/>
        <v>-50</v>
      </c>
      <c r="CF130">
        <f t="shared" si="366"/>
        <v>-50</v>
      </c>
      <c r="CG130" s="150">
        <f t="shared" si="367"/>
        <v>0.3006170125513426</v>
      </c>
      <c r="CI130" s="147">
        <v>20</v>
      </c>
      <c r="CJ130" s="188">
        <f t="shared" si="428"/>
        <v>0.1</v>
      </c>
      <c r="CK130" s="188"/>
      <c r="CL130" s="188">
        <f t="shared" si="368"/>
        <v>17</v>
      </c>
      <c r="CM130" s="465">
        <f t="shared" si="369"/>
        <v>9</v>
      </c>
      <c r="CN130" s="379">
        <f t="shared" si="370"/>
        <v>8.5350000000000001</v>
      </c>
      <c r="CO130" s="379">
        <f t="shared" si="371"/>
        <v>17.535</v>
      </c>
      <c r="CP130" s="379"/>
      <c r="CQ130" s="188">
        <f t="shared" si="372"/>
        <v>0.48674080410607357</v>
      </c>
      <c r="CR130" s="149">
        <f t="shared" si="429"/>
        <v>146.41650128314802</v>
      </c>
      <c r="CS130" s="149">
        <f t="shared" si="373"/>
        <v>17</v>
      </c>
      <c r="CT130" s="188">
        <f t="shared" si="374"/>
        <v>0.86127353695969422</v>
      </c>
      <c r="CU130" s="188">
        <f t="shared" si="375"/>
        <v>170</v>
      </c>
      <c r="CV130" s="188"/>
      <c r="CW130" s="149">
        <f t="shared" si="376"/>
        <v>2820.0446690554386</v>
      </c>
      <c r="CX130" s="149">
        <f t="shared" si="377"/>
        <v>170</v>
      </c>
      <c r="CY130" s="188">
        <f t="shared" si="378"/>
        <v>7.7613747314977548</v>
      </c>
      <c r="CZ130" s="188">
        <f t="shared" si="379"/>
        <v>1.2935624552496257</v>
      </c>
      <c r="DA130" s="188">
        <f t="shared" si="380"/>
        <v>1.3640377384003082</v>
      </c>
      <c r="DB130" s="172">
        <f t="shared" si="381"/>
        <v>219.03336184773312</v>
      </c>
      <c r="DC130" s="379">
        <f t="shared" si="382"/>
        <v>350</v>
      </c>
      <c r="DE130" s="188">
        <f t="shared" si="383"/>
        <v>13.333333333333334</v>
      </c>
      <c r="DF130" s="150">
        <f t="shared" si="384"/>
        <v>2.3432923257176337</v>
      </c>
      <c r="DG130" s="150">
        <f t="shared" si="385"/>
        <v>0.17108639863130889</v>
      </c>
      <c r="DH130" s="150"/>
      <c r="DI130" s="150">
        <f t="shared" si="386"/>
        <v>2.3432923257176337</v>
      </c>
      <c r="DJ130" s="314">
        <f t="shared" si="387"/>
        <v>128.02499999999998</v>
      </c>
      <c r="DK130" s="456">
        <f t="shared" si="388"/>
        <v>0.17108639863130887</v>
      </c>
      <c r="DM130" s="150">
        <f t="shared" si="389"/>
        <v>8.0640294784041693</v>
      </c>
      <c r="DN130" s="150">
        <f t="shared" si="390"/>
        <v>13.333333333333334</v>
      </c>
      <c r="DO130" s="150">
        <f t="shared" si="391"/>
        <v>1.0731571428571429</v>
      </c>
      <c r="DQ130" s="314">
        <f t="shared" si="392"/>
        <v>100</v>
      </c>
      <c r="DR130" s="144">
        <f t="shared" si="393"/>
        <v>128.02499999999998</v>
      </c>
      <c r="DT130">
        <f t="shared" si="430"/>
        <v>100</v>
      </c>
      <c r="DU130">
        <f t="shared" si="431"/>
        <v>128.02499999999998</v>
      </c>
      <c r="DW130" s="5">
        <f t="shared" si="394"/>
        <v>7.8109744190587787</v>
      </c>
      <c r="DX130" s="5">
        <f t="shared" si="395"/>
        <v>2.2222222222222223</v>
      </c>
      <c r="DY130" s="5">
        <f t="shared" si="396"/>
        <v>5.5887521968365563</v>
      </c>
      <c r="DZ130" s="5"/>
      <c r="EA130" s="150">
        <f t="shared" si="397"/>
        <v>0.28449999999999998</v>
      </c>
      <c r="EB130" s="150">
        <f t="shared" si="398"/>
        <v>17.07</v>
      </c>
      <c r="EC130" s="150">
        <f t="shared" si="399"/>
        <v>0.23850000000000005</v>
      </c>
      <c r="ED130" s="150">
        <f t="shared" si="400"/>
        <v>71.572327044025144</v>
      </c>
      <c r="EE130" s="144">
        <f t="shared" si="401"/>
        <v>0.13071895424836602</v>
      </c>
      <c r="EF130" s="5">
        <f t="shared" si="402"/>
        <v>17.594219878929895</v>
      </c>
      <c r="EH130" s="150">
        <f t="shared" si="403"/>
        <v>4.1060028323491524</v>
      </c>
      <c r="EI130" s="150">
        <f t="shared" si="404"/>
        <v>0.32557641192199421</v>
      </c>
      <c r="EK130" s="456">
        <f t="shared" si="405"/>
        <v>5.7321481481481487E-2</v>
      </c>
      <c r="EL130" s="456">
        <f t="shared" si="406"/>
        <v>0.90994024799999995</v>
      </c>
      <c r="EM130" s="456">
        <f t="shared" si="407"/>
        <v>2.9317724999999992E-2</v>
      </c>
      <c r="EN130" s="456">
        <f t="shared" si="408"/>
        <v>2.6964780938353122E-2</v>
      </c>
      <c r="EO130">
        <f t="shared" si="409"/>
        <v>4.0499999999999998E-3</v>
      </c>
      <c r="EP130" s="144">
        <f t="shared" si="410"/>
        <v>33.367724999999993</v>
      </c>
      <c r="EQ130" s="144"/>
      <c r="ER130" s="144">
        <f t="shared" si="432"/>
        <v>1027.5942354198346</v>
      </c>
      <c r="ES130" s="456">
        <f t="shared" si="411"/>
        <v>0.25</v>
      </c>
      <c r="EV130" s="144">
        <f t="shared" si="412"/>
        <v>250</v>
      </c>
      <c r="EW130" s="456">
        <f t="shared" si="413"/>
        <v>2.5288888888888892E-2</v>
      </c>
      <c r="EX130" s="456">
        <f t="shared" si="414"/>
        <v>2.1200000000000011E-2</v>
      </c>
      <c r="EY130" s="456">
        <f t="shared" si="415"/>
        <v>6.0194083602803783</v>
      </c>
      <c r="EZ130" s="456"/>
      <c r="FA130" s="456">
        <f t="shared" si="416"/>
        <v>2.2760000000000002E-2</v>
      </c>
      <c r="FB130" s="144">
        <f t="shared" si="417"/>
        <v>6088.6572491692668</v>
      </c>
      <c r="FC130" s="150">
        <f t="shared" si="418"/>
        <v>7.3662514845891014</v>
      </c>
      <c r="FD130" s="5">
        <f t="shared" si="419"/>
        <v>17</v>
      </c>
      <c r="FE130" s="150">
        <f t="shared" si="420"/>
        <v>0.69768630643708063</v>
      </c>
      <c r="FF130" s="5">
        <f t="shared" si="421"/>
        <v>69.768630643708065</v>
      </c>
      <c r="FI130" s="59">
        <f t="shared" si="422"/>
        <v>-50</v>
      </c>
      <c r="FJ130">
        <f t="shared" si="423"/>
        <v>-50</v>
      </c>
      <c r="FL130">
        <f t="shared" si="424"/>
        <v>0.3</v>
      </c>
    </row>
    <row r="131" spans="5:168">
      <c r="E131" s="147">
        <v>21</v>
      </c>
      <c r="F131" s="188">
        <f t="shared" si="425"/>
        <v>0.105</v>
      </c>
      <c r="G131" s="188"/>
      <c r="H131" s="188">
        <f t="shared" si="315"/>
        <v>17.849999999999998</v>
      </c>
      <c r="I131" s="465">
        <f t="shared" si="316"/>
        <v>8.9674003812464669</v>
      </c>
      <c r="J131" s="149">
        <f t="shared" si="317"/>
        <v>8.5383264917095438</v>
      </c>
      <c r="K131" s="149">
        <f t="shared" si="318"/>
        <v>17.505726872956011</v>
      </c>
      <c r="L131" s="379"/>
      <c r="M131" s="188">
        <f t="shared" si="319"/>
        <v>0.48774495674077972</v>
      </c>
      <c r="N131" s="149">
        <f t="shared" si="426"/>
        <v>146.18711942226955</v>
      </c>
      <c r="O131" s="149">
        <f t="shared" si="284"/>
        <v>17.849999999999998</v>
      </c>
      <c r="P131" s="188">
        <f t="shared" si="320"/>
        <v>0.85992423189570322</v>
      </c>
      <c r="Q131" s="188">
        <f t="shared" si="321"/>
        <v>170</v>
      </c>
      <c r="R131" s="188"/>
      <c r="S131" s="149">
        <f t="shared" si="322"/>
        <v>2667.4928161232474</v>
      </c>
      <c r="T131" s="149">
        <f t="shared" si="323"/>
        <v>170</v>
      </c>
      <c r="U131" s="188">
        <f t="shared" si="324"/>
        <v>8.1990408006088522</v>
      </c>
      <c r="V131" s="188">
        <f t="shared" si="325"/>
        <v>1.3714745275156077</v>
      </c>
      <c r="W131" s="188">
        <f t="shared" si="326"/>
        <v>1.4403948142361163</v>
      </c>
      <c r="X131" s="172">
        <f t="shared" si="327"/>
        <v>218.6901257874874</v>
      </c>
      <c r="Y131" s="379">
        <f t="shared" si="328"/>
        <v>332.01971484539666</v>
      </c>
      <c r="AA131" s="188">
        <f t="shared" si="329"/>
        <v>13.333333333333334</v>
      </c>
      <c r="AB131" s="150">
        <f t="shared" si="330"/>
        <v>2.3423793900853283</v>
      </c>
      <c r="AC131" s="150">
        <f t="shared" si="331"/>
        <v>0.17075174781992616</v>
      </c>
      <c r="AD131" s="150"/>
      <c r="AE131" s="150">
        <f t="shared" si="332"/>
        <v>2.3423793900853283</v>
      </c>
      <c r="AF131" s="314">
        <f t="shared" si="333"/>
        <v>134.47864224442529</v>
      </c>
      <c r="AG131" s="456">
        <f t="shared" si="334"/>
        <v>0.17075174781992616</v>
      </c>
      <c r="AI131" s="150">
        <f t="shared" si="335"/>
        <v>8.2647814208045673</v>
      </c>
      <c r="AJ131" s="150">
        <f t="shared" si="336"/>
        <v>13.333333333333334</v>
      </c>
      <c r="AK131" s="150">
        <f t="shared" si="337"/>
        <v>1.076844938425386</v>
      </c>
      <c r="AM131" s="314">
        <f t="shared" si="338"/>
        <v>105</v>
      </c>
      <c r="AN131" s="144">
        <f t="shared" si="339"/>
        <v>134.47864224442529</v>
      </c>
      <c r="AP131" s="144">
        <f t="shared" si="340"/>
        <v>105</v>
      </c>
      <c r="AQ131" s="144">
        <f t="shared" si="341"/>
        <v>134.47864224442529</v>
      </c>
      <c r="AS131" s="5">
        <f t="shared" si="285"/>
        <v>7.4361250478899317</v>
      </c>
      <c r="AT131" s="5">
        <f t="shared" si="342"/>
        <v>2.2303007727664328</v>
      </c>
      <c r="AU131" s="5">
        <f t="shared" si="343"/>
        <v>5.2058242751234989</v>
      </c>
      <c r="AV131" s="5"/>
      <c r="AW131" s="150">
        <f t="shared" si="344"/>
        <v>0.29992781971832239</v>
      </c>
      <c r="AX131" s="150">
        <f t="shared" si="214"/>
        <v>17.930485632590042</v>
      </c>
      <c r="AY131" s="150">
        <f t="shared" si="215"/>
        <v>0.23335739342722589</v>
      </c>
      <c r="AZ131" s="150">
        <f t="shared" si="288"/>
        <v>76.837015400507497</v>
      </c>
      <c r="BA131" s="144">
        <f t="shared" si="433"/>
        <v>0.13775387125910321</v>
      </c>
      <c r="BB131" s="5">
        <f t="shared" si="434"/>
        <v>17.270698931745113</v>
      </c>
      <c r="BD131" s="150">
        <f t="shared" si="289"/>
        <v>4.2158629517279662</v>
      </c>
      <c r="BE131" s="150">
        <f t="shared" si="218"/>
        <v>0.3220471969739328</v>
      </c>
      <c r="BG131" s="456">
        <f t="shared" si="347"/>
        <v>6.0429901454358288E-2</v>
      </c>
      <c r="BH131" s="456">
        <f t="shared" si="348"/>
        <v>0.75175741111968153</v>
      </c>
      <c r="BI131" s="456">
        <f t="shared" si="349"/>
        <v>5.5231311310133223E-2</v>
      </c>
      <c r="BJ131" s="456">
        <f t="shared" si="350"/>
        <v>2.8229564846368779E-2</v>
      </c>
      <c r="BK131">
        <f t="shared" si="351"/>
        <v>4.0353301715609097E-3</v>
      </c>
      <c r="BL131" s="144">
        <f t="shared" si="427"/>
        <v>59.26664148169413</v>
      </c>
      <c r="BM131" s="456">
        <f t="shared" si="352"/>
        <v>0.86921324019143309</v>
      </c>
      <c r="BN131" s="144">
        <f t="shared" si="353"/>
        <v>869.2132401914331</v>
      </c>
      <c r="BO131" s="456">
        <f t="shared" si="354"/>
        <v>0.26250000000000001</v>
      </c>
      <c r="BR131" s="144">
        <f t="shared" si="355"/>
        <v>262.5</v>
      </c>
      <c r="BS131" s="456">
        <f t="shared" si="356"/>
        <v>2.6660250641628656E-2</v>
      </c>
      <c r="BT131" s="456">
        <f t="shared" si="357"/>
        <v>2.0742879415753417E-2</v>
      </c>
      <c r="BU131" s="456">
        <f t="shared" si="358"/>
        <v>6.8069119820307771</v>
      </c>
      <c r="BV131" s="456"/>
      <c r="BW131" s="456">
        <f t="shared" si="359"/>
        <v>2.3907314176786723E-2</v>
      </c>
      <c r="BX131" s="144">
        <f t="shared" si="360"/>
        <v>6878.2224262649461</v>
      </c>
      <c r="BY131" s="150">
        <f t="shared" si="361"/>
        <v>8.0404059451670484</v>
      </c>
      <c r="BZ131" s="5">
        <f t="shared" si="362"/>
        <v>17.849999999999998</v>
      </c>
      <c r="CA131" s="150">
        <f t="shared" si="363"/>
        <v>0.68944457795695746</v>
      </c>
      <c r="CB131" s="5">
        <f t="shared" si="364"/>
        <v>68.94445779569574</v>
      </c>
      <c r="CE131" s="59">
        <f t="shared" si="365"/>
        <v>-50</v>
      </c>
      <c r="CF131">
        <f t="shared" si="366"/>
        <v>-50</v>
      </c>
      <c r="CG131" s="150">
        <f t="shared" si="367"/>
        <v>0.31564786317890969</v>
      </c>
      <c r="CI131" s="147">
        <v>21</v>
      </c>
      <c r="CJ131" s="188">
        <f t="shared" si="428"/>
        <v>0.105</v>
      </c>
      <c r="CK131" s="188"/>
      <c r="CL131" s="188">
        <f t="shared" si="368"/>
        <v>17.849999999999998</v>
      </c>
      <c r="CM131" s="465">
        <f t="shared" si="369"/>
        <v>9</v>
      </c>
      <c r="CN131" s="379">
        <f t="shared" si="370"/>
        <v>8.5350000000000001</v>
      </c>
      <c r="CO131" s="379">
        <f t="shared" si="371"/>
        <v>17.535</v>
      </c>
      <c r="CP131" s="379"/>
      <c r="CQ131" s="188">
        <f t="shared" si="372"/>
        <v>0.48674080410607357</v>
      </c>
      <c r="CR131" s="149">
        <f t="shared" si="429"/>
        <v>146.41650128314802</v>
      </c>
      <c r="CS131" s="149">
        <f t="shared" si="373"/>
        <v>17.849999999999998</v>
      </c>
      <c r="CT131" s="188">
        <f t="shared" si="374"/>
        <v>0.86127353695969422</v>
      </c>
      <c r="CU131" s="188">
        <f t="shared" si="375"/>
        <v>170</v>
      </c>
      <c r="CV131" s="188"/>
      <c r="CW131" s="149">
        <f t="shared" si="376"/>
        <v>2677.189909114476</v>
      </c>
      <c r="CX131" s="149">
        <f t="shared" si="377"/>
        <v>170</v>
      </c>
      <c r="CY131" s="188">
        <f t="shared" si="378"/>
        <v>8.1494434680726417</v>
      </c>
      <c r="CZ131" s="188">
        <f t="shared" si="379"/>
        <v>1.358240578012107</v>
      </c>
      <c r="DA131" s="188">
        <f t="shared" si="380"/>
        <v>1.4322396253203236</v>
      </c>
      <c r="DB131" s="172">
        <f t="shared" si="381"/>
        <v>219.03336184773312</v>
      </c>
      <c r="DC131" s="379">
        <f t="shared" si="382"/>
        <v>350</v>
      </c>
      <c r="DE131" s="188">
        <f t="shared" si="383"/>
        <v>13.333333333333334</v>
      </c>
      <c r="DF131" s="150">
        <f t="shared" si="384"/>
        <v>2.3432923257176337</v>
      </c>
      <c r="DG131" s="150">
        <f t="shared" si="385"/>
        <v>0.17108639863130889</v>
      </c>
      <c r="DH131" s="150"/>
      <c r="DI131" s="150">
        <f t="shared" si="386"/>
        <v>2.3432923257176337</v>
      </c>
      <c r="DJ131" s="314">
        <f t="shared" si="387"/>
        <v>134.42624999999998</v>
      </c>
      <c r="DK131" s="456">
        <f t="shared" si="388"/>
        <v>0.17108639863130887</v>
      </c>
      <c r="DM131" s="150">
        <f t="shared" si="389"/>
        <v>8.2631713040454375</v>
      </c>
      <c r="DN131" s="150">
        <f t="shared" si="390"/>
        <v>13.333333333333334</v>
      </c>
      <c r="DO131" s="150">
        <f t="shared" si="391"/>
        <v>1.0768150000000001</v>
      </c>
      <c r="DQ131" s="314">
        <f t="shared" si="392"/>
        <v>105</v>
      </c>
      <c r="DR131" s="144">
        <f t="shared" si="393"/>
        <v>134.42624999999998</v>
      </c>
      <c r="DT131">
        <f t="shared" si="430"/>
        <v>105</v>
      </c>
      <c r="DU131">
        <f t="shared" si="431"/>
        <v>134.42624999999998</v>
      </c>
      <c r="DW131" s="5">
        <f t="shared" si="394"/>
        <v>7.4390232562464558</v>
      </c>
      <c r="DX131" s="5">
        <f t="shared" si="395"/>
        <v>2.2222222222222223</v>
      </c>
      <c r="DY131" s="5">
        <f t="shared" si="396"/>
        <v>5.2168010340242335</v>
      </c>
      <c r="DZ131" s="5"/>
      <c r="EA131" s="150">
        <f t="shared" si="397"/>
        <v>0.29872499999999996</v>
      </c>
      <c r="EB131" s="150">
        <f t="shared" si="398"/>
        <v>17.923500000000001</v>
      </c>
      <c r="EC131" s="150">
        <f t="shared" si="399"/>
        <v>0.2337583333333334</v>
      </c>
      <c r="ED131" s="150">
        <f t="shared" si="400"/>
        <v>76.675341342554617</v>
      </c>
      <c r="EE131" s="144">
        <f t="shared" si="401"/>
        <v>0.1372549019607843</v>
      </c>
      <c r="EF131" s="5">
        <f t="shared" si="402"/>
        <v>17.244425640246767</v>
      </c>
      <c r="EH131" s="150">
        <f t="shared" si="403"/>
        <v>4.2074008867972426</v>
      </c>
      <c r="EI131" s="150">
        <f t="shared" si="404"/>
        <v>0.32232373879780035</v>
      </c>
      <c r="EK131" s="456">
        <f t="shared" si="405"/>
        <v>6.018755555555555E-2</v>
      </c>
      <c r="EL131" s="456">
        <f t="shared" si="406"/>
        <v>0.95543726039999988</v>
      </c>
      <c r="EM131" s="456">
        <f t="shared" si="407"/>
        <v>3.0783611249999995E-2</v>
      </c>
      <c r="EN131" s="456">
        <f t="shared" si="408"/>
        <v>2.8313019985270776E-2</v>
      </c>
      <c r="EO131">
        <f t="shared" si="409"/>
        <v>4.0499999999999998E-3</v>
      </c>
      <c r="EP131" s="144">
        <f t="shared" si="410"/>
        <v>34.83361124999999</v>
      </c>
      <c r="EQ131" s="144"/>
      <c r="ER131" s="144">
        <f t="shared" si="432"/>
        <v>1078.7714471908264</v>
      </c>
      <c r="ES131" s="456">
        <f t="shared" si="411"/>
        <v>0.26250000000000001</v>
      </c>
      <c r="EV131" s="144">
        <f t="shared" si="412"/>
        <v>262.5</v>
      </c>
      <c r="EW131" s="456">
        <f t="shared" si="413"/>
        <v>2.6553333333333335E-2</v>
      </c>
      <c r="EX131" s="456">
        <f t="shared" si="414"/>
        <v>2.0778518518518529E-2</v>
      </c>
      <c r="EY131" s="456">
        <f t="shared" si="415"/>
        <v>6.8002840671568388</v>
      </c>
      <c r="EZ131" s="456"/>
      <c r="FA131" s="456">
        <f t="shared" si="416"/>
        <v>2.3897999999999999E-2</v>
      </c>
      <c r="FB131" s="144">
        <f t="shared" si="417"/>
        <v>6871.5139190086911</v>
      </c>
      <c r="FC131" s="150">
        <f t="shared" si="418"/>
        <v>8.2127853661995172</v>
      </c>
      <c r="FD131" s="5">
        <f t="shared" si="419"/>
        <v>17.849999999999998</v>
      </c>
      <c r="FE131" s="150">
        <f t="shared" si="420"/>
        <v>0.68488458732232937</v>
      </c>
      <c r="FF131" s="5">
        <f t="shared" si="421"/>
        <v>68.488458732232942</v>
      </c>
      <c r="FI131" s="59">
        <f t="shared" si="422"/>
        <v>-50</v>
      </c>
      <c r="FJ131">
        <f t="shared" si="423"/>
        <v>-50</v>
      </c>
      <c r="FL131">
        <f t="shared" si="424"/>
        <v>0.315</v>
      </c>
    </row>
    <row r="132" spans="5:168">
      <c r="E132" s="147">
        <v>22</v>
      </c>
      <c r="F132" s="188">
        <f t="shared" si="425"/>
        <v>0.11</v>
      </c>
      <c r="G132" s="188"/>
      <c r="H132" s="188">
        <f t="shared" si="315"/>
        <v>18.7</v>
      </c>
      <c r="I132" s="465">
        <f t="shared" si="316"/>
        <v>8.9674003812464669</v>
      </c>
      <c r="J132" s="149">
        <f t="shared" si="317"/>
        <v>8.5383264917095438</v>
      </c>
      <c r="K132" s="149">
        <f t="shared" si="318"/>
        <v>17.505726872956011</v>
      </c>
      <c r="L132" s="379"/>
      <c r="M132" s="188">
        <f t="shared" si="319"/>
        <v>0.48774495674077972</v>
      </c>
      <c r="N132" s="149">
        <f t="shared" si="426"/>
        <v>146.18711942226955</v>
      </c>
      <c r="O132" s="149">
        <f t="shared" si="284"/>
        <v>18.7</v>
      </c>
      <c r="P132" s="188">
        <f t="shared" si="320"/>
        <v>0.85992423189570322</v>
      </c>
      <c r="Q132" s="188">
        <f t="shared" si="321"/>
        <v>170</v>
      </c>
      <c r="R132" s="188"/>
      <c r="S132" s="149">
        <f t="shared" si="322"/>
        <v>2538.0954973644129</v>
      </c>
      <c r="T132" s="149">
        <f t="shared" si="323"/>
        <v>170</v>
      </c>
      <c r="U132" s="188">
        <f t="shared" si="324"/>
        <v>8.5894713149235589</v>
      </c>
      <c r="V132" s="188">
        <f t="shared" si="325"/>
        <v>1.4367828383496841</v>
      </c>
      <c r="W132" s="188">
        <f t="shared" si="326"/>
        <v>1.508985043485455</v>
      </c>
      <c r="X132" s="172">
        <f t="shared" si="327"/>
        <v>218.6901257874874</v>
      </c>
      <c r="Y132" s="379">
        <f t="shared" si="328"/>
        <v>317.88740859565019</v>
      </c>
      <c r="AA132" s="188">
        <f t="shared" si="329"/>
        <v>13.333333333333334</v>
      </c>
      <c r="AB132" s="150">
        <f t="shared" si="330"/>
        <v>2.3423793900853283</v>
      </c>
      <c r="AC132" s="150">
        <f t="shared" si="331"/>
        <v>0.17075174781992616</v>
      </c>
      <c r="AD132" s="150"/>
      <c r="AE132" s="150">
        <f t="shared" si="332"/>
        <v>2.3423793900853283</v>
      </c>
      <c r="AF132" s="314">
        <f t="shared" si="333"/>
        <v>140.88238711320741</v>
      </c>
      <c r="AG132" s="456">
        <f t="shared" si="334"/>
        <v>0.17075174781992616</v>
      </c>
      <c r="AI132" s="150">
        <f t="shared" si="335"/>
        <v>8.4592734758986179</v>
      </c>
      <c r="AJ132" s="150">
        <f t="shared" si="336"/>
        <v>13.333333333333334</v>
      </c>
      <c r="AK132" s="150">
        <f t="shared" si="337"/>
        <v>1.0805042212075471</v>
      </c>
      <c r="AM132" s="314">
        <f t="shared" si="338"/>
        <v>110</v>
      </c>
      <c r="AN132" s="144">
        <f t="shared" si="339"/>
        <v>140.88238711320741</v>
      </c>
      <c r="AP132" s="144">
        <f t="shared" si="340"/>
        <v>110</v>
      </c>
      <c r="AQ132" s="144">
        <f t="shared" si="341"/>
        <v>140.88238711320741</v>
      </c>
      <c r="AS132" s="5">
        <f t="shared" si="285"/>
        <v>7.0981193638949369</v>
      </c>
      <c r="AT132" s="5">
        <f t="shared" si="342"/>
        <v>2.2303007727664328</v>
      </c>
      <c r="AU132" s="5">
        <f t="shared" si="343"/>
        <v>4.8678185911285041</v>
      </c>
      <c r="AV132" s="5"/>
      <c r="AW132" s="150">
        <f t="shared" si="344"/>
        <v>0.31421009684776618</v>
      </c>
      <c r="AX132" s="150">
        <f t="shared" si="214"/>
        <v>18.784318281760996</v>
      </c>
      <c r="AY132" s="150">
        <f t="shared" si="215"/>
        <v>0.22859663438407798</v>
      </c>
      <c r="AZ132" s="150">
        <f t="shared" si="288"/>
        <v>82.172330893552925</v>
      </c>
      <c r="BA132" s="144">
        <f t="shared" si="433"/>
        <v>0.14431357941429859</v>
      </c>
      <c r="BB132" s="5">
        <f t="shared" si="434"/>
        <v>16.918356822874106</v>
      </c>
      <c r="BD132" s="150">
        <f t="shared" si="289"/>
        <v>4.3150733007654392</v>
      </c>
      <c r="BE132" s="150">
        <f t="shared" si="218"/>
        <v>0.3187452025846057</v>
      </c>
      <c r="BG132" s="456">
        <f t="shared" si="347"/>
        <v>6.3307515809327725E-2</v>
      </c>
      <c r="BH132" s="456">
        <f t="shared" si="348"/>
        <v>0.78755538307776152</v>
      </c>
      <c r="BI132" s="456">
        <f t="shared" si="349"/>
        <v>5.7861373753472896E-2</v>
      </c>
      <c r="BJ132" s="456">
        <f t="shared" si="350"/>
        <v>2.9573829839053E-2</v>
      </c>
      <c r="BK132">
        <f t="shared" si="351"/>
        <v>4.0353301715609097E-3</v>
      </c>
      <c r="BL132" s="144">
        <f t="shared" si="427"/>
        <v>61.896703925033805</v>
      </c>
      <c r="BM132" s="456">
        <f t="shared" si="352"/>
        <v>0.91123645441420253</v>
      </c>
      <c r="BN132" s="144">
        <f t="shared" si="353"/>
        <v>911.23645441420251</v>
      </c>
      <c r="BO132" s="456">
        <f t="shared" si="354"/>
        <v>0.27500000000000002</v>
      </c>
      <c r="BR132" s="144">
        <f t="shared" si="355"/>
        <v>275</v>
      </c>
      <c r="BS132" s="456">
        <f t="shared" si="356"/>
        <v>2.7929786386468116E-2</v>
      </c>
      <c r="BT132" s="456">
        <f t="shared" si="357"/>
        <v>2.0319700834140267E-2</v>
      </c>
      <c r="BU132" s="456">
        <f t="shared" si="358"/>
        <v>7.6464279409104243</v>
      </c>
      <c r="BV132" s="456"/>
      <c r="BW132" s="456">
        <f t="shared" si="359"/>
        <v>2.5045757709014658E-2</v>
      </c>
      <c r="BX132" s="144">
        <f t="shared" si="360"/>
        <v>7719.7231858400473</v>
      </c>
      <c r="BY132" s="150">
        <f t="shared" si="361"/>
        <v>8.9370566184912228</v>
      </c>
      <c r="BZ132" s="5">
        <f t="shared" si="362"/>
        <v>18.7</v>
      </c>
      <c r="CA132" s="150">
        <f t="shared" si="363"/>
        <v>0.67662777039318744</v>
      </c>
      <c r="CB132" s="5">
        <f t="shared" si="364"/>
        <v>67.66277703931874</v>
      </c>
      <c r="CE132" s="59">
        <f t="shared" si="365"/>
        <v>-50</v>
      </c>
      <c r="CF132">
        <f t="shared" si="366"/>
        <v>-50</v>
      </c>
      <c r="CG132" s="150">
        <f t="shared" si="367"/>
        <v>0.33067871380647684</v>
      </c>
      <c r="CI132" s="147">
        <v>22</v>
      </c>
      <c r="CJ132" s="188">
        <f t="shared" si="428"/>
        <v>0.11</v>
      </c>
      <c r="CK132" s="188"/>
      <c r="CL132" s="188">
        <f t="shared" si="368"/>
        <v>18.7</v>
      </c>
      <c r="CM132" s="465">
        <f t="shared" si="369"/>
        <v>9</v>
      </c>
      <c r="CN132" s="379">
        <f t="shared" si="370"/>
        <v>8.5350000000000001</v>
      </c>
      <c r="CO132" s="379">
        <f t="shared" si="371"/>
        <v>17.535</v>
      </c>
      <c r="CP132" s="379"/>
      <c r="CQ132" s="188">
        <f t="shared" si="372"/>
        <v>0.48674080410607357</v>
      </c>
      <c r="CR132" s="149">
        <f t="shared" si="429"/>
        <v>146.41650128314802</v>
      </c>
      <c r="CS132" s="149">
        <f t="shared" si="373"/>
        <v>18.7</v>
      </c>
      <c r="CT132" s="188">
        <f t="shared" si="374"/>
        <v>0.86127353695969422</v>
      </c>
      <c r="CU132" s="188">
        <f t="shared" si="375"/>
        <v>170</v>
      </c>
      <c r="CV132" s="188"/>
      <c r="CW132" s="149">
        <f t="shared" si="376"/>
        <v>2547.3221773917721</v>
      </c>
      <c r="CX132" s="149">
        <f t="shared" si="377"/>
        <v>170</v>
      </c>
      <c r="CY132" s="188">
        <f t="shared" si="378"/>
        <v>8.5375122046475305</v>
      </c>
      <c r="CZ132" s="188">
        <f t="shared" si="379"/>
        <v>1.4229187007745885</v>
      </c>
      <c r="DA132" s="188">
        <f t="shared" si="380"/>
        <v>1.5004415122403394</v>
      </c>
      <c r="DB132" s="172">
        <f t="shared" si="381"/>
        <v>219.03336184773312</v>
      </c>
      <c r="DC132" s="379">
        <f t="shared" si="382"/>
        <v>342.07211124648825</v>
      </c>
      <c r="DE132" s="188">
        <f t="shared" si="383"/>
        <v>13.333333333333334</v>
      </c>
      <c r="DF132" s="150">
        <f t="shared" si="384"/>
        <v>2.3432923257176337</v>
      </c>
      <c r="DG132" s="150">
        <f t="shared" si="385"/>
        <v>0.17108639863130889</v>
      </c>
      <c r="DH132" s="150"/>
      <c r="DI132" s="150">
        <f t="shared" si="386"/>
        <v>2.3432923257176337</v>
      </c>
      <c r="DJ132" s="314">
        <f t="shared" si="387"/>
        <v>140.82749999999996</v>
      </c>
      <c r="DK132" s="456">
        <f t="shared" si="388"/>
        <v>0.17108639863130887</v>
      </c>
      <c r="DM132" s="150">
        <f t="shared" si="389"/>
        <v>8.457625468855225</v>
      </c>
      <c r="DN132" s="150">
        <f t="shared" si="390"/>
        <v>13.333333333333334</v>
      </c>
      <c r="DO132" s="150">
        <f t="shared" si="391"/>
        <v>1.080472857142857</v>
      </c>
      <c r="DQ132" s="314">
        <f t="shared" si="392"/>
        <v>110</v>
      </c>
      <c r="DR132" s="144">
        <f t="shared" si="393"/>
        <v>140.82749999999996</v>
      </c>
      <c r="DT132">
        <f t="shared" si="430"/>
        <v>110</v>
      </c>
      <c r="DU132">
        <f t="shared" si="431"/>
        <v>140.82749999999996</v>
      </c>
      <c r="DW132" s="5">
        <f t="shared" si="394"/>
        <v>7.1008858355079818</v>
      </c>
      <c r="DX132" s="5">
        <f t="shared" si="395"/>
        <v>2.2222222222222223</v>
      </c>
      <c r="DY132" s="5">
        <f t="shared" si="396"/>
        <v>4.8786636132857595</v>
      </c>
      <c r="DZ132" s="5"/>
      <c r="EA132" s="150">
        <f t="shared" si="397"/>
        <v>0.31294999999999989</v>
      </c>
      <c r="EB132" s="150">
        <f t="shared" si="398"/>
        <v>18.776999999999997</v>
      </c>
      <c r="EC132" s="150">
        <f t="shared" si="399"/>
        <v>0.22901666666666676</v>
      </c>
      <c r="ED132" s="150">
        <f t="shared" si="400"/>
        <v>81.989665963175852</v>
      </c>
      <c r="EE132" s="144">
        <f t="shared" si="401"/>
        <v>0.14379084967320263</v>
      </c>
      <c r="EF132" s="5">
        <f t="shared" si="402"/>
        <v>16.894631401563643</v>
      </c>
      <c r="EH132" s="150">
        <f t="shared" si="403"/>
        <v>4.3064121011794931</v>
      </c>
      <c r="EI132" s="150">
        <f t="shared" si="404"/>
        <v>0.31903790556168282</v>
      </c>
      <c r="EK132" s="456">
        <f t="shared" si="405"/>
        <v>6.3053629629629598E-2</v>
      </c>
      <c r="EL132" s="456">
        <f t="shared" si="406"/>
        <v>1.0009342727999999</v>
      </c>
      <c r="EM132" s="456">
        <f t="shared" si="407"/>
        <v>3.2249497499999995E-2</v>
      </c>
      <c r="EN132" s="456">
        <f t="shared" si="408"/>
        <v>2.9661259032188428E-2</v>
      </c>
      <c r="EO132">
        <f t="shared" si="409"/>
        <v>4.0499999999999998E-3</v>
      </c>
      <c r="EP132" s="144">
        <f t="shared" si="410"/>
        <v>36.299497499999994</v>
      </c>
      <c r="EQ132" s="144"/>
      <c r="ER132" s="144">
        <f t="shared" si="432"/>
        <v>1129.9486589618182</v>
      </c>
      <c r="ES132" s="456">
        <f t="shared" si="411"/>
        <v>0.27500000000000002</v>
      </c>
      <c r="EV132" s="144">
        <f t="shared" si="412"/>
        <v>275</v>
      </c>
      <c r="EW132" s="456">
        <f t="shared" si="413"/>
        <v>2.7817777777777764E-2</v>
      </c>
      <c r="EX132" s="456">
        <f t="shared" si="414"/>
        <v>2.0357037037037048E-2</v>
      </c>
      <c r="EY132" s="456">
        <f t="shared" si="415"/>
        <v>7.6389825863038494</v>
      </c>
      <c r="EZ132" s="456"/>
      <c r="FA132" s="456">
        <f t="shared" si="416"/>
        <v>2.5035999999999999E-2</v>
      </c>
      <c r="FB132" s="144">
        <f t="shared" si="417"/>
        <v>7712.193401118665</v>
      </c>
      <c r="FC132" s="150">
        <f t="shared" si="418"/>
        <v>9.1171420600804822</v>
      </c>
      <c r="FD132" s="5">
        <f t="shared" si="419"/>
        <v>18.7</v>
      </c>
      <c r="FE132" s="150">
        <f t="shared" si="420"/>
        <v>0.67224734876110048</v>
      </c>
      <c r="FF132" s="5">
        <f t="shared" si="421"/>
        <v>67.224734876110048</v>
      </c>
      <c r="FI132" s="59">
        <f t="shared" si="422"/>
        <v>-50</v>
      </c>
      <c r="FJ132">
        <f t="shared" si="423"/>
        <v>-50</v>
      </c>
      <c r="FL132">
        <f t="shared" si="424"/>
        <v>0.32999999999999996</v>
      </c>
    </row>
    <row r="133" spans="5:168">
      <c r="E133" s="147">
        <v>23</v>
      </c>
      <c r="F133" s="188">
        <f t="shared" si="425"/>
        <v>0.115</v>
      </c>
      <c r="G133" s="188"/>
      <c r="H133" s="188">
        <f t="shared" si="315"/>
        <v>19.55</v>
      </c>
      <c r="I133" s="465">
        <f t="shared" si="316"/>
        <v>8.9674003812464669</v>
      </c>
      <c r="J133" s="149">
        <f t="shared" si="317"/>
        <v>8.5383264917095438</v>
      </c>
      <c r="K133" s="149">
        <f t="shared" si="318"/>
        <v>17.505726872956011</v>
      </c>
      <c r="L133" s="379"/>
      <c r="M133" s="188">
        <f t="shared" si="319"/>
        <v>0.48774495674077972</v>
      </c>
      <c r="N133" s="149">
        <f t="shared" si="426"/>
        <v>146.18711942226955</v>
      </c>
      <c r="O133" s="149">
        <f t="shared" si="284"/>
        <v>19.55</v>
      </c>
      <c r="P133" s="188">
        <f t="shared" si="320"/>
        <v>0.85992423189570322</v>
      </c>
      <c r="Q133" s="188">
        <f t="shared" si="321"/>
        <v>170</v>
      </c>
      <c r="R133" s="188"/>
      <c r="S133" s="149">
        <f t="shared" si="322"/>
        <v>2419.9503432780953</v>
      </c>
      <c r="T133" s="149">
        <f t="shared" si="323"/>
        <v>170</v>
      </c>
      <c r="U133" s="188">
        <f t="shared" si="324"/>
        <v>8.9799018292382673</v>
      </c>
      <c r="V133" s="188">
        <f t="shared" si="325"/>
        <v>1.502091149183761</v>
      </c>
      <c r="W133" s="188">
        <f t="shared" si="326"/>
        <v>1.577575272734794</v>
      </c>
      <c r="X133" s="172">
        <f t="shared" si="327"/>
        <v>218.6901257874874</v>
      </c>
      <c r="Y133" s="379">
        <f t="shared" si="328"/>
        <v>304.90905822520057</v>
      </c>
      <c r="AA133" s="188">
        <f t="shared" si="329"/>
        <v>13.333333333333334</v>
      </c>
      <c r="AB133" s="150">
        <f t="shared" si="330"/>
        <v>2.3423793900853283</v>
      </c>
      <c r="AC133" s="150">
        <f t="shared" si="331"/>
        <v>0.17075174781992616</v>
      </c>
      <c r="AD133" s="150"/>
      <c r="AE133" s="150">
        <f t="shared" si="332"/>
        <v>2.3423793900853283</v>
      </c>
      <c r="AF133" s="314">
        <f t="shared" si="333"/>
        <v>147.2861319819896</v>
      </c>
      <c r="AG133" s="456">
        <f t="shared" si="334"/>
        <v>0.17075174781992616</v>
      </c>
      <c r="AI133" s="150">
        <f t="shared" si="335"/>
        <v>8.6493932472981854</v>
      </c>
      <c r="AJ133" s="150">
        <f t="shared" si="336"/>
        <v>13.333333333333334</v>
      </c>
      <c r="AK133" s="150">
        <f t="shared" si="337"/>
        <v>1.0841635039897084</v>
      </c>
      <c r="AM133" s="314">
        <f t="shared" si="338"/>
        <v>115</v>
      </c>
      <c r="AN133" s="144">
        <f t="shared" si="339"/>
        <v>147.2861319819896</v>
      </c>
      <c r="AP133" s="144">
        <f t="shared" si="340"/>
        <v>115</v>
      </c>
      <c r="AQ133" s="144">
        <f t="shared" si="341"/>
        <v>147.2861319819896</v>
      </c>
      <c r="AS133" s="5">
        <f t="shared" si="285"/>
        <v>6.7895054785081985</v>
      </c>
      <c r="AT133" s="5">
        <f t="shared" si="342"/>
        <v>2.2303007727664328</v>
      </c>
      <c r="AU133" s="5">
        <f t="shared" si="343"/>
        <v>4.5592047057417657</v>
      </c>
      <c r="AV133" s="5"/>
      <c r="AW133" s="150">
        <f t="shared" si="344"/>
        <v>0.32849237397721021</v>
      </c>
      <c r="AX133" s="150">
        <f t="shared" ref="AX133:AX196" si="435">0.5*L*AJ133^2*AN133*1000</f>
        <v>19.63815093093195</v>
      </c>
      <c r="AY133" s="150">
        <f t="shared" ref="AY133:AY196" si="436">AJ133*Nps/2*(1-AW133)</f>
        <v>0.22383587534092997</v>
      </c>
      <c r="AZ133" s="150">
        <f t="shared" si="288"/>
        <v>87.734599741978784</v>
      </c>
      <c r="BA133" s="144">
        <f t="shared" si="433"/>
        <v>0.150873287569494</v>
      </c>
      <c r="BB133" s="5">
        <f t="shared" si="434"/>
        <v>16.566014714003085</v>
      </c>
      <c r="BD133" s="150">
        <f t="shared" si="289"/>
        <v>4.4120533489754008</v>
      </c>
      <c r="BE133" s="150">
        <f t="shared" ref="BE133:BE196" si="437">AJ133*Nps*SQRT((1-AW133)/3)</f>
        <v>0.31540864170570143</v>
      </c>
      <c r="BG133" s="456">
        <f t="shared" si="347"/>
        <v>6.6185130164297168E-2</v>
      </c>
      <c r="BH133" s="456">
        <f t="shared" si="348"/>
        <v>0.82335335503584173</v>
      </c>
      <c r="BI133" s="456">
        <f t="shared" si="349"/>
        <v>6.0491436196812576E-2</v>
      </c>
      <c r="BJ133" s="456">
        <f t="shared" si="350"/>
        <v>3.0918094831737235E-2</v>
      </c>
      <c r="BK133">
        <f t="shared" si="351"/>
        <v>4.0353301715609097E-3</v>
      </c>
      <c r="BL133" s="144">
        <f t="shared" si="427"/>
        <v>64.526766368373487</v>
      </c>
      <c r="BM133" s="456">
        <f t="shared" si="352"/>
        <v>0.95331805105725065</v>
      </c>
      <c r="BN133" s="144">
        <f t="shared" si="353"/>
        <v>953.31805105725061</v>
      </c>
      <c r="BO133" s="456">
        <f t="shared" si="354"/>
        <v>0.28750000000000003</v>
      </c>
      <c r="BR133" s="144">
        <f t="shared" si="355"/>
        <v>287.50000000000006</v>
      </c>
      <c r="BS133" s="456">
        <f t="shared" si="356"/>
        <v>2.9199322131307576E-2</v>
      </c>
      <c r="BT133" s="456">
        <f t="shared" si="357"/>
        <v>1.989652225252711E-2</v>
      </c>
      <c r="BU133" s="456">
        <f t="shared" si="358"/>
        <v>8.5451853671642279</v>
      </c>
      <c r="BV133" s="456"/>
      <c r="BW133" s="456">
        <f t="shared" si="359"/>
        <v>2.6184201241242603E-2</v>
      </c>
      <c r="BX133" s="144">
        <f t="shared" si="360"/>
        <v>8620.4654127893064</v>
      </c>
      <c r="BY133" s="150">
        <f t="shared" si="361"/>
        <v>9.8929487591895544</v>
      </c>
      <c r="BZ133" s="5">
        <f t="shared" si="362"/>
        <v>19.55</v>
      </c>
      <c r="CA133" s="150">
        <f t="shared" si="363"/>
        <v>0.66399599306092505</v>
      </c>
      <c r="CB133" s="5">
        <f t="shared" si="364"/>
        <v>66.399599306092512</v>
      </c>
      <c r="CE133" s="59">
        <f t="shared" si="365"/>
        <v>-50</v>
      </c>
      <c r="CF133">
        <f t="shared" si="366"/>
        <v>-50</v>
      </c>
      <c r="CG133" s="150">
        <f t="shared" si="367"/>
        <v>0.34570956443404399</v>
      </c>
      <c r="CI133" s="147">
        <v>23</v>
      </c>
      <c r="CJ133" s="188">
        <f t="shared" si="428"/>
        <v>0.115</v>
      </c>
      <c r="CK133" s="188"/>
      <c r="CL133" s="188">
        <f t="shared" si="368"/>
        <v>19.55</v>
      </c>
      <c r="CM133" s="465">
        <f t="shared" si="369"/>
        <v>9</v>
      </c>
      <c r="CN133" s="379">
        <f t="shared" si="370"/>
        <v>8.5350000000000001</v>
      </c>
      <c r="CO133" s="379">
        <f t="shared" si="371"/>
        <v>17.535</v>
      </c>
      <c r="CP133" s="379"/>
      <c r="CQ133" s="188">
        <f t="shared" si="372"/>
        <v>0.48674080410607357</v>
      </c>
      <c r="CR133" s="149">
        <f t="shared" si="429"/>
        <v>146.41650128314802</v>
      </c>
      <c r="CS133" s="149">
        <f t="shared" si="373"/>
        <v>19.55</v>
      </c>
      <c r="CT133" s="188">
        <f t="shared" si="374"/>
        <v>0.86127353695969422</v>
      </c>
      <c r="CU133" s="188">
        <f t="shared" si="375"/>
        <v>170</v>
      </c>
      <c r="CV133" s="188"/>
      <c r="CW133" s="149">
        <f t="shared" si="376"/>
        <v>2428.7475158174702</v>
      </c>
      <c r="CX133" s="149">
        <f t="shared" si="377"/>
        <v>170</v>
      </c>
      <c r="CY133" s="188">
        <f t="shared" si="378"/>
        <v>8.9255809412224174</v>
      </c>
      <c r="CZ133" s="188">
        <f t="shared" si="379"/>
        <v>1.4875968235370698</v>
      </c>
      <c r="DA133" s="188">
        <f t="shared" si="380"/>
        <v>1.5686433991603546</v>
      </c>
      <c r="DB133" s="172">
        <f t="shared" si="381"/>
        <v>219.03336184773312</v>
      </c>
      <c r="DC133" s="379">
        <f t="shared" si="382"/>
        <v>327.19941075751052</v>
      </c>
      <c r="DE133" s="188">
        <f t="shared" si="383"/>
        <v>13.333333333333334</v>
      </c>
      <c r="DF133" s="150">
        <f t="shared" si="384"/>
        <v>2.3432923257176337</v>
      </c>
      <c r="DG133" s="150">
        <f t="shared" si="385"/>
        <v>0.17108639863130889</v>
      </c>
      <c r="DH133" s="150"/>
      <c r="DI133" s="150">
        <f t="shared" si="386"/>
        <v>2.3432923257176337</v>
      </c>
      <c r="DJ133" s="314">
        <f t="shared" si="387"/>
        <v>147.22874999999996</v>
      </c>
      <c r="DK133" s="456">
        <f t="shared" si="388"/>
        <v>0.17108639863130887</v>
      </c>
      <c r="DM133" s="150">
        <f t="shared" si="389"/>
        <v>8.6477082017640452</v>
      </c>
      <c r="DN133" s="150">
        <f t="shared" si="390"/>
        <v>13.333333333333334</v>
      </c>
      <c r="DO133" s="150">
        <f t="shared" si="391"/>
        <v>1.0841307142857142</v>
      </c>
      <c r="DQ133" s="314">
        <f t="shared" si="392"/>
        <v>115</v>
      </c>
      <c r="DR133" s="144">
        <f t="shared" si="393"/>
        <v>147.22874999999996</v>
      </c>
      <c r="DT133">
        <f t="shared" si="430"/>
        <v>115</v>
      </c>
      <c r="DU133">
        <f t="shared" si="431"/>
        <v>147.22874999999996</v>
      </c>
      <c r="DW133" s="5">
        <f t="shared" si="394"/>
        <v>6.7921516687467651</v>
      </c>
      <c r="DX133" s="5">
        <f t="shared" si="395"/>
        <v>2.2222222222222223</v>
      </c>
      <c r="DY133" s="5">
        <f t="shared" si="396"/>
        <v>4.5699294465245428</v>
      </c>
      <c r="DZ133" s="5"/>
      <c r="EA133" s="150">
        <f t="shared" si="397"/>
        <v>0.32717499999999994</v>
      </c>
      <c r="EB133" s="150">
        <f t="shared" si="398"/>
        <v>19.630499999999998</v>
      </c>
      <c r="EC133" s="150">
        <f t="shared" si="399"/>
        <v>0.22427500000000003</v>
      </c>
      <c r="ED133" s="150">
        <f t="shared" si="400"/>
        <v>87.528703600490445</v>
      </c>
      <c r="EE133" s="144">
        <f t="shared" si="401"/>
        <v>0.15032679738562094</v>
      </c>
      <c r="EF133" s="5">
        <f t="shared" si="402"/>
        <v>16.544837162880519</v>
      </c>
      <c r="EH133" s="150">
        <f t="shared" si="403"/>
        <v>4.4031974913860203</v>
      </c>
      <c r="EI133" s="150">
        <f t="shared" si="404"/>
        <v>0.31571787687392333</v>
      </c>
      <c r="EK133" s="456">
        <f t="shared" si="405"/>
        <v>6.5919703703703689E-2</v>
      </c>
      <c r="EL133" s="456">
        <f t="shared" si="406"/>
        <v>1.0464312851999997</v>
      </c>
      <c r="EM133" s="456">
        <f t="shared" si="407"/>
        <v>3.3715383749999987E-2</v>
      </c>
      <c r="EN133" s="456">
        <f t="shared" si="408"/>
        <v>3.100949807910609E-2</v>
      </c>
      <c r="EO133">
        <f t="shared" si="409"/>
        <v>4.0499999999999998E-3</v>
      </c>
      <c r="EP133" s="144">
        <f t="shared" si="410"/>
        <v>37.765383749999984</v>
      </c>
      <c r="EQ133" s="144"/>
      <c r="ER133" s="144">
        <f t="shared" si="432"/>
        <v>1181.1258707328093</v>
      </c>
      <c r="ES133" s="456">
        <f t="shared" si="411"/>
        <v>0.28750000000000003</v>
      </c>
      <c r="EV133" s="144">
        <f t="shared" si="412"/>
        <v>287.50000000000006</v>
      </c>
      <c r="EW133" s="456">
        <f t="shared" si="413"/>
        <v>2.9082222222222218E-2</v>
      </c>
      <c r="EX133" s="456">
        <f t="shared" si="414"/>
        <v>1.9935555555555564E-2</v>
      </c>
      <c r="EY133" s="456">
        <f t="shared" si="415"/>
        <v>8.536864889193442</v>
      </c>
      <c r="EZ133" s="456"/>
      <c r="FA133" s="456">
        <f t="shared" si="416"/>
        <v>2.6173999999999999E-2</v>
      </c>
      <c r="FB133" s="144">
        <f t="shared" si="417"/>
        <v>8612.0566669712189</v>
      </c>
      <c r="FC133" s="150">
        <f t="shared" si="418"/>
        <v>10.080682537704028</v>
      </c>
      <c r="FD133" s="5">
        <f t="shared" si="419"/>
        <v>19.55</v>
      </c>
      <c r="FE133" s="150">
        <f t="shared" si="420"/>
        <v>0.65978905396874654</v>
      </c>
      <c r="FF133" s="5">
        <f t="shared" si="421"/>
        <v>65.978905396874652</v>
      </c>
      <c r="FI133" s="59">
        <f t="shared" si="422"/>
        <v>-50</v>
      </c>
      <c r="FJ133">
        <f t="shared" si="423"/>
        <v>-50</v>
      </c>
      <c r="FL133">
        <f t="shared" si="424"/>
        <v>0.34499999999999992</v>
      </c>
    </row>
    <row r="134" spans="5:168">
      <c r="E134" s="147">
        <v>24</v>
      </c>
      <c r="F134" s="188">
        <f t="shared" si="425"/>
        <v>0.12</v>
      </c>
      <c r="G134" s="188"/>
      <c r="H134" s="188">
        <f t="shared" si="315"/>
        <v>20.399999999999999</v>
      </c>
      <c r="I134" s="465">
        <f t="shared" si="316"/>
        <v>8.9674003812464669</v>
      </c>
      <c r="J134" s="149">
        <f t="shared" si="317"/>
        <v>8.5383264917095438</v>
      </c>
      <c r="K134" s="149">
        <f t="shared" si="318"/>
        <v>17.505726872956011</v>
      </c>
      <c r="L134" s="379"/>
      <c r="M134" s="188">
        <f t="shared" si="319"/>
        <v>0.48774495674077972</v>
      </c>
      <c r="N134" s="149">
        <f t="shared" si="426"/>
        <v>146.18711942226955</v>
      </c>
      <c r="O134" s="149">
        <f t="shared" ref="O134:O197" si="438">T134*F134</f>
        <v>20.399999999999999</v>
      </c>
      <c r="P134" s="188">
        <f t="shared" si="320"/>
        <v>0.85992423189570322</v>
      </c>
      <c r="Q134" s="188">
        <f t="shared" si="321"/>
        <v>170</v>
      </c>
      <c r="R134" s="188"/>
      <c r="S134" s="149">
        <f t="shared" si="322"/>
        <v>2311.6508353500162</v>
      </c>
      <c r="T134" s="149">
        <f t="shared" si="323"/>
        <v>170</v>
      </c>
      <c r="U134" s="188">
        <f t="shared" si="324"/>
        <v>9.3703323435529722</v>
      </c>
      <c r="V134" s="188">
        <f t="shared" si="325"/>
        <v>1.5673994600178369</v>
      </c>
      <c r="W134" s="188">
        <f t="shared" si="326"/>
        <v>1.6461655019841326</v>
      </c>
      <c r="X134" s="172">
        <f t="shared" si="327"/>
        <v>218.6901257874874</v>
      </c>
      <c r="Y134" s="379">
        <f t="shared" si="328"/>
        <v>292.94887050092206</v>
      </c>
      <c r="AA134" s="188">
        <f t="shared" si="329"/>
        <v>13.333333333333334</v>
      </c>
      <c r="AB134" s="150">
        <f t="shared" si="330"/>
        <v>2.3423793900853283</v>
      </c>
      <c r="AC134" s="150">
        <f t="shared" si="331"/>
        <v>0.17075174781992616</v>
      </c>
      <c r="AD134" s="150"/>
      <c r="AE134" s="150">
        <f t="shared" si="332"/>
        <v>2.3423793900853283</v>
      </c>
      <c r="AF134" s="314">
        <f t="shared" si="333"/>
        <v>153.68987685077175</v>
      </c>
      <c r="AG134" s="456">
        <f t="shared" si="334"/>
        <v>0.17075174781992616</v>
      </c>
      <c r="AI134" s="150">
        <f t="shared" si="335"/>
        <v>8.8354229866358391</v>
      </c>
      <c r="AJ134" s="150">
        <f t="shared" si="336"/>
        <v>13.333333333333334</v>
      </c>
      <c r="AK134" s="150">
        <f t="shared" si="337"/>
        <v>1.0878227867718695</v>
      </c>
      <c r="AM134" s="314">
        <f t="shared" si="338"/>
        <v>120</v>
      </c>
      <c r="AN134" s="144">
        <f t="shared" si="339"/>
        <v>153.68987685077175</v>
      </c>
      <c r="AP134" s="144">
        <f t="shared" si="340"/>
        <v>120</v>
      </c>
      <c r="AQ134" s="144">
        <f t="shared" si="341"/>
        <v>153.68987685077175</v>
      </c>
      <c r="AS134" s="5">
        <f t="shared" ref="AS134:AS197" si="439">1/AN134*1000</f>
        <v>6.5066094169036903</v>
      </c>
      <c r="AT134" s="5">
        <f t="shared" si="342"/>
        <v>2.2303007727664328</v>
      </c>
      <c r="AU134" s="5">
        <f t="shared" si="343"/>
        <v>4.2763086441372575</v>
      </c>
      <c r="AV134" s="5"/>
      <c r="AW134" s="150">
        <f t="shared" si="344"/>
        <v>0.34277465110665412</v>
      </c>
      <c r="AX134" s="150">
        <f t="shared" si="435"/>
        <v>20.491983580102904</v>
      </c>
      <c r="AY134" s="150">
        <f t="shared" si="436"/>
        <v>0.21907511629778201</v>
      </c>
      <c r="AZ134" s="150">
        <f t="shared" ref="AZ134:AZ197" si="440">AX134/AY134</f>
        <v>93.538617833021192</v>
      </c>
      <c r="BA134" s="144">
        <f t="shared" si="433"/>
        <v>0.15743299572468936</v>
      </c>
      <c r="BB134" s="5">
        <f t="shared" si="434"/>
        <v>16.213672605132068</v>
      </c>
      <c r="BD134" s="150">
        <f t="shared" ref="BD134:BD197" si="441">AJ134*SQRT(AW134/3)</f>
        <v>4.5069470728455823</v>
      </c>
      <c r="BE134" s="150">
        <f t="shared" si="437"/>
        <v>0.31203640549552836</v>
      </c>
      <c r="BG134" s="456">
        <f t="shared" si="347"/>
        <v>6.9062744519266625E-2</v>
      </c>
      <c r="BH134" s="456">
        <f t="shared" si="348"/>
        <v>0.85915132699392172</v>
      </c>
      <c r="BI134" s="456">
        <f t="shared" si="349"/>
        <v>6.3121498640152263E-2</v>
      </c>
      <c r="BJ134" s="456">
        <f t="shared" si="350"/>
        <v>3.2262359824421459E-2</v>
      </c>
      <c r="BK134">
        <f t="shared" si="351"/>
        <v>4.0353301715609097E-3</v>
      </c>
      <c r="BL134" s="144">
        <f t="shared" si="427"/>
        <v>67.156828811713169</v>
      </c>
      <c r="BM134" s="456">
        <f t="shared" si="352"/>
        <v>0.99545815187029596</v>
      </c>
      <c r="BN134" s="144">
        <f t="shared" si="353"/>
        <v>995.45815187029598</v>
      </c>
      <c r="BO134" s="456">
        <f t="shared" si="354"/>
        <v>0.3</v>
      </c>
      <c r="BR134" s="144">
        <f t="shared" si="355"/>
        <v>300</v>
      </c>
      <c r="BS134" s="456">
        <f t="shared" si="356"/>
        <v>3.0468857876147046E-2</v>
      </c>
      <c r="BT134" s="456">
        <f t="shared" si="357"/>
        <v>1.947334367091396E-2</v>
      </c>
      <c r="BU134" s="456">
        <f t="shared" si="358"/>
        <v>9.5045159178768106</v>
      </c>
      <c r="BV134" s="456"/>
      <c r="BW134" s="456">
        <f t="shared" si="359"/>
        <v>2.7322644773470541E-2</v>
      </c>
      <c r="BX134" s="144">
        <f t="shared" si="360"/>
        <v>9581.7807641973413</v>
      </c>
      <c r="BY134" s="150">
        <f t="shared" si="361"/>
        <v>10.909414024346665</v>
      </c>
      <c r="BZ134" s="5">
        <f t="shared" si="362"/>
        <v>20.399999999999999</v>
      </c>
      <c r="CA134" s="150">
        <f t="shared" si="363"/>
        <v>0.6515612200259211</v>
      </c>
      <c r="CB134" s="5">
        <f t="shared" si="364"/>
        <v>65.156122002592113</v>
      </c>
      <c r="CE134" s="59">
        <f t="shared" si="365"/>
        <v>-50</v>
      </c>
      <c r="CF134">
        <f t="shared" si="366"/>
        <v>-50</v>
      </c>
      <c r="CG134" s="150">
        <f t="shared" si="367"/>
        <v>0.36074041506161109</v>
      </c>
      <c r="CI134" s="147">
        <v>24</v>
      </c>
      <c r="CJ134" s="188">
        <f t="shared" si="428"/>
        <v>0.12</v>
      </c>
      <c r="CK134" s="188"/>
      <c r="CL134" s="188">
        <f t="shared" si="368"/>
        <v>20.399999999999999</v>
      </c>
      <c r="CM134" s="465">
        <f t="shared" si="369"/>
        <v>9</v>
      </c>
      <c r="CN134" s="379">
        <f t="shared" si="370"/>
        <v>8.5350000000000001</v>
      </c>
      <c r="CO134" s="379">
        <f t="shared" si="371"/>
        <v>17.535</v>
      </c>
      <c r="CP134" s="379"/>
      <c r="CQ134" s="188">
        <f t="shared" si="372"/>
        <v>0.48674080410607357</v>
      </c>
      <c r="CR134" s="149">
        <f t="shared" si="429"/>
        <v>146.41650128314802</v>
      </c>
      <c r="CS134" s="149">
        <f t="shared" si="373"/>
        <v>20.399999999999999</v>
      </c>
      <c r="CT134" s="188">
        <f t="shared" si="374"/>
        <v>0.86127353695969422</v>
      </c>
      <c r="CU134" s="188">
        <f t="shared" si="375"/>
        <v>170</v>
      </c>
      <c r="CV134" s="188"/>
      <c r="CW134" s="149">
        <f t="shared" si="376"/>
        <v>2320.0542926928533</v>
      </c>
      <c r="CX134" s="149">
        <f t="shared" si="377"/>
        <v>170</v>
      </c>
      <c r="CY134" s="188">
        <f t="shared" si="378"/>
        <v>9.3136496777973043</v>
      </c>
      <c r="CZ134" s="188">
        <f t="shared" si="379"/>
        <v>1.5522749462995509</v>
      </c>
      <c r="DA134" s="188">
        <f t="shared" si="380"/>
        <v>1.6368452860803699</v>
      </c>
      <c r="DB134" s="172">
        <f t="shared" si="381"/>
        <v>219.03336184773312</v>
      </c>
      <c r="DC134" s="379">
        <f t="shared" si="382"/>
        <v>313.56610197594762</v>
      </c>
      <c r="DE134" s="188">
        <f t="shared" si="383"/>
        <v>13.333333333333334</v>
      </c>
      <c r="DF134" s="150">
        <f t="shared" si="384"/>
        <v>2.3432923257176337</v>
      </c>
      <c r="DG134" s="150">
        <f t="shared" si="385"/>
        <v>0.17108639863130889</v>
      </c>
      <c r="DH134" s="150"/>
      <c r="DI134" s="150">
        <f t="shared" si="386"/>
        <v>2.3432923257176337</v>
      </c>
      <c r="DJ134" s="314">
        <f t="shared" si="387"/>
        <v>153.62999999999994</v>
      </c>
      <c r="DK134" s="456">
        <f t="shared" si="388"/>
        <v>0.17108639863130887</v>
      </c>
      <c r="DM134" s="150">
        <f t="shared" si="389"/>
        <v>8.8337016994171638</v>
      </c>
      <c r="DN134" s="150">
        <f t="shared" si="390"/>
        <v>13.333333333333334</v>
      </c>
      <c r="DO134" s="150">
        <f t="shared" si="391"/>
        <v>1.0877885714285713</v>
      </c>
      <c r="DQ134" s="314">
        <f t="shared" si="392"/>
        <v>120</v>
      </c>
      <c r="DR134" s="144">
        <f t="shared" si="393"/>
        <v>153.62999999999994</v>
      </c>
      <c r="DT134">
        <f t="shared" si="430"/>
        <v>120</v>
      </c>
      <c r="DU134">
        <f t="shared" si="431"/>
        <v>153.62999999999994</v>
      </c>
      <c r="DW134" s="5">
        <f t="shared" si="394"/>
        <v>6.5091453492156504</v>
      </c>
      <c r="DX134" s="5">
        <f t="shared" si="395"/>
        <v>2.2222222222222223</v>
      </c>
      <c r="DY134" s="5">
        <f t="shared" si="396"/>
        <v>4.286923126993428</v>
      </c>
      <c r="DZ134" s="5"/>
      <c r="EA134" s="150">
        <f t="shared" si="397"/>
        <v>0.34139999999999987</v>
      </c>
      <c r="EB134" s="150">
        <f t="shared" si="398"/>
        <v>20.483999999999995</v>
      </c>
      <c r="EC134" s="150">
        <f t="shared" si="399"/>
        <v>0.21953333333333339</v>
      </c>
      <c r="ED134" s="150">
        <f t="shared" si="400"/>
        <v>93.307014880048541</v>
      </c>
      <c r="EE134" s="144">
        <f t="shared" si="401"/>
        <v>0.15686274509803921</v>
      </c>
      <c r="EF134" s="5">
        <f t="shared" si="402"/>
        <v>16.195042924197391</v>
      </c>
      <c r="EH134" s="150">
        <f t="shared" si="403"/>
        <v>4.4979007449154667</v>
      </c>
      <c r="EI134" s="150">
        <f t="shared" si="404"/>
        <v>0.31236256237002924</v>
      </c>
      <c r="EK134" s="456">
        <f t="shared" si="405"/>
        <v>6.8785777777777765E-2</v>
      </c>
      <c r="EL134" s="456">
        <f t="shared" si="406"/>
        <v>1.0919282975999995</v>
      </c>
      <c r="EM134" s="456">
        <f t="shared" si="407"/>
        <v>3.5181269999999987E-2</v>
      </c>
      <c r="EN134" s="456">
        <f t="shared" si="408"/>
        <v>3.2357737126023745E-2</v>
      </c>
      <c r="EO134">
        <f t="shared" si="409"/>
        <v>4.0499999999999998E-3</v>
      </c>
      <c r="EP134" s="144">
        <f t="shared" si="410"/>
        <v>39.231269999999988</v>
      </c>
      <c r="EQ134" s="144"/>
      <c r="ER134" s="144">
        <f t="shared" si="432"/>
        <v>1232.3030825038013</v>
      </c>
      <c r="ES134" s="456">
        <f t="shared" si="411"/>
        <v>0.3</v>
      </c>
      <c r="EV134" s="144">
        <f t="shared" si="412"/>
        <v>300</v>
      </c>
      <c r="EW134" s="456">
        <f t="shared" si="413"/>
        <v>3.0346666666666664E-2</v>
      </c>
      <c r="EX134" s="456">
        <f t="shared" si="414"/>
        <v>1.9514074074074083E-2</v>
      </c>
      <c r="EY134" s="456">
        <f t="shared" si="415"/>
        <v>9.495261336270941</v>
      </c>
      <c r="EZ134" s="456"/>
      <c r="FA134" s="456">
        <f t="shared" si="416"/>
        <v>2.7311999999999996E-2</v>
      </c>
      <c r="FB134" s="144">
        <f t="shared" si="417"/>
        <v>9572.4340770116814</v>
      </c>
      <c r="FC134" s="150">
        <f t="shared" si="418"/>
        <v>11.104737159515484</v>
      </c>
      <c r="FD134" s="5">
        <f t="shared" si="419"/>
        <v>20.399999999999999</v>
      </c>
      <c r="FE134" s="150">
        <f t="shared" si="420"/>
        <v>0.64752166941467459</v>
      </c>
      <c r="FF134" s="5">
        <f t="shared" si="421"/>
        <v>64.752166941467465</v>
      </c>
      <c r="FI134" s="59">
        <f t="shared" si="422"/>
        <v>-50</v>
      </c>
      <c r="FJ134">
        <f t="shared" si="423"/>
        <v>-50</v>
      </c>
      <c r="FL134">
        <f t="shared" si="424"/>
        <v>0.35999999999999988</v>
      </c>
    </row>
    <row r="135" spans="5:168">
      <c r="E135" s="147">
        <v>25</v>
      </c>
      <c r="F135" s="188">
        <f t="shared" si="425"/>
        <v>0.125</v>
      </c>
      <c r="G135" s="188"/>
      <c r="H135" s="188">
        <f t="shared" si="315"/>
        <v>21.25</v>
      </c>
      <c r="I135" s="465">
        <f t="shared" si="316"/>
        <v>8.9674003812464669</v>
      </c>
      <c r="J135" s="149">
        <f t="shared" si="317"/>
        <v>8.5383264917095438</v>
      </c>
      <c r="K135" s="149">
        <f t="shared" si="318"/>
        <v>17.505726872956011</v>
      </c>
      <c r="L135" s="379"/>
      <c r="M135" s="188">
        <f t="shared" si="319"/>
        <v>0.48774495674077972</v>
      </c>
      <c r="N135" s="149">
        <f t="shared" si="426"/>
        <v>146.18711942226955</v>
      </c>
      <c r="O135" s="149">
        <f t="shared" si="438"/>
        <v>21.25</v>
      </c>
      <c r="P135" s="188">
        <f t="shared" si="320"/>
        <v>0.85992423189570322</v>
      </c>
      <c r="Q135" s="188">
        <f t="shared" si="321"/>
        <v>170</v>
      </c>
      <c r="R135" s="188"/>
      <c r="S135" s="149">
        <f t="shared" si="322"/>
        <v>2212.0154980536995</v>
      </c>
      <c r="T135" s="149">
        <f t="shared" si="323"/>
        <v>170</v>
      </c>
      <c r="U135" s="188">
        <f t="shared" si="324"/>
        <v>9.7607628578676806</v>
      </c>
      <c r="V135" s="188">
        <f t="shared" si="325"/>
        <v>1.6327077708519138</v>
      </c>
      <c r="W135" s="188">
        <f t="shared" si="326"/>
        <v>1.7147557312334718</v>
      </c>
      <c r="X135" s="172">
        <f t="shared" si="327"/>
        <v>218.6901257874874</v>
      </c>
      <c r="Y135" s="379">
        <f t="shared" si="328"/>
        <v>281.89155418009159</v>
      </c>
      <c r="AA135" s="188">
        <f t="shared" si="329"/>
        <v>13.333333333333334</v>
      </c>
      <c r="AB135" s="150">
        <f t="shared" si="330"/>
        <v>2.3423793900853283</v>
      </c>
      <c r="AC135" s="150">
        <f t="shared" si="331"/>
        <v>0.17075174781992616</v>
      </c>
      <c r="AD135" s="150"/>
      <c r="AE135" s="150">
        <f t="shared" si="332"/>
        <v>2.3423793900853283</v>
      </c>
      <c r="AF135" s="314">
        <f t="shared" si="333"/>
        <v>160.09362171955388</v>
      </c>
      <c r="AG135" s="456">
        <f t="shared" si="334"/>
        <v>0.17075174781992616</v>
      </c>
      <c r="AI135" s="150">
        <f t="shared" si="335"/>
        <v>9.0176158245480007</v>
      </c>
      <c r="AJ135" s="150">
        <f t="shared" si="336"/>
        <v>13.333333333333334</v>
      </c>
      <c r="AK135" s="150">
        <f t="shared" si="337"/>
        <v>1.0914820695540308</v>
      </c>
      <c r="AM135" s="314">
        <f t="shared" si="338"/>
        <v>125</v>
      </c>
      <c r="AN135" s="144">
        <f t="shared" si="339"/>
        <v>160.09362171955388</v>
      </c>
      <c r="AP135" s="144">
        <f t="shared" si="340"/>
        <v>125</v>
      </c>
      <c r="AQ135" s="144">
        <f t="shared" si="341"/>
        <v>160.09362171955388</v>
      </c>
      <c r="AS135" s="5">
        <f t="shared" si="439"/>
        <v>6.2463450402275438</v>
      </c>
      <c r="AT135" s="5">
        <f t="shared" si="342"/>
        <v>2.2303007727664328</v>
      </c>
      <c r="AU135" s="5">
        <f t="shared" si="343"/>
        <v>4.016044267461111</v>
      </c>
      <c r="AV135" s="5"/>
      <c r="AW135" s="150">
        <f t="shared" si="344"/>
        <v>0.35705692823609803</v>
      </c>
      <c r="AX135" s="150">
        <f t="shared" si="435"/>
        <v>21.345816229273858</v>
      </c>
      <c r="AY135" s="150">
        <f t="shared" si="436"/>
        <v>0.21431435725463402</v>
      </c>
      <c r="AZ135" s="150">
        <f t="shared" si="440"/>
        <v>99.600495751725035</v>
      </c>
      <c r="BA135" s="144">
        <f t="shared" si="433"/>
        <v>0.16399270387988477</v>
      </c>
      <c r="BB135" s="5">
        <f t="shared" si="434"/>
        <v>15.861330496261061</v>
      </c>
      <c r="BD135" s="150">
        <f t="shared" si="441"/>
        <v>4.5998835942507998</v>
      </c>
      <c r="BE135" s="150">
        <f t="shared" si="437"/>
        <v>0.30862732452993208</v>
      </c>
      <c r="BG135" s="456">
        <f t="shared" si="347"/>
        <v>7.1940358874236027E-2</v>
      </c>
      <c r="BH135" s="456">
        <f t="shared" si="348"/>
        <v>0.89494929895200159</v>
      </c>
      <c r="BI135" s="456">
        <f t="shared" si="349"/>
        <v>6.5751561083491922E-2</v>
      </c>
      <c r="BJ135" s="456">
        <f t="shared" si="350"/>
        <v>3.3606624817105676E-2</v>
      </c>
      <c r="BK135">
        <f t="shared" si="351"/>
        <v>4.0353301715609097E-3</v>
      </c>
      <c r="BL135" s="144">
        <f t="shared" si="427"/>
        <v>69.786891255052836</v>
      </c>
      <c r="BM135" s="456">
        <f t="shared" si="352"/>
        <v>1.0376568789418192</v>
      </c>
      <c r="BN135" s="144">
        <f t="shared" si="353"/>
        <v>1037.6568789418193</v>
      </c>
      <c r="BO135" s="456">
        <f t="shared" si="354"/>
        <v>0.3125</v>
      </c>
      <c r="BR135" s="144">
        <f t="shared" si="355"/>
        <v>312.5</v>
      </c>
      <c r="BS135" s="456">
        <f t="shared" si="356"/>
        <v>3.1738393620986488E-2</v>
      </c>
      <c r="BT135" s="456">
        <f t="shared" si="357"/>
        <v>1.9050165089300804E-2</v>
      </c>
      <c r="BU135" s="456">
        <f t="shared" si="358"/>
        <v>10.525722588866582</v>
      </c>
      <c r="BV135" s="456"/>
      <c r="BW135" s="456">
        <f t="shared" si="359"/>
        <v>2.8461088305698476E-2</v>
      </c>
      <c r="BX135" s="144">
        <f t="shared" si="360"/>
        <v>10604.972235882569</v>
      </c>
      <c r="BY135" s="150">
        <f t="shared" si="361"/>
        <v>11.987755409780965</v>
      </c>
      <c r="BZ135" s="5">
        <f t="shared" si="362"/>
        <v>21.25</v>
      </c>
      <c r="CA135" s="150">
        <f t="shared" si="363"/>
        <v>0.63933318414596385</v>
      </c>
      <c r="CB135" s="5">
        <f t="shared" si="364"/>
        <v>63.933318414596386</v>
      </c>
      <c r="CE135" s="59">
        <f t="shared" si="365"/>
        <v>-50</v>
      </c>
      <c r="CF135">
        <f t="shared" si="366"/>
        <v>-50</v>
      </c>
      <c r="CG135" s="150">
        <f t="shared" si="367"/>
        <v>0.37577126568917824</v>
      </c>
      <c r="CI135" s="147">
        <v>25</v>
      </c>
      <c r="CJ135" s="188">
        <f t="shared" si="428"/>
        <v>0.125</v>
      </c>
      <c r="CK135" s="188"/>
      <c r="CL135" s="188">
        <f t="shared" si="368"/>
        <v>21.25</v>
      </c>
      <c r="CM135" s="465">
        <f t="shared" si="369"/>
        <v>9</v>
      </c>
      <c r="CN135" s="379">
        <f t="shared" si="370"/>
        <v>8.5350000000000001</v>
      </c>
      <c r="CO135" s="379">
        <f t="shared" si="371"/>
        <v>17.535</v>
      </c>
      <c r="CP135" s="379"/>
      <c r="CQ135" s="188">
        <f t="shared" si="372"/>
        <v>0.48674080410607357</v>
      </c>
      <c r="CR135" s="149">
        <f t="shared" si="429"/>
        <v>146.41650128314802</v>
      </c>
      <c r="CS135" s="149">
        <f t="shared" si="373"/>
        <v>21.25</v>
      </c>
      <c r="CT135" s="188">
        <f t="shared" si="374"/>
        <v>0.86127353695969422</v>
      </c>
      <c r="CU135" s="188">
        <f t="shared" si="375"/>
        <v>170</v>
      </c>
      <c r="CV135" s="188"/>
      <c r="CW135" s="149">
        <f t="shared" si="376"/>
        <v>2220.0567374165203</v>
      </c>
      <c r="CX135" s="149">
        <f t="shared" si="377"/>
        <v>170</v>
      </c>
      <c r="CY135" s="188">
        <f t="shared" si="378"/>
        <v>9.7017184143721931</v>
      </c>
      <c r="CZ135" s="188">
        <f t="shared" si="379"/>
        <v>1.6169530690620324</v>
      </c>
      <c r="DA135" s="188">
        <f t="shared" si="380"/>
        <v>1.7050471730003856</v>
      </c>
      <c r="DB135" s="172">
        <f t="shared" si="381"/>
        <v>219.03336184773312</v>
      </c>
      <c r="DC135" s="379">
        <f t="shared" si="382"/>
        <v>301.02345789690963</v>
      </c>
      <c r="DE135" s="188">
        <f t="shared" si="383"/>
        <v>13.333333333333334</v>
      </c>
      <c r="DF135" s="150">
        <f t="shared" si="384"/>
        <v>2.3432923257176337</v>
      </c>
      <c r="DG135" s="150">
        <f t="shared" si="385"/>
        <v>0.17108639863130889</v>
      </c>
      <c r="DH135" s="150"/>
      <c r="DI135" s="150">
        <f t="shared" si="386"/>
        <v>2.3432923257176337</v>
      </c>
      <c r="DJ135" s="314">
        <f t="shared" si="387"/>
        <v>160.03124999999994</v>
      </c>
      <c r="DK135" s="456">
        <f t="shared" si="388"/>
        <v>0.17108639863130887</v>
      </c>
      <c r="DM135" s="150">
        <f t="shared" si="389"/>
        <v>9.0158590431369472</v>
      </c>
      <c r="DN135" s="150">
        <f t="shared" si="390"/>
        <v>13.333333333333334</v>
      </c>
      <c r="DO135" s="150">
        <f t="shared" si="391"/>
        <v>1.0914464285714285</v>
      </c>
      <c r="DQ135" s="314">
        <f t="shared" si="392"/>
        <v>125</v>
      </c>
      <c r="DR135" s="144">
        <f t="shared" si="393"/>
        <v>160.03124999999994</v>
      </c>
      <c r="DT135">
        <f t="shared" si="430"/>
        <v>125</v>
      </c>
      <c r="DU135">
        <f t="shared" si="431"/>
        <v>160.03124999999994</v>
      </c>
      <c r="DW135" s="5">
        <f t="shared" si="394"/>
        <v>6.2487795352470243</v>
      </c>
      <c r="DX135" s="5">
        <f t="shared" si="395"/>
        <v>2.2222222222222223</v>
      </c>
      <c r="DY135" s="5">
        <f t="shared" si="396"/>
        <v>4.026557313024802</v>
      </c>
      <c r="DZ135" s="5"/>
      <c r="EA135" s="150">
        <f t="shared" si="397"/>
        <v>0.35562499999999991</v>
      </c>
      <c r="EB135" s="150">
        <f t="shared" si="398"/>
        <v>21.337499999999999</v>
      </c>
      <c r="EC135" s="150">
        <f t="shared" si="399"/>
        <v>0.21479166666666674</v>
      </c>
      <c r="ED135" s="150">
        <f t="shared" si="400"/>
        <v>99.340446168768139</v>
      </c>
      <c r="EE135" s="144">
        <f t="shared" si="401"/>
        <v>0.16339869281045752</v>
      </c>
      <c r="EF135" s="5">
        <f t="shared" si="402"/>
        <v>15.845248685514264</v>
      </c>
      <c r="EH135" s="150">
        <f t="shared" si="403"/>
        <v>4.5906507244696879</v>
      </c>
      <c r="EI135" s="150">
        <f t="shared" si="404"/>
        <v>0.30897081247742969</v>
      </c>
      <c r="EK135" s="456">
        <f t="shared" si="405"/>
        <v>7.1651851851851828E-2</v>
      </c>
      <c r="EL135" s="456">
        <f t="shared" si="406"/>
        <v>1.1374253099999996</v>
      </c>
      <c r="EM135" s="456">
        <f t="shared" si="407"/>
        <v>3.6647156249999986E-2</v>
      </c>
      <c r="EN135" s="456">
        <f t="shared" si="408"/>
        <v>3.3705976172941396E-2</v>
      </c>
      <c r="EO135">
        <f t="shared" si="409"/>
        <v>4.0499999999999998E-3</v>
      </c>
      <c r="EP135" s="144">
        <f t="shared" si="410"/>
        <v>40.697156249999985</v>
      </c>
      <c r="EQ135" s="144"/>
      <c r="ER135" s="144">
        <f t="shared" si="432"/>
        <v>1283.4802942747929</v>
      </c>
      <c r="ES135" s="456">
        <f t="shared" si="411"/>
        <v>0.3125</v>
      </c>
      <c r="EV135" s="144">
        <f t="shared" si="412"/>
        <v>312.5</v>
      </c>
      <c r="EW135" s="456">
        <f t="shared" si="413"/>
        <v>3.1611111111111104E-2</v>
      </c>
      <c r="EX135" s="456">
        <f t="shared" si="414"/>
        <v>1.9092592592592605E-2</v>
      </c>
      <c r="EY135" s="456">
        <f t="shared" si="415"/>
        <v>10.515473654622999</v>
      </c>
      <c r="EZ135" s="456"/>
      <c r="FA135" s="456">
        <f t="shared" si="416"/>
        <v>2.8449999999999996E-2</v>
      </c>
      <c r="FB135" s="144">
        <f t="shared" si="417"/>
        <v>10594.627358326703</v>
      </c>
      <c r="FC135" s="150">
        <f t="shared" si="418"/>
        <v>12.190607652601496</v>
      </c>
      <c r="FD135" s="5">
        <f t="shared" si="419"/>
        <v>21.25</v>
      </c>
      <c r="FE135" s="150">
        <f t="shared" si="420"/>
        <v>0.63545496005204516</v>
      </c>
      <c r="FF135" s="5">
        <f t="shared" si="421"/>
        <v>63.545496005204512</v>
      </c>
      <c r="FI135" s="59">
        <f t="shared" si="422"/>
        <v>-50</v>
      </c>
      <c r="FJ135">
        <f t="shared" si="423"/>
        <v>-50</v>
      </c>
      <c r="FL135">
        <f t="shared" si="424"/>
        <v>0.37499999999999989</v>
      </c>
    </row>
    <row r="136" spans="5:168">
      <c r="E136" s="147">
        <v>26</v>
      </c>
      <c r="F136" s="188">
        <f t="shared" si="425"/>
        <v>0.13</v>
      </c>
      <c r="G136" s="188"/>
      <c r="H136" s="188">
        <f t="shared" si="315"/>
        <v>22.1</v>
      </c>
      <c r="I136" s="465">
        <f t="shared" si="316"/>
        <v>8.9674003812464669</v>
      </c>
      <c r="J136" s="149">
        <f t="shared" si="317"/>
        <v>8.5383264917095438</v>
      </c>
      <c r="K136" s="149">
        <f t="shared" si="318"/>
        <v>17.505726872956011</v>
      </c>
      <c r="L136" s="379"/>
      <c r="M136" s="188">
        <f t="shared" si="319"/>
        <v>0.48774495674077972</v>
      </c>
      <c r="N136" s="149">
        <f t="shared" si="426"/>
        <v>146.18711942226955</v>
      </c>
      <c r="O136" s="149">
        <f t="shared" si="438"/>
        <v>22.1</v>
      </c>
      <c r="P136" s="188">
        <f t="shared" si="320"/>
        <v>0.85992423189570322</v>
      </c>
      <c r="Q136" s="188">
        <f t="shared" si="321"/>
        <v>170</v>
      </c>
      <c r="R136" s="188"/>
      <c r="S136" s="149">
        <f t="shared" si="322"/>
        <v>2120.0446213532127</v>
      </c>
      <c r="T136" s="149">
        <f t="shared" si="323"/>
        <v>170</v>
      </c>
      <c r="U136" s="188">
        <f t="shared" si="324"/>
        <v>10.151193372182387</v>
      </c>
      <c r="V136" s="188">
        <f t="shared" si="325"/>
        <v>1.6980160816859904</v>
      </c>
      <c r="W136" s="188">
        <f t="shared" si="326"/>
        <v>1.7833459604828106</v>
      </c>
      <c r="X136" s="172">
        <f t="shared" si="327"/>
        <v>218.6901257874874</v>
      </c>
      <c r="Y136" s="379">
        <f t="shared" si="328"/>
        <v>271.63859151730429</v>
      </c>
      <c r="AA136" s="188">
        <f t="shared" si="329"/>
        <v>13.333333333333334</v>
      </c>
      <c r="AB136" s="150">
        <f t="shared" si="330"/>
        <v>2.3423793900853283</v>
      </c>
      <c r="AC136" s="150">
        <f t="shared" si="331"/>
        <v>0.17075174781992616</v>
      </c>
      <c r="AD136" s="150"/>
      <c r="AE136" s="150">
        <f t="shared" si="332"/>
        <v>2.3423793900853283</v>
      </c>
      <c r="AF136" s="314">
        <f t="shared" si="333"/>
        <v>166.49736658833606</v>
      </c>
      <c r="AG136" s="456">
        <f t="shared" si="334"/>
        <v>0.17075174781992616</v>
      </c>
      <c r="AI136" s="150">
        <f t="shared" si="335"/>
        <v>9.1961998110906684</v>
      </c>
      <c r="AJ136" s="150">
        <f t="shared" si="336"/>
        <v>13.333333333333334</v>
      </c>
      <c r="AK136" s="150">
        <f t="shared" si="337"/>
        <v>1.0951413523361921</v>
      </c>
      <c r="AM136" s="314">
        <f t="shared" si="338"/>
        <v>130</v>
      </c>
      <c r="AN136" s="144">
        <f t="shared" si="339"/>
        <v>166.49736658833606</v>
      </c>
      <c r="AP136" s="144">
        <f t="shared" si="340"/>
        <v>130</v>
      </c>
      <c r="AQ136" s="144">
        <f t="shared" si="341"/>
        <v>166.49736658833606</v>
      </c>
      <c r="AS136" s="5">
        <f t="shared" si="439"/>
        <v>6.0061010002187913</v>
      </c>
      <c r="AT136" s="5">
        <f t="shared" si="342"/>
        <v>2.2303007727664328</v>
      </c>
      <c r="AU136" s="5">
        <f t="shared" si="343"/>
        <v>3.7758002274523585</v>
      </c>
      <c r="AV136" s="5"/>
      <c r="AW136" s="150">
        <f t="shared" si="344"/>
        <v>0.37133920536554199</v>
      </c>
      <c r="AX136" s="150">
        <f t="shared" si="435"/>
        <v>22.199648878444815</v>
      </c>
      <c r="AY136" s="150">
        <f t="shared" si="436"/>
        <v>0.20955359821148603</v>
      </c>
      <c r="AZ136" s="150">
        <f t="shared" si="440"/>
        <v>105.93780812124471</v>
      </c>
      <c r="BA136" s="144">
        <f t="shared" si="433"/>
        <v>0.17055241203508015</v>
      </c>
      <c r="BB136" s="5">
        <f t="shared" si="434"/>
        <v>15.508988387390046</v>
      </c>
      <c r="BD136" s="150">
        <f t="shared" si="441"/>
        <v>4.69097924146803</v>
      </c>
      <c r="BE136" s="150">
        <f t="shared" si="437"/>
        <v>0.3051801640645051</v>
      </c>
      <c r="BG136" s="456">
        <f t="shared" si="347"/>
        <v>7.4817973229205512E-2</v>
      </c>
      <c r="BH136" s="456">
        <f t="shared" si="348"/>
        <v>0.93074727091008191</v>
      </c>
      <c r="BI136" s="456">
        <f t="shared" si="349"/>
        <v>6.8381623526831609E-2</v>
      </c>
      <c r="BJ136" s="456">
        <f t="shared" si="350"/>
        <v>3.4950889809789915E-2</v>
      </c>
      <c r="BK136">
        <f t="shared" si="351"/>
        <v>4.0353301715609097E-3</v>
      </c>
      <c r="BL136" s="144">
        <f t="shared" si="427"/>
        <v>72.416953698392518</v>
      </c>
      <c r="BM136" s="456">
        <f t="shared" si="352"/>
        <v>1.0799143547002426</v>
      </c>
      <c r="BN136" s="144">
        <f t="shared" si="353"/>
        <v>1079.9143547002425</v>
      </c>
      <c r="BO136" s="456">
        <f t="shared" si="354"/>
        <v>0.32500000000000001</v>
      </c>
      <c r="BR136" s="144">
        <f t="shared" si="355"/>
        <v>325</v>
      </c>
      <c r="BS136" s="456">
        <f t="shared" si="356"/>
        <v>3.3007929365825965E-2</v>
      </c>
      <c r="BT136" s="456">
        <f t="shared" si="357"/>
        <v>1.862698650768765E-2</v>
      </c>
      <c r="BU136" s="456">
        <f t="shared" si="358"/>
        <v>11.610081489823854</v>
      </c>
      <c r="BV136" s="456"/>
      <c r="BW136" s="456">
        <f t="shared" si="359"/>
        <v>2.9599531837926418E-2</v>
      </c>
      <c r="BX136" s="144">
        <f t="shared" si="360"/>
        <v>11691.315937535293</v>
      </c>
      <c r="BY136" s="150">
        <f t="shared" si="361"/>
        <v>13.129249025182762</v>
      </c>
      <c r="BZ136" s="5">
        <f t="shared" si="362"/>
        <v>22.1</v>
      </c>
      <c r="CA136" s="150">
        <f t="shared" si="363"/>
        <v>0.62731964522440875</v>
      </c>
      <c r="CB136" s="5">
        <f t="shared" si="364"/>
        <v>62.731964522440876</v>
      </c>
      <c r="CE136" s="59">
        <f t="shared" si="365"/>
        <v>-50</v>
      </c>
      <c r="CF136">
        <f t="shared" si="366"/>
        <v>-50</v>
      </c>
      <c r="CG136" s="150">
        <f t="shared" si="367"/>
        <v>0.39080211631674538</v>
      </c>
      <c r="CI136" s="147">
        <v>26</v>
      </c>
      <c r="CJ136" s="188">
        <f t="shared" si="428"/>
        <v>0.13</v>
      </c>
      <c r="CK136" s="188"/>
      <c r="CL136" s="188">
        <f t="shared" si="368"/>
        <v>22.1</v>
      </c>
      <c r="CM136" s="465">
        <f t="shared" si="369"/>
        <v>9</v>
      </c>
      <c r="CN136" s="379">
        <f t="shared" si="370"/>
        <v>8.5350000000000001</v>
      </c>
      <c r="CO136" s="379">
        <f t="shared" si="371"/>
        <v>17.535</v>
      </c>
      <c r="CP136" s="379"/>
      <c r="CQ136" s="188">
        <f t="shared" si="372"/>
        <v>0.48674080410607357</v>
      </c>
      <c r="CR136" s="149">
        <f t="shared" si="429"/>
        <v>146.41650128314802</v>
      </c>
      <c r="CS136" s="149">
        <f t="shared" si="373"/>
        <v>22.1</v>
      </c>
      <c r="CT136" s="188">
        <f t="shared" si="374"/>
        <v>0.86127353695969422</v>
      </c>
      <c r="CU136" s="188">
        <f t="shared" si="375"/>
        <v>170</v>
      </c>
      <c r="CV136" s="188"/>
      <c r="CW136" s="149">
        <f t="shared" si="376"/>
        <v>2127.7515056583716</v>
      </c>
      <c r="CX136" s="149">
        <f t="shared" si="377"/>
        <v>170</v>
      </c>
      <c r="CY136" s="188">
        <f t="shared" si="378"/>
        <v>10.089787150947082</v>
      </c>
      <c r="CZ136" s="188">
        <f t="shared" si="379"/>
        <v>1.6816311918245139</v>
      </c>
      <c r="DA136" s="188">
        <f t="shared" si="380"/>
        <v>1.7732490599204009</v>
      </c>
      <c r="DB136" s="172">
        <f t="shared" si="381"/>
        <v>219.03336184773312</v>
      </c>
      <c r="DC136" s="379">
        <f t="shared" si="382"/>
        <v>289.44563259318232</v>
      </c>
      <c r="DE136" s="188">
        <f t="shared" si="383"/>
        <v>13.333333333333334</v>
      </c>
      <c r="DF136" s="150">
        <f t="shared" si="384"/>
        <v>2.3432923257176337</v>
      </c>
      <c r="DG136" s="150">
        <f t="shared" si="385"/>
        <v>0.17108639863130889</v>
      </c>
      <c r="DH136" s="150"/>
      <c r="DI136" s="150">
        <f t="shared" si="386"/>
        <v>2.3432923257176337</v>
      </c>
      <c r="DJ136" s="314">
        <f t="shared" si="387"/>
        <v>166.43249999999998</v>
      </c>
      <c r="DK136" s="456">
        <f t="shared" si="388"/>
        <v>0.17108639863130887</v>
      </c>
      <c r="DM136" s="150">
        <f t="shared" si="389"/>
        <v>9.1944082385514534</v>
      </c>
      <c r="DN136" s="150">
        <f t="shared" si="390"/>
        <v>13.333333333333334</v>
      </c>
      <c r="DO136" s="150">
        <f t="shared" si="391"/>
        <v>1.0951042857142856</v>
      </c>
      <c r="DQ136" s="314">
        <f t="shared" si="392"/>
        <v>130</v>
      </c>
      <c r="DR136" s="144">
        <f t="shared" si="393"/>
        <v>166.43249999999998</v>
      </c>
      <c r="DT136">
        <f t="shared" si="430"/>
        <v>130</v>
      </c>
      <c r="DU136">
        <f t="shared" si="431"/>
        <v>166.43249999999998</v>
      </c>
      <c r="DW136" s="5">
        <f t="shared" si="394"/>
        <v>6.0084418608144459</v>
      </c>
      <c r="DX136" s="5">
        <f t="shared" si="395"/>
        <v>2.2222222222222223</v>
      </c>
      <c r="DY136" s="5">
        <f t="shared" si="396"/>
        <v>3.7862196385922235</v>
      </c>
      <c r="DZ136" s="5"/>
      <c r="EA136" s="150">
        <f t="shared" si="397"/>
        <v>0.3698499999999999</v>
      </c>
      <c r="EB136" s="150">
        <f t="shared" si="398"/>
        <v>22.191000000000003</v>
      </c>
      <c r="EC136" s="150">
        <f t="shared" si="399"/>
        <v>0.21005000000000007</v>
      </c>
      <c r="ED136" s="150">
        <f t="shared" si="400"/>
        <v>105.64627469650081</v>
      </c>
      <c r="EE136" s="144">
        <f t="shared" si="401"/>
        <v>0.16993464052287585</v>
      </c>
      <c r="EF136" s="5">
        <f t="shared" si="402"/>
        <v>15.495454446831136</v>
      </c>
      <c r="EH136" s="150">
        <f t="shared" si="403"/>
        <v>4.6815635248319589</v>
      </c>
      <c r="EI136" s="150">
        <f t="shared" si="404"/>
        <v>0.30554141381415972</v>
      </c>
      <c r="EK136" s="456">
        <f t="shared" si="405"/>
        <v>7.4517925925925918E-2</v>
      </c>
      <c r="EL136" s="456">
        <f t="shared" si="406"/>
        <v>1.1829223224000001</v>
      </c>
      <c r="EM136" s="456">
        <f t="shared" si="407"/>
        <v>3.8113042499999993E-2</v>
      </c>
      <c r="EN136" s="456">
        <f t="shared" si="408"/>
        <v>3.5054215219859061E-2</v>
      </c>
      <c r="EO136">
        <f t="shared" si="409"/>
        <v>4.0499999999999998E-3</v>
      </c>
      <c r="EP136" s="144">
        <f t="shared" si="410"/>
        <v>42.163042499999989</v>
      </c>
      <c r="EQ136" s="144"/>
      <c r="ER136" s="144">
        <f t="shared" si="432"/>
        <v>1334.6575060457851</v>
      </c>
      <c r="ES136" s="456">
        <f t="shared" si="411"/>
        <v>0.32500000000000001</v>
      </c>
      <c r="EV136" s="144">
        <f t="shared" si="412"/>
        <v>325</v>
      </c>
      <c r="EW136" s="456">
        <f t="shared" si="413"/>
        <v>3.2875555555555554E-2</v>
      </c>
      <c r="EX136" s="456">
        <f t="shared" si="414"/>
        <v>1.8671111111111121E-2</v>
      </c>
      <c r="EY136" s="456">
        <f t="shared" si="415"/>
        <v>11.598776711387272</v>
      </c>
      <c r="EZ136" s="456"/>
      <c r="FA136" s="456">
        <f t="shared" si="416"/>
        <v>2.9588000000000003E-2</v>
      </c>
      <c r="FB136" s="144">
        <f t="shared" si="417"/>
        <v>11679.911378053939</v>
      </c>
      <c r="FC136" s="150">
        <f t="shared" si="418"/>
        <v>13.339568884099723</v>
      </c>
      <c r="FD136" s="5">
        <f t="shared" si="419"/>
        <v>22.1</v>
      </c>
      <c r="FE136" s="150">
        <f t="shared" si="420"/>
        <v>0.62359675063415798</v>
      </c>
      <c r="FF136" s="5">
        <f t="shared" si="421"/>
        <v>62.3596750634158</v>
      </c>
      <c r="FI136" s="59">
        <f t="shared" si="422"/>
        <v>-50</v>
      </c>
      <c r="FJ136">
        <f t="shared" si="423"/>
        <v>-50</v>
      </c>
      <c r="FL136">
        <f t="shared" si="424"/>
        <v>0.38999999999999996</v>
      </c>
    </row>
    <row r="137" spans="5:168">
      <c r="E137" s="147">
        <v>27</v>
      </c>
      <c r="F137" s="188">
        <f t="shared" si="425"/>
        <v>0.13500000000000001</v>
      </c>
      <c r="G137" s="188"/>
      <c r="H137" s="188">
        <f t="shared" si="315"/>
        <v>22.950000000000003</v>
      </c>
      <c r="I137" s="465">
        <f t="shared" si="316"/>
        <v>8.9674003812464669</v>
      </c>
      <c r="J137" s="149">
        <f t="shared" si="317"/>
        <v>8.5383264917095438</v>
      </c>
      <c r="K137" s="149">
        <f t="shared" si="318"/>
        <v>17.505726872956011</v>
      </c>
      <c r="L137" s="379"/>
      <c r="M137" s="188">
        <f t="shared" si="319"/>
        <v>0.48774495674077972</v>
      </c>
      <c r="N137" s="149">
        <f t="shared" si="426"/>
        <v>146.18711942226955</v>
      </c>
      <c r="O137" s="149">
        <f t="shared" si="438"/>
        <v>22.950000000000003</v>
      </c>
      <c r="P137" s="188">
        <f t="shared" si="320"/>
        <v>0.85992423189570322</v>
      </c>
      <c r="Q137" s="188">
        <f t="shared" si="321"/>
        <v>170</v>
      </c>
      <c r="R137" s="188"/>
      <c r="S137" s="149">
        <f t="shared" si="322"/>
        <v>2034.8866004275258</v>
      </c>
      <c r="T137" s="149">
        <f t="shared" si="323"/>
        <v>170</v>
      </c>
      <c r="U137" s="188">
        <f t="shared" si="324"/>
        <v>10.541623886497096</v>
      </c>
      <c r="V137" s="188">
        <f t="shared" si="325"/>
        <v>1.7633243925200672</v>
      </c>
      <c r="W137" s="188">
        <f t="shared" si="326"/>
        <v>1.8519361897321498</v>
      </c>
      <c r="X137" s="172">
        <f t="shared" si="327"/>
        <v>218.6901257874874</v>
      </c>
      <c r="Y137" s="379">
        <f t="shared" si="328"/>
        <v>262.10529489172711</v>
      </c>
      <c r="AA137" s="188">
        <f t="shared" si="329"/>
        <v>13.333333333333334</v>
      </c>
      <c r="AB137" s="150">
        <f t="shared" si="330"/>
        <v>2.3423793900853283</v>
      </c>
      <c r="AC137" s="150">
        <f t="shared" si="331"/>
        <v>0.17075174781992616</v>
      </c>
      <c r="AD137" s="150"/>
      <c r="AE137" s="150">
        <f t="shared" si="332"/>
        <v>2.3423793900853283</v>
      </c>
      <c r="AF137" s="314">
        <f t="shared" si="333"/>
        <v>172.90111145711822</v>
      </c>
      <c r="AG137" s="456">
        <f t="shared" si="334"/>
        <v>0.17075174781992616</v>
      </c>
      <c r="AI137" s="150">
        <f t="shared" si="335"/>
        <v>9.3713812627525517</v>
      </c>
      <c r="AJ137" s="150">
        <f t="shared" si="336"/>
        <v>13.333333333333334</v>
      </c>
      <c r="AK137" s="150">
        <f t="shared" si="337"/>
        <v>1.0988006351183532</v>
      </c>
      <c r="AM137" s="314">
        <f t="shared" si="338"/>
        <v>135</v>
      </c>
      <c r="AN137" s="144">
        <f t="shared" si="339"/>
        <v>172.90111145711822</v>
      </c>
      <c r="AP137" s="144">
        <f t="shared" si="340"/>
        <v>135</v>
      </c>
      <c r="AQ137" s="144">
        <f t="shared" si="341"/>
        <v>172.90111145711822</v>
      </c>
      <c r="AS137" s="5">
        <f t="shared" si="439"/>
        <v>5.7836528150255031</v>
      </c>
      <c r="AT137" s="5">
        <f t="shared" si="342"/>
        <v>2.2303007727664328</v>
      </c>
      <c r="AU137" s="5">
        <f t="shared" si="343"/>
        <v>3.5533520422590703</v>
      </c>
      <c r="AV137" s="5"/>
      <c r="AW137" s="150">
        <f t="shared" si="344"/>
        <v>0.38562148249498585</v>
      </c>
      <c r="AX137" s="150">
        <f t="shared" si="435"/>
        <v>23.053481527615769</v>
      </c>
      <c r="AY137" s="150">
        <f t="shared" si="436"/>
        <v>0.20479283916833807</v>
      </c>
      <c r="AZ137" s="150">
        <f t="shared" si="440"/>
        <v>112.56976377316587</v>
      </c>
      <c r="BA137" s="144">
        <f t="shared" si="433"/>
        <v>0.17711212019027556</v>
      </c>
      <c r="BB137" s="5">
        <f t="shared" si="434"/>
        <v>15.156646278519034</v>
      </c>
      <c r="BD137" s="150">
        <f t="shared" si="441"/>
        <v>4.7803392564869576</v>
      </c>
      <c r="BE137" s="150">
        <f t="shared" si="437"/>
        <v>0.30169361880950102</v>
      </c>
      <c r="BG137" s="456">
        <f t="shared" si="347"/>
        <v>7.7695587584174941E-2</v>
      </c>
      <c r="BH137" s="456">
        <f t="shared" si="348"/>
        <v>0.9665452428681619</v>
      </c>
      <c r="BI137" s="456">
        <f t="shared" si="349"/>
        <v>7.1011685970171295E-2</v>
      </c>
      <c r="BJ137" s="456">
        <f t="shared" si="350"/>
        <v>3.6295154802474139E-2</v>
      </c>
      <c r="BK137">
        <f t="shared" si="351"/>
        <v>4.0353301715609097E-3</v>
      </c>
      <c r="BL137" s="144">
        <f t="shared" si="427"/>
        <v>75.0470161417322</v>
      </c>
      <c r="BM137" s="456">
        <f t="shared" si="352"/>
        <v>1.1222307019151123</v>
      </c>
      <c r="BN137" s="144">
        <f t="shared" si="353"/>
        <v>1122.2307019151124</v>
      </c>
      <c r="BO137" s="456">
        <f t="shared" si="354"/>
        <v>0.33750000000000002</v>
      </c>
      <c r="BR137" s="144">
        <f t="shared" si="355"/>
        <v>337.5</v>
      </c>
      <c r="BS137" s="456">
        <f t="shared" si="356"/>
        <v>3.4277465110665414E-2</v>
      </c>
      <c r="BT137" s="456">
        <f t="shared" si="357"/>
        <v>1.8203807926074501E-2</v>
      </c>
      <c r="BU137" s="456">
        <f t="shared" si="358"/>
        <v>12.758843443394996</v>
      </c>
      <c r="BV137" s="456"/>
      <c r="BW137" s="456">
        <f t="shared" si="359"/>
        <v>3.0737975370154356E-2</v>
      </c>
      <c r="BX137" s="144">
        <f t="shared" si="360"/>
        <v>12842.062691801892</v>
      </c>
      <c r="BY137" s="150">
        <f t="shared" si="361"/>
        <v>14.335145693198434</v>
      </c>
      <c r="BZ137" s="5">
        <f t="shared" si="362"/>
        <v>22.950000000000003</v>
      </c>
      <c r="CA137" s="150">
        <f t="shared" si="363"/>
        <v>0.61552662791891799</v>
      </c>
      <c r="CB137" s="5">
        <f t="shared" si="364"/>
        <v>61.552662791891798</v>
      </c>
      <c r="CE137" s="59">
        <f t="shared" si="365"/>
        <v>-50</v>
      </c>
      <c r="CF137">
        <f t="shared" si="366"/>
        <v>-50</v>
      </c>
      <c r="CG137" s="150">
        <f t="shared" si="367"/>
        <v>0.40583296694431253</v>
      </c>
      <c r="CI137" s="147">
        <v>27</v>
      </c>
      <c r="CJ137" s="188">
        <f t="shared" si="428"/>
        <v>0.13500000000000001</v>
      </c>
      <c r="CK137" s="188"/>
      <c r="CL137" s="188">
        <f t="shared" si="368"/>
        <v>22.950000000000003</v>
      </c>
      <c r="CM137" s="465">
        <f t="shared" si="369"/>
        <v>9</v>
      </c>
      <c r="CN137" s="379">
        <f t="shared" si="370"/>
        <v>8.5350000000000001</v>
      </c>
      <c r="CO137" s="379">
        <f t="shared" si="371"/>
        <v>17.535</v>
      </c>
      <c r="CP137" s="379"/>
      <c r="CQ137" s="188">
        <f t="shared" si="372"/>
        <v>0.48674080410607357</v>
      </c>
      <c r="CR137" s="149">
        <f t="shared" si="429"/>
        <v>146.41650128314802</v>
      </c>
      <c r="CS137" s="149">
        <f t="shared" si="373"/>
        <v>22.950000000000003</v>
      </c>
      <c r="CT137" s="188">
        <f t="shared" si="374"/>
        <v>0.86127353695969422</v>
      </c>
      <c r="CU137" s="188">
        <f t="shared" si="375"/>
        <v>170</v>
      </c>
      <c r="CV137" s="188"/>
      <c r="CW137" s="149">
        <f t="shared" si="376"/>
        <v>2042.2838967171624</v>
      </c>
      <c r="CX137" s="149">
        <f t="shared" si="377"/>
        <v>170</v>
      </c>
      <c r="CY137" s="188">
        <f t="shared" si="378"/>
        <v>10.477855887521971</v>
      </c>
      <c r="CZ137" s="188">
        <f t="shared" si="379"/>
        <v>1.7463093145869952</v>
      </c>
      <c r="DA137" s="188">
        <f t="shared" si="380"/>
        <v>1.8414509468404168</v>
      </c>
      <c r="DB137" s="172">
        <f t="shared" si="381"/>
        <v>219.03336184773312</v>
      </c>
      <c r="DC137" s="379">
        <f t="shared" si="382"/>
        <v>278.72542397861997</v>
      </c>
      <c r="DE137" s="188">
        <f t="shared" si="383"/>
        <v>13.333333333333334</v>
      </c>
      <c r="DF137" s="150">
        <f t="shared" si="384"/>
        <v>2.3432923257176337</v>
      </c>
      <c r="DG137" s="150">
        <f t="shared" si="385"/>
        <v>0.17108639863130889</v>
      </c>
      <c r="DH137" s="150"/>
      <c r="DI137" s="150">
        <f t="shared" si="386"/>
        <v>2.3432923257176337</v>
      </c>
      <c r="DJ137" s="314">
        <f t="shared" si="387"/>
        <v>172.83374999999998</v>
      </c>
      <c r="DK137" s="456">
        <f t="shared" si="388"/>
        <v>0.17108639863130887</v>
      </c>
      <c r="DM137" s="150">
        <f t="shared" si="389"/>
        <v>9.3695555619555098</v>
      </c>
      <c r="DN137" s="150">
        <f t="shared" si="390"/>
        <v>13.333333333333334</v>
      </c>
      <c r="DO137" s="150">
        <f t="shared" si="391"/>
        <v>1.0987621428571428</v>
      </c>
      <c r="DQ137" s="314">
        <f t="shared" si="392"/>
        <v>135</v>
      </c>
      <c r="DR137" s="144">
        <f t="shared" si="393"/>
        <v>172.83374999999998</v>
      </c>
      <c r="DT137">
        <f t="shared" si="430"/>
        <v>135</v>
      </c>
      <c r="DU137">
        <f t="shared" si="431"/>
        <v>172.83374999999998</v>
      </c>
      <c r="DW137" s="5">
        <f t="shared" si="394"/>
        <v>5.7859069770805762</v>
      </c>
      <c r="DX137" s="5">
        <f t="shared" si="395"/>
        <v>2.2222222222222223</v>
      </c>
      <c r="DY137" s="5">
        <f t="shared" si="396"/>
        <v>3.5636847548583539</v>
      </c>
      <c r="DZ137" s="5"/>
      <c r="EA137" s="150">
        <f t="shared" si="397"/>
        <v>0.384075</v>
      </c>
      <c r="EB137" s="150">
        <f t="shared" si="398"/>
        <v>23.044500000000003</v>
      </c>
      <c r="EC137" s="150">
        <f t="shared" si="399"/>
        <v>0.20530833333333337</v>
      </c>
      <c r="ED137" s="150">
        <f t="shared" si="400"/>
        <v>112.24337378739294</v>
      </c>
      <c r="EE137" s="144">
        <f t="shared" si="401"/>
        <v>0.17647058823529416</v>
      </c>
      <c r="EF137" s="5">
        <f t="shared" si="402"/>
        <v>15.145660208148003</v>
      </c>
      <c r="EH137" s="150">
        <f t="shared" si="403"/>
        <v>4.7707441767506253</v>
      </c>
      <c r="EI137" s="150">
        <f t="shared" si="404"/>
        <v>0.30207308411731781</v>
      </c>
      <c r="EK137" s="456">
        <f t="shared" si="405"/>
        <v>7.7383999999999994E-2</v>
      </c>
      <c r="EL137" s="456">
        <f t="shared" si="406"/>
        <v>1.2284193348000001</v>
      </c>
      <c r="EM137" s="456">
        <f t="shared" si="407"/>
        <v>3.9578928749999992E-2</v>
      </c>
      <c r="EN137" s="456">
        <f t="shared" si="408"/>
        <v>3.640245426677672E-2</v>
      </c>
      <c r="EO137">
        <f t="shared" si="409"/>
        <v>4.0499999999999998E-3</v>
      </c>
      <c r="EP137" s="144">
        <f t="shared" si="410"/>
        <v>43.628928749999993</v>
      </c>
      <c r="EQ137" s="144"/>
      <c r="ER137" s="144">
        <f t="shared" si="432"/>
        <v>1385.8347178167767</v>
      </c>
      <c r="ES137" s="456">
        <f t="shared" si="411"/>
        <v>0.33750000000000002</v>
      </c>
      <c r="EV137" s="144">
        <f t="shared" si="412"/>
        <v>337.5</v>
      </c>
      <c r="EW137" s="456">
        <f t="shared" si="413"/>
        <v>3.4140000000000004E-2</v>
      </c>
      <c r="EX137" s="456">
        <f t="shared" si="414"/>
        <v>1.8249629629629633E-2</v>
      </c>
      <c r="EY137" s="456">
        <f t="shared" si="415"/>
        <v>12.746420111279669</v>
      </c>
      <c r="EZ137" s="456"/>
      <c r="FA137" s="456">
        <f t="shared" si="416"/>
        <v>3.0726000000000003E-2</v>
      </c>
      <c r="FB137" s="144">
        <f t="shared" si="417"/>
        <v>12829.535740909298</v>
      </c>
      <c r="FC137" s="150">
        <f t="shared" si="418"/>
        <v>14.552870458726074</v>
      </c>
      <c r="FD137" s="5">
        <f t="shared" si="419"/>
        <v>22.950000000000003</v>
      </c>
      <c r="FE137" s="150">
        <f t="shared" si="420"/>
        <v>0.61195315769916092</v>
      </c>
      <c r="FF137" s="5">
        <f t="shared" si="421"/>
        <v>61.195315769916093</v>
      </c>
      <c r="FI137" s="59">
        <f t="shared" si="422"/>
        <v>-50</v>
      </c>
      <c r="FJ137">
        <f t="shared" si="423"/>
        <v>-50</v>
      </c>
      <c r="FL137">
        <f t="shared" si="424"/>
        <v>0.40499999999999997</v>
      </c>
    </row>
    <row r="138" spans="5:168">
      <c r="E138" s="147">
        <v>28</v>
      </c>
      <c r="F138" s="188">
        <f t="shared" si="425"/>
        <v>0.14000000000000001</v>
      </c>
      <c r="G138" s="188"/>
      <c r="H138" s="188">
        <f t="shared" si="315"/>
        <v>23.8</v>
      </c>
      <c r="I138" s="465">
        <f t="shared" si="316"/>
        <v>8.9674003812464669</v>
      </c>
      <c r="J138" s="149">
        <f t="shared" si="317"/>
        <v>8.5383264917095438</v>
      </c>
      <c r="K138" s="149">
        <f t="shared" si="318"/>
        <v>17.505726872956011</v>
      </c>
      <c r="L138" s="379"/>
      <c r="M138" s="188">
        <f t="shared" si="319"/>
        <v>0.48774495674077972</v>
      </c>
      <c r="N138" s="149">
        <f t="shared" si="426"/>
        <v>146.18711942226955</v>
      </c>
      <c r="O138" s="149">
        <f t="shared" si="438"/>
        <v>23.8</v>
      </c>
      <c r="P138" s="188">
        <f t="shared" si="320"/>
        <v>0.85992423189570322</v>
      </c>
      <c r="Q138" s="188">
        <f t="shared" si="321"/>
        <v>170</v>
      </c>
      <c r="R138" s="188"/>
      <c r="S138" s="149">
        <f t="shared" si="322"/>
        <v>1955.8114883110852</v>
      </c>
      <c r="T138" s="149">
        <f t="shared" si="323"/>
        <v>170</v>
      </c>
      <c r="U138" s="188">
        <f t="shared" si="324"/>
        <v>10.932054400811802</v>
      </c>
      <c r="V138" s="188">
        <f t="shared" si="325"/>
        <v>1.8286327033541434</v>
      </c>
      <c r="W138" s="188">
        <f t="shared" si="326"/>
        <v>1.9205264189814883</v>
      </c>
      <c r="X138" s="172">
        <f t="shared" si="327"/>
        <v>218.6901257874874</v>
      </c>
      <c r="Y138" s="379">
        <f t="shared" si="328"/>
        <v>253.21846221495747</v>
      </c>
      <c r="AA138" s="188">
        <f t="shared" si="329"/>
        <v>13.333333333333334</v>
      </c>
      <c r="AB138" s="150">
        <f t="shared" si="330"/>
        <v>2.3423793900853283</v>
      </c>
      <c r="AC138" s="150">
        <f t="shared" si="331"/>
        <v>0.17075174781992616</v>
      </c>
      <c r="AD138" s="150"/>
      <c r="AE138" s="150">
        <f t="shared" si="332"/>
        <v>2.3423793900853283</v>
      </c>
      <c r="AF138" s="314">
        <f t="shared" si="333"/>
        <v>179.30485632590037</v>
      </c>
      <c r="AG138" s="456">
        <f t="shared" si="334"/>
        <v>0.17075174781992616</v>
      </c>
      <c r="AI138" s="150">
        <f t="shared" si="335"/>
        <v>9.5433475561898682</v>
      </c>
      <c r="AJ138" s="150">
        <f t="shared" si="336"/>
        <v>13.333333333333334</v>
      </c>
      <c r="AK138" s="150">
        <f t="shared" si="337"/>
        <v>1.1024599179005146</v>
      </c>
      <c r="AM138" s="314">
        <f t="shared" si="338"/>
        <v>140</v>
      </c>
      <c r="AN138" s="144">
        <f t="shared" si="339"/>
        <v>179.30485632590037</v>
      </c>
      <c r="AP138" s="144">
        <f t="shared" si="340"/>
        <v>140</v>
      </c>
      <c r="AQ138" s="144">
        <f t="shared" si="341"/>
        <v>179.30485632590037</v>
      </c>
      <c r="AS138" s="5">
        <f t="shared" si="439"/>
        <v>5.577093785917449</v>
      </c>
      <c r="AT138" s="5">
        <f t="shared" si="342"/>
        <v>2.2303007727664328</v>
      </c>
      <c r="AU138" s="5">
        <f t="shared" si="343"/>
        <v>3.3467930131510162</v>
      </c>
      <c r="AV138" s="5"/>
      <c r="AW138" s="150">
        <f t="shared" si="344"/>
        <v>0.39990375962442981</v>
      </c>
      <c r="AX138" s="150">
        <f t="shared" si="435"/>
        <v>23.907314176786723</v>
      </c>
      <c r="AY138" s="150">
        <f t="shared" si="436"/>
        <v>0.20003208012519008</v>
      </c>
      <c r="AZ138" s="150">
        <f t="shared" si="440"/>
        <v>119.51740021812667</v>
      </c>
      <c r="BA138" s="144">
        <f t="shared" si="433"/>
        <v>0.18367182834547097</v>
      </c>
      <c r="BB138" s="5">
        <f t="shared" si="434"/>
        <v>14.804304169648018</v>
      </c>
      <c r="BD138" s="150">
        <f t="shared" si="441"/>
        <v>4.8680592200934223</v>
      </c>
      <c r="BE138" s="150">
        <f t="shared" si="437"/>
        <v>0.29816630715476006</v>
      </c>
      <c r="BG138" s="456">
        <f t="shared" si="347"/>
        <v>8.0573201939144357E-2</v>
      </c>
      <c r="BH138" s="456">
        <f t="shared" si="348"/>
        <v>1.0023432148262419</v>
      </c>
      <c r="BI138" s="456">
        <f t="shared" si="349"/>
        <v>7.3641748413510968E-2</v>
      </c>
      <c r="BJ138" s="456">
        <f t="shared" si="350"/>
        <v>3.763941979515837E-2</v>
      </c>
      <c r="BK138">
        <f t="shared" si="351"/>
        <v>4.0353301715609097E-3</v>
      </c>
      <c r="BL138" s="144">
        <f t="shared" si="427"/>
        <v>77.677078585071882</v>
      </c>
      <c r="BM138" s="456">
        <f t="shared" si="352"/>
        <v>1.1646060436982892</v>
      </c>
      <c r="BN138" s="144">
        <f t="shared" si="353"/>
        <v>1164.6060436982893</v>
      </c>
      <c r="BO138" s="456">
        <f t="shared" si="354"/>
        <v>0.35000000000000003</v>
      </c>
      <c r="BR138" s="144">
        <f t="shared" si="355"/>
        <v>350.00000000000006</v>
      </c>
      <c r="BS138" s="456">
        <f t="shared" si="356"/>
        <v>3.5547000855504871E-2</v>
      </c>
      <c r="BT138" s="456">
        <f t="shared" si="357"/>
        <v>1.7780629344461344E-2</v>
      </c>
      <c r="BU138" s="456">
        <f t="shared" si="358"/>
        <v>13.973235431735306</v>
      </c>
      <c r="BV138" s="456"/>
      <c r="BW138" s="456">
        <f t="shared" si="359"/>
        <v>3.1876418902382297E-2</v>
      </c>
      <c r="BX138" s="144">
        <f t="shared" si="360"/>
        <v>14058.439480837655</v>
      </c>
      <c r="BY138" s="150">
        <f t="shared" si="361"/>
        <v>15.606672395983271</v>
      </c>
      <c r="BZ138" s="5">
        <f t="shared" si="362"/>
        <v>23.8</v>
      </c>
      <c r="CA138" s="150">
        <f t="shared" si="363"/>
        <v>0.60395863321933108</v>
      </c>
      <c r="CB138" s="5">
        <f t="shared" si="364"/>
        <v>60.395863321933106</v>
      </c>
      <c r="CE138" s="59">
        <f t="shared" si="365"/>
        <v>-50</v>
      </c>
      <c r="CF138">
        <f t="shared" si="366"/>
        <v>-50</v>
      </c>
      <c r="CG138" s="150">
        <f t="shared" si="367"/>
        <v>0.42086381757187968</v>
      </c>
      <c r="CI138" s="147">
        <v>28</v>
      </c>
      <c r="CJ138" s="188">
        <f t="shared" si="428"/>
        <v>0.14000000000000001</v>
      </c>
      <c r="CK138" s="188"/>
      <c r="CL138" s="188">
        <f t="shared" si="368"/>
        <v>23.8</v>
      </c>
      <c r="CM138" s="465">
        <f t="shared" si="369"/>
        <v>9</v>
      </c>
      <c r="CN138" s="379">
        <f t="shared" si="370"/>
        <v>8.5350000000000001</v>
      </c>
      <c r="CO138" s="379">
        <f t="shared" si="371"/>
        <v>17.535</v>
      </c>
      <c r="CP138" s="379"/>
      <c r="CQ138" s="188">
        <f t="shared" si="372"/>
        <v>0.48674080410607357</v>
      </c>
      <c r="CR138" s="149">
        <f t="shared" si="429"/>
        <v>146.41650128314802</v>
      </c>
      <c r="CS138" s="149">
        <f t="shared" si="373"/>
        <v>23.8</v>
      </c>
      <c r="CT138" s="188">
        <f t="shared" si="374"/>
        <v>0.86127353695969422</v>
      </c>
      <c r="CU138" s="188">
        <f t="shared" si="375"/>
        <v>170</v>
      </c>
      <c r="CV138" s="188"/>
      <c r="CW138" s="149">
        <f t="shared" si="376"/>
        <v>1962.9213100157278</v>
      </c>
      <c r="CX138" s="149">
        <f t="shared" si="377"/>
        <v>170</v>
      </c>
      <c r="CY138" s="188">
        <f t="shared" si="378"/>
        <v>10.865924624096857</v>
      </c>
      <c r="CZ138" s="188">
        <f t="shared" si="379"/>
        <v>1.8109874373494765</v>
      </c>
      <c r="DA138" s="188">
        <f t="shared" si="380"/>
        <v>1.9096528337604319</v>
      </c>
      <c r="DB138" s="172">
        <f t="shared" si="381"/>
        <v>219.03336184773312</v>
      </c>
      <c r="DC138" s="379">
        <f t="shared" si="382"/>
        <v>268.7709445508122</v>
      </c>
      <c r="DE138" s="188">
        <f t="shared" si="383"/>
        <v>13.333333333333334</v>
      </c>
      <c r="DF138" s="150">
        <f t="shared" si="384"/>
        <v>2.3432923257176337</v>
      </c>
      <c r="DG138" s="150">
        <f t="shared" si="385"/>
        <v>0.17108639863130889</v>
      </c>
      <c r="DH138" s="150"/>
      <c r="DI138" s="150">
        <f t="shared" si="386"/>
        <v>2.3432923257176337</v>
      </c>
      <c r="DJ138" s="314">
        <f t="shared" si="387"/>
        <v>179.23499999999996</v>
      </c>
      <c r="DK138" s="456">
        <f t="shared" si="388"/>
        <v>0.17108639863130887</v>
      </c>
      <c r="DM138" s="150">
        <f t="shared" si="389"/>
        <v>9.5414883535012507</v>
      </c>
      <c r="DN138" s="150">
        <f t="shared" si="390"/>
        <v>13.333333333333334</v>
      </c>
      <c r="DO138" s="150">
        <f t="shared" si="391"/>
        <v>1.10242</v>
      </c>
      <c r="DQ138" s="314">
        <f t="shared" si="392"/>
        <v>140</v>
      </c>
      <c r="DR138" s="144">
        <f t="shared" si="393"/>
        <v>179.23499999999996</v>
      </c>
      <c r="DT138">
        <f t="shared" si="430"/>
        <v>140</v>
      </c>
      <c r="DU138">
        <f t="shared" si="431"/>
        <v>179.23499999999996</v>
      </c>
      <c r="DW138" s="5">
        <f t="shared" si="394"/>
        <v>5.5792674421848423</v>
      </c>
      <c r="DX138" s="5">
        <f t="shared" si="395"/>
        <v>2.2222222222222223</v>
      </c>
      <c r="DY138" s="5">
        <f t="shared" si="396"/>
        <v>3.35704521996262</v>
      </c>
      <c r="DZ138" s="5"/>
      <c r="EA138" s="150">
        <f t="shared" si="397"/>
        <v>0.39829999999999993</v>
      </c>
      <c r="EB138" s="150">
        <f t="shared" si="398"/>
        <v>23.898</v>
      </c>
      <c r="EC138" s="150">
        <f t="shared" si="399"/>
        <v>0.20056666666666673</v>
      </c>
      <c r="ED138" s="150">
        <f t="shared" si="400"/>
        <v>119.15240152900112</v>
      </c>
      <c r="EE138" s="144">
        <f t="shared" si="401"/>
        <v>0.18300653594771243</v>
      </c>
      <c r="EF138" s="5">
        <f t="shared" si="402"/>
        <v>14.795865969464879</v>
      </c>
      <c r="EH138" s="150">
        <f t="shared" si="403"/>
        <v>4.858288069162116</v>
      </c>
      <c r="EI138" s="150">
        <f t="shared" si="404"/>
        <v>0.29856446664119424</v>
      </c>
      <c r="EK138" s="456">
        <f t="shared" si="405"/>
        <v>8.0250074074074071E-2</v>
      </c>
      <c r="EL138" s="456">
        <f t="shared" si="406"/>
        <v>1.2739163471999999</v>
      </c>
      <c r="EM138" s="456">
        <f t="shared" si="407"/>
        <v>4.1044814999999991E-2</v>
      </c>
      <c r="EN138" s="456">
        <f t="shared" si="408"/>
        <v>3.7750693313694371E-2</v>
      </c>
      <c r="EO138">
        <f t="shared" si="409"/>
        <v>4.0499999999999998E-3</v>
      </c>
      <c r="EP138" s="144">
        <f t="shared" si="410"/>
        <v>45.09481499999999</v>
      </c>
      <c r="EQ138" s="144"/>
      <c r="ER138" s="144">
        <f t="shared" si="432"/>
        <v>1437.0119295877685</v>
      </c>
      <c r="ES138" s="456">
        <f t="shared" si="411"/>
        <v>0.35000000000000003</v>
      </c>
      <c r="EV138" s="144">
        <f t="shared" si="412"/>
        <v>350.00000000000006</v>
      </c>
      <c r="EW138" s="456">
        <f t="shared" si="413"/>
        <v>3.5404444444444447E-2</v>
      </c>
      <c r="EX138" s="456">
        <f t="shared" si="414"/>
        <v>1.7828148148148159E-2</v>
      </c>
      <c r="EY138" s="456">
        <f t="shared" si="415"/>
        <v>13.959629641738415</v>
      </c>
      <c r="EZ138" s="456"/>
      <c r="FA138" s="456">
        <f t="shared" si="416"/>
        <v>3.1863999999999996E-2</v>
      </c>
      <c r="FB138" s="144">
        <f t="shared" si="417"/>
        <v>14044.726234331009</v>
      </c>
      <c r="FC138" s="150">
        <f t="shared" si="418"/>
        <v>15.831738163918777</v>
      </c>
      <c r="FD138" s="5">
        <f t="shared" si="419"/>
        <v>23.8</v>
      </c>
      <c r="FE138" s="150">
        <f t="shared" si="420"/>
        <v>0.60052879592517627</v>
      </c>
      <c r="FF138" s="5">
        <f t="shared" si="421"/>
        <v>60.052879592517627</v>
      </c>
      <c r="FI138" s="59">
        <f t="shared" si="422"/>
        <v>-50</v>
      </c>
      <c r="FJ138">
        <f t="shared" si="423"/>
        <v>-50</v>
      </c>
      <c r="FL138">
        <f t="shared" si="424"/>
        <v>0.42</v>
      </c>
    </row>
    <row r="139" spans="5:168">
      <c r="E139" s="147">
        <v>29</v>
      </c>
      <c r="F139" s="188">
        <f t="shared" si="425"/>
        <v>0.14499999999999999</v>
      </c>
      <c r="G139" s="188"/>
      <c r="H139" s="188">
        <f t="shared" si="315"/>
        <v>24.65</v>
      </c>
      <c r="I139" s="465">
        <f t="shared" si="316"/>
        <v>8.9674003812464669</v>
      </c>
      <c r="J139" s="149">
        <f t="shared" si="317"/>
        <v>8.5383264917095438</v>
      </c>
      <c r="K139" s="149">
        <f t="shared" si="318"/>
        <v>17.505726872956011</v>
      </c>
      <c r="L139" s="379"/>
      <c r="M139" s="188">
        <f t="shared" si="319"/>
        <v>0.48774495674077972</v>
      </c>
      <c r="N139" s="149">
        <f t="shared" si="426"/>
        <v>146.18711942226955</v>
      </c>
      <c r="O139" s="149">
        <f t="shared" si="438"/>
        <v>24.65</v>
      </c>
      <c r="P139" s="188">
        <f t="shared" si="320"/>
        <v>0.85992423189570322</v>
      </c>
      <c r="Q139" s="188">
        <f t="shared" si="321"/>
        <v>170</v>
      </c>
      <c r="R139" s="188"/>
      <c r="S139" s="149">
        <f t="shared" si="322"/>
        <v>1882.1900204018652</v>
      </c>
      <c r="T139" s="149">
        <f t="shared" si="323"/>
        <v>170</v>
      </c>
      <c r="U139" s="188">
        <f t="shared" si="324"/>
        <v>11.322484915126509</v>
      </c>
      <c r="V139" s="188">
        <f t="shared" si="325"/>
        <v>1.8939410141882203</v>
      </c>
      <c r="W139" s="188">
        <f t="shared" si="326"/>
        <v>1.9891166482308271</v>
      </c>
      <c r="X139" s="172">
        <f t="shared" si="327"/>
        <v>218.6901257874874</v>
      </c>
      <c r="Y139" s="379">
        <f t="shared" si="328"/>
        <v>244.9144936658916</v>
      </c>
      <c r="AA139" s="188">
        <f t="shared" si="329"/>
        <v>13.333333333333334</v>
      </c>
      <c r="AB139" s="150">
        <f t="shared" si="330"/>
        <v>2.3423793900853283</v>
      </c>
      <c r="AC139" s="150">
        <f t="shared" si="331"/>
        <v>0.17075174781992616</v>
      </c>
      <c r="AD139" s="150"/>
      <c r="AE139" s="150">
        <f t="shared" si="332"/>
        <v>2.3423793900853283</v>
      </c>
      <c r="AF139" s="314">
        <f t="shared" si="333"/>
        <v>185.7086011946825</v>
      </c>
      <c r="AG139" s="456">
        <f t="shared" si="334"/>
        <v>0.17075174781992616</v>
      </c>
      <c r="AI139" s="150">
        <f t="shared" si="335"/>
        <v>9.7122694765230158</v>
      </c>
      <c r="AJ139" s="150">
        <f t="shared" si="336"/>
        <v>13.333333333333334</v>
      </c>
      <c r="AK139" s="150">
        <f t="shared" si="337"/>
        <v>1.1061192006826757</v>
      </c>
      <c r="AM139" s="314">
        <f t="shared" si="338"/>
        <v>145</v>
      </c>
      <c r="AN139" s="144">
        <f t="shared" si="339"/>
        <v>185.7086011946825</v>
      </c>
      <c r="AP139" s="144">
        <f t="shared" si="340"/>
        <v>145</v>
      </c>
      <c r="AQ139" s="144">
        <f t="shared" si="341"/>
        <v>185.7086011946825</v>
      </c>
      <c r="AS139" s="5">
        <f t="shared" si="439"/>
        <v>5.3847802070927102</v>
      </c>
      <c r="AT139" s="5">
        <f t="shared" si="342"/>
        <v>2.2303007727664328</v>
      </c>
      <c r="AU139" s="5">
        <f t="shared" si="343"/>
        <v>3.1544794343262774</v>
      </c>
      <c r="AV139" s="5"/>
      <c r="AW139" s="150">
        <f t="shared" si="344"/>
        <v>0.41418603675387367</v>
      </c>
      <c r="AX139" s="150">
        <f t="shared" si="435"/>
        <v>24.76114682595767</v>
      </c>
      <c r="AY139" s="150">
        <f t="shared" si="436"/>
        <v>0.19527132108204212</v>
      </c>
      <c r="AZ139" s="150">
        <f t="shared" si="440"/>
        <v>126.80380656386514</v>
      </c>
      <c r="BA139" s="144">
        <f t="shared" si="433"/>
        <v>0.19023153650066632</v>
      </c>
      <c r="BB139" s="5">
        <f t="shared" si="434"/>
        <v>14.451962060777007</v>
      </c>
      <c r="BD139" s="150">
        <f t="shared" si="441"/>
        <v>4.9542262497349556</v>
      </c>
      <c r="BE139" s="150">
        <f t="shared" si="437"/>
        <v>0.29459676477218982</v>
      </c>
      <c r="BG139" s="456">
        <f t="shared" si="347"/>
        <v>8.34508162941138E-2</v>
      </c>
      <c r="BH139" s="456">
        <f t="shared" si="348"/>
        <v>1.038141186784322</v>
      </c>
      <c r="BI139" s="456">
        <f t="shared" si="349"/>
        <v>7.6271810856850628E-2</v>
      </c>
      <c r="BJ139" s="456">
        <f t="shared" si="350"/>
        <v>3.8983684787842587E-2</v>
      </c>
      <c r="BK139">
        <f t="shared" si="351"/>
        <v>4.0353301715609097E-3</v>
      </c>
      <c r="BL139" s="144">
        <f t="shared" si="427"/>
        <v>80.307141028411536</v>
      </c>
      <c r="BM139" s="456">
        <f t="shared" si="352"/>
        <v>1.2070405035051419</v>
      </c>
      <c r="BN139" s="144">
        <f t="shared" si="353"/>
        <v>1207.0405035051419</v>
      </c>
      <c r="BO139" s="456">
        <f t="shared" si="354"/>
        <v>0.36249999999999999</v>
      </c>
      <c r="BR139" s="144">
        <f t="shared" si="355"/>
        <v>362.5</v>
      </c>
      <c r="BS139" s="456">
        <f t="shared" si="356"/>
        <v>3.6816536600344327E-2</v>
      </c>
      <c r="BT139" s="456">
        <f t="shared" si="357"/>
        <v>1.7357450762848191E-2</v>
      </c>
      <c r="BU139" s="456">
        <f t="shared" si="358"/>
        <v>15.254461910158177</v>
      </c>
      <c r="BV139" s="456"/>
      <c r="BW139" s="456">
        <f t="shared" si="359"/>
        <v>3.3014862434610229E-2</v>
      </c>
      <c r="BX139" s="144">
        <f t="shared" si="360"/>
        <v>15341.650759955981</v>
      </c>
      <c r="BY139" s="150">
        <f t="shared" si="361"/>
        <v>16.94503358885067</v>
      </c>
      <c r="BZ139" s="5">
        <f t="shared" si="362"/>
        <v>24.65</v>
      </c>
      <c r="CA139" s="150">
        <f t="shared" si="363"/>
        <v>0.59261882665259591</v>
      </c>
      <c r="CB139" s="5">
        <f t="shared" si="364"/>
        <v>59.261882665259591</v>
      </c>
      <c r="CE139" s="59">
        <f t="shared" si="365"/>
        <v>-50</v>
      </c>
      <c r="CF139">
        <f t="shared" si="366"/>
        <v>-50</v>
      </c>
      <c r="CG139" s="150">
        <f t="shared" si="367"/>
        <v>0.43589466819944678</v>
      </c>
      <c r="CI139" s="147">
        <v>29</v>
      </c>
      <c r="CJ139" s="188">
        <f t="shared" si="428"/>
        <v>0.14499999999999999</v>
      </c>
      <c r="CK139" s="188"/>
      <c r="CL139" s="188">
        <f t="shared" si="368"/>
        <v>24.65</v>
      </c>
      <c r="CM139" s="465">
        <f t="shared" si="369"/>
        <v>9</v>
      </c>
      <c r="CN139" s="379">
        <f t="shared" si="370"/>
        <v>8.5350000000000001</v>
      </c>
      <c r="CO139" s="379">
        <f t="shared" si="371"/>
        <v>17.535</v>
      </c>
      <c r="CP139" s="379"/>
      <c r="CQ139" s="188">
        <f t="shared" si="372"/>
        <v>0.48674080410607357</v>
      </c>
      <c r="CR139" s="149">
        <f t="shared" si="429"/>
        <v>146.41650128314802</v>
      </c>
      <c r="CS139" s="149">
        <f t="shared" si="373"/>
        <v>24.65</v>
      </c>
      <c r="CT139" s="188">
        <f t="shared" si="374"/>
        <v>0.86127353695969422</v>
      </c>
      <c r="CU139" s="188">
        <f t="shared" si="375"/>
        <v>170</v>
      </c>
      <c r="CV139" s="188"/>
      <c r="CW139" s="149">
        <f t="shared" si="376"/>
        <v>1889.0321933558278</v>
      </c>
      <c r="CX139" s="149">
        <f t="shared" si="377"/>
        <v>170</v>
      </c>
      <c r="CY139" s="188">
        <f t="shared" si="378"/>
        <v>11.253993360671743</v>
      </c>
      <c r="CZ139" s="188">
        <f t="shared" si="379"/>
        <v>1.8756655601119574</v>
      </c>
      <c r="DA139" s="188">
        <f t="shared" si="380"/>
        <v>1.9778547206804469</v>
      </c>
      <c r="DB139" s="172">
        <f t="shared" si="381"/>
        <v>219.03336184773312</v>
      </c>
      <c r="DC139" s="379">
        <f t="shared" si="382"/>
        <v>259.50298094561185</v>
      </c>
      <c r="DE139" s="188">
        <f t="shared" si="383"/>
        <v>13.333333333333334</v>
      </c>
      <c r="DF139" s="150">
        <f t="shared" si="384"/>
        <v>2.3432923257176337</v>
      </c>
      <c r="DG139" s="150">
        <f t="shared" si="385"/>
        <v>0.17108639863130889</v>
      </c>
      <c r="DH139" s="150"/>
      <c r="DI139" s="150">
        <f t="shared" si="386"/>
        <v>2.3432923257176337</v>
      </c>
      <c r="DJ139" s="314">
        <f t="shared" si="387"/>
        <v>185.63624999999993</v>
      </c>
      <c r="DK139" s="456">
        <f t="shared" si="388"/>
        <v>0.17108639863130887</v>
      </c>
      <c r="DM139" s="150">
        <f t="shared" si="389"/>
        <v>9.7103773650372904</v>
      </c>
      <c r="DN139" s="150">
        <f t="shared" si="390"/>
        <v>13.333333333333334</v>
      </c>
      <c r="DO139" s="150">
        <f t="shared" si="391"/>
        <v>1.1060778571428571</v>
      </c>
      <c r="DQ139" s="314">
        <f t="shared" si="392"/>
        <v>145</v>
      </c>
      <c r="DR139" s="144">
        <f t="shared" si="393"/>
        <v>185.63624999999993</v>
      </c>
      <c r="DT139">
        <f t="shared" si="430"/>
        <v>145</v>
      </c>
      <c r="DU139">
        <f t="shared" si="431"/>
        <v>185.63624999999993</v>
      </c>
      <c r="DW139" s="5">
        <f t="shared" si="394"/>
        <v>5.3868789096957101</v>
      </c>
      <c r="DX139" s="5">
        <f t="shared" si="395"/>
        <v>2.2222222222222223</v>
      </c>
      <c r="DY139" s="5">
        <f t="shared" si="396"/>
        <v>3.1646566874734878</v>
      </c>
      <c r="DZ139" s="5"/>
      <c r="EA139" s="150">
        <f t="shared" si="397"/>
        <v>0.41252499999999992</v>
      </c>
      <c r="EB139" s="150">
        <f t="shared" si="398"/>
        <v>24.751499999999997</v>
      </c>
      <c r="EC139" s="150">
        <f t="shared" si="399"/>
        <v>0.19582500000000005</v>
      </c>
      <c r="ED139" s="150">
        <f t="shared" si="400"/>
        <v>126.39601685178087</v>
      </c>
      <c r="EE139" s="144">
        <f t="shared" si="401"/>
        <v>0.18954248366013071</v>
      </c>
      <c r="EF139" s="5">
        <f t="shared" si="402"/>
        <v>14.446071730781753</v>
      </c>
      <c r="EH139" s="150">
        <f t="shared" si="403"/>
        <v>4.9442821446521359</v>
      </c>
      <c r="EI139" s="150">
        <f t="shared" si="404"/>
        <v>0.29501412395567328</v>
      </c>
      <c r="EK139" s="456">
        <f t="shared" si="405"/>
        <v>8.3116148148148133E-2</v>
      </c>
      <c r="EL139" s="456">
        <f t="shared" si="406"/>
        <v>1.3194133595999995</v>
      </c>
      <c r="EM139" s="456">
        <f t="shared" si="407"/>
        <v>4.2510701249999991E-2</v>
      </c>
      <c r="EN139" s="456">
        <f t="shared" si="408"/>
        <v>3.9098932360612022E-2</v>
      </c>
      <c r="EO139">
        <f t="shared" si="409"/>
        <v>4.0499999999999998E-3</v>
      </c>
      <c r="EP139" s="144">
        <f t="shared" si="410"/>
        <v>46.560701249999987</v>
      </c>
      <c r="EQ139" s="144"/>
      <c r="ER139" s="144">
        <f t="shared" si="432"/>
        <v>1488.1891413587598</v>
      </c>
      <c r="ES139" s="456">
        <f t="shared" si="411"/>
        <v>0.36249999999999999</v>
      </c>
      <c r="EV139" s="144">
        <f t="shared" si="412"/>
        <v>362.5</v>
      </c>
      <c r="EW139" s="456">
        <f t="shared" si="413"/>
        <v>3.6668888888888883E-2</v>
      </c>
      <c r="EX139" s="456">
        <f t="shared" si="414"/>
        <v>1.7406666666666674E-2</v>
      </c>
      <c r="EY139" s="456">
        <f t="shared" si="415"/>
        <v>15.239608585294372</v>
      </c>
      <c r="EZ139" s="456"/>
      <c r="FA139" s="456">
        <f t="shared" si="416"/>
        <v>3.3001999999999997E-2</v>
      </c>
      <c r="FB139" s="144">
        <f t="shared" si="417"/>
        <v>15326.686140849928</v>
      </c>
      <c r="FC139" s="150">
        <f t="shared" si="418"/>
        <v>17.177375282208686</v>
      </c>
      <c r="FD139" s="5">
        <f t="shared" si="419"/>
        <v>24.65</v>
      </c>
      <c r="FE139" s="150">
        <f t="shared" si="420"/>
        <v>0.58932696191637202</v>
      </c>
      <c r="FF139" s="5">
        <f t="shared" si="421"/>
        <v>58.932696191637199</v>
      </c>
      <c r="FI139" s="59">
        <f t="shared" si="422"/>
        <v>-50</v>
      </c>
      <c r="FJ139">
        <f t="shared" si="423"/>
        <v>-50</v>
      </c>
      <c r="FL139">
        <f t="shared" si="424"/>
        <v>0.43499999999999989</v>
      </c>
    </row>
    <row r="140" spans="5:168">
      <c r="E140" s="147">
        <v>30</v>
      </c>
      <c r="F140" s="188">
        <f t="shared" si="425"/>
        <v>0.15</v>
      </c>
      <c r="G140" s="188"/>
      <c r="H140" s="188">
        <f t="shared" si="315"/>
        <v>25.5</v>
      </c>
      <c r="I140" s="465">
        <f t="shared" si="316"/>
        <v>8.9674003812464669</v>
      </c>
      <c r="J140" s="149">
        <f t="shared" si="317"/>
        <v>8.5383264917095438</v>
      </c>
      <c r="K140" s="149">
        <f t="shared" si="318"/>
        <v>17.505726872956011</v>
      </c>
      <c r="L140" s="379"/>
      <c r="M140" s="188">
        <f t="shared" si="319"/>
        <v>0.48774495674077972</v>
      </c>
      <c r="N140" s="149">
        <f t="shared" si="426"/>
        <v>146.18711942226955</v>
      </c>
      <c r="O140" s="149">
        <f t="shared" si="438"/>
        <v>25.5</v>
      </c>
      <c r="P140" s="188">
        <f t="shared" si="320"/>
        <v>0.85992423189570322</v>
      </c>
      <c r="Q140" s="188">
        <f t="shared" si="321"/>
        <v>170</v>
      </c>
      <c r="R140" s="188"/>
      <c r="S140" s="149">
        <f t="shared" si="322"/>
        <v>1813.4768340678131</v>
      </c>
      <c r="T140" s="149">
        <f t="shared" si="323"/>
        <v>170</v>
      </c>
      <c r="U140" s="188">
        <f t="shared" si="324"/>
        <v>11.712915429441216</v>
      </c>
      <c r="V140" s="188">
        <f t="shared" si="325"/>
        <v>1.9592493250222964</v>
      </c>
      <c r="W140" s="188">
        <f t="shared" si="326"/>
        <v>2.0577068774801659</v>
      </c>
      <c r="X140" s="172">
        <f t="shared" si="327"/>
        <v>218.6901257874874</v>
      </c>
      <c r="Y140" s="379">
        <f t="shared" si="328"/>
        <v>237.13786721488154</v>
      </c>
      <c r="AA140" s="188">
        <f t="shared" si="329"/>
        <v>13.333333333333334</v>
      </c>
      <c r="AB140" s="150">
        <f t="shared" si="330"/>
        <v>2.3423793900853283</v>
      </c>
      <c r="AC140" s="150">
        <f t="shared" si="331"/>
        <v>0.17075174781992616</v>
      </c>
      <c r="AD140" s="150"/>
      <c r="AE140" s="150">
        <f t="shared" si="332"/>
        <v>2.3423793900853283</v>
      </c>
      <c r="AF140" s="314">
        <f t="shared" si="333"/>
        <v>192.11234606346468</v>
      </c>
      <c r="AG140" s="456">
        <f t="shared" si="334"/>
        <v>0.17075174781992616</v>
      </c>
      <c r="AI140" s="150">
        <f t="shared" si="335"/>
        <v>9.8783032040409768</v>
      </c>
      <c r="AJ140" s="150">
        <f t="shared" si="336"/>
        <v>13.333333333333334</v>
      </c>
      <c r="AK140" s="150">
        <f t="shared" si="337"/>
        <v>1.109778483464837</v>
      </c>
      <c r="AM140" s="314">
        <f t="shared" si="338"/>
        <v>150</v>
      </c>
      <c r="AN140" s="144">
        <f t="shared" si="339"/>
        <v>192.11234606346468</v>
      </c>
      <c r="AP140" s="144">
        <f t="shared" si="340"/>
        <v>150</v>
      </c>
      <c r="AQ140" s="144">
        <f t="shared" si="341"/>
        <v>192.11234606346468</v>
      </c>
      <c r="AS140" s="5">
        <f t="shared" si="439"/>
        <v>5.2052875335229523</v>
      </c>
      <c r="AT140" s="5">
        <f t="shared" si="342"/>
        <v>2.2303007727664328</v>
      </c>
      <c r="AU140" s="5">
        <f t="shared" si="343"/>
        <v>2.9749867607565195</v>
      </c>
      <c r="AV140" s="5"/>
      <c r="AW140" s="150">
        <f t="shared" si="344"/>
        <v>0.42846831388331769</v>
      </c>
      <c r="AX140" s="150">
        <f t="shared" si="435"/>
        <v>25.614979475128631</v>
      </c>
      <c r="AY140" s="150">
        <f t="shared" si="436"/>
        <v>0.19051056203889413</v>
      </c>
      <c r="AZ140" s="150">
        <f t="shared" si="440"/>
        <v>134.45437985689816</v>
      </c>
      <c r="BA140" s="144">
        <f t="shared" si="433"/>
        <v>0.19679124465586167</v>
      </c>
      <c r="BB140" s="5">
        <f t="shared" si="434"/>
        <v>14.099619951905991</v>
      </c>
      <c r="BD140" s="150">
        <f t="shared" si="441"/>
        <v>5.0389200129382097</v>
      </c>
      <c r="BE140" s="150">
        <f t="shared" si="437"/>
        <v>0.29098343751178551</v>
      </c>
      <c r="BG140" s="456">
        <f t="shared" si="347"/>
        <v>8.6328430649083299E-2</v>
      </c>
      <c r="BH140" s="456">
        <f t="shared" si="348"/>
        <v>1.0739391587424023</v>
      </c>
      <c r="BI140" s="456">
        <f t="shared" si="349"/>
        <v>7.8901873300190328E-2</v>
      </c>
      <c r="BJ140" s="456">
        <f t="shared" si="350"/>
        <v>4.0327949780526826E-2</v>
      </c>
      <c r="BK140">
        <f t="shared" si="351"/>
        <v>4.0353301715609097E-3</v>
      </c>
      <c r="BL140" s="144">
        <f t="shared" si="427"/>
        <v>82.937203471751232</v>
      </c>
      <c r="BM140" s="456">
        <f t="shared" si="352"/>
        <v>1.2495342051357454</v>
      </c>
      <c r="BN140" s="144">
        <f t="shared" si="353"/>
        <v>1249.5342051357454</v>
      </c>
      <c r="BO140" s="456">
        <f t="shared" si="354"/>
        <v>0.375</v>
      </c>
      <c r="BR140" s="144">
        <f t="shared" si="355"/>
        <v>375</v>
      </c>
      <c r="BS140" s="456">
        <f t="shared" si="356"/>
        <v>3.8086072345183811E-2</v>
      </c>
      <c r="BT140" s="456">
        <f t="shared" si="357"/>
        <v>1.6934272181235038E-2</v>
      </c>
      <c r="BU140" s="456">
        <f t="shared" si="358"/>
        <v>16.60370600437605</v>
      </c>
      <c r="BV140" s="456"/>
      <c r="BW140" s="456">
        <f t="shared" si="359"/>
        <v>3.4153305966838174E-2</v>
      </c>
      <c r="BX140" s="144">
        <f t="shared" si="360"/>
        <v>16692.87965486931</v>
      </c>
      <c r="BY140" s="150">
        <f t="shared" si="361"/>
        <v>18.351412397513073</v>
      </c>
      <c r="BZ140" s="5">
        <f t="shared" si="362"/>
        <v>25.5</v>
      </c>
      <c r="CA140" s="150">
        <f t="shared" si="363"/>
        <v>0.581509205880132</v>
      </c>
      <c r="CB140" s="5">
        <f t="shared" si="364"/>
        <v>58.1509205880132</v>
      </c>
      <c r="CE140" s="59">
        <f t="shared" si="365"/>
        <v>-50</v>
      </c>
      <c r="CF140">
        <f t="shared" si="366"/>
        <v>-50</v>
      </c>
      <c r="CG140" s="150">
        <f t="shared" si="367"/>
        <v>0.45092551882701393</v>
      </c>
      <c r="CI140" s="147">
        <v>30</v>
      </c>
      <c r="CJ140" s="188">
        <f t="shared" si="428"/>
        <v>0.15</v>
      </c>
      <c r="CK140" s="188"/>
      <c r="CL140" s="188">
        <f t="shared" si="368"/>
        <v>25.5</v>
      </c>
      <c r="CM140" s="465">
        <f t="shared" si="369"/>
        <v>9</v>
      </c>
      <c r="CN140" s="379">
        <f t="shared" si="370"/>
        <v>8.5350000000000001</v>
      </c>
      <c r="CO140" s="379">
        <f t="shared" si="371"/>
        <v>17.535</v>
      </c>
      <c r="CP140" s="379"/>
      <c r="CQ140" s="188">
        <f t="shared" si="372"/>
        <v>0.48674080410607357</v>
      </c>
      <c r="CR140" s="149">
        <f t="shared" si="429"/>
        <v>146.41650128314802</v>
      </c>
      <c r="CS140" s="149">
        <f t="shared" si="373"/>
        <v>25.5</v>
      </c>
      <c r="CT140" s="188">
        <f t="shared" si="374"/>
        <v>0.86127353695969422</v>
      </c>
      <c r="CU140" s="188">
        <f t="shared" si="375"/>
        <v>170</v>
      </c>
      <c r="CV140" s="188"/>
      <c r="CW140" s="149">
        <f t="shared" si="376"/>
        <v>1820.0692015220247</v>
      </c>
      <c r="CX140" s="149">
        <f t="shared" si="377"/>
        <v>170</v>
      </c>
      <c r="CY140" s="188">
        <f t="shared" si="378"/>
        <v>11.642062097246631</v>
      </c>
      <c r="CZ140" s="188">
        <f t="shared" si="379"/>
        <v>1.9403436828744385</v>
      </c>
      <c r="DA140" s="188">
        <f t="shared" si="380"/>
        <v>2.046056607600462</v>
      </c>
      <c r="DB140" s="172">
        <f t="shared" si="381"/>
        <v>219.03336184773312</v>
      </c>
      <c r="DC140" s="379">
        <f t="shared" si="382"/>
        <v>250.85288158075809</v>
      </c>
      <c r="DE140" s="188">
        <f t="shared" si="383"/>
        <v>13.333333333333334</v>
      </c>
      <c r="DF140" s="150">
        <f t="shared" si="384"/>
        <v>2.3432923257176337</v>
      </c>
      <c r="DG140" s="150">
        <f t="shared" si="385"/>
        <v>0.17108639863130889</v>
      </c>
      <c r="DH140" s="150"/>
      <c r="DI140" s="150">
        <f t="shared" si="386"/>
        <v>2.3432923257176337</v>
      </c>
      <c r="DJ140" s="314">
        <f t="shared" si="387"/>
        <v>192.03749999999994</v>
      </c>
      <c r="DK140" s="456">
        <f t="shared" si="388"/>
        <v>0.17108639863130887</v>
      </c>
      <c r="DM140" s="150">
        <f t="shared" si="389"/>
        <v>9.8763787464260968</v>
      </c>
      <c r="DN140" s="150">
        <f t="shared" si="390"/>
        <v>13.333333333333334</v>
      </c>
      <c r="DO140" s="150">
        <f t="shared" si="391"/>
        <v>1.1097357142857143</v>
      </c>
      <c r="DQ140" s="314">
        <f t="shared" si="392"/>
        <v>150</v>
      </c>
      <c r="DR140" s="144">
        <f t="shared" si="393"/>
        <v>192.03749999999994</v>
      </c>
      <c r="DT140">
        <f t="shared" si="430"/>
        <v>150</v>
      </c>
      <c r="DU140">
        <f t="shared" si="431"/>
        <v>192.03749999999994</v>
      </c>
      <c r="DW140" s="5">
        <f t="shared" si="394"/>
        <v>5.2073162793725203</v>
      </c>
      <c r="DX140" s="5">
        <f t="shared" si="395"/>
        <v>2.2222222222222223</v>
      </c>
      <c r="DY140" s="5">
        <f t="shared" si="396"/>
        <v>2.985094057150298</v>
      </c>
      <c r="DZ140" s="5"/>
      <c r="EA140" s="150">
        <f t="shared" si="397"/>
        <v>0.42674999999999985</v>
      </c>
      <c r="EB140" s="150">
        <f t="shared" si="398"/>
        <v>25.605</v>
      </c>
      <c r="EC140" s="150">
        <f t="shared" si="399"/>
        <v>0.19108333333333341</v>
      </c>
      <c r="ED140" s="150">
        <f t="shared" si="400"/>
        <v>133.99912778020055</v>
      </c>
      <c r="EE140" s="144">
        <f t="shared" si="401"/>
        <v>0.19607843137254902</v>
      </c>
      <c r="EF140" s="5">
        <f t="shared" si="402"/>
        <v>14.096277492098626</v>
      </c>
      <c r="EH140" s="150">
        <f t="shared" si="403"/>
        <v>5.0288059108389618</v>
      </c>
      <c r="EI140" s="150">
        <f t="shared" si="404"/>
        <v>0.29142053106451843</v>
      </c>
      <c r="EK140" s="456">
        <f t="shared" si="405"/>
        <v>8.5982222222222196E-2</v>
      </c>
      <c r="EL140" s="456">
        <f t="shared" si="406"/>
        <v>1.3649103719999995</v>
      </c>
      <c r="EM140" s="456">
        <f t="shared" si="407"/>
        <v>4.3976587499999983E-2</v>
      </c>
      <c r="EN140" s="456">
        <f t="shared" si="408"/>
        <v>4.0447171407529681E-2</v>
      </c>
      <c r="EO140">
        <f t="shared" si="409"/>
        <v>4.0499999999999998E-3</v>
      </c>
      <c r="EP140" s="144">
        <f t="shared" si="410"/>
        <v>48.026587499999984</v>
      </c>
      <c r="EQ140" s="144"/>
      <c r="ER140" s="144">
        <f t="shared" si="432"/>
        <v>1539.3663531297514</v>
      </c>
      <c r="ES140" s="456">
        <f t="shared" si="411"/>
        <v>0.375</v>
      </c>
      <c r="EV140" s="144">
        <f t="shared" si="412"/>
        <v>375</v>
      </c>
      <c r="EW140" s="456">
        <f t="shared" si="413"/>
        <v>3.7933333333333319E-2</v>
      </c>
      <c r="EX140" s="456">
        <f t="shared" si="414"/>
        <v>1.698518518518519E-2</v>
      </c>
      <c r="EY140" s="456">
        <f t="shared" si="415"/>
        <v>16.587538915646327</v>
      </c>
      <c r="EZ140" s="456"/>
      <c r="FA140" s="456">
        <f t="shared" si="416"/>
        <v>3.4139999999999997E-2</v>
      </c>
      <c r="FB140" s="144">
        <f t="shared" si="417"/>
        <v>16676.597434164847</v>
      </c>
      <c r="FC140" s="150">
        <f t="shared" si="418"/>
        <v>18.590963787294598</v>
      </c>
      <c r="FD140" s="5">
        <f t="shared" si="419"/>
        <v>25.5</v>
      </c>
      <c r="FE140" s="150">
        <f t="shared" si="420"/>
        <v>0.57834979799983799</v>
      </c>
      <c r="FF140" s="5">
        <f t="shared" si="421"/>
        <v>57.834979799983799</v>
      </c>
      <c r="FI140" s="59">
        <f t="shared" si="422"/>
        <v>-50</v>
      </c>
      <c r="FJ140">
        <f t="shared" si="423"/>
        <v>-50</v>
      </c>
      <c r="FL140">
        <f t="shared" si="424"/>
        <v>0.4499999999999999</v>
      </c>
    </row>
    <row r="141" spans="5:168">
      <c r="E141" s="147">
        <v>31</v>
      </c>
      <c r="F141" s="188">
        <f t="shared" si="425"/>
        <v>0.155</v>
      </c>
      <c r="G141" s="188"/>
      <c r="H141" s="188">
        <f t="shared" si="315"/>
        <v>26.35</v>
      </c>
      <c r="I141" s="465">
        <f t="shared" si="316"/>
        <v>8.9674003812464669</v>
      </c>
      <c r="J141" s="149">
        <f t="shared" si="317"/>
        <v>8.5383264917095438</v>
      </c>
      <c r="K141" s="149">
        <f t="shared" si="318"/>
        <v>17.505726872956011</v>
      </c>
      <c r="L141" s="379"/>
      <c r="M141" s="188">
        <f t="shared" si="319"/>
        <v>0.48774495674077972</v>
      </c>
      <c r="N141" s="149">
        <f t="shared" si="426"/>
        <v>146.18711942226955</v>
      </c>
      <c r="O141" s="149">
        <f t="shared" si="438"/>
        <v>26.35</v>
      </c>
      <c r="P141" s="188">
        <f t="shared" si="320"/>
        <v>0.85992423189570322</v>
      </c>
      <c r="Q141" s="188">
        <f t="shared" si="321"/>
        <v>170</v>
      </c>
      <c r="R141" s="188"/>
      <c r="S141" s="149">
        <f t="shared" si="322"/>
        <v>1749.1969360714124</v>
      </c>
      <c r="T141" s="149">
        <f t="shared" si="323"/>
        <v>170</v>
      </c>
      <c r="U141" s="188">
        <f t="shared" si="324"/>
        <v>12.103345943755924</v>
      </c>
      <c r="V141" s="188">
        <f t="shared" si="325"/>
        <v>2.0245576358563731</v>
      </c>
      <c r="W141" s="188">
        <f t="shared" si="326"/>
        <v>2.1262971067295049</v>
      </c>
      <c r="X141" s="172">
        <f t="shared" si="327"/>
        <v>218.6901257874874</v>
      </c>
      <c r="Y141" s="379">
        <f t="shared" si="328"/>
        <v>229.83989564442734</v>
      </c>
      <c r="AA141" s="188">
        <f t="shared" si="329"/>
        <v>13.333333333333334</v>
      </c>
      <c r="AB141" s="150">
        <f t="shared" si="330"/>
        <v>2.3423793900853283</v>
      </c>
      <c r="AC141" s="150">
        <f t="shared" si="331"/>
        <v>0.17075174781992616</v>
      </c>
      <c r="AD141" s="150"/>
      <c r="AE141" s="150">
        <f t="shared" si="332"/>
        <v>2.3423793900853283</v>
      </c>
      <c r="AF141" s="314">
        <f t="shared" si="333"/>
        <v>198.51609093224681</v>
      </c>
      <c r="AG141" s="456">
        <f t="shared" si="334"/>
        <v>0.17075174781992616</v>
      </c>
      <c r="AI141" s="150">
        <f t="shared" si="335"/>
        <v>10.041592005122084</v>
      </c>
      <c r="AJ141" s="150">
        <f t="shared" si="336"/>
        <v>13.333333333333334</v>
      </c>
      <c r="AK141" s="150">
        <f t="shared" si="337"/>
        <v>1.1134377662469981</v>
      </c>
      <c r="AM141" s="314">
        <f t="shared" si="338"/>
        <v>155</v>
      </c>
      <c r="AN141" s="144">
        <f t="shared" si="339"/>
        <v>198.51609093224681</v>
      </c>
      <c r="AP141" s="144">
        <f t="shared" si="340"/>
        <v>155</v>
      </c>
      <c r="AQ141" s="144">
        <f t="shared" si="341"/>
        <v>198.51609093224681</v>
      </c>
      <c r="AS141" s="5">
        <f t="shared" si="439"/>
        <v>5.0373750324415676</v>
      </c>
      <c r="AT141" s="5">
        <f t="shared" si="342"/>
        <v>2.2303007727664328</v>
      </c>
      <c r="AU141" s="5">
        <f t="shared" si="343"/>
        <v>2.8070742596751348</v>
      </c>
      <c r="AV141" s="5"/>
      <c r="AW141" s="150">
        <f t="shared" si="344"/>
        <v>0.44275059101276154</v>
      </c>
      <c r="AX141" s="150">
        <f t="shared" si="435"/>
        <v>26.468812124299582</v>
      </c>
      <c r="AY141" s="150">
        <f t="shared" si="436"/>
        <v>0.18574980299574614</v>
      </c>
      <c r="AZ141" s="150">
        <f t="shared" si="440"/>
        <v>142.49712084435291</v>
      </c>
      <c r="BA141" s="144">
        <f t="shared" si="433"/>
        <v>0.20335095281105708</v>
      </c>
      <c r="BB141" s="5">
        <f t="shared" si="434"/>
        <v>13.747277843034981</v>
      </c>
      <c r="BD141" s="150">
        <f t="shared" si="441"/>
        <v>5.1222135898472159</v>
      </c>
      <c r="BE141" s="150">
        <f t="shared" si="437"/>
        <v>0.28732467349343566</v>
      </c>
      <c r="BG141" s="456">
        <f t="shared" si="347"/>
        <v>8.92060450040527E-2</v>
      </c>
      <c r="BH141" s="456">
        <f t="shared" si="348"/>
        <v>1.109737130700482</v>
      </c>
      <c r="BI141" s="456">
        <f t="shared" si="349"/>
        <v>8.1531935743529987E-2</v>
      </c>
      <c r="BJ141" s="456">
        <f t="shared" si="350"/>
        <v>4.167221477321105E-2</v>
      </c>
      <c r="BK141">
        <f t="shared" si="351"/>
        <v>4.0353301715609097E-3</v>
      </c>
      <c r="BL141" s="144">
        <f t="shared" si="427"/>
        <v>85.5672659150909</v>
      </c>
      <c r="BM141" s="456">
        <f t="shared" si="352"/>
        <v>1.2920872727360839</v>
      </c>
      <c r="BN141" s="144">
        <f t="shared" si="353"/>
        <v>1292.0872727360838</v>
      </c>
      <c r="BO141" s="456">
        <f t="shared" si="354"/>
        <v>0.38750000000000001</v>
      </c>
      <c r="BR141" s="144">
        <f t="shared" si="355"/>
        <v>387.5</v>
      </c>
      <c r="BS141" s="456">
        <f t="shared" si="356"/>
        <v>3.9355608090023253E-2</v>
      </c>
      <c r="BT141" s="456">
        <f t="shared" si="357"/>
        <v>1.6511093599621881E-2</v>
      </c>
      <c r="BU141" s="456">
        <f t="shared" si="358"/>
        <v>18.022130605285305</v>
      </c>
      <c r="BV141" s="456"/>
      <c r="BW141" s="456">
        <f t="shared" si="359"/>
        <v>3.5291749499066105E-2</v>
      </c>
      <c r="BX141" s="144">
        <f t="shared" si="360"/>
        <v>18113.289056474016</v>
      </c>
      <c r="BY141" s="150">
        <f t="shared" si="361"/>
        <v>19.826971712866854</v>
      </c>
      <c r="BZ141" s="5">
        <f t="shared" si="362"/>
        <v>26.35</v>
      </c>
      <c r="CA141" s="150">
        <f t="shared" si="363"/>
        <v>0.57063074997310348</v>
      </c>
      <c r="CB141" s="5">
        <f t="shared" si="364"/>
        <v>57.063074997310345</v>
      </c>
      <c r="CE141" s="59">
        <f t="shared" si="365"/>
        <v>-50</v>
      </c>
      <c r="CF141">
        <f t="shared" si="366"/>
        <v>-50</v>
      </c>
      <c r="CG141" s="150">
        <f t="shared" si="367"/>
        <v>0.46595636945458108</v>
      </c>
      <c r="CI141" s="147">
        <v>31</v>
      </c>
      <c r="CJ141" s="188">
        <f t="shared" si="428"/>
        <v>0.155</v>
      </c>
      <c r="CK141" s="188"/>
      <c r="CL141" s="188">
        <f t="shared" si="368"/>
        <v>26.35</v>
      </c>
      <c r="CM141" s="465">
        <f t="shared" si="369"/>
        <v>9</v>
      </c>
      <c r="CN141" s="379">
        <f t="shared" si="370"/>
        <v>8.5350000000000001</v>
      </c>
      <c r="CO141" s="379">
        <f t="shared" si="371"/>
        <v>17.535</v>
      </c>
      <c r="CP141" s="379"/>
      <c r="CQ141" s="188">
        <f t="shared" si="372"/>
        <v>0.48674080410607357</v>
      </c>
      <c r="CR141" s="149">
        <f t="shared" si="429"/>
        <v>146.41650128314802</v>
      </c>
      <c r="CS141" s="149">
        <f t="shared" si="373"/>
        <v>26.35</v>
      </c>
      <c r="CT141" s="188">
        <f t="shared" si="374"/>
        <v>0.86127353695969422</v>
      </c>
      <c r="CU141" s="188">
        <f t="shared" si="375"/>
        <v>170</v>
      </c>
      <c r="CV141" s="188"/>
      <c r="CW141" s="149">
        <f t="shared" si="376"/>
        <v>1755.5556145106293</v>
      </c>
      <c r="CX141" s="149">
        <f t="shared" si="377"/>
        <v>170</v>
      </c>
      <c r="CY141" s="188">
        <f t="shared" si="378"/>
        <v>12.03013083382152</v>
      </c>
      <c r="CZ141" s="188">
        <f t="shared" si="379"/>
        <v>2.00502180563692</v>
      </c>
      <c r="DA141" s="188">
        <f t="shared" si="380"/>
        <v>2.1142584945204779</v>
      </c>
      <c r="DB141" s="172">
        <f t="shared" si="381"/>
        <v>219.03336184773312</v>
      </c>
      <c r="DC141" s="379">
        <f t="shared" si="382"/>
        <v>242.76085314266913</v>
      </c>
      <c r="DE141" s="188">
        <f t="shared" si="383"/>
        <v>13.333333333333334</v>
      </c>
      <c r="DF141" s="150">
        <f t="shared" si="384"/>
        <v>2.3432923257176337</v>
      </c>
      <c r="DG141" s="150">
        <f t="shared" si="385"/>
        <v>0.17108639863130889</v>
      </c>
      <c r="DH141" s="150"/>
      <c r="DI141" s="150">
        <f t="shared" si="386"/>
        <v>2.3432923257176337</v>
      </c>
      <c r="DJ141" s="314">
        <f t="shared" si="387"/>
        <v>198.43874999999994</v>
      </c>
      <c r="DK141" s="456">
        <f t="shared" si="388"/>
        <v>0.17108639863130887</v>
      </c>
      <c r="DM141" s="150">
        <f t="shared" si="389"/>
        <v>10.039635736135336</v>
      </c>
      <c r="DN141" s="150">
        <f t="shared" si="390"/>
        <v>13.333333333333334</v>
      </c>
      <c r="DO141" s="150">
        <f t="shared" si="391"/>
        <v>1.1133935714285714</v>
      </c>
      <c r="DQ141" s="314">
        <f t="shared" si="392"/>
        <v>155</v>
      </c>
      <c r="DR141" s="144">
        <f t="shared" si="393"/>
        <v>198.43874999999994</v>
      </c>
      <c r="DT141">
        <f t="shared" si="430"/>
        <v>155</v>
      </c>
      <c r="DU141">
        <f t="shared" si="431"/>
        <v>198.43874999999994</v>
      </c>
      <c r="DW141" s="5">
        <f t="shared" si="394"/>
        <v>5.0393383348766321</v>
      </c>
      <c r="DX141" s="5">
        <f t="shared" si="395"/>
        <v>2.2222222222222223</v>
      </c>
      <c r="DY141" s="5">
        <f t="shared" si="396"/>
        <v>2.8171161126544098</v>
      </c>
      <c r="DZ141" s="5"/>
      <c r="EA141" s="150">
        <f t="shared" si="397"/>
        <v>0.44097499999999989</v>
      </c>
      <c r="EB141" s="150">
        <f t="shared" si="398"/>
        <v>26.458500000000001</v>
      </c>
      <c r="EC141" s="150">
        <f t="shared" si="399"/>
        <v>0.18634166666666671</v>
      </c>
      <c r="ED141" s="150">
        <f t="shared" si="400"/>
        <v>141.98917758597554</v>
      </c>
      <c r="EE141" s="144">
        <f t="shared" si="401"/>
        <v>0.20261437908496732</v>
      </c>
      <c r="EF141" s="5">
        <f t="shared" si="402"/>
        <v>13.7464832534155</v>
      </c>
      <c r="EH141" s="150">
        <f t="shared" si="403"/>
        <v>5.1119323011804303</v>
      </c>
      <c r="EI141" s="150">
        <f t="shared" si="404"/>
        <v>0.28778206775009202</v>
      </c>
      <c r="EK141" s="456">
        <f t="shared" si="405"/>
        <v>8.8848296296296286E-2</v>
      </c>
      <c r="EL141" s="456">
        <f t="shared" si="406"/>
        <v>1.4104073843999998</v>
      </c>
      <c r="EM141" s="456">
        <f t="shared" si="407"/>
        <v>4.544247374999999E-2</v>
      </c>
      <c r="EN141" s="456">
        <f t="shared" si="408"/>
        <v>4.1795410454447339E-2</v>
      </c>
      <c r="EO141">
        <f t="shared" si="409"/>
        <v>4.0499999999999998E-3</v>
      </c>
      <c r="EP141" s="144">
        <f t="shared" si="410"/>
        <v>49.492473749999988</v>
      </c>
      <c r="EQ141" s="144"/>
      <c r="ER141" s="144">
        <f t="shared" si="432"/>
        <v>1590.5435649007436</v>
      </c>
      <c r="ES141" s="456">
        <f t="shared" si="411"/>
        <v>0.38750000000000001</v>
      </c>
      <c r="EV141" s="144">
        <f t="shared" si="412"/>
        <v>387.5</v>
      </c>
      <c r="EW141" s="456">
        <f t="shared" si="413"/>
        <v>3.9197777777777776E-2</v>
      </c>
      <c r="EX141" s="456">
        <f t="shared" si="414"/>
        <v>1.6563703703703712E-2</v>
      </c>
      <c r="EY141" s="456">
        <f t="shared" si="415"/>
        <v>18.004582391379511</v>
      </c>
      <c r="EZ141" s="456"/>
      <c r="FA141" s="456">
        <f t="shared" si="416"/>
        <v>3.5277999999999997E-2</v>
      </c>
      <c r="FB141" s="144">
        <f t="shared" si="417"/>
        <v>18095.621872860997</v>
      </c>
      <c r="FC141" s="150">
        <f t="shared" si="418"/>
        <v>20.073665437761736</v>
      </c>
      <c r="FD141" s="5">
        <f t="shared" si="419"/>
        <v>26.35</v>
      </c>
      <c r="FE141" s="150">
        <f t="shared" si="420"/>
        <v>0.56759843824323475</v>
      </c>
      <c r="FF141" s="5">
        <f t="shared" si="421"/>
        <v>56.759843824323475</v>
      </c>
      <c r="FI141" s="59">
        <f t="shared" si="422"/>
        <v>-50</v>
      </c>
      <c r="FJ141">
        <f t="shared" si="423"/>
        <v>-50</v>
      </c>
      <c r="FL141">
        <f t="shared" si="424"/>
        <v>0.46499999999999986</v>
      </c>
    </row>
    <row r="142" spans="5:168">
      <c r="E142" s="147">
        <v>32</v>
      </c>
      <c r="F142" s="188">
        <f t="shared" si="425"/>
        <v>0.16</v>
      </c>
      <c r="G142" s="188"/>
      <c r="H142" s="188">
        <f t="shared" ref="H142:H173" si="442">F142*Vout</f>
        <v>27.2</v>
      </c>
      <c r="I142" s="465">
        <f t="shared" ref="I142:I173" si="443">VIN_min-F142*(Rdcr_pri+RON/1000)/CG142/Nps</f>
        <v>8.9674003812464669</v>
      </c>
      <c r="J142" s="149">
        <f t="shared" ref="J142:J173" si="444">(T142+Vfwd1+F142/CG142*Rdcr_sec)*Nps</f>
        <v>8.5383264917095438</v>
      </c>
      <c r="K142" s="149">
        <f t="shared" ref="K142:K173" si="445">(Vout+Vfwd1+F142/CG142*Rdcr_sec)*Nps++I142</f>
        <v>17.505726872956011</v>
      </c>
      <c r="L142" s="379"/>
      <c r="M142" s="188">
        <f t="shared" ref="M142:M173" si="446">(Vout+Vfwd1+F142/FL142*Rdcr_sec)*Nps/((Vout+Vfwd1+F142/FL142*Rdcr_sec)*Nps+I142)</f>
        <v>0.48774495674077972</v>
      </c>
      <c r="N142" s="149">
        <f t="shared" ref="N142:N173" si="447">M142*I142*(Isw_max+VIN_min/Lmag*ILIM_delay)*0.5*Efficiency</f>
        <v>146.18711942226955</v>
      </c>
      <c r="O142" s="149">
        <f t="shared" si="438"/>
        <v>27.2</v>
      </c>
      <c r="P142" s="188">
        <f t="shared" ref="P142:P172" si="448">N142/Vout</f>
        <v>0.85992423189570322</v>
      </c>
      <c r="Q142" s="188">
        <f t="shared" ref="Q142:Q173" si="449">MIN(Vout,N142/F142)</f>
        <v>170</v>
      </c>
      <c r="R142" s="188"/>
      <c r="S142" s="149">
        <f t="shared" ref="S142:S173" si="450">(SQRT(Isw_max^2*Nps^2*I142^2+4*Isw_max*F142/Efficiency*(Nps^2*Vfwd1*I142-Nps*I142^2)+4*(F142/Efficiency)^2*Nps^2*Vfwd1^2+8*(F142/Efficiency)^2*Nps*Vfwd1*I142+4*(F142/Efficiency)^2*I142^2)-2*F142/Efficiency*I142-2*F142/Efficiency*Nps*Vfwd1+Isw_max*Nps*I142)/(4*F142/Efficiency*Nps)</f>
        <v>1688.9347073521428</v>
      </c>
      <c r="T142" s="149">
        <f t="shared" ref="T142:T173" si="451">MIN(Vout, S142)</f>
        <v>170</v>
      </c>
      <c r="U142" s="188">
        <f t="shared" ref="U142:U173" si="452">MIN(2*(Vout+Vfwd1+F142/FL142*Rdcr_sec)*F142/(I142*M142), Isw_max)</f>
        <v>12.493776458070631</v>
      </c>
      <c r="V142" s="188">
        <f t="shared" ref="V142:V173" si="453">L*U142/I142*1000000</f>
        <v>2.0898659466904497</v>
      </c>
      <c r="W142" s="188">
        <f t="shared" ref="W142:W173" si="454">L*U142/J142*1000000</f>
        <v>2.1948873359788439</v>
      </c>
      <c r="X142" s="172">
        <f t="shared" ref="X142:X173" si="455">IF(1/((350000*L)*(1/I142+1/J142))&gt;Isw_min, 350, 0.001/((Isw_min*L)*(1/I142+1/J142)))</f>
        <v>218.6901257874874</v>
      </c>
      <c r="Y142" s="379">
        <f t="shared" si="328"/>
        <v>222.97770623511468</v>
      </c>
      <c r="AA142" s="188">
        <f t="shared" ref="AA142:AA173" si="456">1/((X142*1000*L)*(1/I142+1/J142))</f>
        <v>13.333333333333334</v>
      </c>
      <c r="AB142" s="150">
        <f t="shared" ref="AB142:AB173" si="457">L*AA142/J142*1000000</f>
        <v>2.3423793900853283</v>
      </c>
      <c r="AC142" s="150">
        <f t="shared" ref="AC142:AC173" si="458">0.5*AB142*AA142*Nps*X142/1000</f>
        <v>0.17075174781992616</v>
      </c>
      <c r="AD142" s="150"/>
      <c r="AE142" s="150">
        <f t="shared" ref="AE142:AE173" si="459">L*Isw_min/J142*1000000</f>
        <v>2.3423793900853283</v>
      </c>
      <c r="AF142" s="314">
        <f t="shared" ref="AF142:AF173" si="460">MAX(12000,F142/(0.5*AE142/1000000*Isw_min*Nps))/1000</f>
        <v>204.919835801029</v>
      </c>
      <c r="AG142" s="456">
        <f t="shared" ref="AG142:AG173" si="461">0.5*AE142/1000000*Isw_min*Nps*X142*1000</f>
        <v>0.17075174781992616</v>
      </c>
      <c r="AI142" s="150">
        <f t="shared" ref="AI142:AI173" si="462">SQRT(F142/(0.5*L/J142*Fsw_DCM*Nps))</f>
        <v>10.202267679476819</v>
      </c>
      <c r="AJ142" s="150">
        <f t="shared" ref="AJ142:AJ173" si="463">MAX(IF(F142&gt;AC142,U142,AI142),Isw_min)</f>
        <v>13.333333333333334</v>
      </c>
      <c r="AK142" s="150">
        <f t="shared" ref="AK142:AK173" si="464">IF(F142&gt;AG142, (AJ142-Isw_min)/1.08*0.8+1.2, AF142*0.2/350+1)</f>
        <v>1.1170970490291594</v>
      </c>
      <c r="AM142" s="314">
        <f t="shared" ref="AM142:AM173" si="465">F142*1000</f>
        <v>160</v>
      </c>
      <c r="AN142" s="144">
        <f t="shared" ref="AN142:AN173" si="466">IF(F142&gt;AG142, Y142, AF142)</f>
        <v>204.919835801029</v>
      </c>
      <c r="AP142" s="144">
        <f t="shared" ref="AP142:AP173" si="467">IF(H142&gt;N142, "",AM142)</f>
        <v>160</v>
      </c>
      <c r="AQ142" s="144">
        <f t="shared" ref="AQ142:AQ173" si="468">IF(H142&gt;N142, "",AN142)</f>
        <v>204.919835801029</v>
      </c>
      <c r="AS142" s="5">
        <f t="shared" si="439"/>
        <v>4.879957062677768</v>
      </c>
      <c r="AT142" s="5">
        <f t="shared" ref="AT142:AT173" si="469">L*AJ142/I142*1000000</f>
        <v>2.2303007727664328</v>
      </c>
      <c r="AU142" s="5">
        <f t="shared" si="343"/>
        <v>2.6496562899113352</v>
      </c>
      <c r="AV142" s="5"/>
      <c r="AW142" s="150">
        <f t="shared" si="344"/>
        <v>0.45703286814220551</v>
      </c>
      <c r="AX142" s="150">
        <f t="shared" si="435"/>
        <v>27.32264477347054</v>
      </c>
      <c r="AY142" s="150">
        <f t="shared" si="436"/>
        <v>0.18098904395259816</v>
      </c>
      <c r="AZ142" s="150">
        <f t="shared" si="440"/>
        <v>150.96297641434288</v>
      </c>
      <c r="BA142" s="144">
        <f t="shared" si="433"/>
        <v>0.20991066096625249</v>
      </c>
      <c r="BB142" s="5">
        <f t="shared" si="434"/>
        <v>13.394935734163964</v>
      </c>
      <c r="BD142" s="150">
        <f t="shared" si="441"/>
        <v>5.2041742114615843</v>
      </c>
      <c r="BE142" s="150">
        <f t="shared" si="437"/>
        <v>0.28361871428035851</v>
      </c>
      <c r="BG142" s="456">
        <f t="shared" si="347"/>
        <v>9.208365935902213E-2</v>
      </c>
      <c r="BH142" s="456">
        <f t="shared" ref="BH142:BH173" si="470">0.5*K142*AJ142*AN142*1000*Tfall</f>
        <v>1.1455351026585623</v>
      </c>
      <c r="BI142" s="456">
        <f t="shared" ref="BI142:BI173" si="471">Qg*Vdd*AN142*1000*0+Qg*I142*AN142*1000</f>
        <v>8.4161998186869674E-2</v>
      </c>
      <c r="BJ142" s="456">
        <f t="shared" si="350"/>
        <v>4.3016479765895274E-2</v>
      </c>
      <c r="BK142">
        <f t="shared" si="351"/>
        <v>4.0353301715609097E-3</v>
      </c>
      <c r="BL142" s="144">
        <f t="shared" si="427"/>
        <v>88.197328358430582</v>
      </c>
      <c r="BM142" s="456">
        <f t="shared" ref="BM142:BM173" si="472">(BH142+BI142*0+BJ142+BK142*0+BG142*(1+RdsonTC*(Ta-25)))/(1-BG142*RdsonTC*ThetaJA)</f>
        <v>1.3346998307992648</v>
      </c>
      <c r="BN142" s="144">
        <f t="shared" si="353"/>
        <v>1334.6998307992649</v>
      </c>
      <c r="BO142" s="456">
        <f t="shared" si="354"/>
        <v>0.4</v>
      </c>
      <c r="BR142" s="144">
        <f t="shared" si="355"/>
        <v>400</v>
      </c>
      <c r="BS142" s="456">
        <f t="shared" si="356"/>
        <v>4.0625143834862709E-2</v>
      </c>
      <c r="BT142" s="456">
        <f t="shared" si="357"/>
        <v>1.6087915018008728E-2</v>
      </c>
      <c r="BU142" s="456">
        <f t="shared" si="358"/>
        <v>19.510879373167128</v>
      </c>
      <c r="BV142" s="456"/>
      <c r="BW142" s="456">
        <f t="shared" si="359"/>
        <v>3.643019303129405E-2</v>
      </c>
      <c r="BX142" s="144">
        <f t="shared" si="360"/>
        <v>19604.022625051293</v>
      </c>
      <c r="BY142" s="150">
        <f t="shared" si="361"/>
        <v>21.372855195193203</v>
      </c>
      <c r="BZ142" s="5">
        <f t="shared" si="362"/>
        <v>27.2</v>
      </c>
      <c r="CA142" s="150">
        <f t="shared" si="363"/>
        <v>0.55998355235027919</v>
      </c>
      <c r="CB142" s="5">
        <f t="shared" si="364"/>
        <v>55.998355235027915</v>
      </c>
      <c r="CE142" s="59">
        <f t="shared" ref="CE142:CE173" si="473">IF(ABS(F142-Ioutmax_Vinmin)&lt;Iout/200, AN142, -50)</f>
        <v>-50</v>
      </c>
      <c r="CF142">
        <f t="shared" ref="CF142:CF173" si="474">IF(ABS(F142-Ioutmax_Vinmin)&lt;Iout/200, N142*CA142, -50)</f>
        <v>-50</v>
      </c>
      <c r="CG142" s="150">
        <f t="shared" ref="CG142:CG173" si="475">MIN(SQRT(2*DU142*1000*Ls1_*CL142)/CU142,1-EA142-0.00000005*DU142*1000)</f>
        <v>0.48098722008214817</v>
      </c>
      <c r="CI142" s="147">
        <v>32</v>
      </c>
      <c r="CJ142" s="188">
        <f t="shared" si="428"/>
        <v>0.16</v>
      </c>
      <c r="CK142" s="188"/>
      <c r="CL142" s="188">
        <f t="shared" si="368"/>
        <v>27.2</v>
      </c>
      <c r="CM142" s="465">
        <f t="shared" si="369"/>
        <v>9</v>
      </c>
      <c r="CN142" s="379">
        <f t="shared" si="370"/>
        <v>8.5350000000000001</v>
      </c>
      <c r="CO142" s="379">
        <f t="shared" si="371"/>
        <v>17.535</v>
      </c>
      <c r="CP142" s="379"/>
      <c r="CQ142" s="188">
        <f t="shared" si="372"/>
        <v>0.48674080410607357</v>
      </c>
      <c r="CR142" s="149">
        <f t="shared" si="429"/>
        <v>146.41650128314802</v>
      </c>
      <c r="CS142" s="149">
        <f t="shared" si="373"/>
        <v>27.2</v>
      </c>
      <c r="CT142" s="188">
        <f t="shared" si="374"/>
        <v>0.86127353695969422</v>
      </c>
      <c r="CU142" s="188">
        <f t="shared" si="375"/>
        <v>170</v>
      </c>
      <c r="CV142" s="188"/>
      <c r="CW142" s="149">
        <f t="shared" si="376"/>
        <v>1695.0743023407226</v>
      </c>
      <c r="CX142" s="149">
        <f t="shared" si="377"/>
        <v>170</v>
      </c>
      <c r="CY142" s="188">
        <f t="shared" si="378"/>
        <v>12.418199570396407</v>
      </c>
      <c r="CZ142" s="188">
        <f t="shared" si="379"/>
        <v>2.0696999283994009</v>
      </c>
      <c r="DA142" s="188">
        <f t="shared" si="380"/>
        <v>2.1824603814404933</v>
      </c>
      <c r="DB142" s="172">
        <f t="shared" si="381"/>
        <v>219.03336184773312</v>
      </c>
      <c r="DC142" s="379">
        <f t="shared" si="382"/>
        <v>235.17457648196071</v>
      </c>
      <c r="DE142" s="188">
        <f t="shared" si="383"/>
        <v>13.333333333333334</v>
      </c>
      <c r="DF142" s="150">
        <f t="shared" si="384"/>
        <v>2.3432923257176337</v>
      </c>
      <c r="DG142" s="150">
        <f t="shared" si="385"/>
        <v>0.17108639863130889</v>
      </c>
      <c r="DH142" s="150"/>
      <c r="DI142" s="150">
        <f t="shared" si="386"/>
        <v>2.3432923257176337</v>
      </c>
      <c r="DJ142" s="314">
        <f t="shared" si="387"/>
        <v>204.83999999999995</v>
      </c>
      <c r="DK142" s="456">
        <f t="shared" si="388"/>
        <v>0.17108639863130887</v>
      </c>
      <c r="DM142" s="150">
        <f t="shared" si="389"/>
        <v>10.20028010819871</v>
      </c>
      <c r="DN142" s="150">
        <f t="shared" si="390"/>
        <v>13.333333333333334</v>
      </c>
      <c r="DO142" s="150">
        <f t="shared" si="391"/>
        <v>1.1170514285714286</v>
      </c>
      <c r="DQ142" s="314">
        <f t="shared" si="392"/>
        <v>160</v>
      </c>
      <c r="DR142" s="144">
        <f t="shared" si="393"/>
        <v>204.83999999999995</v>
      </c>
      <c r="DT142">
        <f t="shared" si="430"/>
        <v>160</v>
      </c>
      <c r="DU142">
        <f t="shared" si="431"/>
        <v>204.83999999999995</v>
      </c>
      <c r="DW142" s="5">
        <f t="shared" si="394"/>
        <v>4.8818590119117369</v>
      </c>
      <c r="DX142" s="5">
        <f t="shared" si="395"/>
        <v>2.2222222222222223</v>
      </c>
      <c r="DY142" s="5">
        <f t="shared" si="396"/>
        <v>2.6596367896895146</v>
      </c>
      <c r="DZ142" s="5"/>
      <c r="EA142" s="150">
        <f t="shared" si="397"/>
        <v>0.45519999999999994</v>
      </c>
      <c r="EB142" s="150">
        <f t="shared" si="398"/>
        <v>27.312000000000001</v>
      </c>
      <c r="EC142" s="150">
        <f t="shared" si="399"/>
        <v>0.18160000000000004</v>
      </c>
      <c r="ED142" s="150">
        <f t="shared" si="400"/>
        <v>150.39647577092509</v>
      </c>
      <c r="EE142" s="144">
        <f t="shared" si="401"/>
        <v>0.20915032679738563</v>
      </c>
      <c r="EF142" s="5">
        <f t="shared" si="402"/>
        <v>13.396689014732369</v>
      </c>
      <c r="EH142" s="150">
        <f t="shared" si="403"/>
        <v>5.1937284117303264</v>
      </c>
      <c r="EI142" s="150">
        <f t="shared" si="404"/>
        <v>0.28409701003550025</v>
      </c>
      <c r="EK142" s="456">
        <f t="shared" si="405"/>
        <v>9.1714370370370391E-2</v>
      </c>
      <c r="EL142" s="456">
        <f t="shared" si="406"/>
        <v>1.4559043967999998</v>
      </c>
      <c r="EM142" s="456">
        <f t="shared" si="407"/>
        <v>4.6908359999999989E-2</v>
      </c>
      <c r="EN142" s="456">
        <f t="shared" si="408"/>
        <v>4.314364950136499E-2</v>
      </c>
      <c r="EO142">
        <f t="shared" si="409"/>
        <v>4.0499999999999998E-3</v>
      </c>
      <c r="EP142" s="144">
        <f t="shared" si="410"/>
        <v>50.958359999999985</v>
      </c>
      <c r="EQ142" s="144"/>
      <c r="ER142" s="144">
        <f t="shared" si="432"/>
        <v>1641.7207766717354</v>
      </c>
      <c r="ES142" s="456">
        <f t="shared" si="411"/>
        <v>0.4</v>
      </c>
      <c r="EV142" s="144">
        <f t="shared" si="412"/>
        <v>400</v>
      </c>
      <c r="EW142" s="456">
        <f t="shared" si="413"/>
        <v>4.0462222222222233E-2</v>
      </c>
      <c r="EX142" s="456">
        <f t="shared" si="414"/>
        <v>1.6142222222222228E-2</v>
      </c>
      <c r="EY142" s="456">
        <f t="shared" si="415"/>
        <v>19.491881559188865</v>
      </c>
      <c r="EZ142" s="456"/>
      <c r="FA142" s="456">
        <f t="shared" si="416"/>
        <v>3.6415999999999997E-2</v>
      </c>
      <c r="FB142" s="144">
        <f t="shared" si="417"/>
        <v>19584.90200363331</v>
      </c>
      <c r="FC142" s="150">
        <f t="shared" si="418"/>
        <v>21.626622780305045</v>
      </c>
      <c r="FD142" s="5">
        <f t="shared" si="419"/>
        <v>27.2</v>
      </c>
      <c r="FE142" s="150">
        <f t="shared" si="420"/>
        <v>0.55707313861100238</v>
      </c>
      <c r="FF142" s="5">
        <f t="shared" si="421"/>
        <v>55.707313861100239</v>
      </c>
      <c r="FI142" s="59">
        <f t="shared" si="422"/>
        <v>-50</v>
      </c>
      <c r="FJ142">
        <f t="shared" si="423"/>
        <v>-50</v>
      </c>
      <c r="FL142">
        <f t="shared" ref="FL142:FL173" si="476">MIN(SQRT(2*L*DR142*1000*CJ142*(CX142+Vfwd1))/(Nps*(CX142+Vfwd1)), 1-EA142)</f>
        <v>0.47999999999999987</v>
      </c>
    </row>
    <row r="143" spans="5:168">
      <c r="E143" s="147">
        <v>33</v>
      </c>
      <c r="F143" s="188">
        <f t="shared" ref="F143:F174" si="477">IF(PLOT_TYPE=1, E143/100*Iout_max, min_I*EXP(N143*rr/100))</f>
        <v>0.16500000000000001</v>
      </c>
      <c r="G143" s="188"/>
      <c r="H143" s="188">
        <f t="shared" si="442"/>
        <v>28.05</v>
      </c>
      <c r="I143" s="465">
        <f t="shared" si="443"/>
        <v>8.9674003812464669</v>
      </c>
      <c r="J143" s="149">
        <f t="shared" si="444"/>
        <v>8.5383264917095438</v>
      </c>
      <c r="K143" s="149">
        <f t="shared" si="445"/>
        <v>17.505726872956011</v>
      </c>
      <c r="L143" s="379"/>
      <c r="M143" s="188">
        <f t="shared" si="446"/>
        <v>0.48774495674077972</v>
      </c>
      <c r="N143" s="149">
        <f t="shared" si="447"/>
        <v>146.18711942226955</v>
      </c>
      <c r="O143" s="149">
        <f t="shared" si="438"/>
        <v>28.05</v>
      </c>
      <c r="P143" s="188">
        <f t="shared" si="448"/>
        <v>0.85992423189570322</v>
      </c>
      <c r="Q143" s="188">
        <f t="shared" si="449"/>
        <v>170</v>
      </c>
      <c r="R143" s="188"/>
      <c r="S143" s="149">
        <f t="shared" si="450"/>
        <v>1632.3249069394121</v>
      </c>
      <c r="T143" s="149">
        <f t="shared" si="451"/>
        <v>170</v>
      </c>
      <c r="U143" s="188">
        <f t="shared" si="452"/>
        <v>12.884206972385337</v>
      </c>
      <c r="V143" s="188">
        <f t="shared" si="453"/>
        <v>2.1551742575245258</v>
      </c>
      <c r="W143" s="188">
        <f t="shared" si="454"/>
        <v>2.263477565228182</v>
      </c>
      <c r="X143" s="172">
        <f t="shared" si="455"/>
        <v>218.6901257874874</v>
      </c>
      <c r="Y143" s="379">
        <f t="shared" si="328"/>
        <v>216.51339793004831</v>
      </c>
      <c r="AA143" s="188">
        <f t="shared" si="456"/>
        <v>13.333333333333334</v>
      </c>
      <c r="AB143" s="150">
        <f t="shared" si="457"/>
        <v>2.3423793900853283</v>
      </c>
      <c r="AC143" s="150">
        <f t="shared" si="458"/>
        <v>0.17075174781992616</v>
      </c>
      <c r="AD143" s="150"/>
      <c r="AE143" s="150">
        <f t="shared" si="459"/>
        <v>2.3423793900853283</v>
      </c>
      <c r="AF143" s="314">
        <f t="shared" si="460"/>
        <v>211.32358066981118</v>
      </c>
      <c r="AG143" s="456">
        <f t="shared" si="461"/>
        <v>0.17075174781992616</v>
      </c>
      <c r="AI143" s="150">
        <f t="shared" si="462"/>
        <v>10.360451805305734</v>
      </c>
      <c r="AJ143" s="150">
        <f t="shared" si="463"/>
        <v>13.333333333333334</v>
      </c>
      <c r="AK143" s="150">
        <f t="shared" si="464"/>
        <v>1.1207563318113207</v>
      </c>
      <c r="AM143" s="314">
        <f t="shared" si="465"/>
        <v>165</v>
      </c>
      <c r="AN143" s="144">
        <f t="shared" si="466"/>
        <v>211.32358066981118</v>
      </c>
      <c r="AP143" s="144">
        <f t="shared" si="467"/>
        <v>165</v>
      </c>
      <c r="AQ143" s="144">
        <f t="shared" si="468"/>
        <v>211.32358066981118</v>
      </c>
      <c r="AS143" s="5">
        <f t="shared" si="439"/>
        <v>4.7320795759299568</v>
      </c>
      <c r="AT143" s="5">
        <f t="shared" si="469"/>
        <v>2.2303007727664328</v>
      </c>
      <c r="AU143" s="5">
        <f t="shared" si="343"/>
        <v>2.501778803163524</v>
      </c>
      <c r="AV143" s="5"/>
      <c r="AW143" s="150">
        <f t="shared" si="344"/>
        <v>0.47131514527164942</v>
      </c>
      <c r="AX143" s="150">
        <f t="shared" si="435"/>
        <v>28.176477422641497</v>
      </c>
      <c r="AY143" s="150">
        <f t="shared" si="436"/>
        <v>0.17622828490945022</v>
      </c>
      <c r="AZ143" s="150">
        <f t="shared" si="440"/>
        <v>159.88623754194259</v>
      </c>
      <c r="BA143" s="144">
        <f t="shared" si="433"/>
        <v>0.2164703691214479</v>
      </c>
      <c r="BB143" s="5">
        <f t="shared" si="434"/>
        <v>13.042593625292948</v>
      </c>
      <c r="BD143" s="150">
        <f t="shared" si="441"/>
        <v>5.2848638947912479</v>
      </c>
      <c r="BE143" s="150">
        <f t="shared" si="437"/>
        <v>0.27986368500035491</v>
      </c>
      <c r="BG143" s="456">
        <f t="shared" si="347"/>
        <v>9.4961273713991587E-2</v>
      </c>
      <c r="BH143" s="456">
        <f t="shared" si="470"/>
        <v>1.1813330746166426</v>
      </c>
      <c r="BI143" s="456">
        <f t="shared" si="471"/>
        <v>8.6792060630209361E-2</v>
      </c>
      <c r="BJ143" s="456">
        <f t="shared" si="350"/>
        <v>4.4360744758579512E-2</v>
      </c>
      <c r="BK143">
        <f t="shared" si="351"/>
        <v>4.0353301715609097E-3</v>
      </c>
      <c r="BL143" s="144">
        <f t="shared" si="427"/>
        <v>90.827390801770264</v>
      </c>
      <c r="BM143" s="456">
        <f t="shared" si="472"/>
        <v>1.3773720041667263</v>
      </c>
      <c r="BN143" s="144">
        <f t="shared" si="353"/>
        <v>1377.3720041667264</v>
      </c>
      <c r="BO143" s="456">
        <f t="shared" si="354"/>
        <v>0.41250000000000003</v>
      </c>
      <c r="BR143" s="144">
        <f t="shared" si="355"/>
        <v>412.50000000000006</v>
      </c>
      <c r="BS143" s="456">
        <f t="shared" si="356"/>
        <v>4.1894679579702172E-2</v>
      </c>
      <c r="BT143" s="456">
        <f t="shared" si="357"/>
        <v>1.5664736436395578E-2</v>
      </c>
      <c r="BU143" s="456">
        <f t="shared" si="358"/>
        <v>21.071077661464631</v>
      </c>
      <c r="BV143" s="456"/>
      <c r="BW143" s="456">
        <f t="shared" si="359"/>
        <v>3.7568636563521995E-2</v>
      </c>
      <c r="BX143" s="144">
        <f t="shared" si="360"/>
        <v>21166.205714044248</v>
      </c>
      <c r="BY143" s="150">
        <f t="shared" si="361"/>
        <v>22.990188197935232</v>
      </c>
      <c r="BZ143" s="5">
        <f t="shared" si="362"/>
        <v>28.05</v>
      </c>
      <c r="CA143" s="150">
        <f t="shared" si="363"/>
        <v>0.54956693911905929</v>
      </c>
      <c r="CB143" s="5">
        <f t="shared" si="364"/>
        <v>54.95669391190593</v>
      </c>
      <c r="CE143" s="59">
        <f t="shared" si="473"/>
        <v>-50</v>
      </c>
      <c r="CF143">
        <f t="shared" si="474"/>
        <v>-50</v>
      </c>
      <c r="CG143" s="150">
        <f t="shared" si="475"/>
        <v>0.49601807070971532</v>
      </c>
      <c r="CI143" s="147">
        <v>33</v>
      </c>
      <c r="CJ143" s="188">
        <f t="shared" si="428"/>
        <v>0.16500000000000001</v>
      </c>
      <c r="CK143" s="188"/>
      <c r="CL143" s="188">
        <f t="shared" si="368"/>
        <v>28.05</v>
      </c>
      <c r="CM143" s="465">
        <f t="shared" si="369"/>
        <v>9</v>
      </c>
      <c r="CN143" s="379">
        <f t="shared" si="370"/>
        <v>8.5350000000000001</v>
      </c>
      <c r="CO143" s="379">
        <f t="shared" si="371"/>
        <v>17.535</v>
      </c>
      <c r="CP143" s="379"/>
      <c r="CQ143" s="188">
        <f t="shared" si="372"/>
        <v>0.48674080410607357</v>
      </c>
      <c r="CR143" s="149">
        <f t="shared" si="429"/>
        <v>146.41650128314802</v>
      </c>
      <c r="CS143" s="149">
        <f t="shared" si="373"/>
        <v>28.05</v>
      </c>
      <c r="CT143" s="188">
        <f t="shared" si="374"/>
        <v>0.86127353695969422</v>
      </c>
      <c r="CU143" s="188">
        <f t="shared" si="375"/>
        <v>170</v>
      </c>
      <c r="CV143" s="188"/>
      <c r="CW143" s="149">
        <f t="shared" si="376"/>
        <v>1638.2586962631804</v>
      </c>
      <c r="CX143" s="149">
        <f t="shared" si="377"/>
        <v>170</v>
      </c>
      <c r="CY143" s="188">
        <f t="shared" si="378"/>
        <v>12.806268306971296</v>
      </c>
      <c r="CZ143" s="188">
        <f t="shared" si="379"/>
        <v>2.1343780511618826</v>
      </c>
      <c r="DA143" s="188">
        <f t="shared" si="380"/>
        <v>2.2506622683605091</v>
      </c>
      <c r="DB143" s="172">
        <f t="shared" si="381"/>
        <v>219.03336184773312</v>
      </c>
      <c r="DC143" s="379">
        <f t="shared" si="382"/>
        <v>228.04807416432553</v>
      </c>
      <c r="DE143" s="188">
        <f t="shared" si="383"/>
        <v>13.333333333333334</v>
      </c>
      <c r="DF143" s="150">
        <f t="shared" si="384"/>
        <v>2.3432923257176337</v>
      </c>
      <c r="DG143" s="150">
        <f t="shared" si="385"/>
        <v>0.17108639863130889</v>
      </c>
      <c r="DH143" s="150"/>
      <c r="DI143" s="150">
        <f t="shared" si="386"/>
        <v>2.3432923257176337</v>
      </c>
      <c r="DJ143" s="314">
        <f t="shared" si="387"/>
        <v>211.24124999999995</v>
      </c>
      <c r="DK143" s="456">
        <f t="shared" si="388"/>
        <v>0.17108639863130887</v>
      </c>
      <c r="DM143" s="150">
        <f t="shared" si="389"/>
        <v>10.358433417131321</v>
      </c>
      <c r="DN143" s="150">
        <f t="shared" si="390"/>
        <v>13.333333333333334</v>
      </c>
      <c r="DO143" s="150">
        <f t="shared" si="391"/>
        <v>1.1207092857142857</v>
      </c>
      <c r="DQ143" s="314">
        <f t="shared" si="392"/>
        <v>165</v>
      </c>
      <c r="DR143" s="144">
        <f t="shared" si="393"/>
        <v>211.24124999999995</v>
      </c>
      <c r="DT143">
        <f t="shared" si="430"/>
        <v>165</v>
      </c>
      <c r="DU143">
        <f t="shared" si="431"/>
        <v>211.24124999999995</v>
      </c>
      <c r="DW143" s="5">
        <f t="shared" si="394"/>
        <v>4.7339238903386542</v>
      </c>
      <c r="DX143" s="5">
        <f t="shared" si="395"/>
        <v>2.2222222222222223</v>
      </c>
      <c r="DY143" s="5">
        <f t="shared" si="396"/>
        <v>2.5117016681164319</v>
      </c>
      <c r="DZ143" s="5"/>
      <c r="EA143" s="150">
        <f t="shared" si="397"/>
        <v>0.46942499999999993</v>
      </c>
      <c r="EB143" s="150">
        <f t="shared" si="398"/>
        <v>28.165499999999998</v>
      </c>
      <c r="EC143" s="150">
        <f t="shared" si="399"/>
        <v>0.17685833333333337</v>
      </c>
      <c r="ED143" s="150">
        <f t="shared" si="400"/>
        <v>159.2545822927955</v>
      </c>
      <c r="EE143" s="144">
        <f t="shared" si="401"/>
        <v>0.21568627450980396</v>
      </c>
      <c r="EF143" s="5">
        <f t="shared" si="402"/>
        <v>13.046894776049243</v>
      </c>
      <c r="EH143" s="150">
        <f t="shared" si="403"/>
        <v>5.2742561350182617</v>
      </c>
      <c r="EI143" s="150">
        <f t="shared" si="404"/>
        <v>0.28036352063651887</v>
      </c>
      <c r="EK143" s="456">
        <f t="shared" si="405"/>
        <v>9.4580444444444425E-2</v>
      </c>
      <c r="EL143" s="456">
        <f t="shared" si="406"/>
        <v>1.5014014091999996</v>
      </c>
      <c r="EM143" s="456">
        <f t="shared" si="407"/>
        <v>4.8374246249999989E-2</v>
      </c>
      <c r="EN143" s="456">
        <f t="shared" si="408"/>
        <v>4.4491888548282649E-2</v>
      </c>
      <c r="EO143">
        <f t="shared" si="409"/>
        <v>4.0499999999999998E-3</v>
      </c>
      <c r="EP143" s="144">
        <f t="shared" si="410"/>
        <v>52.424246249999989</v>
      </c>
      <c r="EQ143" s="144"/>
      <c r="ER143" s="144">
        <f t="shared" si="432"/>
        <v>1692.897988442727</v>
      </c>
      <c r="ES143" s="456">
        <f t="shared" si="411"/>
        <v>0.41250000000000003</v>
      </c>
      <c r="EV143" s="144">
        <f t="shared" si="412"/>
        <v>412.50000000000006</v>
      </c>
      <c r="EW143" s="456">
        <f t="shared" si="413"/>
        <v>4.1726666666666662E-2</v>
      </c>
      <c r="EX143" s="456">
        <f t="shared" si="414"/>
        <v>1.572074074074075E-2</v>
      </c>
      <c r="EY143" s="456">
        <f t="shared" si="415"/>
        <v>21.050560676756881</v>
      </c>
      <c r="EZ143" s="456"/>
      <c r="FA143" s="456">
        <f t="shared" si="416"/>
        <v>3.7553999999999997E-2</v>
      </c>
      <c r="FB143" s="144">
        <f t="shared" si="417"/>
        <v>21145.562084164289</v>
      </c>
      <c r="FC143" s="150">
        <f t="shared" si="418"/>
        <v>23.250960072607015</v>
      </c>
      <c r="FD143" s="5">
        <f t="shared" si="419"/>
        <v>28.05</v>
      </c>
      <c r="FE143" s="150">
        <f t="shared" si="420"/>
        <v>0.54677339294041316</v>
      </c>
      <c r="FF143" s="5">
        <f t="shared" si="421"/>
        <v>54.677339294041317</v>
      </c>
      <c r="FI143" s="59">
        <f t="shared" si="422"/>
        <v>-50</v>
      </c>
      <c r="FJ143">
        <f t="shared" si="423"/>
        <v>-50</v>
      </c>
      <c r="FL143">
        <f t="shared" si="476"/>
        <v>0.49499999999999988</v>
      </c>
    </row>
    <row r="144" spans="5:168">
      <c r="E144" s="147">
        <v>34</v>
      </c>
      <c r="F144" s="188">
        <f t="shared" si="477"/>
        <v>0.17</v>
      </c>
      <c r="G144" s="188"/>
      <c r="H144" s="188">
        <f t="shared" si="442"/>
        <v>28.900000000000002</v>
      </c>
      <c r="I144" s="465">
        <f t="shared" si="443"/>
        <v>8.9670404375352248</v>
      </c>
      <c r="J144" s="149">
        <f t="shared" si="444"/>
        <v>8.5383632206596705</v>
      </c>
      <c r="K144" s="149">
        <f t="shared" si="445"/>
        <v>17.505403658194894</v>
      </c>
      <c r="L144" s="379"/>
      <c r="M144" s="188">
        <f t="shared" si="446"/>
        <v>0.48775498570286674</v>
      </c>
      <c r="N144" s="149">
        <f t="shared" si="447"/>
        <v>146.18425736147071</v>
      </c>
      <c r="O144" s="149">
        <f t="shared" si="438"/>
        <v>28.900000000000002</v>
      </c>
      <c r="P144" s="188">
        <f t="shared" si="448"/>
        <v>0.85990739624394541</v>
      </c>
      <c r="Q144" s="188">
        <f t="shared" si="449"/>
        <v>170</v>
      </c>
      <c r="R144" s="188"/>
      <c r="S144" s="149">
        <f t="shared" si="450"/>
        <v>1578.9818850846389</v>
      </c>
      <c r="T144" s="149">
        <f t="shared" si="451"/>
        <v>170</v>
      </c>
      <c r="U144" s="188">
        <f t="shared" si="452"/>
        <v>13.274897383492322</v>
      </c>
      <c r="V144" s="188">
        <f t="shared" si="453"/>
        <v>2.2206151755363108</v>
      </c>
      <c r="W144" s="188">
        <f t="shared" si="454"/>
        <v>2.3321034208357396</v>
      </c>
      <c r="X144" s="172">
        <f t="shared" si="455"/>
        <v>218.68632613386362</v>
      </c>
      <c r="Y144" s="379">
        <f t="shared" si="328"/>
        <v>210.40589290587113</v>
      </c>
      <c r="AA144" s="188">
        <f t="shared" si="456"/>
        <v>13.333333333333334</v>
      </c>
      <c r="AB144" s="150">
        <f t="shared" si="457"/>
        <v>2.3423693140164641</v>
      </c>
      <c r="AC144" s="150">
        <f t="shared" si="458"/>
        <v>0.17074804657698631</v>
      </c>
      <c r="AD144" s="150"/>
      <c r="AE144" s="150">
        <f t="shared" si="459"/>
        <v>2.3423693140164641</v>
      </c>
      <c r="AF144" s="314">
        <f t="shared" si="460"/>
        <v>217.72826212682159</v>
      </c>
      <c r="AG144" s="456">
        <f t="shared" si="461"/>
        <v>0.17074804657698633</v>
      </c>
      <c r="AI144" s="150">
        <f t="shared" si="462"/>
        <v>10.516279434466469</v>
      </c>
      <c r="AJ144" s="150">
        <f t="shared" si="463"/>
        <v>13.333333333333334</v>
      </c>
      <c r="AK144" s="150">
        <f t="shared" si="464"/>
        <v>1.1244161497867553</v>
      </c>
      <c r="AM144" s="314">
        <f t="shared" si="465"/>
        <v>170</v>
      </c>
      <c r="AN144" s="144">
        <f t="shared" si="466"/>
        <v>217.72826212682159</v>
      </c>
      <c r="AP144" s="144">
        <f t="shared" si="467"/>
        <v>170</v>
      </c>
      <c r="AQ144" s="144">
        <f t="shared" si="468"/>
        <v>217.72826212682159</v>
      </c>
      <c r="AS144" s="5">
        <f t="shared" si="439"/>
        <v>4.5928810078754196</v>
      </c>
      <c r="AT144" s="5">
        <f t="shared" si="469"/>
        <v>2.2303902987078992</v>
      </c>
      <c r="AU144" s="5">
        <f t="shared" si="343"/>
        <v>2.3624907091675205</v>
      </c>
      <c r="AV144" s="5"/>
      <c r="AW144" s="150">
        <f t="shared" si="344"/>
        <v>0.4856190036021934</v>
      </c>
      <c r="AX144" s="150">
        <f t="shared" si="435"/>
        <v>29.030434950242885</v>
      </c>
      <c r="AY144" s="150">
        <f t="shared" si="436"/>
        <v>0.1714603321326022</v>
      </c>
      <c r="AZ144" s="150">
        <f t="shared" si="440"/>
        <v>169.31283515648173</v>
      </c>
      <c r="BA144" s="144">
        <f t="shared" si="433"/>
        <v>0.22303902987078994</v>
      </c>
      <c r="BB144" s="5">
        <f t="shared" si="434"/>
        <v>12.690173896756432</v>
      </c>
      <c r="BD144" s="150">
        <f t="shared" si="441"/>
        <v>5.3644591932165477</v>
      </c>
      <c r="BE144" s="150">
        <f t="shared" si="437"/>
        <v>0.27605179234870819</v>
      </c>
      <c r="BG144" s="456">
        <f t="shared" si="347"/>
        <v>9.7843236281330806E-2</v>
      </c>
      <c r="BH144" s="456">
        <f t="shared" si="470"/>
        <v>1.2171138098138443</v>
      </c>
      <c r="BI144" s="456">
        <f t="shared" si="471"/>
        <v>8.9418918394554903E-2</v>
      </c>
      <c r="BJ144" s="456">
        <f t="shared" si="350"/>
        <v>4.570351862958362E-2</v>
      </c>
      <c r="BK144">
        <f t="shared" si="351"/>
        <v>4.0351681968908513E-3</v>
      </c>
      <c r="BL144" s="144">
        <f t="shared" si="427"/>
        <v>93.454086591445758</v>
      </c>
      <c r="BM144" s="456">
        <f t="shared" si="472"/>
        <v>1.4200919001497454</v>
      </c>
      <c r="BN144" s="144">
        <f t="shared" si="353"/>
        <v>1420.0919001497455</v>
      </c>
      <c r="BO144" s="456">
        <f t="shared" si="354"/>
        <v>0.42500000000000004</v>
      </c>
      <c r="BR144" s="144">
        <f t="shared" si="355"/>
        <v>425.00000000000006</v>
      </c>
      <c r="BS144" s="456">
        <f t="shared" si="356"/>
        <v>4.3166133653528303E-2</v>
      </c>
      <c r="BT144" s="456">
        <f t="shared" si="357"/>
        <v>1.5240918411786861E-2</v>
      </c>
      <c r="BU144" s="456">
        <f t="shared" si="358"/>
        <v>22.704077529911256</v>
      </c>
      <c r="BV144" s="456"/>
      <c r="BW144" s="456">
        <f t="shared" si="359"/>
        <v>3.8707246600323847E-2</v>
      </c>
      <c r="BX144" s="144">
        <f t="shared" si="360"/>
        <v>22801.191828576899</v>
      </c>
      <c r="BY144" s="150">
        <f t="shared" si="361"/>
        <v>24.680306479893101</v>
      </c>
      <c r="BZ144" s="5">
        <f t="shared" si="362"/>
        <v>28.900000000000002</v>
      </c>
      <c r="CA144" s="150">
        <f t="shared" si="363"/>
        <v>0.53937728054700851</v>
      </c>
      <c r="CB144" s="5">
        <f t="shared" si="364"/>
        <v>53.937728054700848</v>
      </c>
      <c r="CE144" s="59">
        <f t="shared" si="473"/>
        <v>-50</v>
      </c>
      <c r="CF144">
        <f t="shared" si="474"/>
        <v>-50</v>
      </c>
      <c r="CG144" s="150">
        <f t="shared" si="475"/>
        <v>0.50546787500000012</v>
      </c>
      <c r="CI144" s="147">
        <v>34</v>
      </c>
      <c r="CJ144" s="188">
        <f t="shared" si="428"/>
        <v>0.17</v>
      </c>
      <c r="CK144" s="188"/>
      <c r="CL144" s="188">
        <f t="shared" si="368"/>
        <v>28.900000000000002</v>
      </c>
      <c r="CM144" s="465">
        <f t="shared" si="369"/>
        <v>9</v>
      </c>
      <c r="CN144" s="379">
        <f t="shared" si="370"/>
        <v>8.5350000000000001</v>
      </c>
      <c r="CO144" s="379">
        <f t="shared" si="371"/>
        <v>17.535</v>
      </c>
      <c r="CP144" s="379"/>
      <c r="CQ144" s="188">
        <f t="shared" si="372"/>
        <v>0.48674080410607357</v>
      </c>
      <c r="CR144" s="149">
        <f t="shared" si="429"/>
        <v>146.41650128314802</v>
      </c>
      <c r="CS144" s="149">
        <f t="shared" si="373"/>
        <v>28.900000000000002</v>
      </c>
      <c r="CT144" s="188">
        <f t="shared" si="374"/>
        <v>0.86127353695969422</v>
      </c>
      <c r="CU144" s="188">
        <f t="shared" si="375"/>
        <v>170</v>
      </c>
      <c r="CV144" s="188"/>
      <c r="CW144" s="149">
        <f t="shared" si="376"/>
        <v>1584.7853532857628</v>
      </c>
      <c r="CX144" s="149">
        <f t="shared" si="377"/>
        <v>170</v>
      </c>
      <c r="CY144" s="188">
        <f t="shared" si="378"/>
        <v>13.194337043546184</v>
      </c>
      <c r="CZ144" s="188">
        <f t="shared" si="379"/>
        <v>2.1990561739243639</v>
      </c>
      <c r="DA144" s="188">
        <f t="shared" si="380"/>
        <v>2.3188641552805245</v>
      </c>
      <c r="DB144" s="172">
        <f t="shared" si="381"/>
        <v>219.03336184773312</v>
      </c>
      <c r="DC144" s="379">
        <f t="shared" si="382"/>
        <v>221.34077786537475</v>
      </c>
      <c r="DE144" s="188">
        <f t="shared" si="383"/>
        <v>13.333333333333334</v>
      </c>
      <c r="DF144" s="150">
        <f t="shared" si="384"/>
        <v>2.3432923257176337</v>
      </c>
      <c r="DG144" s="150">
        <f t="shared" si="385"/>
        <v>0.17108639863130889</v>
      </c>
      <c r="DH144" s="150"/>
      <c r="DI144" s="150">
        <f t="shared" si="386"/>
        <v>2.3432923257176337</v>
      </c>
      <c r="DJ144" s="314">
        <f t="shared" si="387"/>
        <v>217.64249999999996</v>
      </c>
      <c r="DK144" s="456">
        <f t="shared" si="388"/>
        <v>0.17108639863130887</v>
      </c>
      <c r="DM144" s="150">
        <f t="shared" si="389"/>
        <v>10.514208074247504</v>
      </c>
      <c r="DN144" s="150">
        <f t="shared" si="390"/>
        <v>13.333333333333334</v>
      </c>
      <c r="DO144" s="150">
        <f t="shared" si="391"/>
        <v>1.1243671428571429</v>
      </c>
      <c r="DQ144" s="314">
        <f t="shared" si="392"/>
        <v>170</v>
      </c>
      <c r="DR144" s="144">
        <f t="shared" si="393"/>
        <v>217.64249999999996</v>
      </c>
      <c r="DT144">
        <f t="shared" si="430"/>
        <v>170</v>
      </c>
      <c r="DU144">
        <f t="shared" si="431"/>
        <v>217.64249999999996</v>
      </c>
      <c r="DW144" s="5">
        <f t="shared" si="394"/>
        <v>4.594690834740458</v>
      </c>
      <c r="DX144" s="5">
        <f t="shared" si="395"/>
        <v>2.2222222222222223</v>
      </c>
      <c r="DY144" s="5">
        <f t="shared" si="396"/>
        <v>2.3724686125182357</v>
      </c>
      <c r="DZ144" s="5"/>
      <c r="EA144" s="150">
        <f t="shared" si="397"/>
        <v>0.48364999999999997</v>
      </c>
      <c r="EB144" s="150">
        <f t="shared" si="398"/>
        <v>29.018999999999998</v>
      </c>
      <c r="EC144" s="150">
        <f t="shared" si="399"/>
        <v>0.17211666666666672</v>
      </c>
      <c r="ED144" s="150">
        <f t="shared" si="400"/>
        <v>168.60075530163641</v>
      </c>
      <c r="EE144" s="144">
        <f t="shared" si="401"/>
        <v>0.22222222222222227</v>
      </c>
      <c r="EF144" s="5">
        <f t="shared" si="402"/>
        <v>12.697100537366111</v>
      </c>
      <c r="EH144" s="150">
        <f t="shared" si="403"/>
        <v>5.3535727080838962</v>
      </c>
      <c r="EI144" s="150">
        <f t="shared" si="404"/>
        <v>0.27657963825324583</v>
      </c>
      <c r="EK144" s="456">
        <f t="shared" si="405"/>
        <v>9.7446518518518516E-2</v>
      </c>
      <c r="EL144" s="456">
        <f t="shared" si="406"/>
        <v>1.5468984215999999</v>
      </c>
      <c r="EM144" s="456">
        <f t="shared" si="407"/>
        <v>4.9840132499999988E-2</v>
      </c>
      <c r="EN144" s="456">
        <f t="shared" si="408"/>
        <v>4.58401275952003E-2</v>
      </c>
      <c r="EO144">
        <f t="shared" si="409"/>
        <v>4.0499999999999998E-3</v>
      </c>
      <c r="EP144" s="144">
        <f t="shared" si="410"/>
        <v>53.890132499999986</v>
      </c>
      <c r="EQ144" s="144"/>
      <c r="ER144" s="144">
        <f t="shared" si="432"/>
        <v>1744.0752002137187</v>
      </c>
      <c r="ES144" s="456">
        <f t="shared" si="411"/>
        <v>0.42500000000000004</v>
      </c>
      <c r="EV144" s="144">
        <f t="shared" si="412"/>
        <v>425.00000000000006</v>
      </c>
      <c r="EW144" s="456">
        <f t="shared" si="413"/>
        <v>4.2991111111111112E-2</v>
      </c>
      <c r="EX144" s="456">
        <f t="shared" si="414"/>
        <v>1.5299259259259266E-2</v>
      </c>
      <c r="EY144" s="456">
        <f t="shared" si="415"/>
        <v>22.68172656401687</v>
      </c>
      <c r="EZ144" s="456"/>
      <c r="FA144" s="456">
        <f t="shared" si="416"/>
        <v>3.8692000000000004E-2</v>
      </c>
      <c r="FB144" s="144">
        <f t="shared" si="417"/>
        <v>22778.708934387243</v>
      </c>
      <c r="FC144" s="150">
        <f t="shared" si="418"/>
        <v>24.947784134600962</v>
      </c>
      <c r="FD144" s="5">
        <f t="shared" si="419"/>
        <v>28.900000000000002</v>
      </c>
      <c r="FE144" s="150">
        <f t="shared" si="420"/>
        <v>0.5366980362229935</v>
      </c>
      <c r="FF144" s="5">
        <f t="shared" si="421"/>
        <v>53.669803622299348</v>
      </c>
      <c r="FI144" s="59">
        <f t="shared" si="422"/>
        <v>-50</v>
      </c>
      <c r="FJ144">
        <f t="shared" si="423"/>
        <v>-50</v>
      </c>
      <c r="FL144">
        <f t="shared" si="476"/>
        <v>0.5099999999999999</v>
      </c>
    </row>
    <row r="145" spans="5:168">
      <c r="E145" s="147">
        <v>35</v>
      </c>
      <c r="F145" s="188">
        <f t="shared" si="477"/>
        <v>0.17499999999999999</v>
      </c>
      <c r="G145" s="188"/>
      <c r="H145" s="188">
        <f t="shared" si="442"/>
        <v>29.749999999999996</v>
      </c>
      <c r="I145" s="465">
        <f t="shared" si="443"/>
        <v>8.9658712144322568</v>
      </c>
      <c r="J145" s="149">
        <f t="shared" si="444"/>
        <v>8.5384825291395661</v>
      </c>
      <c r="K145" s="149">
        <f t="shared" si="445"/>
        <v>17.504353743571823</v>
      </c>
      <c r="L145" s="379"/>
      <c r="M145" s="188">
        <f t="shared" si="446"/>
        <v>0.48778979736335448</v>
      </c>
      <c r="N145" s="149">
        <f t="shared" si="447"/>
        <v>146.17562820772014</v>
      </c>
      <c r="O145" s="149">
        <f t="shared" si="438"/>
        <v>29.749999999999996</v>
      </c>
      <c r="P145" s="188">
        <f t="shared" si="448"/>
        <v>0.85985663651600086</v>
      </c>
      <c r="Q145" s="188">
        <f t="shared" si="449"/>
        <v>170</v>
      </c>
      <c r="R145" s="188"/>
      <c r="S145" s="149">
        <f t="shared" si="450"/>
        <v>1528.5496498427058</v>
      </c>
      <c r="T145" s="149">
        <f t="shared" si="451"/>
        <v>170</v>
      </c>
      <c r="U145" s="188">
        <f t="shared" si="452"/>
        <v>13.66626428752669</v>
      </c>
      <c r="V145" s="188">
        <f t="shared" si="453"/>
        <v>2.2863808704158495</v>
      </c>
      <c r="W145" s="188">
        <f t="shared" si="454"/>
        <v>2.4008243105646763</v>
      </c>
      <c r="X145" s="172">
        <f t="shared" si="455"/>
        <v>218.67398204020719</v>
      </c>
      <c r="Y145" s="379">
        <f t="shared" si="328"/>
        <v>204.61592320528865</v>
      </c>
      <c r="AA145" s="188">
        <f t="shared" si="456"/>
        <v>13.333333333333334</v>
      </c>
      <c r="AB145" s="150">
        <f t="shared" si="457"/>
        <v>2.3423365840177488</v>
      </c>
      <c r="AC145" s="150">
        <f t="shared" si="458"/>
        <v>0.17073602270187252</v>
      </c>
      <c r="AD145" s="150"/>
      <c r="AE145" s="150">
        <f t="shared" si="459"/>
        <v>2.3423365840177488</v>
      </c>
      <c r="AF145" s="314">
        <f t="shared" si="460"/>
        <v>224.13516638991354</v>
      </c>
      <c r="AG145" s="456">
        <f t="shared" si="461"/>
        <v>0.17073602270187252</v>
      </c>
      <c r="AI145" s="150">
        <f t="shared" si="462"/>
        <v>10.669884428702161</v>
      </c>
      <c r="AJ145" s="150">
        <f t="shared" si="463"/>
        <v>13.66626428752669</v>
      </c>
      <c r="AK145" s="150">
        <f t="shared" si="464"/>
        <v>1.4466155216247085</v>
      </c>
      <c r="AM145" s="314">
        <f t="shared" si="465"/>
        <v>175</v>
      </c>
      <c r="AN145" s="144">
        <f t="shared" si="466"/>
        <v>204.61592320528865</v>
      </c>
      <c r="AP145" s="144">
        <f t="shared" si="467"/>
        <v>175</v>
      </c>
      <c r="AQ145" s="144">
        <f t="shared" si="468"/>
        <v>204.61592320528865</v>
      </c>
      <c r="AS145" s="5">
        <f t="shared" si="439"/>
        <v>4.8872051809805255</v>
      </c>
      <c r="AT145" s="5">
        <f t="shared" si="469"/>
        <v>2.2863808704158495</v>
      </c>
      <c r="AU145" s="5">
        <f t="shared" si="343"/>
        <v>2.600824310564676</v>
      </c>
      <c r="AV145" s="5"/>
      <c r="AW145" s="150">
        <f t="shared" si="344"/>
        <v>0.46782993259905048</v>
      </c>
      <c r="AX145" s="150">
        <f t="shared" si="435"/>
        <v>28.661592770347351</v>
      </c>
      <c r="AY145" s="150">
        <f t="shared" si="436"/>
        <v>0.18181941967530671</v>
      </c>
      <c r="AZ145" s="150">
        <f t="shared" si="440"/>
        <v>157.63768700577336</v>
      </c>
      <c r="BA145" s="144">
        <f t="shared" si="433"/>
        <v>0.2353627366604551</v>
      </c>
      <c r="BB145" s="5">
        <f t="shared" si="434"/>
        <v>14.383157603756759</v>
      </c>
      <c r="BD145" s="150">
        <f t="shared" si="441"/>
        <v>5.396761062619829</v>
      </c>
      <c r="BE145" s="150">
        <f t="shared" si="437"/>
        <v>0.28779577492193265</v>
      </c>
      <c r="BG145" s="456">
        <f t="shared" si="347"/>
        <v>9.9025101887832312E-2</v>
      </c>
      <c r="BH145" s="456">
        <f t="shared" si="470"/>
        <v>1.1723056058057004</v>
      </c>
      <c r="BI145" s="456">
        <f t="shared" si="471"/>
        <v>8.4022848727339658E-2</v>
      </c>
      <c r="BJ145" s="456">
        <f t="shared" si="350"/>
        <v>4.2945944811806899E-2</v>
      </c>
      <c r="BK145">
        <f t="shared" si="351"/>
        <v>4.0346420464945154E-3</v>
      </c>
      <c r="BL145" s="144">
        <f t="shared" si="427"/>
        <v>88.057490773834175</v>
      </c>
      <c r="BM145" s="456">
        <f t="shared" si="472"/>
        <v>1.3733255333403867</v>
      </c>
      <c r="BN145" s="144">
        <f t="shared" si="353"/>
        <v>1373.3255333403868</v>
      </c>
      <c r="BO145" s="456">
        <f t="shared" si="354"/>
        <v>0.4375</v>
      </c>
      <c r="BR145" s="144">
        <f t="shared" si="355"/>
        <v>437.5</v>
      </c>
      <c r="BS145" s="456">
        <f t="shared" si="356"/>
        <v>4.3687544950514259E-2</v>
      </c>
      <c r="BT145" s="456">
        <f t="shared" si="357"/>
        <v>1.6565281612583145E-2</v>
      </c>
      <c r="BU145" s="456">
        <f t="shared" si="358"/>
        <v>20.674885397371227</v>
      </c>
      <c r="BV145" s="456"/>
      <c r="BW145" s="456">
        <f t="shared" si="359"/>
        <v>3.8215457027129807E-2</v>
      </c>
      <c r="BX145" s="144">
        <f t="shared" si="360"/>
        <v>20773.353680961452</v>
      </c>
      <c r="BY145" s="150">
        <f t="shared" si="361"/>
        <v>22.613187824240626</v>
      </c>
      <c r="BZ145" s="5">
        <f t="shared" si="362"/>
        <v>29.749999999999996</v>
      </c>
      <c r="CA145" s="150">
        <f t="shared" si="363"/>
        <v>0.56814722777874405</v>
      </c>
      <c r="CB145" s="5">
        <f t="shared" si="364"/>
        <v>56.814722777874408</v>
      </c>
      <c r="CE145" s="59">
        <f t="shared" si="473"/>
        <v>-50</v>
      </c>
      <c r="CF145">
        <f t="shared" si="474"/>
        <v>-50</v>
      </c>
      <c r="CG145" s="150">
        <f t="shared" si="475"/>
        <v>0.50250835811189387</v>
      </c>
      <c r="CI145" s="147">
        <v>35</v>
      </c>
      <c r="CJ145" s="188">
        <f t="shared" si="428"/>
        <v>0.17499999999999999</v>
      </c>
      <c r="CK145" s="188"/>
      <c r="CL145" s="188">
        <f t="shared" si="368"/>
        <v>29.749999999999996</v>
      </c>
      <c r="CM145" s="465">
        <f t="shared" si="369"/>
        <v>9</v>
      </c>
      <c r="CN145" s="379">
        <f t="shared" si="370"/>
        <v>8.5350000000000001</v>
      </c>
      <c r="CO145" s="379">
        <f t="shared" si="371"/>
        <v>17.535</v>
      </c>
      <c r="CP145" s="379"/>
      <c r="CQ145" s="188">
        <f t="shared" si="372"/>
        <v>0.48674080410607357</v>
      </c>
      <c r="CR145" s="149">
        <f t="shared" si="429"/>
        <v>146.41650128314802</v>
      </c>
      <c r="CS145" s="149">
        <f t="shared" si="373"/>
        <v>29.749999999999996</v>
      </c>
      <c r="CT145" s="188">
        <f t="shared" si="374"/>
        <v>0.86127353695969422</v>
      </c>
      <c r="CU145" s="188">
        <f t="shared" si="375"/>
        <v>170</v>
      </c>
      <c r="CV145" s="188"/>
      <c r="CW145" s="149">
        <f t="shared" si="376"/>
        <v>1534.3677953510473</v>
      </c>
      <c r="CX145" s="149">
        <f t="shared" si="377"/>
        <v>170</v>
      </c>
      <c r="CY145" s="188">
        <f t="shared" si="378"/>
        <v>13.58240578012107</v>
      </c>
      <c r="CZ145" s="188">
        <f t="shared" si="379"/>
        <v>2.2637342966868448</v>
      </c>
      <c r="DA145" s="188">
        <f t="shared" si="380"/>
        <v>2.3870660422005394</v>
      </c>
      <c r="DB145" s="172">
        <f t="shared" si="381"/>
        <v>219.03336184773312</v>
      </c>
      <c r="DC145" s="379">
        <f t="shared" si="382"/>
        <v>215.01675564064982</v>
      </c>
      <c r="DE145" s="188">
        <f t="shared" si="383"/>
        <v>13.333333333333334</v>
      </c>
      <c r="DF145" s="150">
        <f t="shared" si="384"/>
        <v>2.3432923257176337</v>
      </c>
      <c r="DG145" s="150">
        <f t="shared" si="385"/>
        <v>0.17108639863130889</v>
      </c>
      <c r="DH145" s="150"/>
      <c r="DI145" s="150">
        <f t="shared" si="386"/>
        <v>2.3432923257176337</v>
      </c>
      <c r="DJ145" s="314">
        <f t="shared" si="387"/>
        <v>224.0437499999999</v>
      </c>
      <c r="DK145" s="456">
        <f t="shared" si="388"/>
        <v>0.17108639863130887</v>
      </c>
      <c r="DM145" s="150">
        <f t="shared" si="389"/>
        <v>10.667708282475669</v>
      </c>
      <c r="DN145" s="150">
        <f t="shared" si="390"/>
        <v>13.58240578012107</v>
      </c>
      <c r="DO145" s="150">
        <f t="shared" si="391"/>
        <v>1.3844981087316559</v>
      </c>
      <c r="DQ145" s="314">
        <f t="shared" si="392"/>
        <v>175</v>
      </c>
      <c r="DR145" s="144">
        <f t="shared" si="393"/>
        <v>215.01675564064982</v>
      </c>
      <c r="DT145">
        <f t="shared" si="430"/>
        <v>175</v>
      </c>
      <c r="DU145">
        <f t="shared" si="431"/>
        <v>215.01675564064982</v>
      </c>
      <c r="DW145" s="5">
        <f t="shared" si="394"/>
        <v>4.6508003388873833</v>
      </c>
      <c r="DX145" s="5">
        <f t="shared" si="395"/>
        <v>2.2637342966868448</v>
      </c>
      <c r="DY145" s="5">
        <f t="shared" si="396"/>
        <v>2.3870660422005385</v>
      </c>
      <c r="DZ145" s="5"/>
      <c r="EA145" s="150">
        <f t="shared" si="397"/>
        <v>0.48674080410607368</v>
      </c>
      <c r="EB145" s="150">
        <f t="shared" si="398"/>
        <v>29.750000000000004</v>
      </c>
      <c r="EC145" s="150">
        <f t="shared" si="399"/>
        <v>0.17428236672524894</v>
      </c>
      <c r="ED145" s="150">
        <f t="shared" si="400"/>
        <v>170.70000000000005</v>
      </c>
      <c r="EE145" s="144">
        <f t="shared" si="401"/>
        <v>0.23303147171776342</v>
      </c>
      <c r="EF145" s="5">
        <f t="shared" si="402"/>
        <v>13.150965695456668</v>
      </c>
      <c r="EH145" s="150">
        <f t="shared" si="403"/>
        <v>5.4709777848990937</v>
      </c>
      <c r="EI145" s="150">
        <f t="shared" si="404"/>
        <v>0.28090175181500743</v>
      </c>
      <c r="EK145" s="456">
        <f t="shared" si="405"/>
        <v>0.10176743293772193</v>
      </c>
      <c r="EL145" s="456">
        <f t="shared" si="406"/>
        <v>1.5567840000000002</v>
      </c>
      <c r="EM145" s="456">
        <f t="shared" si="407"/>
        <v>4.9238837041708804E-2</v>
      </c>
      <c r="EN145" s="456">
        <f t="shared" si="408"/>
        <v>4.528709013025211E-2</v>
      </c>
      <c r="EO145">
        <f t="shared" si="409"/>
        <v>4.0499999999999998E-3</v>
      </c>
      <c r="EP145" s="144">
        <f t="shared" si="410"/>
        <v>53.288837041708803</v>
      </c>
      <c r="EQ145" s="144"/>
      <c r="ER145" s="144">
        <f t="shared" si="432"/>
        <v>1757.1273601096827</v>
      </c>
      <c r="ES145" s="456">
        <f t="shared" si="411"/>
        <v>0.4375</v>
      </c>
      <c r="EV145" s="144">
        <f t="shared" si="412"/>
        <v>437.5</v>
      </c>
      <c r="EW145" s="456">
        <f t="shared" si="413"/>
        <v>4.4897396884289092E-2</v>
      </c>
      <c r="EX145" s="456">
        <f t="shared" si="414"/>
        <v>1.5781158834548007E-2</v>
      </c>
      <c r="EY145" s="456">
        <f t="shared" si="415"/>
        <v>23.045838725832805</v>
      </c>
      <c r="EZ145" s="456"/>
      <c r="FA145" s="456">
        <f t="shared" si="416"/>
        <v>3.966666666666667E-2</v>
      </c>
      <c r="FB145" s="144">
        <f t="shared" si="417"/>
        <v>23146.18394821831</v>
      </c>
      <c r="FC145" s="150">
        <f t="shared" si="418"/>
        <v>25.340811308327989</v>
      </c>
      <c r="FD145" s="5">
        <f t="shared" si="419"/>
        <v>29.749999999999996</v>
      </c>
      <c r="FE145" s="150">
        <f t="shared" si="420"/>
        <v>0.54001746014407925</v>
      </c>
      <c r="FF145" s="5">
        <f t="shared" si="421"/>
        <v>54.001746014407928</v>
      </c>
      <c r="FI145" s="59">
        <f t="shared" si="422"/>
        <v>-50</v>
      </c>
      <c r="FJ145">
        <f t="shared" si="423"/>
        <v>-50</v>
      </c>
      <c r="FL145">
        <f t="shared" si="476"/>
        <v>0.51325919589392632</v>
      </c>
    </row>
    <row r="146" spans="5:168">
      <c r="E146" s="147">
        <v>36</v>
      </c>
      <c r="F146" s="188">
        <f t="shared" si="477"/>
        <v>0.18</v>
      </c>
      <c r="G146" s="188"/>
      <c r="H146" s="188">
        <f t="shared" si="442"/>
        <v>30.599999999999998</v>
      </c>
      <c r="I146" s="465">
        <f t="shared" si="443"/>
        <v>8.9649169556841741</v>
      </c>
      <c r="J146" s="149">
        <f t="shared" si="444"/>
        <v>8.5385799024812066</v>
      </c>
      <c r="K146" s="149">
        <f t="shared" si="445"/>
        <v>17.503496858165381</v>
      </c>
      <c r="L146" s="379"/>
      <c r="M146" s="188">
        <f t="shared" si="446"/>
        <v>0.48781924163055823</v>
      </c>
      <c r="N146" s="149">
        <f t="shared" si="447"/>
        <v>146.16889299591381</v>
      </c>
      <c r="O146" s="149">
        <f t="shared" si="438"/>
        <v>30.599999999999998</v>
      </c>
      <c r="P146" s="188">
        <f t="shared" si="448"/>
        <v>0.85981701762302243</v>
      </c>
      <c r="Q146" s="188">
        <f t="shared" si="449"/>
        <v>170</v>
      </c>
      <c r="R146" s="188"/>
      <c r="S146" s="149">
        <f t="shared" si="450"/>
        <v>1480.9561759710086</v>
      </c>
      <c r="T146" s="149">
        <f t="shared" si="451"/>
        <v>170</v>
      </c>
      <c r="U146" s="188">
        <f t="shared" si="452"/>
        <v>14.057537075234208</v>
      </c>
      <c r="V146" s="188">
        <f t="shared" si="453"/>
        <v>2.3520915717441886</v>
      </c>
      <c r="W146" s="188">
        <f t="shared" si="454"/>
        <v>2.469533090241844</v>
      </c>
      <c r="X146" s="172">
        <f t="shared" si="455"/>
        <v>218.6639057483774</v>
      </c>
      <c r="Y146" s="379">
        <f t="shared" si="328"/>
        <v>199.13873841867425</v>
      </c>
      <c r="AA146" s="188">
        <f t="shared" si="456"/>
        <v>13.333333333333332</v>
      </c>
      <c r="AB146" s="150">
        <f t="shared" si="457"/>
        <v>2.3423098721824043</v>
      </c>
      <c r="AC146" s="150">
        <f t="shared" si="458"/>
        <v>0.17072620837479574</v>
      </c>
      <c r="AD146" s="150"/>
      <c r="AE146" s="150">
        <f t="shared" si="459"/>
        <v>2.3423098721824047</v>
      </c>
      <c r="AF146" s="314">
        <f t="shared" si="460"/>
        <v>230.54165736699252</v>
      </c>
      <c r="AG146" s="456">
        <f t="shared" si="461"/>
        <v>0.17072620837479574</v>
      </c>
      <c r="AI146" s="150">
        <f t="shared" si="462"/>
        <v>10.821299569685939</v>
      </c>
      <c r="AJ146" s="150">
        <f t="shared" si="463"/>
        <v>14.057537075234208</v>
      </c>
      <c r="AK146" s="150">
        <f t="shared" si="464"/>
        <v>1.7364472162228697</v>
      </c>
      <c r="AM146" s="314">
        <f t="shared" si="465"/>
        <v>180</v>
      </c>
      <c r="AN146" s="144">
        <f t="shared" si="466"/>
        <v>199.13873841867425</v>
      </c>
      <c r="AP146" s="144">
        <f t="shared" si="467"/>
        <v>180</v>
      </c>
      <c r="AQ146" s="144">
        <f t="shared" si="468"/>
        <v>199.13873841867425</v>
      </c>
      <c r="AS146" s="5">
        <f t="shared" si="439"/>
        <v>5.0216246619860323</v>
      </c>
      <c r="AT146" s="5">
        <f t="shared" si="469"/>
        <v>2.3520915717441886</v>
      </c>
      <c r="AU146" s="5">
        <f t="shared" si="343"/>
        <v>2.6695330902418437</v>
      </c>
      <c r="AV146" s="5"/>
      <c r="AW146" s="150">
        <f t="shared" si="344"/>
        <v>0.46839254824233434</v>
      </c>
      <c r="AX146" s="150">
        <f t="shared" si="435"/>
        <v>29.514504058447784</v>
      </c>
      <c r="AY146" s="150">
        <f t="shared" si="436"/>
        <v>0.18682728656385417</v>
      </c>
      <c r="AZ146" s="150">
        <f t="shared" si="440"/>
        <v>157.97748070574403</v>
      </c>
      <c r="BA146" s="144">
        <f t="shared" si="433"/>
        <v>0.24904498994938465</v>
      </c>
      <c r="BB146" s="5">
        <f t="shared" si="434"/>
        <v>15.186553124288674</v>
      </c>
      <c r="BD146" s="150">
        <f t="shared" si="441"/>
        <v>5.5546103469734316</v>
      </c>
      <c r="BE146" s="150">
        <f t="shared" si="437"/>
        <v>0.29587900159450237</v>
      </c>
      <c r="BG146" s="456">
        <f t="shared" si="347"/>
        <v>0.10490256676279464</v>
      </c>
      <c r="BH146" s="456">
        <f t="shared" si="470"/>
        <v>1.1735330572447755</v>
      </c>
      <c r="BI146" s="456">
        <f t="shared" si="471"/>
        <v>8.1765011168307269E-2</v>
      </c>
      <c r="BJ146" s="456">
        <f t="shared" si="350"/>
        <v>4.1792270366082254E-2</v>
      </c>
      <c r="BK146">
        <f t="shared" si="351"/>
        <v>4.034212630057878E-3</v>
      </c>
      <c r="BL146" s="144">
        <f t="shared" si="427"/>
        <v>85.799223798365148</v>
      </c>
      <c r="BM146" s="456">
        <f t="shared" si="472"/>
        <v>1.3830232338603969</v>
      </c>
      <c r="BN146" s="144">
        <f t="shared" si="353"/>
        <v>1383.0232338603969</v>
      </c>
      <c r="BO146" s="456">
        <f t="shared" si="354"/>
        <v>0.44999999999999996</v>
      </c>
      <c r="BR146" s="144">
        <f t="shared" si="355"/>
        <v>449.99999999999994</v>
      </c>
      <c r="BS146" s="456">
        <f t="shared" si="356"/>
        <v>4.6280544160056461E-2</v>
      </c>
      <c r="BT146" s="456">
        <f t="shared" si="357"/>
        <v>1.7508876716911908E-2</v>
      </c>
      <c r="BU146" s="456">
        <f t="shared" si="358"/>
        <v>20.731583582961182</v>
      </c>
      <c r="BV146" s="456"/>
      <c r="BW146" s="456">
        <f t="shared" si="359"/>
        <v>3.9352672077930383E-2</v>
      </c>
      <c r="BX146" s="144">
        <f t="shared" si="360"/>
        <v>20834.725675916085</v>
      </c>
      <c r="BY146" s="150">
        <f t="shared" si="361"/>
        <v>22.690752794088098</v>
      </c>
      <c r="BZ146" s="5">
        <f t="shared" si="362"/>
        <v>30.599999999999998</v>
      </c>
      <c r="CA146" s="150">
        <f t="shared" si="363"/>
        <v>0.57420843946859512</v>
      </c>
      <c r="CB146" s="5">
        <f t="shared" si="364"/>
        <v>57.420843946859513</v>
      </c>
      <c r="CE146" s="59">
        <f t="shared" si="473"/>
        <v>-50</v>
      </c>
      <c r="CF146">
        <f t="shared" si="474"/>
        <v>-50</v>
      </c>
      <c r="CG146" s="150">
        <f t="shared" si="475"/>
        <v>0.50280699249472827</v>
      </c>
      <c r="CI146" s="147">
        <v>36</v>
      </c>
      <c r="CJ146" s="188">
        <f t="shared" si="428"/>
        <v>0.18</v>
      </c>
      <c r="CK146" s="188"/>
      <c r="CL146" s="188">
        <f t="shared" si="368"/>
        <v>30.599999999999998</v>
      </c>
      <c r="CM146" s="465">
        <f t="shared" si="369"/>
        <v>9</v>
      </c>
      <c r="CN146" s="379">
        <f t="shared" si="370"/>
        <v>8.5350000000000001</v>
      </c>
      <c r="CO146" s="379">
        <f t="shared" si="371"/>
        <v>17.535</v>
      </c>
      <c r="CP146" s="379"/>
      <c r="CQ146" s="188">
        <f t="shared" si="372"/>
        <v>0.48674080410607357</v>
      </c>
      <c r="CR146" s="149">
        <f t="shared" si="429"/>
        <v>146.41650128314802</v>
      </c>
      <c r="CS146" s="149">
        <f t="shared" si="373"/>
        <v>30.599999999999998</v>
      </c>
      <c r="CT146" s="188">
        <f t="shared" si="374"/>
        <v>0.86127353695969422</v>
      </c>
      <c r="CU146" s="188">
        <f t="shared" si="375"/>
        <v>170</v>
      </c>
      <c r="CV146" s="188"/>
      <c r="CW146" s="149">
        <f t="shared" si="376"/>
        <v>1486.7513753180497</v>
      </c>
      <c r="CX146" s="149">
        <f t="shared" si="377"/>
        <v>170</v>
      </c>
      <c r="CY146" s="188">
        <f t="shared" si="378"/>
        <v>13.970474516695957</v>
      </c>
      <c r="CZ146" s="188">
        <f t="shared" si="379"/>
        <v>2.3284124194493261</v>
      </c>
      <c r="DA146" s="188">
        <f t="shared" si="380"/>
        <v>2.4552679291205548</v>
      </c>
      <c r="DB146" s="172">
        <f t="shared" si="381"/>
        <v>219.03336184773312</v>
      </c>
      <c r="DC146" s="379">
        <f t="shared" si="382"/>
        <v>209.04406798396508</v>
      </c>
      <c r="DE146" s="188">
        <f t="shared" si="383"/>
        <v>13.333333333333334</v>
      </c>
      <c r="DF146" s="150">
        <f t="shared" si="384"/>
        <v>2.3432923257176337</v>
      </c>
      <c r="DG146" s="150">
        <f t="shared" si="385"/>
        <v>0.17108639863130889</v>
      </c>
      <c r="DH146" s="150"/>
      <c r="DI146" s="150">
        <f t="shared" si="386"/>
        <v>2.3432923257176337</v>
      </c>
      <c r="DJ146" s="314">
        <f t="shared" si="387"/>
        <v>230.44499999999994</v>
      </c>
      <c r="DK146" s="456">
        <f t="shared" si="388"/>
        <v>0.17108639863130887</v>
      </c>
      <c r="DM146" s="150">
        <f t="shared" si="389"/>
        <v>10.819030851764337</v>
      </c>
      <c r="DN146" s="150">
        <f t="shared" si="390"/>
        <v>13.970474516695957</v>
      </c>
      <c r="DO146" s="150">
        <f t="shared" si="391"/>
        <v>1.6719564321204612</v>
      </c>
      <c r="DQ146" s="314">
        <f t="shared" si="392"/>
        <v>180</v>
      </c>
      <c r="DR146" s="144">
        <f t="shared" si="393"/>
        <v>209.04406798396508</v>
      </c>
      <c r="DT146">
        <f t="shared" si="430"/>
        <v>180</v>
      </c>
      <c r="DU146">
        <f t="shared" si="431"/>
        <v>209.04406798396508</v>
      </c>
      <c r="DW146" s="5">
        <f t="shared" si="394"/>
        <v>4.7836803485698818</v>
      </c>
      <c r="DX146" s="5">
        <f t="shared" si="395"/>
        <v>2.3284124194493261</v>
      </c>
      <c r="DY146" s="5">
        <f t="shared" si="396"/>
        <v>2.4552679291205557</v>
      </c>
      <c r="DZ146" s="5"/>
      <c r="EA146" s="150">
        <f t="shared" si="397"/>
        <v>0.48674080410607345</v>
      </c>
      <c r="EB146" s="150">
        <f t="shared" si="398"/>
        <v>30.599999999999994</v>
      </c>
      <c r="EC146" s="150">
        <f t="shared" si="399"/>
        <v>0.17926186291739896</v>
      </c>
      <c r="ED146" s="150">
        <f t="shared" si="400"/>
        <v>170.69999999999996</v>
      </c>
      <c r="EE146" s="144">
        <f t="shared" si="401"/>
        <v>0.24653778558875217</v>
      </c>
      <c r="EF146" s="5">
        <f t="shared" si="402"/>
        <v>13.913184931683146</v>
      </c>
      <c r="EH146" s="150">
        <f t="shared" si="403"/>
        <v>5.6272914358962094</v>
      </c>
      <c r="EI146" s="150">
        <f t="shared" si="404"/>
        <v>0.28892751615257911</v>
      </c>
      <c r="EK146" s="456">
        <f t="shared" si="405"/>
        <v>0.10766579027533678</v>
      </c>
      <c r="EL146" s="456">
        <f t="shared" si="406"/>
        <v>1.5567839999999997</v>
      </c>
      <c r="EM146" s="456">
        <f t="shared" si="407"/>
        <v>4.7871091568328E-2</v>
      </c>
      <c r="EN146" s="456">
        <f t="shared" si="408"/>
        <v>4.4029115404411769E-2</v>
      </c>
      <c r="EO146">
        <f t="shared" si="409"/>
        <v>4.0499999999999998E-3</v>
      </c>
      <c r="EP146" s="144">
        <f t="shared" si="410"/>
        <v>51.921091568327995</v>
      </c>
      <c r="EQ146" s="144"/>
      <c r="ER146" s="144">
        <f t="shared" si="432"/>
        <v>1760.3999972480765</v>
      </c>
      <c r="ES146" s="456">
        <f t="shared" si="411"/>
        <v>0.44999999999999996</v>
      </c>
      <c r="EV146" s="144">
        <f t="shared" si="412"/>
        <v>449.99999999999994</v>
      </c>
      <c r="EW146" s="456">
        <f t="shared" si="413"/>
        <v>4.7499613356766231E-2</v>
      </c>
      <c r="EX146" s="456">
        <f t="shared" si="414"/>
        <v>1.6695821918019774E-2</v>
      </c>
      <c r="EY146" s="456">
        <f t="shared" si="415"/>
        <v>23.045838725832727</v>
      </c>
      <c r="EZ146" s="456"/>
      <c r="FA146" s="456">
        <f t="shared" si="416"/>
        <v>4.0799999999999996E-2</v>
      </c>
      <c r="FB146" s="144">
        <f t="shared" si="417"/>
        <v>23150.834161107516</v>
      </c>
      <c r="FC146" s="150">
        <f t="shared" si="418"/>
        <v>25.36123415835559</v>
      </c>
      <c r="FD146" s="5">
        <f t="shared" si="419"/>
        <v>30.599999999999998</v>
      </c>
      <c r="FE146" s="150">
        <f t="shared" si="420"/>
        <v>0.5468070970952863</v>
      </c>
      <c r="FF146" s="5">
        <f t="shared" si="421"/>
        <v>54.680709709528628</v>
      </c>
      <c r="FI146" s="59">
        <f t="shared" si="422"/>
        <v>-50</v>
      </c>
      <c r="FJ146">
        <f t="shared" si="423"/>
        <v>-50</v>
      </c>
      <c r="FL146">
        <f t="shared" si="476"/>
        <v>0.51325919589392655</v>
      </c>
    </row>
    <row r="147" spans="5:168">
      <c r="E147" s="147">
        <v>37</v>
      </c>
      <c r="F147" s="188">
        <f t="shared" si="477"/>
        <v>0.185</v>
      </c>
      <c r="G147" s="188"/>
      <c r="H147" s="188">
        <f t="shared" si="442"/>
        <v>31.45</v>
      </c>
      <c r="I147" s="465">
        <f t="shared" si="443"/>
        <v>8.9639626735216034</v>
      </c>
      <c r="J147" s="149">
        <f t="shared" si="444"/>
        <v>8.5386772782120826</v>
      </c>
      <c r="K147" s="149">
        <f t="shared" si="445"/>
        <v>17.502639951733684</v>
      </c>
      <c r="L147" s="379"/>
      <c r="M147" s="188">
        <f t="shared" si="446"/>
        <v>0.4878486894332949</v>
      </c>
      <c r="N147" s="149">
        <f t="shared" si="447"/>
        <v>146.16215658336623</v>
      </c>
      <c r="O147" s="149">
        <f t="shared" si="438"/>
        <v>31.45</v>
      </c>
      <c r="P147" s="188">
        <f t="shared" si="448"/>
        <v>0.85977739166686018</v>
      </c>
      <c r="Q147" s="188">
        <f t="shared" si="449"/>
        <v>170</v>
      </c>
      <c r="R147" s="188"/>
      <c r="S147" s="149">
        <f t="shared" si="450"/>
        <v>1435.9365098471642</v>
      </c>
      <c r="T147" s="149">
        <f t="shared" si="451"/>
        <v>170</v>
      </c>
      <c r="U147" s="188">
        <f t="shared" si="452"/>
        <v>14.448854952283071</v>
      </c>
      <c r="V147" s="188">
        <f t="shared" si="453"/>
        <v>2.4178238149568276</v>
      </c>
      <c r="W147" s="188">
        <f t="shared" si="454"/>
        <v>2.5382482230272068</v>
      </c>
      <c r="X147" s="172">
        <f t="shared" si="455"/>
        <v>218.65382769174371</v>
      </c>
      <c r="Y147" s="379">
        <f t="shared" si="328"/>
        <v>193.94608776470636</v>
      </c>
      <c r="AA147" s="188">
        <f t="shared" si="456"/>
        <v>13.333333333333334</v>
      </c>
      <c r="AB147" s="150">
        <f t="shared" si="457"/>
        <v>2.3422831603008905</v>
      </c>
      <c r="AC147" s="150">
        <f t="shared" si="458"/>
        <v>0.17071639284590129</v>
      </c>
      <c r="AD147" s="150"/>
      <c r="AE147" s="150">
        <f t="shared" si="459"/>
        <v>2.3422831603008905</v>
      </c>
      <c r="AF147" s="314">
        <f t="shared" si="460"/>
        <v>236.94829447038524</v>
      </c>
      <c r="AG147" s="456">
        <f t="shared" si="461"/>
        <v>0.17071639284590129</v>
      </c>
      <c r="AI147" s="150">
        <f t="shared" si="462"/>
        <v>10.970628480392492</v>
      </c>
      <c r="AJ147" s="150">
        <f t="shared" si="463"/>
        <v>14.448854952283071</v>
      </c>
      <c r="AK147" s="150">
        <f t="shared" si="464"/>
        <v>2.0263123103331386</v>
      </c>
      <c r="AM147" s="314">
        <f t="shared" si="465"/>
        <v>185</v>
      </c>
      <c r="AN147" s="144">
        <f t="shared" si="466"/>
        <v>193.94608776470636</v>
      </c>
      <c r="AP147" s="144">
        <f t="shared" si="467"/>
        <v>185</v>
      </c>
      <c r="AQ147" s="144">
        <f t="shared" si="468"/>
        <v>193.94608776470636</v>
      </c>
      <c r="AS147" s="5">
        <f t="shared" si="439"/>
        <v>5.1560720379840346</v>
      </c>
      <c r="AT147" s="5">
        <f t="shared" si="469"/>
        <v>2.4178238149568276</v>
      </c>
      <c r="AU147" s="5">
        <f t="shared" si="343"/>
        <v>2.7382482230272069</v>
      </c>
      <c r="AV147" s="5"/>
      <c r="AW147" s="150">
        <f t="shared" si="344"/>
        <v>0.46892746981521405</v>
      </c>
      <c r="AX147" s="150">
        <f t="shared" si="435"/>
        <v>30.367507653230174</v>
      </c>
      <c r="AY147" s="150">
        <f t="shared" si="436"/>
        <v>0.19183474894454863</v>
      </c>
      <c r="AZ147" s="150">
        <f t="shared" si="440"/>
        <v>158.30034871319452</v>
      </c>
      <c r="BA147" s="144">
        <f t="shared" si="433"/>
        <v>0.26311612103941945</v>
      </c>
      <c r="BB147" s="5">
        <f t="shared" si="434"/>
        <v>16.011874389100054</v>
      </c>
      <c r="BD147" s="150">
        <f t="shared" si="441"/>
        <v>5.7124924781808444</v>
      </c>
      <c r="BE147" s="150">
        <f t="shared" si="437"/>
        <v>0.30396230371036809</v>
      </c>
      <c r="BG147" s="456">
        <f t="shared" si="347"/>
        <v>0.11095073906512726</v>
      </c>
      <c r="BH147" s="456">
        <f t="shared" si="470"/>
        <v>1.1746907030690246</v>
      </c>
      <c r="BI147" s="456">
        <f t="shared" si="471"/>
        <v>7.9624467506045474E-2</v>
      </c>
      <c r="BJ147" s="456">
        <f t="shared" si="350"/>
        <v>4.0698529049036196E-2</v>
      </c>
      <c r="BK147">
        <f t="shared" si="351"/>
        <v>4.0337832030847218E-3</v>
      </c>
      <c r="BL147" s="144">
        <f t="shared" si="427"/>
        <v>83.658250709130186</v>
      </c>
      <c r="BM147" s="456">
        <f t="shared" si="472"/>
        <v>1.3930193000911717</v>
      </c>
      <c r="BN147" s="144">
        <f t="shared" si="353"/>
        <v>1393.0193000911718</v>
      </c>
      <c r="BO147" s="456">
        <f t="shared" si="354"/>
        <v>0.46250000000000002</v>
      </c>
      <c r="BR147" s="144">
        <f t="shared" si="355"/>
        <v>462.5</v>
      </c>
      <c r="BS147" s="456">
        <f t="shared" si="356"/>
        <v>4.8948855469909083E-2</v>
      </c>
      <c r="BT147" s="456">
        <f t="shared" si="357"/>
        <v>1.8478616415382811E-2</v>
      </c>
      <c r="BU147" s="456">
        <f t="shared" si="358"/>
        <v>20.785292550692802</v>
      </c>
      <c r="BV147" s="456"/>
      <c r="BW147" s="456">
        <f t="shared" si="359"/>
        <v>4.0490010204306898E-2</v>
      </c>
      <c r="BX147" s="144">
        <f t="shared" si="360"/>
        <v>20893.210032782401</v>
      </c>
      <c r="BY147" s="150">
        <f t="shared" si="361"/>
        <v>22.76570825467472</v>
      </c>
      <c r="BZ147" s="5">
        <f t="shared" si="362"/>
        <v>31.45</v>
      </c>
      <c r="CA147" s="150">
        <f t="shared" si="363"/>
        <v>0.58009018073259677</v>
      </c>
      <c r="CB147" s="5">
        <f t="shared" si="364"/>
        <v>58.009018073259675</v>
      </c>
      <c r="CE147" s="59">
        <f t="shared" si="473"/>
        <v>-50</v>
      </c>
      <c r="CF147">
        <f t="shared" si="474"/>
        <v>-50</v>
      </c>
      <c r="CG147" s="150">
        <f t="shared" si="475"/>
        <v>0.50308948447849033</v>
      </c>
      <c r="CI147" s="147">
        <v>37</v>
      </c>
      <c r="CJ147" s="188">
        <f t="shared" si="428"/>
        <v>0.185</v>
      </c>
      <c r="CK147" s="188"/>
      <c r="CL147" s="188">
        <f t="shared" si="368"/>
        <v>31.45</v>
      </c>
      <c r="CM147" s="465">
        <f t="shared" si="369"/>
        <v>9</v>
      </c>
      <c r="CN147" s="379">
        <f t="shared" si="370"/>
        <v>8.5350000000000001</v>
      </c>
      <c r="CO147" s="379">
        <f t="shared" si="371"/>
        <v>17.535</v>
      </c>
      <c r="CP147" s="379"/>
      <c r="CQ147" s="188">
        <f t="shared" si="372"/>
        <v>0.48674080410607357</v>
      </c>
      <c r="CR147" s="149">
        <f t="shared" si="429"/>
        <v>146.41650128314802</v>
      </c>
      <c r="CS147" s="149">
        <f t="shared" si="373"/>
        <v>31.45</v>
      </c>
      <c r="CT147" s="188">
        <f t="shared" si="374"/>
        <v>0.86127353695969422</v>
      </c>
      <c r="CU147" s="188">
        <f t="shared" si="375"/>
        <v>170</v>
      </c>
      <c r="CV147" s="188"/>
      <c r="CW147" s="149">
        <f t="shared" si="376"/>
        <v>1441.7089754873709</v>
      </c>
      <c r="CX147" s="149">
        <f t="shared" si="377"/>
        <v>170</v>
      </c>
      <c r="CY147" s="188">
        <f t="shared" si="378"/>
        <v>14.358543253270845</v>
      </c>
      <c r="CZ147" s="188">
        <f t="shared" si="379"/>
        <v>2.3930905422118074</v>
      </c>
      <c r="DA147" s="188">
        <f t="shared" si="380"/>
        <v>2.5234698160405706</v>
      </c>
      <c r="DB147" s="172">
        <f t="shared" si="381"/>
        <v>219.03336184773312</v>
      </c>
      <c r="DC147" s="379">
        <f t="shared" si="382"/>
        <v>203.39422830872277</v>
      </c>
      <c r="DE147" s="188">
        <f t="shared" si="383"/>
        <v>13.333333333333334</v>
      </c>
      <c r="DF147" s="150">
        <f t="shared" si="384"/>
        <v>2.3432923257176337</v>
      </c>
      <c r="DG147" s="150">
        <f t="shared" si="385"/>
        <v>0.17108639863130889</v>
      </c>
      <c r="DH147" s="150"/>
      <c r="DI147" s="150">
        <f t="shared" si="386"/>
        <v>2.3432923257176337</v>
      </c>
      <c r="DJ147" s="314">
        <f t="shared" si="387"/>
        <v>236.84624999999994</v>
      </c>
      <c r="DK147" s="456">
        <f t="shared" si="388"/>
        <v>0.17108639863130887</v>
      </c>
      <c r="DM147" s="150">
        <f t="shared" si="389"/>
        <v>10.968265913208757</v>
      </c>
      <c r="DN147" s="150">
        <f t="shared" si="390"/>
        <v>14.358543253270845</v>
      </c>
      <c r="DO147" s="150">
        <f t="shared" si="391"/>
        <v>1.9594147555092676</v>
      </c>
      <c r="DQ147" s="314">
        <f t="shared" si="392"/>
        <v>185</v>
      </c>
      <c r="DR147" s="144">
        <f t="shared" si="393"/>
        <v>203.39422830872277</v>
      </c>
      <c r="DT147">
        <f t="shared" si="430"/>
        <v>185</v>
      </c>
      <c r="DU147">
        <f t="shared" si="431"/>
        <v>203.39422830872277</v>
      </c>
      <c r="DW147" s="5">
        <f t="shared" si="394"/>
        <v>4.9165603582523776</v>
      </c>
      <c r="DX147" s="5">
        <f t="shared" si="395"/>
        <v>2.3930905422118074</v>
      </c>
      <c r="DY147" s="5">
        <f t="shared" si="396"/>
        <v>2.5234698160405702</v>
      </c>
      <c r="DZ147" s="5"/>
      <c r="EA147" s="150">
        <f t="shared" si="397"/>
        <v>0.48674080410607357</v>
      </c>
      <c r="EB147" s="150">
        <f t="shared" si="398"/>
        <v>31.45</v>
      </c>
      <c r="EC147" s="150">
        <f t="shared" si="399"/>
        <v>0.18424135910954892</v>
      </c>
      <c r="ED147" s="150">
        <f t="shared" si="400"/>
        <v>170.7</v>
      </c>
      <c r="EE147" s="144">
        <f t="shared" si="401"/>
        <v>0.26042455900540257</v>
      </c>
      <c r="EF147" s="5">
        <f t="shared" si="402"/>
        <v>14.696875132310357</v>
      </c>
      <c r="EH147" s="150">
        <f t="shared" si="403"/>
        <v>5.7836050868933278</v>
      </c>
      <c r="EI147" s="150">
        <f t="shared" si="404"/>
        <v>0.29695328049015079</v>
      </c>
      <c r="EK147" s="456">
        <f t="shared" si="405"/>
        <v>0.11373029852387048</v>
      </c>
      <c r="EL147" s="456">
        <f t="shared" si="406"/>
        <v>1.5567839999999999</v>
      </c>
      <c r="EM147" s="456">
        <f t="shared" si="407"/>
        <v>4.6577278282697518E-2</v>
      </c>
      <c r="EN147" s="456">
        <f t="shared" si="408"/>
        <v>4.2839139312400638E-2</v>
      </c>
      <c r="EO147">
        <f t="shared" si="409"/>
        <v>4.0499999999999998E-3</v>
      </c>
      <c r="EP147" s="144">
        <f t="shared" si="410"/>
        <v>50.627278282697517</v>
      </c>
      <c r="EQ147" s="144"/>
      <c r="ER147" s="144">
        <f t="shared" si="432"/>
        <v>1763.9807161189685</v>
      </c>
      <c r="ES147" s="456">
        <f t="shared" si="411"/>
        <v>0.46250000000000002</v>
      </c>
      <c r="EV147" s="144">
        <f t="shared" si="412"/>
        <v>462.5</v>
      </c>
      <c r="EW147" s="456">
        <f t="shared" si="413"/>
        <v>5.0175131701707572E-2</v>
      </c>
      <c r="EX147" s="456">
        <f t="shared" si="414"/>
        <v>1.7636250158772435E-2</v>
      </c>
      <c r="EY147" s="456">
        <f t="shared" si="415"/>
        <v>23.045838725832805</v>
      </c>
      <c r="EZ147" s="456"/>
      <c r="FA147" s="456">
        <f t="shared" si="416"/>
        <v>4.1933333333333336E-2</v>
      </c>
      <c r="FB147" s="144">
        <f t="shared" si="417"/>
        <v>23155.583441026618</v>
      </c>
      <c r="FC147" s="150">
        <f t="shared" si="418"/>
        <v>25.382064157145585</v>
      </c>
      <c r="FD147" s="5">
        <f t="shared" si="419"/>
        <v>31.45</v>
      </c>
      <c r="FE147" s="150">
        <f t="shared" si="420"/>
        <v>0.553384791955436</v>
      </c>
      <c r="FF147" s="5">
        <f t="shared" si="421"/>
        <v>55.338479195543599</v>
      </c>
      <c r="FI147" s="59">
        <f t="shared" si="422"/>
        <v>-50</v>
      </c>
      <c r="FJ147">
        <f t="shared" si="423"/>
        <v>-50</v>
      </c>
      <c r="FL147">
        <f t="shared" si="476"/>
        <v>0.51325919589392643</v>
      </c>
    </row>
    <row r="148" spans="5:168">
      <c r="E148" s="147">
        <v>38</v>
      </c>
      <c r="F148" s="188">
        <f t="shared" si="477"/>
        <v>0.19</v>
      </c>
      <c r="G148" s="188"/>
      <c r="H148" s="188">
        <f t="shared" si="442"/>
        <v>32.299999999999997</v>
      </c>
      <c r="I148" s="465">
        <f t="shared" si="443"/>
        <v>8.963008369829419</v>
      </c>
      <c r="J148" s="149">
        <f t="shared" si="444"/>
        <v>8.5387746561398554</v>
      </c>
      <c r="K148" s="149">
        <f t="shared" si="445"/>
        <v>17.501783025969274</v>
      </c>
      <c r="L148" s="379"/>
      <c r="M148" s="188">
        <f t="shared" si="446"/>
        <v>0.48787814071965924</v>
      </c>
      <c r="N148" s="149">
        <f t="shared" si="447"/>
        <v>146.15541898485617</v>
      </c>
      <c r="O148" s="149">
        <f t="shared" si="438"/>
        <v>32.299999999999997</v>
      </c>
      <c r="P148" s="188">
        <f t="shared" si="448"/>
        <v>0.85973775873444802</v>
      </c>
      <c r="Q148" s="188">
        <f t="shared" si="449"/>
        <v>170</v>
      </c>
      <c r="R148" s="188"/>
      <c r="S148" s="149">
        <f t="shared" si="450"/>
        <v>1393.2874580212865</v>
      </c>
      <c r="T148" s="149">
        <f t="shared" si="451"/>
        <v>170</v>
      </c>
      <c r="U148" s="188">
        <f t="shared" si="452"/>
        <v>14.840217933051912</v>
      </c>
      <c r="V148" s="188">
        <f t="shared" si="453"/>
        <v>2.4835776093335857</v>
      </c>
      <c r="W148" s="188">
        <f t="shared" si="454"/>
        <v>2.6069697112303407</v>
      </c>
      <c r="X148" s="172">
        <f t="shared" si="455"/>
        <v>218.64374788988201</v>
      </c>
      <c r="Y148" s="379">
        <f t="shared" si="328"/>
        <v>189.01636057824894</v>
      </c>
      <c r="AA148" s="188">
        <f t="shared" si="456"/>
        <v>13.333333333333332</v>
      </c>
      <c r="AB148" s="150">
        <f t="shared" si="457"/>
        <v>2.3422564484259905</v>
      </c>
      <c r="AC148" s="150">
        <f t="shared" si="458"/>
        <v>0.17070657613436754</v>
      </c>
      <c r="AD148" s="150"/>
      <c r="AE148" s="150">
        <f t="shared" si="459"/>
        <v>2.3422564484259909</v>
      </c>
      <c r="AF148" s="314">
        <f t="shared" si="460"/>
        <v>243.35507769998586</v>
      </c>
      <c r="AG148" s="456">
        <f t="shared" si="461"/>
        <v>0.1707065761343676</v>
      </c>
      <c r="AI148" s="150">
        <f t="shared" si="462"/>
        <v>11.11795522367078</v>
      </c>
      <c r="AJ148" s="150">
        <f t="shared" si="463"/>
        <v>14.840217933051912</v>
      </c>
      <c r="AK148" s="150">
        <f t="shared" si="464"/>
        <v>2.3162108146063543</v>
      </c>
      <c r="AM148" s="314">
        <f t="shared" si="465"/>
        <v>190</v>
      </c>
      <c r="AN148" s="144">
        <f t="shared" si="466"/>
        <v>189.01636057824894</v>
      </c>
      <c r="AP148" s="144">
        <f t="shared" si="467"/>
        <v>190</v>
      </c>
      <c r="AQ148" s="144">
        <f t="shared" si="468"/>
        <v>189.01636057824894</v>
      </c>
      <c r="AS148" s="5">
        <f t="shared" si="439"/>
        <v>5.2905473205639275</v>
      </c>
      <c r="AT148" s="5">
        <f t="shared" si="469"/>
        <v>2.4835776093335857</v>
      </c>
      <c r="AU148" s="5">
        <f t="shared" si="343"/>
        <v>2.8069697112303418</v>
      </c>
      <c r="AV148" s="5"/>
      <c r="AW148" s="150">
        <f t="shared" si="344"/>
        <v>0.46943680092986245</v>
      </c>
      <c r="AX148" s="150">
        <f t="shared" si="435"/>
        <v>31.220598024582177</v>
      </c>
      <c r="AY148" s="150">
        <f t="shared" si="436"/>
        <v>0.19684183753645121</v>
      </c>
      <c r="AZ148" s="150">
        <f t="shared" si="440"/>
        <v>158.60753189118518</v>
      </c>
      <c r="BA148" s="144">
        <f t="shared" si="433"/>
        <v>0.27757632104316549</v>
      </c>
      <c r="BB148" s="5">
        <f t="shared" si="434"/>
        <v>16.859131430679366</v>
      </c>
      <c r="BD148" s="150">
        <f t="shared" si="441"/>
        <v>5.8704070729136042</v>
      </c>
      <c r="BE148" s="150">
        <f t="shared" si="437"/>
        <v>0.31204571072111292</v>
      </c>
      <c r="BG148" s="456">
        <f t="shared" si="347"/>
        <v>0.11716970928582783</v>
      </c>
      <c r="BH148" s="456">
        <f t="shared" si="470"/>
        <v>1.175783844866503</v>
      </c>
      <c r="BI148" s="456">
        <f t="shared" si="471"/>
        <v>7.7592309162907366E-2</v>
      </c>
      <c r="BJ148" s="456">
        <f t="shared" si="350"/>
        <v>3.9660168884565861E-2</v>
      </c>
      <c r="BK148">
        <f t="shared" si="351"/>
        <v>4.0333537664232382E-3</v>
      </c>
      <c r="BL148" s="144">
        <f t="shared" si="427"/>
        <v>81.625662929330602</v>
      </c>
      <c r="BM148" s="456">
        <f t="shared" si="472"/>
        <v>1.4033172266482332</v>
      </c>
      <c r="BN148" s="144">
        <f t="shared" si="353"/>
        <v>1403.3172266482331</v>
      </c>
      <c r="BO148" s="456">
        <f t="shared" si="354"/>
        <v>0.47499999999999998</v>
      </c>
      <c r="BR148" s="144">
        <f t="shared" si="355"/>
        <v>475</v>
      </c>
      <c r="BS148" s="456">
        <f t="shared" si="356"/>
        <v>5.1692518802571107E-2</v>
      </c>
      <c r="BT148" s="456">
        <f t="shared" si="357"/>
        <v>1.9474505115888899E-2</v>
      </c>
      <c r="BU148" s="456">
        <f t="shared" si="358"/>
        <v>20.836232416761895</v>
      </c>
      <c r="BV148" s="456"/>
      <c r="BW148" s="456">
        <f t="shared" si="359"/>
        <v>4.1627464032776243E-2</v>
      </c>
      <c r="BX148" s="144">
        <f t="shared" si="360"/>
        <v>20949.02690471313</v>
      </c>
      <c r="BY148" s="150">
        <f t="shared" si="361"/>
        <v>22.838266290679357</v>
      </c>
      <c r="BZ148" s="5">
        <f t="shared" si="362"/>
        <v>32.299999999999997</v>
      </c>
      <c r="CA148" s="150">
        <f t="shared" si="363"/>
        <v>0.58580006541591301</v>
      </c>
      <c r="CB148" s="5">
        <f t="shared" si="364"/>
        <v>58.580006541591302</v>
      </c>
      <c r="CE148" s="59">
        <f t="shared" si="473"/>
        <v>-50</v>
      </c>
      <c r="CF148">
        <f t="shared" si="474"/>
        <v>-50</v>
      </c>
      <c r="CG148" s="150">
        <f t="shared" si="475"/>
        <v>0.50335710846310699</v>
      </c>
      <c r="CI148" s="147">
        <v>38</v>
      </c>
      <c r="CJ148" s="188">
        <f t="shared" si="428"/>
        <v>0.19</v>
      </c>
      <c r="CK148" s="188"/>
      <c r="CL148" s="188">
        <f t="shared" si="368"/>
        <v>32.299999999999997</v>
      </c>
      <c r="CM148" s="465">
        <f t="shared" si="369"/>
        <v>9</v>
      </c>
      <c r="CN148" s="379">
        <f t="shared" si="370"/>
        <v>8.5350000000000001</v>
      </c>
      <c r="CO148" s="379">
        <f t="shared" si="371"/>
        <v>17.535</v>
      </c>
      <c r="CP148" s="379"/>
      <c r="CQ148" s="188">
        <f t="shared" si="372"/>
        <v>0.48674080410607357</v>
      </c>
      <c r="CR148" s="149">
        <f t="shared" si="429"/>
        <v>146.41650128314802</v>
      </c>
      <c r="CS148" s="149">
        <f t="shared" si="373"/>
        <v>32.299999999999997</v>
      </c>
      <c r="CT148" s="188">
        <f t="shared" si="374"/>
        <v>0.86127353695969422</v>
      </c>
      <c r="CU148" s="188">
        <f t="shared" si="375"/>
        <v>170</v>
      </c>
      <c r="CV148" s="188"/>
      <c r="CW148" s="149">
        <f t="shared" si="376"/>
        <v>1399.0373853065933</v>
      </c>
      <c r="CX148" s="149">
        <f t="shared" si="377"/>
        <v>170</v>
      </c>
      <c r="CY148" s="188">
        <f t="shared" si="378"/>
        <v>14.746611989845732</v>
      </c>
      <c r="CZ148" s="188">
        <f t="shared" si="379"/>
        <v>2.4577686649742887</v>
      </c>
      <c r="DA148" s="188">
        <f t="shared" si="380"/>
        <v>2.591671702960586</v>
      </c>
      <c r="DB148" s="172">
        <f t="shared" si="381"/>
        <v>219.03336184773312</v>
      </c>
      <c r="DC148" s="379">
        <f t="shared" si="382"/>
        <v>198.04174861638799</v>
      </c>
      <c r="DE148" s="188">
        <f t="shared" si="383"/>
        <v>13.333333333333334</v>
      </c>
      <c r="DF148" s="150">
        <f t="shared" si="384"/>
        <v>2.3432923257176337</v>
      </c>
      <c r="DG148" s="150">
        <f t="shared" si="385"/>
        <v>0.17108639863130889</v>
      </c>
      <c r="DH148" s="150"/>
      <c r="DI148" s="150">
        <f t="shared" si="386"/>
        <v>2.3432923257176337</v>
      </c>
      <c r="DJ148" s="314">
        <f t="shared" si="387"/>
        <v>243.24749999999995</v>
      </c>
      <c r="DK148" s="456">
        <f t="shared" si="388"/>
        <v>0.17108639863130887</v>
      </c>
      <c r="DM148" s="150">
        <f t="shared" si="389"/>
        <v>11.115497546861576</v>
      </c>
      <c r="DN148" s="150">
        <f t="shared" si="390"/>
        <v>14.746611989845732</v>
      </c>
      <c r="DO148" s="150">
        <f t="shared" si="391"/>
        <v>2.2468730788980729</v>
      </c>
      <c r="DQ148" s="314">
        <f t="shared" si="392"/>
        <v>190</v>
      </c>
      <c r="DR148" s="144">
        <f t="shared" si="393"/>
        <v>198.04174861638799</v>
      </c>
      <c r="DT148">
        <f t="shared" si="430"/>
        <v>190</v>
      </c>
      <c r="DU148">
        <f t="shared" si="431"/>
        <v>198.04174861638799</v>
      </c>
      <c r="DW148" s="5">
        <f t="shared" si="394"/>
        <v>5.0494403679348743</v>
      </c>
      <c r="DX148" s="5">
        <f t="shared" si="395"/>
        <v>2.4577686649742887</v>
      </c>
      <c r="DY148" s="5">
        <f t="shared" si="396"/>
        <v>2.5916717029605856</v>
      </c>
      <c r="DZ148" s="5"/>
      <c r="EA148" s="150">
        <f t="shared" si="397"/>
        <v>0.48674080410607357</v>
      </c>
      <c r="EB148" s="150">
        <f t="shared" si="398"/>
        <v>32.300000000000004</v>
      </c>
      <c r="EC148" s="150">
        <f t="shared" si="399"/>
        <v>0.18922085530169888</v>
      </c>
      <c r="ED148" s="150">
        <f t="shared" si="400"/>
        <v>170.70000000000002</v>
      </c>
      <c r="EE148" s="144">
        <f t="shared" si="401"/>
        <v>0.27469179196771465</v>
      </c>
      <c r="EF148" s="5">
        <f t="shared" si="402"/>
        <v>15.502036297338314</v>
      </c>
      <c r="EH148" s="150">
        <f t="shared" si="403"/>
        <v>5.9399187378904452</v>
      </c>
      <c r="EI148" s="150">
        <f t="shared" si="404"/>
        <v>0.30497904482772242</v>
      </c>
      <c r="EK148" s="456">
        <f t="shared" si="405"/>
        <v>0.11996095768332286</v>
      </c>
      <c r="EL148" s="456">
        <f t="shared" si="406"/>
        <v>1.5567839999999999</v>
      </c>
      <c r="EM148" s="456">
        <f t="shared" si="407"/>
        <v>4.5351560433152846E-2</v>
      </c>
      <c r="EN148" s="456">
        <f t="shared" si="408"/>
        <v>4.1711793541021676E-2</v>
      </c>
      <c r="EO148">
        <f t="shared" si="409"/>
        <v>4.0499999999999998E-3</v>
      </c>
      <c r="EP148" s="144">
        <f t="shared" si="410"/>
        <v>49.401560433152845</v>
      </c>
      <c r="EQ148" s="144"/>
      <c r="ER148" s="144">
        <f t="shared" si="432"/>
        <v>1767.8583116574976</v>
      </c>
      <c r="ES148" s="456">
        <f t="shared" si="411"/>
        <v>0.47499999999999998</v>
      </c>
      <c r="EV148" s="144">
        <f t="shared" si="412"/>
        <v>475</v>
      </c>
      <c r="EW148" s="456">
        <f t="shared" si="413"/>
        <v>5.2923951919113033E-2</v>
      </c>
      <c r="EX148" s="456">
        <f t="shared" si="414"/>
        <v>1.8602443556805983E-2</v>
      </c>
      <c r="EY148" s="456">
        <f t="shared" si="415"/>
        <v>23.045838725832748</v>
      </c>
      <c r="EZ148" s="456"/>
      <c r="FA148" s="456">
        <f t="shared" si="416"/>
        <v>4.306666666666667E-2</v>
      </c>
      <c r="FB148" s="144">
        <f t="shared" si="417"/>
        <v>23160.431787975333</v>
      </c>
      <c r="FC148" s="150">
        <f t="shared" si="418"/>
        <v>25.403290099632834</v>
      </c>
      <c r="FD148" s="5">
        <f t="shared" si="419"/>
        <v>32.299999999999997</v>
      </c>
      <c r="FE148" s="150">
        <f t="shared" si="420"/>
        <v>0.55976010976548329</v>
      </c>
      <c r="FF148" s="5">
        <f t="shared" si="421"/>
        <v>55.976010976548331</v>
      </c>
      <c r="FI148" s="59">
        <f t="shared" si="422"/>
        <v>-50</v>
      </c>
      <c r="FJ148">
        <f t="shared" si="423"/>
        <v>-50</v>
      </c>
      <c r="FL148">
        <f t="shared" si="476"/>
        <v>0.51325919589392643</v>
      </c>
    </row>
    <row r="149" spans="5:168">
      <c r="E149" s="147">
        <v>39</v>
      </c>
      <c r="F149" s="188">
        <f t="shared" si="477"/>
        <v>0.19500000000000001</v>
      </c>
      <c r="G149" s="188"/>
      <c r="H149" s="188">
        <f t="shared" si="442"/>
        <v>33.15</v>
      </c>
      <c r="I149" s="465">
        <f t="shared" si="443"/>
        <v>8.9620540462954761</v>
      </c>
      <c r="J149" s="149">
        <f t="shared" si="444"/>
        <v>8.5388720360922985</v>
      </c>
      <c r="K149" s="149">
        <f t="shared" si="445"/>
        <v>17.500926082387775</v>
      </c>
      <c r="L149" s="379"/>
      <c r="M149" s="188">
        <f t="shared" si="446"/>
        <v>0.48790759544321571</v>
      </c>
      <c r="N149" s="149">
        <f t="shared" si="447"/>
        <v>146.14868021360203</v>
      </c>
      <c r="O149" s="149">
        <f t="shared" si="438"/>
        <v>33.15</v>
      </c>
      <c r="P149" s="188">
        <f t="shared" si="448"/>
        <v>0.85969811890354142</v>
      </c>
      <c r="Q149" s="188">
        <f t="shared" si="449"/>
        <v>170</v>
      </c>
      <c r="R149" s="188"/>
      <c r="S149" s="149">
        <f t="shared" si="450"/>
        <v>1352.826667384245</v>
      </c>
      <c r="T149" s="149">
        <f t="shared" si="451"/>
        <v>170</v>
      </c>
      <c r="U149" s="188">
        <f t="shared" si="452"/>
        <v>15.23162603192854</v>
      </c>
      <c r="V149" s="188">
        <f t="shared" si="453"/>
        <v>2.5493529641608164</v>
      </c>
      <c r="W149" s="188">
        <f t="shared" si="454"/>
        <v>2.6756975571622035</v>
      </c>
      <c r="X149" s="172">
        <f t="shared" si="455"/>
        <v>218.63366636029843</v>
      </c>
      <c r="Y149" s="379">
        <f t="shared" si="328"/>
        <v>184.33008062681185</v>
      </c>
      <c r="AA149" s="188">
        <f t="shared" si="456"/>
        <v>13.333333333333334</v>
      </c>
      <c r="AB149" s="150">
        <f t="shared" si="457"/>
        <v>2.3422297366049691</v>
      </c>
      <c r="AC149" s="150">
        <f t="shared" si="458"/>
        <v>0.17069675825735353</v>
      </c>
      <c r="AD149" s="150"/>
      <c r="AE149" s="150">
        <f t="shared" si="459"/>
        <v>2.3422297366049691</v>
      </c>
      <c r="AF149" s="314">
        <f t="shared" si="460"/>
        <v>249.76200705569968</v>
      </c>
      <c r="AG149" s="456">
        <f t="shared" si="461"/>
        <v>0.17069675825735356</v>
      </c>
      <c r="AI149" s="150">
        <f t="shared" si="462"/>
        <v>11.263358365917581</v>
      </c>
      <c r="AJ149" s="150">
        <f t="shared" si="463"/>
        <v>15.23162603192854</v>
      </c>
      <c r="AK149" s="150">
        <f t="shared" si="464"/>
        <v>2.6061427397001529</v>
      </c>
      <c r="AM149" s="314">
        <f t="shared" si="465"/>
        <v>195</v>
      </c>
      <c r="AN149" s="144">
        <f t="shared" si="466"/>
        <v>184.33008062681185</v>
      </c>
      <c r="AP149" s="144">
        <f t="shared" si="467"/>
        <v>195</v>
      </c>
      <c r="AQ149" s="144">
        <f t="shared" si="468"/>
        <v>184.33008062681185</v>
      </c>
      <c r="AS149" s="5">
        <f t="shared" si="439"/>
        <v>5.42505052132302</v>
      </c>
      <c r="AT149" s="5">
        <f t="shared" si="469"/>
        <v>2.5493529641608164</v>
      </c>
      <c r="AU149" s="5">
        <f t="shared" si="343"/>
        <v>2.8756975571622037</v>
      </c>
      <c r="AV149" s="5"/>
      <c r="AW149" s="150">
        <f t="shared" si="344"/>
        <v>0.46992243742996509</v>
      </c>
      <c r="AX149" s="150">
        <f t="shared" si="435"/>
        <v>32.073770188587687</v>
      </c>
      <c r="AY149" s="150">
        <f t="shared" si="436"/>
        <v>0.20184858002457434</v>
      </c>
      <c r="AZ149" s="150">
        <f t="shared" si="440"/>
        <v>158.90015270200473</v>
      </c>
      <c r="BA149" s="144">
        <f t="shared" si="433"/>
        <v>0.29242578118315249</v>
      </c>
      <c r="BB149" s="5">
        <f t="shared" si="434"/>
        <v>17.728334287259379</v>
      </c>
      <c r="BD149" s="150">
        <f t="shared" si="441"/>
        <v>6.0283537867900687</v>
      </c>
      <c r="BE149" s="150">
        <f t="shared" si="437"/>
        <v>0.3201292492109043</v>
      </c>
      <c r="BG149" s="456">
        <f t="shared" si="347"/>
        <v>0.12355956788760093</v>
      </c>
      <c r="BH149" s="456">
        <f t="shared" si="470"/>
        <v>1.1768172605999241</v>
      </c>
      <c r="BI149" s="456">
        <f t="shared" si="471"/>
        <v>7.5660507438045477E-2</v>
      </c>
      <c r="BJ149" s="456">
        <f t="shared" si="350"/>
        <v>3.8673087483350695E-2</v>
      </c>
      <c r="BK149">
        <f t="shared" si="351"/>
        <v>4.0329243208329637E-3</v>
      </c>
      <c r="BL149" s="144">
        <f t="shared" si="427"/>
        <v>79.693431758878447</v>
      </c>
      <c r="BM149" s="456">
        <f t="shared" si="472"/>
        <v>1.413920529431947</v>
      </c>
      <c r="BN149" s="144">
        <f t="shared" si="353"/>
        <v>1413.920529431947</v>
      </c>
      <c r="BO149" s="456">
        <f t="shared" si="354"/>
        <v>0.48750000000000004</v>
      </c>
      <c r="BR149" s="144">
        <f t="shared" si="355"/>
        <v>487.50000000000006</v>
      </c>
      <c r="BS149" s="456">
        <f t="shared" si="356"/>
        <v>5.4511574068059239E-2</v>
      </c>
      <c r="BT149" s="456">
        <f t="shared" si="357"/>
        <v>2.0496547240067456E-2</v>
      </c>
      <c r="BU149" s="456">
        <f t="shared" si="358"/>
        <v>20.884602217535512</v>
      </c>
      <c r="BV149" s="456"/>
      <c r="BW149" s="456">
        <f t="shared" si="359"/>
        <v>4.276502691811692E-2</v>
      </c>
      <c r="BX149" s="144">
        <f t="shared" si="360"/>
        <v>21002.375365761756</v>
      </c>
      <c r="BY149" s="150">
        <f t="shared" si="361"/>
        <v>22.908618713491514</v>
      </c>
      <c r="BZ149" s="5">
        <f t="shared" si="362"/>
        <v>33.15</v>
      </c>
      <c r="CA149" s="150">
        <f t="shared" si="363"/>
        <v>0.59134528750031179</v>
      </c>
      <c r="CB149" s="5">
        <f t="shared" si="364"/>
        <v>59.13452875003118</v>
      </c>
      <c r="CE149" s="59">
        <f t="shared" si="473"/>
        <v>-50</v>
      </c>
      <c r="CF149">
        <f t="shared" si="474"/>
        <v>-50</v>
      </c>
      <c r="CG149" s="150">
        <f t="shared" si="475"/>
        <v>0.50361100814082027</v>
      </c>
      <c r="CI149" s="147">
        <v>39</v>
      </c>
      <c r="CJ149" s="188">
        <f t="shared" si="428"/>
        <v>0.19500000000000001</v>
      </c>
      <c r="CK149" s="188"/>
      <c r="CL149" s="188">
        <f t="shared" si="368"/>
        <v>33.15</v>
      </c>
      <c r="CM149" s="465">
        <f t="shared" si="369"/>
        <v>9</v>
      </c>
      <c r="CN149" s="379">
        <f t="shared" si="370"/>
        <v>8.5350000000000001</v>
      </c>
      <c r="CO149" s="379">
        <f t="shared" si="371"/>
        <v>17.535</v>
      </c>
      <c r="CP149" s="379"/>
      <c r="CQ149" s="188">
        <f t="shared" si="372"/>
        <v>0.48674080410607357</v>
      </c>
      <c r="CR149" s="149">
        <f t="shared" si="429"/>
        <v>146.41650128314802</v>
      </c>
      <c r="CS149" s="149">
        <f t="shared" si="373"/>
        <v>33.15</v>
      </c>
      <c r="CT149" s="188">
        <f t="shared" si="374"/>
        <v>0.86127353695969422</v>
      </c>
      <c r="CU149" s="188">
        <f t="shared" si="375"/>
        <v>170</v>
      </c>
      <c r="CV149" s="188"/>
      <c r="CW149" s="149">
        <f t="shared" si="376"/>
        <v>1358.5542363517716</v>
      </c>
      <c r="CX149" s="149">
        <f t="shared" si="377"/>
        <v>170</v>
      </c>
      <c r="CY149" s="188">
        <f t="shared" si="378"/>
        <v>15.134680726420621</v>
      </c>
      <c r="CZ149" s="188">
        <f t="shared" si="379"/>
        <v>2.52244678773677</v>
      </c>
      <c r="DA149" s="188">
        <f t="shared" si="380"/>
        <v>2.6598735898806014</v>
      </c>
      <c r="DB149" s="172">
        <f t="shared" si="381"/>
        <v>219.03336184773312</v>
      </c>
      <c r="DC149" s="379">
        <f t="shared" si="382"/>
        <v>192.96375506212163</v>
      </c>
      <c r="DE149" s="188">
        <f t="shared" si="383"/>
        <v>13.333333333333334</v>
      </c>
      <c r="DF149" s="150">
        <f t="shared" si="384"/>
        <v>2.3432923257176337</v>
      </c>
      <c r="DG149" s="150">
        <f t="shared" si="385"/>
        <v>0.17108639863130889</v>
      </c>
      <c r="DH149" s="150"/>
      <c r="DI149" s="150">
        <f t="shared" si="386"/>
        <v>2.3432923257176337</v>
      </c>
      <c r="DJ149" s="314">
        <f t="shared" si="387"/>
        <v>249.64874999999995</v>
      </c>
      <c r="DK149" s="456">
        <f t="shared" si="388"/>
        <v>0.17108639863130887</v>
      </c>
      <c r="DM149" s="150">
        <f t="shared" si="389"/>
        <v>11.260804335646467</v>
      </c>
      <c r="DN149" s="150">
        <f t="shared" si="390"/>
        <v>15.134680726420621</v>
      </c>
      <c r="DO149" s="150">
        <f t="shared" si="391"/>
        <v>2.5343314022868793</v>
      </c>
      <c r="DQ149" s="314">
        <f t="shared" si="392"/>
        <v>195</v>
      </c>
      <c r="DR149" s="144">
        <f t="shared" si="393"/>
        <v>192.96375506212163</v>
      </c>
      <c r="DT149">
        <f t="shared" si="430"/>
        <v>195</v>
      </c>
      <c r="DU149">
        <f t="shared" si="431"/>
        <v>192.96375506212163</v>
      </c>
      <c r="DW149" s="5">
        <f t="shared" si="394"/>
        <v>5.1823203776173701</v>
      </c>
      <c r="DX149" s="5">
        <f t="shared" si="395"/>
        <v>2.52244678773677</v>
      </c>
      <c r="DY149" s="5">
        <f t="shared" si="396"/>
        <v>2.6598735898806001</v>
      </c>
      <c r="DZ149" s="5"/>
      <c r="EA149" s="150">
        <f t="shared" si="397"/>
        <v>0.48674080410607368</v>
      </c>
      <c r="EB149" s="150">
        <f t="shared" si="398"/>
        <v>33.150000000000006</v>
      </c>
      <c r="EC149" s="150">
        <f t="shared" si="399"/>
        <v>0.19420035149384882</v>
      </c>
      <c r="ED149" s="150">
        <f t="shared" si="400"/>
        <v>170.70000000000007</v>
      </c>
      <c r="EE149" s="144">
        <f t="shared" si="401"/>
        <v>0.2893394844756883</v>
      </c>
      <c r="EF149" s="5">
        <f t="shared" si="402"/>
        <v>16.328668426767013</v>
      </c>
      <c r="EH149" s="150">
        <f t="shared" si="403"/>
        <v>6.0962323888875618</v>
      </c>
      <c r="EI149" s="150">
        <f t="shared" si="404"/>
        <v>0.31300480916529405</v>
      </c>
      <c r="EK149" s="456">
        <f t="shared" si="405"/>
        <v>0.12635776775369395</v>
      </c>
      <c r="EL149" s="456">
        <f t="shared" si="406"/>
        <v>1.5567840000000004</v>
      </c>
      <c r="EM149" s="456">
        <f t="shared" si="407"/>
        <v>4.4188699909225859E-2</v>
      </c>
      <c r="EN149" s="456">
        <f t="shared" si="408"/>
        <v>4.0642260373303173E-2</v>
      </c>
      <c r="EO149">
        <f t="shared" si="409"/>
        <v>4.0499999999999998E-3</v>
      </c>
      <c r="EP149" s="144">
        <f t="shared" si="410"/>
        <v>48.238699909225858</v>
      </c>
      <c r="EQ149" s="144"/>
      <c r="ER149" s="144">
        <f t="shared" si="432"/>
        <v>1772.0227280362235</v>
      </c>
      <c r="ES149" s="456">
        <f t="shared" si="411"/>
        <v>0.48750000000000004</v>
      </c>
      <c r="EV149" s="144">
        <f t="shared" si="412"/>
        <v>487.50000000000006</v>
      </c>
      <c r="EW149" s="456">
        <f t="shared" si="413"/>
        <v>5.5746074008982627E-2</v>
      </c>
      <c r="EX149" s="456">
        <f t="shared" si="414"/>
        <v>1.9594402112120431E-2</v>
      </c>
      <c r="EY149" s="456">
        <f t="shared" si="415"/>
        <v>23.045838725832748</v>
      </c>
      <c r="EZ149" s="456"/>
      <c r="FA149" s="456">
        <f t="shared" si="416"/>
        <v>4.420000000000001E-2</v>
      </c>
      <c r="FB149" s="144">
        <f t="shared" si="417"/>
        <v>23165.379201953852</v>
      </c>
      <c r="FC149" s="150">
        <f t="shared" si="418"/>
        <v>25.424901929990074</v>
      </c>
      <c r="FD149" s="5">
        <f t="shared" si="419"/>
        <v>33.15</v>
      </c>
      <c r="FE149" s="150">
        <f t="shared" si="420"/>
        <v>0.56594204868872944</v>
      </c>
      <c r="FF149" s="5">
        <f t="shared" si="421"/>
        <v>56.594204868872943</v>
      </c>
      <c r="FI149" s="59">
        <f t="shared" si="422"/>
        <v>-50</v>
      </c>
      <c r="FJ149">
        <f t="shared" si="423"/>
        <v>-50</v>
      </c>
      <c r="FL149">
        <f t="shared" si="476"/>
        <v>0.51325919589392632</v>
      </c>
    </row>
    <row r="150" spans="5:168">
      <c r="E150" s="147">
        <v>40</v>
      </c>
      <c r="F150" s="188">
        <f t="shared" si="477"/>
        <v>0.2</v>
      </c>
      <c r="G150" s="188"/>
      <c r="H150" s="188">
        <f t="shared" si="442"/>
        <v>34</v>
      </c>
      <c r="I150" s="465">
        <f t="shared" si="443"/>
        <v>8.9610997044356893</v>
      </c>
      <c r="J150" s="149">
        <f t="shared" si="444"/>
        <v>8.5389694179147266</v>
      </c>
      <c r="K150" s="149">
        <f t="shared" si="445"/>
        <v>17.500069122350418</v>
      </c>
      <c r="L150" s="379"/>
      <c r="M150" s="188">
        <f t="shared" si="446"/>
        <v>0.48793705356230233</v>
      </c>
      <c r="N150" s="149">
        <f t="shared" si="447"/>
        <v>146.14194028146039</v>
      </c>
      <c r="O150" s="149">
        <f t="shared" si="438"/>
        <v>34</v>
      </c>
      <c r="P150" s="188">
        <f t="shared" si="448"/>
        <v>0.8596584722438847</v>
      </c>
      <c r="Q150" s="188">
        <f t="shared" si="449"/>
        <v>170</v>
      </c>
      <c r="R150" s="188"/>
      <c r="S150" s="149">
        <f t="shared" si="450"/>
        <v>1314.3900201295758</v>
      </c>
      <c r="T150" s="149">
        <f t="shared" si="451"/>
        <v>170</v>
      </c>
      <c r="U150" s="188">
        <f t="shared" si="452"/>
        <v>15.623079263309583</v>
      </c>
      <c r="V150" s="188">
        <f t="shared" si="453"/>
        <v>2.6151498887312212</v>
      </c>
      <c r="W150" s="188">
        <f t="shared" si="454"/>
        <v>2.7444317631350956</v>
      </c>
      <c r="X150" s="172">
        <f t="shared" si="455"/>
        <v>218.62358311869315</v>
      </c>
      <c r="Y150" s="379">
        <f t="shared" si="328"/>
        <v>179.86964894459393</v>
      </c>
      <c r="AA150" s="188">
        <f t="shared" si="456"/>
        <v>13.333333333333334</v>
      </c>
      <c r="AB150" s="150">
        <f t="shared" si="457"/>
        <v>2.3422030248802712</v>
      </c>
      <c r="AC150" s="150">
        <f t="shared" si="458"/>
        <v>0.17068693923025552</v>
      </c>
      <c r="AD150" s="150"/>
      <c r="AE150" s="150">
        <f t="shared" si="459"/>
        <v>2.3422030248802712</v>
      </c>
      <c r="AF150" s="314">
        <f t="shared" si="460"/>
        <v>256.1690825374418</v>
      </c>
      <c r="AG150" s="456">
        <f t="shared" si="461"/>
        <v>0.17068693923025549</v>
      </c>
      <c r="AI150" s="150">
        <f t="shared" si="462"/>
        <v>11.406911467411643</v>
      </c>
      <c r="AJ150" s="150">
        <f t="shared" si="463"/>
        <v>15.623079263309583</v>
      </c>
      <c r="AK150" s="150">
        <f t="shared" si="464"/>
        <v>2.8961080962787027</v>
      </c>
      <c r="AM150" s="314">
        <f t="shared" si="465"/>
        <v>200</v>
      </c>
      <c r="AN150" s="144">
        <f t="shared" si="466"/>
        <v>179.86964894459393</v>
      </c>
      <c r="AP150" s="144">
        <f t="shared" si="467"/>
        <v>200</v>
      </c>
      <c r="AQ150" s="144">
        <f t="shared" si="468"/>
        <v>179.86964894459393</v>
      </c>
      <c r="AS150" s="5">
        <f t="shared" si="439"/>
        <v>5.5595816518663161</v>
      </c>
      <c r="AT150" s="5">
        <f t="shared" si="469"/>
        <v>2.6151498887312212</v>
      </c>
      <c r="AU150" s="5">
        <f t="shared" si="343"/>
        <v>2.9444317631350949</v>
      </c>
      <c r="AV150" s="5"/>
      <c r="AW150" s="150">
        <f t="shared" si="344"/>
        <v>0.47038609242357871</v>
      </c>
      <c r="AX150" s="150">
        <f t="shared" si="435"/>
        <v>32.927019641718573</v>
      </c>
      <c r="AY150" s="150">
        <f t="shared" si="436"/>
        <v>0.20685500142543861</v>
      </c>
      <c r="AZ150" s="150">
        <f t="shared" si="440"/>
        <v>159.17922900011291</v>
      </c>
      <c r="BA150" s="144">
        <f t="shared" si="433"/>
        <v>0.30766469279190839</v>
      </c>
      <c r="BB150" s="5">
        <f t="shared" si="434"/>
        <v>18.619493002821041</v>
      </c>
      <c r="BD150" s="150">
        <f t="shared" si="441"/>
        <v>6.1863323096534923</v>
      </c>
      <c r="BE150" s="150">
        <f t="shared" si="437"/>
        <v>0.32821294323866651</v>
      </c>
      <c r="BG150" s="456">
        <f t="shared" si="347"/>
        <v>0.13012040531457322</v>
      </c>
      <c r="BH150" s="456">
        <f t="shared" si="470"/>
        <v>1.1777952676954244</v>
      </c>
      <c r="BI150" s="456">
        <f t="shared" si="471"/>
        <v>7.3821807496141326E-2</v>
      </c>
      <c r="BJ150" s="456">
        <f t="shared" si="350"/>
        <v>3.773357787473116E-2</v>
      </c>
      <c r="BK150">
        <f t="shared" si="351"/>
        <v>4.0324948669960602E-3</v>
      </c>
      <c r="BL150" s="144">
        <f t="shared" si="427"/>
        <v>77.854302363137379</v>
      </c>
      <c r="BM150" s="456">
        <f t="shared" si="472"/>
        <v>1.4248327565508634</v>
      </c>
      <c r="BN150" s="144">
        <f t="shared" si="353"/>
        <v>1424.8327565508635</v>
      </c>
      <c r="BO150" s="456">
        <f t="shared" si="354"/>
        <v>0.5</v>
      </c>
      <c r="BR150" s="144">
        <f t="shared" si="355"/>
        <v>500</v>
      </c>
      <c r="BS150" s="456">
        <f t="shared" si="356"/>
        <v>5.7406061168194071E-2</v>
      </c>
      <c r="BT150" s="456">
        <f t="shared" si="357"/>
        <v>2.1544747221877627E-2</v>
      </c>
      <c r="BU150" s="456">
        <f t="shared" si="358"/>
        <v>20.930582372178531</v>
      </c>
      <c r="BV150" s="456"/>
      <c r="BW150" s="456">
        <f t="shared" si="359"/>
        <v>4.3902692855624766E-2</v>
      </c>
      <c r="BX150" s="144">
        <f t="shared" si="360"/>
        <v>21053.435873424227</v>
      </c>
      <c r="BY150" s="150">
        <f t="shared" si="361"/>
        <v>22.976939426672093</v>
      </c>
      <c r="BZ150" s="5">
        <f t="shared" si="362"/>
        <v>34</v>
      </c>
      <c r="CA150" s="150">
        <f t="shared" si="363"/>
        <v>0.59673264907036927</v>
      </c>
      <c r="CB150" s="5">
        <f t="shared" si="364"/>
        <v>59.673264907036923</v>
      </c>
      <c r="CE150" s="59">
        <f t="shared" si="473"/>
        <v>-50</v>
      </c>
      <c r="CF150">
        <f t="shared" si="474"/>
        <v>-50</v>
      </c>
      <c r="CG150" s="150">
        <f t="shared" si="475"/>
        <v>0.50385221283464809</v>
      </c>
      <c r="CI150" s="147">
        <v>40</v>
      </c>
      <c r="CJ150" s="188">
        <f t="shared" si="428"/>
        <v>0.2</v>
      </c>
      <c r="CK150" s="188"/>
      <c r="CL150" s="188">
        <f t="shared" si="368"/>
        <v>34</v>
      </c>
      <c r="CM150" s="465">
        <f t="shared" si="369"/>
        <v>9</v>
      </c>
      <c r="CN150" s="379">
        <f t="shared" si="370"/>
        <v>8.5350000000000001</v>
      </c>
      <c r="CO150" s="379">
        <f t="shared" si="371"/>
        <v>17.535</v>
      </c>
      <c r="CP150" s="379"/>
      <c r="CQ150" s="188">
        <f t="shared" si="372"/>
        <v>0.48674080410607357</v>
      </c>
      <c r="CR150" s="149">
        <f t="shared" si="429"/>
        <v>146.41650128314802</v>
      </c>
      <c r="CS150" s="149">
        <f t="shared" si="373"/>
        <v>34</v>
      </c>
      <c r="CT150" s="188">
        <f t="shared" si="374"/>
        <v>0.86127353695969422</v>
      </c>
      <c r="CU150" s="188">
        <f t="shared" si="375"/>
        <v>170</v>
      </c>
      <c r="CV150" s="188"/>
      <c r="CW150" s="149">
        <f t="shared" si="376"/>
        <v>1320.0953970617102</v>
      </c>
      <c r="CX150" s="149">
        <f t="shared" si="377"/>
        <v>170</v>
      </c>
      <c r="CY150" s="188">
        <f t="shared" si="378"/>
        <v>15.52274946299551</v>
      </c>
      <c r="CZ150" s="188">
        <f t="shared" si="379"/>
        <v>2.5871249104992513</v>
      </c>
      <c r="DA150" s="188">
        <f t="shared" si="380"/>
        <v>2.7280754768006164</v>
      </c>
      <c r="DB150" s="172">
        <f t="shared" si="381"/>
        <v>219.03336184773312</v>
      </c>
      <c r="DC150" s="379">
        <f t="shared" si="382"/>
        <v>188.13966118556857</v>
      </c>
      <c r="DE150" s="188">
        <f t="shared" si="383"/>
        <v>13.333333333333334</v>
      </c>
      <c r="DF150" s="150">
        <f t="shared" si="384"/>
        <v>2.3432923257176337</v>
      </c>
      <c r="DG150" s="150">
        <f t="shared" si="385"/>
        <v>0.17108639863130889</v>
      </c>
      <c r="DH150" s="150"/>
      <c r="DI150" s="150">
        <f t="shared" si="386"/>
        <v>2.3432923257176337</v>
      </c>
      <c r="DJ150" s="314">
        <f t="shared" si="387"/>
        <v>256.04999999999995</v>
      </c>
      <c r="DK150" s="456">
        <f t="shared" si="388"/>
        <v>0.17108639863130887</v>
      </c>
      <c r="DM150" s="150">
        <f t="shared" si="389"/>
        <v>11.404259855735612</v>
      </c>
      <c r="DN150" s="150">
        <f t="shared" si="390"/>
        <v>15.52274946299551</v>
      </c>
      <c r="DO150" s="150">
        <f t="shared" si="391"/>
        <v>2.8217897256756856</v>
      </c>
      <c r="DQ150" s="314">
        <f t="shared" si="392"/>
        <v>200</v>
      </c>
      <c r="DR150" s="144">
        <f t="shared" si="393"/>
        <v>188.13966118556857</v>
      </c>
      <c r="DT150">
        <f t="shared" si="430"/>
        <v>200</v>
      </c>
      <c r="DU150">
        <f t="shared" si="431"/>
        <v>188.13966118556857</v>
      </c>
      <c r="DW150" s="5">
        <f t="shared" si="394"/>
        <v>5.3152003872998685</v>
      </c>
      <c r="DX150" s="5">
        <f t="shared" si="395"/>
        <v>2.5871249104992513</v>
      </c>
      <c r="DY150" s="5">
        <f t="shared" si="396"/>
        <v>2.7280754768006172</v>
      </c>
      <c r="DZ150" s="5"/>
      <c r="EA150" s="150">
        <f t="shared" si="397"/>
        <v>0.48674080410607351</v>
      </c>
      <c r="EB150" s="150">
        <f t="shared" si="398"/>
        <v>34.000000000000007</v>
      </c>
      <c r="EC150" s="150">
        <f t="shared" si="399"/>
        <v>0.19917984768599889</v>
      </c>
      <c r="ED150" s="150">
        <f t="shared" si="400"/>
        <v>170.7</v>
      </c>
      <c r="EE150" s="144">
        <f t="shared" si="401"/>
        <v>0.30436763652932369</v>
      </c>
      <c r="EF150" s="5">
        <f t="shared" si="402"/>
        <v>17.176771520596478</v>
      </c>
      <c r="EH150" s="150">
        <f t="shared" si="403"/>
        <v>6.2525460398846784</v>
      </c>
      <c r="EI150" s="150">
        <f t="shared" si="404"/>
        <v>0.32103057350286573</v>
      </c>
      <c r="EK150" s="456">
        <f t="shared" si="405"/>
        <v>0.13292072873498376</v>
      </c>
      <c r="EL150" s="456">
        <f t="shared" si="406"/>
        <v>1.5567840000000002</v>
      </c>
      <c r="EM150" s="456">
        <f t="shared" si="407"/>
        <v>4.3083982411495199E-2</v>
      </c>
      <c r="EN150" s="456">
        <f t="shared" si="408"/>
        <v>3.9626203863970588E-2</v>
      </c>
      <c r="EO150">
        <f t="shared" si="409"/>
        <v>4.0499999999999998E-3</v>
      </c>
      <c r="EP150" s="144">
        <f t="shared" si="410"/>
        <v>47.133982411495197</v>
      </c>
      <c r="EQ150" s="144"/>
      <c r="ER150" s="144">
        <f t="shared" si="432"/>
        <v>1776.4649150104499</v>
      </c>
      <c r="ES150" s="456">
        <f t="shared" si="411"/>
        <v>0.5</v>
      </c>
      <c r="EV150" s="144">
        <f t="shared" si="412"/>
        <v>500</v>
      </c>
      <c r="EW150" s="456">
        <f t="shared" si="413"/>
        <v>5.8641497971316368E-2</v>
      </c>
      <c r="EX150" s="456">
        <f t="shared" si="414"/>
        <v>2.0612125824715777E-2</v>
      </c>
      <c r="EY150" s="456">
        <f t="shared" si="415"/>
        <v>23.045838725832805</v>
      </c>
      <c r="EZ150" s="456"/>
      <c r="FA150" s="456">
        <f t="shared" si="416"/>
        <v>4.5333333333333344E-2</v>
      </c>
      <c r="FB150" s="144">
        <f t="shared" si="417"/>
        <v>23170.42568296217</v>
      </c>
      <c r="FC150" s="150">
        <f t="shared" si="418"/>
        <v>25.446890597972619</v>
      </c>
      <c r="FD150" s="5">
        <f t="shared" si="419"/>
        <v>34</v>
      </c>
      <c r="FE150" s="150">
        <f t="shared" si="420"/>
        <v>0.57193908138838023</v>
      </c>
      <c r="FF150" s="5">
        <f t="shared" si="421"/>
        <v>57.193908138838026</v>
      </c>
      <c r="FI150" s="59">
        <f t="shared" si="422"/>
        <v>-50</v>
      </c>
      <c r="FJ150">
        <f t="shared" si="423"/>
        <v>-50</v>
      </c>
      <c r="FL150">
        <f t="shared" si="476"/>
        <v>0.51325919589392655</v>
      </c>
    </row>
    <row r="151" spans="5:168">
      <c r="E151" s="147">
        <v>41</v>
      </c>
      <c r="F151" s="188">
        <f t="shared" si="477"/>
        <v>0.20499999999999999</v>
      </c>
      <c r="G151" s="188"/>
      <c r="H151" s="188">
        <f t="shared" si="442"/>
        <v>34.85</v>
      </c>
      <c r="I151" s="465">
        <f t="shared" si="443"/>
        <v>8.9601453456153859</v>
      </c>
      <c r="J151" s="149">
        <f t="shared" si="444"/>
        <v>8.5390668014678166</v>
      </c>
      <c r="K151" s="149">
        <f t="shared" si="445"/>
        <v>17.499212147083202</v>
      </c>
      <c r="L151" s="379"/>
      <c r="M151" s="188">
        <f t="shared" si="446"/>
        <v>0.48796651503943833</v>
      </c>
      <c r="N151" s="149">
        <f t="shared" si="447"/>
        <v>146.13519919909535</v>
      </c>
      <c r="O151" s="149">
        <f t="shared" si="438"/>
        <v>34.85</v>
      </c>
      <c r="P151" s="188">
        <f t="shared" si="448"/>
        <v>0.85961881881820801</v>
      </c>
      <c r="Q151" s="188">
        <f t="shared" si="449"/>
        <v>170</v>
      </c>
      <c r="R151" s="188"/>
      <c r="S151" s="149">
        <f t="shared" si="450"/>
        <v>1277.8294099398831</v>
      </c>
      <c r="T151" s="149">
        <f t="shared" si="451"/>
        <v>170</v>
      </c>
      <c r="U151" s="188">
        <f t="shared" si="452"/>
        <v>16.014577641600113</v>
      </c>
      <c r="V151" s="188">
        <f t="shared" si="453"/>
        <v>2.680968392343678</v>
      </c>
      <c r="W151" s="188">
        <f t="shared" si="454"/>
        <v>2.8131723314626078</v>
      </c>
      <c r="X151" s="172">
        <f t="shared" si="455"/>
        <v>218.61349817918443</v>
      </c>
      <c r="Y151" s="379">
        <f t="shared" si="328"/>
        <v>175.6191229730521</v>
      </c>
      <c r="AA151" s="188">
        <f t="shared" si="456"/>
        <v>13.333333333333336</v>
      </c>
      <c r="AB151" s="150">
        <f t="shared" si="457"/>
        <v>2.3421763132901265</v>
      </c>
      <c r="AC151" s="150">
        <f t="shared" si="458"/>
        <v>0.1706771190669267</v>
      </c>
      <c r="AD151" s="150"/>
      <c r="AE151" s="150">
        <f t="shared" si="459"/>
        <v>2.3421763132901261</v>
      </c>
      <c r="AF151" s="314">
        <f t="shared" si="460"/>
        <v>262.57630414513534</v>
      </c>
      <c r="AG151" s="456">
        <f t="shared" si="461"/>
        <v>0.17067711906692665</v>
      </c>
      <c r="AI151" s="150">
        <f t="shared" si="462"/>
        <v>11.548683517802123</v>
      </c>
      <c r="AJ151" s="150">
        <f t="shared" si="463"/>
        <v>16.014577641600113</v>
      </c>
      <c r="AK151" s="150">
        <f t="shared" si="464"/>
        <v>3.1861068950124283</v>
      </c>
      <c r="AM151" s="314">
        <f t="shared" si="465"/>
        <v>205</v>
      </c>
      <c r="AN151" s="144">
        <f t="shared" si="466"/>
        <v>175.6191229730521</v>
      </c>
      <c r="AP151" s="144">
        <f t="shared" si="467"/>
        <v>205</v>
      </c>
      <c r="AQ151" s="144">
        <f t="shared" si="468"/>
        <v>175.6191229730521</v>
      </c>
      <c r="AS151" s="5">
        <f t="shared" si="439"/>
        <v>5.694140723806286</v>
      </c>
      <c r="AT151" s="5">
        <f t="shared" si="469"/>
        <v>2.680968392343678</v>
      </c>
      <c r="AU151" s="5">
        <f t="shared" si="343"/>
        <v>3.013172331462608</v>
      </c>
      <c r="AV151" s="5"/>
      <c r="AW151" s="150">
        <f t="shared" si="344"/>
        <v>0.47082931778187015</v>
      </c>
      <c r="AX151" s="150">
        <f t="shared" si="435"/>
        <v>33.780342304317173</v>
      </c>
      <c r="AY151" s="150">
        <f t="shared" si="436"/>
        <v>0.21186112440101856</v>
      </c>
      <c r="AZ151" s="150">
        <f t="shared" si="440"/>
        <v>159.44568594083592</v>
      </c>
      <c r="BA151" s="144">
        <f t="shared" si="433"/>
        <v>0.32329324731203174</v>
      </c>
      <c r="BB151" s="5">
        <f t="shared" si="434"/>
        <v>19.532617627097178</v>
      </c>
      <c r="BD151" s="150">
        <f t="shared" si="441"/>
        <v>6.3443423615209005</v>
      </c>
      <c r="BE151" s="150">
        <f t="shared" si="437"/>
        <v>0.33629681463239242</v>
      </c>
      <c r="BG151" s="456">
        <f t="shared" si="347"/>
        <v>0.13685231200064121</v>
      </c>
      <c r="BH151" s="456">
        <f t="shared" si="470"/>
        <v>1.1787217772244889</v>
      </c>
      <c r="BI151" s="456">
        <f t="shared" si="471"/>
        <v>7.206963732270863E-2</v>
      </c>
      <c r="BJ151" s="456">
        <f t="shared" si="350"/>
        <v>3.6838281985993954E-2</v>
      </c>
      <c r="BK151">
        <f t="shared" si="351"/>
        <v>4.0320654055269233E-3</v>
      </c>
      <c r="BL151" s="144">
        <f t="shared" si="427"/>
        <v>76.101702728235551</v>
      </c>
      <c r="BM151" s="456">
        <f t="shared" si="472"/>
        <v>1.43605749806447</v>
      </c>
      <c r="BN151" s="144">
        <f t="shared" si="353"/>
        <v>1436.0574980644701</v>
      </c>
      <c r="BO151" s="456">
        <f t="shared" si="354"/>
        <v>0.51249999999999996</v>
      </c>
      <c r="BR151" s="144">
        <f t="shared" si="355"/>
        <v>512.5</v>
      </c>
      <c r="BS151" s="456">
        <f t="shared" si="356"/>
        <v>6.0376020000282894E-2</v>
      </c>
      <c r="BT151" s="456">
        <f t="shared" si="357"/>
        <v>2.2619109506378743E-2</v>
      </c>
      <c r="BU151" s="456">
        <f t="shared" si="358"/>
        <v>20.974336808178332</v>
      </c>
      <c r="BV151" s="456"/>
      <c r="BW151" s="456">
        <f t="shared" si="359"/>
        <v>4.504045640575622E-2</v>
      </c>
      <c r="BX151" s="144">
        <f t="shared" si="360"/>
        <v>21102.372394090751</v>
      </c>
      <c r="BY151" s="150">
        <f t="shared" si="361"/>
        <v>23.043386468030111</v>
      </c>
      <c r="BZ151" s="5">
        <f t="shared" si="362"/>
        <v>34.85</v>
      </c>
      <c r="CA151" s="150">
        <f t="shared" si="363"/>
        <v>0.60196858615698479</v>
      </c>
      <c r="CB151" s="5">
        <f t="shared" si="364"/>
        <v>60.196858615698481</v>
      </c>
      <c r="CE151" s="59">
        <f t="shared" si="473"/>
        <v>-50</v>
      </c>
      <c r="CF151">
        <f t="shared" si="474"/>
        <v>-50</v>
      </c>
      <c r="CG151" s="150">
        <f t="shared" si="475"/>
        <v>0.50408165144584993</v>
      </c>
      <c r="CI151" s="147">
        <v>41</v>
      </c>
      <c r="CJ151" s="188">
        <f t="shared" si="428"/>
        <v>0.20499999999999999</v>
      </c>
      <c r="CK151" s="188"/>
      <c r="CL151" s="188">
        <f t="shared" si="368"/>
        <v>34.85</v>
      </c>
      <c r="CM151" s="465">
        <f t="shared" si="369"/>
        <v>9</v>
      </c>
      <c r="CN151" s="379">
        <f t="shared" si="370"/>
        <v>8.5350000000000001</v>
      </c>
      <c r="CO151" s="379">
        <f t="shared" si="371"/>
        <v>17.535</v>
      </c>
      <c r="CP151" s="379"/>
      <c r="CQ151" s="188">
        <f t="shared" si="372"/>
        <v>0.48674080410607357</v>
      </c>
      <c r="CR151" s="149">
        <f t="shared" si="429"/>
        <v>146.41650128314802</v>
      </c>
      <c r="CS151" s="149">
        <f t="shared" si="373"/>
        <v>34.85</v>
      </c>
      <c r="CT151" s="188">
        <f t="shared" si="374"/>
        <v>0.86127353695969422</v>
      </c>
      <c r="CU151" s="188">
        <f t="shared" si="375"/>
        <v>170</v>
      </c>
      <c r="CV151" s="188"/>
      <c r="CW151" s="149">
        <f t="shared" si="376"/>
        <v>1283.5127487306461</v>
      </c>
      <c r="CX151" s="149">
        <f t="shared" si="377"/>
        <v>170</v>
      </c>
      <c r="CY151" s="188">
        <f t="shared" si="378"/>
        <v>15.910818199570398</v>
      </c>
      <c r="CZ151" s="188">
        <f t="shared" si="379"/>
        <v>2.6518030332617331</v>
      </c>
      <c r="DA151" s="188">
        <f t="shared" si="380"/>
        <v>2.7962773637206322</v>
      </c>
      <c r="DB151" s="172">
        <f t="shared" si="381"/>
        <v>219.03336184773312</v>
      </c>
      <c r="DC151" s="379">
        <f t="shared" si="382"/>
        <v>183.55088896153029</v>
      </c>
      <c r="DE151" s="188">
        <f t="shared" si="383"/>
        <v>13.333333333333334</v>
      </c>
      <c r="DF151" s="150">
        <f t="shared" si="384"/>
        <v>2.3432923257176337</v>
      </c>
      <c r="DG151" s="150">
        <f t="shared" si="385"/>
        <v>0.17108639863130889</v>
      </c>
      <c r="DH151" s="150"/>
      <c r="DI151" s="150">
        <f t="shared" si="386"/>
        <v>2.3432923257176337</v>
      </c>
      <c r="DJ151" s="314">
        <f t="shared" si="387"/>
        <v>262.4512499999999</v>
      </c>
      <c r="DK151" s="456">
        <f t="shared" si="388"/>
        <v>0.17108639863130887</v>
      </c>
      <c r="DM151" s="150">
        <f t="shared" si="389"/>
        <v>11.545933112077664</v>
      </c>
      <c r="DN151" s="150">
        <f t="shared" si="390"/>
        <v>15.910818199570398</v>
      </c>
      <c r="DO151" s="150">
        <f t="shared" si="391"/>
        <v>3.109248049064492</v>
      </c>
      <c r="DQ151" s="314">
        <f t="shared" si="392"/>
        <v>205</v>
      </c>
      <c r="DR151" s="144">
        <f t="shared" si="393"/>
        <v>183.55088896153029</v>
      </c>
      <c r="DT151">
        <f t="shared" si="430"/>
        <v>205</v>
      </c>
      <c r="DU151">
        <f t="shared" si="431"/>
        <v>183.55088896153029</v>
      </c>
      <c r="DW151" s="5">
        <f t="shared" si="394"/>
        <v>5.4480803969823652</v>
      </c>
      <c r="DX151" s="5">
        <f t="shared" si="395"/>
        <v>2.6518030332617331</v>
      </c>
      <c r="DY151" s="5">
        <f t="shared" si="396"/>
        <v>2.7962773637206322</v>
      </c>
      <c r="DZ151" s="5"/>
      <c r="EA151" s="150">
        <f t="shared" si="397"/>
        <v>0.48674080410607357</v>
      </c>
      <c r="EB151" s="150">
        <f t="shared" si="398"/>
        <v>34.850000000000009</v>
      </c>
      <c r="EC151" s="150">
        <f t="shared" si="399"/>
        <v>0.20415934387814885</v>
      </c>
      <c r="ED151" s="150">
        <f t="shared" si="400"/>
        <v>170.7</v>
      </c>
      <c r="EE151" s="144">
        <f t="shared" si="401"/>
        <v>0.31977624812862071</v>
      </c>
      <c r="EF151" s="5">
        <f t="shared" si="402"/>
        <v>18.046345578826671</v>
      </c>
      <c r="EH151" s="150">
        <f t="shared" si="403"/>
        <v>6.4088596908817967</v>
      </c>
      <c r="EI151" s="150">
        <f t="shared" si="404"/>
        <v>0.32905633784043742</v>
      </c>
      <c r="EK151" s="456">
        <f t="shared" si="405"/>
        <v>0.13964984062719235</v>
      </c>
      <c r="EL151" s="456">
        <f t="shared" si="406"/>
        <v>1.5567840000000002</v>
      </c>
      <c r="EM151" s="456">
        <f t="shared" si="407"/>
        <v>4.2033153572190438E-2</v>
      </c>
      <c r="EN151" s="456">
        <f t="shared" si="408"/>
        <v>3.8659711086800573E-2</v>
      </c>
      <c r="EO151">
        <f t="shared" si="409"/>
        <v>4.0499999999999998E-3</v>
      </c>
      <c r="EP151" s="144">
        <f t="shared" si="410"/>
        <v>46.083153572190433</v>
      </c>
      <c r="EQ151" s="144"/>
      <c r="ER151" s="144">
        <f t="shared" si="432"/>
        <v>1781.1767052861837</v>
      </c>
      <c r="ES151" s="456">
        <f t="shared" si="411"/>
        <v>0.51249999999999996</v>
      </c>
      <c r="EV151" s="144">
        <f t="shared" si="412"/>
        <v>512.5</v>
      </c>
      <c r="EW151" s="456">
        <f t="shared" si="413"/>
        <v>6.1610223806114278E-2</v>
      </c>
      <c r="EX151" s="456">
        <f t="shared" si="414"/>
        <v>2.1655614694592019E-2</v>
      </c>
      <c r="EY151" s="456">
        <f t="shared" si="415"/>
        <v>23.04583872583277</v>
      </c>
      <c r="EZ151" s="456"/>
      <c r="FA151" s="456">
        <f t="shared" si="416"/>
        <v>4.6466666666666677E-2</v>
      </c>
      <c r="FB151" s="144">
        <f t="shared" si="417"/>
        <v>23175.571231000144</v>
      </c>
      <c r="FC151" s="150">
        <f t="shared" si="418"/>
        <v>25.469247936286326</v>
      </c>
      <c r="FD151" s="5">
        <f t="shared" si="419"/>
        <v>34.85</v>
      </c>
      <c r="FE151" s="150">
        <f t="shared" si="420"/>
        <v>0.57775919283362354</v>
      </c>
      <c r="FF151" s="5">
        <f t="shared" si="421"/>
        <v>57.775919283362356</v>
      </c>
      <c r="FI151" s="59">
        <f t="shared" si="422"/>
        <v>-50</v>
      </c>
      <c r="FJ151">
        <f t="shared" si="423"/>
        <v>-50</v>
      </c>
      <c r="FL151">
        <f t="shared" si="476"/>
        <v>0.51325919589392643</v>
      </c>
    </row>
    <row r="152" spans="5:168">
      <c r="E152" s="147">
        <v>42</v>
      </c>
      <c r="F152" s="188">
        <f t="shared" si="477"/>
        <v>0.21</v>
      </c>
      <c r="G152" s="188"/>
      <c r="H152" s="188">
        <f t="shared" si="442"/>
        <v>35.699999999999996</v>
      </c>
      <c r="I152" s="465">
        <f t="shared" si="443"/>
        <v>8.9591909710675548</v>
      </c>
      <c r="J152" s="149">
        <f t="shared" si="444"/>
        <v>8.5391641866257597</v>
      </c>
      <c r="K152" s="149">
        <f t="shared" si="445"/>
        <v>17.498355157693315</v>
      </c>
      <c r="L152" s="379"/>
      <c r="M152" s="188">
        <f t="shared" si="446"/>
        <v>0.48799597984081677</v>
      </c>
      <c r="N152" s="149">
        <f t="shared" si="447"/>
        <v>146.12845697612266</v>
      </c>
      <c r="O152" s="149">
        <f t="shared" si="438"/>
        <v>35.699999999999996</v>
      </c>
      <c r="P152" s="188">
        <f t="shared" si="448"/>
        <v>0.85957915868307444</v>
      </c>
      <c r="Q152" s="188">
        <f t="shared" si="449"/>
        <v>170</v>
      </c>
      <c r="R152" s="188"/>
      <c r="S152" s="149">
        <f t="shared" si="450"/>
        <v>1243.0108358604086</v>
      </c>
      <c r="T152" s="149">
        <f t="shared" si="451"/>
        <v>170</v>
      </c>
      <c r="U152" s="188">
        <f t="shared" si="452"/>
        <v>16.406121181213422</v>
      </c>
      <c r="V152" s="188">
        <f t="shared" si="453"/>
        <v>2.7468084843031053</v>
      </c>
      <c r="W152" s="188">
        <f t="shared" si="454"/>
        <v>2.8819192644595844</v>
      </c>
      <c r="X152" s="172">
        <f t="shared" si="455"/>
        <v>218.60341155450038</v>
      </c>
      <c r="Y152" s="379">
        <f t="shared" si="328"/>
        <v>171.56402616544887</v>
      </c>
      <c r="AA152" s="188">
        <f t="shared" si="456"/>
        <v>13.333333333333334</v>
      </c>
      <c r="AB152" s="150">
        <f t="shared" si="457"/>
        <v>2.3421496018690533</v>
      </c>
      <c r="AC152" s="150">
        <f t="shared" si="458"/>
        <v>0.17066729777986331</v>
      </c>
      <c r="AD152" s="150"/>
      <c r="AE152" s="150">
        <f t="shared" si="459"/>
        <v>2.3421496018690533</v>
      </c>
      <c r="AF152" s="314">
        <f t="shared" si="460"/>
        <v>268.98367187871133</v>
      </c>
      <c r="AG152" s="456">
        <f t="shared" si="461"/>
        <v>0.17066729777986331</v>
      </c>
      <c r="AI152" s="150">
        <f t="shared" si="462"/>
        <v>11.688739324067937</v>
      </c>
      <c r="AJ152" s="150">
        <f t="shared" si="463"/>
        <v>16.406121181213422</v>
      </c>
      <c r="AK152" s="150">
        <f t="shared" si="464"/>
        <v>3.4761391465778431</v>
      </c>
      <c r="AM152" s="314">
        <f t="shared" si="465"/>
        <v>210</v>
      </c>
      <c r="AN152" s="144">
        <f t="shared" si="466"/>
        <v>171.56402616544887</v>
      </c>
      <c r="AP152" s="144">
        <f t="shared" si="467"/>
        <v>210</v>
      </c>
      <c r="AQ152" s="144">
        <f t="shared" si="468"/>
        <v>171.56402616544887</v>
      </c>
      <c r="AS152" s="5">
        <f t="shared" si="439"/>
        <v>5.8287277487626898</v>
      </c>
      <c r="AT152" s="5">
        <f t="shared" si="469"/>
        <v>2.7468084843031053</v>
      </c>
      <c r="AU152" s="5">
        <f t="shared" si="343"/>
        <v>3.0819192644595845</v>
      </c>
      <c r="AV152" s="5"/>
      <c r="AW152" s="150">
        <f t="shared" si="344"/>
        <v>0.47125352267245491</v>
      </c>
      <c r="AX152" s="150">
        <f t="shared" si="435"/>
        <v>34.633734471874654</v>
      </c>
      <c r="AY152" s="150">
        <f t="shared" si="436"/>
        <v>0.2168669695293855</v>
      </c>
      <c r="AZ152" s="150">
        <f t="shared" si="440"/>
        <v>159.70036629843614</v>
      </c>
      <c r="BA152" s="144">
        <f t="shared" si="433"/>
        <v>0.33931163629626593</v>
      </c>
      <c r="BB152" s="5">
        <f t="shared" si="434"/>
        <v>20.467718215576202</v>
      </c>
      <c r="BD152" s="150">
        <f t="shared" si="441"/>
        <v>6.5023836890942022</v>
      </c>
      <c r="BE152" s="150">
        <f t="shared" si="437"/>
        <v>0.34438088324323007</v>
      </c>
      <c r="BG152" s="456">
        <f t="shared" si="347"/>
        <v>0.14375537837667429</v>
      </c>
      <c r="BH152" s="456">
        <f t="shared" si="470"/>
        <v>1.1796003406123641</v>
      </c>
      <c r="BI152" s="456">
        <f t="shared" si="471"/>
        <v>7.0398029237512108E-2</v>
      </c>
      <c r="BJ152" s="456">
        <f t="shared" si="350"/>
        <v>3.5984150538424541E-2</v>
      </c>
      <c r="BK152">
        <f t="shared" si="351"/>
        <v>4.0316359369803999E-3</v>
      </c>
      <c r="BL152" s="144">
        <f t="shared" si="427"/>
        <v>74.429665174492513</v>
      </c>
      <c r="BM152" s="456">
        <f t="shared" si="472"/>
        <v>1.4475983947512077</v>
      </c>
      <c r="BN152" s="144">
        <f t="shared" si="353"/>
        <v>1447.5983947512077</v>
      </c>
      <c r="BO152" s="456">
        <f t="shared" si="354"/>
        <v>0.52500000000000002</v>
      </c>
      <c r="BR152" s="144">
        <f t="shared" si="355"/>
        <v>525</v>
      </c>
      <c r="BS152" s="456">
        <f t="shared" si="356"/>
        <v>6.3421490460297492E-2</v>
      </c>
      <c r="BT152" s="456">
        <f t="shared" si="357"/>
        <v>2.3719638548677452E-2</v>
      </c>
      <c r="BU152" s="456">
        <f t="shared" si="358"/>
        <v>21.016014802363852</v>
      </c>
      <c r="BV152" s="456"/>
      <c r="BW152" s="456">
        <f t="shared" si="359"/>
        <v>4.6178312629166211E-2</v>
      </c>
      <c r="BX152" s="144">
        <f t="shared" si="360"/>
        <v>21149.334244001991</v>
      </c>
      <c r="BY152" s="150">
        <f t="shared" si="361"/>
        <v>23.108103778703949</v>
      </c>
      <c r="BZ152" s="5">
        <f t="shared" si="362"/>
        <v>35.699999999999996</v>
      </c>
      <c r="CA152" s="150">
        <f t="shared" si="363"/>
        <v>0.60705919262997832</v>
      </c>
      <c r="CB152" s="5">
        <f t="shared" si="364"/>
        <v>60.705919262997831</v>
      </c>
      <c r="CE152" s="59">
        <f t="shared" si="473"/>
        <v>-50</v>
      </c>
      <c r="CF152">
        <f t="shared" si="474"/>
        <v>-50</v>
      </c>
      <c r="CG152" s="150">
        <f t="shared" si="475"/>
        <v>0.50430016440889947</v>
      </c>
      <c r="CI152" s="147">
        <v>42</v>
      </c>
      <c r="CJ152" s="188">
        <f t="shared" si="428"/>
        <v>0.21</v>
      </c>
      <c r="CK152" s="188"/>
      <c r="CL152" s="188">
        <f t="shared" si="368"/>
        <v>35.699999999999996</v>
      </c>
      <c r="CM152" s="465">
        <f t="shared" si="369"/>
        <v>9</v>
      </c>
      <c r="CN152" s="379">
        <f t="shared" si="370"/>
        <v>8.5350000000000001</v>
      </c>
      <c r="CO152" s="379">
        <f t="shared" si="371"/>
        <v>17.535</v>
      </c>
      <c r="CP152" s="379"/>
      <c r="CQ152" s="188">
        <f t="shared" si="372"/>
        <v>0.48674080410607357</v>
      </c>
      <c r="CR152" s="149">
        <f t="shared" si="429"/>
        <v>146.41650128314802</v>
      </c>
      <c r="CS152" s="149">
        <f t="shared" si="373"/>
        <v>35.699999999999996</v>
      </c>
      <c r="CT152" s="188">
        <f t="shared" si="374"/>
        <v>0.86127353695969422</v>
      </c>
      <c r="CU152" s="188">
        <f t="shared" si="375"/>
        <v>170</v>
      </c>
      <c r="CV152" s="188"/>
      <c r="CW152" s="149">
        <f t="shared" si="376"/>
        <v>1248.6722792162655</v>
      </c>
      <c r="CX152" s="149">
        <f t="shared" si="377"/>
        <v>170</v>
      </c>
      <c r="CY152" s="188">
        <f t="shared" si="378"/>
        <v>16.298886936145283</v>
      </c>
      <c r="CZ152" s="188">
        <f t="shared" si="379"/>
        <v>2.7164811560242139</v>
      </c>
      <c r="DA152" s="188">
        <f t="shared" si="380"/>
        <v>2.8644792506406471</v>
      </c>
      <c r="DB152" s="172">
        <f t="shared" si="381"/>
        <v>219.03336184773312</v>
      </c>
      <c r="DC152" s="379">
        <f t="shared" si="382"/>
        <v>179.18062970054149</v>
      </c>
      <c r="DE152" s="188">
        <f t="shared" si="383"/>
        <v>13.333333333333334</v>
      </c>
      <c r="DF152" s="150">
        <f t="shared" si="384"/>
        <v>2.3432923257176337</v>
      </c>
      <c r="DG152" s="150">
        <f t="shared" si="385"/>
        <v>0.17108639863130889</v>
      </c>
      <c r="DH152" s="150"/>
      <c r="DI152" s="150">
        <f t="shared" si="386"/>
        <v>2.3432923257176337</v>
      </c>
      <c r="DJ152" s="314">
        <f t="shared" si="387"/>
        <v>268.85249999999996</v>
      </c>
      <c r="DK152" s="456">
        <f t="shared" si="388"/>
        <v>0.17108639863130887</v>
      </c>
      <c r="DM152" s="150">
        <f t="shared" si="389"/>
        <v>11.685888926393233</v>
      </c>
      <c r="DN152" s="150">
        <f t="shared" si="390"/>
        <v>16.298886936145283</v>
      </c>
      <c r="DO152" s="150">
        <f t="shared" si="391"/>
        <v>3.3967063724532958</v>
      </c>
      <c r="DQ152" s="314">
        <f t="shared" si="392"/>
        <v>210</v>
      </c>
      <c r="DR152" s="144">
        <f t="shared" si="393"/>
        <v>179.18062970054149</v>
      </c>
      <c r="DT152">
        <f t="shared" si="430"/>
        <v>210</v>
      </c>
      <c r="DU152">
        <f t="shared" si="431"/>
        <v>179.18062970054149</v>
      </c>
      <c r="DW152" s="5">
        <f t="shared" si="394"/>
        <v>5.5809604066648619</v>
      </c>
      <c r="DX152" s="5">
        <f t="shared" si="395"/>
        <v>2.7164811560242139</v>
      </c>
      <c r="DY152" s="5">
        <f t="shared" si="396"/>
        <v>2.864479250640648</v>
      </c>
      <c r="DZ152" s="5"/>
      <c r="EA152" s="150">
        <f t="shared" si="397"/>
        <v>0.48674080410607351</v>
      </c>
      <c r="EB152" s="150">
        <f t="shared" si="398"/>
        <v>35.699999999999996</v>
      </c>
      <c r="EC152" s="150">
        <f t="shared" si="399"/>
        <v>0.20913884007029881</v>
      </c>
      <c r="ED152" s="150">
        <f t="shared" si="400"/>
        <v>170.69999999999993</v>
      </c>
      <c r="EE152" s="144">
        <f t="shared" si="401"/>
        <v>0.33556531927357935</v>
      </c>
      <c r="EF152" s="5">
        <f t="shared" si="402"/>
        <v>18.937390601457615</v>
      </c>
      <c r="EH152" s="150">
        <f t="shared" si="403"/>
        <v>6.5651733418789116</v>
      </c>
      <c r="EI152" s="150">
        <f t="shared" si="404"/>
        <v>0.33708210217800899</v>
      </c>
      <c r="EK152" s="456">
        <f t="shared" si="405"/>
        <v>0.14654510343031954</v>
      </c>
      <c r="EL152" s="456">
        <f t="shared" si="406"/>
        <v>1.5567839999999999</v>
      </c>
      <c r="EM152" s="456">
        <f t="shared" si="407"/>
        <v>4.1032364201423997E-2</v>
      </c>
      <c r="EN152" s="456">
        <f t="shared" si="408"/>
        <v>3.773924177521009E-2</v>
      </c>
      <c r="EO152">
        <f t="shared" si="409"/>
        <v>4.0499999999999998E-3</v>
      </c>
      <c r="EP152" s="144">
        <f t="shared" si="410"/>
        <v>45.082364201423992</v>
      </c>
      <c r="EQ152" s="144"/>
      <c r="ER152" s="144">
        <f t="shared" si="432"/>
        <v>1786.1507094069539</v>
      </c>
      <c r="ES152" s="456">
        <f t="shared" si="411"/>
        <v>0.52500000000000002</v>
      </c>
      <c r="EV152" s="144">
        <f t="shared" si="412"/>
        <v>525</v>
      </c>
      <c r="EW152" s="456">
        <f t="shared" si="413"/>
        <v>6.465225151337628E-2</v>
      </c>
      <c r="EX152" s="456">
        <f t="shared" si="414"/>
        <v>2.2724868721749142E-2</v>
      </c>
      <c r="EY152" s="456">
        <f t="shared" si="415"/>
        <v>23.045838725832766</v>
      </c>
      <c r="EZ152" s="456"/>
      <c r="FA152" s="456">
        <f t="shared" si="416"/>
        <v>4.7599999999999996E-2</v>
      </c>
      <c r="FB152" s="144">
        <f t="shared" si="417"/>
        <v>23180.81584606789</v>
      </c>
      <c r="FC152" s="150">
        <f t="shared" si="418"/>
        <v>25.491966555474843</v>
      </c>
      <c r="FD152" s="5">
        <f t="shared" si="419"/>
        <v>35.699999999999996</v>
      </c>
      <c r="FE152" s="150">
        <f t="shared" si="420"/>
        <v>0.58340991488867133</v>
      </c>
      <c r="FF152" s="5">
        <f t="shared" si="421"/>
        <v>58.340991488867132</v>
      </c>
      <c r="FI152" s="59">
        <f t="shared" si="422"/>
        <v>-50</v>
      </c>
      <c r="FJ152">
        <f t="shared" si="423"/>
        <v>-50</v>
      </c>
      <c r="FL152">
        <f t="shared" si="476"/>
        <v>0.51325919589392655</v>
      </c>
    </row>
    <row r="153" spans="5:168">
      <c r="E153" s="147">
        <v>43</v>
      </c>
      <c r="F153" s="188">
        <f t="shared" si="477"/>
        <v>0.215</v>
      </c>
      <c r="G153" s="188"/>
      <c r="H153" s="188">
        <f t="shared" si="442"/>
        <v>36.549999999999997</v>
      </c>
      <c r="I153" s="465">
        <f t="shared" si="443"/>
        <v>8.9582365819084959</v>
      </c>
      <c r="J153" s="149">
        <f t="shared" si="444"/>
        <v>8.5392615732746417</v>
      </c>
      <c r="K153" s="149">
        <f t="shared" si="445"/>
        <v>17.497498155183138</v>
      </c>
      <c r="L153" s="379"/>
      <c r="M153" s="188">
        <f t="shared" si="446"/>
        <v>0.48802544793587049</v>
      </c>
      <c r="N153" s="149">
        <f t="shared" si="447"/>
        <v>146.12171362123399</v>
      </c>
      <c r="O153" s="149">
        <f t="shared" si="438"/>
        <v>36.549999999999997</v>
      </c>
      <c r="P153" s="188">
        <f t="shared" si="448"/>
        <v>0.85953949188961176</v>
      </c>
      <c r="Q153" s="188">
        <f t="shared" si="449"/>
        <v>170</v>
      </c>
      <c r="R153" s="188"/>
      <c r="S153" s="149">
        <f t="shared" si="450"/>
        <v>1209.8127621433403</v>
      </c>
      <c r="T153" s="149">
        <f t="shared" si="451"/>
        <v>170</v>
      </c>
      <c r="U153" s="188">
        <f t="shared" si="452"/>
        <v>16.797709896570741</v>
      </c>
      <c r="V153" s="188">
        <f t="shared" si="453"/>
        <v>2.8126701739203388</v>
      </c>
      <c r="W153" s="188">
        <f t="shared" si="454"/>
        <v>2.950672564442093</v>
      </c>
      <c r="X153" s="172">
        <f t="shared" si="455"/>
        <v>218.59332325614335</v>
      </c>
      <c r="Y153" s="379">
        <f t="shared" si="328"/>
        <v>167.69118326319872</v>
      </c>
      <c r="AA153" s="188">
        <f t="shared" si="456"/>
        <v>13.333333333333336</v>
      </c>
      <c r="AB153" s="150">
        <f t="shared" si="457"/>
        <v>2.342122890648306</v>
      </c>
      <c r="AC153" s="150">
        <f t="shared" si="458"/>
        <v>0.17065747538036607</v>
      </c>
      <c r="AD153" s="150"/>
      <c r="AE153" s="150">
        <f t="shared" si="459"/>
        <v>2.3421228906483056</v>
      </c>
      <c r="AF153" s="314">
        <f t="shared" si="460"/>
        <v>275.39118573810714</v>
      </c>
      <c r="AG153" s="456">
        <f t="shared" si="461"/>
        <v>0.17065747538036602</v>
      </c>
      <c r="AI153" s="150">
        <f t="shared" si="462"/>
        <v>11.827139857138258</v>
      </c>
      <c r="AJ153" s="150">
        <f t="shared" si="463"/>
        <v>16.797709896570741</v>
      </c>
      <c r="AK153" s="150">
        <f t="shared" si="464"/>
        <v>3.7662048616573385</v>
      </c>
      <c r="AM153" s="314">
        <f t="shared" si="465"/>
        <v>215</v>
      </c>
      <c r="AN153" s="144">
        <f t="shared" si="466"/>
        <v>167.69118326319872</v>
      </c>
      <c r="AP153" s="144">
        <f t="shared" si="467"/>
        <v>215</v>
      </c>
      <c r="AQ153" s="144">
        <f t="shared" si="468"/>
        <v>167.69118326319872</v>
      </c>
      <c r="AS153" s="5">
        <f t="shared" si="439"/>
        <v>5.9633427383624324</v>
      </c>
      <c r="AT153" s="5">
        <f t="shared" si="469"/>
        <v>2.8126701739203388</v>
      </c>
      <c r="AU153" s="5">
        <f t="shared" si="343"/>
        <v>3.1506725644420936</v>
      </c>
      <c r="AV153" s="5"/>
      <c r="AW153" s="150">
        <f t="shared" si="344"/>
        <v>0.47165998959380856</v>
      </c>
      <c r="AX153" s="150">
        <f t="shared" si="435"/>
        <v>35.487192772878522</v>
      </c>
      <c r="AY153" s="150">
        <f t="shared" si="436"/>
        <v>0.22187255553885926</v>
      </c>
      <c r="AZ153" s="150">
        <f t="shared" si="440"/>
        <v>159.94403943602305</v>
      </c>
      <c r="BA153" s="144">
        <f t="shared" si="433"/>
        <v>0.35572005140757229</v>
      </c>
      <c r="BB153" s="5">
        <f t="shared" si="434"/>
        <v>21.424804829506041</v>
      </c>
      <c r="BD153" s="150">
        <f t="shared" si="441"/>
        <v>6.6604560627444807</v>
      </c>
      <c r="BE153" s="150">
        <f t="shared" si="437"/>
        <v>0.35246516716561455</v>
      </c>
      <c r="BG153" s="456">
        <f t="shared" si="347"/>
        <v>0.15082969487674899</v>
      </c>
      <c r="BH153" s="456">
        <f t="shared" si="470"/>
        <v>1.1804341900485611</v>
      </c>
      <c r="BI153" s="456">
        <f t="shared" si="471"/>
        <v>6.8801551990633411E-2</v>
      </c>
      <c r="BJ153" s="456">
        <f t="shared" si="350"/>
        <v>3.516840835072934E-2</v>
      </c>
      <c r="BK153">
        <f t="shared" si="351"/>
        <v>4.0312064618588227E-3</v>
      </c>
      <c r="BL153" s="144">
        <f t="shared" si="427"/>
        <v>72.832758452492229</v>
      </c>
      <c r="BM153" s="456">
        <f t="shared" si="472"/>
        <v>1.4594591460711925</v>
      </c>
      <c r="BN153" s="144">
        <f t="shared" si="353"/>
        <v>1459.4591460711924</v>
      </c>
      <c r="BO153" s="456">
        <f t="shared" si="354"/>
        <v>0.53749999999999998</v>
      </c>
      <c r="BR153" s="144">
        <f t="shared" si="355"/>
        <v>537.5</v>
      </c>
      <c r="BS153" s="456">
        <f t="shared" si="356"/>
        <v>6.6542512445624563E-2</v>
      </c>
      <c r="BT153" s="456">
        <f t="shared" si="357"/>
        <v>2.4846338813016924E-2</v>
      </c>
      <c r="BU153" s="456">
        <f t="shared" si="358"/>
        <v>21.055752580847553</v>
      </c>
      <c r="BV153" s="456"/>
      <c r="BW153" s="456">
        <f t="shared" si="359"/>
        <v>4.7316257030504703E-2</v>
      </c>
      <c r="BX153" s="144">
        <f t="shared" si="360"/>
        <v>21194.4576891367</v>
      </c>
      <c r="BY153" s="150">
        <f t="shared" si="361"/>
        <v>23.171222740865232</v>
      </c>
      <c r="BZ153" s="5">
        <f t="shared" si="362"/>
        <v>36.549999999999997</v>
      </c>
      <c r="CA153" s="150">
        <f t="shared" si="363"/>
        <v>0.61201024229850631</v>
      </c>
      <c r="CB153" s="5">
        <f t="shared" si="364"/>
        <v>61.201024229850631</v>
      </c>
      <c r="CE153" s="59">
        <f t="shared" si="473"/>
        <v>-50</v>
      </c>
      <c r="CF153">
        <f t="shared" si="474"/>
        <v>-50</v>
      </c>
      <c r="CG153" s="150">
        <f t="shared" si="475"/>
        <v>0.50450851397831864</v>
      </c>
      <c r="CI153" s="147">
        <v>43</v>
      </c>
      <c r="CJ153" s="188">
        <f t="shared" si="428"/>
        <v>0.215</v>
      </c>
      <c r="CK153" s="188"/>
      <c r="CL153" s="188">
        <f t="shared" si="368"/>
        <v>36.549999999999997</v>
      </c>
      <c r="CM153" s="465">
        <f t="shared" si="369"/>
        <v>9</v>
      </c>
      <c r="CN153" s="379">
        <f t="shared" si="370"/>
        <v>8.5350000000000001</v>
      </c>
      <c r="CO153" s="379">
        <f t="shared" si="371"/>
        <v>17.535</v>
      </c>
      <c r="CP153" s="379"/>
      <c r="CQ153" s="188">
        <f t="shared" si="372"/>
        <v>0.48674080410607357</v>
      </c>
      <c r="CR153" s="149">
        <f t="shared" si="429"/>
        <v>146.41650128314802</v>
      </c>
      <c r="CS153" s="149">
        <f t="shared" si="373"/>
        <v>36.549999999999997</v>
      </c>
      <c r="CT153" s="188">
        <f t="shared" si="374"/>
        <v>0.86127353695969422</v>
      </c>
      <c r="CU153" s="188">
        <f t="shared" si="375"/>
        <v>170</v>
      </c>
      <c r="CV153" s="188"/>
      <c r="CW153" s="149">
        <f t="shared" si="376"/>
        <v>1215.4524426419621</v>
      </c>
      <c r="CX153" s="149">
        <f t="shared" si="377"/>
        <v>170</v>
      </c>
      <c r="CY153" s="188">
        <f t="shared" si="378"/>
        <v>16.68695567272017</v>
      </c>
      <c r="CZ153" s="188">
        <f t="shared" si="379"/>
        <v>2.7811592787866952</v>
      </c>
      <c r="DA153" s="188">
        <f t="shared" si="380"/>
        <v>2.9326811375606625</v>
      </c>
      <c r="DB153" s="172">
        <f t="shared" si="381"/>
        <v>219.03336184773312</v>
      </c>
      <c r="DC153" s="379">
        <f t="shared" si="382"/>
        <v>175.01363831215681</v>
      </c>
      <c r="DE153" s="188">
        <f t="shared" si="383"/>
        <v>13.333333333333334</v>
      </c>
      <c r="DF153" s="150">
        <f t="shared" si="384"/>
        <v>2.3432923257176337</v>
      </c>
      <c r="DG153" s="150">
        <f t="shared" si="385"/>
        <v>0.17108639863130889</v>
      </c>
      <c r="DH153" s="150"/>
      <c r="DI153" s="150">
        <f t="shared" si="386"/>
        <v>2.3432923257176337</v>
      </c>
      <c r="DJ153" s="314">
        <f t="shared" si="387"/>
        <v>275.25374999999997</v>
      </c>
      <c r="DK153" s="456">
        <f t="shared" si="388"/>
        <v>0.17108639863130887</v>
      </c>
      <c r="DM153" s="150">
        <f t="shared" si="389"/>
        <v>11.824188283828558</v>
      </c>
      <c r="DN153" s="150">
        <f t="shared" si="390"/>
        <v>16.68695567272017</v>
      </c>
      <c r="DO153" s="150">
        <f t="shared" si="391"/>
        <v>3.6841646958421013</v>
      </c>
      <c r="DQ153" s="314">
        <f t="shared" si="392"/>
        <v>215</v>
      </c>
      <c r="DR153" s="144">
        <f t="shared" si="393"/>
        <v>175.01363831215681</v>
      </c>
      <c r="DT153">
        <f t="shared" si="430"/>
        <v>215</v>
      </c>
      <c r="DU153">
        <f t="shared" si="431"/>
        <v>175.01363831215681</v>
      </c>
      <c r="DW153" s="5">
        <f t="shared" si="394"/>
        <v>5.7138404163473577</v>
      </c>
      <c r="DX153" s="5">
        <f t="shared" si="395"/>
        <v>2.7811592787866952</v>
      </c>
      <c r="DY153" s="5">
        <f t="shared" si="396"/>
        <v>2.9326811375606625</v>
      </c>
      <c r="DZ153" s="5"/>
      <c r="EA153" s="150">
        <f t="shared" si="397"/>
        <v>0.48674080410607357</v>
      </c>
      <c r="EB153" s="150">
        <f t="shared" si="398"/>
        <v>36.549999999999997</v>
      </c>
      <c r="EC153" s="150">
        <f t="shared" si="399"/>
        <v>0.21411833626244875</v>
      </c>
      <c r="ED153" s="150">
        <f t="shared" si="400"/>
        <v>170.7</v>
      </c>
      <c r="EE153" s="144">
        <f t="shared" si="401"/>
        <v>0.35173484996419968</v>
      </c>
      <c r="EF153" s="5">
        <f t="shared" si="402"/>
        <v>19.849906588489297</v>
      </c>
      <c r="EH153" s="150">
        <f t="shared" si="403"/>
        <v>6.7214869928760299</v>
      </c>
      <c r="EI153" s="150">
        <f t="shared" si="404"/>
        <v>0.34510786651558062</v>
      </c>
      <c r="EK153" s="456">
        <f t="shared" si="405"/>
        <v>0.15360651714436563</v>
      </c>
      <c r="EL153" s="456">
        <f t="shared" si="406"/>
        <v>1.5567839999999999</v>
      </c>
      <c r="EM153" s="456">
        <f t="shared" si="407"/>
        <v>4.0078123173483908E-2</v>
      </c>
      <c r="EN153" s="456">
        <f t="shared" si="408"/>
        <v>3.6861584989740084E-2</v>
      </c>
      <c r="EO153">
        <f t="shared" si="409"/>
        <v>4.0499999999999998E-3</v>
      </c>
      <c r="EP153" s="144">
        <f t="shared" si="410"/>
        <v>44.128123173483907</v>
      </c>
      <c r="EQ153" s="144"/>
      <c r="ER153" s="144">
        <f t="shared" si="432"/>
        <v>1791.3802253075896</v>
      </c>
      <c r="ES153" s="456">
        <f t="shared" si="411"/>
        <v>0.53749999999999998</v>
      </c>
      <c r="EV153" s="144">
        <f t="shared" si="412"/>
        <v>537.5</v>
      </c>
      <c r="EW153" s="456">
        <f t="shared" si="413"/>
        <v>6.7767581093102491E-2</v>
      </c>
      <c r="EX153" s="456">
        <f t="shared" si="414"/>
        <v>2.3819887906187165E-2</v>
      </c>
      <c r="EY153" s="456">
        <f t="shared" si="415"/>
        <v>23.045838725832748</v>
      </c>
      <c r="EZ153" s="456"/>
      <c r="FA153" s="456">
        <f t="shared" si="416"/>
        <v>4.8733333333333337E-2</v>
      </c>
      <c r="FB153" s="144">
        <f t="shared" si="417"/>
        <v>23186.159528165372</v>
      </c>
      <c r="FC153" s="150">
        <f t="shared" si="418"/>
        <v>25.515039753472962</v>
      </c>
      <c r="FD153" s="5">
        <f t="shared" si="419"/>
        <v>36.549999999999997</v>
      </c>
      <c r="FE153" s="150">
        <f t="shared" si="420"/>
        <v>0.588898357999598</v>
      </c>
      <c r="FF153" s="5">
        <f t="shared" si="421"/>
        <v>58.889835799959798</v>
      </c>
      <c r="FI153" s="59">
        <f t="shared" si="422"/>
        <v>-50</v>
      </c>
      <c r="FJ153">
        <f t="shared" si="423"/>
        <v>-50</v>
      </c>
      <c r="FL153">
        <f t="shared" si="476"/>
        <v>0.51325919589392643</v>
      </c>
    </row>
    <row r="154" spans="5:168">
      <c r="E154" s="147">
        <v>44</v>
      </c>
      <c r="F154" s="188">
        <f t="shared" si="477"/>
        <v>0.22</v>
      </c>
      <c r="G154" s="188"/>
      <c r="H154" s="188">
        <f t="shared" si="442"/>
        <v>37.4</v>
      </c>
      <c r="I154" s="465">
        <f t="shared" si="443"/>
        <v>8.95728217915131</v>
      </c>
      <c r="J154" s="149">
        <f t="shared" si="444"/>
        <v>8.5393589613110912</v>
      </c>
      <c r="K154" s="149">
        <f t="shared" si="445"/>
        <v>17.496641140462401</v>
      </c>
      <c r="L154" s="379"/>
      <c r="M154" s="188">
        <f t="shared" si="446"/>
        <v>0.48805491929689765</v>
      </c>
      <c r="N154" s="149">
        <f t="shared" si="447"/>
        <v>146.11496914230364</v>
      </c>
      <c r="O154" s="149">
        <f t="shared" si="438"/>
        <v>37.4</v>
      </c>
      <c r="P154" s="188">
        <f t="shared" si="448"/>
        <v>0.85949981848413903</v>
      </c>
      <c r="Q154" s="188">
        <f t="shared" si="449"/>
        <v>170</v>
      </c>
      <c r="R154" s="188"/>
      <c r="S154" s="149">
        <f t="shared" si="450"/>
        <v>1178.1247017493893</v>
      </c>
      <c r="T154" s="149">
        <f t="shared" si="451"/>
        <v>170</v>
      </c>
      <c r="U154" s="188">
        <f t="shared" si="452"/>
        <v>17.18934380210106</v>
      </c>
      <c r="V154" s="188">
        <f t="shared" si="453"/>
        <v>2.8785534705120335</v>
      </c>
      <c r="W154" s="188">
        <f t="shared" si="454"/>
        <v>3.0194322337273944</v>
      </c>
      <c r="X154" s="172">
        <f t="shared" si="455"/>
        <v>218.58323329453168</v>
      </c>
      <c r="Y154" s="379">
        <f t="shared" si="328"/>
        <v>163.98857729443057</v>
      </c>
      <c r="AA154" s="188">
        <f t="shared" si="456"/>
        <v>13.333333333333334</v>
      </c>
      <c r="AB154" s="150">
        <f t="shared" si="457"/>
        <v>2.3420961796562421</v>
      </c>
      <c r="AC154" s="150">
        <f t="shared" si="458"/>
        <v>0.17064765187867725</v>
      </c>
      <c r="AD154" s="150"/>
      <c r="AE154" s="150">
        <f t="shared" si="459"/>
        <v>2.3420961796562421</v>
      </c>
      <c r="AF154" s="314">
        <f t="shared" si="460"/>
        <v>281.79884572326603</v>
      </c>
      <c r="AG154" s="456">
        <f t="shared" si="461"/>
        <v>0.17064765187867725</v>
      </c>
      <c r="AI154" s="150">
        <f t="shared" si="462"/>
        <v>11.963942562433775</v>
      </c>
      <c r="AJ154" s="150">
        <f t="shared" si="463"/>
        <v>17.18934380210106</v>
      </c>
      <c r="AK154" s="150">
        <f t="shared" si="464"/>
        <v>4.0563040509390564</v>
      </c>
      <c r="AM154" s="314">
        <f t="shared" si="465"/>
        <v>220</v>
      </c>
      <c r="AN154" s="144">
        <f t="shared" si="466"/>
        <v>163.98857729443057</v>
      </c>
      <c r="AP154" s="144">
        <f t="shared" si="467"/>
        <v>220</v>
      </c>
      <c r="AQ154" s="144">
        <f t="shared" si="468"/>
        <v>163.98857729443057</v>
      </c>
      <c r="AS154" s="5">
        <f t="shared" si="439"/>
        <v>6.0979857042394272</v>
      </c>
      <c r="AT154" s="5">
        <f t="shared" si="469"/>
        <v>2.8785534705120335</v>
      </c>
      <c r="AU154" s="5">
        <f t="shared" si="343"/>
        <v>3.2194322337273937</v>
      </c>
      <c r="AV154" s="5"/>
      <c r="AW154" s="150">
        <f t="shared" si="344"/>
        <v>0.47204988829521399</v>
      </c>
      <c r="AX154" s="150">
        <f t="shared" si="435"/>
        <v>36.340714132218906</v>
      </c>
      <c r="AY154" s="150">
        <f t="shared" si="436"/>
        <v>0.22687789951128065</v>
      </c>
      <c r="AZ154" s="150">
        <f t="shared" si="440"/>
        <v>160.1774091284374</v>
      </c>
      <c r="BA154" s="144">
        <f t="shared" si="433"/>
        <v>0.37251868441920438</v>
      </c>
      <c r="BB154" s="5">
        <f t="shared" si="434"/>
        <v>22.403887535897798</v>
      </c>
      <c r="BD154" s="150">
        <f t="shared" si="441"/>
        <v>6.8185592738963212</v>
      </c>
      <c r="BE154" s="150">
        <f t="shared" si="437"/>
        <v>0.36054968292862399</v>
      </c>
      <c r="BG154" s="456">
        <f t="shared" si="347"/>
        <v>0.15807535194356759</v>
      </c>
      <c r="BH154" s="456">
        <f t="shared" si="470"/>
        <v>1.1812262735684109</v>
      </c>
      <c r="BI154" s="456">
        <f t="shared" si="471"/>
        <v>6.727525181305713E-2</v>
      </c>
      <c r="BJ154" s="456">
        <f t="shared" si="350"/>
        <v>3.4388524217911089E-2</v>
      </c>
      <c r="BK154">
        <f t="shared" si="351"/>
        <v>4.0307769806180891E-3</v>
      </c>
      <c r="BL154" s="144">
        <f t="shared" si="427"/>
        <v>71.30602879367521</v>
      </c>
      <c r="BM154" s="456">
        <f t="shared" si="472"/>
        <v>1.471643517464015</v>
      </c>
      <c r="BN154" s="144">
        <f t="shared" si="353"/>
        <v>1471.6435174640151</v>
      </c>
      <c r="BO154" s="456">
        <f t="shared" si="354"/>
        <v>0.55000000000000004</v>
      </c>
      <c r="BR154" s="144">
        <f t="shared" si="355"/>
        <v>550</v>
      </c>
      <c r="BS154" s="456">
        <f t="shared" si="356"/>
        <v>6.9739125857456299E-2</v>
      </c>
      <c r="BT154" s="456">
        <f t="shared" si="357"/>
        <v>2.5999214771986259E-2</v>
      </c>
      <c r="BU154" s="456">
        <f t="shared" si="358"/>
        <v>21.093674713909216</v>
      </c>
      <c r="BV154" s="456"/>
      <c r="BW154" s="456">
        <f t="shared" si="359"/>
        <v>4.8454285509625203E-2</v>
      </c>
      <c r="BX154" s="144">
        <f t="shared" si="360"/>
        <v>21237.867340048284</v>
      </c>
      <c r="BY154" s="150">
        <f t="shared" si="361"/>
        <v>23.232863518571847</v>
      </c>
      <c r="BZ154" s="5">
        <f t="shared" si="362"/>
        <v>37.4</v>
      </c>
      <c r="CA154" s="150">
        <f t="shared" si="363"/>
        <v>0.61682720936550162</v>
      </c>
      <c r="CB154" s="5">
        <f t="shared" si="364"/>
        <v>61.682720936550162</v>
      </c>
      <c r="CE154" s="59">
        <f t="shared" si="473"/>
        <v>-50</v>
      </c>
      <c r="CF154">
        <f t="shared" si="474"/>
        <v>-50</v>
      </c>
      <c r="CG154" s="150">
        <f t="shared" si="475"/>
        <v>0.50470739311276436</v>
      </c>
      <c r="CI154" s="147">
        <v>44</v>
      </c>
      <c r="CJ154" s="188">
        <f t="shared" si="428"/>
        <v>0.22</v>
      </c>
      <c r="CK154" s="188"/>
      <c r="CL154" s="188">
        <f t="shared" si="368"/>
        <v>37.4</v>
      </c>
      <c r="CM154" s="465">
        <f t="shared" si="369"/>
        <v>9</v>
      </c>
      <c r="CN154" s="379">
        <f t="shared" si="370"/>
        <v>8.5350000000000001</v>
      </c>
      <c r="CO154" s="379">
        <f t="shared" si="371"/>
        <v>17.535</v>
      </c>
      <c r="CP154" s="379"/>
      <c r="CQ154" s="188">
        <f t="shared" si="372"/>
        <v>0.48674080410607357</v>
      </c>
      <c r="CR154" s="149">
        <f t="shared" si="429"/>
        <v>146.41650128314802</v>
      </c>
      <c r="CS154" s="149">
        <f t="shared" si="373"/>
        <v>37.4</v>
      </c>
      <c r="CT154" s="188">
        <f t="shared" si="374"/>
        <v>0.86127353695969422</v>
      </c>
      <c r="CU154" s="188">
        <f t="shared" si="375"/>
        <v>170</v>
      </c>
      <c r="CV154" s="188"/>
      <c r="CW154" s="149">
        <f t="shared" si="376"/>
        <v>1183.7427427760636</v>
      </c>
      <c r="CX154" s="149">
        <f t="shared" si="377"/>
        <v>170</v>
      </c>
      <c r="CY154" s="188">
        <f t="shared" si="378"/>
        <v>17.075024409295061</v>
      </c>
      <c r="CZ154" s="188">
        <f t="shared" si="379"/>
        <v>2.845837401549177</v>
      </c>
      <c r="DA154" s="188">
        <f t="shared" si="380"/>
        <v>3.0008830244806788</v>
      </c>
      <c r="DB154" s="172">
        <f t="shared" si="381"/>
        <v>219.03336184773312</v>
      </c>
      <c r="DC154" s="379">
        <f t="shared" si="382"/>
        <v>171.03605562324412</v>
      </c>
      <c r="DE154" s="188">
        <f t="shared" si="383"/>
        <v>13.333333333333334</v>
      </c>
      <c r="DF154" s="150">
        <f t="shared" si="384"/>
        <v>2.3432923257176337</v>
      </c>
      <c r="DG154" s="150">
        <f t="shared" si="385"/>
        <v>0.17108639863130889</v>
      </c>
      <c r="DH154" s="150"/>
      <c r="DI154" s="150">
        <f t="shared" si="386"/>
        <v>2.3432923257176337</v>
      </c>
      <c r="DJ154" s="314">
        <f t="shared" si="387"/>
        <v>281.65499999999992</v>
      </c>
      <c r="DK154" s="456">
        <f t="shared" si="388"/>
        <v>0.17108639863130887</v>
      </c>
      <c r="DM154" s="150">
        <f t="shared" si="389"/>
        <v>11.960888643527166</v>
      </c>
      <c r="DN154" s="150">
        <f t="shared" si="390"/>
        <v>17.075024409295061</v>
      </c>
      <c r="DO154" s="150">
        <f t="shared" si="391"/>
        <v>3.9716230192309085</v>
      </c>
      <c r="DQ154" s="314">
        <f t="shared" si="392"/>
        <v>220</v>
      </c>
      <c r="DR154" s="144">
        <f t="shared" si="393"/>
        <v>171.03605562324412</v>
      </c>
      <c r="DT154">
        <f t="shared" si="430"/>
        <v>220</v>
      </c>
      <c r="DU154">
        <f t="shared" si="431"/>
        <v>171.03605562324412</v>
      </c>
      <c r="DW154" s="5">
        <f t="shared" si="394"/>
        <v>5.8467204260298562</v>
      </c>
      <c r="DX154" s="5">
        <f t="shared" si="395"/>
        <v>2.845837401549177</v>
      </c>
      <c r="DY154" s="5">
        <f t="shared" si="396"/>
        <v>3.0008830244806792</v>
      </c>
      <c r="DZ154" s="5"/>
      <c r="EA154" s="150">
        <f t="shared" si="397"/>
        <v>0.48674080410607351</v>
      </c>
      <c r="EB154" s="150">
        <f t="shared" si="398"/>
        <v>37.400000000000006</v>
      </c>
      <c r="EC154" s="150">
        <f t="shared" si="399"/>
        <v>0.21909783245459877</v>
      </c>
      <c r="ED154" s="150">
        <f t="shared" si="400"/>
        <v>170.7</v>
      </c>
      <c r="EE154" s="144">
        <f t="shared" si="401"/>
        <v>0.36828484020048169</v>
      </c>
      <c r="EF154" s="5">
        <f t="shared" si="402"/>
        <v>20.783893539921735</v>
      </c>
      <c r="EH154" s="150">
        <f t="shared" si="403"/>
        <v>6.8778006438731465</v>
      </c>
      <c r="EI154" s="150">
        <f t="shared" si="404"/>
        <v>0.3531336308531523</v>
      </c>
      <c r="EK154" s="456">
        <f t="shared" si="405"/>
        <v>0.16083408176933034</v>
      </c>
      <c r="EL154" s="456">
        <f t="shared" si="406"/>
        <v>1.5567839999999999</v>
      </c>
      <c r="EM154" s="456">
        <f t="shared" si="407"/>
        <v>3.9167256737722908E-2</v>
      </c>
      <c r="EN154" s="456">
        <f t="shared" si="408"/>
        <v>3.6023821694518711E-2</v>
      </c>
      <c r="EO154">
        <f t="shared" si="409"/>
        <v>4.0499999999999998E-3</v>
      </c>
      <c r="EP154" s="144">
        <f t="shared" si="410"/>
        <v>43.217256737722906</v>
      </c>
      <c r="EQ154" s="144"/>
      <c r="ER154" s="144">
        <f t="shared" si="432"/>
        <v>1796.859160201572</v>
      </c>
      <c r="ES154" s="456">
        <f t="shared" si="411"/>
        <v>0.55000000000000004</v>
      </c>
      <c r="EV154" s="144">
        <f t="shared" si="412"/>
        <v>550</v>
      </c>
      <c r="EW154" s="456">
        <f t="shared" si="413"/>
        <v>7.0956212545292802E-2</v>
      </c>
      <c r="EX154" s="456">
        <f t="shared" si="414"/>
        <v>2.4940672247906089E-2</v>
      </c>
      <c r="EY154" s="456">
        <f t="shared" si="415"/>
        <v>23.045838725832748</v>
      </c>
      <c r="EZ154" s="456"/>
      <c r="FA154" s="456">
        <f t="shared" si="416"/>
        <v>4.9866666666666677E-2</v>
      </c>
      <c r="FB154" s="144">
        <f t="shared" si="417"/>
        <v>23191.602277292612</v>
      </c>
      <c r="FC154" s="150">
        <f t="shared" si="418"/>
        <v>25.538461437494185</v>
      </c>
      <c r="FD154" s="5">
        <f t="shared" si="419"/>
        <v>37.4</v>
      </c>
      <c r="FE154" s="150">
        <f t="shared" si="420"/>
        <v>0.59423124025907281</v>
      </c>
      <c r="FF154" s="5">
        <f t="shared" si="421"/>
        <v>59.423124025907285</v>
      </c>
      <c r="FI154" s="59">
        <f t="shared" si="422"/>
        <v>-50</v>
      </c>
      <c r="FJ154">
        <f t="shared" si="423"/>
        <v>-50</v>
      </c>
      <c r="FL154">
        <f t="shared" si="476"/>
        <v>0.51325919589392655</v>
      </c>
    </row>
    <row r="155" spans="5:168">
      <c r="E155" s="147">
        <v>45</v>
      </c>
      <c r="F155" s="188">
        <f t="shared" si="477"/>
        <v>0.22500000000000001</v>
      </c>
      <c r="G155" s="188"/>
      <c r="H155" s="188">
        <f t="shared" si="442"/>
        <v>38.25</v>
      </c>
      <c r="I155" s="465">
        <f t="shared" si="443"/>
        <v>8.9563277637175549</v>
      </c>
      <c r="J155" s="149">
        <f t="shared" si="444"/>
        <v>8.5394563506410659</v>
      </c>
      <c r="K155" s="149">
        <f t="shared" si="445"/>
        <v>17.495784114358621</v>
      </c>
      <c r="L155" s="379"/>
      <c r="M155" s="188">
        <f t="shared" si="446"/>
        <v>0.48808439389873776</v>
      </c>
      <c r="N155" s="149">
        <f t="shared" si="447"/>
        <v>146.10822354648082</v>
      </c>
      <c r="O155" s="149">
        <f t="shared" si="438"/>
        <v>38.25</v>
      </c>
      <c r="P155" s="188">
        <f t="shared" si="448"/>
        <v>0.85946013850871072</v>
      </c>
      <c r="Q155" s="188">
        <f t="shared" si="449"/>
        <v>170</v>
      </c>
      <c r="R155" s="188"/>
      <c r="S155" s="149">
        <f t="shared" si="450"/>
        <v>1147.8459887155645</v>
      </c>
      <c r="T155" s="149">
        <f t="shared" si="451"/>
        <v>170</v>
      </c>
      <c r="U155" s="188">
        <f t="shared" si="452"/>
        <v>17.581022912240936</v>
      </c>
      <c r="V155" s="188">
        <f t="shared" si="453"/>
        <v>2.9444583834005669</v>
      </c>
      <c r="W155" s="188">
        <f t="shared" si="454"/>
        <v>3.0881982746339194</v>
      </c>
      <c r="X155" s="172">
        <f t="shared" si="455"/>
        <v>218.57314167912199</v>
      </c>
      <c r="Y155" s="379">
        <f t="shared" si="328"/>
        <v>160.44522502469391</v>
      </c>
      <c r="AA155" s="188">
        <f t="shared" si="456"/>
        <v>13.333333333333334</v>
      </c>
      <c r="AB155" s="150">
        <f t="shared" si="457"/>
        <v>2.3420694689186603</v>
      </c>
      <c r="AC155" s="150">
        <f t="shared" si="458"/>
        <v>0.17063782728410146</v>
      </c>
      <c r="AD155" s="150"/>
      <c r="AE155" s="150">
        <f t="shared" si="459"/>
        <v>2.3420694689186603</v>
      </c>
      <c r="AF155" s="314">
        <f t="shared" si="460"/>
        <v>288.20665183413587</v>
      </c>
      <c r="AG155" s="456">
        <f t="shared" si="461"/>
        <v>0.17063782728410148</v>
      </c>
      <c r="AI155" s="150">
        <f t="shared" si="462"/>
        <v>12.099201638815016</v>
      </c>
      <c r="AJ155" s="150">
        <f t="shared" si="463"/>
        <v>17.581022912240936</v>
      </c>
      <c r="AK155" s="150">
        <f t="shared" si="464"/>
        <v>4.3464367251167424</v>
      </c>
      <c r="AM155" s="314">
        <f t="shared" si="465"/>
        <v>225</v>
      </c>
      <c r="AN155" s="144">
        <f t="shared" si="466"/>
        <v>160.44522502469391</v>
      </c>
      <c r="AP155" s="144">
        <f t="shared" si="467"/>
        <v>225</v>
      </c>
      <c r="AQ155" s="144">
        <f t="shared" si="468"/>
        <v>160.44522502469391</v>
      </c>
      <c r="AS155" s="5">
        <f t="shared" si="439"/>
        <v>6.2326566580344869</v>
      </c>
      <c r="AT155" s="5">
        <f t="shared" si="469"/>
        <v>2.9444583834005669</v>
      </c>
      <c r="AU155" s="5">
        <f t="shared" si="343"/>
        <v>3.28819827463392</v>
      </c>
      <c r="AV155" s="5"/>
      <c r="AW155" s="150">
        <f t="shared" si="344"/>
        <v>0.47242428790055041</v>
      </c>
      <c r="AX155" s="150">
        <f t="shared" si="435"/>
        <v>37.194295739316637</v>
      </c>
      <c r="AY155" s="150">
        <f t="shared" si="436"/>
        <v>0.23188301705905628</v>
      </c>
      <c r="AZ155" s="150">
        <f t="shared" si="440"/>
        <v>160.40112040565671</v>
      </c>
      <c r="BA155" s="144">
        <f t="shared" si="433"/>
        <v>0.38970772721478097</v>
      </c>
      <c r="BB155" s="5">
        <f t="shared" si="434"/>
        <v>23.404976407529674</v>
      </c>
      <c r="BD155" s="150">
        <f t="shared" si="441"/>
        <v>6.9766931327515476</v>
      </c>
      <c r="BE155" s="150">
        <f t="shared" si="437"/>
        <v>0.36863444566285558</v>
      </c>
      <c r="BG155" s="456">
        <f t="shared" si="347"/>
        <v>0.16549244003318084</v>
      </c>
      <c r="BH155" s="456">
        <f t="shared" si="470"/>
        <v>1.1819792856078688</v>
      </c>
      <c r="BI155" s="456">
        <f t="shared" si="471"/>
        <v>6.5814601073761608E-2</v>
      </c>
      <c r="BJ155" s="456">
        <f t="shared" si="350"/>
        <v>3.364218467680697E-2</v>
      </c>
      <c r="BK155">
        <f t="shared" si="351"/>
        <v>4.0303474936728995E-3</v>
      </c>
      <c r="BL155" s="144">
        <f t="shared" si="427"/>
        <v>69.8449485674345</v>
      </c>
      <c r="BM155" s="456">
        <f t="shared" si="472"/>
        <v>1.4841553470984521</v>
      </c>
      <c r="BN155" s="144">
        <f t="shared" si="353"/>
        <v>1484.155347098452</v>
      </c>
      <c r="BO155" s="456">
        <f t="shared" si="354"/>
        <v>0.5625</v>
      </c>
      <c r="BR155" s="144">
        <f t="shared" si="355"/>
        <v>562.5</v>
      </c>
      <c r="BS155" s="456">
        <f t="shared" si="356"/>
        <v>7.301137060287391E-2</v>
      </c>
      <c r="BT155" s="456">
        <f t="shared" si="357"/>
        <v>2.7178270905832164E-2</v>
      </c>
      <c r="BU155" s="456">
        <f t="shared" si="358"/>
        <v>21.129895335823875</v>
      </c>
      <c r="BV155" s="456"/>
      <c r="BW155" s="456">
        <f t="shared" si="359"/>
        <v>4.9592394319088844E-2</v>
      </c>
      <c r="BX155" s="144">
        <f t="shared" si="360"/>
        <v>21279.677371651669</v>
      </c>
      <c r="BY155" s="150">
        <f t="shared" si="361"/>
        <v>23.293136230536959</v>
      </c>
      <c r="BZ155" s="5">
        <f t="shared" si="362"/>
        <v>38.25</v>
      </c>
      <c r="CA155" s="150">
        <f t="shared" si="363"/>
        <v>0.62151528737043482</v>
      </c>
      <c r="CB155" s="5">
        <f t="shared" si="364"/>
        <v>62.151528737043485</v>
      </c>
      <c r="CE155" s="59">
        <f t="shared" si="473"/>
        <v>-50</v>
      </c>
      <c r="CF155">
        <f t="shared" si="474"/>
        <v>-50</v>
      </c>
      <c r="CG155" s="150">
        <f t="shared" si="475"/>
        <v>0.50489743317456792</v>
      </c>
      <c r="CI155" s="147">
        <v>45</v>
      </c>
      <c r="CJ155" s="188">
        <f t="shared" si="428"/>
        <v>0.22500000000000001</v>
      </c>
      <c r="CK155" s="188"/>
      <c r="CL155" s="188">
        <f t="shared" si="368"/>
        <v>38.25</v>
      </c>
      <c r="CM155" s="465">
        <f t="shared" si="369"/>
        <v>9</v>
      </c>
      <c r="CN155" s="379">
        <f t="shared" si="370"/>
        <v>8.5350000000000001</v>
      </c>
      <c r="CO155" s="379">
        <f t="shared" si="371"/>
        <v>17.535</v>
      </c>
      <c r="CP155" s="379"/>
      <c r="CQ155" s="188">
        <f t="shared" si="372"/>
        <v>0.48674080410607357</v>
      </c>
      <c r="CR155" s="149">
        <f t="shared" si="429"/>
        <v>146.41650128314802</v>
      </c>
      <c r="CS155" s="149">
        <f t="shared" si="373"/>
        <v>38.25</v>
      </c>
      <c r="CT155" s="188">
        <f t="shared" si="374"/>
        <v>0.86127353695969422</v>
      </c>
      <c r="CU155" s="188">
        <f t="shared" si="375"/>
        <v>170</v>
      </c>
      <c r="CV155" s="188"/>
      <c r="CW155" s="149">
        <f t="shared" si="376"/>
        <v>1153.4425052938341</v>
      </c>
      <c r="CX155" s="149">
        <f t="shared" si="377"/>
        <v>170</v>
      </c>
      <c r="CY155" s="188">
        <f t="shared" si="378"/>
        <v>17.463093145869948</v>
      </c>
      <c r="CZ155" s="188">
        <f t="shared" si="379"/>
        <v>2.9105155243116578</v>
      </c>
      <c r="DA155" s="188">
        <f t="shared" si="380"/>
        <v>3.0690849114006942</v>
      </c>
      <c r="DB155" s="172">
        <f t="shared" si="381"/>
        <v>219.03336184773312</v>
      </c>
      <c r="DC155" s="379">
        <f t="shared" si="382"/>
        <v>167.23525438717203</v>
      </c>
      <c r="DE155" s="188">
        <f t="shared" si="383"/>
        <v>13.333333333333334</v>
      </c>
      <c r="DF155" s="150">
        <f t="shared" si="384"/>
        <v>2.3432923257176337</v>
      </c>
      <c r="DG155" s="150">
        <f t="shared" si="385"/>
        <v>0.17108639863130889</v>
      </c>
      <c r="DH155" s="150"/>
      <c r="DI155" s="150">
        <f t="shared" si="386"/>
        <v>2.3432923257176337</v>
      </c>
      <c r="DJ155" s="314">
        <f t="shared" si="387"/>
        <v>288.05624999999992</v>
      </c>
      <c r="DK155" s="456">
        <f t="shared" si="388"/>
        <v>0.17108639863130887</v>
      </c>
      <c r="DM155" s="150">
        <f t="shared" si="389"/>
        <v>12.096044217606254</v>
      </c>
      <c r="DN155" s="150">
        <f t="shared" si="390"/>
        <v>17.463093145869948</v>
      </c>
      <c r="DO155" s="150">
        <f t="shared" si="391"/>
        <v>4.2590813426197141</v>
      </c>
      <c r="DQ155" s="314">
        <f t="shared" si="392"/>
        <v>225</v>
      </c>
      <c r="DR155" s="144">
        <f t="shared" si="393"/>
        <v>167.23525438717203</v>
      </c>
      <c r="DT155">
        <f t="shared" si="430"/>
        <v>225</v>
      </c>
      <c r="DU155">
        <f t="shared" si="431"/>
        <v>167.23525438717203</v>
      </c>
      <c r="DW155" s="5">
        <f t="shared" si="394"/>
        <v>5.979600435712352</v>
      </c>
      <c r="DX155" s="5">
        <f t="shared" si="395"/>
        <v>2.9105155243116578</v>
      </c>
      <c r="DY155" s="5">
        <f t="shared" si="396"/>
        <v>3.0690849114006942</v>
      </c>
      <c r="DZ155" s="5"/>
      <c r="EA155" s="150">
        <f t="shared" si="397"/>
        <v>0.48674080410607351</v>
      </c>
      <c r="EB155" s="150">
        <f t="shared" si="398"/>
        <v>38.25</v>
      </c>
      <c r="EC155" s="150">
        <f t="shared" si="399"/>
        <v>0.22407732864674873</v>
      </c>
      <c r="ED155" s="150">
        <f t="shared" si="400"/>
        <v>170.69999999999996</v>
      </c>
      <c r="EE155" s="144">
        <f t="shared" si="401"/>
        <v>0.38521528998242532</v>
      </c>
      <c r="EF155" s="5">
        <f t="shared" si="402"/>
        <v>21.739351455754914</v>
      </c>
      <c r="EH155" s="150">
        <f t="shared" si="403"/>
        <v>7.0341142948702631</v>
      </c>
      <c r="EI155" s="150">
        <f t="shared" si="404"/>
        <v>0.36115939519072393</v>
      </c>
      <c r="EK155" s="456">
        <f t="shared" si="405"/>
        <v>0.16822779730521381</v>
      </c>
      <c r="EL155" s="456">
        <f t="shared" si="406"/>
        <v>1.5567839999999997</v>
      </c>
      <c r="EM155" s="456">
        <f t="shared" si="407"/>
        <v>3.8296873254662397E-2</v>
      </c>
      <c r="EN155" s="456">
        <f t="shared" si="408"/>
        <v>3.5223292323529408E-2</v>
      </c>
      <c r="EO155">
        <f t="shared" si="409"/>
        <v>4.0499999999999998E-3</v>
      </c>
      <c r="EP155" s="144">
        <f t="shared" si="410"/>
        <v>42.346873254662398</v>
      </c>
      <c r="EQ155" s="144"/>
      <c r="ER155" s="144">
        <f t="shared" si="432"/>
        <v>1802.5819628834054</v>
      </c>
      <c r="ES155" s="456">
        <f t="shared" si="411"/>
        <v>0.5625</v>
      </c>
      <c r="EV155" s="144">
        <f t="shared" si="412"/>
        <v>562.5</v>
      </c>
      <c r="EW155" s="456">
        <f t="shared" si="413"/>
        <v>7.4218145869947266E-2</v>
      </c>
      <c r="EX155" s="456">
        <f t="shared" si="414"/>
        <v>2.6087221746905906E-2</v>
      </c>
      <c r="EY155" s="456">
        <f t="shared" si="415"/>
        <v>23.04583872583277</v>
      </c>
      <c r="EZ155" s="456"/>
      <c r="FA155" s="456">
        <f t="shared" si="416"/>
        <v>5.0999999999999997E-2</v>
      </c>
      <c r="FB155" s="144">
        <f t="shared" si="417"/>
        <v>23197.144093449624</v>
      </c>
      <c r="FC155" s="150">
        <f t="shared" si="418"/>
        <v>25.562226056333028</v>
      </c>
      <c r="FD155" s="5">
        <f t="shared" si="419"/>
        <v>38.25</v>
      </c>
      <c r="FE155" s="150">
        <f t="shared" si="420"/>
        <v>0.59941491409864223</v>
      </c>
      <c r="FF155" s="5">
        <f t="shared" si="421"/>
        <v>59.94149140986422</v>
      </c>
      <c r="FI155" s="59">
        <f t="shared" si="422"/>
        <v>-50</v>
      </c>
      <c r="FJ155">
        <f t="shared" si="423"/>
        <v>-50</v>
      </c>
      <c r="FL155">
        <f t="shared" si="476"/>
        <v>0.51325919589392655</v>
      </c>
    </row>
    <row r="156" spans="5:168" s="59" customFormat="1">
      <c r="E156" s="147">
        <v>46</v>
      </c>
      <c r="F156" s="188">
        <f t="shared" si="477"/>
        <v>0.23</v>
      </c>
      <c r="G156" s="188"/>
      <c r="H156" s="188">
        <f t="shared" si="442"/>
        <v>39.1</v>
      </c>
      <c r="I156" s="465">
        <f t="shared" si="443"/>
        <v>8.955373336447348</v>
      </c>
      <c r="J156" s="149">
        <f t="shared" si="444"/>
        <v>8.5395537411788407</v>
      </c>
      <c r="K156" s="149">
        <f t="shared" si="445"/>
        <v>17.494927077626187</v>
      </c>
      <c r="L156" s="379"/>
      <c r="M156" s="188">
        <f t="shared" si="446"/>
        <v>0.48811387171849152</v>
      </c>
      <c r="N156" s="149">
        <f t="shared" si="447"/>
        <v>146.10147684026978</v>
      </c>
      <c r="O156" s="149">
        <f t="shared" si="438"/>
        <v>39.1</v>
      </c>
      <c r="P156" s="188">
        <f t="shared" si="448"/>
        <v>0.85942045200158701</v>
      </c>
      <c r="Q156" s="188">
        <f t="shared" si="449"/>
        <v>170</v>
      </c>
      <c r="R156" s="188"/>
      <c r="S156" s="149">
        <f t="shared" si="450"/>
        <v>1118.8847106486674</v>
      </c>
      <c r="T156" s="149">
        <f t="shared" si="451"/>
        <v>170</v>
      </c>
      <c r="U156" s="188">
        <f t="shared" si="452"/>
        <v>17.972747241434359</v>
      </c>
      <c r="V156" s="188">
        <f t="shared" si="453"/>
        <v>3.0103849219139747</v>
      </c>
      <c r="W156" s="188">
        <f t="shared" si="454"/>
        <v>3.1569706894812484</v>
      </c>
      <c r="X156" s="172">
        <f t="shared" si="455"/>
        <v>218.56304841851542</v>
      </c>
      <c r="Y156" s="379">
        <f t="shared" si="328"/>
        <v>157.05106814049589</v>
      </c>
      <c r="AA156" s="188">
        <f t="shared" si="456"/>
        <v>13.333333333333334</v>
      </c>
      <c r="AB156" s="462">
        <f t="shared" si="457"/>
        <v>2.3420427584590744</v>
      </c>
      <c r="AC156" s="462">
        <f t="shared" si="458"/>
        <v>0.17062800160510805</v>
      </c>
      <c r="AD156" s="462"/>
      <c r="AE156" s="462">
        <f t="shared" si="459"/>
        <v>2.3420427584590744</v>
      </c>
      <c r="AF156" s="314">
        <f t="shared" si="460"/>
        <v>294.61460407067</v>
      </c>
      <c r="AG156" s="497">
        <f t="shared" si="461"/>
        <v>0.17062800160510805</v>
      </c>
      <c r="AI156" s="462">
        <f t="shared" si="462"/>
        <v>12.232968289779592</v>
      </c>
      <c r="AJ156" s="462">
        <f t="shared" si="463"/>
        <v>17.972747241434359</v>
      </c>
      <c r="AK156" s="462">
        <f t="shared" si="464"/>
        <v>4.6366028948896476</v>
      </c>
      <c r="AM156" s="484">
        <f t="shared" si="465"/>
        <v>230</v>
      </c>
      <c r="AN156" s="485">
        <f t="shared" si="466"/>
        <v>157.05106814049589</v>
      </c>
      <c r="AP156" s="59">
        <f t="shared" si="467"/>
        <v>230</v>
      </c>
      <c r="AQ156" s="59">
        <f t="shared" si="468"/>
        <v>157.05106814049589</v>
      </c>
      <c r="AS156" s="167">
        <f t="shared" si="439"/>
        <v>6.3673556113952223</v>
      </c>
      <c r="AT156" s="5">
        <f t="shared" si="469"/>
        <v>3.0103849219139747</v>
      </c>
      <c r="AU156" s="5">
        <f t="shared" si="343"/>
        <v>3.3569706894812477</v>
      </c>
      <c r="AV156" s="5"/>
      <c r="AW156" s="150">
        <f t="shared" si="344"/>
        <v>0.47278416750063307</v>
      </c>
      <c r="AX156" s="150">
        <f t="shared" si="435"/>
        <v>38.047935020277507</v>
      </c>
      <c r="AY156" s="150">
        <f t="shared" si="436"/>
        <v>0.23688792247983792</v>
      </c>
      <c r="AZ156" s="150">
        <f t="shared" si="440"/>
        <v>160.61576555687788</v>
      </c>
      <c r="BA156" s="144">
        <f t="shared" si="433"/>
        <v>0.40728737178836133</v>
      </c>
      <c r="BB156" s="5">
        <f t="shared" si="434"/>
        <v>24.428081522950677</v>
      </c>
      <c r="BD156" s="150">
        <f t="shared" si="441"/>
        <v>7.1348574663021234</v>
      </c>
      <c r="BE156" s="150">
        <f t="shared" si="437"/>
        <v>0.37671946924639749</v>
      </c>
      <c r="BG156" s="456">
        <f t="shared" si="347"/>
        <v>0.17308104961912033</v>
      </c>
      <c r="BH156" s="456">
        <f t="shared" si="470"/>
        <v>1.1826956936986959</v>
      </c>
      <c r="BI156" s="456">
        <f t="shared" si="471"/>
        <v>6.4415453422337537E-2</v>
      </c>
      <c r="BJ156" s="456">
        <f t="shared" si="350"/>
        <v>3.2927271085509205E-2</v>
      </c>
      <c r="BK156">
        <f t="shared" si="351"/>
        <v>4.0299180014013065E-3</v>
      </c>
      <c r="BL156" s="144">
        <f t="shared" si="427"/>
        <v>68.445371423738834</v>
      </c>
      <c r="BM156" s="456">
        <f t="shared" si="472"/>
        <v>1.4969985521720126</v>
      </c>
      <c r="BN156" s="144">
        <f t="shared" si="353"/>
        <v>1496.9985521720125</v>
      </c>
      <c r="BO156" s="456">
        <f t="shared" si="354"/>
        <v>0.57500000000000007</v>
      </c>
      <c r="BR156" s="144">
        <f t="shared" si="355"/>
        <v>575.00000000000011</v>
      </c>
      <c r="BS156" s="456">
        <f t="shared" si="356"/>
        <v>7.6359286596670739E-2</v>
      </c>
      <c r="BT156" s="456">
        <f t="shared" si="357"/>
        <v>2.8383511701857485E-2</v>
      </c>
      <c r="BU156" s="456">
        <f t="shared" si="358"/>
        <v>21.164519214723775</v>
      </c>
      <c r="BV156" s="456"/>
      <c r="BW156" s="456">
        <f t="shared" si="359"/>
        <v>5.0730580027036676E-2</v>
      </c>
      <c r="BX156" s="144">
        <f t="shared" si="360"/>
        <v>21319.992593049337</v>
      </c>
      <c r="BY156" s="150">
        <f t="shared" si="361"/>
        <v>23.352141978876404</v>
      </c>
      <c r="BZ156" s="5">
        <f t="shared" si="362"/>
        <v>39.1</v>
      </c>
      <c r="CA156" s="150">
        <f t="shared" si="363"/>
        <v>0.62607940674356777</v>
      </c>
      <c r="CB156" s="5">
        <f t="shared" si="364"/>
        <v>62.607940674356776</v>
      </c>
      <c r="CE156" s="59">
        <f t="shared" si="473"/>
        <v>-50</v>
      </c>
      <c r="CF156">
        <f t="shared" si="474"/>
        <v>-50</v>
      </c>
      <c r="CG156" s="150">
        <f t="shared" si="475"/>
        <v>0.50507921062498862</v>
      </c>
      <c r="CH156"/>
      <c r="CI156" s="147">
        <v>46</v>
      </c>
      <c r="CJ156" s="188">
        <f t="shared" si="428"/>
        <v>0.23</v>
      </c>
      <c r="CK156" s="188"/>
      <c r="CL156" s="188">
        <f t="shared" si="368"/>
        <v>39.1</v>
      </c>
      <c r="CM156" s="465">
        <f t="shared" si="369"/>
        <v>9</v>
      </c>
      <c r="CN156" s="379">
        <f t="shared" si="370"/>
        <v>8.5350000000000001</v>
      </c>
      <c r="CO156" s="379">
        <f t="shared" si="371"/>
        <v>17.535</v>
      </c>
      <c r="CP156" s="379"/>
      <c r="CQ156" s="188">
        <f t="shared" si="372"/>
        <v>0.48674080410607357</v>
      </c>
      <c r="CR156" s="149">
        <f t="shared" si="429"/>
        <v>146.41650128314802</v>
      </c>
      <c r="CS156" s="149">
        <f t="shared" si="373"/>
        <v>39.1</v>
      </c>
      <c r="CT156" s="188">
        <f t="shared" si="374"/>
        <v>0.86127353695969422</v>
      </c>
      <c r="CU156" s="188">
        <f t="shared" si="375"/>
        <v>170</v>
      </c>
      <c r="CV156" s="188"/>
      <c r="CW156" s="149">
        <f t="shared" si="376"/>
        <v>1124.4598101792253</v>
      </c>
      <c r="CX156" s="149">
        <f t="shared" si="377"/>
        <v>170</v>
      </c>
      <c r="CY156" s="188">
        <f t="shared" si="378"/>
        <v>17.851161882444835</v>
      </c>
      <c r="CZ156" s="188">
        <f t="shared" si="379"/>
        <v>2.9751936470741396</v>
      </c>
      <c r="DA156" s="188">
        <f t="shared" si="380"/>
        <v>3.1372867983207091</v>
      </c>
      <c r="DB156" s="172">
        <f t="shared" si="381"/>
        <v>219.03336184773312</v>
      </c>
      <c r="DC156" s="379">
        <f t="shared" si="382"/>
        <v>163.59970537875526</v>
      </c>
      <c r="DE156" s="188">
        <f t="shared" si="383"/>
        <v>13.333333333333334</v>
      </c>
      <c r="DF156" s="462">
        <f t="shared" si="384"/>
        <v>2.3432923257176337</v>
      </c>
      <c r="DG156" s="462">
        <f t="shared" si="385"/>
        <v>0.17108639863130889</v>
      </c>
      <c r="DH156" s="462"/>
      <c r="DI156" s="462">
        <f t="shared" si="386"/>
        <v>2.3432923257176337</v>
      </c>
      <c r="DJ156" s="314">
        <f t="shared" si="387"/>
        <v>294.45749999999992</v>
      </c>
      <c r="DK156" s="497">
        <f t="shared" si="388"/>
        <v>0.17108639863130887</v>
      </c>
      <c r="DM156" s="462">
        <f t="shared" si="389"/>
        <v>12.229706222379763</v>
      </c>
      <c r="DN156" s="462">
        <f t="shared" si="390"/>
        <v>17.851161882444835</v>
      </c>
      <c r="DO156" s="462">
        <f t="shared" si="391"/>
        <v>4.5465396660085196</v>
      </c>
      <c r="DQ156" s="484">
        <f t="shared" si="392"/>
        <v>230</v>
      </c>
      <c r="DR156" s="485">
        <f t="shared" si="393"/>
        <v>163.59970537875526</v>
      </c>
      <c r="DT156">
        <f t="shared" si="430"/>
        <v>230</v>
      </c>
      <c r="DU156">
        <f t="shared" si="431"/>
        <v>163.59970537875526</v>
      </c>
      <c r="DW156" s="167">
        <f t="shared" si="394"/>
        <v>6.1124804453948487</v>
      </c>
      <c r="DX156" s="5">
        <f t="shared" si="395"/>
        <v>2.9751936470741396</v>
      </c>
      <c r="DY156" s="5">
        <f t="shared" si="396"/>
        <v>3.1372867983207091</v>
      </c>
      <c r="DZ156" s="5"/>
      <c r="EA156" s="150">
        <f t="shared" si="397"/>
        <v>0.48674080410607362</v>
      </c>
      <c r="EB156" s="150">
        <f t="shared" si="398"/>
        <v>39.099999999999994</v>
      </c>
      <c r="EC156" s="150">
        <f t="shared" si="399"/>
        <v>0.22905682483889861</v>
      </c>
      <c r="ED156" s="150">
        <f t="shared" si="400"/>
        <v>170.70000000000002</v>
      </c>
      <c r="EE156" s="144">
        <f t="shared" si="401"/>
        <v>0.40252619931003064</v>
      </c>
      <c r="EF156" s="5">
        <f t="shared" si="402"/>
        <v>22.716280335988838</v>
      </c>
      <c r="EH156" s="150">
        <f t="shared" si="403"/>
        <v>7.1904279458673814</v>
      </c>
      <c r="EI156" s="150">
        <f t="shared" si="404"/>
        <v>0.3691851595282955</v>
      </c>
      <c r="EK156" s="456">
        <f t="shared" si="405"/>
        <v>0.17578766375201607</v>
      </c>
      <c r="EL156" s="456">
        <f t="shared" si="406"/>
        <v>1.5567839999999999</v>
      </c>
      <c r="EM156" s="456">
        <f t="shared" si="407"/>
        <v>3.7464332531734958E-2</v>
      </c>
      <c r="EN156" s="456">
        <f t="shared" si="408"/>
        <v>3.4457568577365733E-2</v>
      </c>
      <c r="EO156">
        <f t="shared" si="409"/>
        <v>4.0499999999999998E-3</v>
      </c>
      <c r="EP156" s="144">
        <f t="shared" si="410"/>
        <v>41.514332531734958</v>
      </c>
      <c r="EQ156" s="144"/>
      <c r="ER156" s="144">
        <f t="shared" si="432"/>
        <v>1808.5435648611169</v>
      </c>
      <c r="ES156" s="456">
        <f t="shared" si="411"/>
        <v>0.57500000000000007</v>
      </c>
      <c r="EV156" s="144">
        <f t="shared" si="412"/>
        <v>575.00000000000011</v>
      </c>
      <c r="EW156" s="456">
        <f t="shared" si="413"/>
        <v>7.7553381067065927E-2</v>
      </c>
      <c r="EX156" s="456">
        <f t="shared" si="414"/>
        <v>2.7259536403186603E-2</v>
      </c>
      <c r="EY156" s="456">
        <f t="shared" si="415"/>
        <v>23.045838725832752</v>
      </c>
      <c r="EZ156" s="456"/>
      <c r="FA156" s="456">
        <f t="shared" si="416"/>
        <v>5.213333333333333E-2</v>
      </c>
      <c r="FB156" s="144">
        <f t="shared" si="417"/>
        <v>23202.784976636336</v>
      </c>
      <c r="FC156" s="150">
        <f t="shared" si="418"/>
        <v>25.586328541497455</v>
      </c>
      <c r="FD156" s="5">
        <f t="shared" si="419"/>
        <v>39.1</v>
      </c>
      <c r="FE156" s="150">
        <f t="shared" si="420"/>
        <v>0.60445539083141253</v>
      </c>
      <c r="FF156" s="5">
        <f t="shared" si="421"/>
        <v>60.445539083141256</v>
      </c>
      <c r="FI156" s="59">
        <f t="shared" si="422"/>
        <v>-50</v>
      </c>
      <c r="FJ156">
        <f t="shared" si="423"/>
        <v>-50</v>
      </c>
      <c r="FL156">
        <f t="shared" si="476"/>
        <v>0.51325919589392632</v>
      </c>
    </row>
    <row r="157" spans="5:168">
      <c r="E157" s="147">
        <v>47</v>
      </c>
      <c r="F157" s="188">
        <f t="shared" si="477"/>
        <v>0.23499999999999999</v>
      </c>
      <c r="G157" s="188"/>
      <c r="H157" s="188">
        <f t="shared" si="442"/>
        <v>39.949999999999996</v>
      </c>
      <c r="I157" s="465">
        <f t="shared" si="443"/>
        <v>8.9544188981081838</v>
      </c>
      <c r="J157" s="149">
        <f t="shared" si="444"/>
        <v>8.5396511328461031</v>
      </c>
      <c r="K157" s="149">
        <f t="shared" si="445"/>
        <v>17.494070030954287</v>
      </c>
      <c r="L157" s="379"/>
      <c r="M157" s="188">
        <f t="shared" si="446"/>
        <v>0.48814335273527576</v>
      </c>
      <c r="N157" s="149">
        <f t="shared" si="447"/>
        <v>146.09472902959945</v>
      </c>
      <c r="O157" s="149">
        <f t="shared" si="438"/>
        <v>39.949999999999996</v>
      </c>
      <c r="P157" s="188">
        <f t="shared" si="448"/>
        <v>0.85938075899764377</v>
      </c>
      <c r="Q157" s="188">
        <f t="shared" si="449"/>
        <v>170</v>
      </c>
      <c r="R157" s="188"/>
      <c r="S157" s="149">
        <f t="shared" si="450"/>
        <v>1091.1567774960408</v>
      </c>
      <c r="T157" s="149">
        <f t="shared" si="451"/>
        <v>170</v>
      </c>
      <c r="U157" s="188">
        <f t="shared" si="452"/>
        <v>18.364516804132599</v>
      </c>
      <c r="V157" s="188">
        <f t="shared" si="453"/>
        <v>3.0763330953858721</v>
      </c>
      <c r="W157" s="188">
        <f t="shared" si="454"/>
        <v>3.2257494805900908</v>
      </c>
      <c r="X157" s="172">
        <f t="shared" si="455"/>
        <v>218.55295352055035</v>
      </c>
      <c r="Y157" s="379">
        <f t="shared" si="328"/>
        <v>153.79687789491044</v>
      </c>
      <c r="AA157" s="188">
        <f t="shared" si="456"/>
        <v>13.333333333333334</v>
      </c>
      <c r="AB157" s="150">
        <f t="shared" si="457"/>
        <v>2.342016048298964</v>
      </c>
      <c r="AC157" s="150">
        <f t="shared" si="458"/>
        <v>0.17061817484942218</v>
      </c>
      <c r="AD157" s="150"/>
      <c r="AE157" s="150">
        <f t="shared" si="459"/>
        <v>2.342016048298964</v>
      </c>
      <c r="AF157" s="314">
        <f t="shared" si="460"/>
        <v>301.02270243282504</v>
      </c>
      <c r="AG157" s="456">
        <f t="shared" si="461"/>
        <v>0.17061817484942221</v>
      </c>
      <c r="AI157" s="150">
        <f t="shared" si="462"/>
        <v>12.365290950209774</v>
      </c>
      <c r="AJ157" s="150">
        <f t="shared" si="463"/>
        <v>18.364516804132599</v>
      </c>
      <c r="AK157" s="150">
        <f t="shared" si="464"/>
        <v>4.9268025709624181</v>
      </c>
      <c r="AM157" s="314">
        <f t="shared" si="465"/>
        <v>235</v>
      </c>
      <c r="AN157" s="144">
        <f t="shared" si="466"/>
        <v>153.79687789491044</v>
      </c>
      <c r="AP157">
        <f t="shared" si="467"/>
        <v>235</v>
      </c>
      <c r="AQ157">
        <f t="shared" si="468"/>
        <v>153.79687789491044</v>
      </c>
      <c r="AS157" s="5">
        <f t="shared" si="439"/>
        <v>6.5020825759759635</v>
      </c>
      <c r="AT157" s="5">
        <f t="shared" si="469"/>
        <v>3.0763330953858721</v>
      </c>
      <c r="AU157" s="5">
        <f t="shared" si="343"/>
        <v>3.4257494805900914</v>
      </c>
      <c r="AV157" s="5"/>
      <c r="AW157" s="150">
        <f t="shared" si="344"/>
        <v>0.47313042543513284</v>
      </c>
      <c r="AX157" s="150">
        <f t="shared" si="435"/>
        <v>38.901629613491167</v>
      </c>
      <c r="AY157" s="150">
        <f t="shared" si="436"/>
        <v>0.24189262889206742</v>
      </c>
      <c r="AZ157" s="150">
        <f t="shared" si="440"/>
        <v>160.82188941296383</v>
      </c>
      <c r="BA157" s="144">
        <f t="shared" si="433"/>
        <v>0.42525781024451753</v>
      </c>
      <c r="BB157" s="5">
        <f t="shared" si="434"/>
        <v>25.473212966484535</v>
      </c>
      <c r="BD157" s="150">
        <f t="shared" si="441"/>
        <v>7.2930521165901743</v>
      </c>
      <c r="BE157" s="150">
        <f t="shared" si="437"/>
        <v>0.3848047664328923</v>
      </c>
      <c r="BG157" s="456">
        <f t="shared" si="347"/>
        <v>0.18084127119602142</v>
      </c>
      <c r="BH157" s="456">
        <f t="shared" si="470"/>
        <v>1.1833777618610819</v>
      </c>
      <c r="BI157" s="456">
        <f t="shared" si="471"/>
        <v>6.3074004481063803E-2</v>
      </c>
      <c r="BJ157" s="456">
        <f t="shared" si="350"/>
        <v>3.2241839538367775E-2</v>
      </c>
      <c r="BK157">
        <f t="shared" si="351"/>
        <v>4.0294885041486823E-3</v>
      </c>
      <c r="BL157" s="144">
        <f t="shared" si="427"/>
        <v>67.103492985212483</v>
      </c>
      <c r="BM157" s="456">
        <f t="shared" si="472"/>
        <v>1.5101771348427571</v>
      </c>
      <c r="BN157" s="144">
        <f t="shared" si="353"/>
        <v>1510.1771348427571</v>
      </c>
      <c r="BO157" s="456">
        <f t="shared" si="354"/>
        <v>0.58749999999999991</v>
      </c>
      <c r="BR157" s="144">
        <f t="shared" si="355"/>
        <v>587.49999999999989</v>
      </c>
      <c r="BS157" s="456">
        <f t="shared" si="356"/>
        <v>7.978291376295063E-2</v>
      </c>
      <c r="BT157" s="456">
        <f t="shared" si="357"/>
        <v>2.9614941653894562E-2</v>
      </c>
      <c r="BU157" s="456">
        <f t="shared" si="358"/>
        <v>21.19764269356013</v>
      </c>
      <c r="BV157" s="456"/>
      <c r="BW157" s="456">
        <f t="shared" si="359"/>
        <v>5.1868839484654886E-2</v>
      </c>
      <c r="BX157" s="144">
        <f t="shared" si="360"/>
        <v>21358.90938846163</v>
      </c>
      <c r="BY157" s="150">
        <f t="shared" si="361"/>
        <v>23.409973754042312</v>
      </c>
      <c r="BZ157" s="5">
        <f t="shared" si="362"/>
        <v>39.949999999999996</v>
      </c>
      <c r="CA157" s="150">
        <f t="shared" si="363"/>
        <v>0.63052425108448251</v>
      </c>
      <c r="CB157" s="5">
        <f t="shared" si="364"/>
        <v>63.052425108448254</v>
      </c>
      <c r="CE157" s="59">
        <f t="shared" si="473"/>
        <v>-50</v>
      </c>
      <c r="CF157">
        <f t="shared" si="474"/>
        <v>-50</v>
      </c>
      <c r="CG157" s="150">
        <f t="shared" si="475"/>
        <v>0.50525325286475342</v>
      </c>
      <c r="CI157" s="147">
        <v>47</v>
      </c>
      <c r="CJ157" s="188">
        <f t="shared" si="428"/>
        <v>0.23499999999999999</v>
      </c>
      <c r="CK157" s="188"/>
      <c r="CL157" s="188">
        <f t="shared" si="368"/>
        <v>39.949999999999996</v>
      </c>
      <c r="CM157" s="465">
        <f t="shared" si="369"/>
        <v>9</v>
      </c>
      <c r="CN157" s="379">
        <f t="shared" si="370"/>
        <v>8.5350000000000001</v>
      </c>
      <c r="CO157" s="379">
        <f t="shared" si="371"/>
        <v>17.535</v>
      </c>
      <c r="CP157" s="379"/>
      <c r="CQ157" s="188">
        <f t="shared" si="372"/>
        <v>0.48674080410607357</v>
      </c>
      <c r="CR157" s="149">
        <f t="shared" si="429"/>
        <v>146.41650128314802</v>
      </c>
      <c r="CS157" s="149">
        <f t="shared" si="373"/>
        <v>39.949999999999996</v>
      </c>
      <c r="CT157" s="188">
        <f t="shared" si="374"/>
        <v>0.86127353695969422</v>
      </c>
      <c r="CU157" s="188">
        <f t="shared" si="375"/>
        <v>170</v>
      </c>
      <c r="CV157" s="188"/>
      <c r="CW157" s="149">
        <f t="shared" si="376"/>
        <v>1096.7105604157687</v>
      </c>
      <c r="CX157" s="149">
        <f t="shared" si="377"/>
        <v>170</v>
      </c>
      <c r="CY157" s="188">
        <f t="shared" si="378"/>
        <v>18.239230619019722</v>
      </c>
      <c r="CZ157" s="188">
        <f t="shared" si="379"/>
        <v>3.0398717698366209</v>
      </c>
      <c r="DA157" s="188">
        <f t="shared" si="380"/>
        <v>3.2054886852407245</v>
      </c>
      <c r="DB157" s="172">
        <f t="shared" si="381"/>
        <v>219.03336184773312</v>
      </c>
      <c r="DC157" s="379">
        <f t="shared" si="382"/>
        <v>160.11886058346258</v>
      </c>
      <c r="DE157" s="188">
        <f t="shared" si="383"/>
        <v>13.333333333333334</v>
      </c>
      <c r="DF157" s="150">
        <f t="shared" si="384"/>
        <v>2.3432923257176337</v>
      </c>
      <c r="DG157" s="150">
        <f t="shared" si="385"/>
        <v>0.17108639863130889</v>
      </c>
      <c r="DH157" s="150"/>
      <c r="DI157" s="150">
        <f t="shared" si="386"/>
        <v>2.3432923257176337</v>
      </c>
      <c r="DJ157" s="314">
        <f t="shared" si="387"/>
        <v>300.85874999999987</v>
      </c>
      <c r="DK157" s="456">
        <f t="shared" si="388"/>
        <v>0.17108639863130887</v>
      </c>
      <c r="DM157" s="150">
        <f t="shared" si="389"/>
        <v>12.361923105129835</v>
      </c>
      <c r="DN157" s="150">
        <f t="shared" si="390"/>
        <v>18.239230619019722</v>
      </c>
      <c r="DO157" s="150">
        <f t="shared" si="391"/>
        <v>4.8339979893973242</v>
      </c>
      <c r="DQ157" s="314">
        <f t="shared" si="392"/>
        <v>235</v>
      </c>
      <c r="DR157" s="144">
        <f t="shared" si="393"/>
        <v>160.11886058346258</v>
      </c>
      <c r="DT157">
        <f t="shared" si="430"/>
        <v>235</v>
      </c>
      <c r="DU157">
        <f t="shared" si="431"/>
        <v>160.11886058346258</v>
      </c>
      <c r="DW157" s="5">
        <f t="shared" si="394"/>
        <v>6.2453604550773463</v>
      </c>
      <c r="DX157" s="5">
        <f t="shared" si="395"/>
        <v>3.0398717698366209</v>
      </c>
      <c r="DY157" s="5">
        <f t="shared" si="396"/>
        <v>3.2054886852407254</v>
      </c>
      <c r="DZ157" s="5"/>
      <c r="EA157" s="150">
        <f t="shared" si="397"/>
        <v>0.48674080410607351</v>
      </c>
      <c r="EB157" s="150">
        <f t="shared" si="398"/>
        <v>39.949999999999996</v>
      </c>
      <c r="EC157" s="150">
        <f t="shared" si="399"/>
        <v>0.23403632103104866</v>
      </c>
      <c r="ED157" s="150">
        <f t="shared" si="400"/>
        <v>170.69999999999996</v>
      </c>
      <c r="EE157" s="144">
        <f t="shared" si="401"/>
        <v>0.42021756818329759</v>
      </c>
      <c r="EF157" s="5">
        <f t="shared" si="402"/>
        <v>23.714680180623507</v>
      </c>
      <c r="EH157" s="150">
        <f t="shared" si="403"/>
        <v>7.3467415968644962</v>
      </c>
      <c r="EI157" s="150">
        <f t="shared" si="404"/>
        <v>0.37721092386586719</v>
      </c>
      <c r="EK157" s="456">
        <f t="shared" si="405"/>
        <v>0.1835136811097369</v>
      </c>
      <c r="EL157" s="456">
        <f t="shared" si="406"/>
        <v>1.5567839999999997</v>
      </c>
      <c r="EM157" s="456">
        <f t="shared" si="407"/>
        <v>3.6667219073612929E-2</v>
      </c>
      <c r="EN157" s="456">
        <f t="shared" si="408"/>
        <v>3.3724428820400498E-2</v>
      </c>
      <c r="EO157">
        <f t="shared" si="409"/>
        <v>4.0499999999999998E-3</v>
      </c>
      <c r="EP157" s="144">
        <f t="shared" si="410"/>
        <v>40.717219073612924</v>
      </c>
      <c r="EQ157" s="144"/>
      <c r="ER157" s="144">
        <f t="shared" si="432"/>
        <v>1814.7393290037501</v>
      </c>
      <c r="ES157" s="456">
        <f t="shared" si="411"/>
        <v>0.58749999999999991</v>
      </c>
      <c r="EV157" s="144">
        <f t="shared" si="412"/>
        <v>587.49999999999989</v>
      </c>
      <c r="EW157" s="456">
        <f t="shared" si="413"/>
        <v>8.0961918136648631E-2</v>
      </c>
      <c r="EX157" s="456">
        <f t="shared" si="414"/>
        <v>2.8457616216748211E-2</v>
      </c>
      <c r="EY157" s="456">
        <f t="shared" si="415"/>
        <v>23.045838725832752</v>
      </c>
      <c r="EZ157" s="456"/>
      <c r="FA157" s="456">
        <f t="shared" si="416"/>
        <v>5.3266666666666664E-2</v>
      </c>
      <c r="FB157" s="144">
        <f t="shared" si="417"/>
        <v>23208.524926852813</v>
      </c>
      <c r="FC157" s="150">
        <f t="shared" si="418"/>
        <v>25.610764255856566</v>
      </c>
      <c r="FD157" s="5">
        <f t="shared" si="419"/>
        <v>39.949999999999996</v>
      </c>
      <c r="FE157" s="150">
        <f t="shared" si="420"/>
        <v>0.60935836324438908</v>
      </c>
      <c r="FF157" s="5">
        <f t="shared" si="421"/>
        <v>60.93583632443891</v>
      </c>
      <c r="FI157" s="59">
        <f t="shared" si="422"/>
        <v>-50</v>
      </c>
      <c r="FJ157">
        <f t="shared" si="423"/>
        <v>-50</v>
      </c>
      <c r="FL157">
        <f t="shared" si="476"/>
        <v>0.51325919589392655</v>
      </c>
    </row>
    <row r="158" spans="5:168">
      <c r="E158" s="147">
        <v>48</v>
      </c>
      <c r="F158" s="188">
        <f t="shared" si="477"/>
        <v>0.24</v>
      </c>
      <c r="G158" s="188"/>
      <c r="H158" s="188">
        <f t="shared" si="442"/>
        <v>40.799999999999997</v>
      </c>
      <c r="I158" s="465">
        <f t="shared" si="443"/>
        <v>8.953464449402599</v>
      </c>
      <c r="J158" s="149">
        <f t="shared" si="444"/>
        <v>8.5397485255711629</v>
      </c>
      <c r="K158" s="149">
        <f t="shared" si="445"/>
        <v>17.493212974973762</v>
      </c>
      <c r="L158" s="379"/>
      <c r="M158" s="188">
        <f t="shared" si="446"/>
        <v>0.48817283693001134</v>
      </c>
      <c r="N158" s="149">
        <f t="shared" si="447"/>
        <v>146.08798011988449</v>
      </c>
      <c r="O158" s="149">
        <f t="shared" si="438"/>
        <v>40.799999999999997</v>
      </c>
      <c r="P158" s="188">
        <f t="shared" si="448"/>
        <v>0.8593410595287323</v>
      </c>
      <c r="Q158" s="188">
        <f t="shared" si="449"/>
        <v>170</v>
      </c>
      <c r="R158" s="188"/>
      <c r="S158" s="149">
        <f t="shared" si="450"/>
        <v>1064.5851067198178</v>
      </c>
      <c r="T158" s="149">
        <f t="shared" si="451"/>
        <v>170</v>
      </c>
      <c r="U158" s="188">
        <f t="shared" si="452"/>
        <v>18.756331614794092</v>
      </c>
      <c r="V158" s="188">
        <f t="shared" si="453"/>
        <v>3.142302913155405</v>
      </c>
      <c r="W158" s="188">
        <f t="shared" si="454"/>
        <v>3.2945346502822721</v>
      </c>
      <c r="X158" s="172">
        <f t="shared" si="455"/>
        <v>218.54285699238267</v>
      </c>
      <c r="Y158" s="379">
        <f t="shared" si="328"/>
        <v>150.67417131149895</v>
      </c>
      <c r="AA158" s="188">
        <f t="shared" si="456"/>
        <v>13.333333333333334</v>
      </c>
      <c r="AB158" s="150">
        <f t="shared" si="457"/>
        <v>2.3419893384579895</v>
      </c>
      <c r="AC158" s="150">
        <f t="shared" si="458"/>
        <v>0.17060834702410313</v>
      </c>
      <c r="AD158" s="150"/>
      <c r="AE158" s="150">
        <f t="shared" si="459"/>
        <v>2.3419893384579895</v>
      </c>
      <c r="AF158" s="314">
        <f t="shared" si="460"/>
        <v>307.43094692056184</v>
      </c>
      <c r="AG158" s="456">
        <f t="shared" si="461"/>
        <v>0.1706083470241031</v>
      </c>
      <c r="AI158" s="150">
        <f t="shared" si="462"/>
        <v>12.496215491517585</v>
      </c>
      <c r="AJ158" s="150">
        <f t="shared" si="463"/>
        <v>18.756331614794092</v>
      </c>
      <c r="AK158" s="150">
        <f t="shared" si="464"/>
        <v>5.217035764045006</v>
      </c>
      <c r="AM158" s="314">
        <f t="shared" si="465"/>
        <v>240</v>
      </c>
      <c r="AN158" s="144">
        <f t="shared" si="466"/>
        <v>150.67417131149895</v>
      </c>
      <c r="AP158">
        <f t="shared" si="467"/>
        <v>240</v>
      </c>
      <c r="AQ158">
        <f t="shared" si="468"/>
        <v>150.67417131149895</v>
      </c>
      <c r="AS158" s="5">
        <f t="shared" si="439"/>
        <v>6.6368375634376777</v>
      </c>
      <c r="AT158" s="5">
        <f t="shared" si="469"/>
        <v>3.142302913155405</v>
      </c>
      <c r="AU158" s="5">
        <f t="shared" si="343"/>
        <v>3.4945346502822727</v>
      </c>
      <c r="AV158" s="5"/>
      <c r="AW158" s="150">
        <f t="shared" si="344"/>
        <v>0.47346388744939971</v>
      </c>
      <c r="AX158" s="150">
        <f t="shared" si="435"/>
        <v>39.755377348187963</v>
      </c>
      <c r="AY158" s="150">
        <f t="shared" si="436"/>
        <v>0.24689714835409013</v>
      </c>
      <c r="AZ158" s="150">
        <f t="shared" si="440"/>
        <v>161.01999400646125</v>
      </c>
      <c r="BA158" s="144">
        <f t="shared" si="433"/>
        <v>0.44361923479841014</v>
      </c>
      <c r="BB158" s="5">
        <f t="shared" si="434"/>
        <v>26.540380828233449</v>
      </c>
      <c r="BD158" s="150">
        <f t="shared" si="441"/>
        <v>7.4512769391800946</v>
      </c>
      <c r="BE158" s="150">
        <f t="shared" si="437"/>
        <v>0.39289034896420005</v>
      </c>
      <c r="BG158" s="456">
        <f t="shared" si="347"/>
        <v>0.18877319528281405</v>
      </c>
      <c r="BH158" s="456">
        <f t="shared" si="470"/>
        <v>1.1840275711607429</v>
      </c>
      <c r="BI158" s="456">
        <f t="shared" si="471"/>
        <v>6.1786757301656191E-2</v>
      </c>
      <c r="BJ158" s="456">
        <f t="shared" si="350"/>
        <v>3.1584103215577336E-2</v>
      </c>
      <c r="BK158">
        <f t="shared" si="351"/>
        <v>4.029059002231169E-3</v>
      </c>
      <c r="BL158" s="144">
        <f t="shared" si="427"/>
        <v>65.81581630388736</v>
      </c>
      <c r="BM158" s="456">
        <f t="shared" si="472"/>
        <v>1.5236951878632943</v>
      </c>
      <c r="BN158" s="144">
        <f t="shared" si="353"/>
        <v>1523.6951878632942</v>
      </c>
      <c r="BO158" s="456">
        <f t="shared" si="354"/>
        <v>0.6</v>
      </c>
      <c r="BR158" s="144">
        <f t="shared" si="355"/>
        <v>600</v>
      </c>
      <c r="BS158" s="456">
        <f t="shared" si="356"/>
        <v>8.328229203653563E-2</v>
      </c>
      <c r="BT158" s="456">
        <f t="shared" si="357"/>
        <v>3.0872565261842178E-2</v>
      </c>
      <c r="BU158" s="456">
        <f t="shared" si="358"/>
        <v>21.229354519917777</v>
      </c>
      <c r="BV158" s="456"/>
      <c r="BW158" s="456">
        <f t="shared" si="359"/>
        <v>5.3007169797583957E-2</v>
      </c>
      <c r="BX158" s="144">
        <f t="shared" si="360"/>
        <v>21396.51654701374</v>
      </c>
      <c r="BY158" s="150">
        <f t="shared" si="361"/>
        <v>23.466717232976762</v>
      </c>
      <c r="BZ158" s="5">
        <f t="shared" si="362"/>
        <v>40.799999999999997</v>
      </c>
      <c r="CA158" s="150">
        <f t="shared" si="363"/>
        <v>0.63485427226808089</v>
      </c>
      <c r="CB158" s="5">
        <f t="shared" si="364"/>
        <v>63.485427226808092</v>
      </c>
      <c r="CE158" s="59">
        <f t="shared" si="473"/>
        <v>-50</v>
      </c>
      <c r="CF158">
        <f t="shared" si="474"/>
        <v>-50</v>
      </c>
      <c r="CG158" s="150">
        <f t="shared" si="475"/>
        <v>0.50542004334452761</v>
      </c>
      <c r="CI158" s="147">
        <v>48</v>
      </c>
      <c r="CJ158" s="188">
        <f t="shared" si="428"/>
        <v>0.24</v>
      </c>
      <c r="CK158" s="188"/>
      <c r="CL158" s="188">
        <f t="shared" si="368"/>
        <v>40.799999999999997</v>
      </c>
      <c r="CM158" s="465">
        <f t="shared" si="369"/>
        <v>9</v>
      </c>
      <c r="CN158" s="379">
        <f t="shared" si="370"/>
        <v>8.5350000000000001</v>
      </c>
      <c r="CO158" s="379">
        <f t="shared" si="371"/>
        <v>17.535</v>
      </c>
      <c r="CP158" s="379"/>
      <c r="CQ158" s="188">
        <f t="shared" si="372"/>
        <v>0.48674080410607357</v>
      </c>
      <c r="CR158" s="149">
        <f t="shared" si="429"/>
        <v>146.41650128314802</v>
      </c>
      <c r="CS158" s="149">
        <f t="shared" si="373"/>
        <v>40.799999999999997</v>
      </c>
      <c r="CT158" s="188">
        <f t="shared" si="374"/>
        <v>0.86127353695969422</v>
      </c>
      <c r="CU158" s="188">
        <f t="shared" si="375"/>
        <v>170</v>
      </c>
      <c r="CV158" s="188"/>
      <c r="CW158" s="149">
        <f t="shared" si="376"/>
        <v>1070.1176670911143</v>
      </c>
      <c r="CX158" s="149">
        <f t="shared" si="377"/>
        <v>170</v>
      </c>
      <c r="CY158" s="188">
        <f t="shared" si="378"/>
        <v>18.627299355594609</v>
      </c>
      <c r="CZ158" s="188">
        <f t="shared" si="379"/>
        <v>3.1045498925991017</v>
      </c>
      <c r="DA158" s="188">
        <f t="shared" si="380"/>
        <v>3.2736905721607399</v>
      </c>
      <c r="DB158" s="172">
        <f t="shared" si="381"/>
        <v>219.03336184773312</v>
      </c>
      <c r="DC158" s="379">
        <f t="shared" si="382"/>
        <v>156.78305098797381</v>
      </c>
      <c r="DE158" s="188">
        <f t="shared" si="383"/>
        <v>13.333333333333334</v>
      </c>
      <c r="DF158" s="150">
        <f t="shared" si="384"/>
        <v>2.3432923257176337</v>
      </c>
      <c r="DG158" s="150">
        <f t="shared" si="385"/>
        <v>0.17108639863130889</v>
      </c>
      <c r="DH158" s="150"/>
      <c r="DI158" s="150">
        <f t="shared" si="386"/>
        <v>2.3432923257176337</v>
      </c>
      <c r="DJ158" s="314">
        <f t="shared" si="387"/>
        <v>307.25999999999988</v>
      </c>
      <c r="DK158" s="456">
        <f t="shared" si="388"/>
        <v>0.17108639863130887</v>
      </c>
      <c r="DM158" s="150">
        <f t="shared" si="389"/>
        <v>12.492740749274011</v>
      </c>
      <c r="DN158" s="150">
        <f t="shared" si="390"/>
        <v>18.627299355594609</v>
      </c>
      <c r="DO158" s="150">
        <f t="shared" si="391"/>
        <v>5.1214563127861288</v>
      </c>
      <c r="DQ158" s="314">
        <f t="shared" si="392"/>
        <v>240</v>
      </c>
      <c r="DR158" s="144">
        <f t="shared" si="393"/>
        <v>156.78305098797381</v>
      </c>
      <c r="DT158">
        <f t="shared" si="430"/>
        <v>240</v>
      </c>
      <c r="DU158">
        <f t="shared" si="431"/>
        <v>156.78305098797381</v>
      </c>
      <c r="DW158" s="5">
        <f t="shared" si="394"/>
        <v>6.3782404647598412</v>
      </c>
      <c r="DX158" s="5">
        <f t="shared" si="395"/>
        <v>3.1045498925991017</v>
      </c>
      <c r="DY158" s="5">
        <f t="shared" si="396"/>
        <v>3.2736905721607394</v>
      </c>
      <c r="DZ158" s="5"/>
      <c r="EA158" s="150">
        <f t="shared" si="397"/>
        <v>0.48674080410607362</v>
      </c>
      <c r="EB158" s="150">
        <f t="shared" si="398"/>
        <v>40.79999999999999</v>
      </c>
      <c r="EC158" s="150">
        <f t="shared" si="399"/>
        <v>0.23901581722319853</v>
      </c>
      <c r="ED158" s="150">
        <f t="shared" si="400"/>
        <v>170.7</v>
      </c>
      <c r="EE158" s="144">
        <f t="shared" si="401"/>
        <v>0.4382893966022261</v>
      </c>
      <c r="EF158" s="5">
        <f t="shared" si="402"/>
        <v>24.734550989658914</v>
      </c>
      <c r="EH158" s="150">
        <f t="shared" si="403"/>
        <v>7.5030552478616146</v>
      </c>
      <c r="EI158" s="150">
        <f t="shared" si="404"/>
        <v>0.38523668820343876</v>
      </c>
      <c r="EK158" s="456">
        <f t="shared" si="405"/>
        <v>0.19140584937837662</v>
      </c>
      <c r="EL158" s="456">
        <f t="shared" si="406"/>
        <v>1.5567839999999999</v>
      </c>
      <c r="EM158" s="456">
        <f t="shared" si="407"/>
        <v>3.5903318676246E-2</v>
      </c>
      <c r="EN158" s="456">
        <f t="shared" si="408"/>
        <v>3.3021836553308821E-2</v>
      </c>
      <c r="EO158">
        <f t="shared" si="409"/>
        <v>4.0499999999999998E-3</v>
      </c>
      <c r="EP158" s="144">
        <f t="shared" si="410"/>
        <v>39.953318676245999</v>
      </c>
      <c r="EQ158" s="144"/>
      <c r="ER158" s="144">
        <f t="shared" si="432"/>
        <v>1821.1650046079315</v>
      </c>
      <c r="ES158" s="456">
        <f t="shared" si="411"/>
        <v>0.6</v>
      </c>
      <c r="EV158" s="144">
        <f t="shared" si="412"/>
        <v>600</v>
      </c>
      <c r="EW158" s="456">
        <f t="shared" si="413"/>
        <v>8.4443757078695572E-2</v>
      </c>
      <c r="EX158" s="456">
        <f t="shared" si="414"/>
        <v>2.9681461187590699E-2</v>
      </c>
      <c r="EY158" s="456">
        <f t="shared" si="415"/>
        <v>23.04583872583277</v>
      </c>
      <c r="EZ158" s="456"/>
      <c r="FA158" s="456">
        <f t="shared" si="416"/>
        <v>5.4399999999999997E-2</v>
      </c>
      <c r="FB158" s="144">
        <f t="shared" si="417"/>
        <v>23214.363944099056</v>
      </c>
      <c r="FC158" s="150">
        <f t="shared" si="418"/>
        <v>25.635528948706988</v>
      </c>
      <c r="FD158" s="5">
        <f t="shared" si="419"/>
        <v>40.799999999999997</v>
      </c>
      <c r="FE158" s="150">
        <f t="shared" si="420"/>
        <v>0.61412922641890211</v>
      </c>
      <c r="FF158" s="5">
        <f t="shared" si="421"/>
        <v>61.412922641890212</v>
      </c>
      <c r="FI158" s="59">
        <f t="shared" si="422"/>
        <v>-50</v>
      </c>
      <c r="FJ158">
        <f t="shared" si="423"/>
        <v>-50</v>
      </c>
      <c r="FL158">
        <f t="shared" si="476"/>
        <v>0.51325919589392632</v>
      </c>
    </row>
    <row r="159" spans="5:168">
      <c r="E159" s="147">
        <v>49</v>
      </c>
      <c r="F159" s="188">
        <f t="shared" si="477"/>
        <v>0.245</v>
      </c>
      <c r="G159" s="188"/>
      <c r="H159" s="188">
        <f t="shared" si="442"/>
        <v>41.65</v>
      </c>
      <c r="I159" s="465">
        <f t="shared" si="443"/>
        <v>8.9525099909749137</v>
      </c>
      <c r="J159" s="149">
        <f t="shared" si="444"/>
        <v>8.5398459192882736</v>
      </c>
      <c r="K159" s="149">
        <f t="shared" si="445"/>
        <v>17.492355910263186</v>
      </c>
      <c r="L159" s="379"/>
      <c r="M159" s="188">
        <f t="shared" si="446"/>
        <v>0.48820232428523486</v>
      </c>
      <c r="N159" s="149">
        <f t="shared" si="447"/>
        <v>146.08123011607827</v>
      </c>
      <c r="O159" s="149">
        <f t="shared" si="438"/>
        <v>41.65</v>
      </c>
      <c r="P159" s="188">
        <f t="shared" si="448"/>
        <v>0.85930135362398985</v>
      </c>
      <c r="Q159" s="188">
        <f t="shared" si="449"/>
        <v>170</v>
      </c>
      <c r="R159" s="188"/>
      <c r="S159" s="149">
        <f t="shared" si="450"/>
        <v>1039.098908245636</v>
      </c>
      <c r="T159" s="149">
        <f t="shared" si="451"/>
        <v>170</v>
      </c>
      <c r="U159" s="188">
        <f t="shared" si="452"/>
        <v>19.148191687884353</v>
      </c>
      <c r="V159" s="188">
        <f t="shared" si="453"/>
        <v>3.2082943845671954</v>
      </c>
      <c r="W159" s="188">
        <f t="shared" si="454"/>
        <v>3.3633262008807181</v>
      </c>
      <c r="X159" s="172">
        <f t="shared" si="455"/>
        <v>218.53275884055662</v>
      </c>
      <c r="Y159" s="379">
        <f t="shared" si="328"/>
        <v>147.67513734437239</v>
      </c>
      <c r="AA159" s="188">
        <f t="shared" si="456"/>
        <v>13.333333333333334</v>
      </c>
      <c r="AB159" s="150">
        <f t="shared" si="457"/>
        <v>2.3419626289541813</v>
      </c>
      <c r="AC159" s="150">
        <f t="shared" si="458"/>
        <v>0.17059851813561339</v>
      </c>
      <c r="AD159" s="150"/>
      <c r="AE159" s="150">
        <f t="shared" si="459"/>
        <v>2.3419626289541813</v>
      </c>
      <c r="AF159" s="314">
        <f t="shared" si="460"/>
        <v>313.839337533844</v>
      </c>
      <c r="AG159" s="456">
        <f t="shared" si="461"/>
        <v>0.17059851813561339</v>
      </c>
      <c r="AI159" s="150">
        <f t="shared" si="462"/>
        <v>12.625785407650795</v>
      </c>
      <c r="AJ159" s="150">
        <f t="shared" si="463"/>
        <v>19.148191687884353</v>
      </c>
      <c r="AK159" s="150">
        <f t="shared" si="464"/>
        <v>5.5073024848526062</v>
      </c>
      <c r="AM159" s="314">
        <f t="shared" si="465"/>
        <v>245</v>
      </c>
      <c r="AN159" s="144">
        <f t="shared" si="466"/>
        <v>147.67513734437239</v>
      </c>
      <c r="AP159">
        <f t="shared" si="467"/>
        <v>245</v>
      </c>
      <c r="AQ159">
        <f t="shared" si="468"/>
        <v>147.67513734437239</v>
      </c>
      <c r="AS159" s="5">
        <f t="shared" si="439"/>
        <v>6.7716205854479137</v>
      </c>
      <c r="AT159" s="5">
        <f t="shared" si="469"/>
        <v>3.2082943845671954</v>
      </c>
      <c r="AU159" s="5">
        <f t="shared" si="343"/>
        <v>3.5633262008807183</v>
      </c>
      <c r="AV159" s="5"/>
      <c r="AW159" s="150">
        <f t="shared" si="344"/>
        <v>0.47378531388213924</v>
      </c>
      <c r="AX159" s="150">
        <f t="shared" si="435"/>
        <v>40.609176225543536</v>
      </c>
      <c r="AY159" s="150">
        <f t="shared" si="436"/>
        <v>0.25190149196911737</v>
      </c>
      <c r="AZ159" s="150">
        <f t="shared" si="440"/>
        <v>161.21054269310218</v>
      </c>
      <c r="BA159" s="144">
        <f t="shared" si="433"/>
        <v>0.46237183777586049</v>
      </c>
      <c r="BB159" s="5">
        <f t="shared" si="434"/>
        <v>27.629595204081976</v>
      </c>
      <c r="BD159" s="150">
        <f t="shared" si="441"/>
        <v>7.6095318018130955</v>
      </c>
      <c r="BE159" s="150">
        <f t="shared" si="437"/>
        <v>0.4009762276697843</v>
      </c>
      <c r="BG159" s="456">
        <f t="shared" si="347"/>
        <v>0.19687691242553648</v>
      </c>
      <c r="BH159" s="456">
        <f t="shared" si="470"/>
        <v>1.1846470378235536</v>
      </c>
      <c r="BI159" s="456">
        <f t="shared" si="471"/>
        <v>6.0550491926229154E-2</v>
      </c>
      <c r="BJ159" s="456">
        <f t="shared" si="350"/>
        <v>3.0952416829876147E-2</v>
      </c>
      <c r="BK159">
        <f t="shared" si="351"/>
        <v>4.0286294959387108E-3</v>
      </c>
      <c r="BL159" s="144">
        <f t="shared" si="427"/>
        <v>64.579121422167859</v>
      </c>
      <c r="BM159" s="456">
        <f t="shared" si="472"/>
        <v>1.5375568999765414</v>
      </c>
      <c r="BN159" s="144">
        <f t="shared" si="353"/>
        <v>1537.5568999765414</v>
      </c>
      <c r="BO159" s="456">
        <f t="shared" si="354"/>
        <v>0.61250000000000004</v>
      </c>
      <c r="BR159" s="144">
        <f t="shared" si="355"/>
        <v>612.5</v>
      </c>
      <c r="BS159" s="456">
        <f t="shared" si="356"/>
        <v>8.6857461364207286E-2</v>
      </c>
      <c r="BT159" s="456">
        <f t="shared" si="357"/>
        <v>3.2156387031258137E-2</v>
      </c>
      <c r="BU159" s="456">
        <f t="shared" si="358"/>
        <v>21.259736579695087</v>
      </c>
      <c r="BV159" s="456"/>
      <c r="BW159" s="456">
        <f t="shared" si="359"/>
        <v>5.41455683007247E-2</v>
      </c>
      <c r="BX159" s="144">
        <f t="shared" si="360"/>
        <v>21432.895996391278</v>
      </c>
      <c r="BY159" s="150">
        <f t="shared" si="361"/>
        <v>23.522451484892411</v>
      </c>
      <c r="BZ159" s="5">
        <f t="shared" si="362"/>
        <v>41.65</v>
      </c>
      <c r="CA159" s="150">
        <f t="shared" si="363"/>
        <v>0.63907370447243139</v>
      </c>
      <c r="CB159" s="5">
        <f t="shared" si="364"/>
        <v>63.907370447243139</v>
      </c>
      <c r="CE159" s="59">
        <f t="shared" si="473"/>
        <v>-50</v>
      </c>
      <c r="CF159">
        <f t="shared" si="474"/>
        <v>-50</v>
      </c>
      <c r="CG159" s="150">
        <f t="shared" si="475"/>
        <v>0.50558002604961749</v>
      </c>
      <c r="CI159" s="147">
        <v>49</v>
      </c>
      <c r="CJ159" s="188">
        <f t="shared" si="428"/>
        <v>0.245</v>
      </c>
      <c r="CK159" s="188"/>
      <c r="CL159" s="188">
        <f t="shared" si="368"/>
        <v>41.65</v>
      </c>
      <c r="CM159" s="465">
        <f t="shared" si="369"/>
        <v>9</v>
      </c>
      <c r="CN159" s="379">
        <f t="shared" si="370"/>
        <v>8.5350000000000001</v>
      </c>
      <c r="CO159" s="379">
        <f t="shared" si="371"/>
        <v>17.535</v>
      </c>
      <c r="CP159" s="379"/>
      <c r="CQ159" s="188">
        <f t="shared" si="372"/>
        <v>0.48674080410607357</v>
      </c>
      <c r="CR159" s="149">
        <f t="shared" si="429"/>
        <v>146.41650128314802</v>
      </c>
      <c r="CS159" s="149">
        <f t="shared" si="373"/>
        <v>41.65</v>
      </c>
      <c r="CT159" s="188">
        <f t="shared" si="374"/>
        <v>0.86127353695969422</v>
      </c>
      <c r="CU159" s="188">
        <f t="shared" si="375"/>
        <v>170</v>
      </c>
      <c r="CV159" s="188"/>
      <c r="CW159" s="149">
        <f t="shared" si="376"/>
        <v>1044.6103342846952</v>
      </c>
      <c r="CX159" s="149">
        <f t="shared" si="377"/>
        <v>170</v>
      </c>
      <c r="CY159" s="188">
        <f t="shared" si="378"/>
        <v>19.015368092169499</v>
      </c>
      <c r="CZ159" s="188">
        <f t="shared" si="379"/>
        <v>3.1692280153615835</v>
      </c>
      <c r="DA159" s="188">
        <f t="shared" si="380"/>
        <v>3.3418924590807557</v>
      </c>
      <c r="DB159" s="172">
        <f t="shared" si="381"/>
        <v>219.03336184773312</v>
      </c>
      <c r="DC159" s="379">
        <f t="shared" si="382"/>
        <v>153.58339688617838</v>
      </c>
      <c r="DE159" s="188">
        <f t="shared" si="383"/>
        <v>13.333333333333334</v>
      </c>
      <c r="DF159" s="150">
        <f t="shared" si="384"/>
        <v>2.3432923257176337</v>
      </c>
      <c r="DG159" s="150">
        <f t="shared" si="385"/>
        <v>0.17108639863130889</v>
      </c>
      <c r="DH159" s="150"/>
      <c r="DI159" s="150">
        <f t="shared" si="386"/>
        <v>2.3432923257176337</v>
      </c>
      <c r="DJ159" s="314">
        <f t="shared" si="387"/>
        <v>313.66124999999988</v>
      </c>
      <c r="DK159" s="456">
        <f t="shared" si="388"/>
        <v>0.17108639863130887</v>
      </c>
      <c r="DM159" s="150">
        <f t="shared" si="389"/>
        <v>12.622202660391727</v>
      </c>
      <c r="DN159" s="150">
        <f t="shared" si="390"/>
        <v>19.015368092169499</v>
      </c>
      <c r="DO159" s="150">
        <f t="shared" si="391"/>
        <v>5.4089146361749378</v>
      </c>
      <c r="DQ159" s="314">
        <f t="shared" si="392"/>
        <v>245</v>
      </c>
      <c r="DR159" s="144">
        <f t="shared" si="393"/>
        <v>153.58339688617838</v>
      </c>
      <c r="DT159">
        <f t="shared" si="430"/>
        <v>245</v>
      </c>
      <c r="DU159">
        <f t="shared" si="431"/>
        <v>153.58339688617838</v>
      </c>
      <c r="DW159" s="5">
        <f t="shared" si="394"/>
        <v>6.5111204744423397</v>
      </c>
      <c r="DX159" s="5">
        <f t="shared" si="395"/>
        <v>3.1692280153615835</v>
      </c>
      <c r="DY159" s="5">
        <f t="shared" si="396"/>
        <v>3.3418924590807562</v>
      </c>
      <c r="DZ159" s="5"/>
      <c r="EA159" s="150">
        <f t="shared" si="397"/>
        <v>0.48674080410607357</v>
      </c>
      <c r="EB159" s="150">
        <f t="shared" si="398"/>
        <v>41.649999999999991</v>
      </c>
      <c r="EC159" s="150">
        <f t="shared" si="399"/>
        <v>0.24399531341534858</v>
      </c>
      <c r="ED159" s="150">
        <f t="shared" si="400"/>
        <v>170.69999999999996</v>
      </c>
      <c r="EE159" s="144">
        <f t="shared" si="401"/>
        <v>0.45674168456681641</v>
      </c>
      <c r="EF159" s="5">
        <f t="shared" si="402"/>
        <v>25.775892763095086</v>
      </c>
      <c r="EH159" s="150">
        <f t="shared" si="403"/>
        <v>7.6593688988587321</v>
      </c>
      <c r="EI159" s="150">
        <f t="shared" si="404"/>
        <v>0.3932624525410105</v>
      </c>
      <c r="EK159" s="456">
        <f t="shared" si="405"/>
        <v>0.19946416855793503</v>
      </c>
      <c r="EL159" s="456">
        <f t="shared" si="406"/>
        <v>1.5567839999999997</v>
      </c>
      <c r="EM159" s="456">
        <f t="shared" si="407"/>
        <v>3.517059788693485E-2</v>
      </c>
      <c r="EN159" s="456">
        <f t="shared" si="408"/>
        <v>3.2347921521608633E-2</v>
      </c>
      <c r="EO159">
        <f t="shared" si="409"/>
        <v>4.0499999999999998E-3</v>
      </c>
      <c r="EP159" s="144">
        <f t="shared" si="410"/>
        <v>39.220597886934847</v>
      </c>
      <c r="EQ159" s="144"/>
      <c r="ER159" s="144">
        <f t="shared" si="432"/>
        <v>1827.8166879664784</v>
      </c>
      <c r="ES159" s="456">
        <f t="shared" si="411"/>
        <v>0.61250000000000004</v>
      </c>
      <c r="EV159" s="144">
        <f t="shared" si="412"/>
        <v>612.5</v>
      </c>
      <c r="EW159" s="456">
        <f t="shared" si="413"/>
        <v>8.799889789320664E-2</v>
      </c>
      <c r="EX159" s="456">
        <f t="shared" si="414"/>
        <v>3.0931071315714112E-2</v>
      </c>
      <c r="EY159" s="456">
        <f t="shared" si="415"/>
        <v>23.045838725832724</v>
      </c>
      <c r="EZ159" s="456"/>
      <c r="FA159" s="456">
        <f t="shared" si="416"/>
        <v>5.5533333333333323E-2</v>
      </c>
      <c r="FB159" s="144">
        <f t="shared" si="417"/>
        <v>23220.302028374976</v>
      </c>
      <c r="FC159" s="150">
        <f t="shared" si="418"/>
        <v>25.660618716341457</v>
      </c>
      <c r="FD159" s="5">
        <f t="shared" si="419"/>
        <v>41.65</v>
      </c>
      <c r="FE159" s="150">
        <f t="shared" si="420"/>
        <v>0.6187730969391364</v>
      </c>
      <c r="FF159" s="5">
        <f t="shared" si="421"/>
        <v>61.877309693913638</v>
      </c>
      <c r="FI159" s="59">
        <f t="shared" si="422"/>
        <v>-50</v>
      </c>
      <c r="FJ159">
        <f t="shared" si="423"/>
        <v>-50</v>
      </c>
      <c r="FL159">
        <f t="shared" si="476"/>
        <v>0.51325919589392643</v>
      </c>
    </row>
    <row r="160" spans="5:168">
      <c r="E160" s="147">
        <v>50</v>
      </c>
      <c r="F160" s="188">
        <f t="shared" si="477"/>
        <v>0.25</v>
      </c>
      <c r="G160" s="188"/>
      <c r="H160" s="188">
        <f t="shared" si="442"/>
        <v>42.5</v>
      </c>
      <c r="I160" s="465">
        <f t="shared" si="443"/>
        <v>8.9515555234171327</v>
      </c>
      <c r="J160" s="149">
        <f t="shared" si="444"/>
        <v>8.5399433139370284</v>
      </c>
      <c r="K160" s="149">
        <f t="shared" si="445"/>
        <v>17.491498837354161</v>
      </c>
      <c r="L160" s="379"/>
      <c r="M160" s="188">
        <f t="shared" si="446"/>
        <v>0.48823181478493555</v>
      </c>
      <c r="N160" s="149">
        <f t="shared" si="447"/>
        <v>146.07447902271983</v>
      </c>
      <c r="O160" s="149">
        <f t="shared" si="438"/>
        <v>42.5</v>
      </c>
      <c r="P160" s="188">
        <f t="shared" si="448"/>
        <v>0.85926164131011662</v>
      </c>
      <c r="Q160" s="188">
        <f t="shared" si="449"/>
        <v>170</v>
      </c>
      <c r="R160" s="188"/>
      <c r="S160" s="149">
        <f t="shared" si="450"/>
        <v>1014.6330552174021</v>
      </c>
      <c r="T160" s="149">
        <f t="shared" si="451"/>
        <v>170</v>
      </c>
      <c r="U160" s="188">
        <f t="shared" si="452"/>
        <v>19.540097037875888</v>
      </c>
      <c r="V160" s="188">
        <f t="shared" si="453"/>
        <v>3.2743075189713049</v>
      </c>
      <c r="W160" s="188">
        <f t="shared" si="454"/>
        <v>3.4321241347094449</v>
      </c>
      <c r="X160" s="172">
        <f t="shared" si="455"/>
        <v>218.52265907106715</v>
      </c>
      <c r="Y160" s="379">
        <f t="shared" si="328"/>
        <v>144.79257164111004</v>
      </c>
      <c r="AA160" s="188">
        <f t="shared" si="456"/>
        <v>13.333333333333334</v>
      </c>
      <c r="AB160" s="150">
        <f t="shared" si="457"/>
        <v>2.3419359198041017</v>
      </c>
      <c r="AC160" s="150">
        <f t="shared" si="458"/>
        <v>0.17058868818987927</v>
      </c>
      <c r="AD160" s="150"/>
      <c r="AE160" s="150">
        <f t="shared" si="459"/>
        <v>2.3419359198041017</v>
      </c>
      <c r="AF160" s="314">
        <f t="shared" si="460"/>
        <v>320.2478742726384</v>
      </c>
      <c r="AG160" s="456">
        <f t="shared" si="461"/>
        <v>0.17058868818987932</v>
      </c>
      <c r="AI160" s="150">
        <f t="shared" si="462"/>
        <v>12.754041984097977</v>
      </c>
      <c r="AJ160" s="150">
        <f t="shared" si="463"/>
        <v>19.540097037875888</v>
      </c>
      <c r="AK160" s="150">
        <f t="shared" si="464"/>
        <v>5.7976027441055962</v>
      </c>
      <c r="AM160" s="314">
        <f t="shared" si="465"/>
        <v>250</v>
      </c>
      <c r="AN160" s="144">
        <f t="shared" si="466"/>
        <v>144.79257164111004</v>
      </c>
      <c r="AP160">
        <f t="shared" si="467"/>
        <v>250</v>
      </c>
      <c r="AQ160">
        <f t="shared" si="468"/>
        <v>144.79257164111004</v>
      </c>
      <c r="AS160" s="5">
        <f t="shared" si="439"/>
        <v>6.9064316536807491</v>
      </c>
      <c r="AT160" s="5">
        <f t="shared" si="469"/>
        <v>3.2743075189713049</v>
      </c>
      <c r="AU160" s="5">
        <f t="shared" si="343"/>
        <v>3.6321241347094442</v>
      </c>
      <c r="AV160" s="5"/>
      <c r="AW160" s="150">
        <f t="shared" si="344"/>
        <v>0.47409540601567796</v>
      </c>
      <c r="AX160" s="150">
        <f t="shared" si="435"/>
        <v>41.463024401984718</v>
      </c>
      <c r="AY160" s="150">
        <f t="shared" si="436"/>
        <v>0.25690566997795938</v>
      </c>
      <c r="AZ160" s="150">
        <f t="shared" si="440"/>
        <v>161.39396380602241</v>
      </c>
      <c r="BA160" s="144">
        <f t="shared" si="433"/>
        <v>0.48151581161342721</v>
      </c>
      <c r="BB160" s="5">
        <f t="shared" si="434"/>
        <v>28.740866195700875</v>
      </c>
      <c r="BD160" s="150">
        <f t="shared" si="441"/>
        <v>7.7678165832193438</v>
      </c>
      <c r="BE160" s="150">
        <f t="shared" si="437"/>
        <v>0.40906241255460618</v>
      </c>
      <c r="BG160" s="456">
        <f t="shared" si="347"/>
        <v>0.20515251319982727</v>
      </c>
      <c r="BH160" s="456">
        <f t="shared" si="470"/>
        <v>1.1852379292396955</v>
      </c>
      <c r="BI160" s="456">
        <f t="shared" si="471"/>
        <v>5.9362238494607721E-2</v>
      </c>
      <c r="BJ160" s="456">
        <f t="shared" si="350"/>
        <v>3.0345262885308165E-2</v>
      </c>
      <c r="BK160">
        <f t="shared" si="351"/>
        <v>4.0281999855377093E-3</v>
      </c>
      <c r="BL160" s="144">
        <f t="shared" si="427"/>
        <v>63.390438480145434</v>
      </c>
      <c r="BM160" s="456">
        <f t="shared" si="472"/>
        <v>1.5517665611243794</v>
      </c>
      <c r="BN160" s="144">
        <f t="shared" si="353"/>
        <v>1551.7665611243795</v>
      </c>
      <c r="BO160" s="456">
        <f t="shared" si="354"/>
        <v>0.625</v>
      </c>
      <c r="BR160" s="144">
        <f t="shared" si="355"/>
        <v>625</v>
      </c>
      <c r="BS160" s="456">
        <f t="shared" si="356"/>
        <v>9.0508461705806162E-2</v>
      </c>
      <c r="BT160" s="456">
        <f t="shared" si="357"/>
        <v>3.3466411472998968E-2</v>
      </c>
      <c r="BU160" s="456">
        <f t="shared" si="358"/>
        <v>21.288864547391082</v>
      </c>
      <c r="BV160" s="456"/>
      <c r="BW160" s="456">
        <f t="shared" si="359"/>
        <v>5.5284032535979619E-2</v>
      </c>
      <c r="BX160" s="144">
        <f t="shared" si="360"/>
        <v>21468.123453105869</v>
      </c>
      <c r="BY160" s="150">
        <f t="shared" si="361"/>
        <v>23.577249596910843</v>
      </c>
      <c r="BZ160" s="5">
        <f t="shared" si="362"/>
        <v>42.5</v>
      </c>
      <c r="CA160" s="150">
        <f t="shared" si="363"/>
        <v>0.64318657721472261</v>
      </c>
      <c r="CB160" s="5">
        <f t="shared" si="364"/>
        <v>64.318657721472263</v>
      </c>
      <c r="CE160" s="59">
        <f t="shared" si="473"/>
        <v>-50</v>
      </c>
      <c r="CF160">
        <f t="shared" si="474"/>
        <v>-50</v>
      </c>
      <c r="CG160" s="150">
        <f t="shared" si="475"/>
        <v>0.5057336094465037</v>
      </c>
      <c r="CI160" s="147">
        <v>50</v>
      </c>
      <c r="CJ160" s="188">
        <f t="shared" si="428"/>
        <v>0.25</v>
      </c>
      <c r="CK160" s="188"/>
      <c r="CL160" s="188">
        <f t="shared" si="368"/>
        <v>42.5</v>
      </c>
      <c r="CM160" s="465">
        <f t="shared" si="369"/>
        <v>9</v>
      </c>
      <c r="CN160" s="379">
        <f t="shared" si="370"/>
        <v>8.5350000000000001</v>
      </c>
      <c r="CO160" s="379">
        <f t="shared" si="371"/>
        <v>17.535</v>
      </c>
      <c r="CP160" s="379"/>
      <c r="CQ160" s="188">
        <f t="shared" si="372"/>
        <v>0.48674080410607357</v>
      </c>
      <c r="CR160" s="149">
        <f t="shared" si="429"/>
        <v>146.41650128314802</v>
      </c>
      <c r="CS160" s="149">
        <f t="shared" si="373"/>
        <v>42.5</v>
      </c>
      <c r="CT160" s="188">
        <f t="shared" si="374"/>
        <v>0.86127353695969422</v>
      </c>
      <c r="CU160" s="188">
        <f t="shared" si="375"/>
        <v>170</v>
      </c>
      <c r="CV160" s="188"/>
      <c r="CW160" s="149">
        <f t="shared" si="376"/>
        <v>1020.1234297688768</v>
      </c>
      <c r="CX160" s="149">
        <f t="shared" si="377"/>
        <v>170</v>
      </c>
      <c r="CY160" s="188">
        <f t="shared" si="378"/>
        <v>19.403436828744386</v>
      </c>
      <c r="CZ160" s="188">
        <f t="shared" si="379"/>
        <v>3.2339061381240648</v>
      </c>
      <c r="DA160" s="188">
        <f t="shared" si="380"/>
        <v>3.4100943460007711</v>
      </c>
      <c r="DB160" s="172">
        <f t="shared" si="381"/>
        <v>219.03336184773312</v>
      </c>
      <c r="DC160" s="379">
        <f t="shared" si="382"/>
        <v>150.51172894845482</v>
      </c>
      <c r="DE160" s="188">
        <f t="shared" si="383"/>
        <v>13.333333333333334</v>
      </c>
      <c r="DF160" s="150">
        <f t="shared" si="384"/>
        <v>2.3432923257176337</v>
      </c>
      <c r="DG160" s="150">
        <f t="shared" si="385"/>
        <v>0.17108639863130889</v>
      </c>
      <c r="DH160" s="150"/>
      <c r="DI160" s="150">
        <f t="shared" si="386"/>
        <v>2.3432923257176337</v>
      </c>
      <c r="DJ160" s="314">
        <f t="shared" si="387"/>
        <v>320.06249999999989</v>
      </c>
      <c r="DK160" s="456">
        <f t="shared" si="388"/>
        <v>0.17108639863130887</v>
      </c>
      <c r="DM160" s="150">
        <f t="shared" si="389"/>
        <v>12.750350135248388</v>
      </c>
      <c r="DN160" s="150">
        <f t="shared" si="390"/>
        <v>19.403436828744386</v>
      </c>
      <c r="DO160" s="150">
        <f t="shared" si="391"/>
        <v>5.6963729595637425</v>
      </c>
      <c r="DQ160" s="314">
        <f t="shared" si="392"/>
        <v>250</v>
      </c>
      <c r="DR160" s="144">
        <f t="shared" si="393"/>
        <v>150.51172894845482</v>
      </c>
      <c r="DT160">
        <f t="shared" si="430"/>
        <v>250</v>
      </c>
      <c r="DU160">
        <f t="shared" si="431"/>
        <v>150.51172894845482</v>
      </c>
      <c r="DW160" s="5">
        <f t="shared" si="394"/>
        <v>6.6440004841248363</v>
      </c>
      <c r="DX160" s="5">
        <f t="shared" si="395"/>
        <v>3.2339061381240648</v>
      </c>
      <c r="DY160" s="5">
        <f t="shared" si="396"/>
        <v>3.4100943460007715</v>
      </c>
      <c r="DZ160" s="5"/>
      <c r="EA160" s="150">
        <f t="shared" si="397"/>
        <v>0.48674080410607357</v>
      </c>
      <c r="EB160" s="150">
        <f t="shared" si="398"/>
        <v>42.499999999999986</v>
      </c>
      <c r="EC160" s="150">
        <f t="shared" si="399"/>
        <v>0.24897480960749854</v>
      </c>
      <c r="ED160" s="150">
        <f t="shared" si="400"/>
        <v>170.69999999999993</v>
      </c>
      <c r="EE160" s="144">
        <f t="shared" si="401"/>
        <v>0.47557443207706834</v>
      </c>
      <c r="EF160" s="5">
        <f t="shared" si="402"/>
        <v>26.838705500931997</v>
      </c>
      <c r="EH160" s="150">
        <f t="shared" si="403"/>
        <v>7.8156825498558486</v>
      </c>
      <c r="EI160" s="150">
        <f t="shared" si="404"/>
        <v>0.40128821687858213</v>
      </c>
      <c r="EK160" s="456">
        <f t="shared" si="405"/>
        <v>0.20768863864841214</v>
      </c>
      <c r="EL160" s="456">
        <f t="shared" si="406"/>
        <v>1.5567839999999997</v>
      </c>
      <c r="EM160" s="456">
        <f t="shared" si="407"/>
        <v>3.4467185929196155E-2</v>
      </c>
      <c r="EN160" s="456">
        <f t="shared" si="408"/>
        <v>3.1700963091176461E-2</v>
      </c>
      <c r="EO160">
        <f t="shared" si="409"/>
        <v>4.0499999999999998E-3</v>
      </c>
      <c r="EP160" s="144">
        <f t="shared" si="410"/>
        <v>38.517185929196152</v>
      </c>
      <c r="EQ160" s="144"/>
      <c r="ER160" s="144">
        <f t="shared" si="432"/>
        <v>1834.6907876687847</v>
      </c>
      <c r="ES160" s="456">
        <f t="shared" si="411"/>
        <v>0.625</v>
      </c>
      <c r="EV160" s="144">
        <f t="shared" si="412"/>
        <v>625</v>
      </c>
      <c r="EW160" s="456">
        <f t="shared" si="413"/>
        <v>9.1627340580181835E-2</v>
      </c>
      <c r="EX160" s="456">
        <f t="shared" si="414"/>
        <v>3.2206446601118398E-2</v>
      </c>
      <c r="EY160" s="456">
        <f t="shared" si="415"/>
        <v>23.045838725832731</v>
      </c>
      <c r="EZ160" s="456"/>
      <c r="FA160" s="456">
        <f t="shared" si="416"/>
        <v>5.6666666666666664E-2</v>
      </c>
      <c r="FB160" s="144">
        <f t="shared" si="417"/>
        <v>23226.339179680701</v>
      </c>
      <c r="FC160" s="150">
        <f t="shared" si="418"/>
        <v>25.686029967349484</v>
      </c>
      <c r="FD160" s="5">
        <f t="shared" si="419"/>
        <v>42.5</v>
      </c>
      <c r="FE160" s="150">
        <f t="shared" si="420"/>
        <v>0.62329483063247559</v>
      </c>
      <c r="FF160" s="5">
        <f t="shared" si="421"/>
        <v>62.329483063247558</v>
      </c>
      <c r="FI160" s="59">
        <f t="shared" si="422"/>
        <v>-50</v>
      </c>
      <c r="FJ160">
        <f t="shared" si="423"/>
        <v>-50</v>
      </c>
      <c r="FL160">
        <f t="shared" si="476"/>
        <v>0.51325919589392643</v>
      </c>
    </row>
    <row r="161" spans="5:168">
      <c r="E161" s="147">
        <v>51</v>
      </c>
      <c r="F161" s="188">
        <f t="shared" si="477"/>
        <v>0.255</v>
      </c>
      <c r="G161" s="188"/>
      <c r="H161" s="188">
        <f t="shared" si="442"/>
        <v>43.35</v>
      </c>
      <c r="I161" s="465">
        <f t="shared" si="443"/>
        <v>8.9506010472741551</v>
      </c>
      <c r="J161" s="149">
        <f t="shared" si="444"/>
        <v>8.5400407094618203</v>
      </c>
      <c r="K161" s="149">
        <f t="shared" si="445"/>
        <v>17.490641756735975</v>
      </c>
      <c r="L161" s="379"/>
      <c r="M161" s="188">
        <f t="shared" si="446"/>
        <v>0.48826130841441068</v>
      </c>
      <c r="N161" s="149">
        <f t="shared" si="447"/>
        <v>146.06772684397518</v>
      </c>
      <c r="O161" s="149">
        <f t="shared" si="438"/>
        <v>43.35</v>
      </c>
      <c r="P161" s="188">
        <f t="shared" si="448"/>
        <v>0.85922192261161867</v>
      </c>
      <c r="Q161" s="188">
        <f t="shared" si="449"/>
        <v>170</v>
      </c>
      <c r="R161" s="188"/>
      <c r="S161" s="149">
        <f t="shared" si="450"/>
        <v>991.12752878081903</v>
      </c>
      <c r="T161" s="149">
        <f t="shared" si="451"/>
        <v>170</v>
      </c>
      <c r="U161" s="188">
        <f t="shared" si="452"/>
        <v>19.9320476792481</v>
      </c>
      <c r="V161" s="188">
        <f t="shared" si="453"/>
        <v>3.3403423257231881</v>
      </c>
      <c r="W161" s="188">
        <f t="shared" si="454"/>
        <v>3.5009284540935495</v>
      </c>
      <c r="X161" s="172">
        <f t="shared" si="455"/>
        <v>218.51255768941402</v>
      </c>
      <c r="Y161" s="379">
        <f t="shared" si="328"/>
        <v>142.01981876146894</v>
      </c>
      <c r="AA161" s="188">
        <f t="shared" si="456"/>
        <v>13.333333333333336</v>
      </c>
      <c r="AB161" s="150">
        <f t="shared" si="457"/>
        <v>2.3419092110229967</v>
      </c>
      <c r="AC161" s="150">
        <f t="shared" si="458"/>
        <v>0.17057885719234425</v>
      </c>
      <c r="AD161" s="150"/>
      <c r="AE161" s="150">
        <f t="shared" si="459"/>
        <v>2.3419092110229967</v>
      </c>
      <c r="AF161" s="314">
        <f t="shared" si="460"/>
        <v>326.65655713691456</v>
      </c>
      <c r="AG161" s="456">
        <f t="shared" si="461"/>
        <v>0.17057885719234422</v>
      </c>
      <c r="AI161" s="150">
        <f t="shared" si="462"/>
        <v>12.881024451754092</v>
      </c>
      <c r="AJ161" s="150">
        <f t="shared" si="463"/>
        <v>19.9320476792481</v>
      </c>
      <c r="AK161" s="150">
        <f t="shared" si="464"/>
        <v>6.0879365525294569</v>
      </c>
      <c r="AM161" s="314">
        <f t="shared" si="465"/>
        <v>255</v>
      </c>
      <c r="AN161" s="144">
        <f t="shared" si="466"/>
        <v>142.01981876146894</v>
      </c>
      <c r="AP161">
        <f t="shared" si="467"/>
        <v>255</v>
      </c>
      <c r="AQ161">
        <f t="shared" si="468"/>
        <v>142.01981876146894</v>
      </c>
      <c r="AS161" s="5">
        <f t="shared" si="439"/>
        <v>7.0412707798167364</v>
      </c>
      <c r="AT161" s="5">
        <f t="shared" si="469"/>
        <v>3.3403423257231881</v>
      </c>
      <c r="AU161" s="5">
        <f t="shared" si="343"/>
        <v>3.7009284540935483</v>
      </c>
      <c r="AV161" s="5"/>
      <c r="AW161" s="150">
        <f t="shared" si="344"/>
        <v>0.47439481170047082</v>
      </c>
      <c r="AX161" s="150">
        <f t="shared" si="435"/>
        <v>42.316920174403492</v>
      </c>
      <c r="AY161" s="150">
        <f t="shared" si="436"/>
        <v>0.26190969184115981</v>
      </c>
      <c r="AZ161" s="150">
        <f t="shared" si="440"/>
        <v>161.57065390335919</v>
      </c>
      <c r="BA161" s="144">
        <f t="shared" si="433"/>
        <v>0.50105134885847824</v>
      </c>
      <c r="BB161" s="5">
        <f t="shared" si="434"/>
        <v>29.874203910550932</v>
      </c>
      <c r="BD161" s="150">
        <f t="shared" si="441"/>
        <v>7.926131172066496</v>
      </c>
      <c r="BE161" s="150">
        <f t="shared" si="437"/>
        <v>0.41714891287705141</v>
      </c>
      <c r="BG161" s="456">
        <f t="shared" si="347"/>
        <v>0.21360008821313428</v>
      </c>
      <c r="BH161" s="456">
        <f t="shared" si="470"/>
        <v>1.185801878138727</v>
      </c>
      <c r="BI161" s="456">
        <f t="shared" si="471"/>
        <v>5.8219253425136099E-2</v>
      </c>
      <c r="BJ161" s="456">
        <f t="shared" si="350"/>
        <v>2.9761239506436124E-2</v>
      </c>
      <c r="BK161">
        <f t="shared" si="351"/>
        <v>4.0277704712733692E-3</v>
      </c>
      <c r="BL161" s="144">
        <f t="shared" si="427"/>
        <v>62.247023896409466</v>
      </c>
      <c r="BM161" s="456">
        <f t="shared" si="472"/>
        <v>1.5663285675133696</v>
      </c>
      <c r="BN161" s="144">
        <f t="shared" si="353"/>
        <v>1566.3285675133695</v>
      </c>
      <c r="BO161" s="456">
        <f t="shared" si="354"/>
        <v>0.63749999999999996</v>
      </c>
      <c r="BR161" s="144">
        <f t="shared" si="355"/>
        <v>637.5</v>
      </c>
      <c r="BS161" s="456">
        <f t="shared" si="356"/>
        <v>9.4235333035206315E-2</v>
      </c>
      <c r="BT161" s="456">
        <f t="shared" si="357"/>
        <v>3.4802643102901168E-2</v>
      </c>
      <c r="BU161" s="456">
        <f t="shared" si="358"/>
        <v>21.316808463847018</v>
      </c>
      <c r="BV161" s="456"/>
      <c r="BW161" s="456">
        <f t="shared" si="359"/>
        <v>5.6422560232537992E-2</v>
      </c>
      <c r="BX161" s="144">
        <f t="shared" si="360"/>
        <v>21502.269000217664</v>
      </c>
      <c r="BY161" s="150">
        <f t="shared" si="361"/>
        <v>23.631179229972371</v>
      </c>
      <c r="BZ161" s="5">
        <f t="shared" si="362"/>
        <v>43.35</v>
      </c>
      <c r="CA161" s="150">
        <f t="shared" si="363"/>
        <v>0.64719672747418555</v>
      </c>
      <c r="CB161" s="5">
        <f t="shared" si="364"/>
        <v>64.719672747418556</v>
      </c>
      <c r="CE161" s="59">
        <f t="shared" si="473"/>
        <v>-50</v>
      </c>
      <c r="CF161">
        <f t="shared" si="474"/>
        <v>-50</v>
      </c>
      <c r="CG161" s="150">
        <f t="shared" si="475"/>
        <v>0.50588116996508059</v>
      </c>
      <c r="CI161" s="147">
        <v>51</v>
      </c>
      <c r="CJ161" s="188">
        <f t="shared" si="428"/>
        <v>0.255</v>
      </c>
      <c r="CK161" s="188"/>
      <c r="CL161" s="188">
        <f t="shared" si="368"/>
        <v>43.35</v>
      </c>
      <c r="CM161" s="465">
        <f t="shared" si="369"/>
        <v>9</v>
      </c>
      <c r="CN161" s="379">
        <f t="shared" si="370"/>
        <v>8.5350000000000001</v>
      </c>
      <c r="CO161" s="379">
        <f t="shared" si="371"/>
        <v>17.535</v>
      </c>
      <c r="CP161" s="379"/>
      <c r="CQ161" s="188">
        <f t="shared" si="372"/>
        <v>0.48674080410607357</v>
      </c>
      <c r="CR161" s="149">
        <f t="shared" si="429"/>
        <v>146.41650128314802</v>
      </c>
      <c r="CS161" s="149">
        <f t="shared" si="373"/>
        <v>43.35</v>
      </c>
      <c r="CT161" s="188">
        <f t="shared" si="374"/>
        <v>0.86127353695969422</v>
      </c>
      <c r="CU161" s="188">
        <f t="shared" si="375"/>
        <v>170</v>
      </c>
      <c r="CV161" s="188"/>
      <c r="CW161" s="149">
        <f t="shared" si="376"/>
        <v>996.59692974527195</v>
      </c>
      <c r="CX161" s="149">
        <f t="shared" si="377"/>
        <v>170</v>
      </c>
      <c r="CY161" s="188">
        <f t="shared" si="378"/>
        <v>19.791505565319273</v>
      </c>
      <c r="CZ161" s="188">
        <f t="shared" si="379"/>
        <v>3.2985842608865457</v>
      </c>
      <c r="DA161" s="188">
        <f t="shared" si="380"/>
        <v>3.4782962329207865</v>
      </c>
      <c r="DB161" s="172">
        <f t="shared" si="381"/>
        <v>219.03336184773312</v>
      </c>
      <c r="DC161" s="379">
        <f t="shared" si="382"/>
        <v>147.56051857691651</v>
      </c>
      <c r="DE161" s="188">
        <f t="shared" si="383"/>
        <v>13.333333333333334</v>
      </c>
      <c r="DF161" s="150">
        <f t="shared" si="384"/>
        <v>2.3432923257176337</v>
      </c>
      <c r="DG161" s="150">
        <f t="shared" si="385"/>
        <v>0.17108639863130889</v>
      </c>
      <c r="DH161" s="150"/>
      <c r="DI161" s="150">
        <f t="shared" si="386"/>
        <v>2.3432923257176337</v>
      </c>
      <c r="DJ161" s="314">
        <f t="shared" si="387"/>
        <v>326.46374999999995</v>
      </c>
      <c r="DK161" s="456">
        <f t="shared" si="388"/>
        <v>0.17108639863130887</v>
      </c>
      <c r="DM161" s="150">
        <f t="shared" si="389"/>
        <v>12.877222415678666</v>
      </c>
      <c r="DN161" s="150">
        <f t="shared" si="390"/>
        <v>19.791505565319273</v>
      </c>
      <c r="DO161" s="150">
        <f t="shared" si="391"/>
        <v>5.9838312829525471</v>
      </c>
      <c r="DQ161" s="314">
        <f t="shared" si="392"/>
        <v>255</v>
      </c>
      <c r="DR161" s="144">
        <f t="shared" si="393"/>
        <v>147.56051857691651</v>
      </c>
      <c r="DT161">
        <f t="shared" si="430"/>
        <v>255</v>
      </c>
      <c r="DU161">
        <f t="shared" si="431"/>
        <v>147.56051857691651</v>
      </c>
      <c r="DW161" s="5">
        <f t="shared" si="394"/>
        <v>6.7768804938073322</v>
      </c>
      <c r="DX161" s="5">
        <f t="shared" si="395"/>
        <v>3.2985842608865457</v>
      </c>
      <c r="DY161" s="5">
        <f t="shared" si="396"/>
        <v>3.4782962329207865</v>
      </c>
      <c r="DZ161" s="5"/>
      <c r="EA161" s="150">
        <f t="shared" si="397"/>
        <v>0.48674080410607357</v>
      </c>
      <c r="EB161" s="150">
        <f t="shared" si="398"/>
        <v>43.35</v>
      </c>
      <c r="EC161" s="150">
        <f t="shared" si="399"/>
        <v>0.25395430579964851</v>
      </c>
      <c r="ED161" s="150">
        <f t="shared" si="400"/>
        <v>170.70000000000002</v>
      </c>
      <c r="EE161" s="144">
        <f t="shared" si="401"/>
        <v>0.49478763913298179</v>
      </c>
      <c r="EF161" s="5">
        <f t="shared" si="402"/>
        <v>27.922989203169642</v>
      </c>
      <c r="EH161" s="150">
        <f t="shared" si="403"/>
        <v>7.9719962008529661</v>
      </c>
      <c r="EI161" s="150">
        <f t="shared" si="404"/>
        <v>0.40931398121615375</v>
      </c>
      <c r="EK161" s="456">
        <f t="shared" si="405"/>
        <v>0.21607925964980801</v>
      </c>
      <c r="EL161" s="456">
        <f t="shared" si="406"/>
        <v>1.5567839999999999</v>
      </c>
      <c r="EM161" s="456">
        <f t="shared" si="407"/>
        <v>3.3791358754113883E-2</v>
      </c>
      <c r="EN161" s="456">
        <f t="shared" si="408"/>
        <v>3.1079375579584772E-2</v>
      </c>
      <c r="EO161">
        <f t="shared" si="409"/>
        <v>4.0499999999999998E-3</v>
      </c>
      <c r="EP161" s="144">
        <f t="shared" si="410"/>
        <v>37.841358754113884</v>
      </c>
      <c r="EQ161" s="144"/>
      <c r="ER161" s="144">
        <f t="shared" si="432"/>
        <v>1841.7839939835069</v>
      </c>
      <c r="ES161" s="456">
        <f t="shared" si="411"/>
        <v>0.63749999999999996</v>
      </c>
      <c r="EV161" s="144">
        <f t="shared" si="412"/>
        <v>637.5</v>
      </c>
      <c r="EW161" s="456">
        <f t="shared" si="413"/>
        <v>9.5329085139621184E-2</v>
      </c>
      <c r="EX161" s="456">
        <f t="shared" si="414"/>
        <v>3.350758704380357E-2</v>
      </c>
      <c r="EY161" s="456">
        <f t="shared" si="415"/>
        <v>23.045838725832805</v>
      </c>
      <c r="EZ161" s="456"/>
      <c r="FA161" s="456">
        <f t="shared" si="416"/>
        <v>5.7799999999999997E-2</v>
      </c>
      <c r="FB161" s="144">
        <f t="shared" si="417"/>
        <v>23232.475398016231</v>
      </c>
      <c r="FC161" s="150">
        <f t="shared" si="418"/>
        <v>25.711759391999738</v>
      </c>
      <c r="FD161" s="5">
        <f t="shared" si="419"/>
        <v>43.35</v>
      </c>
      <c r="FE161" s="150">
        <f t="shared" si="420"/>
        <v>0.62769903897093238</v>
      </c>
      <c r="FF161" s="5">
        <f t="shared" si="421"/>
        <v>62.769903897093236</v>
      </c>
      <c r="FI161" s="59">
        <f t="shared" si="422"/>
        <v>-50</v>
      </c>
      <c r="FJ161">
        <f t="shared" si="423"/>
        <v>-50</v>
      </c>
      <c r="FL161">
        <f t="shared" si="476"/>
        <v>0.51325919589392643</v>
      </c>
    </row>
    <row r="162" spans="5:168">
      <c r="E162" s="147">
        <v>52</v>
      </c>
      <c r="F162" s="188">
        <f t="shared" si="477"/>
        <v>0.26</v>
      </c>
      <c r="G162" s="188"/>
      <c r="H162" s="188">
        <f t="shared" si="442"/>
        <v>44.2</v>
      </c>
      <c r="I162" s="465">
        <f t="shared" si="443"/>
        <v>8.949646563048363</v>
      </c>
      <c r="J162" s="149">
        <f t="shared" si="444"/>
        <v>8.5401381058113923</v>
      </c>
      <c r="K162" s="149">
        <f t="shared" si="445"/>
        <v>17.489784668859755</v>
      </c>
      <c r="L162" s="379"/>
      <c r="M162" s="188">
        <f t="shared" si="446"/>
        <v>0.48829080516013812</v>
      </c>
      <c r="N162" s="149">
        <f t="shared" si="447"/>
        <v>146.06097358367356</v>
      </c>
      <c r="O162" s="149">
        <f t="shared" si="438"/>
        <v>44.2</v>
      </c>
      <c r="P162" s="188">
        <f t="shared" si="448"/>
        <v>0.85918219755102088</v>
      </c>
      <c r="Q162" s="188">
        <f t="shared" si="449"/>
        <v>170</v>
      </c>
      <c r="R162" s="188"/>
      <c r="S162" s="149">
        <f t="shared" si="450"/>
        <v>968.52692693028564</v>
      </c>
      <c r="T162" s="149">
        <f t="shared" si="451"/>
        <v>170</v>
      </c>
      <c r="U162" s="188">
        <f t="shared" si="452"/>
        <v>20.324043626487214</v>
      </c>
      <c r="V162" s="188">
        <f t="shared" si="453"/>
        <v>3.4063988141836612</v>
      </c>
      <c r="W162" s="188">
        <f t="shared" si="454"/>
        <v>3.5697391613591902</v>
      </c>
      <c r="X162" s="172">
        <f t="shared" si="455"/>
        <v>218.50245470065073</v>
      </c>
      <c r="Y162" s="379">
        <f t="shared" si="328"/>
        <v>139.35072087634342</v>
      </c>
      <c r="AA162" s="188">
        <f t="shared" si="456"/>
        <v>13.333333333333334</v>
      </c>
      <c r="AB162" s="150">
        <f t="shared" si="457"/>
        <v>2.3418825026249168</v>
      </c>
      <c r="AC162" s="150">
        <f t="shared" si="458"/>
        <v>0.17056902514801583</v>
      </c>
      <c r="AD162" s="150"/>
      <c r="AE162" s="150">
        <f t="shared" si="459"/>
        <v>2.3418825026249168</v>
      </c>
      <c r="AF162" s="314">
        <f t="shared" si="460"/>
        <v>333.06538612664428</v>
      </c>
      <c r="AG162" s="456">
        <f t="shared" si="461"/>
        <v>0.17056902514801583</v>
      </c>
      <c r="AI162" s="150">
        <f t="shared" si="462"/>
        <v>13.006770127271887</v>
      </c>
      <c r="AJ162" s="150">
        <f t="shared" si="463"/>
        <v>20.324043626487214</v>
      </c>
      <c r="AK162" s="150">
        <f t="shared" si="464"/>
        <v>6.3783039208547256</v>
      </c>
      <c r="AM162" s="314">
        <f t="shared" si="465"/>
        <v>260</v>
      </c>
      <c r="AN162" s="144">
        <f t="shared" si="466"/>
        <v>139.35072087634342</v>
      </c>
      <c r="AP162">
        <f t="shared" si="467"/>
        <v>260</v>
      </c>
      <c r="AQ162">
        <f t="shared" si="468"/>
        <v>139.35072087634342</v>
      </c>
      <c r="AS162" s="5">
        <f t="shared" si="439"/>
        <v>7.1761379755428516</v>
      </c>
      <c r="AT162" s="5">
        <f t="shared" si="469"/>
        <v>3.4063988141836612</v>
      </c>
      <c r="AU162" s="5">
        <f t="shared" si="343"/>
        <v>3.7697391613591904</v>
      </c>
      <c r="AV162" s="5"/>
      <c r="AW162" s="150">
        <f t="shared" si="344"/>
        <v>0.47468413034881457</v>
      </c>
      <c r="AX162" s="150">
        <f t="shared" si="435"/>
        <v>43.170861967029182</v>
      </c>
      <c r="AY162" s="150">
        <f t="shared" si="436"/>
        <v>0.26691356631191909</v>
      </c>
      <c r="AZ162" s="150">
        <f t="shared" si="440"/>
        <v>161.74098066105446</v>
      </c>
      <c r="BA162" s="144">
        <f t="shared" si="433"/>
        <v>0.52097864216926582</v>
      </c>
      <c r="BB162" s="5">
        <f t="shared" si="434"/>
        <v>31.029618461886777</v>
      </c>
      <c r="BD162" s="150">
        <f t="shared" si="441"/>
        <v>8.0844754660267704</v>
      </c>
      <c r="BE162" s="150">
        <f t="shared" si="437"/>
        <v>0.42523573721818242</v>
      </c>
      <c r="BG162" s="456">
        <f t="shared" si="347"/>
        <v>0.22221972810668181</v>
      </c>
      <c r="BH162" s="456">
        <f t="shared" si="470"/>
        <v>1.1863403951749067</v>
      </c>
      <c r="BI162" s="456">
        <f t="shared" si="471"/>
        <v>5.7118998266836959E-2</v>
      </c>
      <c r="BJ162" s="456">
        <f t="shared" si="350"/>
        <v>2.9199049632523299E-2</v>
      </c>
      <c r="BK162">
        <f t="shared" si="351"/>
        <v>4.0273409533717634E-3</v>
      </c>
      <c r="BL162" s="144">
        <f t="shared" si="427"/>
        <v>61.146339220208723</v>
      </c>
      <c r="BM162" s="456">
        <f t="shared" si="472"/>
        <v>1.5812474265759733</v>
      </c>
      <c r="BN162" s="144">
        <f t="shared" si="353"/>
        <v>1581.2474265759733</v>
      </c>
      <c r="BO162" s="456">
        <f t="shared" si="354"/>
        <v>0.65</v>
      </c>
      <c r="BR162" s="144">
        <f t="shared" si="355"/>
        <v>650</v>
      </c>
      <c r="BS162" s="456">
        <f t="shared" si="356"/>
        <v>9.8038115341183146E-2</v>
      </c>
      <c r="BT162" s="456">
        <f t="shared" si="357"/>
        <v>3.6165086441498219E-2</v>
      </c>
      <c r="BU162" s="456">
        <f t="shared" si="358"/>
        <v>21.34363325070791</v>
      </c>
      <c r="BV162" s="456"/>
      <c r="BW162" s="456">
        <f t="shared" si="359"/>
        <v>5.7561149289372247E-2</v>
      </c>
      <c r="BX162" s="144">
        <f t="shared" si="360"/>
        <v>21535.397601779965</v>
      </c>
      <c r="BY162" s="150">
        <f t="shared" si="361"/>
        <v>23.684303113914286</v>
      </c>
      <c r="BZ162" s="5">
        <f t="shared" si="362"/>
        <v>44.2</v>
      </c>
      <c r="CA162" s="150">
        <f t="shared" si="363"/>
        <v>0.65110781097405568</v>
      </c>
      <c r="CB162" s="5">
        <f t="shared" si="364"/>
        <v>65.110781097405564</v>
      </c>
      <c r="CE162" s="59">
        <f t="shared" si="473"/>
        <v>-50</v>
      </c>
      <c r="CF162">
        <f t="shared" si="474"/>
        <v>-50</v>
      </c>
      <c r="CG162" s="150">
        <f t="shared" si="475"/>
        <v>0.50602305507909684</v>
      </c>
      <c r="CI162" s="147">
        <v>52</v>
      </c>
      <c r="CJ162" s="188">
        <f t="shared" si="428"/>
        <v>0.26</v>
      </c>
      <c r="CK162" s="188"/>
      <c r="CL162" s="188">
        <f t="shared" si="368"/>
        <v>44.2</v>
      </c>
      <c r="CM162" s="465">
        <f t="shared" si="369"/>
        <v>9</v>
      </c>
      <c r="CN162" s="379">
        <f t="shared" si="370"/>
        <v>8.5350000000000001</v>
      </c>
      <c r="CO162" s="379">
        <f t="shared" si="371"/>
        <v>17.535</v>
      </c>
      <c r="CP162" s="379"/>
      <c r="CQ162" s="188">
        <f t="shared" si="372"/>
        <v>0.48674080410607357</v>
      </c>
      <c r="CR162" s="149">
        <f t="shared" si="429"/>
        <v>146.41650128314802</v>
      </c>
      <c r="CS162" s="149">
        <f t="shared" si="373"/>
        <v>44.2</v>
      </c>
      <c r="CT162" s="188">
        <f t="shared" si="374"/>
        <v>0.86127353695969422</v>
      </c>
      <c r="CU162" s="188">
        <f t="shared" si="375"/>
        <v>170</v>
      </c>
      <c r="CV162" s="188"/>
      <c r="CW162" s="149">
        <f t="shared" si="376"/>
        <v>973.97542764995137</v>
      </c>
      <c r="CX162" s="149">
        <f t="shared" si="377"/>
        <v>170</v>
      </c>
      <c r="CY162" s="188">
        <f t="shared" si="378"/>
        <v>20.179574301894164</v>
      </c>
      <c r="CZ162" s="188">
        <f t="shared" si="379"/>
        <v>3.3632623836490279</v>
      </c>
      <c r="DA162" s="188">
        <f t="shared" si="380"/>
        <v>3.5464981198408019</v>
      </c>
      <c r="DB162" s="172">
        <f t="shared" si="381"/>
        <v>219.03336184773312</v>
      </c>
      <c r="DC162" s="379">
        <f t="shared" si="382"/>
        <v>144.72281629659116</v>
      </c>
      <c r="DE162" s="188">
        <f t="shared" si="383"/>
        <v>13.333333333333334</v>
      </c>
      <c r="DF162" s="150">
        <f t="shared" si="384"/>
        <v>2.3432923257176337</v>
      </c>
      <c r="DG162" s="150">
        <f t="shared" si="385"/>
        <v>0.17108639863130889</v>
      </c>
      <c r="DH162" s="150"/>
      <c r="DI162" s="150">
        <f t="shared" si="386"/>
        <v>2.3432923257176337</v>
      </c>
      <c r="DJ162" s="314">
        <f t="shared" si="387"/>
        <v>332.86499999999995</v>
      </c>
      <c r="DK162" s="456">
        <f t="shared" si="388"/>
        <v>0.17108639863130887</v>
      </c>
      <c r="DM162" s="150">
        <f t="shared" si="389"/>
        <v>13.002856828954386</v>
      </c>
      <c r="DN162" s="150">
        <f t="shared" si="390"/>
        <v>20.179574301894164</v>
      </c>
      <c r="DO162" s="150">
        <f t="shared" si="391"/>
        <v>6.2712896063413561</v>
      </c>
      <c r="DQ162" s="314">
        <f t="shared" si="392"/>
        <v>260</v>
      </c>
      <c r="DR162" s="144">
        <f t="shared" si="393"/>
        <v>144.72281629659116</v>
      </c>
      <c r="DT162">
        <f t="shared" si="430"/>
        <v>260</v>
      </c>
      <c r="DU162">
        <f t="shared" si="431"/>
        <v>144.72281629659116</v>
      </c>
      <c r="DW162" s="5">
        <f t="shared" si="394"/>
        <v>6.9097605034898306</v>
      </c>
      <c r="DX162" s="5">
        <f t="shared" si="395"/>
        <v>3.3632623836490279</v>
      </c>
      <c r="DY162" s="5">
        <f t="shared" si="396"/>
        <v>3.5464981198408028</v>
      </c>
      <c r="DZ162" s="5"/>
      <c r="EA162" s="150">
        <f t="shared" si="397"/>
        <v>0.48674080410607357</v>
      </c>
      <c r="EB162" s="150">
        <f t="shared" si="398"/>
        <v>44.199999999999996</v>
      </c>
      <c r="EC162" s="150">
        <f t="shared" si="399"/>
        <v>0.25893380199179855</v>
      </c>
      <c r="ED162" s="150">
        <f t="shared" si="400"/>
        <v>170.69999999999993</v>
      </c>
      <c r="EE162" s="144">
        <f t="shared" si="401"/>
        <v>0.5143813057345572</v>
      </c>
      <c r="EF162" s="5">
        <f t="shared" si="402"/>
        <v>29.02874386980805</v>
      </c>
      <c r="EH162" s="150">
        <f t="shared" si="403"/>
        <v>8.1283098518500836</v>
      </c>
      <c r="EI162" s="150">
        <f t="shared" si="404"/>
        <v>0.41733974555372549</v>
      </c>
      <c r="EK162" s="456">
        <f t="shared" si="405"/>
        <v>0.22463603156212261</v>
      </c>
      <c r="EL162" s="456">
        <f t="shared" si="406"/>
        <v>1.5567839999999997</v>
      </c>
      <c r="EM162" s="456">
        <f t="shared" si="407"/>
        <v>3.3141524931919381E-2</v>
      </c>
      <c r="EN162" s="456">
        <f t="shared" si="408"/>
        <v>3.0481695279977367E-2</v>
      </c>
      <c r="EO162">
        <f t="shared" si="409"/>
        <v>4.0499999999999998E-3</v>
      </c>
      <c r="EP162" s="144">
        <f t="shared" si="410"/>
        <v>37.191524931919382</v>
      </c>
      <c r="EQ162" s="144"/>
      <c r="ER162" s="144">
        <f t="shared" si="432"/>
        <v>1849.0932517740191</v>
      </c>
      <c r="ES162" s="456">
        <f t="shared" si="411"/>
        <v>0.65</v>
      </c>
      <c r="EV162" s="144">
        <f t="shared" si="412"/>
        <v>650</v>
      </c>
      <c r="EW162" s="456">
        <f t="shared" si="413"/>
        <v>9.9104131571524687E-2</v>
      </c>
      <c r="EX162" s="456">
        <f t="shared" si="414"/>
        <v>3.4834492643769664E-2</v>
      </c>
      <c r="EY162" s="456">
        <f t="shared" si="415"/>
        <v>23.045838725832748</v>
      </c>
      <c r="EZ162" s="456"/>
      <c r="FA162" s="456">
        <f t="shared" si="416"/>
        <v>5.8933333333333338E-2</v>
      </c>
      <c r="FB162" s="144">
        <f t="shared" si="417"/>
        <v>23238.710683381374</v>
      </c>
      <c r="FC162" s="150">
        <f t="shared" si="418"/>
        <v>25.737803935155394</v>
      </c>
      <c r="FD162" s="5">
        <f t="shared" si="419"/>
        <v>44.2</v>
      </c>
      <c r="FE162" s="150">
        <f t="shared" si="420"/>
        <v>0.63199010425007263</v>
      </c>
      <c r="FF162" s="5">
        <f t="shared" si="421"/>
        <v>63.199010425007259</v>
      </c>
      <c r="FI162" s="59">
        <f t="shared" si="422"/>
        <v>-50</v>
      </c>
      <c r="FJ162">
        <f t="shared" si="423"/>
        <v>-50</v>
      </c>
      <c r="FL162">
        <f t="shared" si="476"/>
        <v>0.51325919589392643</v>
      </c>
    </row>
    <row r="163" spans="5:168">
      <c r="E163" s="147">
        <v>53</v>
      </c>
      <c r="F163" s="188">
        <f t="shared" si="477"/>
        <v>0.26500000000000001</v>
      </c>
      <c r="G163" s="188"/>
      <c r="H163" s="188">
        <f t="shared" si="442"/>
        <v>45.050000000000004</v>
      </c>
      <c r="I163" s="465">
        <f t="shared" si="443"/>
        <v>8.9486920712036913</v>
      </c>
      <c r="J163" s="149">
        <f t="shared" si="444"/>
        <v>8.5402355029383994</v>
      </c>
      <c r="K163" s="149">
        <f t="shared" si="445"/>
        <v>17.488927574142089</v>
      </c>
      <c r="L163" s="379"/>
      <c r="M163" s="188">
        <f t="shared" si="446"/>
        <v>0.48832030500966278</v>
      </c>
      <c r="N163" s="149">
        <f t="shared" si="447"/>
        <v>146.05421924533957</v>
      </c>
      <c r="O163" s="149">
        <f t="shared" si="438"/>
        <v>45.050000000000004</v>
      </c>
      <c r="P163" s="188">
        <f t="shared" si="448"/>
        <v>0.85914246614905632</v>
      </c>
      <c r="Q163" s="188">
        <f t="shared" si="449"/>
        <v>170</v>
      </c>
      <c r="R163" s="188"/>
      <c r="S163" s="149">
        <f t="shared" si="450"/>
        <v>946.7800289579709</v>
      </c>
      <c r="T163" s="149">
        <f t="shared" si="451"/>
        <v>170</v>
      </c>
      <c r="U163" s="188">
        <f t="shared" si="452"/>
        <v>20.716084894086279</v>
      </c>
      <c r="V163" s="188">
        <f t="shared" si="453"/>
        <v>3.4724769937188857</v>
      </c>
      <c r="W163" s="188">
        <f t="shared" si="454"/>
        <v>3.6385562588335993</v>
      </c>
      <c r="X163" s="172">
        <f t="shared" si="455"/>
        <v>218.49235010942644</v>
      </c>
      <c r="Y163" s="379">
        <f t="shared" si="328"/>
        <v>136.77957211463541</v>
      </c>
      <c r="AA163" s="188">
        <f t="shared" si="456"/>
        <v>13.333333333333334</v>
      </c>
      <c r="AB163" s="150">
        <f t="shared" si="457"/>
        <v>2.3418557946228407</v>
      </c>
      <c r="AC163" s="150">
        <f t="shared" si="458"/>
        <v>0.1705591920615076</v>
      </c>
      <c r="AD163" s="150"/>
      <c r="AE163" s="150">
        <f t="shared" si="459"/>
        <v>2.3418557946228407</v>
      </c>
      <c r="AF163" s="314">
        <f t="shared" si="460"/>
        <v>339.47436124180138</v>
      </c>
      <c r="AG163" s="456">
        <f t="shared" si="461"/>
        <v>0.1705591920615076</v>
      </c>
      <c r="AI163" s="150">
        <f t="shared" si="462"/>
        <v>13.131314541322098</v>
      </c>
      <c r="AJ163" s="150">
        <f t="shared" si="463"/>
        <v>20.716084894086279</v>
      </c>
      <c r="AK163" s="150">
        <f t="shared" si="464"/>
        <v>6.6687048598169962</v>
      </c>
      <c r="AM163" s="314">
        <f t="shared" si="465"/>
        <v>265</v>
      </c>
      <c r="AN163" s="144">
        <f t="shared" si="466"/>
        <v>136.77957211463541</v>
      </c>
      <c r="AP163">
        <f t="shared" si="467"/>
        <v>265</v>
      </c>
      <c r="AQ163">
        <f t="shared" si="468"/>
        <v>136.77957211463541</v>
      </c>
      <c r="AS163" s="5">
        <f t="shared" si="439"/>
        <v>7.3110332525524839</v>
      </c>
      <c r="AT163" s="5">
        <f t="shared" si="469"/>
        <v>3.4724769937188857</v>
      </c>
      <c r="AU163" s="5">
        <f t="shared" si="343"/>
        <v>3.8385562588335982</v>
      </c>
      <c r="AV163" s="5"/>
      <c r="AW163" s="150">
        <f t="shared" si="344"/>
        <v>0.47496391737878474</v>
      </c>
      <c r="AX163" s="150">
        <f t="shared" si="435"/>
        <v>44.024848319745999</v>
      </c>
      <c r="AY163" s="150">
        <f t="shared" si="436"/>
        <v>0.27191730150098986</v>
      </c>
      <c r="AZ163" s="150">
        <f t="shared" si="440"/>
        <v>161.90528545527559</v>
      </c>
      <c r="BA163" s="144">
        <f t="shared" si="433"/>
        <v>0.54129788431500281</v>
      </c>
      <c r="BB163" s="5">
        <f t="shared" si="434"/>
        <v>32.207119968760814</v>
      </c>
      <c r="BD163" s="150">
        <f t="shared" si="441"/>
        <v>8.2428493709472281</v>
      </c>
      <c r="BE163" s="150">
        <f t="shared" si="437"/>
        <v>0.43332289354342379</v>
      </c>
      <c r="BG163" s="456">
        <f t="shared" si="347"/>
        <v>0.23101152355722537</v>
      </c>
      <c r="BH163" s="456">
        <f t="shared" si="470"/>
        <v>1.1868548801269427</v>
      </c>
      <c r="BI163" s="456">
        <f t="shared" si="471"/>
        <v>5.6059120879807113E-2</v>
      </c>
      <c r="BJ163" s="456">
        <f t="shared" si="350"/>
        <v>2.8657491401363772E-2</v>
      </c>
      <c r="BK163">
        <f t="shared" si="351"/>
        <v>4.0269114320416613E-3</v>
      </c>
      <c r="BL163" s="144">
        <f t="shared" si="427"/>
        <v>60.086032311848776</v>
      </c>
      <c r="BM163" s="456">
        <f t="shared" si="472"/>
        <v>1.5965277618609126</v>
      </c>
      <c r="BN163" s="144">
        <f t="shared" si="353"/>
        <v>1596.5277618609125</v>
      </c>
      <c r="BO163" s="456">
        <f t="shared" si="354"/>
        <v>0.66250000000000009</v>
      </c>
      <c r="BR163" s="144">
        <f t="shared" si="355"/>
        <v>662.50000000000011</v>
      </c>
      <c r="BS163" s="456">
        <f t="shared" si="356"/>
        <v>0.10191684862818767</v>
      </c>
      <c r="BT163" s="456">
        <f t="shared" si="357"/>
        <v>3.7553746013769082E-2</v>
      </c>
      <c r="BU163" s="456">
        <f t="shared" si="358"/>
        <v>21.369399169541968</v>
      </c>
      <c r="BV163" s="456"/>
      <c r="BW163" s="456">
        <f t="shared" si="359"/>
        <v>5.8699797759661325E-2</v>
      </c>
      <c r="BX163" s="144">
        <f t="shared" si="360"/>
        <v>21567.569561943586</v>
      </c>
      <c r="BY163" s="150">
        <f t="shared" si="361"/>
        <v>23.736679489340968</v>
      </c>
      <c r="BZ163" s="5">
        <f t="shared" si="362"/>
        <v>45.050000000000004</v>
      </c>
      <c r="CA163" s="150">
        <f t="shared" si="363"/>
        <v>0.65492331268848136</v>
      </c>
      <c r="CB163" s="5">
        <f t="shared" si="364"/>
        <v>65.492331268848133</v>
      </c>
      <c r="CE163" s="59">
        <f t="shared" si="473"/>
        <v>-50</v>
      </c>
      <c r="CF163">
        <f t="shared" si="474"/>
        <v>-50</v>
      </c>
      <c r="CG163" s="150">
        <f t="shared" si="475"/>
        <v>0.50615958603786726</v>
      </c>
      <c r="CI163" s="147">
        <v>53</v>
      </c>
      <c r="CJ163" s="188">
        <f t="shared" si="428"/>
        <v>0.26500000000000001</v>
      </c>
      <c r="CK163" s="188"/>
      <c r="CL163" s="188">
        <f t="shared" si="368"/>
        <v>45.050000000000004</v>
      </c>
      <c r="CM163" s="465">
        <f t="shared" si="369"/>
        <v>9</v>
      </c>
      <c r="CN163" s="379">
        <f t="shared" si="370"/>
        <v>8.5350000000000001</v>
      </c>
      <c r="CO163" s="379">
        <f t="shared" si="371"/>
        <v>17.535</v>
      </c>
      <c r="CP163" s="379"/>
      <c r="CQ163" s="188">
        <f t="shared" si="372"/>
        <v>0.48674080410607357</v>
      </c>
      <c r="CR163" s="149">
        <f t="shared" si="429"/>
        <v>146.41650128314802</v>
      </c>
      <c r="CS163" s="149">
        <f t="shared" si="373"/>
        <v>45.050000000000004</v>
      </c>
      <c r="CT163" s="188">
        <f t="shared" si="374"/>
        <v>0.86127353695969422</v>
      </c>
      <c r="CU163" s="188">
        <f t="shared" si="375"/>
        <v>170</v>
      </c>
      <c r="CV163" s="188"/>
      <c r="CW163" s="149">
        <f t="shared" si="376"/>
        <v>952.20769856561549</v>
      </c>
      <c r="CX163" s="149">
        <f t="shared" si="377"/>
        <v>170</v>
      </c>
      <c r="CY163" s="188">
        <f t="shared" si="378"/>
        <v>20.567643038469051</v>
      </c>
      <c r="CZ163" s="188">
        <f t="shared" si="379"/>
        <v>3.4279405064115087</v>
      </c>
      <c r="DA163" s="188">
        <f t="shared" si="380"/>
        <v>3.6147000067608173</v>
      </c>
      <c r="DB163" s="172">
        <f t="shared" si="381"/>
        <v>219.03336184773312</v>
      </c>
      <c r="DC163" s="379">
        <f t="shared" si="382"/>
        <v>141.99219712118381</v>
      </c>
      <c r="DE163" s="188">
        <f t="shared" si="383"/>
        <v>13.333333333333334</v>
      </c>
      <c r="DF163" s="150">
        <f t="shared" si="384"/>
        <v>2.3432923257176337</v>
      </c>
      <c r="DG163" s="150">
        <f t="shared" si="385"/>
        <v>0.17108639863130889</v>
      </c>
      <c r="DH163" s="150"/>
      <c r="DI163" s="150">
        <f t="shared" si="386"/>
        <v>2.3432923257176337</v>
      </c>
      <c r="DJ163" s="314">
        <f t="shared" si="387"/>
        <v>339.26624999999996</v>
      </c>
      <c r="DK163" s="456">
        <f t="shared" si="388"/>
        <v>0.17108639863130887</v>
      </c>
      <c r="DM163" s="150">
        <f t="shared" si="389"/>
        <v>13.127288916060097</v>
      </c>
      <c r="DN163" s="150">
        <f t="shared" si="390"/>
        <v>20.567643038469051</v>
      </c>
      <c r="DO163" s="150">
        <f t="shared" si="391"/>
        <v>6.5587479297301607</v>
      </c>
      <c r="DQ163" s="314">
        <f t="shared" si="392"/>
        <v>265</v>
      </c>
      <c r="DR163" s="144">
        <f t="shared" si="393"/>
        <v>141.99219712118381</v>
      </c>
      <c r="DT163">
        <f t="shared" si="430"/>
        <v>265</v>
      </c>
      <c r="DU163">
        <f t="shared" si="431"/>
        <v>141.99219712118381</v>
      </c>
      <c r="DW163" s="5">
        <f t="shared" si="394"/>
        <v>7.0426405131723264</v>
      </c>
      <c r="DX163" s="5">
        <f t="shared" si="395"/>
        <v>3.4279405064115087</v>
      </c>
      <c r="DY163" s="5">
        <f t="shared" si="396"/>
        <v>3.6147000067608177</v>
      </c>
      <c r="DZ163" s="5"/>
      <c r="EA163" s="150">
        <f t="shared" si="397"/>
        <v>0.48674080410607357</v>
      </c>
      <c r="EB163" s="150">
        <f t="shared" si="398"/>
        <v>45.050000000000004</v>
      </c>
      <c r="EC163" s="150">
        <f t="shared" si="399"/>
        <v>0.26391329818394849</v>
      </c>
      <c r="ED163" s="150">
        <f t="shared" si="400"/>
        <v>170.7</v>
      </c>
      <c r="EE163" s="144">
        <f t="shared" si="401"/>
        <v>0.53435543188179402</v>
      </c>
      <c r="EF163" s="5">
        <f t="shared" si="402"/>
        <v>30.155969500847196</v>
      </c>
      <c r="EH163" s="150">
        <f t="shared" si="403"/>
        <v>8.2846235028472002</v>
      </c>
      <c r="EI163" s="150">
        <f t="shared" si="404"/>
        <v>0.42536550989129712</v>
      </c>
      <c r="EK163" s="456">
        <f t="shared" si="405"/>
        <v>0.23335895438535589</v>
      </c>
      <c r="EL163" s="456">
        <f t="shared" si="406"/>
        <v>1.5567839999999999</v>
      </c>
      <c r="EM163" s="456">
        <f t="shared" si="407"/>
        <v>3.2516213140751093E-2</v>
      </c>
      <c r="EN163" s="456">
        <f t="shared" si="408"/>
        <v>2.9906568953940064E-2</v>
      </c>
      <c r="EO163">
        <f t="shared" si="409"/>
        <v>4.0499999999999998E-3</v>
      </c>
      <c r="EP163" s="144">
        <f t="shared" si="410"/>
        <v>36.566213140751088</v>
      </c>
      <c r="EQ163" s="144"/>
      <c r="ER163" s="144">
        <f t="shared" si="432"/>
        <v>1856.615736480047</v>
      </c>
      <c r="ES163" s="456">
        <f t="shared" si="411"/>
        <v>0.66250000000000009</v>
      </c>
      <c r="EV163" s="144">
        <f t="shared" si="412"/>
        <v>662.50000000000011</v>
      </c>
      <c r="EW163" s="456">
        <f t="shared" si="413"/>
        <v>0.10295247987589232</v>
      </c>
      <c r="EX163" s="456">
        <f t="shared" si="414"/>
        <v>3.6187163401016638E-2</v>
      </c>
      <c r="EY163" s="456">
        <f t="shared" si="415"/>
        <v>23.04583872583277</v>
      </c>
      <c r="EZ163" s="456"/>
      <c r="FA163" s="456">
        <f t="shared" si="416"/>
        <v>6.0066666666666671E-2</v>
      </c>
      <c r="FB163" s="144">
        <f t="shared" si="417"/>
        <v>23245.045035776348</v>
      </c>
      <c r="FC163" s="150">
        <f t="shared" si="418"/>
        <v>25.764160772256393</v>
      </c>
      <c r="FD163" s="5">
        <f t="shared" si="419"/>
        <v>45.050000000000004</v>
      </c>
      <c r="FE163" s="150">
        <f t="shared" si="420"/>
        <v>0.63617219365042188</v>
      </c>
      <c r="FF163" s="5">
        <f t="shared" si="421"/>
        <v>63.617219365042189</v>
      </c>
      <c r="FI163" s="59">
        <f t="shared" si="422"/>
        <v>-50</v>
      </c>
      <c r="FJ163">
        <f t="shared" si="423"/>
        <v>-50</v>
      </c>
      <c r="FL163">
        <f t="shared" si="476"/>
        <v>0.51325919589392643</v>
      </c>
    </row>
    <row r="164" spans="5:168">
      <c r="E164" s="147">
        <v>54</v>
      </c>
      <c r="F164" s="188">
        <f t="shared" si="477"/>
        <v>0.27</v>
      </c>
      <c r="G164" s="188"/>
      <c r="H164" s="188">
        <f t="shared" si="442"/>
        <v>45.900000000000006</v>
      </c>
      <c r="I164" s="465">
        <f t="shared" si="443"/>
        <v>8.9477375721692365</v>
      </c>
      <c r="J164" s="149">
        <f t="shared" si="444"/>
        <v>8.540332900799056</v>
      </c>
      <c r="K164" s="149">
        <f t="shared" si="445"/>
        <v>17.488070472968293</v>
      </c>
      <c r="L164" s="379"/>
      <c r="M164" s="188">
        <f t="shared" si="446"/>
        <v>0.48834980795149724</v>
      </c>
      <c r="N164" s="149">
        <f t="shared" si="447"/>
        <v>146.04746383222201</v>
      </c>
      <c r="O164" s="149">
        <f t="shared" si="438"/>
        <v>45.900000000000006</v>
      </c>
      <c r="P164" s="188">
        <f t="shared" si="448"/>
        <v>0.85910272842483537</v>
      </c>
      <c r="Q164" s="188">
        <f t="shared" si="449"/>
        <v>170</v>
      </c>
      <c r="R164" s="188"/>
      <c r="S164" s="149">
        <f t="shared" si="450"/>
        <v>925.83940829738924</v>
      </c>
      <c r="T164" s="149">
        <f t="shared" si="451"/>
        <v>170</v>
      </c>
      <c r="U164" s="188">
        <f t="shared" si="452"/>
        <v>21.108171496545033</v>
      </c>
      <c r="V164" s="188">
        <f t="shared" si="453"/>
        <v>3.5385768737003249</v>
      </c>
      <c r="W164" s="188">
        <f t="shared" si="454"/>
        <v>3.7073797488450535</v>
      </c>
      <c r="X164" s="172">
        <f t="shared" si="455"/>
        <v>218.48224392002464</v>
      </c>
      <c r="Y164" s="379">
        <f t="shared" si="328"/>
        <v>134.30107784567684</v>
      </c>
      <c r="AA164" s="188">
        <f t="shared" si="456"/>
        <v>13.333333333333336</v>
      </c>
      <c r="AB164" s="150">
        <f t="shared" si="457"/>
        <v>2.3418290870287679</v>
      </c>
      <c r="AC164" s="150">
        <f t="shared" si="458"/>
        <v>0.17054935793707598</v>
      </c>
      <c r="AD164" s="150"/>
      <c r="AE164" s="150">
        <f t="shared" si="459"/>
        <v>2.3418290870287679</v>
      </c>
      <c r="AF164" s="314">
        <f t="shared" si="460"/>
        <v>345.88348248236173</v>
      </c>
      <c r="AG164" s="456">
        <f t="shared" si="461"/>
        <v>0.17054935793707596</v>
      </c>
      <c r="AI164" s="150">
        <f t="shared" si="462"/>
        <v>13.254691556011748</v>
      </c>
      <c r="AJ164" s="150">
        <f t="shared" si="463"/>
        <v>21.108171496545033</v>
      </c>
      <c r="AK164" s="150">
        <f t="shared" si="464"/>
        <v>6.959139380156814</v>
      </c>
      <c r="AM164" s="314">
        <f t="shared" si="465"/>
        <v>270</v>
      </c>
      <c r="AN164" s="144">
        <f t="shared" si="466"/>
        <v>134.30107784567684</v>
      </c>
      <c r="AP164">
        <f t="shared" si="467"/>
        <v>270</v>
      </c>
      <c r="AQ164">
        <f t="shared" si="468"/>
        <v>134.30107784567684</v>
      </c>
      <c r="AS164" s="5">
        <f t="shared" si="439"/>
        <v>7.4459566225453795</v>
      </c>
      <c r="AT164" s="5">
        <f t="shared" si="469"/>
        <v>3.5385768737003249</v>
      </c>
      <c r="AU164" s="5">
        <f t="shared" si="343"/>
        <v>3.9073797488450546</v>
      </c>
      <c r="AV164" s="5"/>
      <c r="AW164" s="150">
        <f t="shared" si="344"/>
        <v>0.47523468817773912</v>
      </c>
      <c r="AX164" s="150">
        <f t="shared" si="435"/>
        <v>44.878877877673339</v>
      </c>
      <c r="AY164" s="150">
        <f t="shared" si="436"/>
        <v>0.27692090493455535</v>
      </c>
      <c r="AZ164" s="150">
        <f t="shared" si="440"/>
        <v>162.06388567262394</v>
      </c>
      <c r="BA164" s="144">
        <f t="shared" si="433"/>
        <v>0.562009268175934</v>
      </c>
      <c r="BB164" s="5">
        <f t="shared" si="434"/>
        <v>33.406718556027073</v>
      </c>
      <c r="BD164" s="150">
        <f t="shared" si="441"/>
        <v>8.4012528001101252</v>
      </c>
      <c r="BE164" s="150">
        <f t="shared" si="437"/>
        <v>0.44141038925762494</v>
      </c>
      <c r="BG164" s="456">
        <f t="shared" si="347"/>
        <v>0.23997556527861791</v>
      </c>
      <c r="BH164" s="456">
        <f t="shared" si="470"/>
        <v>1.1873466318869479</v>
      </c>
      <c r="BI164" s="456">
        <f t="shared" si="471"/>
        <v>5.5037438650194538E-2</v>
      </c>
      <c r="BJ164" s="456">
        <f t="shared" si="350"/>
        <v>2.8135449572713977E-2</v>
      </c>
      <c r="BK164">
        <f t="shared" si="351"/>
        <v>4.026481907476156E-3</v>
      </c>
      <c r="BL164" s="144">
        <f t="shared" si="427"/>
        <v>59.063920557670691</v>
      </c>
      <c r="BM164" s="456">
        <f t="shared" si="472"/>
        <v>1.6121743178824413</v>
      </c>
      <c r="BN164" s="144">
        <f t="shared" si="353"/>
        <v>1612.1743178824413</v>
      </c>
      <c r="BO164" s="456">
        <f t="shared" si="354"/>
        <v>0.67500000000000004</v>
      </c>
      <c r="BR164" s="144">
        <f t="shared" si="355"/>
        <v>675</v>
      </c>
      <c r="BS164" s="456">
        <f t="shared" si="356"/>
        <v>0.10587157291703732</v>
      </c>
      <c r="BT164" s="456">
        <f t="shared" si="357"/>
        <v>3.8968626348913599E-2</v>
      </c>
      <c r="BU164" s="456">
        <f t="shared" si="358"/>
        <v>21.394162232438561</v>
      </c>
      <c r="BV164" s="456"/>
      <c r="BW164" s="456">
        <f t="shared" si="359"/>
        <v>5.9838503836897802E-2</v>
      </c>
      <c r="BX164" s="144">
        <f t="shared" si="360"/>
        <v>21598.840935541408</v>
      </c>
      <c r="BY164" s="150">
        <f t="shared" si="361"/>
        <v>23.788362502837359</v>
      </c>
      <c r="BZ164" s="5">
        <f t="shared" si="362"/>
        <v>45.900000000000006</v>
      </c>
      <c r="CA164" s="150">
        <f t="shared" si="363"/>
        <v>0.65864655663463445</v>
      </c>
      <c r="CB164" s="5">
        <f t="shared" si="364"/>
        <v>65.864655663463452</v>
      </c>
      <c r="CE164" s="59">
        <f t="shared" si="473"/>
        <v>-50</v>
      </c>
      <c r="CF164">
        <f t="shared" si="474"/>
        <v>-50</v>
      </c>
      <c r="CG164" s="150">
        <f t="shared" si="475"/>
        <v>0.50629106029446103</v>
      </c>
      <c r="CI164" s="147">
        <v>54</v>
      </c>
      <c r="CJ164" s="188">
        <f t="shared" si="428"/>
        <v>0.27</v>
      </c>
      <c r="CK164" s="188"/>
      <c r="CL164" s="188">
        <f t="shared" si="368"/>
        <v>45.900000000000006</v>
      </c>
      <c r="CM164" s="465">
        <f t="shared" si="369"/>
        <v>9</v>
      </c>
      <c r="CN164" s="379">
        <f t="shared" si="370"/>
        <v>8.5350000000000001</v>
      </c>
      <c r="CO164" s="379">
        <f t="shared" si="371"/>
        <v>17.535</v>
      </c>
      <c r="CP164" s="379"/>
      <c r="CQ164" s="188">
        <f t="shared" si="372"/>
        <v>0.48674080410607357</v>
      </c>
      <c r="CR164" s="149">
        <f t="shared" si="429"/>
        <v>146.41650128314802</v>
      </c>
      <c r="CS164" s="149">
        <f t="shared" si="373"/>
        <v>45.900000000000006</v>
      </c>
      <c r="CT164" s="188">
        <f t="shared" si="374"/>
        <v>0.86127353695969422</v>
      </c>
      <c r="CU164" s="188">
        <f t="shared" si="375"/>
        <v>170</v>
      </c>
      <c r="CV164" s="188"/>
      <c r="CW164" s="149">
        <f t="shared" si="376"/>
        <v>931.24631203242313</v>
      </c>
      <c r="CX164" s="149">
        <f t="shared" si="377"/>
        <v>170</v>
      </c>
      <c r="CY164" s="188">
        <f t="shared" si="378"/>
        <v>20.955711775043941</v>
      </c>
      <c r="CZ164" s="188">
        <f t="shared" si="379"/>
        <v>3.4926186291739905</v>
      </c>
      <c r="DA164" s="188">
        <f t="shared" si="380"/>
        <v>3.6829018936808335</v>
      </c>
      <c r="DB164" s="172">
        <f t="shared" si="381"/>
        <v>219.03336184773312</v>
      </c>
      <c r="DC164" s="379">
        <f t="shared" si="382"/>
        <v>139.36271198930999</v>
      </c>
      <c r="DE164" s="188">
        <f t="shared" si="383"/>
        <v>13.333333333333334</v>
      </c>
      <c r="DF164" s="150">
        <f t="shared" si="384"/>
        <v>2.3432923257176337</v>
      </c>
      <c r="DG164" s="150">
        <f t="shared" si="385"/>
        <v>0.17108639863130889</v>
      </c>
      <c r="DH164" s="150"/>
      <c r="DI164" s="150">
        <f t="shared" si="386"/>
        <v>2.3432923257176337</v>
      </c>
      <c r="DJ164" s="314">
        <f t="shared" si="387"/>
        <v>345.66749999999996</v>
      </c>
      <c r="DK164" s="456">
        <f t="shared" si="388"/>
        <v>0.17108639863130887</v>
      </c>
      <c r="DM164" s="150">
        <f t="shared" si="389"/>
        <v>13.250552549125748</v>
      </c>
      <c r="DN164" s="150">
        <f t="shared" si="390"/>
        <v>20.955711775043941</v>
      </c>
      <c r="DO164" s="150">
        <f t="shared" si="391"/>
        <v>6.8462062531189689</v>
      </c>
      <c r="DQ164" s="314">
        <f t="shared" si="392"/>
        <v>270</v>
      </c>
      <c r="DR164" s="144">
        <f t="shared" si="393"/>
        <v>139.36271198930999</v>
      </c>
      <c r="DT164">
        <f t="shared" si="430"/>
        <v>270</v>
      </c>
      <c r="DU164">
        <f t="shared" si="431"/>
        <v>139.36271198930999</v>
      </c>
      <c r="DW164" s="5">
        <f t="shared" si="394"/>
        <v>7.1755205228548249</v>
      </c>
      <c r="DX164" s="5">
        <f t="shared" si="395"/>
        <v>3.4926186291739905</v>
      </c>
      <c r="DY164" s="5">
        <f t="shared" si="396"/>
        <v>3.6829018936808344</v>
      </c>
      <c r="DZ164" s="5"/>
      <c r="EA164" s="150">
        <f t="shared" si="397"/>
        <v>0.48674080410607351</v>
      </c>
      <c r="EB164" s="150">
        <f t="shared" si="398"/>
        <v>45.9</v>
      </c>
      <c r="EC164" s="150">
        <f t="shared" si="399"/>
        <v>0.26889279437609859</v>
      </c>
      <c r="ED164" s="150">
        <f t="shared" si="400"/>
        <v>170.69999999999987</v>
      </c>
      <c r="EE164" s="144">
        <f t="shared" si="401"/>
        <v>0.55471001757469263</v>
      </c>
      <c r="EF164" s="5">
        <f t="shared" si="402"/>
        <v>31.304666096287093</v>
      </c>
      <c r="EH164" s="150">
        <f t="shared" si="403"/>
        <v>8.4409371538443168</v>
      </c>
      <c r="EI164" s="150">
        <f t="shared" si="404"/>
        <v>0.43339127422886886</v>
      </c>
      <c r="EK164" s="456">
        <f t="shared" si="405"/>
        <v>0.24224802811950794</v>
      </c>
      <c r="EL164" s="456">
        <f t="shared" si="406"/>
        <v>1.5567839999999997</v>
      </c>
      <c r="EM164" s="456">
        <f t="shared" si="407"/>
        <v>3.1914061045551986E-2</v>
      </c>
      <c r="EN164" s="456">
        <f t="shared" si="408"/>
        <v>2.9352743602941163E-2</v>
      </c>
      <c r="EO164">
        <f t="shared" si="409"/>
        <v>4.0499999999999998E-3</v>
      </c>
      <c r="EP164" s="144">
        <f t="shared" si="410"/>
        <v>35.964061045551986</v>
      </c>
      <c r="EQ164" s="144"/>
      <c r="ER164" s="144">
        <f t="shared" si="432"/>
        <v>1864.3488327680009</v>
      </c>
      <c r="ES164" s="456">
        <f t="shared" si="411"/>
        <v>0.67500000000000004</v>
      </c>
      <c r="EV164" s="144">
        <f t="shared" si="412"/>
        <v>675</v>
      </c>
      <c r="EW164" s="456">
        <f t="shared" si="413"/>
        <v>0.1068741300527241</v>
      </c>
      <c r="EX164" s="456">
        <f t="shared" si="414"/>
        <v>3.7565599315544526E-2</v>
      </c>
      <c r="EY164" s="456">
        <f t="shared" si="415"/>
        <v>23.04583872583277</v>
      </c>
      <c r="EZ164" s="456"/>
      <c r="FA164" s="456">
        <f t="shared" si="416"/>
        <v>6.1200000000000011E-2</v>
      </c>
      <c r="FB164" s="144">
        <f t="shared" si="417"/>
        <v>23251.478455201039</v>
      </c>
      <c r="FC164" s="150">
        <f t="shared" si="418"/>
        <v>25.790827287969037</v>
      </c>
      <c r="FD164" s="5">
        <f t="shared" si="419"/>
        <v>45.900000000000006</v>
      </c>
      <c r="FE164" s="150">
        <f t="shared" si="420"/>
        <v>0.64024927227618722</v>
      </c>
      <c r="FF164" s="5">
        <f t="shared" si="421"/>
        <v>64.024927227618718</v>
      </c>
      <c r="FI164" s="59">
        <f t="shared" si="422"/>
        <v>-50</v>
      </c>
      <c r="FJ164">
        <f t="shared" si="423"/>
        <v>-50</v>
      </c>
      <c r="FL164">
        <f t="shared" si="476"/>
        <v>0.51325919589392655</v>
      </c>
    </row>
    <row r="165" spans="5:168">
      <c r="E165" s="147">
        <v>55</v>
      </c>
      <c r="F165" s="188">
        <f t="shared" si="477"/>
        <v>0.27500000000000002</v>
      </c>
      <c r="G165" s="188"/>
      <c r="H165" s="188">
        <f t="shared" si="442"/>
        <v>46.750000000000007</v>
      </c>
      <c r="I165" s="465">
        <f t="shared" si="443"/>
        <v>8.9467830663424674</v>
      </c>
      <c r="J165" s="149">
        <f t="shared" si="444"/>
        <v>8.5404302993528098</v>
      </c>
      <c r="K165" s="149">
        <f t="shared" si="445"/>
        <v>17.487213365695276</v>
      </c>
      <c r="L165" s="379"/>
      <c r="M165" s="188">
        <f t="shared" si="446"/>
        <v>0.48837931397503193</v>
      </c>
      <c r="N165" s="149">
        <f t="shared" si="447"/>
        <v>146.04070734731906</v>
      </c>
      <c r="O165" s="149">
        <f t="shared" si="438"/>
        <v>46.750000000000007</v>
      </c>
      <c r="P165" s="188">
        <f t="shared" si="448"/>
        <v>0.85906298439599449</v>
      </c>
      <c r="Q165" s="188">
        <f t="shared" si="449"/>
        <v>170</v>
      </c>
      <c r="R165" s="188"/>
      <c r="S165" s="149">
        <f t="shared" si="450"/>
        <v>905.66108760217799</v>
      </c>
      <c r="T165" s="149">
        <f t="shared" si="451"/>
        <v>170</v>
      </c>
      <c r="U165" s="188">
        <f t="shared" si="452"/>
        <v>21.500303448369916</v>
      </c>
      <c r="V165" s="188">
        <f t="shared" si="453"/>
        <v>3.6046984635047354</v>
      </c>
      <c r="W165" s="188">
        <f t="shared" si="454"/>
        <v>3.7762096337228823</v>
      </c>
      <c r="X165" s="172">
        <f t="shared" si="455"/>
        <v>218.47213613639656</v>
      </c>
      <c r="Y165" s="379">
        <f t="shared" si="328"/>
        <v>131.91031828570851</v>
      </c>
      <c r="AA165" s="188">
        <f t="shared" si="456"/>
        <v>13.333333333333334</v>
      </c>
      <c r="AB165" s="150">
        <f t="shared" si="457"/>
        <v>2.3418023798538106</v>
      </c>
      <c r="AC165" s="150">
        <f t="shared" si="458"/>
        <v>0.17053952277865303</v>
      </c>
      <c r="AD165" s="150"/>
      <c r="AE165" s="150">
        <f t="shared" si="459"/>
        <v>2.3418023798538106</v>
      </c>
      <c r="AF165" s="314">
        <f t="shared" si="460"/>
        <v>352.2927498483034</v>
      </c>
      <c r="AG165" s="456">
        <f t="shared" si="461"/>
        <v>0.17053952277865303</v>
      </c>
      <c r="AI165" s="150">
        <f t="shared" si="462"/>
        <v>13.376933472560031</v>
      </c>
      <c r="AJ165" s="150">
        <f t="shared" si="463"/>
        <v>21.500303448369916</v>
      </c>
      <c r="AK165" s="150">
        <f t="shared" si="464"/>
        <v>7.2496074926196901</v>
      </c>
      <c r="AM165" s="314">
        <f t="shared" si="465"/>
        <v>275</v>
      </c>
      <c r="AN165" s="144">
        <f t="shared" si="466"/>
        <v>131.91031828570851</v>
      </c>
      <c r="AP165">
        <f t="shared" si="467"/>
        <v>275</v>
      </c>
      <c r="AQ165">
        <f t="shared" si="468"/>
        <v>131.91031828570851</v>
      </c>
      <c r="AS165" s="5">
        <f t="shared" si="439"/>
        <v>7.5809080972276179</v>
      </c>
      <c r="AT165" s="5">
        <f t="shared" si="469"/>
        <v>3.6046984635047354</v>
      </c>
      <c r="AU165" s="5">
        <f t="shared" si="343"/>
        <v>3.9762096337228825</v>
      </c>
      <c r="AV165" s="5"/>
      <c r="AW165" s="150">
        <f t="shared" si="344"/>
        <v>0.47549692164491408</v>
      </c>
      <c r="AX165" s="150">
        <f t="shared" si="435"/>
        <v>45.732949381853032</v>
      </c>
      <c r="AY165" s="150">
        <f t="shared" si="436"/>
        <v>0.28192438360596223</v>
      </c>
      <c r="AZ165" s="150">
        <f t="shared" si="440"/>
        <v>162.21707678103036</v>
      </c>
      <c r="BA165" s="144">
        <f t="shared" si="433"/>
        <v>0.58311298674341305</v>
      </c>
      <c r="BB165" s="5">
        <f t="shared" si="434"/>
        <v>34.628424354344958</v>
      </c>
      <c r="BD165" s="150">
        <f t="shared" si="441"/>
        <v>8.5596856735722469</v>
      </c>
      <c r="BE165" s="150">
        <f t="shared" si="437"/>
        <v>0.44949823125431881</v>
      </c>
      <c r="BG165" s="456">
        <f t="shared" si="347"/>
        <v>0.24911194402321707</v>
      </c>
      <c r="BH165" s="456">
        <f t="shared" si="470"/>
        <v>1.1878168573885977</v>
      </c>
      <c r="BI165" s="456">
        <f t="shared" si="471"/>
        <v>5.405192348768053E-2</v>
      </c>
      <c r="BJ165" s="456">
        <f t="shared" si="350"/>
        <v>2.7631887862522946E-2</v>
      </c>
      <c r="BK165">
        <f t="shared" si="351"/>
        <v>4.0260523798541104E-3</v>
      </c>
      <c r="BL165" s="144">
        <f t="shared" si="427"/>
        <v>58.07797586753464</v>
      </c>
      <c r="BM165" s="456">
        <f t="shared" si="472"/>
        <v>1.6281919649549879</v>
      </c>
      <c r="BN165" s="144">
        <f t="shared" si="353"/>
        <v>1628.191964954988</v>
      </c>
      <c r="BO165" s="456">
        <f t="shared" si="354"/>
        <v>0.6875</v>
      </c>
      <c r="BR165" s="144">
        <f t="shared" si="355"/>
        <v>687.5</v>
      </c>
      <c r="BS165" s="456">
        <f t="shared" si="356"/>
        <v>0.10990232824553695</v>
      </c>
      <c r="BT165" s="456">
        <f t="shared" si="357"/>
        <v>4.0409731980152214E-2</v>
      </c>
      <c r="BU165" s="456">
        <f t="shared" si="358"/>
        <v>21.417974569960684</v>
      </c>
      <c r="BV165" s="456"/>
      <c r="BW165" s="456">
        <f t="shared" si="359"/>
        <v>6.0977265842470721E-2</v>
      </c>
      <c r="BX165" s="144">
        <f t="shared" si="360"/>
        <v>21629.263896028846</v>
      </c>
      <c r="BY165" s="150">
        <f t="shared" si="361"/>
        <v>23.839402561170719</v>
      </c>
      <c r="BZ165" s="5">
        <f t="shared" si="362"/>
        <v>46.750000000000007</v>
      </c>
      <c r="CA165" s="150">
        <f t="shared" si="363"/>
        <v>0.66228071500517116</v>
      </c>
      <c r="CB165" s="5">
        <f t="shared" si="364"/>
        <v>66.228071500517117</v>
      </c>
      <c r="CE165" s="59">
        <f t="shared" si="473"/>
        <v>-50</v>
      </c>
      <c r="CF165">
        <f t="shared" si="474"/>
        <v>-50</v>
      </c>
      <c r="CG165" s="150">
        <f t="shared" si="475"/>
        <v>0.50641775366899666</v>
      </c>
      <c r="CI165" s="147">
        <v>55</v>
      </c>
      <c r="CJ165" s="188">
        <f t="shared" si="428"/>
        <v>0.27500000000000002</v>
      </c>
      <c r="CK165" s="188"/>
      <c r="CL165" s="188">
        <f t="shared" si="368"/>
        <v>46.750000000000007</v>
      </c>
      <c r="CM165" s="465">
        <f t="shared" si="369"/>
        <v>9</v>
      </c>
      <c r="CN165" s="379">
        <f t="shared" si="370"/>
        <v>8.5350000000000001</v>
      </c>
      <c r="CO165" s="379">
        <f t="shared" si="371"/>
        <v>17.535</v>
      </c>
      <c r="CP165" s="379"/>
      <c r="CQ165" s="188">
        <f t="shared" si="372"/>
        <v>0.48674080410607357</v>
      </c>
      <c r="CR165" s="149">
        <f t="shared" si="429"/>
        <v>146.41650128314802</v>
      </c>
      <c r="CS165" s="149">
        <f t="shared" si="373"/>
        <v>46.750000000000007</v>
      </c>
      <c r="CT165" s="188">
        <f t="shared" si="374"/>
        <v>0.86127353695969422</v>
      </c>
      <c r="CU165" s="188">
        <f t="shared" si="375"/>
        <v>170</v>
      </c>
      <c r="CV165" s="188"/>
      <c r="CW165" s="149">
        <f t="shared" si="376"/>
        <v>911.04728709764379</v>
      </c>
      <c r="CX165" s="149">
        <f t="shared" si="377"/>
        <v>170</v>
      </c>
      <c r="CY165" s="188">
        <f t="shared" si="378"/>
        <v>21.343780511618828</v>
      </c>
      <c r="CZ165" s="188">
        <f t="shared" si="379"/>
        <v>3.5572967519364718</v>
      </c>
      <c r="DA165" s="188">
        <f t="shared" si="380"/>
        <v>3.7511037806008489</v>
      </c>
      <c r="DB165" s="172">
        <f t="shared" si="381"/>
        <v>219.03336184773312</v>
      </c>
      <c r="DC165" s="379">
        <f t="shared" si="382"/>
        <v>136.82884449859529</v>
      </c>
      <c r="DE165" s="188">
        <f t="shared" si="383"/>
        <v>13.333333333333334</v>
      </c>
      <c r="DF165" s="150">
        <f t="shared" si="384"/>
        <v>2.3432923257176337</v>
      </c>
      <c r="DG165" s="150">
        <f t="shared" si="385"/>
        <v>0.17108639863130889</v>
      </c>
      <c r="DH165" s="150"/>
      <c r="DI165" s="150">
        <f t="shared" si="386"/>
        <v>2.3432923257176337</v>
      </c>
      <c r="DJ165" s="314">
        <f t="shared" si="387"/>
        <v>352.06874999999997</v>
      </c>
      <c r="DK165" s="456">
        <f t="shared" si="388"/>
        <v>0.17108639863130887</v>
      </c>
      <c r="DM165" s="150">
        <f t="shared" si="389"/>
        <v>13.372680039115997</v>
      </c>
      <c r="DN165" s="150">
        <f t="shared" si="390"/>
        <v>21.343780511618828</v>
      </c>
      <c r="DO165" s="150">
        <f t="shared" si="391"/>
        <v>7.1336645765077735</v>
      </c>
      <c r="DQ165" s="314">
        <f t="shared" si="392"/>
        <v>275</v>
      </c>
      <c r="DR165" s="144">
        <f t="shared" si="393"/>
        <v>136.82884449859529</v>
      </c>
      <c r="DT165">
        <f t="shared" si="430"/>
        <v>275</v>
      </c>
      <c r="DU165">
        <f t="shared" si="431"/>
        <v>136.82884449859529</v>
      </c>
      <c r="DW165" s="5">
        <f t="shared" si="394"/>
        <v>7.3084005325373207</v>
      </c>
      <c r="DX165" s="5">
        <f t="shared" si="395"/>
        <v>3.5572967519364718</v>
      </c>
      <c r="DY165" s="5">
        <f t="shared" si="396"/>
        <v>3.7511037806008489</v>
      </c>
      <c r="DZ165" s="5"/>
      <c r="EA165" s="150">
        <f t="shared" si="397"/>
        <v>0.48674080410607357</v>
      </c>
      <c r="EB165" s="150">
        <f t="shared" si="398"/>
        <v>46.75</v>
      </c>
      <c r="EC165" s="150">
        <f t="shared" si="399"/>
        <v>0.27387229056824847</v>
      </c>
      <c r="ED165" s="150">
        <f t="shared" si="400"/>
        <v>170.69999999999996</v>
      </c>
      <c r="EE165" s="144">
        <f t="shared" si="401"/>
        <v>0.57544506281325281</v>
      </c>
      <c r="EF165" s="5">
        <f t="shared" si="402"/>
        <v>32.474833656127721</v>
      </c>
      <c r="EH165" s="150">
        <f t="shared" si="403"/>
        <v>8.5972508048414351</v>
      </c>
      <c r="EI165" s="150">
        <f t="shared" si="404"/>
        <v>0.44141703856644049</v>
      </c>
      <c r="EK165" s="456">
        <f t="shared" si="405"/>
        <v>0.25130325276457877</v>
      </c>
      <c r="EL165" s="456">
        <f t="shared" si="406"/>
        <v>1.5567839999999999</v>
      </c>
      <c r="EM165" s="456">
        <f t="shared" si="407"/>
        <v>3.133380539017832E-2</v>
      </c>
      <c r="EN165" s="456">
        <f t="shared" si="408"/>
        <v>2.8819057355614967E-2</v>
      </c>
      <c r="EO165">
        <f t="shared" si="409"/>
        <v>4.0499999999999998E-3</v>
      </c>
      <c r="EP165" s="144">
        <f t="shared" si="410"/>
        <v>35.383805390178317</v>
      </c>
      <c r="EQ165" s="144"/>
      <c r="ER165" s="144">
        <f t="shared" si="432"/>
        <v>1872.2901155103721</v>
      </c>
      <c r="ES165" s="456">
        <f t="shared" si="411"/>
        <v>0.6875</v>
      </c>
      <c r="EV165" s="144">
        <f t="shared" si="412"/>
        <v>687.5</v>
      </c>
      <c r="EW165" s="456">
        <f t="shared" si="413"/>
        <v>0.11086908210202005</v>
      </c>
      <c r="EX165" s="456">
        <f t="shared" si="414"/>
        <v>3.8969800387353287E-2</v>
      </c>
      <c r="EY165" s="456">
        <f t="shared" si="415"/>
        <v>23.045838725832727</v>
      </c>
      <c r="EZ165" s="456"/>
      <c r="FA165" s="456">
        <f t="shared" si="416"/>
        <v>6.2333333333333338E-2</v>
      </c>
      <c r="FB165" s="144">
        <f t="shared" si="417"/>
        <v>23258.010941655433</v>
      </c>
      <c r="FC165" s="150">
        <f t="shared" si="418"/>
        <v>25.817801057165809</v>
      </c>
      <c r="FD165" s="5">
        <f t="shared" si="419"/>
        <v>46.750000000000007</v>
      </c>
      <c r="FE165" s="150">
        <f t="shared" si="420"/>
        <v>0.64422511525700432</v>
      </c>
      <c r="FF165" s="5">
        <f t="shared" si="421"/>
        <v>64.422511525700429</v>
      </c>
      <c r="FI165" s="59">
        <f t="shared" si="422"/>
        <v>-50</v>
      </c>
      <c r="FJ165">
        <f t="shared" si="423"/>
        <v>-50</v>
      </c>
      <c r="FL165">
        <f t="shared" si="476"/>
        <v>0.51325919589392643</v>
      </c>
    </row>
    <row r="166" spans="5:168">
      <c r="E166" s="147">
        <v>56</v>
      </c>
      <c r="F166" s="188">
        <f t="shared" si="477"/>
        <v>0.28000000000000003</v>
      </c>
      <c r="G166" s="188"/>
      <c r="H166" s="188">
        <f t="shared" si="442"/>
        <v>47.6</v>
      </c>
      <c r="I166" s="465">
        <f t="shared" si="443"/>
        <v>8.945828554092083</v>
      </c>
      <c r="J166" s="149">
        <f t="shared" si="444"/>
        <v>8.5405276985620322</v>
      </c>
      <c r="K166" s="149">
        <f t="shared" si="445"/>
        <v>17.486356252654115</v>
      </c>
      <c r="L166" s="379"/>
      <c r="M166" s="188">
        <f t="shared" si="446"/>
        <v>0.48840882307045641</v>
      </c>
      <c r="N166" s="149">
        <f t="shared" si="447"/>
        <v>146.03394979340106</v>
      </c>
      <c r="O166" s="149">
        <f t="shared" si="438"/>
        <v>47.6</v>
      </c>
      <c r="P166" s="188">
        <f t="shared" si="448"/>
        <v>0.85902323407882974</v>
      </c>
      <c r="Q166" s="188">
        <f t="shared" si="449"/>
        <v>170</v>
      </c>
      <c r="R166" s="188"/>
      <c r="S166" s="149">
        <f t="shared" si="450"/>
        <v>886.20423078068598</v>
      </c>
      <c r="T166" s="149">
        <f t="shared" si="451"/>
        <v>170</v>
      </c>
      <c r="U166" s="188">
        <f t="shared" si="452"/>
        <v>21.892480764073984</v>
      </c>
      <c r="V166" s="188">
        <f t="shared" si="453"/>
        <v>3.6708417725141382</v>
      </c>
      <c r="W166" s="188">
        <f t="shared" si="454"/>
        <v>3.8450459157974537</v>
      </c>
      <c r="X166" s="172">
        <f t="shared" si="455"/>
        <v>218.46202676219093</v>
      </c>
      <c r="Y166" s="379">
        <f t="shared" si="328"/>
        <v>129.60271590200171</v>
      </c>
      <c r="AA166" s="188">
        <f t="shared" si="456"/>
        <v>13.333333333333334</v>
      </c>
      <c r="AB166" s="150">
        <f t="shared" si="457"/>
        <v>2.3417756731082786</v>
      </c>
      <c r="AC166" s="150">
        <f t="shared" si="458"/>
        <v>0.17052968658987616</v>
      </c>
      <c r="AD166" s="150"/>
      <c r="AE166" s="150">
        <f t="shared" si="459"/>
        <v>2.3417756731082786</v>
      </c>
      <c r="AF166" s="314">
        <f t="shared" si="460"/>
        <v>358.70216333960531</v>
      </c>
      <c r="AG166" s="456">
        <f t="shared" si="461"/>
        <v>0.17052968658987616</v>
      </c>
      <c r="AI166" s="150">
        <f t="shared" si="462"/>
        <v>13.4980711302019</v>
      </c>
      <c r="AJ166" s="150">
        <f t="shared" si="463"/>
        <v>21.892480764073984</v>
      </c>
      <c r="AK166" s="150">
        <f t="shared" si="464"/>
        <v>7.5401092079560366</v>
      </c>
      <c r="AM166" s="314">
        <f t="shared" si="465"/>
        <v>280</v>
      </c>
      <c r="AN166" s="144">
        <f t="shared" si="466"/>
        <v>129.60271590200171</v>
      </c>
      <c r="AP166">
        <f t="shared" si="467"/>
        <v>280</v>
      </c>
      <c r="AQ166">
        <f t="shared" si="468"/>
        <v>129.60271590200171</v>
      </c>
      <c r="AS166" s="5">
        <f t="shared" si="439"/>
        <v>7.715887688311593</v>
      </c>
      <c r="AT166" s="5">
        <f t="shared" si="469"/>
        <v>3.6708417725141382</v>
      </c>
      <c r="AU166" s="5">
        <f t="shared" si="343"/>
        <v>4.0450459157974548</v>
      </c>
      <c r="AV166" s="5"/>
      <c r="AW166" s="150">
        <f t="shared" si="344"/>
        <v>0.47575106336435019</v>
      </c>
      <c r="AX166" s="150">
        <f t="shared" si="435"/>
        <v>46.587061660907871</v>
      </c>
      <c r="AY166" s="150">
        <f t="shared" si="436"/>
        <v>0.28692774402205506</v>
      </c>
      <c r="AZ166" s="150">
        <f t="shared" si="440"/>
        <v>162.36513418976625</v>
      </c>
      <c r="BA166" s="144">
        <f t="shared" si="433"/>
        <v>0.60460923311997583</v>
      </c>
      <c r="BB166" s="5">
        <f t="shared" si="434"/>
        <v>35.872247500183292</v>
      </c>
      <c r="BD166" s="150">
        <f t="shared" si="441"/>
        <v>8.7181479175734342</v>
      </c>
      <c r="BE166" s="150">
        <f t="shared" si="437"/>
        <v>0.4575864259598757</v>
      </c>
      <c r="BG166" s="456">
        <f t="shared" si="347"/>
        <v>0.25842075058314601</v>
      </c>
      <c r="BH166" s="456">
        <f t="shared" si="470"/>
        <v>1.1882666796036441</v>
      </c>
      <c r="BI166" s="456">
        <f t="shared" si="471"/>
        <v>5.3100688388463699E-2</v>
      </c>
      <c r="BJ166" s="456">
        <f t="shared" si="350"/>
        <v>2.7145842077080203E-2</v>
      </c>
      <c r="BK166">
        <f t="shared" si="351"/>
        <v>4.025622849341437E-3</v>
      </c>
      <c r="BL166" s="144">
        <f t="shared" si="427"/>
        <v>57.126311237805133</v>
      </c>
      <c r="BM166" s="456">
        <f t="shared" si="472"/>
        <v>1.6445857040369651</v>
      </c>
      <c r="BN166" s="144">
        <f t="shared" si="353"/>
        <v>1644.5857040369651</v>
      </c>
      <c r="BO166" s="456">
        <f t="shared" si="354"/>
        <v>0.70000000000000007</v>
      </c>
      <c r="BR166" s="144">
        <f t="shared" si="355"/>
        <v>700.00000000000011</v>
      </c>
      <c r="BS166" s="456">
        <f t="shared" si="356"/>
        <v>0.11400915466903502</v>
      </c>
      <c r="BT166" s="456">
        <f t="shared" si="357"/>
        <v>4.1877067444546563E-2</v>
      </c>
      <c r="BU166" s="456">
        <f t="shared" si="358"/>
        <v>21.440884761529837</v>
      </c>
      <c r="BV166" s="456"/>
      <c r="BW166" s="456">
        <f t="shared" si="359"/>
        <v>6.2116082214543837E-2</v>
      </c>
      <c r="BX166" s="144">
        <f t="shared" si="360"/>
        <v>21658.887065857965</v>
      </c>
      <c r="BY166" s="150">
        <f t="shared" si="361"/>
        <v>23.88984664935964</v>
      </c>
      <c r="BZ166" s="5">
        <f t="shared" si="362"/>
        <v>47.6</v>
      </c>
      <c r="CA166" s="150">
        <f t="shared" si="363"/>
        <v>0.66582881669150107</v>
      </c>
      <c r="CB166" s="5">
        <f t="shared" si="364"/>
        <v>66.582881669150112</v>
      </c>
      <c r="CE166" s="59">
        <f t="shared" si="473"/>
        <v>-50</v>
      </c>
      <c r="CF166">
        <f t="shared" si="474"/>
        <v>-50</v>
      </c>
      <c r="CG166" s="150">
        <f t="shared" si="475"/>
        <v>0.50653992228015599</v>
      </c>
      <c r="CI166" s="147">
        <v>56</v>
      </c>
      <c r="CJ166" s="188">
        <f t="shared" si="428"/>
        <v>0.28000000000000003</v>
      </c>
      <c r="CK166" s="188"/>
      <c r="CL166" s="188">
        <f t="shared" si="368"/>
        <v>47.6</v>
      </c>
      <c r="CM166" s="465">
        <f t="shared" si="369"/>
        <v>9</v>
      </c>
      <c r="CN166" s="379">
        <f t="shared" si="370"/>
        <v>8.5350000000000001</v>
      </c>
      <c r="CO166" s="379">
        <f t="shared" si="371"/>
        <v>17.535</v>
      </c>
      <c r="CP166" s="379"/>
      <c r="CQ166" s="188">
        <f t="shared" si="372"/>
        <v>0.48674080410607357</v>
      </c>
      <c r="CR166" s="149">
        <f t="shared" si="429"/>
        <v>146.41650128314802</v>
      </c>
      <c r="CS166" s="149">
        <f t="shared" si="373"/>
        <v>47.6</v>
      </c>
      <c r="CT166" s="188">
        <f t="shared" si="374"/>
        <v>0.86127353695969422</v>
      </c>
      <c r="CU166" s="188">
        <f t="shared" si="375"/>
        <v>170</v>
      </c>
      <c r="CV166" s="188"/>
      <c r="CW166" s="149">
        <f t="shared" si="376"/>
        <v>891.56978432428264</v>
      </c>
      <c r="CX166" s="149">
        <f t="shared" si="377"/>
        <v>170</v>
      </c>
      <c r="CY166" s="188">
        <f t="shared" si="378"/>
        <v>21.731849248193715</v>
      </c>
      <c r="CZ166" s="188">
        <f t="shared" si="379"/>
        <v>3.6219748746989531</v>
      </c>
      <c r="DA166" s="188">
        <f t="shared" si="380"/>
        <v>3.8193056675208639</v>
      </c>
      <c r="DB166" s="172">
        <f t="shared" si="381"/>
        <v>219.03336184773312</v>
      </c>
      <c r="DC166" s="379">
        <f t="shared" si="382"/>
        <v>134.3854722754061</v>
      </c>
      <c r="DE166" s="188">
        <f t="shared" si="383"/>
        <v>13.333333333333334</v>
      </c>
      <c r="DF166" s="150">
        <f t="shared" si="384"/>
        <v>2.3432923257176337</v>
      </c>
      <c r="DG166" s="150">
        <f t="shared" si="385"/>
        <v>0.17108639863130889</v>
      </c>
      <c r="DH166" s="150"/>
      <c r="DI166" s="150">
        <f t="shared" si="386"/>
        <v>2.3432923257176337</v>
      </c>
      <c r="DJ166" s="314">
        <f t="shared" si="387"/>
        <v>358.46999999999991</v>
      </c>
      <c r="DK166" s="456">
        <f t="shared" si="388"/>
        <v>0.17108639863130887</v>
      </c>
      <c r="DM166" s="150">
        <f t="shared" si="389"/>
        <v>13.493702234746399</v>
      </c>
      <c r="DN166" s="150">
        <f t="shared" si="390"/>
        <v>21.731849248193715</v>
      </c>
      <c r="DO166" s="150">
        <f t="shared" si="391"/>
        <v>7.4211228998965781</v>
      </c>
      <c r="DQ166" s="314">
        <f t="shared" si="392"/>
        <v>280</v>
      </c>
      <c r="DR166" s="144">
        <f t="shared" si="393"/>
        <v>134.3854722754061</v>
      </c>
      <c r="DT166">
        <f t="shared" si="430"/>
        <v>280</v>
      </c>
      <c r="DU166">
        <f t="shared" si="431"/>
        <v>134.3854722754061</v>
      </c>
      <c r="DW166" s="5">
        <f t="shared" si="394"/>
        <v>7.4412805422198165</v>
      </c>
      <c r="DX166" s="5">
        <f t="shared" si="395"/>
        <v>3.6219748746989531</v>
      </c>
      <c r="DY166" s="5">
        <f t="shared" si="396"/>
        <v>3.8193056675208634</v>
      </c>
      <c r="DZ166" s="5"/>
      <c r="EA166" s="150">
        <f t="shared" si="397"/>
        <v>0.48674080410607362</v>
      </c>
      <c r="EB166" s="150">
        <f t="shared" si="398"/>
        <v>47.6</v>
      </c>
      <c r="EC166" s="150">
        <f t="shared" si="399"/>
        <v>0.27885178676039835</v>
      </c>
      <c r="ED166" s="150">
        <f t="shared" si="400"/>
        <v>170.70000000000002</v>
      </c>
      <c r="EE166" s="144">
        <f t="shared" si="401"/>
        <v>0.59656056759747478</v>
      </c>
      <c r="EF166" s="5">
        <f t="shared" si="402"/>
        <v>33.666472180369084</v>
      </c>
      <c r="EH166" s="150">
        <f t="shared" si="403"/>
        <v>8.7535644558385517</v>
      </c>
      <c r="EI166" s="150">
        <f t="shared" si="404"/>
        <v>0.44944280290401201</v>
      </c>
      <c r="EK166" s="456">
        <f t="shared" si="405"/>
        <v>0.26052462832056822</v>
      </c>
      <c r="EL166" s="456">
        <f t="shared" si="406"/>
        <v>1.5567839999999999</v>
      </c>
      <c r="EM166" s="456">
        <f t="shared" si="407"/>
        <v>3.0774273151067996E-2</v>
      </c>
      <c r="EN166" s="456">
        <f t="shared" si="408"/>
        <v>2.8304431331407559E-2</v>
      </c>
      <c r="EO166">
        <f t="shared" si="409"/>
        <v>4.0499999999999998E-3</v>
      </c>
      <c r="EP166" s="144">
        <f t="shared" si="410"/>
        <v>34.824273151067992</v>
      </c>
      <c r="EQ166" s="144"/>
      <c r="ER166" s="144">
        <f t="shared" si="432"/>
        <v>1880.437332803044</v>
      </c>
      <c r="ES166" s="456">
        <f t="shared" si="411"/>
        <v>0.70000000000000007</v>
      </c>
      <c r="EV166" s="144">
        <f t="shared" si="412"/>
        <v>700.00000000000011</v>
      </c>
      <c r="EW166" s="456">
        <f t="shared" si="413"/>
        <v>0.11493733602378012</v>
      </c>
      <c r="EX166" s="456">
        <f t="shared" si="414"/>
        <v>4.0399766616442921E-2</v>
      </c>
      <c r="EY166" s="456">
        <f t="shared" si="415"/>
        <v>23.045838725832805</v>
      </c>
      <c r="EZ166" s="456"/>
      <c r="FA166" s="456">
        <f t="shared" si="416"/>
        <v>6.3466666666666671E-2</v>
      </c>
      <c r="FB166" s="144">
        <f t="shared" si="417"/>
        <v>23264.642495139698</v>
      </c>
      <c r="FC166" s="150">
        <f t="shared" si="418"/>
        <v>25.84507982794274</v>
      </c>
      <c r="FD166" s="5">
        <f t="shared" si="419"/>
        <v>47.6</v>
      </c>
      <c r="FE166" s="150">
        <f t="shared" si="420"/>
        <v>0.6481033189903378</v>
      </c>
      <c r="FF166" s="5">
        <f t="shared" si="421"/>
        <v>64.810331899033784</v>
      </c>
      <c r="FI166" s="59">
        <f t="shared" si="422"/>
        <v>-50</v>
      </c>
      <c r="FJ166">
        <f t="shared" si="423"/>
        <v>-50</v>
      </c>
      <c r="FL166">
        <f t="shared" si="476"/>
        <v>0.51325919589392632</v>
      </c>
    </row>
    <row r="167" spans="5:168">
      <c r="E167" s="147">
        <v>57</v>
      </c>
      <c r="F167" s="188">
        <f t="shared" si="477"/>
        <v>0.28499999999999998</v>
      </c>
      <c r="G167" s="188"/>
      <c r="H167" s="188">
        <f t="shared" si="442"/>
        <v>48.449999999999996</v>
      </c>
      <c r="I167" s="465">
        <f t="shared" si="443"/>
        <v>8.9448740357605754</v>
      </c>
      <c r="J167" s="149">
        <f t="shared" si="444"/>
        <v>8.5406250983917769</v>
      </c>
      <c r="K167" s="149">
        <f t="shared" si="445"/>
        <v>17.485499134152352</v>
      </c>
      <c r="L167" s="379"/>
      <c r="M167" s="188">
        <f t="shared" si="446"/>
        <v>0.48843833522868779</v>
      </c>
      <c r="N167" s="149">
        <f t="shared" si="447"/>
        <v>146.02719117303084</v>
      </c>
      <c r="O167" s="149">
        <f t="shared" si="438"/>
        <v>48.449999999999996</v>
      </c>
      <c r="P167" s="188">
        <f t="shared" si="448"/>
        <v>0.85898347748841675</v>
      </c>
      <c r="Q167" s="188">
        <f t="shared" si="449"/>
        <v>170</v>
      </c>
      <c r="R167" s="188"/>
      <c r="S167" s="149">
        <f t="shared" si="450"/>
        <v>867.43086744794755</v>
      </c>
      <c r="T167" s="149">
        <f t="shared" si="451"/>
        <v>170</v>
      </c>
      <c r="U167" s="188">
        <f t="shared" si="452"/>
        <v>22.284703458176903</v>
      </c>
      <c r="V167" s="188">
        <f t="shared" si="453"/>
        <v>3.73700681011581</v>
      </c>
      <c r="W167" s="188">
        <f t="shared" si="454"/>
        <v>3.9138885974001791</v>
      </c>
      <c r="X167" s="172">
        <f t="shared" si="455"/>
        <v>218.45191580078142</v>
      </c>
      <c r="Y167" s="379">
        <f t="shared" si="328"/>
        <v>127.3740061601965</v>
      </c>
      <c r="AA167" s="188">
        <f t="shared" si="456"/>
        <v>13.333333333333334</v>
      </c>
      <c r="AB167" s="150">
        <f t="shared" si="457"/>
        <v>2.3417489668017457</v>
      </c>
      <c r="AC167" s="150">
        <f t="shared" si="458"/>
        <v>0.17051984937411396</v>
      </c>
      <c r="AD167" s="150"/>
      <c r="AE167" s="150">
        <f t="shared" si="459"/>
        <v>2.3417489668017457</v>
      </c>
      <c r="AF167" s="314">
        <f t="shared" si="460"/>
        <v>365.1117229562484</v>
      </c>
      <c r="AG167" s="456">
        <f t="shared" si="461"/>
        <v>0.17051984937411399</v>
      </c>
      <c r="AI167" s="150">
        <f t="shared" si="462"/>
        <v>13.618133997177386</v>
      </c>
      <c r="AJ167" s="150">
        <f t="shared" si="463"/>
        <v>22.284703458176903</v>
      </c>
      <c r="AK167" s="150">
        <f t="shared" si="464"/>
        <v>7.8306445369211621</v>
      </c>
      <c r="AM167" s="314">
        <f t="shared" si="465"/>
        <v>285</v>
      </c>
      <c r="AN167" s="144">
        <f t="shared" si="466"/>
        <v>127.3740061601965</v>
      </c>
      <c r="AP167">
        <f t="shared" si="467"/>
        <v>285</v>
      </c>
      <c r="AQ167">
        <f t="shared" si="468"/>
        <v>127.3740061601965</v>
      </c>
      <c r="AS167" s="5">
        <f t="shared" si="439"/>
        <v>7.8508954075159902</v>
      </c>
      <c r="AT167" s="5">
        <f t="shared" si="469"/>
        <v>3.73700681011581</v>
      </c>
      <c r="AU167" s="5">
        <f t="shared" si="343"/>
        <v>4.1138885974001802</v>
      </c>
      <c r="AV167" s="5"/>
      <c r="AW167" s="150">
        <f t="shared" si="344"/>
        <v>0.47599752845238741</v>
      </c>
      <c r="AX167" s="150">
        <f t="shared" si="435"/>
        <v>47.44121362355606</v>
      </c>
      <c r="AY167" s="150">
        <f t="shared" si="436"/>
        <v>0.29193099224475816</v>
      </c>
      <c r="AZ167" s="150">
        <f t="shared" si="440"/>
        <v>162.50831492320907</v>
      </c>
      <c r="BA167" s="144">
        <f t="shared" si="433"/>
        <v>0.62649820051941507</v>
      </c>
      <c r="BB167" s="5">
        <f t="shared" si="434"/>
        <v>37.138198135824062</v>
      </c>
      <c r="BD167" s="150">
        <f t="shared" si="441"/>
        <v>8.8766394640060824</v>
      </c>
      <c r="BE167" s="150">
        <f t="shared" si="437"/>
        <v>0.46567497937315949</v>
      </c>
      <c r="BG167" s="456">
        <f t="shared" si="347"/>
        <v>0.26790207579143061</v>
      </c>
      <c r="BH167" s="456">
        <f t="shared" si="470"/>
        <v>1.1886971447182553</v>
      </c>
      <c r="BI167" s="456">
        <f t="shared" si="471"/>
        <v>5.2181975376418228E-2</v>
      </c>
      <c r="BJ167" s="456">
        <f t="shared" si="350"/>
        <v>2.6676413951363255E-2</v>
      </c>
      <c r="BK167">
        <f t="shared" si="351"/>
        <v>4.025193316092259E-3</v>
      </c>
      <c r="BL167" s="144">
        <f t="shared" si="427"/>
        <v>56.207168692510486</v>
      </c>
      <c r="BM167" s="456">
        <f t="shared" si="472"/>
        <v>1.6613606716053018</v>
      </c>
      <c r="BN167" s="144">
        <f t="shared" si="353"/>
        <v>1661.3606716053018</v>
      </c>
      <c r="BO167" s="456">
        <f t="shared" si="354"/>
        <v>0.71249999999999991</v>
      </c>
      <c r="BR167" s="144">
        <f t="shared" si="355"/>
        <v>712.49999999999989</v>
      </c>
      <c r="BS167" s="456">
        <f t="shared" si="356"/>
        <v>0.11819209226092529</v>
      </c>
      <c r="BT167" s="456">
        <f t="shared" si="357"/>
        <v>4.3370637282838506E-2</v>
      </c>
      <c r="BU167" s="456">
        <f t="shared" si="358"/>
        <v>21.462938132642311</v>
      </c>
      <c r="BV167" s="456"/>
      <c r="BW167" s="456">
        <f t="shared" si="359"/>
        <v>6.3254951498074752E-2</v>
      </c>
      <c r="BX167" s="144">
        <f t="shared" si="360"/>
        <v>21687.755813684147</v>
      </c>
      <c r="BY167" s="150">
        <f t="shared" si="361"/>
        <v>23.939738616837708</v>
      </c>
      <c r="BZ167" s="5">
        <f t="shared" si="362"/>
        <v>48.449999999999996</v>
      </c>
      <c r="CA167" s="150">
        <f t="shared" si="363"/>
        <v>0.66929375524407031</v>
      </c>
      <c r="CB167" s="5">
        <f t="shared" si="364"/>
        <v>66.929375524407035</v>
      </c>
      <c r="CE167" s="59">
        <f t="shared" si="473"/>
        <v>-50</v>
      </c>
      <c r="CF167">
        <f t="shared" si="474"/>
        <v>-50</v>
      </c>
      <c r="CG167" s="150">
        <f t="shared" si="475"/>
        <v>0.50665780427338025</v>
      </c>
      <c r="CI167" s="147">
        <v>57</v>
      </c>
      <c r="CJ167" s="188">
        <f t="shared" si="428"/>
        <v>0.28499999999999998</v>
      </c>
      <c r="CK167" s="188"/>
      <c r="CL167" s="188">
        <f t="shared" si="368"/>
        <v>48.449999999999996</v>
      </c>
      <c r="CM167" s="465">
        <f t="shared" si="369"/>
        <v>9</v>
      </c>
      <c r="CN167" s="379">
        <f t="shared" si="370"/>
        <v>8.5350000000000001</v>
      </c>
      <c r="CO167" s="379">
        <f t="shared" si="371"/>
        <v>17.535</v>
      </c>
      <c r="CP167" s="379"/>
      <c r="CQ167" s="188">
        <f t="shared" si="372"/>
        <v>0.48674080410607357</v>
      </c>
      <c r="CR167" s="149">
        <f t="shared" si="429"/>
        <v>146.41650128314802</v>
      </c>
      <c r="CS167" s="149">
        <f t="shared" si="373"/>
        <v>48.449999999999996</v>
      </c>
      <c r="CT167" s="188">
        <f t="shared" si="374"/>
        <v>0.86127353695969422</v>
      </c>
      <c r="CU167" s="188">
        <f t="shared" si="375"/>
        <v>170</v>
      </c>
      <c r="CV167" s="188"/>
      <c r="CW167" s="149">
        <f t="shared" si="376"/>
        <v>872.7758302198605</v>
      </c>
      <c r="CX167" s="149">
        <f t="shared" si="377"/>
        <v>170</v>
      </c>
      <c r="CY167" s="188">
        <f t="shared" si="378"/>
        <v>22.119917984768598</v>
      </c>
      <c r="CZ167" s="188">
        <f t="shared" si="379"/>
        <v>3.6866529974614335</v>
      </c>
      <c r="DA167" s="188">
        <f t="shared" si="380"/>
        <v>3.8875075544408788</v>
      </c>
      <c r="DB167" s="172">
        <f t="shared" si="381"/>
        <v>219.03336184773312</v>
      </c>
      <c r="DC167" s="379">
        <f t="shared" si="382"/>
        <v>132.0278324109253</v>
      </c>
      <c r="DE167" s="188">
        <f t="shared" si="383"/>
        <v>13.333333333333334</v>
      </c>
      <c r="DF167" s="150">
        <f t="shared" si="384"/>
        <v>2.3432923257176337</v>
      </c>
      <c r="DG167" s="150">
        <f t="shared" si="385"/>
        <v>0.17108639863130889</v>
      </c>
      <c r="DH167" s="150"/>
      <c r="DI167" s="150">
        <f t="shared" si="386"/>
        <v>2.3432923257176337</v>
      </c>
      <c r="DJ167" s="314">
        <f t="shared" si="387"/>
        <v>364.87124999999986</v>
      </c>
      <c r="DK167" s="456">
        <f t="shared" si="388"/>
        <v>0.17108639863130887</v>
      </c>
      <c r="DM167" s="150">
        <f t="shared" si="389"/>
        <v>13.613648613484504</v>
      </c>
      <c r="DN167" s="150">
        <f t="shared" si="390"/>
        <v>22.119917984768598</v>
      </c>
      <c r="DO167" s="150">
        <f t="shared" si="391"/>
        <v>7.7085812232853819</v>
      </c>
      <c r="DQ167" s="314">
        <f t="shared" si="392"/>
        <v>285</v>
      </c>
      <c r="DR167" s="144">
        <f t="shared" si="393"/>
        <v>132.0278324109253</v>
      </c>
      <c r="DT167">
        <f t="shared" si="430"/>
        <v>285</v>
      </c>
      <c r="DU167">
        <f t="shared" si="431"/>
        <v>132.0278324109253</v>
      </c>
      <c r="DW167" s="5">
        <f t="shared" si="394"/>
        <v>7.5741605519023132</v>
      </c>
      <c r="DX167" s="5">
        <f t="shared" si="395"/>
        <v>3.6866529974614335</v>
      </c>
      <c r="DY167" s="5">
        <f t="shared" si="396"/>
        <v>3.8875075544408797</v>
      </c>
      <c r="DZ167" s="5"/>
      <c r="EA167" s="150">
        <f t="shared" si="397"/>
        <v>0.48674080410607351</v>
      </c>
      <c r="EB167" s="150">
        <f t="shared" si="398"/>
        <v>48.449999999999996</v>
      </c>
      <c r="EC167" s="150">
        <f t="shared" si="399"/>
        <v>0.28383128295254839</v>
      </c>
      <c r="ED167" s="150">
        <f t="shared" si="400"/>
        <v>170.69999999999996</v>
      </c>
      <c r="EE167" s="144">
        <f t="shared" si="401"/>
        <v>0.61805653192735788</v>
      </c>
      <c r="EF167" s="5">
        <f t="shared" si="402"/>
        <v>34.879581669011216</v>
      </c>
      <c r="EH167" s="150">
        <f t="shared" si="403"/>
        <v>8.9098781068356665</v>
      </c>
      <c r="EI167" s="150">
        <f t="shared" si="404"/>
        <v>0.45746856724158363</v>
      </c>
      <c r="EK167" s="456">
        <f t="shared" si="405"/>
        <v>0.26991215478747638</v>
      </c>
      <c r="EL167" s="456">
        <f t="shared" si="406"/>
        <v>1.5567839999999997</v>
      </c>
      <c r="EM167" s="456">
        <f t="shared" si="407"/>
        <v>3.0234373622101893E-2</v>
      </c>
      <c r="EN167" s="456">
        <f t="shared" si="408"/>
        <v>2.7807862360681116E-2</v>
      </c>
      <c r="EO167">
        <f t="shared" si="409"/>
        <v>4.0499999999999998E-3</v>
      </c>
      <c r="EP167" s="144">
        <f t="shared" si="410"/>
        <v>34.284373622101889</v>
      </c>
      <c r="EQ167" s="144"/>
      <c r="ER167" s="144">
        <f t="shared" si="432"/>
        <v>1888.7883907702592</v>
      </c>
      <c r="ES167" s="456">
        <f t="shared" si="411"/>
        <v>0.71249999999999991</v>
      </c>
      <c r="EV167" s="144">
        <f t="shared" si="412"/>
        <v>712.49999999999989</v>
      </c>
      <c r="EW167" s="456">
        <f t="shared" si="413"/>
        <v>0.11907889181800428</v>
      </c>
      <c r="EX167" s="456">
        <f t="shared" si="414"/>
        <v>4.185549800281347E-2</v>
      </c>
      <c r="EY167" s="456">
        <f t="shared" si="415"/>
        <v>23.045838725832727</v>
      </c>
      <c r="EZ167" s="456"/>
      <c r="FA167" s="456">
        <f t="shared" si="416"/>
        <v>6.4599999999999991E-2</v>
      </c>
      <c r="FB167" s="144">
        <f t="shared" si="417"/>
        <v>23271.373115653543</v>
      </c>
      <c r="FC167" s="150">
        <f t="shared" si="418"/>
        <v>25.872661506423803</v>
      </c>
      <c r="FD167" s="5">
        <f t="shared" si="419"/>
        <v>48.449999999999996</v>
      </c>
      <c r="FE167" s="150">
        <f t="shared" si="420"/>
        <v>0.65188731159489499</v>
      </c>
      <c r="FF167" s="5">
        <f t="shared" si="421"/>
        <v>65.188731159489492</v>
      </c>
      <c r="FI167" s="59">
        <f t="shared" si="422"/>
        <v>-50</v>
      </c>
      <c r="FJ167">
        <f t="shared" si="423"/>
        <v>-50</v>
      </c>
      <c r="FL167">
        <f t="shared" si="476"/>
        <v>0.51325919589392655</v>
      </c>
    </row>
    <row r="168" spans="5:168">
      <c r="E168" s="147">
        <v>58</v>
      </c>
      <c r="F168" s="188">
        <f t="shared" si="477"/>
        <v>0.28999999999999998</v>
      </c>
      <c r="G168" s="188"/>
      <c r="H168" s="188">
        <f t="shared" si="442"/>
        <v>49.3</v>
      </c>
      <c r="I168" s="465">
        <f t="shared" si="443"/>
        <v>8.9439195116665111</v>
      </c>
      <c r="J168" s="149">
        <f t="shared" si="444"/>
        <v>8.54072249880954</v>
      </c>
      <c r="K168" s="149">
        <f t="shared" si="445"/>
        <v>17.484642010476051</v>
      </c>
      <c r="L168" s="379"/>
      <c r="M168" s="188">
        <f t="shared" si="446"/>
        <v>0.48846785044130725</v>
      </c>
      <c r="N168" s="149">
        <f t="shared" si="447"/>
        <v>146.02043148858149</v>
      </c>
      <c r="O168" s="149">
        <f t="shared" si="438"/>
        <v>49.3</v>
      </c>
      <c r="P168" s="188">
        <f t="shared" si="448"/>
        <v>0.85894371463871466</v>
      </c>
      <c r="Q168" s="188">
        <f t="shared" si="449"/>
        <v>170</v>
      </c>
      <c r="R168" s="188"/>
      <c r="S168" s="149">
        <f t="shared" si="450"/>
        <v>849.30564588259688</v>
      </c>
      <c r="T168" s="149">
        <f t="shared" si="451"/>
        <v>170</v>
      </c>
      <c r="U168" s="188">
        <f t="shared" si="452"/>
        <v>22.67697154520495</v>
      </c>
      <c r="V168" s="188">
        <f t="shared" si="453"/>
        <v>3.803193585702267</v>
      </c>
      <c r="W168" s="188">
        <f t="shared" si="454"/>
        <v>3.9827376808635004</v>
      </c>
      <c r="X168" s="172">
        <f t="shared" si="455"/>
        <v>218.44180325529013</v>
      </c>
      <c r="Y168" s="379">
        <f t="shared" si="328"/>
        <v>125.22021122153177</v>
      </c>
      <c r="AA168" s="188">
        <f t="shared" si="456"/>
        <v>13.333333333333334</v>
      </c>
      <c r="AB168" s="150">
        <f t="shared" si="457"/>
        <v>2.3417222609431141</v>
      </c>
      <c r="AC168" s="150">
        <f t="shared" si="458"/>
        <v>0.1705100111344896</v>
      </c>
      <c r="AD168" s="150"/>
      <c r="AE168" s="150">
        <f t="shared" si="459"/>
        <v>2.3417222609431141</v>
      </c>
      <c r="AF168" s="314">
        <f t="shared" si="460"/>
        <v>371.52142869821489</v>
      </c>
      <c r="AG168" s="456">
        <f t="shared" si="461"/>
        <v>0.17051001113448966</v>
      </c>
      <c r="AI168" s="150">
        <f t="shared" si="462"/>
        <v>13.737150254567124</v>
      </c>
      <c r="AJ168" s="150">
        <f t="shared" si="463"/>
        <v>22.67697154520495</v>
      </c>
      <c r="AK168" s="150">
        <f t="shared" si="464"/>
        <v>8.1212134902752702</v>
      </c>
      <c r="AM168" s="314">
        <f t="shared" si="465"/>
        <v>290</v>
      </c>
      <c r="AN168" s="144">
        <f t="shared" si="466"/>
        <v>125.22021122153177</v>
      </c>
      <c r="AP168">
        <f t="shared" si="467"/>
        <v>290</v>
      </c>
      <c r="AQ168">
        <f t="shared" si="468"/>
        <v>125.22021122153177</v>
      </c>
      <c r="AS168" s="5">
        <f t="shared" si="439"/>
        <v>7.9859312665657658</v>
      </c>
      <c r="AT168" s="5">
        <f t="shared" si="469"/>
        <v>3.803193585702267</v>
      </c>
      <c r="AU168" s="5">
        <f t="shared" si="343"/>
        <v>4.1827376808634984</v>
      </c>
      <c r="AV168" s="5"/>
      <c r="AW168" s="150">
        <f t="shared" si="344"/>
        <v>0.47623670411801267</v>
      </c>
      <c r="AX168" s="150">
        <f t="shared" si="435"/>
        <v>48.295404251880555</v>
      </c>
      <c r="AY168" s="150">
        <f t="shared" si="436"/>
        <v>0.29693413392846474</v>
      </c>
      <c r="AZ168" s="150">
        <f t="shared" si="440"/>
        <v>162.64685912976088</v>
      </c>
      <c r="BA168" s="144">
        <f t="shared" si="433"/>
        <v>0.64878008226685735</v>
      </c>
      <c r="BB168" s="5">
        <f t="shared" si="434"/>
        <v>38.426286409366348</v>
      </c>
      <c r="BD168" s="150">
        <f t="shared" si="441"/>
        <v>9.0351602499383894</v>
      </c>
      <c r="BE168" s="150">
        <f t="shared" si="437"/>
        <v>0.47376389710121325</v>
      </c>
      <c r="BG168" s="456">
        <f t="shared" si="347"/>
        <v>0.27755601052302692</v>
      </c>
      <c r="BH168" s="456">
        <f t="shared" si="470"/>
        <v>1.1891092285856908</v>
      </c>
      <c r="BI168" s="456">
        <f t="shared" si="471"/>
        <v>5.1294144660286103E-2</v>
      </c>
      <c r="BJ168" s="456">
        <f t="shared" si="350"/>
        <v>2.6222765608736619E-2</v>
      </c>
      <c r="BK168">
        <f t="shared" si="351"/>
        <v>4.0247637802499295E-3</v>
      </c>
      <c r="BL168" s="144">
        <f t="shared" si="427"/>
        <v>55.318908440536035</v>
      </c>
      <c r="BM168" s="456">
        <f t="shared" si="472"/>
        <v>1.6785221445804461</v>
      </c>
      <c r="BN168" s="144">
        <f t="shared" si="353"/>
        <v>1678.5221445804461</v>
      </c>
      <c r="BO168" s="456">
        <f t="shared" si="354"/>
        <v>0.72499999999999998</v>
      </c>
      <c r="BR168" s="144">
        <f t="shared" si="355"/>
        <v>725</v>
      </c>
      <c r="BS168" s="456">
        <f t="shared" si="356"/>
        <v>0.12245118111310012</v>
      </c>
      <c r="BT168" s="456">
        <f t="shared" si="357"/>
        <v>4.4890446039305795E-2</v>
      </c>
      <c r="BU168" s="456">
        <f t="shared" si="358"/>
        <v>21.484177022735363</v>
      </c>
      <c r="BV168" s="456"/>
      <c r="BW168" s="456">
        <f t="shared" si="359"/>
        <v>6.4393872335840749E-2</v>
      </c>
      <c r="BX168" s="144">
        <f t="shared" si="360"/>
        <v>21715.912522223611</v>
      </c>
      <c r="BY168" s="150">
        <f t="shared" si="361"/>
        <v>23.9891194353816</v>
      </c>
      <c r="BZ168" s="5">
        <f t="shared" si="362"/>
        <v>49.3</v>
      </c>
      <c r="CA168" s="150">
        <f t="shared" si="363"/>
        <v>0.67267829631201115</v>
      </c>
      <c r="CB168" s="5">
        <f t="shared" si="364"/>
        <v>67.26782963120111</v>
      </c>
      <c r="CE168" s="59">
        <f t="shared" si="473"/>
        <v>-50</v>
      </c>
      <c r="CF168">
        <f t="shared" si="474"/>
        <v>-50</v>
      </c>
      <c r="CG168" s="150">
        <f t="shared" si="475"/>
        <v>0.50677162137028597</v>
      </c>
      <c r="CI168" s="147">
        <v>58</v>
      </c>
      <c r="CJ168" s="188">
        <f t="shared" si="428"/>
        <v>0.28999999999999998</v>
      </c>
      <c r="CK168" s="188"/>
      <c r="CL168" s="188">
        <f t="shared" si="368"/>
        <v>49.3</v>
      </c>
      <c r="CM168" s="465">
        <f t="shared" si="369"/>
        <v>9</v>
      </c>
      <c r="CN168" s="379">
        <f t="shared" si="370"/>
        <v>8.5350000000000001</v>
      </c>
      <c r="CO168" s="379">
        <f t="shared" si="371"/>
        <v>17.535</v>
      </c>
      <c r="CP168" s="379"/>
      <c r="CQ168" s="188">
        <f t="shared" si="372"/>
        <v>0.48674080410607357</v>
      </c>
      <c r="CR168" s="149">
        <f t="shared" si="429"/>
        <v>146.41650128314802</v>
      </c>
      <c r="CS168" s="149">
        <f t="shared" si="373"/>
        <v>49.3</v>
      </c>
      <c r="CT168" s="188">
        <f t="shared" si="374"/>
        <v>0.86127353695969422</v>
      </c>
      <c r="CU168" s="188">
        <f t="shared" si="375"/>
        <v>170</v>
      </c>
      <c r="CV168" s="188"/>
      <c r="CW168" s="149">
        <f t="shared" si="376"/>
        <v>854.63007017256211</v>
      </c>
      <c r="CX168" s="149">
        <f t="shared" si="377"/>
        <v>170</v>
      </c>
      <c r="CY168" s="188">
        <f t="shared" si="378"/>
        <v>22.507986721343485</v>
      </c>
      <c r="CZ168" s="188">
        <f t="shared" si="379"/>
        <v>3.7513311202239148</v>
      </c>
      <c r="DA168" s="188">
        <f t="shared" si="380"/>
        <v>3.9557094413608938</v>
      </c>
      <c r="DB168" s="172">
        <f t="shared" si="381"/>
        <v>219.03336184773312</v>
      </c>
      <c r="DC168" s="379">
        <f t="shared" si="382"/>
        <v>129.75149047280593</v>
      </c>
      <c r="DE168" s="188">
        <f t="shared" si="383"/>
        <v>13.333333333333334</v>
      </c>
      <c r="DF168" s="150">
        <f t="shared" si="384"/>
        <v>2.3432923257176337</v>
      </c>
      <c r="DG168" s="150">
        <f t="shared" si="385"/>
        <v>0.17108639863130889</v>
      </c>
      <c r="DH168" s="150"/>
      <c r="DI168" s="150">
        <f t="shared" si="386"/>
        <v>2.3432923257176337</v>
      </c>
      <c r="DJ168" s="314">
        <f t="shared" si="387"/>
        <v>371.27249999999987</v>
      </c>
      <c r="DK168" s="456">
        <f t="shared" si="388"/>
        <v>0.17108639863130887</v>
      </c>
      <c r="DM168" s="150">
        <f t="shared" si="389"/>
        <v>13.732547365396455</v>
      </c>
      <c r="DN168" s="150">
        <f t="shared" si="390"/>
        <v>22.507986721343485</v>
      </c>
      <c r="DO168" s="150">
        <f t="shared" si="391"/>
        <v>7.9960395466741865</v>
      </c>
      <c r="DQ168" s="314">
        <f t="shared" si="392"/>
        <v>290</v>
      </c>
      <c r="DR168" s="144">
        <f t="shared" si="393"/>
        <v>129.75149047280593</v>
      </c>
      <c r="DT168">
        <f t="shared" si="430"/>
        <v>290</v>
      </c>
      <c r="DU168">
        <f t="shared" si="431"/>
        <v>129.75149047280593</v>
      </c>
      <c r="DW168" s="5">
        <f t="shared" si="394"/>
        <v>7.7070405615848072</v>
      </c>
      <c r="DX168" s="5">
        <f t="shared" si="395"/>
        <v>3.7513311202239148</v>
      </c>
      <c r="DY168" s="5">
        <f t="shared" si="396"/>
        <v>3.9557094413608924</v>
      </c>
      <c r="DZ168" s="5"/>
      <c r="EA168" s="150">
        <f t="shared" si="397"/>
        <v>0.48674080410607368</v>
      </c>
      <c r="EB168" s="150">
        <f t="shared" si="398"/>
        <v>49.300000000000004</v>
      </c>
      <c r="EC168" s="150">
        <f t="shared" si="399"/>
        <v>0.28881077914469822</v>
      </c>
      <c r="ED168" s="150">
        <f t="shared" si="400"/>
        <v>170.70000000000007</v>
      </c>
      <c r="EE168" s="144">
        <f t="shared" si="401"/>
        <v>0.63993295580290299</v>
      </c>
      <c r="EF168" s="5">
        <f t="shared" si="402"/>
        <v>36.114162122054069</v>
      </c>
      <c r="EH168" s="150">
        <f t="shared" si="403"/>
        <v>9.0661917578327831</v>
      </c>
      <c r="EI168" s="150">
        <f t="shared" si="404"/>
        <v>0.46549433157915521</v>
      </c>
      <c r="EK168" s="456">
        <f t="shared" si="405"/>
        <v>0.2794658321653033</v>
      </c>
      <c r="EL168" s="456">
        <f t="shared" si="406"/>
        <v>1.5567839999999999</v>
      </c>
      <c r="EM168" s="456">
        <f t="shared" si="407"/>
        <v>2.9713091318272555E-2</v>
      </c>
      <c r="EN168" s="456">
        <f t="shared" si="408"/>
        <v>2.7328416457910756E-2</v>
      </c>
      <c r="EO168">
        <f t="shared" si="409"/>
        <v>4.0499999999999998E-3</v>
      </c>
      <c r="EP168" s="144">
        <f t="shared" si="410"/>
        <v>33.763091318272558</v>
      </c>
      <c r="EQ168" s="144"/>
      <c r="ER168" s="144">
        <f t="shared" si="432"/>
        <v>1897.3413399414869</v>
      </c>
      <c r="ES168" s="456">
        <f t="shared" si="411"/>
        <v>0.72499999999999998</v>
      </c>
      <c r="EV168" s="144">
        <f t="shared" si="412"/>
        <v>725</v>
      </c>
      <c r="EW168" s="456">
        <f t="shared" si="413"/>
        <v>0.12329374948469264</v>
      </c>
      <c r="EX168" s="456">
        <f t="shared" si="414"/>
        <v>4.3336994546464898E-2</v>
      </c>
      <c r="EY168" s="456">
        <f t="shared" si="415"/>
        <v>23.04583872583277</v>
      </c>
      <c r="EZ168" s="456"/>
      <c r="FA168" s="456">
        <f t="shared" si="416"/>
        <v>6.5733333333333338E-2</v>
      </c>
      <c r="FB168" s="144">
        <f t="shared" si="417"/>
        <v>23278.202803197259</v>
      </c>
      <c r="FC168" s="150">
        <f t="shared" si="418"/>
        <v>25.900544143138749</v>
      </c>
      <c r="FD168" s="5">
        <f t="shared" si="419"/>
        <v>49.3</v>
      </c>
      <c r="FE168" s="150">
        <f t="shared" si="420"/>
        <v>0.65558036263887998</v>
      </c>
      <c r="FF168" s="5">
        <f t="shared" si="421"/>
        <v>65.558036263887999</v>
      </c>
      <c r="FI168" s="59">
        <f t="shared" si="422"/>
        <v>-50</v>
      </c>
      <c r="FJ168">
        <f t="shared" si="423"/>
        <v>-50</v>
      </c>
      <c r="FL168">
        <f t="shared" si="476"/>
        <v>0.51325919589392632</v>
      </c>
    </row>
    <row r="169" spans="5:168">
      <c r="E169" s="147">
        <v>59</v>
      </c>
      <c r="F169" s="188">
        <f t="shared" si="477"/>
        <v>0.29499999999999998</v>
      </c>
      <c r="G169" s="188"/>
      <c r="H169" s="188">
        <f t="shared" si="442"/>
        <v>50.15</v>
      </c>
      <c r="I169" s="465">
        <f t="shared" si="443"/>
        <v>8.942964982106588</v>
      </c>
      <c r="J169" s="149">
        <f t="shared" si="444"/>
        <v>8.540819899785042</v>
      </c>
      <c r="K169" s="149">
        <f t="shared" si="445"/>
        <v>17.48378488189163</v>
      </c>
      <c r="L169" s="379"/>
      <c r="M169" s="188">
        <f t="shared" si="446"/>
        <v>0.48849736870050359</v>
      </c>
      <c r="N169" s="149">
        <f t="shared" si="447"/>
        <v>146.01367074225308</v>
      </c>
      <c r="O169" s="149">
        <f t="shared" si="438"/>
        <v>50.15</v>
      </c>
      <c r="P169" s="188">
        <f t="shared" si="448"/>
        <v>0.85890394554266525</v>
      </c>
      <c r="Q169" s="188">
        <f t="shared" si="449"/>
        <v>170</v>
      </c>
      <c r="R169" s="188"/>
      <c r="S169" s="149">
        <f t="shared" si="450"/>
        <v>831.79561110679208</v>
      </c>
      <c r="T169" s="149">
        <f t="shared" si="451"/>
        <v>170</v>
      </c>
      <c r="U169" s="188">
        <f t="shared" si="452"/>
        <v>23.069285039690893</v>
      </c>
      <c r="V169" s="188">
        <f t="shared" si="453"/>
        <v>3.8694021086712458</v>
      </c>
      <c r="W169" s="188">
        <f t="shared" si="454"/>
        <v>4.0515931685208892</v>
      </c>
      <c r="X169" s="172">
        <f t="shared" si="455"/>
        <v>218.43168912860958</v>
      </c>
      <c r="Y169" s="379">
        <f t="shared" si="328"/>
        <v>123.13761624865195</v>
      </c>
      <c r="AA169" s="188">
        <f t="shared" si="456"/>
        <v>13.333333333333334</v>
      </c>
      <c r="AB169" s="150">
        <f t="shared" si="457"/>
        <v>2.3416955555406767</v>
      </c>
      <c r="AC169" s="150">
        <f t="shared" si="458"/>
        <v>0.1705001718739026</v>
      </c>
      <c r="AD169" s="150"/>
      <c r="AE169" s="150">
        <f t="shared" si="459"/>
        <v>2.3416955555406767</v>
      </c>
      <c r="AF169" s="314">
        <f t="shared" si="460"/>
        <v>377.93128056548801</v>
      </c>
      <c r="AG169" s="456">
        <f t="shared" si="461"/>
        <v>0.17050017187390262</v>
      </c>
      <c r="AI169" s="150">
        <f t="shared" si="462"/>
        <v>13.855146873649758</v>
      </c>
      <c r="AJ169" s="150">
        <f t="shared" si="463"/>
        <v>23.069285039690893</v>
      </c>
      <c r="AK169" s="150">
        <f t="shared" si="464"/>
        <v>8.411816078783378</v>
      </c>
      <c r="AM169" s="314">
        <f t="shared" si="465"/>
        <v>295</v>
      </c>
      <c r="AN169" s="144">
        <f t="shared" si="466"/>
        <v>123.13761624865195</v>
      </c>
      <c r="AP169">
        <f t="shared" si="467"/>
        <v>295</v>
      </c>
      <c r="AQ169">
        <f t="shared" si="468"/>
        <v>123.13761624865195</v>
      </c>
      <c r="AS169" s="5">
        <f t="shared" si="439"/>
        <v>8.1209952771921348</v>
      </c>
      <c r="AT169" s="5">
        <f t="shared" si="469"/>
        <v>3.8694021086712458</v>
      </c>
      <c r="AU169" s="5">
        <f t="shared" si="343"/>
        <v>4.2515931685208894</v>
      </c>
      <c r="AV169" s="5"/>
      <c r="AW169" s="150">
        <f t="shared" si="344"/>
        <v>0.47646895196928452</v>
      </c>
      <c r="AX169" s="150">
        <f t="shared" si="435"/>
        <v>49.149632595265473</v>
      </c>
      <c r="AY169" s="150">
        <f t="shared" si="436"/>
        <v>0.30193717435371697</v>
      </c>
      <c r="AZ169" s="150">
        <f t="shared" si="440"/>
        <v>162.78099144455487</v>
      </c>
      <c r="BA169" s="144">
        <f t="shared" si="433"/>
        <v>0.6714550717988339</v>
      </c>
      <c r="BB169" s="5">
        <f t="shared" si="434"/>
        <v>39.736522474730279</v>
      </c>
      <c r="BD169" s="150">
        <f t="shared" si="441"/>
        <v>9.1937102171850125</v>
      </c>
      <c r="BE169" s="150">
        <f t="shared" si="437"/>
        <v>0.48185318439142655</v>
      </c>
      <c r="BG169" s="456">
        <f t="shared" si="347"/>
        <v>0.28738264569574506</v>
      </c>
      <c r="BH169" s="456">
        <f t="shared" si="470"/>
        <v>1.1895038425390183</v>
      </c>
      <c r="BI169" s="456">
        <f t="shared" si="471"/>
        <v>5.0435664866203232E-2</v>
      </c>
      <c r="BJ169" s="456">
        <f t="shared" si="350"/>
        <v>2.5784114570109443E-2</v>
      </c>
      <c r="BK169">
        <f t="shared" si="351"/>
        <v>4.0243342419479643E-3</v>
      </c>
      <c r="BL169" s="144">
        <f t="shared" si="427"/>
        <v>54.459999108151202</v>
      </c>
      <c r="BM169" s="456">
        <f t="shared" si="472"/>
        <v>1.6960755453200322</v>
      </c>
      <c r="BN169" s="144">
        <f t="shared" si="353"/>
        <v>1696.0755453200322</v>
      </c>
      <c r="BO169" s="456">
        <f t="shared" si="354"/>
        <v>0.73749999999999993</v>
      </c>
      <c r="BR169" s="144">
        <f t="shared" si="355"/>
        <v>737.49999999999989</v>
      </c>
      <c r="BS169" s="456">
        <f t="shared" si="356"/>
        <v>0.12678646133635812</v>
      </c>
      <c r="BT169" s="456">
        <f t="shared" si="357"/>
        <v>4.6436498261631626E-2</v>
      </c>
      <c r="BU169" s="456">
        <f t="shared" si="358"/>
        <v>21.504641027029734</v>
      </c>
      <c r="BV169" s="456"/>
      <c r="BW169" s="456">
        <f t="shared" si="359"/>
        <v>6.5532843460353984E-2</v>
      </c>
      <c r="BX169" s="144">
        <f t="shared" si="360"/>
        <v>21743.396830088077</v>
      </c>
      <c r="BY169" s="150">
        <f t="shared" si="361"/>
        <v>24.038027432001101</v>
      </c>
      <c r="BZ169" s="5">
        <f t="shared" si="362"/>
        <v>50.15</v>
      </c>
      <c r="CA169" s="150">
        <f t="shared" si="363"/>
        <v>0.6759850846009654</v>
      </c>
      <c r="CB169" s="5">
        <f t="shared" si="364"/>
        <v>67.598508460096539</v>
      </c>
      <c r="CE169" s="59">
        <f t="shared" si="473"/>
        <v>-50</v>
      </c>
      <c r="CF169">
        <f t="shared" si="474"/>
        <v>-50</v>
      </c>
      <c r="CG169" s="150">
        <f t="shared" si="475"/>
        <v>0.50688158026051722</v>
      </c>
      <c r="CI169" s="147">
        <v>59</v>
      </c>
      <c r="CJ169" s="188">
        <f t="shared" si="428"/>
        <v>0.29499999999999998</v>
      </c>
      <c r="CK169" s="188"/>
      <c r="CL169" s="188">
        <f t="shared" si="368"/>
        <v>50.15</v>
      </c>
      <c r="CM169" s="465">
        <f t="shared" si="369"/>
        <v>9</v>
      </c>
      <c r="CN169" s="379">
        <f t="shared" si="370"/>
        <v>8.5350000000000001</v>
      </c>
      <c r="CO169" s="379">
        <f t="shared" si="371"/>
        <v>17.535</v>
      </c>
      <c r="CP169" s="379"/>
      <c r="CQ169" s="188">
        <f t="shared" si="372"/>
        <v>0.48674080410607357</v>
      </c>
      <c r="CR169" s="149">
        <f t="shared" si="429"/>
        <v>146.41650128314802</v>
      </c>
      <c r="CS169" s="149">
        <f t="shared" si="373"/>
        <v>50.15</v>
      </c>
      <c r="CT169" s="188">
        <f t="shared" si="374"/>
        <v>0.86127353695969422</v>
      </c>
      <c r="CU169" s="188">
        <f t="shared" si="375"/>
        <v>170</v>
      </c>
      <c r="CV169" s="188"/>
      <c r="CW169" s="149">
        <f t="shared" si="376"/>
        <v>837.0995465125352</v>
      </c>
      <c r="CX169" s="149">
        <f t="shared" si="377"/>
        <v>170</v>
      </c>
      <c r="CY169" s="188">
        <f t="shared" si="378"/>
        <v>22.896055457918376</v>
      </c>
      <c r="CZ169" s="188">
        <f t="shared" si="379"/>
        <v>3.816009242986397</v>
      </c>
      <c r="DA169" s="188">
        <f t="shared" si="380"/>
        <v>4.02391132828091</v>
      </c>
      <c r="DB169" s="172">
        <f t="shared" si="381"/>
        <v>219.03336184773312</v>
      </c>
      <c r="DC169" s="379">
        <f t="shared" si="382"/>
        <v>127.55231266818207</v>
      </c>
      <c r="DE169" s="188">
        <f t="shared" si="383"/>
        <v>13.333333333333334</v>
      </c>
      <c r="DF169" s="150">
        <f t="shared" si="384"/>
        <v>2.3432923257176337</v>
      </c>
      <c r="DG169" s="150">
        <f t="shared" si="385"/>
        <v>0.17108639863130889</v>
      </c>
      <c r="DH169" s="150"/>
      <c r="DI169" s="150">
        <f t="shared" si="386"/>
        <v>2.3432923257176337</v>
      </c>
      <c r="DJ169" s="314">
        <f t="shared" si="387"/>
        <v>377.67374999999987</v>
      </c>
      <c r="DK169" s="456">
        <f t="shared" si="388"/>
        <v>0.17108639863130887</v>
      </c>
      <c r="DM169" s="150">
        <f t="shared" si="389"/>
        <v>13.85042547051482</v>
      </c>
      <c r="DN169" s="150">
        <f t="shared" si="390"/>
        <v>22.896055457918376</v>
      </c>
      <c r="DO169" s="150">
        <f t="shared" si="391"/>
        <v>8.2834978700629929</v>
      </c>
      <c r="DQ169" s="314">
        <f t="shared" si="392"/>
        <v>295</v>
      </c>
      <c r="DR169" s="144">
        <f t="shared" si="393"/>
        <v>127.55231266818207</v>
      </c>
      <c r="DT169">
        <f t="shared" si="430"/>
        <v>295</v>
      </c>
      <c r="DU169">
        <f t="shared" si="431"/>
        <v>127.55231266818207</v>
      </c>
      <c r="DW169" s="5">
        <f t="shared" si="394"/>
        <v>7.8399205712673066</v>
      </c>
      <c r="DX169" s="5">
        <f t="shared" si="395"/>
        <v>3.816009242986397</v>
      </c>
      <c r="DY169" s="5">
        <f t="shared" si="396"/>
        <v>4.02391132828091</v>
      </c>
      <c r="DZ169" s="5"/>
      <c r="EA169" s="150">
        <f t="shared" si="397"/>
        <v>0.48674080410607362</v>
      </c>
      <c r="EB169" s="150">
        <f t="shared" si="398"/>
        <v>50.15</v>
      </c>
      <c r="EC169" s="150">
        <f t="shared" si="399"/>
        <v>0.29379027533684826</v>
      </c>
      <c r="ED169" s="150">
        <f t="shared" si="400"/>
        <v>170.7</v>
      </c>
      <c r="EE169" s="144">
        <f t="shared" si="401"/>
        <v>0.66218983922411001</v>
      </c>
      <c r="EF169" s="5">
        <f t="shared" si="402"/>
        <v>37.370213539497698</v>
      </c>
      <c r="EH169" s="150">
        <f t="shared" si="403"/>
        <v>9.2225054088299014</v>
      </c>
      <c r="EI169" s="150">
        <f t="shared" si="404"/>
        <v>0.47352009591672689</v>
      </c>
      <c r="EK169" s="456">
        <f t="shared" si="405"/>
        <v>0.28918566045404903</v>
      </c>
      <c r="EL169" s="456">
        <f t="shared" si="406"/>
        <v>1.5567839999999999</v>
      </c>
      <c r="EM169" s="456">
        <f t="shared" si="407"/>
        <v>2.9209479601013694E-2</v>
      </c>
      <c r="EN169" s="456">
        <f t="shared" si="408"/>
        <v>2.6865222958624126E-2</v>
      </c>
      <c r="EO169">
        <f t="shared" si="409"/>
        <v>4.0499999999999998E-3</v>
      </c>
      <c r="EP169" s="144">
        <f t="shared" si="410"/>
        <v>33.259479601013695</v>
      </c>
      <c r="EQ169" s="144"/>
      <c r="ER169" s="144">
        <f t="shared" si="432"/>
        <v>1906.0943630136869</v>
      </c>
      <c r="ES169" s="456">
        <f t="shared" si="411"/>
        <v>0.73749999999999993</v>
      </c>
      <c r="EV169" s="144">
        <f t="shared" si="412"/>
        <v>737.49999999999989</v>
      </c>
      <c r="EW169" s="456">
        <f t="shared" si="413"/>
        <v>0.12758190902384517</v>
      </c>
      <c r="EX169" s="456">
        <f t="shared" si="414"/>
        <v>4.4844256247397248E-2</v>
      </c>
      <c r="EY169" s="456">
        <f t="shared" si="415"/>
        <v>23.045838725832727</v>
      </c>
      <c r="EZ169" s="456"/>
      <c r="FA169" s="456">
        <f t="shared" si="416"/>
        <v>6.6866666666666671E-2</v>
      </c>
      <c r="FB169" s="144">
        <f t="shared" si="417"/>
        <v>23285.131557770637</v>
      </c>
      <c r="FC169" s="150">
        <f t="shared" si="418"/>
        <v>25.928725920784323</v>
      </c>
      <c r="FD169" s="5">
        <f t="shared" si="419"/>
        <v>50.15</v>
      </c>
      <c r="FE169" s="150">
        <f t="shared" si="420"/>
        <v>0.65918559220113426</v>
      </c>
      <c r="FF169" s="5">
        <f t="shared" si="421"/>
        <v>65.918559220113423</v>
      </c>
      <c r="FI169" s="59">
        <f t="shared" si="422"/>
        <v>-50</v>
      </c>
      <c r="FJ169">
        <f t="shared" si="423"/>
        <v>-50</v>
      </c>
      <c r="FL169">
        <f t="shared" si="476"/>
        <v>0.51325919589392632</v>
      </c>
    </row>
    <row r="170" spans="5:168">
      <c r="E170" s="147">
        <v>60</v>
      </c>
      <c r="F170" s="188">
        <f t="shared" si="477"/>
        <v>0.3</v>
      </c>
      <c r="G170" s="188"/>
      <c r="H170" s="188">
        <f t="shared" si="442"/>
        <v>51</v>
      </c>
      <c r="I170" s="465">
        <f t="shared" si="443"/>
        <v>8.9420104473574789</v>
      </c>
      <c r="J170" s="149">
        <f t="shared" si="444"/>
        <v>8.5409173012900528</v>
      </c>
      <c r="K170" s="149">
        <f t="shared" si="445"/>
        <v>17.482927748647533</v>
      </c>
      <c r="L170" s="379"/>
      <c r="M170" s="188">
        <f t="shared" si="446"/>
        <v>0.48852688999902139</v>
      </c>
      <c r="N170" s="149">
        <f t="shared" si="447"/>
        <v>146.00690893608703</v>
      </c>
      <c r="O170" s="149">
        <f t="shared" si="438"/>
        <v>51</v>
      </c>
      <c r="P170" s="188">
        <f t="shared" si="448"/>
        <v>0.85886417021227668</v>
      </c>
      <c r="Q170" s="188">
        <f t="shared" si="449"/>
        <v>170</v>
      </c>
      <c r="R170" s="188"/>
      <c r="S170" s="149">
        <f t="shared" si="450"/>
        <v>814.8700051581294</v>
      </c>
      <c r="T170" s="149">
        <f t="shared" si="451"/>
        <v>170</v>
      </c>
      <c r="U170" s="188">
        <f t="shared" si="452"/>
        <v>23.461643956174044</v>
      </c>
      <c r="V170" s="188">
        <f t="shared" si="453"/>
        <v>3.9356323884256987</v>
      </c>
      <c r="W170" s="188">
        <f t="shared" si="454"/>
        <v>4.1204550627068439</v>
      </c>
      <c r="X170" s="172">
        <f t="shared" si="455"/>
        <v>218.42157342342179</v>
      </c>
      <c r="Y170" s="379">
        <f t="shared" si="328"/>
        <v>121.1227480230752</v>
      </c>
      <c r="AA170" s="188">
        <f t="shared" si="456"/>
        <v>13.333333333333332</v>
      </c>
      <c r="AB170" s="150">
        <f t="shared" si="457"/>
        <v>2.3416688506021623</v>
      </c>
      <c r="AC170" s="150">
        <f t="shared" si="458"/>
        <v>0.17049033159504665</v>
      </c>
      <c r="AD170" s="150"/>
      <c r="AE170" s="150">
        <f t="shared" si="459"/>
        <v>2.3416688506021623</v>
      </c>
      <c r="AF170" s="314">
        <f t="shared" si="460"/>
        <v>384.3412785580523</v>
      </c>
      <c r="AG170" s="456">
        <f t="shared" si="461"/>
        <v>0.17049033159504665</v>
      </c>
      <c r="AI170" s="150">
        <f t="shared" si="462"/>
        <v>13.972149687382746</v>
      </c>
      <c r="AJ170" s="150">
        <f t="shared" si="463"/>
        <v>23.461643956174044</v>
      </c>
      <c r="AK170" s="150">
        <f t="shared" si="464"/>
        <v>8.7024523132153409</v>
      </c>
      <c r="AM170" s="314">
        <f t="shared" si="465"/>
        <v>300</v>
      </c>
      <c r="AN170" s="144">
        <f t="shared" si="466"/>
        <v>121.1227480230752</v>
      </c>
      <c r="AP170">
        <f t="shared" si="467"/>
        <v>300</v>
      </c>
      <c r="AQ170">
        <f t="shared" si="468"/>
        <v>121.1227480230752</v>
      </c>
      <c r="AS170" s="5">
        <f t="shared" si="439"/>
        <v>8.2560874511325419</v>
      </c>
      <c r="AT170" s="5">
        <f t="shared" si="469"/>
        <v>3.9356323884256987</v>
      </c>
      <c r="AU170" s="5">
        <f t="shared" ref="AU170:AU233" si="478">AS170-AT170</f>
        <v>4.3204550627068432</v>
      </c>
      <c r="AV170" s="5"/>
      <c r="AW170" s="150">
        <f t="shared" ref="AW170:AW233" si="479">AT170/AS170</f>
        <v>0.47669461009473951</v>
      </c>
      <c r="AX170" s="150">
        <f t="shared" si="435"/>
        <v>50.003897764924602</v>
      </c>
      <c r="AY170" s="150">
        <f t="shared" si="436"/>
        <v>0.30694011845760139</v>
      </c>
      <c r="AZ170" s="150">
        <f t="shared" si="440"/>
        <v>162.91092222221775</v>
      </c>
      <c r="BA170" s="144">
        <f t="shared" si="433"/>
        <v>0.69452336266335846</v>
      </c>
      <c r="BB170" s="5">
        <f t="shared" si="434"/>
        <v>41.068916491660673</v>
      </c>
      <c r="BD170" s="150">
        <f t="shared" si="441"/>
        <v>9.352289311919888</v>
      </c>
      <c r="BE170" s="150">
        <f t="shared" si="437"/>
        <v>0.48994284616058803</v>
      </c>
      <c r="BG170" s="456">
        <f t="shared" ref="BG170:BG210" si="480">Rdson*BD170^2</f>
        <v>0.29738207227109326</v>
      </c>
      <c r="BH170" s="456">
        <f t="shared" si="470"/>
        <v>1.1898818386367394</v>
      </c>
      <c r="BI170" s="456">
        <f t="shared" si="471"/>
        <v>4.9605104223162361E-2</v>
      </c>
      <c r="BJ170" s="456">
        <f t="shared" ref="BJ170:BJ210" si="481">0.5*(Coss+Csw)*K170^2*AN170*1000</f>
        <v>2.5359729250010978E-2</v>
      </c>
      <c r="BK170">
        <f t="shared" ref="BK170:BK210" si="482">I170*IQ</f>
        <v>4.0239047013108653E-3</v>
      </c>
      <c r="BL170" s="144">
        <f t="shared" si="427"/>
        <v>53.629008924473226</v>
      </c>
      <c r="BM170" s="456">
        <f t="shared" si="472"/>
        <v>1.7140264466982684</v>
      </c>
      <c r="BN170" s="144">
        <f t="shared" si="353"/>
        <v>1714.0264466982685</v>
      </c>
      <c r="BO170" s="456">
        <f t="shared" ref="BO170:BO210" si="483">Vfwd2*F170</f>
        <v>0.75</v>
      </c>
      <c r="BR170" s="144">
        <f t="shared" ref="BR170:BR210" si="484">SUM(BO170:BQ170)*1000</f>
        <v>750</v>
      </c>
      <c r="BS170" s="456">
        <f t="shared" ref="BS170:BS210" si="485">Rdcr_pri*BD170^2</f>
        <v>0.13119797306077646</v>
      </c>
      <c r="BT170" s="456">
        <f t="shared" ref="BT170:BT210" si="486">Rdcr_sec*BE170^2</f>
        <v>4.8008798500787528E-2</v>
      </c>
      <c r="BU170" s="456">
        <f t="shared" ref="BU170:BU210" si="487">AJ170^2.5*AN170^2.5*k_core</f>
        <v>21.5243672152498</v>
      </c>
      <c r="BV170" s="456"/>
      <c r="BW170" s="456">
        <f t="shared" ref="BW170:BW210" si="488">0.5*Lleak*0.000000001*AJ170^2*AN170*1000</f>
        <v>6.6671863686566135E-2</v>
      </c>
      <c r="BX170" s="144">
        <f t="shared" ref="BX170:BX210" si="489">SUM(BS170:BW170)*1000</f>
        <v>21770.245850497929</v>
      </c>
      <c r="BY170" s="150">
        <f t="shared" ref="BY170:BY210" si="490">SUM(BG170:BK170,BO170:BQ170,BS170:BW170)</f>
        <v>24.086498499580248</v>
      </c>
      <c r="BZ170" s="5">
        <f t="shared" ref="BZ170:BZ210" si="491">MIN(H170,O170)</f>
        <v>51</v>
      </c>
      <c r="CA170" s="150">
        <f t="shared" ref="CA170:CA210" si="492">BZ170/(BZ170+BY170)</f>
        <v>0.6792166503846907</v>
      </c>
      <c r="CB170" s="5">
        <f t="shared" ref="CB170:CB210" si="493">CA170*100</f>
        <v>67.921665038469072</v>
      </c>
      <c r="CE170" s="59">
        <f t="shared" si="473"/>
        <v>-50</v>
      </c>
      <c r="CF170">
        <f t="shared" si="474"/>
        <v>-50</v>
      </c>
      <c r="CG170" s="150">
        <f t="shared" si="475"/>
        <v>0.50698787385440758</v>
      </c>
      <c r="CI170" s="147">
        <v>60</v>
      </c>
      <c r="CJ170" s="188">
        <f t="shared" si="428"/>
        <v>0.3</v>
      </c>
      <c r="CK170" s="188"/>
      <c r="CL170" s="188">
        <f t="shared" si="368"/>
        <v>51</v>
      </c>
      <c r="CM170" s="465">
        <f t="shared" si="369"/>
        <v>9</v>
      </c>
      <c r="CN170" s="379">
        <f t="shared" si="370"/>
        <v>8.5350000000000001</v>
      </c>
      <c r="CO170" s="379">
        <f t="shared" si="371"/>
        <v>17.535</v>
      </c>
      <c r="CP170" s="379"/>
      <c r="CQ170" s="188">
        <f t="shared" si="372"/>
        <v>0.48674080410607357</v>
      </c>
      <c r="CR170" s="149">
        <f t="shared" si="429"/>
        <v>146.41650128314802</v>
      </c>
      <c r="CS170" s="149">
        <f t="shared" si="373"/>
        <v>51</v>
      </c>
      <c r="CT170" s="188">
        <f t="shared" si="374"/>
        <v>0.86127353695969422</v>
      </c>
      <c r="CU170" s="188">
        <f t="shared" si="375"/>
        <v>170</v>
      </c>
      <c r="CV170" s="188"/>
      <c r="CW170" s="149">
        <f t="shared" si="376"/>
        <v>820.15349876706318</v>
      </c>
      <c r="CX170" s="149">
        <f t="shared" si="377"/>
        <v>170</v>
      </c>
      <c r="CY170" s="188">
        <f t="shared" si="378"/>
        <v>23.284124194493263</v>
      </c>
      <c r="CZ170" s="188">
        <f t="shared" si="379"/>
        <v>3.880687365748877</v>
      </c>
      <c r="DA170" s="188">
        <f t="shared" si="380"/>
        <v>4.0921132152009241</v>
      </c>
      <c r="DB170" s="172">
        <f t="shared" si="381"/>
        <v>219.03336184773312</v>
      </c>
      <c r="DC170" s="379">
        <f t="shared" si="382"/>
        <v>125.42644079037905</v>
      </c>
      <c r="DE170" s="188">
        <f t="shared" si="383"/>
        <v>13.333333333333334</v>
      </c>
      <c r="DF170" s="150">
        <f t="shared" si="384"/>
        <v>2.3432923257176337</v>
      </c>
      <c r="DG170" s="150">
        <f t="shared" si="385"/>
        <v>0.17108639863130889</v>
      </c>
      <c r="DH170" s="150"/>
      <c r="DI170" s="150">
        <f t="shared" si="386"/>
        <v>2.3432923257176337</v>
      </c>
      <c r="DJ170" s="314">
        <f t="shared" si="387"/>
        <v>384.07499999999987</v>
      </c>
      <c r="DK170" s="456">
        <f t="shared" si="388"/>
        <v>0.17108639863130887</v>
      </c>
      <c r="DM170" s="150">
        <f t="shared" si="389"/>
        <v>13.967308770329174</v>
      </c>
      <c r="DN170" s="150">
        <f t="shared" si="390"/>
        <v>23.284124194493263</v>
      </c>
      <c r="DO170" s="150">
        <f t="shared" si="391"/>
        <v>8.5709561934517993</v>
      </c>
      <c r="DQ170" s="314">
        <f t="shared" si="392"/>
        <v>300</v>
      </c>
      <c r="DR170" s="144">
        <f t="shared" si="393"/>
        <v>125.42644079037905</v>
      </c>
      <c r="DT170">
        <f t="shared" si="430"/>
        <v>300</v>
      </c>
      <c r="DU170">
        <f t="shared" si="431"/>
        <v>125.42644079037905</v>
      </c>
      <c r="DW170" s="5">
        <f t="shared" si="394"/>
        <v>7.9728005809498024</v>
      </c>
      <c r="DX170" s="5">
        <f t="shared" si="395"/>
        <v>3.880687365748877</v>
      </c>
      <c r="DY170" s="5">
        <f t="shared" si="396"/>
        <v>4.092113215200925</v>
      </c>
      <c r="DZ170" s="5"/>
      <c r="EA170" s="150">
        <f t="shared" si="397"/>
        <v>0.48674080410607351</v>
      </c>
      <c r="EB170" s="150">
        <f t="shared" si="398"/>
        <v>51</v>
      </c>
      <c r="EC170" s="150">
        <f t="shared" si="399"/>
        <v>0.29876977152899836</v>
      </c>
      <c r="ED170" s="150">
        <f t="shared" si="400"/>
        <v>170.69999999999993</v>
      </c>
      <c r="EE170" s="144">
        <f t="shared" si="401"/>
        <v>0.68482718219097827</v>
      </c>
      <c r="EF170" s="5">
        <f t="shared" si="402"/>
        <v>38.647735921342068</v>
      </c>
      <c r="EH170" s="150">
        <f t="shared" si="403"/>
        <v>9.378819059827018</v>
      </c>
      <c r="EI170" s="150">
        <f t="shared" si="404"/>
        <v>0.48154586025429857</v>
      </c>
      <c r="EK170" s="456">
        <f t="shared" si="405"/>
        <v>0.29907163965371347</v>
      </c>
      <c r="EL170" s="456">
        <f t="shared" si="406"/>
        <v>1.5567839999999999</v>
      </c>
      <c r="EM170" s="456">
        <f t="shared" si="407"/>
        <v>2.8722654940996802E-2</v>
      </c>
      <c r="EN170" s="456">
        <f t="shared" si="408"/>
        <v>2.6417469242647061E-2</v>
      </c>
      <c r="EO170">
        <f t="shared" si="409"/>
        <v>4.0499999999999998E-3</v>
      </c>
      <c r="EP170" s="144">
        <f t="shared" si="410"/>
        <v>32.772654940996802</v>
      </c>
      <c r="EQ170" s="144"/>
      <c r="ER170" s="144">
        <f t="shared" si="432"/>
        <v>1915.0457638373575</v>
      </c>
      <c r="ES170" s="456">
        <f t="shared" si="411"/>
        <v>0.75</v>
      </c>
      <c r="EV170" s="144">
        <f t="shared" ref="EV170:EV210" si="494">SUM(ES170:EU170)*1000</f>
        <v>750</v>
      </c>
      <c r="EW170" s="456">
        <f t="shared" si="413"/>
        <v>0.13194337043546184</v>
      </c>
      <c r="EX170" s="456">
        <f t="shared" si="414"/>
        <v>4.6377283105610491E-2</v>
      </c>
      <c r="EY170" s="456">
        <f t="shared" si="415"/>
        <v>23.045838725832748</v>
      </c>
      <c r="EZ170" s="456"/>
      <c r="FA170" s="456">
        <f t="shared" si="416"/>
        <v>6.8000000000000019E-2</v>
      </c>
      <c r="FB170" s="144">
        <f t="shared" si="417"/>
        <v>23292.159379373821</v>
      </c>
      <c r="FC170" s="150">
        <f t="shared" si="418"/>
        <v>25.95720514321118</v>
      </c>
      <c r="FD170" s="5">
        <f t="shared" si="419"/>
        <v>51</v>
      </c>
      <c r="FE170" s="150">
        <f t="shared" si="420"/>
        <v>0.6627059793178961</v>
      </c>
      <c r="FF170" s="5">
        <f t="shared" si="421"/>
        <v>66.270597931789609</v>
      </c>
      <c r="FI170" s="59">
        <f t="shared" si="422"/>
        <v>-50</v>
      </c>
      <c r="FJ170">
        <f t="shared" si="423"/>
        <v>-50</v>
      </c>
      <c r="FL170">
        <f t="shared" si="476"/>
        <v>0.51325919589392655</v>
      </c>
    </row>
    <row r="171" spans="5:168">
      <c r="E171" s="147">
        <v>61</v>
      </c>
      <c r="F171" s="188">
        <f t="shared" si="477"/>
        <v>0.30499999999999999</v>
      </c>
      <c r="G171" s="188"/>
      <c r="H171" s="188">
        <f t="shared" si="442"/>
        <v>51.85</v>
      </c>
      <c r="I171" s="465">
        <f t="shared" si="443"/>
        <v>8.9410559076774963</v>
      </c>
      <c r="J171" s="149">
        <f t="shared" si="444"/>
        <v>8.5410147032982149</v>
      </c>
      <c r="K171" s="149">
        <f t="shared" si="445"/>
        <v>17.482070610975711</v>
      </c>
      <c r="L171" s="379"/>
      <c r="M171" s="188">
        <f t="shared" si="446"/>
        <v>0.48855641433011526</v>
      </c>
      <c r="N171" s="149">
        <f t="shared" si="447"/>
        <v>146.00014607197929</v>
      </c>
      <c r="O171" s="149">
        <f t="shared" si="438"/>
        <v>51.85</v>
      </c>
      <c r="P171" s="188">
        <f t="shared" si="448"/>
        <v>0.8588243886587017</v>
      </c>
      <c r="Q171" s="188">
        <f t="shared" si="449"/>
        <v>170</v>
      </c>
      <c r="R171" s="188"/>
      <c r="S171" s="149">
        <f t="shared" si="450"/>
        <v>798.50008700693002</v>
      </c>
      <c r="T171" s="149">
        <f t="shared" si="451"/>
        <v>170</v>
      </c>
      <c r="U171" s="188">
        <f t="shared" si="452"/>
        <v>23.854048309200191</v>
      </c>
      <c r="V171" s="188">
        <f t="shared" si="453"/>
        <v>4.0018844343737783</v>
      </c>
      <c r="W171" s="188">
        <f t="shared" si="454"/>
        <v>4.1893233657568816</v>
      </c>
      <c r="X171" s="172">
        <f t="shared" si="455"/>
        <v>218.41145614221585</v>
      </c>
      <c r="Y171" s="379">
        <f t="shared" si="328"/>
        <v>119.17235561541321</v>
      </c>
      <c r="AA171" s="188">
        <f t="shared" si="456"/>
        <v>13.333333333333336</v>
      </c>
      <c r="AB171" s="150">
        <f t="shared" si="457"/>
        <v>2.3416421461347876</v>
      </c>
      <c r="AC171" s="150">
        <f t="shared" si="458"/>
        <v>0.17048049030042747</v>
      </c>
      <c r="AD171" s="150"/>
      <c r="AE171" s="150">
        <f t="shared" si="459"/>
        <v>2.3416421461347872</v>
      </c>
      <c r="AF171" s="314">
        <f t="shared" si="460"/>
        <v>390.75142267589325</v>
      </c>
      <c r="AG171" s="456">
        <f t="shared" si="461"/>
        <v>0.17048049030042745</v>
      </c>
      <c r="AI171" s="150">
        <f t="shared" si="462"/>
        <v>14.088183456543135</v>
      </c>
      <c r="AJ171" s="150">
        <f t="shared" si="463"/>
        <v>23.854048309200191</v>
      </c>
      <c r="AK171" s="150">
        <f t="shared" si="464"/>
        <v>8.9931222043458199</v>
      </c>
      <c r="AM171" s="314">
        <f t="shared" si="465"/>
        <v>305</v>
      </c>
      <c r="AN171" s="144">
        <f t="shared" si="466"/>
        <v>119.17235561541321</v>
      </c>
      <c r="AP171">
        <f t="shared" si="467"/>
        <v>305</v>
      </c>
      <c r="AQ171">
        <f t="shared" si="468"/>
        <v>119.17235561541321</v>
      </c>
      <c r="AS171" s="5">
        <f t="shared" si="439"/>
        <v>8.3912078001306583</v>
      </c>
      <c r="AT171" s="5">
        <f t="shared" si="469"/>
        <v>4.0018844343737783</v>
      </c>
      <c r="AU171" s="5">
        <f t="shared" si="478"/>
        <v>4.38932336575688</v>
      </c>
      <c r="AV171" s="5"/>
      <c r="AW171" s="150">
        <f t="shared" si="479"/>
        <v>0.47691399494497866</v>
      </c>
      <c r="AX171" s="150">
        <f t="shared" si="435"/>
        <v>50.858198928954813</v>
      </c>
      <c r="AY171" s="150">
        <f t="shared" si="436"/>
        <v>0.31194297086122541</v>
      </c>
      <c r="AZ171" s="150">
        <f t="shared" si="440"/>
        <v>163.03684865391688</v>
      </c>
      <c r="BA171" s="144">
        <f t="shared" si="433"/>
        <v>0.71798514852000128</v>
      </c>
      <c r="BB171" s="5">
        <f t="shared" si="434"/>
        <v>42.423478625731171</v>
      </c>
      <c r="BD171" s="150">
        <f t="shared" si="441"/>
        <v>9.5108974843262928</v>
      </c>
      <c r="BE171" s="150">
        <f t="shared" si="437"/>
        <v>0.49803288702116516</v>
      </c>
      <c r="BG171" s="456">
        <f t="shared" si="480"/>
        <v>0.30755438125503826</v>
      </c>
      <c r="BH171" s="456">
        <f t="shared" si="470"/>
        <v>1.1902440144048221</v>
      </c>
      <c r="BI171" s="456">
        <f t="shared" si="471"/>
        <v>4.8801122594682146E-2</v>
      </c>
      <c r="BJ171" s="456">
        <f t="shared" si="481"/>
        <v>2.494892488504832E-2</v>
      </c>
      <c r="BK171">
        <f t="shared" si="482"/>
        <v>4.0234751584548728E-3</v>
      </c>
      <c r="BL171" s="144">
        <f t="shared" si="427"/>
        <v>52.82459775313702</v>
      </c>
      <c r="BM171" s="456">
        <f t="shared" si="472"/>
        <v>1.732380577287042</v>
      </c>
      <c r="BN171" s="144">
        <f t="shared" si="353"/>
        <v>1732.3805772870419</v>
      </c>
      <c r="BO171" s="456">
        <f t="shared" si="483"/>
        <v>0.76249999999999996</v>
      </c>
      <c r="BR171" s="144">
        <f t="shared" si="484"/>
        <v>762.5</v>
      </c>
      <c r="BS171" s="456">
        <f t="shared" si="485"/>
        <v>0.1356857564360463</v>
      </c>
      <c r="BT171" s="456">
        <f t="shared" si="486"/>
        <v>4.9607351310927333E-2</v>
      </c>
      <c r="BU171" s="456">
        <f t="shared" si="487"/>
        <v>21.543390329758768</v>
      </c>
      <c r="BV171" s="456"/>
      <c r="BW171" s="456">
        <f t="shared" si="488"/>
        <v>6.7810931905273097E-2</v>
      </c>
      <c r="BX171" s="144">
        <f t="shared" si="489"/>
        <v>21796.494369411015</v>
      </c>
      <c r="BY171" s="150">
        <f t="shared" si="490"/>
        <v>24.134566287709063</v>
      </c>
      <c r="BZ171" s="5">
        <f t="shared" si="491"/>
        <v>51.85</v>
      </c>
      <c r="CA171" s="150">
        <f t="shared" si="492"/>
        <v>0.68237541560314241</v>
      </c>
      <c r="CB171" s="5">
        <f t="shared" si="493"/>
        <v>68.237541560314241</v>
      </c>
      <c r="CE171" s="59">
        <f t="shared" si="473"/>
        <v>-50</v>
      </c>
      <c r="CF171">
        <f t="shared" si="474"/>
        <v>-50</v>
      </c>
      <c r="CG171" s="150">
        <f t="shared" si="475"/>
        <v>0.50709068241243249</v>
      </c>
      <c r="CI171" s="147">
        <v>61</v>
      </c>
      <c r="CJ171" s="188">
        <f t="shared" si="428"/>
        <v>0.30499999999999999</v>
      </c>
      <c r="CK171" s="188"/>
      <c r="CL171" s="188">
        <f t="shared" si="368"/>
        <v>51.85</v>
      </c>
      <c r="CM171" s="465">
        <f t="shared" si="369"/>
        <v>9</v>
      </c>
      <c r="CN171" s="379">
        <f t="shared" si="370"/>
        <v>8.5350000000000001</v>
      </c>
      <c r="CO171" s="379">
        <f t="shared" si="371"/>
        <v>17.535</v>
      </c>
      <c r="CP171" s="379"/>
      <c r="CQ171" s="188">
        <f t="shared" si="372"/>
        <v>0.48674080410607357</v>
      </c>
      <c r="CR171" s="149">
        <f t="shared" si="429"/>
        <v>146.41650128314802</v>
      </c>
      <c r="CS171" s="149">
        <f t="shared" si="373"/>
        <v>51.85</v>
      </c>
      <c r="CT171" s="188">
        <f t="shared" si="374"/>
        <v>0.86127353695969422</v>
      </c>
      <c r="CU171" s="188">
        <f t="shared" si="375"/>
        <v>170</v>
      </c>
      <c r="CV171" s="188"/>
      <c r="CW171" s="149">
        <f t="shared" si="376"/>
        <v>803.76318356277739</v>
      </c>
      <c r="CX171" s="149">
        <f t="shared" si="377"/>
        <v>170</v>
      </c>
      <c r="CY171" s="188">
        <f t="shared" si="378"/>
        <v>23.672192931068153</v>
      </c>
      <c r="CZ171" s="188">
        <f t="shared" si="379"/>
        <v>3.9453654885113587</v>
      </c>
      <c r="DA171" s="188">
        <f t="shared" si="380"/>
        <v>4.1603151021209408</v>
      </c>
      <c r="DB171" s="172">
        <f t="shared" si="381"/>
        <v>219.03336184773312</v>
      </c>
      <c r="DC171" s="379">
        <f t="shared" si="382"/>
        <v>123.37026962988101</v>
      </c>
      <c r="DE171" s="188">
        <f t="shared" si="383"/>
        <v>13.333333333333334</v>
      </c>
      <c r="DF171" s="150">
        <f t="shared" si="384"/>
        <v>2.3432923257176337</v>
      </c>
      <c r="DG171" s="150">
        <f t="shared" si="385"/>
        <v>0.17108639863130889</v>
      </c>
      <c r="DH171" s="150"/>
      <c r="DI171" s="150">
        <f t="shared" si="386"/>
        <v>2.3432923257176337</v>
      </c>
      <c r="DJ171" s="314">
        <f t="shared" si="387"/>
        <v>390.47624999999988</v>
      </c>
      <c r="DK171" s="456">
        <f t="shared" si="388"/>
        <v>0.17108639863130887</v>
      </c>
      <c r="DM171" s="150">
        <f t="shared" si="389"/>
        <v>14.083222033936085</v>
      </c>
      <c r="DN171" s="150">
        <f t="shared" si="390"/>
        <v>23.672192931068153</v>
      </c>
      <c r="DO171" s="150">
        <f t="shared" si="391"/>
        <v>8.8584145168406074</v>
      </c>
      <c r="DQ171" s="314">
        <f t="shared" si="392"/>
        <v>305</v>
      </c>
      <c r="DR171" s="144">
        <f t="shared" si="393"/>
        <v>123.37026962988101</v>
      </c>
      <c r="DT171">
        <f t="shared" si="430"/>
        <v>305</v>
      </c>
      <c r="DU171">
        <f t="shared" si="431"/>
        <v>123.37026962988101</v>
      </c>
      <c r="DW171" s="5">
        <f t="shared" si="394"/>
        <v>8.1056805906323</v>
      </c>
      <c r="DX171" s="5">
        <f t="shared" si="395"/>
        <v>3.9453654885113587</v>
      </c>
      <c r="DY171" s="5">
        <f t="shared" si="396"/>
        <v>4.1603151021209417</v>
      </c>
      <c r="DZ171" s="5"/>
      <c r="EA171" s="150">
        <f t="shared" si="397"/>
        <v>0.48674080410607351</v>
      </c>
      <c r="EB171" s="150">
        <f t="shared" si="398"/>
        <v>51.850000000000009</v>
      </c>
      <c r="EC171" s="150">
        <f t="shared" si="399"/>
        <v>0.3037492677211483</v>
      </c>
      <c r="ED171" s="150">
        <f t="shared" si="400"/>
        <v>170.7</v>
      </c>
      <c r="EE171" s="144">
        <f t="shared" si="401"/>
        <v>0.70784498470350854</v>
      </c>
      <c r="EF171" s="5">
        <f t="shared" si="402"/>
        <v>39.946729267587187</v>
      </c>
      <c r="EH171" s="150">
        <f t="shared" si="403"/>
        <v>9.5351327108241346</v>
      </c>
      <c r="EI171" s="150">
        <f t="shared" si="404"/>
        <v>0.4895716245918702</v>
      </c>
      <c r="EK171" s="456">
        <f t="shared" si="405"/>
        <v>0.30912376976429656</v>
      </c>
      <c r="EL171" s="456">
        <f t="shared" si="406"/>
        <v>1.5567839999999999</v>
      </c>
      <c r="EM171" s="456">
        <f t="shared" si="407"/>
        <v>2.8251791745242751E-2</v>
      </c>
      <c r="EN171" s="456">
        <f t="shared" si="408"/>
        <v>2.5984395976374156E-2</v>
      </c>
      <c r="EO171">
        <f t="shared" si="409"/>
        <v>4.0499999999999998E-3</v>
      </c>
      <c r="EP171" s="144">
        <f t="shared" si="410"/>
        <v>32.301791745242753</v>
      </c>
      <c r="EQ171" s="144"/>
      <c r="ER171" s="144">
        <f t="shared" si="432"/>
        <v>1924.1939574859134</v>
      </c>
      <c r="ES171" s="456">
        <f t="shared" si="411"/>
        <v>0.76249999999999996</v>
      </c>
      <c r="EV171" s="144">
        <f t="shared" si="494"/>
        <v>762.5</v>
      </c>
      <c r="EW171" s="456">
        <f t="shared" si="413"/>
        <v>0.13637813371954263</v>
      </c>
      <c r="EX171" s="456">
        <f t="shared" si="414"/>
        <v>4.7936075121104621E-2</v>
      </c>
      <c r="EY171" s="456">
        <f t="shared" si="415"/>
        <v>23.045838725832724</v>
      </c>
      <c r="EZ171" s="456"/>
      <c r="FA171" s="456">
        <f t="shared" si="416"/>
        <v>6.9133333333333338E-2</v>
      </c>
      <c r="FB171" s="144">
        <f t="shared" si="417"/>
        <v>23299.286268006705</v>
      </c>
      <c r="FC171" s="150">
        <f t="shared" si="418"/>
        <v>25.985980225492618</v>
      </c>
      <c r="FD171" s="5">
        <f t="shared" si="419"/>
        <v>51.85</v>
      </c>
      <c r="FE171" s="150">
        <f t="shared" si="420"/>
        <v>0.66614436986326075</v>
      </c>
      <c r="FF171" s="5">
        <f t="shared" si="421"/>
        <v>66.614436986326069</v>
      </c>
      <c r="FI171" s="59">
        <f t="shared" si="422"/>
        <v>-50</v>
      </c>
      <c r="FJ171">
        <f t="shared" si="423"/>
        <v>-50</v>
      </c>
      <c r="FL171">
        <f t="shared" si="476"/>
        <v>0.51325919589392655</v>
      </c>
    </row>
    <row r="172" spans="5:168">
      <c r="E172" s="147">
        <v>62</v>
      </c>
      <c r="F172" s="188">
        <f t="shared" si="477"/>
        <v>0.31</v>
      </c>
      <c r="G172" s="188"/>
      <c r="H172" s="188">
        <f t="shared" si="442"/>
        <v>52.7</v>
      </c>
      <c r="I172" s="465">
        <f t="shared" si="443"/>
        <v>8.9401013633080844</v>
      </c>
      <c r="J172" s="149">
        <f t="shared" si="444"/>
        <v>8.5411121057848884</v>
      </c>
      <c r="K172" s="149">
        <f t="shared" si="445"/>
        <v>17.481213469092971</v>
      </c>
      <c r="L172" s="379"/>
      <c r="M172" s="188">
        <f t="shared" si="446"/>
        <v>0.48858594168750785</v>
      </c>
      <c r="N172" s="149">
        <f t="shared" si="447"/>
        <v>145.99338215169209</v>
      </c>
      <c r="O172" s="149">
        <f t="shared" si="438"/>
        <v>52.7</v>
      </c>
      <c r="P172" s="188">
        <f t="shared" si="448"/>
        <v>0.85878460089230635</v>
      </c>
      <c r="Q172" s="188">
        <f t="shared" si="449"/>
        <v>170</v>
      </c>
      <c r="R172" s="188"/>
      <c r="S172" s="149">
        <f t="shared" si="450"/>
        <v>782.65896990087515</v>
      </c>
      <c r="T172" s="149">
        <f t="shared" si="451"/>
        <v>170</v>
      </c>
      <c r="U172" s="188">
        <f t="shared" si="452"/>
        <v>24.246498113321621</v>
      </c>
      <c r="V172" s="188">
        <f t="shared" si="453"/>
        <v>4.0681582559288358</v>
      </c>
      <c r="W172" s="188">
        <f t="shared" si="454"/>
        <v>4.2581980800075474</v>
      </c>
      <c r="X172" s="172">
        <f t="shared" si="455"/>
        <v>218.40133728730382</v>
      </c>
      <c r="Y172" s="379">
        <f t="shared" si="328"/>
        <v>117.28339288205198</v>
      </c>
      <c r="AA172" s="188">
        <f t="shared" si="456"/>
        <v>13.333333333333336</v>
      </c>
      <c r="AB172" s="150">
        <f t="shared" si="457"/>
        <v>2.3416154421452942</v>
      </c>
      <c r="AC172" s="150">
        <f t="shared" si="458"/>
        <v>0.17047064799237785</v>
      </c>
      <c r="AD172" s="150"/>
      <c r="AE172" s="150">
        <f t="shared" si="459"/>
        <v>2.3416154421452937</v>
      </c>
      <c r="AF172" s="314">
        <f t="shared" si="460"/>
        <v>397.16171291899724</v>
      </c>
      <c r="AG172" s="456">
        <f t="shared" si="461"/>
        <v>0.17047064799237782</v>
      </c>
      <c r="AI172" s="150">
        <f t="shared" si="462"/>
        <v>14.203271931007917</v>
      </c>
      <c r="AJ172" s="150">
        <f t="shared" si="463"/>
        <v>24.246498113321621</v>
      </c>
      <c r="AK172" s="150">
        <f t="shared" si="464"/>
        <v>9.2838257629542866</v>
      </c>
      <c r="AM172" s="314">
        <f t="shared" si="465"/>
        <v>310</v>
      </c>
      <c r="AN172" s="144">
        <f t="shared" si="466"/>
        <v>117.28339288205198</v>
      </c>
      <c r="AP172">
        <f t="shared" si="467"/>
        <v>310</v>
      </c>
      <c r="AQ172">
        <f t="shared" si="468"/>
        <v>117.28339288205198</v>
      </c>
      <c r="AS172" s="5">
        <f t="shared" si="439"/>
        <v>8.5263563359363843</v>
      </c>
      <c r="AT172" s="5">
        <f t="shared" si="469"/>
        <v>4.0681582559288358</v>
      </c>
      <c r="AU172" s="5">
        <f t="shared" si="478"/>
        <v>4.4581980800075485</v>
      </c>
      <c r="AV172" s="5"/>
      <c r="AW172" s="150">
        <f t="shared" si="479"/>
        <v>0.47712740303646495</v>
      </c>
      <c r="AX172" s="150">
        <f t="shared" si="435"/>
        <v>51.712535307857145</v>
      </c>
      <c r="AY172" s="150">
        <f t="shared" si="436"/>
        <v>0.31694573589459829</v>
      </c>
      <c r="AZ172" s="150">
        <f t="shared" si="440"/>
        <v>163.15895578116999</v>
      </c>
      <c r="BA172" s="144">
        <f t="shared" si="433"/>
        <v>0.74184062313996424</v>
      </c>
      <c r="BB172" s="5">
        <f t="shared" si="434"/>
        <v>43.800219048348104</v>
      </c>
      <c r="BD172" s="150">
        <f t="shared" si="441"/>
        <v>9.6695346882801729</v>
      </c>
      <c r="BE172" s="150">
        <f t="shared" si="437"/>
        <v>0.50612331130511767</v>
      </c>
      <c r="BG172" s="456">
        <f t="shared" si="480"/>
        <v>0.31789966369870204</v>
      </c>
      <c r="BH172" s="456">
        <f t="shared" si="470"/>
        <v>1.1905911171306622</v>
      </c>
      <c r="BI172" s="456">
        <f t="shared" si="471"/>
        <v>4.8022464263398963E-2</v>
      </c>
      <c r="BJ172" s="456">
        <f t="shared" si="481"/>
        <v>2.455105984708169E-2</v>
      </c>
      <c r="BK172">
        <f t="shared" si="482"/>
        <v>4.0230456134886378E-3</v>
      </c>
      <c r="BL172" s="144">
        <f t="shared" si="427"/>
        <v>52.0455098768876</v>
      </c>
      <c r="BM172" s="456">
        <f t="shared" si="472"/>
        <v>1.75114382665403</v>
      </c>
      <c r="BN172" s="144">
        <f t="shared" si="353"/>
        <v>1751.1438266540299</v>
      </c>
      <c r="BO172" s="456">
        <f t="shared" si="483"/>
        <v>0.77500000000000002</v>
      </c>
      <c r="BR172" s="144">
        <f t="shared" si="484"/>
        <v>775</v>
      </c>
      <c r="BS172" s="456">
        <f t="shared" si="485"/>
        <v>0.14024985163178033</v>
      </c>
      <c r="BT172" s="456">
        <f t="shared" si="486"/>
        <v>5.1232161249291412E-2</v>
      </c>
      <c r="BU172" s="456">
        <f t="shared" si="487"/>
        <v>21.561742965334837</v>
      </c>
      <c r="BV172" s="456"/>
      <c r="BW172" s="456">
        <f t="shared" si="488"/>
        <v>6.8950047077142862E-2</v>
      </c>
      <c r="BX172" s="144">
        <f t="shared" si="489"/>
        <v>21822.175025293051</v>
      </c>
      <c r="BY172" s="150">
        <f t="shared" si="490"/>
        <v>24.182262375846385</v>
      </c>
      <c r="BZ172" s="5">
        <f t="shared" si="491"/>
        <v>52.7</v>
      </c>
      <c r="CA172" s="150">
        <f t="shared" si="492"/>
        <v>0.68546369957703579</v>
      </c>
      <c r="CB172" s="5">
        <f t="shared" si="493"/>
        <v>68.546369957703575</v>
      </c>
      <c r="CE172" s="59">
        <f t="shared" si="473"/>
        <v>-50</v>
      </c>
      <c r="CF172">
        <f t="shared" si="474"/>
        <v>-50</v>
      </c>
      <c r="CG172" s="150">
        <f t="shared" si="475"/>
        <v>0.50719017456535964</v>
      </c>
      <c r="CI172" s="147">
        <v>62</v>
      </c>
      <c r="CJ172" s="188">
        <f t="shared" si="428"/>
        <v>0.31</v>
      </c>
      <c r="CK172" s="188"/>
      <c r="CL172" s="188">
        <f t="shared" si="368"/>
        <v>52.7</v>
      </c>
      <c r="CM172" s="465">
        <f t="shared" si="369"/>
        <v>9</v>
      </c>
      <c r="CN172" s="379">
        <f t="shared" si="370"/>
        <v>8.5350000000000001</v>
      </c>
      <c r="CO172" s="379">
        <f t="shared" si="371"/>
        <v>17.535</v>
      </c>
      <c r="CP172" s="379"/>
      <c r="CQ172" s="188">
        <f t="shared" si="372"/>
        <v>0.48674080410607357</v>
      </c>
      <c r="CR172" s="149">
        <f t="shared" si="429"/>
        <v>146.41650128314802</v>
      </c>
      <c r="CS172" s="149">
        <f t="shared" si="373"/>
        <v>52.7</v>
      </c>
      <c r="CT172" s="188">
        <f t="shared" si="374"/>
        <v>0.86127353695969422</v>
      </c>
      <c r="CU172" s="188">
        <f t="shared" si="375"/>
        <v>170</v>
      </c>
      <c r="CV172" s="188"/>
      <c r="CW172" s="149">
        <f t="shared" si="376"/>
        <v>787.90171195669586</v>
      </c>
      <c r="CX172" s="149">
        <f t="shared" si="377"/>
        <v>170</v>
      </c>
      <c r="CY172" s="188">
        <f t="shared" si="378"/>
        <v>24.06026166764304</v>
      </c>
      <c r="CZ172" s="188">
        <f t="shared" si="379"/>
        <v>4.01004361127384</v>
      </c>
      <c r="DA172" s="188">
        <f t="shared" si="380"/>
        <v>4.2285169890409557</v>
      </c>
      <c r="DB172" s="172">
        <f t="shared" si="381"/>
        <v>219.03336184773312</v>
      </c>
      <c r="DC172" s="379">
        <f t="shared" si="382"/>
        <v>121.38042657133457</v>
      </c>
      <c r="DE172" s="188">
        <f t="shared" si="383"/>
        <v>13.333333333333334</v>
      </c>
      <c r="DF172" s="150">
        <f t="shared" si="384"/>
        <v>2.3432923257176337</v>
      </c>
      <c r="DG172" s="150">
        <f t="shared" si="385"/>
        <v>0.17108639863130889</v>
      </c>
      <c r="DH172" s="150"/>
      <c r="DI172" s="150">
        <f t="shared" si="386"/>
        <v>2.3432923257176337</v>
      </c>
      <c r="DJ172" s="314">
        <f t="shared" si="387"/>
        <v>396.87749999999988</v>
      </c>
      <c r="DK172" s="456">
        <f t="shared" si="388"/>
        <v>0.17108639863130887</v>
      </c>
      <c r="DM172" s="150">
        <f t="shared" si="389"/>
        <v>14.198189019328185</v>
      </c>
      <c r="DN172" s="150">
        <f t="shared" si="390"/>
        <v>24.06026166764304</v>
      </c>
      <c r="DO172" s="150">
        <f t="shared" si="391"/>
        <v>9.145872840229412</v>
      </c>
      <c r="DQ172" s="314">
        <f t="shared" si="392"/>
        <v>310</v>
      </c>
      <c r="DR172" s="144">
        <f t="shared" si="393"/>
        <v>121.38042657133457</v>
      </c>
      <c r="DT172">
        <f t="shared" si="430"/>
        <v>310</v>
      </c>
      <c r="DU172">
        <f t="shared" si="431"/>
        <v>121.38042657133457</v>
      </c>
      <c r="DW172" s="5">
        <f t="shared" si="394"/>
        <v>8.2385606003147949</v>
      </c>
      <c r="DX172" s="5">
        <f t="shared" si="395"/>
        <v>4.01004361127384</v>
      </c>
      <c r="DY172" s="5">
        <f t="shared" si="396"/>
        <v>4.2285169890409549</v>
      </c>
      <c r="DZ172" s="5"/>
      <c r="EA172" s="150">
        <f t="shared" si="397"/>
        <v>0.48674080410607362</v>
      </c>
      <c r="EB172" s="150">
        <f t="shared" si="398"/>
        <v>52.700000000000017</v>
      </c>
      <c r="EC172" s="150">
        <f t="shared" si="399"/>
        <v>0.30872876391329818</v>
      </c>
      <c r="ED172" s="150">
        <f t="shared" si="400"/>
        <v>170.70000000000005</v>
      </c>
      <c r="EE172" s="144">
        <f t="shared" si="401"/>
        <v>0.73124324676170016</v>
      </c>
      <c r="EF172" s="5">
        <f t="shared" si="402"/>
        <v>41.267193578233019</v>
      </c>
      <c r="EH172" s="150">
        <f t="shared" si="403"/>
        <v>9.691446361821253</v>
      </c>
      <c r="EI172" s="150">
        <f t="shared" si="404"/>
        <v>0.49759738892944189</v>
      </c>
      <c r="EK172" s="456">
        <f t="shared" si="405"/>
        <v>0.31934205078579853</v>
      </c>
      <c r="EL172" s="456">
        <f t="shared" si="406"/>
        <v>1.5567840000000002</v>
      </c>
      <c r="EM172" s="456">
        <f t="shared" si="407"/>
        <v>2.7796117684835617E-2</v>
      </c>
      <c r="EN172" s="456">
        <f t="shared" si="408"/>
        <v>2.55652928154649E-2</v>
      </c>
      <c r="EO172">
        <f t="shared" si="409"/>
        <v>4.0499999999999998E-3</v>
      </c>
      <c r="EP172" s="144">
        <f t="shared" si="410"/>
        <v>31.846117684835619</v>
      </c>
      <c r="EQ172" s="144"/>
      <c r="ER172" s="144">
        <f t="shared" si="432"/>
        <v>1933.5374612860992</v>
      </c>
      <c r="ES172" s="456">
        <f t="shared" si="411"/>
        <v>0.77500000000000002</v>
      </c>
      <c r="EV172" s="144">
        <f t="shared" si="494"/>
        <v>775</v>
      </c>
      <c r="EW172" s="456">
        <f t="shared" si="413"/>
        <v>0.14088619887608761</v>
      </c>
      <c r="EX172" s="456">
        <f t="shared" si="414"/>
        <v>4.9520632293879652E-2</v>
      </c>
      <c r="EY172" s="456">
        <f t="shared" si="415"/>
        <v>23.045838725832727</v>
      </c>
      <c r="EZ172" s="456"/>
      <c r="FA172" s="456">
        <f t="shared" si="416"/>
        <v>7.0266666666666686E-2</v>
      </c>
      <c r="FB172" s="144">
        <f t="shared" si="417"/>
        <v>23306.512223669357</v>
      </c>
      <c r="FC172" s="150">
        <f t="shared" si="418"/>
        <v>26.015049684955461</v>
      </c>
      <c r="FD172" s="5">
        <f t="shared" si="419"/>
        <v>52.7</v>
      </c>
      <c r="FE172" s="150">
        <f t="shared" si="420"/>
        <v>0.66950348390712344</v>
      </c>
      <c r="FF172" s="5">
        <f t="shared" si="421"/>
        <v>66.95034839071235</v>
      </c>
      <c r="FI172" s="59">
        <f t="shared" si="422"/>
        <v>-50</v>
      </c>
      <c r="FJ172">
        <f t="shared" si="423"/>
        <v>-50</v>
      </c>
      <c r="FL172">
        <f t="shared" si="476"/>
        <v>0.51325919589392632</v>
      </c>
    </row>
    <row r="173" spans="5:168">
      <c r="E173" s="147">
        <v>63</v>
      </c>
      <c r="F173" s="188">
        <f t="shared" si="477"/>
        <v>0.315</v>
      </c>
      <c r="G173" s="188"/>
      <c r="H173" s="188">
        <f t="shared" si="442"/>
        <v>53.55</v>
      </c>
      <c r="I173" s="465">
        <f t="shared" si="443"/>
        <v>8.939146814475178</v>
      </c>
      <c r="J173" s="149">
        <f t="shared" si="444"/>
        <v>8.5412095087270217</v>
      </c>
      <c r="K173" s="149">
        <f t="shared" si="445"/>
        <v>17.480356323202201</v>
      </c>
      <c r="L173" s="379"/>
      <c r="M173" s="188">
        <f t="shared" si="446"/>
        <v>0.48861547206535261</v>
      </c>
      <c r="N173" s="149">
        <f t="shared" si="447"/>
        <v>145.98661717686488</v>
      </c>
      <c r="O173" s="149">
        <f t="shared" si="438"/>
        <v>53.55</v>
      </c>
      <c r="P173" s="188">
        <f>N173/Vout</f>
        <v>0.85874480692273458</v>
      </c>
      <c r="Q173" s="188">
        <f t="shared" si="449"/>
        <v>170</v>
      </c>
      <c r="R173" s="188"/>
      <c r="S173" s="149">
        <f t="shared" si="450"/>
        <v>767.32147420062131</v>
      </c>
      <c r="T173" s="149">
        <f t="shared" si="451"/>
        <v>170</v>
      </c>
      <c r="U173" s="188">
        <f t="shared" si="452"/>
        <v>24.63899338309708</v>
      </c>
      <c r="V173" s="188">
        <f t="shared" si="453"/>
        <v>4.1344538625094138</v>
      </c>
      <c r="W173" s="188">
        <f t="shared" si="454"/>
        <v>4.3270792077964026</v>
      </c>
      <c r="X173" s="172">
        <f t="shared" si="455"/>
        <v>218.39121686083459</v>
      </c>
      <c r="Y173" s="379">
        <f t="shared" si="328"/>
        <v>115.45300259007067</v>
      </c>
      <c r="AA173" s="188">
        <f t="shared" si="456"/>
        <v>13.333333333333334</v>
      </c>
      <c r="AB173" s="150">
        <f t="shared" si="457"/>
        <v>2.3415887386399907</v>
      </c>
      <c r="AC173" s="150">
        <f t="shared" si="458"/>
        <v>0.17046080467307143</v>
      </c>
      <c r="AD173" s="150"/>
      <c r="AE173" s="150">
        <f t="shared" si="459"/>
        <v>2.3415887386399907</v>
      </c>
      <c r="AF173" s="314">
        <f t="shared" si="460"/>
        <v>403.57214928735169</v>
      </c>
      <c r="AG173" s="456">
        <f t="shared" si="461"/>
        <v>0.17046080467307145</v>
      </c>
      <c r="AI173" s="150">
        <f t="shared" si="462"/>
        <v>14.31743790660356</v>
      </c>
      <c r="AJ173" s="150">
        <f t="shared" si="463"/>
        <v>24.63899338309708</v>
      </c>
      <c r="AK173" s="150">
        <f t="shared" si="464"/>
        <v>9.5745629998249964</v>
      </c>
      <c r="AM173" s="314">
        <f t="shared" si="465"/>
        <v>315</v>
      </c>
      <c r="AN173" s="144">
        <f t="shared" si="466"/>
        <v>115.45300259007067</v>
      </c>
      <c r="AP173">
        <f t="shared" si="467"/>
        <v>315</v>
      </c>
      <c r="AQ173">
        <f t="shared" si="468"/>
        <v>115.45300259007067</v>
      </c>
      <c r="AS173" s="5">
        <f t="shared" si="439"/>
        <v>8.6615330703058149</v>
      </c>
      <c r="AT173" s="5">
        <f t="shared" si="469"/>
        <v>4.1344538625094138</v>
      </c>
      <c r="AU173" s="5">
        <f t="shared" si="478"/>
        <v>4.5270792077964011</v>
      </c>
      <c r="AV173" s="5"/>
      <c r="AW173" s="150">
        <f t="shared" si="479"/>
        <v>0.47733511249682703</v>
      </c>
      <c r="AX173" s="150">
        <f t="shared" si="435"/>
        <v>52.56690617047434</v>
      </c>
      <c r="AY173" s="150">
        <f t="shared" si="436"/>
        <v>0.32194841761919651</v>
      </c>
      <c r="AZ173" s="150">
        <f t="shared" si="440"/>
        <v>163.27741741737941</v>
      </c>
      <c r="BA173" s="144">
        <f t="shared" si="433"/>
        <v>0.76608998040615606</v>
      </c>
      <c r="BB173" s="5">
        <f t="shared" si="434"/>
        <v>45.199147936754208</v>
      </c>
      <c r="BD173" s="150">
        <f t="shared" si="441"/>
        <v>9.8282008810630135</v>
      </c>
      <c r="BE173" s="150">
        <f t="shared" si="437"/>
        <v>0.51421412308550862</v>
      </c>
      <c r="BG173" s="456">
        <f t="shared" si="480"/>
        <v>0.32841801069899451</v>
      </c>
      <c r="BH173" s="456">
        <f t="shared" si="470"/>
        <v>1.1909238477576023</v>
      </c>
      <c r="BI173" s="456">
        <f t="shared" si="471"/>
        <v>4.7267951386867804E-2</v>
      </c>
      <c r="BJ173" s="456">
        <f t="shared" si="481"/>
        <v>2.4165532299364498E-2</v>
      </c>
      <c r="BK173">
        <f t="shared" si="482"/>
        <v>4.0226160665138297E-3</v>
      </c>
      <c r="BL173" s="144">
        <f t="shared" si="427"/>
        <v>51.290567453381634</v>
      </c>
      <c r="BM173" s="456">
        <f t="shared" si="472"/>
        <v>1.7703222507924694</v>
      </c>
      <c r="BN173" s="144">
        <f t="shared" si="353"/>
        <v>1770.3222507924695</v>
      </c>
      <c r="BO173" s="456">
        <f t="shared" si="483"/>
        <v>0.78749999999999998</v>
      </c>
      <c r="BR173" s="144">
        <f t="shared" si="484"/>
        <v>787.5</v>
      </c>
      <c r="BS173" s="456">
        <f t="shared" si="485"/>
        <v>0.1448902988377917</v>
      </c>
      <c r="BT173" s="456">
        <f t="shared" si="486"/>
        <v>5.2883232876119728E-2</v>
      </c>
      <c r="BU173" s="456">
        <f t="shared" si="487"/>
        <v>21.579455732540925</v>
      </c>
      <c r="BV173" s="456"/>
      <c r="BW173" s="456">
        <f t="shared" si="488"/>
        <v>7.0089208227299138E-2</v>
      </c>
      <c r="BX173" s="144">
        <f t="shared" si="489"/>
        <v>21847.318472482133</v>
      </c>
      <c r="BY173" s="150">
        <f t="shared" si="490"/>
        <v>24.229616430691475</v>
      </c>
      <c r="BZ173" s="5">
        <f t="shared" si="491"/>
        <v>53.55</v>
      </c>
      <c r="CA173" s="150">
        <f t="shared" si="492"/>
        <v>0.6884837243664963</v>
      </c>
      <c r="CB173" s="5">
        <f t="shared" si="493"/>
        <v>68.848372436649626</v>
      </c>
      <c r="CE173" s="59">
        <f t="shared" si="473"/>
        <v>-50</v>
      </c>
      <c r="CF173">
        <f t="shared" si="474"/>
        <v>-50</v>
      </c>
      <c r="CG173" s="150">
        <f t="shared" si="475"/>
        <v>0.50728650823724186</v>
      </c>
      <c r="CI173" s="147">
        <v>63</v>
      </c>
      <c r="CJ173" s="188">
        <f t="shared" si="428"/>
        <v>0.315</v>
      </c>
      <c r="CK173" s="188"/>
      <c r="CL173" s="188">
        <f t="shared" si="368"/>
        <v>53.55</v>
      </c>
      <c r="CM173" s="465">
        <f t="shared" si="369"/>
        <v>9</v>
      </c>
      <c r="CN173" s="379">
        <f t="shared" si="370"/>
        <v>8.5350000000000001</v>
      </c>
      <c r="CO173" s="379">
        <f t="shared" si="371"/>
        <v>17.535</v>
      </c>
      <c r="CP173" s="379"/>
      <c r="CQ173" s="188">
        <f t="shared" si="372"/>
        <v>0.48674080410607357</v>
      </c>
      <c r="CR173" s="149">
        <f t="shared" si="429"/>
        <v>146.41650128314802</v>
      </c>
      <c r="CS173" s="149">
        <f t="shared" si="373"/>
        <v>53.55</v>
      </c>
      <c r="CT173" s="188">
        <f t="shared" si="374"/>
        <v>0.86127353695969422</v>
      </c>
      <c r="CU173" s="188">
        <f t="shared" si="375"/>
        <v>170</v>
      </c>
      <c r="CV173" s="188"/>
      <c r="CW173" s="149">
        <f t="shared" si="376"/>
        <v>772.5439022595508</v>
      </c>
      <c r="CX173" s="149">
        <f t="shared" si="377"/>
        <v>170</v>
      </c>
      <c r="CY173" s="188">
        <f t="shared" si="378"/>
        <v>24.448330404217927</v>
      </c>
      <c r="CZ173" s="188">
        <f t="shared" si="379"/>
        <v>4.0747217340363209</v>
      </c>
      <c r="DA173" s="188">
        <f t="shared" si="380"/>
        <v>4.2967188759609716</v>
      </c>
      <c r="DB173" s="172">
        <f t="shared" si="381"/>
        <v>219.03336184773312</v>
      </c>
      <c r="DC173" s="379">
        <f t="shared" si="382"/>
        <v>119.45375313369432</v>
      </c>
      <c r="DE173" s="188">
        <f t="shared" si="383"/>
        <v>13.333333333333334</v>
      </c>
      <c r="DF173" s="150">
        <f t="shared" si="384"/>
        <v>2.3432923257176337</v>
      </c>
      <c r="DG173" s="150">
        <f t="shared" si="385"/>
        <v>0.17108639863130889</v>
      </c>
      <c r="DH173" s="150"/>
      <c r="DI173" s="150">
        <f t="shared" si="386"/>
        <v>2.3432923257176337</v>
      </c>
      <c r="DJ173" s="314">
        <f t="shared" si="387"/>
        <v>403.27874999999989</v>
      </c>
      <c r="DK173" s="456">
        <f t="shared" si="388"/>
        <v>0.17108639863130887</v>
      </c>
      <c r="DM173" s="150">
        <f t="shared" si="389"/>
        <v>14.312232530251874</v>
      </c>
      <c r="DN173" s="150">
        <f t="shared" si="390"/>
        <v>24.448330404217927</v>
      </c>
      <c r="DO173" s="150">
        <f t="shared" si="391"/>
        <v>9.4333311636182149</v>
      </c>
      <c r="DQ173" s="314">
        <f t="shared" si="392"/>
        <v>315</v>
      </c>
      <c r="DR173" s="144">
        <f t="shared" si="393"/>
        <v>119.45375313369432</v>
      </c>
      <c r="DT173">
        <f t="shared" si="430"/>
        <v>315</v>
      </c>
      <c r="DU173">
        <f t="shared" si="431"/>
        <v>119.45375313369432</v>
      </c>
      <c r="DW173" s="5">
        <f t="shared" si="394"/>
        <v>8.3714406099972933</v>
      </c>
      <c r="DX173" s="5">
        <f t="shared" si="395"/>
        <v>4.0747217340363209</v>
      </c>
      <c r="DY173" s="5">
        <f t="shared" si="396"/>
        <v>4.2967188759609725</v>
      </c>
      <c r="DZ173" s="5"/>
      <c r="EA173" s="150">
        <f t="shared" si="397"/>
        <v>0.48674080410607351</v>
      </c>
      <c r="EB173" s="150">
        <f t="shared" si="398"/>
        <v>53.55</v>
      </c>
      <c r="EC173" s="150">
        <f t="shared" si="399"/>
        <v>0.31370826010544828</v>
      </c>
      <c r="ED173" s="150">
        <f t="shared" si="400"/>
        <v>170.69999999999993</v>
      </c>
      <c r="EE173" s="144">
        <f t="shared" si="401"/>
        <v>0.75502196836555358</v>
      </c>
      <c r="EF173" s="5">
        <f t="shared" si="402"/>
        <v>42.609128853279628</v>
      </c>
      <c r="EH173" s="150">
        <f t="shared" si="403"/>
        <v>9.8477600128183695</v>
      </c>
      <c r="EI173" s="150">
        <f t="shared" si="404"/>
        <v>0.50562315326701357</v>
      </c>
      <c r="EK173" s="456">
        <f t="shared" si="405"/>
        <v>0.32972648271821914</v>
      </c>
      <c r="EL173" s="456">
        <f t="shared" si="406"/>
        <v>1.5567839999999997</v>
      </c>
      <c r="EM173" s="456">
        <f t="shared" si="407"/>
        <v>2.7354909467615998E-2</v>
      </c>
      <c r="EN173" s="456">
        <f t="shared" si="408"/>
        <v>2.5159494516806723E-2</v>
      </c>
      <c r="EO173">
        <f t="shared" si="409"/>
        <v>4.0499999999999998E-3</v>
      </c>
      <c r="EP173" s="144">
        <f t="shared" si="410"/>
        <v>31.404909467615997</v>
      </c>
      <c r="EQ173" s="144"/>
      <c r="ER173" s="144">
        <f t="shared" si="432"/>
        <v>1943.0748867026418</v>
      </c>
      <c r="ES173" s="456">
        <f t="shared" si="411"/>
        <v>0.78749999999999998</v>
      </c>
      <c r="EV173" s="144">
        <f t="shared" si="494"/>
        <v>787.5</v>
      </c>
      <c r="EW173" s="456">
        <f t="shared" si="413"/>
        <v>0.14546756590509669</v>
      </c>
      <c r="EX173" s="456">
        <f t="shared" si="414"/>
        <v>5.1130954623935576E-2</v>
      </c>
      <c r="EY173" s="456">
        <f t="shared" si="415"/>
        <v>23.045838725832748</v>
      </c>
      <c r="EZ173" s="456"/>
      <c r="FA173" s="456">
        <f t="shared" si="416"/>
        <v>7.1400000000000005E-2</v>
      </c>
      <c r="FB173" s="144">
        <f t="shared" si="417"/>
        <v>23313.837246361782</v>
      </c>
      <c r="FC173" s="150">
        <f t="shared" si="418"/>
        <v>26.044412133064423</v>
      </c>
      <c r="FD173" s="5">
        <f t="shared" si="419"/>
        <v>53.55</v>
      </c>
      <c r="FE173" s="150">
        <f t="shared" si="420"/>
        <v>0.67278592259059755</v>
      </c>
      <c r="FF173" s="5">
        <f t="shared" si="421"/>
        <v>67.278592259059749</v>
      </c>
      <c r="FI173" s="59">
        <f t="shared" si="422"/>
        <v>-50</v>
      </c>
      <c r="FJ173">
        <f t="shared" si="423"/>
        <v>-50</v>
      </c>
      <c r="FL173">
        <f t="shared" si="476"/>
        <v>0.51325919589392655</v>
      </c>
    </row>
    <row r="174" spans="5:168">
      <c r="E174" s="147">
        <v>64</v>
      </c>
      <c r="F174" s="188">
        <f t="shared" si="477"/>
        <v>0.32</v>
      </c>
      <c r="G174" s="188"/>
      <c r="H174" s="188">
        <f t="shared" ref="H174:H205" si="495">F174*Vout</f>
        <v>54.4</v>
      </c>
      <c r="I174" s="465">
        <f t="shared" ref="I174:I210" si="496">VIN_min-F174*(Rdcr_pri+RON/1000)/CG174/Nps</f>
        <v>8.9381922613904283</v>
      </c>
      <c r="J174" s="149">
        <f t="shared" ref="J174:J210" si="497">(T174+Vfwd1+F174/CG174*Rdcr_sec)*Nps</f>
        <v>8.5413069121030158</v>
      </c>
      <c r="K174" s="149">
        <f t="shared" ref="K174:K210" si="498">(Vout+Vfwd1+F174/CG174*Rdcr_sec)*Nps++I174</f>
        <v>17.479499173493444</v>
      </c>
      <c r="L174" s="379"/>
      <c r="M174" s="188">
        <f t="shared" ref="M174:M209" si="499">(Vout+Vfwd1+F174/FL174*Rdcr_sec)*Nps/((Vout+Vfwd1+F174/FL174*Rdcr_sec)*Nps+I174)</f>
        <v>0.48864500545819994</v>
      </c>
      <c r="N174" s="149">
        <f t="shared" ref="N174:N205" si="500">M174*I174*(Isw_max+VIN_min/Lmag*ILIM_delay)*0.5*Efficiency</f>
        <v>145.97985114902406</v>
      </c>
      <c r="O174" s="149">
        <f t="shared" si="438"/>
        <v>54.4</v>
      </c>
      <c r="P174" s="188">
        <f t="shared" ref="P174:P205" si="501">N174/Vout</f>
        <v>0.85870500675896499</v>
      </c>
      <c r="Q174" s="188">
        <f t="shared" ref="Q174:Q210" si="502">MIN(Vout,N174/F174)</f>
        <v>170</v>
      </c>
      <c r="R174" s="188"/>
      <c r="S174" s="149">
        <f t="shared" ref="S174:S210" si="503">(SQRT(Isw_max^2*Nps^2*I174^2+4*Isw_max*F174/Efficiency*(Nps^2*Vfwd1*I174-Nps*I174^2)+4*(F174/Efficiency)^2*Nps^2*Vfwd1^2+8*(F174/Efficiency)^2*Nps*Vfwd1*I174+4*(F174/Efficiency)^2*I174^2)-2*F174/Efficiency*I174-2*F174/Efficiency*Nps*Vfwd1+Isw_max*Nps*I174)/(4*F174/Efficiency*Nps)</f>
        <v>752.46399401207145</v>
      </c>
      <c r="T174" s="149">
        <f t="shared" ref="T174:T205" si="504">MIN(Vout, S174)</f>
        <v>170</v>
      </c>
      <c r="U174" s="188">
        <f t="shared" ref="U174:U209" si="505">MIN(2*(Vout+Vfwd1+F174/FL174*Rdcr_sec)*F174/(I174*M174), Isw_max)</f>
        <v>25.031534133091725</v>
      </c>
      <c r="V174" s="188">
        <f t="shared" ref="V174:V205" si="506">L*U174/I174*1000000</f>
        <v>4.2007712635392247</v>
      </c>
      <c r="W174" s="188">
        <f t="shared" ref="W174:W210" si="507">L*U174/J174*1000000</f>
        <v>4.3959667514620202</v>
      </c>
      <c r="X174" s="172">
        <f t="shared" ref="X174:X210" si="508">IF(1/((350000*L)*(1/I174+1/J174))&gt;Isw_min, 350, 0.001/((Isw_min*L)*(1/I174+1/J174)))</f>
        <v>218.38109486480698</v>
      </c>
      <c r="Y174" s="379">
        <f t="shared" ref="Y174:Y209" si="509">MIN(1/(V174+W174+0.2)*1000, 350)</f>
        <v>113.67850199638561</v>
      </c>
      <c r="AA174" s="188">
        <f t="shared" ref="AA174:AA210" si="510">1/((X174*1000*L)*(1/I174+1/J174))</f>
        <v>13.333333333333336</v>
      </c>
      <c r="AB174" s="150">
        <f t="shared" ref="AB174:AB205" si="511">L*AA174/J174*1000000</f>
        <v>2.3415620356247873</v>
      </c>
      <c r="AC174" s="150">
        <f t="shared" ref="AC174:AC205" si="512">0.5*AB174*AA174*Nps*X174/1000</f>
        <v>0.17045096034453575</v>
      </c>
      <c r="AD174" s="150"/>
      <c r="AE174" s="150">
        <f t="shared" ref="AE174:AE210" si="513">L*Isw_min/J174*1000000</f>
        <v>2.3415620356247868</v>
      </c>
      <c r="AF174" s="314">
        <f t="shared" ref="AF174:AF205" si="514">MAX(12000,F174/(0.5*AE174/1000000*Isw_min*Nps))/1000</f>
        <v>409.98273178094473</v>
      </c>
      <c r="AG174" s="456">
        <f t="shared" ref="AG174:AG210" si="515">0.5*AE174/1000000*Isw_min*Nps*X174*1000</f>
        <v>0.17045096034453572</v>
      </c>
      <c r="AI174" s="150">
        <f t="shared" ref="AI174:AI210" si="516">SQRT(F174/(0.5*L/J174*Fsw_DCM*Nps))</f>
        <v>14.430703277910021</v>
      </c>
      <c r="AJ174" s="150">
        <f t="shared" ref="AJ174:AJ205" si="517">MAX(IF(F174&gt;AC174,U174,AI174),Isw_min)</f>
        <v>25.031534133091725</v>
      </c>
      <c r="AK174" s="150">
        <f t="shared" ref="AK174:AK205" si="518">IF(F174&gt;AG174, (AJ174-Isw_min)/1.08*0.8+1.2, AF174*0.2/350+1)</f>
        <v>9.8653339257469543</v>
      </c>
      <c r="AM174" s="314">
        <f t="shared" ref="AM174:AM210" si="519">F174*1000</f>
        <v>320</v>
      </c>
      <c r="AN174" s="144">
        <f t="shared" ref="AN174:AN210" si="520">IF(F174&gt;AG174, Y174, AF174)</f>
        <v>113.67850199638561</v>
      </c>
      <c r="AP174">
        <f t="shared" ref="AP174:AP210" si="521">IF(H174&gt;N174, "",AM174)</f>
        <v>320</v>
      </c>
      <c r="AQ174">
        <f t="shared" ref="AQ174:AQ210" si="522">IF(H174&gt;N174, "",AN174)</f>
        <v>113.67850199638561</v>
      </c>
      <c r="AS174" s="5">
        <f t="shared" si="439"/>
        <v>8.7967380150012442</v>
      </c>
      <c r="AT174" s="5">
        <f t="shared" ref="AT174:AT210" si="523">L*AJ174/I174*1000000</f>
        <v>4.2007712635392247</v>
      </c>
      <c r="AU174" s="5">
        <f t="shared" si="478"/>
        <v>4.5959667514620195</v>
      </c>
      <c r="AV174" s="5"/>
      <c r="AW174" s="150">
        <f t="shared" si="479"/>
        <v>0.477537384468603</v>
      </c>
      <c r="AX174" s="150">
        <f t="shared" si="435"/>
        <v>53.421310830300506</v>
      </c>
      <c r="AY174" s="150">
        <f t="shared" si="436"/>
        <v>0.32695101984846359</v>
      </c>
      <c r="AZ174" s="150">
        <f t="shared" si="440"/>
        <v>163.39239698674254</v>
      </c>
      <c r="BA174" s="144">
        <f t="shared" si="433"/>
        <v>0.79073341431326583</v>
      </c>
      <c r="BB174" s="5">
        <f t="shared" si="434"/>
        <v>46.620275474032773</v>
      </c>
      <c r="BD174" s="150">
        <f t="shared" si="441"/>
        <v>9.9868960231010959</v>
      </c>
      <c r="BE174" s="150">
        <f t="shared" si="437"/>
        <v>0.522305326196149</v>
      </c>
      <c r="BG174" s="456">
        <f t="shared" si="480"/>
        <v>0.33910951339919043</v>
      </c>
      <c r="BH174" s="456">
        <f t="shared" ref="BH174:BH210" si="524">0.5*K174*AJ174*AN174*1000*Tfall</f>
        <v>1.1912428644226913</v>
      </c>
      <c r="BI174" s="456">
        <f t="shared" ref="BI174:BI210" si="525">Qg*Vdd*AN174*1000*0+Qg*I174*AN174*1000</f>
        <v>4.6536478052839197E-2</v>
      </c>
      <c r="BJ174" s="456">
        <f t="shared" si="481"/>
        <v>2.3791777158994845E-2</v>
      </c>
      <c r="BK174">
        <f t="shared" si="482"/>
        <v>4.0221865176256928E-3</v>
      </c>
      <c r="BL174" s="144">
        <f t="shared" si="427"/>
        <v>50.558664570464884</v>
      </c>
      <c r="BM174" s="456">
        <f t="shared" ref="BM174:BM210" si="526">(BH174+BI174*0+BJ174+BK174*0+BG174*(1+RdsonTC*(Ta-25)))/(1-BG174*RdsonTC*ThetaJA)</f>
        <v>1.7899220776968181</v>
      </c>
      <c r="BN174" s="144">
        <f t="shared" ref="BN174:BN210" si="527">BM174*1000</f>
        <v>1789.9220776968182</v>
      </c>
      <c r="BO174" s="456">
        <f t="shared" si="483"/>
        <v>0.8</v>
      </c>
      <c r="BR174" s="144">
        <f t="shared" si="484"/>
        <v>800</v>
      </c>
      <c r="BS174" s="456">
        <f t="shared" si="485"/>
        <v>0.14960713826434874</v>
      </c>
      <c r="BT174" s="456">
        <f t="shared" si="486"/>
        <v>5.4560570754573129E-2</v>
      </c>
      <c r="BU174" s="456">
        <f t="shared" si="487"/>
        <v>21.596557406408639</v>
      </c>
      <c r="BV174" s="456"/>
      <c r="BW174" s="456">
        <f t="shared" si="488"/>
        <v>7.1228414440400678E-2</v>
      </c>
      <c r="BX174" s="144">
        <f t="shared" si="489"/>
        <v>21871.953529867962</v>
      </c>
      <c r="BY174" s="150">
        <f t="shared" si="490"/>
        <v>24.276656349419305</v>
      </c>
      <c r="BZ174" s="5">
        <f t="shared" si="491"/>
        <v>54.4</v>
      </c>
      <c r="CA174" s="150">
        <f t="shared" si="492"/>
        <v>0.69143761979917329</v>
      </c>
      <c r="CB174" s="5">
        <f t="shared" si="493"/>
        <v>69.143761979917329</v>
      </c>
      <c r="CE174" s="59">
        <f t="shared" ref="CE174:CE210" si="528">IF(ABS(F174-Ioutmax_Vinmin)&lt;Iout/200, AN174, -50)</f>
        <v>-50</v>
      </c>
      <c r="CF174">
        <f t="shared" ref="CF174:CF210" si="529">IF(ABS(F174-Ioutmax_Vinmin)&lt;Iout/200, N174*CA174, -50)</f>
        <v>-50</v>
      </c>
      <c r="CG174" s="150">
        <f t="shared" ref="CG174:CG210" si="530">MIN(SQRT(2*DU174*1000*Ls1_*CL174)/CU174,1-EA174-0.00000005*DU174*1000)</f>
        <v>0.50737983148187749</v>
      </c>
      <c r="CI174" s="147">
        <v>64</v>
      </c>
      <c r="CJ174" s="188">
        <f t="shared" si="428"/>
        <v>0.32</v>
      </c>
      <c r="CK174" s="188"/>
      <c r="CL174" s="188">
        <f t="shared" ref="CL174:CL210" si="531">CJ174*Vout</f>
        <v>54.4</v>
      </c>
      <c r="CM174" s="465">
        <f t="shared" ref="CM174:CM212" si="532">VIN_min</f>
        <v>9</v>
      </c>
      <c r="CN174" s="379">
        <f t="shared" ref="CN174:CN210" si="533">(CX174+Vfwd1)*Nps</f>
        <v>8.5350000000000001</v>
      </c>
      <c r="CO174" s="379">
        <f t="shared" ref="CO174:CO210" si="534">(Vout+Vfwd1)*Nps+CM174</f>
        <v>17.535</v>
      </c>
      <c r="CP174" s="379"/>
      <c r="CQ174" s="188">
        <f t="shared" ref="CQ174:CQ210" si="535">(Vout+Vfwd1)*Nps/((Vout+Vfwd1)*Nps+CM174)</f>
        <v>0.48674080410607357</v>
      </c>
      <c r="CR174" s="149">
        <f t="shared" si="429"/>
        <v>146.41650128314802</v>
      </c>
      <c r="CS174" s="149">
        <f t="shared" ref="CS174:CS210" si="536">CX174*CJ174</f>
        <v>54.4</v>
      </c>
      <c r="CT174" s="188">
        <f t="shared" ref="CT174:CT210" si="537">CR174/Vout</f>
        <v>0.86127353695969422</v>
      </c>
      <c r="CU174" s="188">
        <f t="shared" ref="CU174:CU210" si="538">MIN(Vout,CR174/CJ174)</f>
        <v>170</v>
      </c>
      <c r="CV174" s="188"/>
      <c r="CW174" s="149">
        <f t="shared" ref="CW174:CW210" si="539">(SQRT(Isw_max^2*Nps^2*CM174^2+4*Isw_max*CJ174/Efficiency*(Nps^2*Vfwd1*CM174-Nps*CM174^2)+4*(CJ174/Efficiency)^2*Nps^2*Vfwd1^2+8*(CJ174/Efficiency)^2*Nps*Vfwd1*CM174+4*(CJ174/Efficiency)^2*CM174^2)-2*CJ174/Efficiency*CM174-2*CJ174/Efficiency*Nps*Vfwd1+Isw_max*Nps*CM174)/(4*CJ174/Efficiency*Nps)</f>
        <v>757.66614665693567</v>
      </c>
      <c r="CX174" s="149">
        <f t="shared" ref="CX174:CX210" si="540">MIN(Vout, CW174)</f>
        <v>170</v>
      </c>
      <c r="CY174" s="188">
        <f t="shared" ref="CY174:CY210" si="541">MIN(2*Vout*CJ174/(Efficiency*CM174*CQ174), Isw_max)</f>
        <v>24.836399140792814</v>
      </c>
      <c r="CZ174" s="188">
        <f t="shared" ref="CZ174:CZ210" si="542">L*CY174/CM174*1000000</f>
        <v>4.1393998567988017</v>
      </c>
      <c r="DA174" s="188">
        <f t="shared" ref="DA174:DA210" si="543">L*CY174/CN174*1000000</f>
        <v>4.3649207628809865</v>
      </c>
      <c r="DB174" s="172">
        <f t="shared" ref="DB174:DB210" si="544">IF(1/((350000*L)*(1/CM174+1/CN174))&gt;Isw_min, 350, 0.001/((Isw_min*L)*(1/CM174+1/CN174)))</f>
        <v>219.03336184773312</v>
      </c>
      <c r="DC174" s="379">
        <f t="shared" ref="DC174:DC210" si="545">MIN(1/(CZ174+DA174)*1000, 350)</f>
        <v>117.58728824098036</v>
      </c>
      <c r="DE174" s="188">
        <f t="shared" ref="DE174:DE210" si="546">1/((DB174*1000*L)*(1/CM174+1/CN174))</f>
        <v>13.333333333333334</v>
      </c>
      <c r="DF174" s="150">
        <f t="shared" ref="DF174:DF210" si="547">L*DE174/CN174*1000000</f>
        <v>2.3432923257176337</v>
      </c>
      <c r="DG174" s="150">
        <f t="shared" ref="DG174:DG210" si="548">0.5*DF174*DE174*Nps*DB174/1000</f>
        <v>0.17108639863130889</v>
      </c>
      <c r="DH174" s="150"/>
      <c r="DI174" s="150">
        <f t="shared" ref="DI174:DI210" si="549">L*Isw_min/CN174*1000000</f>
        <v>2.3432923257176337</v>
      </c>
      <c r="DJ174" s="314">
        <f t="shared" ref="DJ174:DJ210" si="550">MAX(12000,CJ174/(0.5*DI174/1000000*Isw_min*Nps))/1000</f>
        <v>409.67999999999989</v>
      </c>
      <c r="DK174" s="456">
        <f t="shared" ref="DK174:DK210" si="551">0.5*DI174/1000000*Isw_min*Nps*DB174*1000</f>
        <v>0.17108639863130887</v>
      </c>
      <c r="DM174" s="150">
        <f t="shared" ref="DM174:DM210" si="552">SQRT(CJ174/(0.5*L/CN174*Fsw_DCM*Nps))</f>
        <v>14.425374469019117</v>
      </c>
      <c r="DN174" s="150">
        <f t="shared" ref="DN174:DN210" si="553">MAX(IF(CJ174&gt;DG174,CY174,DM174),Isw_min)</f>
        <v>24.836399140792814</v>
      </c>
      <c r="DO174" s="150">
        <f t="shared" ref="DO174:DO210" si="554">IF(CJ174&gt;DK174, (DN174-Isw_min)/1.08*0.8+1.2, DJ174*0.2/350+1)</f>
        <v>9.7207894870070213</v>
      </c>
      <c r="DQ174" s="314">
        <f t="shared" ref="DQ174:DQ210" si="555">CJ174*1000</f>
        <v>320</v>
      </c>
      <c r="DR174" s="144">
        <f t="shared" ref="DR174:DR210" si="556">IF(CJ174&gt;DK174, DC174, DJ174)</f>
        <v>117.58728824098036</v>
      </c>
      <c r="DT174">
        <f t="shared" si="430"/>
        <v>320</v>
      </c>
      <c r="DU174">
        <f t="shared" si="431"/>
        <v>117.58728824098036</v>
      </c>
      <c r="DW174" s="5">
        <f t="shared" ref="DW174:DW210" si="557">1/DR174*1000</f>
        <v>8.50432061967979</v>
      </c>
      <c r="DX174" s="5">
        <f t="shared" ref="DX174:DX210" si="558">L*DN174/CM174*1000000</f>
        <v>4.1393998567988017</v>
      </c>
      <c r="DY174" s="5">
        <f t="shared" ref="DY174:DY210" si="559">DW174-DX174</f>
        <v>4.3649207628809883</v>
      </c>
      <c r="DZ174" s="5"/>
      <c r="EA174" s="150">
        <f t="shared" ref="EA174:EA210" si="560">DX174/DW174</f>
        <v>0.48674080410607345</v>
      </c>
      <c r="EB174" s="150">
        <f t="shared" ref="EB174:EB210" si="561">0.5*L*DN174^2*DR174*1000</f>
        <v>54.4</v>
      </c>
      <c r="EC174" s="150">
        <f t="shared" ref="EC174:EC210" si="562">DN174*Nps/2*(1-EA174)</f>
        <v>0.31868775629759827</v>
      </c>
      <c r="ED174" s="150">
        <f t="shared" ref="ED174:ED210" si="563">EB174/EC174</f>
        <v>170.69999999999993</v>
      </c>
      <c r="EE174" s="144">
        <f t="shared" ref="EE174:EE210" si="564">CJ174*DX174/Vout_ripple*1000</f>
        <v>0.77918114951506856</v>
      </c>
      <c r="EF174" s="5">
        <f t="shared" ref="EF174:EF210" si="565">CL174/Efficiency/CM174*DY174/Vinripple1</f>
        <v>43.972535092726986</v>
      </c>
      <c r="EH174" s="150">
        <f t="shared" ref="EH174:EH210" si="566">DN174*SQRT(EA174/3)</f>
        <v>10.004073663815484</v>
      </c>
      <c r="EI174" s="150">
        <f t="shared" ref="EI174:EI210" si="567">DN174*Nps*SQRT((1-EA174)/3)</f>
        <v>0.5136489176045852</v>
      </c>
      <c r="EK174" s="456">
        <f t="shared" ref="EK174:EK210" si="568">Rdson*EH174^2</f>
        <v>0.34027706556155835</v>
      </c>
      <c r="EL174" s="456">
        <f t="shared" ref="EL174:EL210" si="569">0.5*CO174*DN174*DR174*1000*Trise</f>
        <v>1.5567839999999999</v>
      </c>
      <c r="EM174" s="456">
        <f t="shared" ref="EM174:EM210" si="570">Qg*Vdd*DR174*1000</f>
        <v>2.6927489007184502E-2</v>
      </c>
      <c r="EN174" s="456">
        <f t="shared" ref="EN174:EN210" si="571">0.5*(Coss+Csw)*CO174^2*DR174*1000</f>
        <v>2.4766377414981618E-2</v>
      </c>
      <c r="EO174">
        <f t="shared" ref="EO174:EO210" si="572">CM174*IQ</f>
        <v>4.0499999999999998E-3</v>
      </c>
      <c r="EP174" s="144">
        <f t="shared" ref="EP174:EP210" si="573">(EO174+EM174)*1000</f>
        <v>30.977489007184499</v>
      </c>
      <c r="EQ174" s="144"/>
      <c r="ER174" s="144">
        <f t="shared" si="432"/>
        <v>1952.8049319837244</v>
      </c>
      <c r="ES174" s="456">
        <f t="shared" ref="ES174:ES210" si="574">Vfwd2*CJ174</f>
        <v>0.8</v>
      </c>
      <c r="EV174" s="144">
        <f t="shared" si="494"/>
        <v>800</v>
      </c>
      <c r="EW174" s="456">
        <f t="shared" ref="EW174:EW210" si="575">Rdcr_pri*EH174^2</f>
        <v>0.15012223480656986</v>
      </c>
      <c r="EX174" s="456">
        <f t="shared" ref="EX174:EX210" si="576">Rdcr_sec*EI174^2</f>
        <v>5.2767042111272394E-2</v>
      </c>
      <c r="EY174" s="456">
        <f t="shared" ref="EY174:EY210" si="577">DN174^2.5*DR174^2.5*k_core</f>
        <v>23.045838725832724</v>
      </c>
      <c r="EZ174" s="456"/>
      <c r="FA174" s="456">
        <f t="shared" ref="FA174:FA210" si="578">0.5*Lleak*0.000000001*DN174^2*DR174*1000</f>
        <v>7.2533333333333325E-2</v>
      </c>
      <c r="FB174" s="144">
        <f t="shared" ref="FB174:FB210" si="579">SUM(EW174:FA174)*1000</f>
        <v>23321.261336083895</v>
      </c>
      <c r="FC174" s="150">
        <f t="shared" ref="FC174:FC210" si="580">SUM(EK174:EO174,ES174:EU174,EW174:FA174)</f>
        <v>26.074066268067622</v>
      </c>
      <c r="FD174" s="5">
        <f t="shared" ref="FD174:FD210" si="581">MIN(CL174,CS174)</f>
        <v>54.4</v>
      </c>
      <c r="FE174" s="150">
        <f t="shared" ref="FE174:FE210" si="582">FD174/(FD174+FC174)</f>
        <v>0.67599417455541333</v>
      </c>
      <c r="FF174" s="5">
        <f t="shared" ref="FF174:FF210" si="583">FE174*100</f>
        <v>67.599417455541328</v>
      </c>
      <c r="FI174" s="59">
        <f t="shared" ref="FI174:FI210" si="584">IF(ABS(CJ174-Ioutmax_Vinmin)&lt;Iout/200, DR174, -50)</f>
        <v>-50</v>
      </c>
      <c r="FJ174">
        <f t="shared" ref="FJ174:FJ210" si="585">IF(ABS(CJ174-Ioutmax_Vinmin)&lt;Iout/200, CR174*FE174, -50)</f>
        <v>-50</v>
      </c>
      <c r="FL174">
        <f t="shared" ref="FL174:FL210" si="586">MIN(SQRT(2*L*DR174*1000*CJ174*(CX174+Vfwd1))/(Nps*(CX174+Vfwd1)), 1-EA174)</f>
        <v>0.51325919589392655</v>
      </c>
    </row>
    <row r="175" spans="5:168">
      <c r="E175" s="147">
        <v>65</v>
      </c>
      <c r="F175" s="188">
        <f t="shared" ref="F175:F206" si="587">IF(PLOT_TYPE=1, E175/100*Iout_max, min_I*EXP(N175*rr/100))</f>
        <v>0.32500000000000001</v>
      </c>
      <c r="G175" s="188"/>
      <c r="H175" s="188">
        <f t="shared" si="495"/>
        <v>55.25</v>
      </c>
      <c r="I175" s="465">
        <f t="shared" si="496"/>
        <v>8.9372377042523148</v>
      </c>
      <c r="J175" s="149">
        <f t="shared" si="497"/>
        <v>8.5414043158926205</v>
      </c>
      <c r="K175" s="149">
        <f t="shared" si="498"/>
        <v>17.478642020144935</v>
      </c>
      <c r="L175" s="379"/>
      <c r="M175" s="188">
        <f t="shared" si="499"/>
        <v>0.48867454186096571</v>
      </c>
      <c r="N175" s="149">
        <f t="shared" si="500"/>
        <v>145.97308406959152</v>
      </c>
      <c r="O175" s="149">
        <f t="shared" si="438"/>
        <v>55.25</v>
      </c>
      <c r="P175" s="188">
        <f t="shared" si="501"/>
        <v>0.8586652004093619</v>
      </c>
      <c r="Q175" s="188">
        <f t="shared" si="502"/>
        <v>170</v>
      </c>
      <c r="R175" s="188"/>
      <c r="S175" s="149">
        <f t="shared" si="503"/>
        <v>738.06437612950617</v>
      </c>
      <c r="T175" s="149">
        <f t="shared" si="504"/>
        <v>170</v>
      </c>
      <c r="U175" s="188">
        <f t="shared" si="505"/>
        <v>25.424120377877166</v>
      </c>
      <c r="V175" s="188">
        <f t="shared" si="506"/>
        <v>4.2671104684471635</v>
      </c>
      <c r="W175" s="188">
        <f t="shared" si="507"/>
        <v>4.4648607133439882</v>
      </c>
      <c r="X175" s="172">
        <f t="shared" si="508"/>
        <v>218.3709713010816</v>
      </c>
      <c r="Y175" s="379">
        <f t="shared" si="509"/>
        <v>111.95736972804107</v>
      </c>
      <c r="AA175" s="188">
        <f t="shared" si="510"/>
        <v>13.333333333333334</v>
      </c>
      <c r="AB175" s="150">
        <f t="shared" si="511"/>
        <v>2.3415353331052211</v>
      </c>
      <c r="AC175" s="150">
        <f t="shared" si="512"/>
        <v>0.17044111500866296</v>
      </c>
      <c r="AD175" s="150"/>
      <c r="AE175" s="150">
        <f t="shared" si="513"/>
        <v>2.3415353331052211</v>
      </c>
      <c r="AF175" s="314">
        <f t="shared" si="514"/>
        <v>416.39346039976522</v>
      </c>
      <c r="AG175" s="456">
        <f t="shared" si="515"/>
        <v>0.17044111500866296</v>
      </c>
      <c r="AI175" s="150">
        <f t="shared" si="516"/>
        <v>14.543089087365702</v>
      </c>
      <c r="AJ175" s="150">
        <f t="shared" si="517"/>
        <v>25.424120377877166</v>
      </c>
      <c r="AK175" s="150">
        <f t="shared" si="518"/>
        <v>10.15613855151395</v>
      </c>
      <c r="AM175" s="314">
        <f t="shared" si="519"/>
        <v>325</v>
      </c>
      <c r="AN175" s="144">
        <f t="shared" si="520"/>
        <v>111.95736972804107</v>
      </c>
      <c r="AP175">
        <f t="shared" si="521"/>
        <v>325</v>
      </c>
      <c r="AQ175">
        <f t="shared" si="522"/>
        <v>111.95736972804107</v>
      </c>
      <c r="AS175" s="5">
        <f t="shared" si="439"/>
        <v>8.9319711817911518</v>
      </c>
      <c r="AT175" s="5">
        <f t="shared" si="523"/>
        <v>4.2671104684471635</v>
      </c>
      <c r="AU175" s="5">
        <f t="shared" si="478"/>
        <v>4.6648607133439883</v>
      </c>
      <c r="AV175" s="5"/>
      <c r="AW175" s="150">
        <f t="shared" si="479"/>
        <v>0.47773446438633366</v>
      </c>
      <c r="AX175" s="150">
        <f t="shared" si="435"/>
        <v>54.275748642123993</v>
      </c>
      <c r="AY175" s="150">
        <f t="shared" si="436"/>
        <v>0.33195354616645867</v>
      </c>
      <c r="AZ175" s="150">
        <f t="shared" si="440"/>
        <v>163.50404828905587</v>
      </c>
      <c r="BA175" s="144">
        <f t="shared" si="433"/>
        <v>0.81577111896784005</v>
      </c>
      <c r="BB175" s="5">
        <f t="shared" si="434"/>
        <v>48.063611849111261</v>
      </c>
      <c r="BD175" s="150">
        <f t="shared" si="441"/>
        <v>10.145620077728434</v>
      </c>
      <c r="BE175" s="150">
        <f t="shared" si="437"/>
        <v>0.53039692424947971</v>
      </c>
      <c r="BG175" s="456">
        <f t="shared" si="480"/>
        <v>0.34997426298946149</v>
      </c>
      <c r="BH175" s="456">
        <f t="shared" si="524"/>
        <v>1.1915487856752516</v>
      </c>
      <c r="BI175" s="456">
        <f t="shared" si="525"/>
        <v>4.5827004870908329E-2</v>
      </c>
      <c r="BJ175" s="456">
        <f t="shared" si="481"/>
        <v>2.3429263333435021E-2</v>
      </c>
      <c r="BK175">
        <f t="shared" si="482"/>
        <v>4.0217569669135419E-3</v>
      </c>
      <c r="BL175" s="144">
        <f t="shared" ref="BL175:BL210" si="588">(BK175+BI175)*1000</f>
        <v>49.848761837821876</v>
      </c>
      <c r="BM175" s="456">
        <f t="shared" si="526"/>
        <v>1.8099497130982598</v>
      </c>
      <c r="BN175" s="144">
        <f t="shared" si="527"/>
        <v>1809.9497130982597</v>
      </c>
      <c r="BO175" s="456">
        <f t="shared" si="483"/>
        <v>0.8125</v>
      </c>
      <c r="BR175" s="144">
        <f t="shared" si="484"/>
        <v>812.5</v>
      </c>
      <c r="BS175" s="456">
        <f t="shared" si="485"/>
        <v>0.15440041014240949</v>
      </c>
      <c r="BT175" s="456">
        <f t="shared" si="486"/>
        <v>5.6264179450661672E-2</v>
      </c>
      <c r="BU175" s="456">
        <f t="shared" si="487"/>
        <v>21.613075061953978</v>
      </c>
      <c r="BV175" s="456"/>
      <c r="BW175" s="456">
        <f t="shared" si="488"/>
        <v>7.2367664856165331E-2</v>
      </c>
      <c r="BX175" s="144">
        <f t="shared" si="489"/>
        <v>21896.107316403217</v>
      </c>
      <c r="BY175" s="150">
        <f t="shared" si="490"/>
        <v>24.323408390239187</v>
      </c>
      <c r="BZ175" s="5">
        <f t="shared" si="491"/>
        <v>55.25</v>
      </c>
      <c r="CA175" s="150">
        <f t="shared" si="492"/>
        <v>0.69432742819116433</v>
      </c>
      <c r="CB175" s="5">
        <f t="shared" si="493"/>
        <v>69.432742819116427</v>
      </c>
      <c r="CE175" s="59">
        <f t="shared" si="528"/>
        <v>-50</v>
      </c>
      <c r="CF175">
        <f t="shared" si="529"/>
        <v>-50</v>
      </c>
      <c r="CG175" s="150">
        <f t="shared" si="530"/>
        <v>0.50747028324206289</v>
      </c>
      <c r="CI175" s="147">
        <v>65</v>
      </c>
      <c r="CJ175" s="188">
        <f t="shared" ref="CJ175:CJ210" si="589">IF(PLOT_TYPE=1, CI175/100*Iout_max, min_I*EXP(CR175*rr/100))</f>
        <v>0.32500000000000001</v>
      </c>
      <c r="CK175" s="188"/>
      <c r="CL175" s="188">
        <f t="shared" si="531"/>
        <v>55.25</v>
      </c>
      <c r="CM175" s="465">
        <f t="shared" si="532"/>
        <v>9</v>
      </c>
      <c r="CN175" s="379">
        <f t="shared" si="533"/>
        <v>8.5350000000000001</v>
      </c>
      <c r="CO175" s="379">
        <f t="shared" si="534"/>
        <v>17.535</v>
      </c>
      <c r="CP175" s="379"/>
      <c r="CQ175" s="188">
        <f t="shared" si="535"/>
        <v>0.48674080410607357</v>
      </c>
      <c r="CR175" s="149">
        <f t="shared" ref="CR175:CR210" si="590">CQ175*CM175*(Isw_max+VIN_min/Lmag*ILIM_delay)*0.5*Efficiency</f>
        <v>146.41650128314802</v>
      </c>
      <c r="CS175" s="149">
        <f t="shared" si="536"/>
        <v>55.25</v>
      </c>
      <c r="CT175" s="188">
        <f t="shared" si="537"/>
        <v>0.86127353695969422</v>
      </c>
      <c r="CU175" s="188">
        <f t="shared" si="538"/>
        <v>170</v>
      </c>
      <c r="CV175" s="188"/>
      <c r="CW175" s="149">
        <f t="shared" si="539"/>
        <v>743.24629014235472</v>
      </c>
      <c r="CX175" s="149">
        <f t="shared" si="540"/>
        <v>170</v>
      </c>
      <c r="CY175" s="188">
        <f t="shared" si="541"/>
        <v>25.224467877367701</v>
      </c>
      <c r="CZ175" s="188">
        <f t="shared" si="542"/>
        <v>4.2040779795612835</v>
      </c>
      <c r="DA175" s="188">
        <f t="shared" si="543"/>
        <v>4.4331226498010023</v>
      </c>
      <c r="DB175" s="172">
        <f t="shared" si="544"/>
        <v>219.03336184773312</v>
      </c>
      <c r="DC175" s="379">
        <f t="shared" si="545"/>
        <v>115.77825303727295</v>
      </c>
      <c r="DE175" s="188">
        <f t="shared" si="546"/>
        <v>13.333333333333334</v>
      </c>
      <c r="DF175" s="150">
        <f t="shared" si="547"/>
        <v>2.3432923257176337</v>
      </c>
      <c r="DG175" s="150">
        <f t="shared" si="548"/>
        <v>0.17108639863130889</v>
      </c>
      <c r="DH175" s="150"/>
      <c r="DI175" s="150">
        <f t="shared" si="549"/>
        <v>2.3432923257176337</v>
      </c>
      <c r="DJ175" s="314">
        <f t="shared" si="550"/>
        <v>416.0812499999999</v>
      </c>
      <c r="DK175" s="456">
        <f t="shared" si="551"/>
        <v>0.17108639863130887</v>
      </c>
      <c r="DM175" s="150">
        <f t="shared" si="552"/>
        <v>14.537635885619681</v>
      </c>
      <c r="DN175" s="150">
        <f t="shared" si="553"/>
        <v>25.224467877367701</v>
      </c>
      <c r="DO175" s="150">
        <f t="shared" si="554"/>
        <v>10.008247810395826</v>
      </c>
      <c r="DQ175" s="314">
        <f t="shared" si="555"/>
        <v>325</v>
      </c>
      <c r="DR175" s="144">
        <f t="shared" si="556"/>
        <v>115.77825303727295</v>
      </c>
      <c r="DT175">
        <f t="shared" ref="DT175:DT209" si="591">IF(CL175&gt;CR175, " ",DQ175)</f>
        <v>325</v>
      </c>
      <c r="DU175">
        <f t="shared" ref="DU175:DU209" si="592">IF(CL175&gt;CR175, " ",DR175)</f>
        <v>115.77825303727295</v>
      </c>
      <c r="DW175" s="5">
        <f t="shared" si="557"/>
        <v>8.6372006293622867</v>
      </c>
      <c r="DX175" s="5">
        <f t="shared" si="558"/>
        <v>4.2040779795612835</v>
      </c>
      <c r="DY175" s="5">
        <f t="shared" si="559"/>
        <v>4.4331226498010032</v>
      </c>
      <c r="DZ175" s="5"/>
      <c r="EA175" s="150">
        <f t="shared" si="560"/>
        <v>0.48674080410607351</v>
      </c>
      <c r="EB175" s="150">
        <f t="shared" si="561"/>
        <v>55.249999999999986</v>
      </c>
      <c r="EC175" s="150">
        <f t="shared" si="562"/>
        <v>0.3236672524897482</v>
      </c>
      <c r="ED175" s="150">
        <f t="shared" si="563"/>
        <v>170.6999999999999</v>
      </c>
      <c r="EE175" s="144">
        <f t="shared" si="564"/>
        <v>0.80372079021024534</v>
      </c>
      <c r="EF175" s="5">
        <f t="shared" si="565"/>
        <v>45.357412296575077</v>
      </c>
      <c r="EH175" s="150">
        <f t="shared" si="566"/>
        <v>10.160387314812603</v>
      </c>
      <c r="EI175" s="150">
        <f t="shared" si="567"/>
        <v>0.52167468194215683</v>
      </c>
      <c r="EK175" s="456">
        <f t="shared" si="568"/>
        <v>0.35099379931581648</v>
      </c>
      <c r="EL175" s="456">
        <f t="shared" si="569"/>
        <v>1.5567839999999997</v>
      </c>
      <c r="EM175" s="456">
        <f t="shared" si="570"/>
        <v>2.6513219945535505E-2</v>
      </c>
      <c r="EN175" s="456">
        <f t="shared" si="571"/>
        <v>2.4385356223981899E-2</v>
      </c>
      <c r="EO175">
        <f t="shared" si="572"/>
        <v>4.0499999999999998E-3</v>
      </c>
      <c r="EP175" s="144">
        <f t="shared" si="573"/>
        <v>30.563219945535508</v>
      </c>
      <c r="EQ175" s="144"/>
      <c r="ER175" s="144">
        <f t="shared" ref="ER175:ER210" si="593">SUM(EK175:EO175)*1000</f>
        <v>1962.7263754853338</v>
      </c>
      <c r="ES175" s="456">
        <f t="shared" si="574"/>
        <v>0.8125</v>
      </c>
      <c r="EV175" s="144">
        <f t="shared" si="494"/>
        <v>812.5</v>
      </c>
      <c r="EW175" s="456">
        <f t="shared" si="575"/>
        <v>0.1548502055805073</v>
      </c>
      <c r="EX175" s="456">
        <f t="shared" si="576"/>
        <v>5.4428894755890106E-2</v>
      </c>
      <c r="EY175" s="456">
        <f t="shared" si="577"/>
        <v>23.04583872583277</v>
      </c>
      <c r="EZ175" s="456"/>
      <c r="FA175" s="456">
        <f t="shared" si="578"/>
        <v>7.3666666666666644E-2</v>
      </c>
      <c r="FB175" s="144">
        <f t="shared" si="579"/>
        <v>23328.784492835835</v>
      </c>
      <c r="FC175" s="150">
        <f t="shared" si="580"/>
        <v>26.104010868321168</v>
      </c>
      <c r="FD175" s="5">
        <f t="shared" si="581"/>
        <v>55.25</v>
      </c>
      <c r="FE175" s="150">
        <f t="shared" si="582"/>
        <v>0.67913062196069385</v>
      </c>
      <c r="FF175" s="5">
        <f t="shared" si="583"/>
        <v>67.91306219606939</v>
      </c>
      <c r="FI175" s="59">
        <f t="shared" si="584"/>
        <v>-50</v>
      </c>
      <c r="FJ175">
        <f t="shared" si="585"/>
        <v>-50</v>
      </c>
      <c r="FL175">
        <f t="shared" si="586"/>
        <v>0.51325919589392655</v>
      </c>
    </row>
    <row r="176" spans="5:168">
      <c r="E176" s="147">
        <v>66</v>
      </c>
      <c r="F176" s="188">
        <f t="shared" si="587"/>
        <v>0.33</v>
      </c>
      <c r="G176" s="188"/>
      <c r="H176" s="188">
        <f t="shared" si="495"/>
        <v>56.1</v>
      </c>
      <c r="I176" s="465">
        <f t="shared" si="496"/>
        <v>8.9362831432471488</v>
      </c>
      <c r="J176" s="149">
        <f t="shared" si="497"/>
        <v>8.5415017200768215</v>
      </c>
      <c r="K176" s="149">
        <f t="shared" si="498"/>
        <v>17.477784863323969</v>
      </c>
      <c r="L176" s="379"/>
      <c r="M176" s="188">
        <f t="shared" si="499"/>
        <v>0.48870408126890369</v>
      </c>
      <c r="N176" s="149">
        <f t="shared" si="500"/>
        <v>145.96631593989281</v>
      </c>
      <c r="O176" s="149">
        <f t="shared" si="438"/>
        <v>56.1</v>
      </c>
      <c r="P176" s="188">
        <f t="shared" si="501"/>
        <v>0.85862538788172238</v>
      </c>
      <c r="Q176" s="188">
        <f t="shared" si="502"/>
        <v>170</v>
      </c>
      <c r="R176" s="188"/>
      <c r="S176" s="149">
        <f t="shared" si="503"/>
        <v>724.10180998388455</v>
      </c>
      <c r="T176" s="149">
        <f t="shared" si="504"/>
        <v>170</v>
      </c>
      <c r="U176" s="188">
        <f t="shared" si="505"/>
        <v>25.816752132031425</v>
      </c>
      <c r="V176" s="188">
        <f t="shared" si="506"/>
        <v>4.3334714866672988</v>
      </c>
      <c r="W176" s="188">
        <f t="shared" si="507"/>
        <v>4.5337610957829151</v>
      </c>
      <c r="X176" s="172">
        <f t="shared" si="508"/>
        <v>218.36084617139096</v>
      </c>
      <c r="Y176" s="379">
        <f t="shared" si="509"/>
        <v>110.28723382871169</v>
      </c>
      <c r="AA176" s="188">
        <f t="shared" si="510"/>
        <v>13.333333333333334</v>
      </c>
      <c r="AB176" s="150">
        <f t="shared" si="511"/>
        <v>2.3415086310864925</v>
      </c>
      <c r="AC176" s="150">
        <f t="shared" si="512"/>
        <v>0.17043126866722061</v>
      </c>
      <c r="AD176" s="150"/>
      <c r="AE176" s="150">
        <f t="shared" si="513"/>
        <v>2.3415086310864925</v>
      </c>
      <c r="AF176" s="314">
        <f t="shared" si="514"/>
        <v>422.80433514380263</v>
      </c>
      <c r="AG176" s="456">
        <f t="shared" si="515"/>
        <v>0.17043126866722064</v>
      </c>
      <c r="AI176" s="150">
        <f t="shared" si="516"/>
        <v>14.65461557098514</v>
      </c>
      <c r="AJ176" s="150">
        <f t="shared" si="517"/>
        <v>25.816752132031425</v>
      </c>
      <c r="AK176" s="150">
        <f t="shared" si="518"/>
        <v>10.44697688792451</v>
      </c>
      <c r="AM176" s="314">
        <f t="shared" si="519"/>
        <v>330</v>
      </c>
      <c r="AN176" s="144">
        <f t="shared" si="520"/>
        <v>110.28723382871169</v>
      </c>
      <c r="AP176">
        <f t="shared" si="521"/>
        <v>330</v>
      </c>
      <c r="AQ176">
        <f t="shared" si="522"/>
        <v>110.28723382871169</v>
      </c>
      <c r="AS176" s="5">
        <f t="shared" si="439"/>
        <v>9.0672325824502131</v>
      </c>
      <c r="AT176" s="5">
        <f t="shared" si="523"/>
        <v>4.3334714866672988</v>
      </c>
      <c r="AU176" s="5">
        <f t="shared" si="478"/>
        <v>4.7337610957829144</v>
      </c>
      <c r="AV176" s="5"/>
      <c r="AW176" s="150">
        <f t="shared" si="479"/>
        <v>0.47792658314013126</v>
      </c>
      <c r="AX176" s="150">
        <f t="shared" si="435"/>
        <v>55.130218998968381</v>
      </c>
      <c r="AY176" s="150">
        <f t="shared" si="436"/>
        <v>0.33695599994484871</v>
      </c>
      <c r="AZ176" s="150">
        <f t="shared" si="440"/>
        <v>163.61251619793629</v>
      </c>
      <c r="BA176" s="144">
        <f t="shared" si="433"/>
        <v>0.84120328858835802</v>
      </c>
      <c r="BB176" s="5">
        <f t="shared" si="434"/>
        <v>49.529167256765525</v>
      </c>
      <c r="BD176" s="150">
        <f t="shared" si="441"/>
        <v>10.30437301097081</v>
      </c>
      <c r="BE176" s="150">
        <f t="shared" si="437"/>
        <v>0.53848892065287524</v>
      </c>
      <c r="BG176" s="456">
        <f t="shared" si="480"/>
        <v>0.36101235070736037</v>
      </c>
      <c r="BH176" s="456">
        <f t="shared" si="524"/>
        <v>1.1918421934093366</v>
      </c>
      <c r="BI176" s="456">
        <f t="shared" si="525"/>
        <v>4.5138554044912377E-2</v>
      </c>
      <c r="BJ176" s="456">
        <f t="shared" si="481"/>
        <v>2.307749120267644E-2</v>
      </c>
      <c r="BK176">
        <f t="shared" si="482"/>
        <v>4.021327414461217E-3</v>
      </c>
      <c r="BL176" s="144">
        <f t="shared" si="588"/>
        <v>49.159881459373594</v>
      </c>
      <c r="BM176" s="456">
        <f t="shared" si="526"/>
        <v>1.8304117463737735</v>
      </c>
      <c r="BN176" s="144">
        <f t="shared" si="527"/>
        <v>1830.4117463737734</v>
      </c>
      <c r="BO176" s="456">
        <f t="shared" si="483"/>
        <v>0.82500000000000007</v>
      </c>
      <c r="BR176" s="144">
        <f t="shared" si="484"/>
        <v>825.00000000000011</v>
      </c>
      <c r="BS176" s="456">
        <f t="shared" si="485"/>
        <v>0.15927015472383546</v>
      </c>
      <c r="BT176" s="456">
        <f t="shared" si="486"/>
        <v>5.7994063533179707E-2</v>
      </c>
      <c r="BU176" s="456">
        <f t="shared" si="487"/>
        <v>21.629034197864058</v>
      </c>
      <c r="BV176" s="456"/>
      <c r="BW176" s="456">
        <f t="shared" si="488"/>
        <v>7.350695866529118E-2</v>
      </c>
      <c r="BX176" s="144">
        <f t="shared" si="489"/>
        <v>21919.805374786363</v>
      </c>
      <c r="BY176" s="150">
        <f t="shared" si="490"/>
        <v>24.36989729156511</v>
      </c>
      <c r="BZ176" s="5">
        <f t="shared" si="491"/>
        <v>56.1</v>
      </c>
      <c r="CA176" s="150">
        <f t="shared" si="492"/>
        <v>0.69715510878228037</v>
      </c>
      <c r="CB176" s="5">
        <f t="shared" si="493"/>
        <v>69.715510878228031</v>
      </c>
      <c r="CE176" s="59">
        <f t="shared" si="528"/>
        <v>-50</v>
      </c>
      <c r="CF176">
        <f t="shared" si="529"/>
        <v>-50</v>
      </c>
      <c r="CG176" s="150">
        <f t="shared" si="530"/>
        <v>0.50755799403981816</v>
      </c>
      <c r="CI176" s="147">
        <v>66</v>
      </c>
      <c r="CJ176" s="188">
        <f t="shared" si="589"/>
        <v>0.33</v>
      </c>
      <c r="CK176" s="188"/>
      <c r="CL176" s="188">
        <f t="shared" si="531"/>
        <v>56.1</v>
      </c>
      <c r="CM176" s="465">
        <f t="shared" si="532"/>
        <v>9</v>
      </c>
      <c r="CN176" s="379">
        <f t="shared" si="533"/>
        <v>8.5350000000000001</v>
      </c>
      <c r="CO176" s="379">
        <f t="shared" si="534"/>
        <v>17.535</v>
      </c>
      <c r="CP176" s="379"/>
      <c r="CQ176" s="188">
        <f t="shared" si="535"/>
        <v>0.48674080410607357</v>
      </c>
      <c r="CR176" s="149">
        <f t="shared" si="590"/>
        <v>146.41650128314802</v>
      </c>
      <c r="CS176" s="149">
        <f t="shared" si="536"/>
        <v>56.1</v>
      </c>
      <c r="CT176" s="188">
        <f t="shared" si="537"/>
        <v>0.86127353695969422</v>
      </c>
      <c r="CU176" s="188">
        <f t="shared" si="538"/>
        <v>170</v>
      </c>
      <c r="CV176" s="188"/>
      <c r="CW176" s="149">
        <f t="shared" si="539"/>
        <v>729.26352045636656</v>
      </c>
      <c r="CX176" s="149">
        <f t="shared" si="540"/>
        <v>170</v>
      </c>
      <c r="CY176" s="188">
        <f t="shared" si="541"/>
        <v>25.612536613942591</v>
      </c>
      <c r="CZ176" s="188">
        <f t="shared" si="542"/>
        <v>4.2687561023237652</v>
      </c>
      <c r="DA176" s="188">
        <f t="shared" si="543"/>
        <v>4.5013245367210182</v>
      </c>
      <c r="DB176" s="172">
        <f t="shared" si="544"/>
        <v>219.03336184773312</v>
      </c>
      <c r="DC176" s="379">
        <f t="shared" si="545"/>
        <v>114.02403708216276</v>
      </c>
      <c r="DE176" s="188">
        <f t="shared" si="546"/>
        <v>13.333333333333334</v>
      </c>
      <c r="DF176" s="150">
        <f t="shared" si="547"/>
        <v>2.3432923257176337</v>
      </c>
      <c r="DG176" s="150">
        <f t="shared" si="548"/>
        <v>0.17108639863130889</v>
      </c>
      <c r="DH176" s="150"/>
      <c r="DI176" s="150">
        <f t="shared" si="549"/>
        <v>2.3432923257176337</v>
      </c>
      <c r="DJ176" s="314">
        <f t="shared" si="550"/>
        <v>422.4824999999999</v>
      </c>
      <c r="DK176" s="456">
        <f t="shared" si="551"/>
        <v>0.17108639863130887</v>
      </c>
      <c r="DM176" s="150">
        <f t="shared" si="552"/>
        <v>14.649037023445796</v>
      </c>
      <c r="DN176" s="150">
        <f t="shared" si="553"/>
        <v>25.612536613942591</v>
      </c>
      <c r="DO176" s="150">
        <f t="shared" si="554"/>
        <v>10.295706133784634</v>
      </c>
      <c r="DQ176" s="314">
        <f t="shared" si="555"/>
        <v>330</v>
      </c>
      <c r="DR176" s="144">
        <f t="shared" si="556"/>
        <v>114.02403708216276</v>
      </c>
      <c r="DT176">
        <f t="shared" si="591"/>
        <v>330</v>
      </c>
      <c r="DU176">
        <f t="shared" si="592"/>
        <v>114.02403708216276</v>
      </c>
      <c r="DW176" s="5">
        <f t="shared" si="557"/>
        <v>8.7700806390447816</v>
      </c>
      <c r="DX176" s="5">
        <f t="shared" si="558"/>
        <v>4.2687561023237652</v>
      </c>
      <c r="DY176" s="5">
        <f t="shared" si="559"/>
        <v>4.5013245367210164</v>
      </c>
      <c r="DZ176" s="5"/>
      <c r="EA176" s="150">
        <f t="shared" si="560"/>
        <v>0.48674080410607362</v>
      </c>
      <c r="EB176" s="150">
        <f t="shared" si="561"/>
        <v>56.100000000000009</v>
      </c>
      <c r="EC176" s="150">
        <f t="shared" si="562"/>
        <v>0.32864674868189803</v>
      </c>
      <c r="ED176" s="150">
        <f t="shared" si="563"/>
        <v>170.70000000000005</v>
      </c>
      <c r="EE176" s="144">
        <f t="shared" si="564"/>
        <v>0.8286408904510838</v>
      </c>
      <c r="EF176" s="5">
        <f t="shared" si="565"/>
        <v>46.763760464823889</v>
      </c>
      <c r="EH176" s="150">
        <f t="shared" si="566"/>
        <v>10.316700965809721</v>
      </c>
      <c r="EI176" s="150">
        <f t="shared" si="567"/>
        <v>0.52970044627972834</v>
      </c>
      <c r="EK176" s="456">
        <f t="shared" si="568"/>
        <v>0.36187668398099337</v>
      </c>
      <c r="EL176" s="456">
        <f t="shared" si="569"/>
        <v>1.5567839999999999</v>
      </c>
      <c r="EM176" s="456">
        <f t="shared" si="570"/>
        <v>2.6111504491815273E-2</v>
      </c>
      <c r="EN176" s="456">
        <f t="shared" si="571"/>
        <v>2.4015881129679145E-2</v>
      </c>
      <c r="EO176">
        <f t="shared" si="572"/>
        <v>4.0499999999999998E-3</v>
      </c>
      <c r="EP176" s="144">
        <f t="shared" si="573"/>
        <v>30.161504491815275</v>
      </c>
      <c r="EQ176" s="144"/>
      <c r="ER176" s="144">
        <f t="shared" si="593"/>
        <v>1972.8380696024876</v>
      </c>
      <c r="ES176" s="456">
        <f t="shared" si="574"/>
        <v>0.82500000000000007</v>
      </c>
      <c r="EV176" s="144">
        <f t="shared" si="494"/>
        <v>825.00000000000011</v>
      </c>
      <c r="EW176" s="456">
        <f t="shared" si="575"/>
        <v>0.15965147822690884</v>
      </c>
      <c r="EX176" s="456">
        <f t="shared" si="576"/>
        <v>5.6116512557788684E-2</v>
      </c>
      <c r="EY176" s="456">
        <f t="shared" si="577"/>
        <v>23.04583872583277</v>
      </c>
      <c r="EZ176" s="456"/>
      <c r="FA176" s="456">
        <f t="shared" si="578"/>
        <v>7.4800000000000019E-2</v>
      </c>
      <c r="FB176" s="144">
        <f t="shared" si="579"/>
        <v>23336.406716617468</v>
      </c>
      <c r="FC176" s="150">
        <f t="shared" si="580"/>
        <v>26.134244786219956</v>
      </c>
      <c r="FD176" s="5">
        <f t="shared" si="581"/>
        <v>56.1</v>
      </c>
      <c r="FE176" s="150">
        <f t="shared" si="582"/>
        <v>0.68219754611768146</v>
      </c>
      <c r="FF176" s="5">
        <f t="shared" si="583"/>
        <v>68.219754611768153</v>
      </c>
      <c r="FI176" s="59">
        <f t="shared" si="584"/>
        <v>-50</v>
      </c>
      <c r="FJ176">
        <f t="shared" si="585"/>
        <v>-50</v>
      </c>
      <c r="FL176">
        <f t="shared" si="586"/>
        <v>0.51325919589392632</v>
      </c>
    </row>
    <row r="177" spans="5:168">
      <c r="E177" s="147">
        <v>67</v>
      </c>
      <c r="F177" s="188">
        <f t="shared" si="587"/>
        <v>0.33500000000000002</v>
      </c>
      <c r="G177" s="188"/>
      <c r="H177" s="188">
        <f t="shared" si="495"/>
        <v>56.95</v>
      </c>
      <c r="I177" s="465">
        <f t="shared" si="496"/>
        <v>8.9353285785499956</v>
      </c>
      <c r="J177" s="149">
        <f t="shared" si="497"/>
        <v>8.5415991246377541</v>
      </c>
      <c r="K177" s="149">
        <f t="shared" si="498"/>
        <v>17.476927703187748</v>
      </c>
      <c r="L177" s="379"/>
      <c r="M177" s="188">
        <f t="shared" si="499"/>
        <v>0.48873362367758011</v>
      </c>
      <c r="N177" s="149">
        <f t="shared" si="500"/>
        <v>145.95954676116438</v>
      </c>
      <c r="O177" s="149">
        <f t="shared" si="438"/>
        <v>56.95</v>
      </c>
      <c r="P177" s="188">
        <f t="shared" si="501"/>
        <v>0.85858556918331985</v>
      </c>
      <c r="Q177" s="188">
        <f t="shared" si="502"/>
        <v>170</v>
      </c>
      <c r="R177" s="188"/>
      <c r="S177" s="149">
        <f t="shared" si="503"/>
        <v>710.55672744651849</v>
      </c>
      <c r="T177" s="149">
        <f t="shared" si="504"/>
        <v>170</v>
      </c>
      <c r="U177" s="188">
        <f t="shared" si="505"/>
        <v>26.209429410138942</v>
      </c>
      <c r="V177" s="188">
        <f t="shared" si="506"/>
        <v>4.399854327638864</v>
      </c>
      <c r="W177" s="188">
        <f t="shared" si="507"/>
        <v>4.6026679011204141</v>
      </c>
      <c r="X177" s="172">
        <f t="shared" si="508"/>
        <v>218.35071947734954</v>
      </c>
      <c r="Y177" s="379">
        <f t="shared" si="509"/>
        <v>108.66586085223986</v>
      </c>
      <c r="AA177" s="188">
        <f t="shared" si="510"/>
        <v>13.333333333333334</v>
      </c>
      <c r="AB177" s="150">
        <f t="shared" si="511"/>
        <v>2.3414819295734852</v>
      </c>
      <c r="AC177" s="150">
        <f t="shared" si="512"/>
        <v>0.17042142132186108</v>
      </c>
      <c r="AD177" s="150"/>
      <c r="AE177" s="150">
        <f t="shared" si="513"/>
        <v>2.3414819295734852</v>
      </c>
      <c r="AF177" s="314">
        <f t="shared" si="514"/>
        <v>429.21535601304709</v>
      </c>
      <c r="AG177" s="456">
        <f t="shared" si="515"/>
        <v>0.17042142132186108</v>
      </c>
      <c r="AI177" s="150">
        <f t="shared" si="516"/>
        <v>14.765302200970767</v>
      </c>
      <c r="AJ177" s="150">
        <f t="shared" si="517"/>
        <v>26.209429410138942</v>
      </c>
      <c r="AK177" s="150">
        <f t="shared" si="518"/>
        <v>10.737848945781931</v>
      </c>
      <c r="AM177" s="314">
        <f t="shared" si="519"/>
        <v>335</v>
      </c>
      <c r="AN177" s="144">
        <f t="shared" si="520"/>
        <v>108.66586085223986</v>
      </c>
      <c r="AP177">
        <f t="shared" si="521"/>
        <v>335</v>
      </c>
      <c r="AQ177">
        <f t="shared" si="522"/>
        <v>108.66586085223986</v>
      </c>
      <c r="AS177" s="5">
        <f t="shared" si="439"/>
        <v>9.2025222287592783</v>
      </c>
      <c r="AT177" s="5">
        <f t="shared" si="523"/>
        <v>4.399854327638864</v>
      </c>
      <c r="AU177" s="5">
        <f t="shared" si="478"/>
        <v>4.8026679011204143</v>
      </c>
      <c r="AV177" s="5"/>
      <c r="AW177" s="150">
        <f t="shared" si="479"/>
        <v>0.47811395813733015</v>
      </c>
      <c r="AX177" s="150">
        <f t="shared" si="435"/>
        <v>55.984721329301642</v>
      </c>
      <c r="AY177" s="150">
        <f t="shared" si="436"/>
        <v>0.34195838435841158</v>
      </c>
      <c r="AZ177" s="150">
        <f t="shared" si="440"/>
        <v>163.71793729912829</v>
      </c>
      <c r="BA177" s="144">
        <f t="shared" si="433"/>
        <v>0.86703011750530556</v>
      </c>
      <c r="BB177" s="5">
        <f t="shared" si="434"/>
        <v>51.016951897623535</v>
      </c>
      <c r="BD177" s="150">
        <f t="shared" si="441"/>
        <v>10.463154791348835</v>
      </c>
      <c r="BE177" s="150">
        <f t="shared" si="437"/>
        <v>0.54658131862352521</v>
      </c>
      <c r="BG177" s="456">
        <f t="shared" si="480"/>
        <v>0.37222386783826866</v>
      </c>
      <c r="BH177" s="456">
        <f t="shared" si="524"/>
        <v>1.1921236355393381</v>
      </c>
      <c r="BI177" s="456">
        <f t="shared" si="525"/>
        <v>4.4470204876947618E-2</v>
      </c>
      <c r="BJ177" s="456">
        <f t="shared" si="481"/>
        <v>2.2735990321947661E-2</v>
      </c>
      <c r="BK177">
        <f t="shared" si="482"/>
        <v>4.0208978603474979E-3</v>
      </c>
      <c r="BL177" s="144">
        <f t="shared" si="588"/>
        <v>48.491102737295115</v>
      </c>
      <c r="BM177" s="456">
        <f t="shared" si="526"/>
        <v>1.8513149566424836</v>
      </c>
      <c r="BN177" s="144">
        <f t="shared" si="527"/>
        <v>1851.3149566424836</v>
      </c>
      <c r="BO177" s="456">
        <f t="shared" si="483"/>
        <v>0.83750000000000002</v>
      </c>
      <c r="BR177" s="144">
        <f t="shared" si="484"/>
        <v>837.5</v>
      </c>
      <c r="BS177" s="456">
        <f t="shared" si="485"/>
        <v>0.16421641228158912</v>
      </c>
      <c r="BT177" s="456">
        <f t="shared" si="486"/>
        <v>5.9750227573646321E-2</v>
      </c>
      <c r="BU177" s="456">
        <f t="shared" si="487"/>
        <v>21.644458849543131</v>
      </c>
      <c r="BV177" s="456"/>
      <c r="BW177" s="456">
        <f t="shared" si="488"/>
        <v>7.4646295105735519E-2</v>
      </c>
      <c r="BX177" s="144">
        <f t="shared" si="489"/>
        <v>21943.071784504104</v>
      </c>
      <c r="BY177" s="150">
        <f t="shared" si="490"/>
        <v>24.416146380940951</v>
      </c>
      <c r="BZ177" s="5">
        <f t="shared" si="491"/>
        <v>56.95</v>
      </c>
      <c r="CA177" s="150">
        <f t="shared" si="492"/>
        <v>0.69992254190546077</v>
      </c>
      <c r="CB177" s="5">
        <f t="shared" si="493"/>
        <v>69.992254190546078</v>
      </c>
      <c r="CE177" s="59">
        <f t="shared" si="528"/>
        <v>-50</v>
      </c>
      <c r="CF177">
        <f t="shared" si="529"/>
        <v>-50</v>
      </c>
      <c r="CG177" s="150">
        <f t="shared" si="530"/>
        <v>0.50764308660480506</v>
      </c>
      <c r="CI177" s="147">
        <v>67</v>
      </c>
      <c r="CJ177" s="188">
        <f t="shared" si="589"/>
        <v>0.33500000000000002</v>
      </c>
      <c r="CK177" s="188"/>
      <c r="CL177" s="188">
        <f t="shared" si="531"/>
        <v>56.95</v>
      </c>
      <c r="CM177" s="465">
        <f t="shared" si="532"/>
        <v>9</v>
      </c>
      <c r="CN177" s="379">
        <f t="shared" si="533"/>
        <v>8.5350000000000001</v>
      </c>
      <c r="CO177" s="379">
        <f t="shared" si="534"/>
        <v>17.535</v>
      </c>
      <c r="CP177" s="379"/>
      <c r="CQ177" s="188">
        <f t="shared" si="535"/>
        <v>0.48674080410607357</v>
      </c>
      <c r="CR177" s="149">
        <f t="shared" si="590"/>
        <v>146.41650128314802</v>
      </c>
      <c r="CS177" s="149">
        <f t="shared" si="536"/>
        <v>56.95</v>
      </c>
      <c r="CT177" s="188">
        <f t="shared" si="537"/>
        <v>0.86127353695969422</v>
      </c>
      <c r="CU177" s="188">
        <f t="shared" si="538"/>
        <v>170</v>
      </c>
      <c r="CV177" s="188"/>
      <c r="CW177" s="149">
        <f t="shared" si="539"/>
        <v>715.69826788193029</v>
      </c>
      <c r="CX177" s="149">
        <f t="shared" si="540"/>
        <v>170</v>
      </c>
      <c r="CY177" s="188">
        <f t="shared" si="541"/>
        <v>26.000605350517478</v>
      </c>
      <c r="CZ177" s="188">
        <f t="shared" si="542"/>
        <v>4.3334342250862461</v>
      </c>
      <c r="DA177" s="188">
        <f t="shared" si="543"/>
        <v>4.5695264236410331</v>
      </c>
      <c r="DB177" s="172">
        <f t="shared" si="544"/>
        <v>219.03336184773312</v>
      </c>
      <c r="DC177" s="379">
        <f t="shared" si="545"/>
        <v>112.32218578242899</v>
      </c>
      <c r="DE177" s="188">
        <f t="shared" si="546"/>
        <v>13.333333333333334</v>
      </c>
      <c r="DF177" s="150">
        <f t="shared" si="547"/>
        <v>2.3432923257176337</v>
      </c>
      <c r="DG177" s="150">
        <f t="shared" si="548"/>
        <v>0.17108639863130889</v>
      </c>
      <c r="DH177" s="150"/>
      <c r="DI177" s="150">
        <f t="shared" si="549"/>
        <v>2.3432923257176337</v>
      </c>
      <c r="DJ177" s="314">
        <f t="shared" si="550"/>
        <v>428.88374999999991</v>
      </c>
      <c r="DK177" s="456">
        <f t="shared" si="551"/>
        <v>0.17108639863130887</v>
      </c>
      <c r="DM177" s="150">
        <f t="shared" si="552"/>
        <v>14.759597361910462</v>
      </c>
      <c r="DN177" s="150">
        <f t="shared" si="553"/>
        <v>26.000605350517478</v>
      </c>
      <c r="DO177" s="150">
        <f t="shared" si="554"/>
        <v>10.58316445717344</v>
      </c>
      <c r="DQ177" s="314">
        <f t="shared" si="555"/>
        <v>335</v>
      </c>
      <c r="DR177" s="144">
        <f t="shared" si="556"/>
        <v>112.32218578242899</v>
      </c>
      <c r="DT177">
        <f t="shared" si="591"/>
        <v>335</v>
      </c>
      <c r="DU177">
        <f t="shared" si="592"/>
        <v>112.32218578242899</v>
      </c>
      <c r="DW177" s="5">
        <f t="shared" si="557"/>
        <v>8.9029606487272801</v>
      </c>
      <c r="DX177" s="5">
        <f t="shared" si="558"/>
        <v>4.3334342250862461</v>
      </c>
      <c r="DY177" s="5">
        <f t="shared" si="559"/>
        <v>4.569526423641034</v>
      </c>
      <c r="DZ177" s="5"/>
      <c r="EA177" s="150">
        <f t="shared" si="560"/>
        <v>0.48674080410607351</v>
      </c>
      <c r="EB177" s="150">
        <f t="shared" si="561"/>
        <v>56.949999999999996</v>
      </c>
      <c r="EC177" s="150">
        <f t="shared" si="562"/>
        <v>0.33362624487404813</v>
      </c>
      <c r="ED177" s="150">
        <f t="shared" si="563"/>
        <v>170.69999999999993</v>
      </c>
      <c r="EE177" s="144">
        <f t="shared" si="564"/>
        <v>0.85394145023758383</v>
      </c>
      <c r="EF177" s="5">
        <f t="shared" si="565"/>
        <v>48.191579597473492</v>
      </c>
      <c r="EH177" s="150">
        <f t="shared" si="566"/>
        <v>10.473014616806836</v>
      </c>
      <c r="EI177" s="150">
        <f t="shared" si="567"/>
        <v>0.53772621061730008</v>
      </c>
      <c r="EK177" s="456">
        <f t="shared" si="568"/>
        <v>0.3729257195570887</v>
      </c>
      <c r="EL177" s="456">
        <f t="shared" si="569"/>
        <v>1.5567839999999999</v>
      </c>
      <c r="EM177" s="456">
        <f t="shared" si="570"/>
        <v>2.5721780544176238E-2</v>
      </c>
      <c r="EN177" s="456">
        <f t="shared" si="571"/>
        <v>2.365743514266901E-2</v>
      </c>
      <c r="EO177">
        <f t="shared" si="572"/>
        <v>4.0499999999999998E-3</v>
      </c>
      <c r="EP177" s="144">
        <f t="shared" si="573"/>
        <v>29.771780544176238</v>
      </c>
      <c r="EQ177" s="144"/>
      <c r="ER177" s="144">
        <f t="shared" si="593"/>
        <v>1983.1389352439342</v>
      </c>
      <c r="ES177" s="456">
        <f t="shared" si="574"/>
        <v>0.83750000000000002</v>
      </c>
      <c r="EV177" s="144">
        <f t="shared" si="494"/>
        <v>837.5</v>
      </c>
      <c r="EW177" s="456">
        <f t="shared" si="575"/>
        <v>0.16452605274577445</v>
      </c>
      <c r="EX177" s="456">
        <f t="shared" si="576"/>
        <v>5.782989551696819E-2</v>
      </c>
      <c r="EY177" s="456">
        <f t="shared" si="577"/>
        <v>23.045838725832766</v>
      </c>
      <c r="EZ177" s="456"/>
      <c r="FA177" s="456">
        <f t="shared" si="578"/>
        <v>7.5933333333333339E-2</v>
      </c>
      <c r="FB177" s="144">
        <f t="shared" si="579"/>
        <v>23344.128007428841</v>
      </c>
      <c r="FC177" s="150">
        <f t="shared" si="580"/>
        <v>26.164766942672774</v>
      </c>
      <c r="FD177" s="5">
        <f t="shared" si="581"/>
        <v>56.95</v>
      </c>
      <c r="FE177" s="150">
        <f t="shared" si="582"/>
        <v>0.68519713277040717</v>
      </c>
      <c r="FF177" s="5">
        <f t="shared" si="583"/>
        <v>68.519713277040722</v>
      </c>
      <c r="FI177" s="59">
        <f t="shared" si="584"/>
        <v>-50</v>
      </c>
      <c r="FJ177">
        <f t="shared" si="585"/>
        <v>-50</v>
      </c>
      <c r="FL177">
        <f t="shared" si="586"/>
        <v>0.51325919589392655</v>
      </c>
    </row>
    <row r="178" spans="5:168">
      <c r="E178" s="147">
        <v>68</v>
      </c>
      <c r="F178" s="188">
        <f t="shared" si="587"/>
        <v>0.34</v>
      </c>
      <c r="G178" s="188"/>
      <c r="H178" s="188">
        <f t="shared" si="495"/>
        <v>57.800000000000004</v>
      </c>
      <c r="I178" s="465">
        <f t="shared" si="496"/>
        <v>8.9343740103255165</v>
      </c>
      <c r="J178" s="149">
        <f t="shared" si="497"/>
        <v>8.5416965295586191</v>
      </c>
      <c r="K178" s="149">
        <f t="shared" si="498"/>
        <v>17.476070539884134</v>
      </c>
      <c r="L178" s="379"/>
      <c r="M178" s="188">
        <f t="shared" si="499"/>
        <v>0.48876316908284972</v>
      </c>
      <c r="N178" s="149">
        <f t="shared" si="500"/>
        <v>145.9527765345602</v>
      </c>
      <c r="O178" s="149">
        <f t="shared" si="438"/>
        <v>57.800000000000004</v>
      </c>
      <c r="P178" s="188">
        <f t="shared" si="501"/>
        <v>0.85854574432094233</v>
      </c>
      <c r="Q178" s="188">
        <f t="shared" si="502"/>
        <v>170</v>
      </c>
      <c r="R178" s="188"/>
      <c r="S178" s="149">
        <f t="shared" si="503"/>
        <v>697.41071147359901</v>
      </c>
      <c r="T178" s="149">
        <f t="shared" si="504"/>
        <v>170</v>
      </c>
      <c r="U178" s="188">
        <f t="shared" si="505"/>
        <v>26.602152226790533</v>
      </c>
      <c r="V178" s="188">
        <f t="shared" si="506"/>
        <v>4.4662590008062537</v>
      </c>
      <c r="W178" s="188">
        <f t="shared" si="507"/>
        <v>4.6715811316991083</v>
      </c>
      <c r="X178" s="172">
        <f t="shared" si="508"/>
        <v>218.34059122046247</v>
      </c>
      <c r="Y178" s="379">
        <f t="shared" si="509"/>
        <v>107.09114589775035</v>
      </c>
      <c r="AA178" s="188">
        <f t="shared" si="510"/>
        <v>13.333333333333336</v>
      </c>
      <c r="AB178" s="150">
        <f t="shared" si="511"/>
        <v>2.3414552285707906</v>
      </c>
      <c r="AC178" s="150">
        <f t="shared" si="512"/>
        <v>0.17041157297412987</v>
      </c>
      <c r="AD178" s="150"/>
      <c r="AE178" s="150">
        <f t="shared" si="513"/>
        <v>2.3414552285707901</v>
      </c>
      <c r="AF178" s="314">
        <f t="shared" si="514"/>
        <v>435.62652300748942</v>
      </c>
      <c r="AG178" s="456">
        <f t="shared" si="515"/>
        <v>0.17041157297412984</v>
      </c>
      <c r="AI178" s="150">
        <f t="shared" si="516"/>
        <v>14.875167725472782</v>
      </c>
      <c r="AJ178" s="150">
        <f t="shared" si="517"/>
        <v>26.602152226790533</v>
      </c>
      <c r="AK178" s="150">
        <f t="shared" si="518"/>
        <v>11.028754735894221</v>
      </c>
      <c r="AM178" s="314">
        <f t="shared" si="519"/>
        <v>340</v>
      </c>
      <c r="AN178" s="144">
        <f t="shared" si="520"/>
        <v>107.09114589775035</v>
      </c>
      <c r="AP178">
        <f t="shared" si="521"/>
        <v>340</v>
      </c>
      <c r="AQ178">
        <f t="shared" si="522"/>
        <v>107.09114589775035</v>
      </c>
      <c r="AS178" s="5">
        <f t="shared" si="439"/>
        <v>9.3378401325053613</v>
      </c>
      <c r="AT178" s="5">
        <f t="shared" si="523"/>
        <v>4.4662590008062537</v>
      </c>
      <c r="AU178" s="5">
        <f t="shared" si="478"/>
        <v>4.8715811316991076</v>
      </c>
      <c r="AV178" s="5"/>
      <c r="AW178" s="150">
        <f t="shared" si="479"/>
        <v>0.47829679427248317</v>
      </c>
      <c r="AX178" s="150">
        <f t="shared" si="435"/>
        <v>56.839255094486148</v>
      </c>
      <c r="AY178" s="150">
        <f t="shared" si="436"/>
        <v>0.34696070239920057</v>
      </c>
      <c r="AZ178" s="150">
        <f t="shared" si="440"/>
        <v>163.82044047480898</v>
      </c>
      <c r="BA178" s="144">
        <f t="shared" si="433"/>
        <v>0.89325180016125083</v>
      </c>
      <c r="BB178" s="5">
        <f t="shared" si="434"/>
        <v>52.526975978169162</v>
      </c>
      <c r="BD178" s="150">
        <f t="shared" si="441"/>
        <v>10.621965389698032</v>
      </c>
      <c r="BE178" s="150">
        <f t="shared" si="437"/>
        <v>0.55467412120204118</v>
      </c>
      <c r="BG178" s="456">
        <f t="shared" si="480"/>
        <v>0.38360890571580569</v>
      </c>
      <c r="BH178" s="456">
        <f t="shared" si="524"/>
        <v>1.1923936284445973</v>
      </c>
      <c r="BI178" s="456">
        <f t="shared" si="525"/>
        <v>4.3821089659533616E-2</v>
      </c>
      <c r="BJ178" s="456">
        <f t="shared" si="481"/>
        <v>2.2404317322752054E-2</v>
      </c>
      <c r="BK178">
        <f t="shared" si="482"/>
        <v>4.0204683046464827E-3</v>
      </c>
      <c r="BL178" s="144">
        <f t="shared" si="588"/>
        <v>47.841557964180097</v>
      </c>
      <c r="BM178" s="456">
        <f t="shared" si="526"/>
        <v>1.8726663190629818</v>
      </c>
      <c r="BN178" s="144">
        <f t="shared" si="527"/>
        <v>1872.6663190629818</v>
      </c>
      <c r="BO178" s="456">
        <f t="shared" si="483"/>
        <v>0.85000000000000009</v>
      </c>
      <c r="BR178" s="144">
        <f t="shared" si="484"/>
        <v>850.00000000000011</v>
      </c>
      <c r="BS178" s="456">
        <f t="shared" si="485"/>
        <v>0.16923922310991429</v>
      </c>
      <c r="BT178" s="456">
        <f t="shared" si="486"/>
        <v>6.1532676146251332E-2</v>
      </c>
      <c r="BU178" s="456">
        <f t="shared" si="487"/>
        <v>21.659371692570019</v>
      </c>
      <c r="BV178" s="456"/>
      <c r="BW178" s="456">
        <f t="shared" si="488"/>
        <v>7.5785673459314862E-2</v>
      </c>
      <c r="BX178" s="144">
        <f t="shared" si="489"/>
        <v>21965.9292652855</v>
      </c>
      <c r="BY178" s="150">
        <f t="shared" si="490"/>
        <v>24.462177674732835</v>
      </c>
      <c r="BZ178" s="5">
        <f t="shared" si="491"/>
        <v>57.800000000000004</v>
      </c>
      <c r="CA178" s="150">
        <f t="shared" si="492"/>
        <v>0.70263153290863478</v>
      </c>
      <c r="CB178" s="5">
        <f t="shared" si="493"/>
        <v>70.263153290863471</v>
      </c>
      <c r="CE178" s="59">
        <f t="shared" si="528"/>
        <v>-50</v>
      </c>
      <c r="CF178">
        <f t="shared" si="529"/>
        <v>-50</v>
      </c>
      <c r="CG178" s="150">
        <f t="shared" si="530"/>
        <v>0.50772567644729216</v>
      </c>
      <c r="CI178" s="147">
        <v>68</v>
      </c>
      <c r="CJ178" s="188">
        <f t="shared" si="589"/>
        <v>0.34</v>
      </c>
      <c r="CK178" s="188"/>
      <c r="CL178" s="188">
        <f t="shared" si="531"/>
        <v>57.800000000000004</v>
      </c>
      <c r="CM178" s="465">
        <f t="shared" si="532"/>
        <v>9</v>
      </c>
      <c r="CN178" s="379">
        <f t="shared" si="533"/>
        <v>8.5350000000000001</v>
      </c>
      <c r="CO178" s="379">
        <f t="shared" si="534"/>
        <v>17.535</v>
      </c>
      <c r="CP178" s="379"/>
      <c r="CQ178" s="188">
        <f t="shared" si="535"/>
        <v>0.48674080410607357</v>
      </c>
      <c r="CR178" s="149">
        <f t="shared" si="590"/>
        <v>146.41650128314802</v>
      </c>
      <c r="CS178" s="149">
        <f t="shared" si="536"/>
        <v>57.800000000000004</v>
      </c>
      <c r="CT178" s="188">
        <f t="shared" si="537"/>
        <v>0.86127353695969422</v>
      </c>
      <c r="CU178" s="188">
        <f t="shared" si="538"/>
        <v>170</v>
      </c>
      <c r="CV178" s="188"/>
      <c r="CW178" s="149">
        <f t="shared" si="539"/>
        <v>702.53211388134685</v>
      </c>
      <c r="CX178" s="149">
        <f t="shared" si="540"/>
        <v>170</v>
      </c>
      <c r="CY178" s="188">
        <f t="shared" si="541"/>
        <v>26.388674087092369</v>
      </c>
      <c r="CZ178" s="188">
        <f t="shared" si="542"/>
        <v>4.3981123478487278</v>
      </c>
      <c r="DA178" s="188">
        <f t="shared" si="543"/>
        <v>4.6377283105610489</v>
      </c>
      <c r="DB178" s="172">
        <f t="shared" si="544"/>
        <v>219.03336184773312</v>
      </c>
      <c r="DC178" s="379">
        <f t="shared" si="545"/>
        <v>110.67038893268737</v>
      </c>
      <c r="DE178" s="188">
        <f t="shared" si="546"/>
        <v>13.333333333333334</v>
      </c>
      <c r="DF178" s="150">
        <f t="shared" si="547"/>
        <v>2.3432923257176337</v>
      </c>
      <c r="DG178" s="150">
        <f t="shared" si="548"/>
        <v>0.17108639863130889</v>
      </c>
      <c r="DH178" s="150"/>
      <c r="DI178" s="150">
        <f t="shared" si="549"/>
        <v>2.3432923257176337</v>
      </c>
      <c r="DJ178" s="314">
        <f t="shared" si="550"/>
        <v>435.28499999999991</v>
      </c>
      <c r="DK178" s="456">
        <f t="shared" si="551"/>
        <v>0.17108639863130887</v>
      </c>
      <c r="DM178" s="150">
        <f t="shared" si="552"/>
        <v>14.869335656213522</v>
      </c>
      <c r="DN178" s="150">
        <f t="shared" si="553"/>
        <v>26.388674087092369</v>
      </c>
      <c r="DO178" s="150">
        <f t="shared" si="554"/>
        <v>10.870622780562247</v>
      </c>
      <c r="DQ178" s="314">
        <f t="shared" si="555"/>
        <v>340</v>
      </c>
      <c r="DR178" s="144">
        <f t="shared" si="556"/>
        <v>110.67038893268737</v>
      </c>
      <c r="DT178">
        <f t="shared" si="591"/>
        <v>340</v>
      </c>
      <c r="DU178">
        <f t="shared" si="592"/>
        <v>110.67038893268737</v>
      </c>
      <c r="DW178" s="5">
        <f t="shared" si="557"/>
        <v>9.0358406584097786</v>
      </c>
      <c r="DX178" s="5">
        <f t="shared" si="558"/>
        <v>4.3981123478487278</v>
      </c>
      <c r="DY178" s="5">
        <f t="shared" si="559"/>
        <v>4.6377283105610507</v>
      </c>
      <c r="DZ178" s="5"/>
      <c r="EA178" s="150">
        <f t="shared" si="560"/>
        <v>0.48674080410607345</v>
      </c>
      <c r="EB178" s="150">
        <f t="shared" si="561"/>
        <v>57.800000000000011</v>
      </c>
      <c r="EC178" s="150">
        <f t="shared" si="562"/>
        <v>0.33860574106619812</v>
      </c>
      <c r="ED178" s="150">
        <f t="shared" si="563"/>
        <v>170.7</v>
      </c>
      <c r="EE178" s="144">
        <f t="shared" si="564"/>
        <v>0.87962246956974566</v>
      </c>
      <c r="EF178" s="5">
        <f t="shared" si="565"/>
        <v>49.640869694523829</v>
      </c>
      <c r="EH178" s="150">
        <f t="shared" si="566"/>
        <v>10.629328267803952</v>
      </c>
      <c r="EI178" s="150">
        <f t="shared" si="567"/>
        <v>0.54575197495487182</v>
      </c>
      <c r="EK178" s="456">
        <f t="shared" si="568"/>
        <v>0.38414090604410295</v>
      </c>
      <c r="EL178" s="456">
        <f t="shared" si="569"/>
        <v>1.5567839999999999</v>
      </c>
      <c r="EM178" s="456">
        <f t="shared" si="570"/>
        <v>2.534351906558541E-2</v>
      </c>
      <c r="EN178" s="456">
        <f t="shared" si="571"/>
        <v>2.3309531684688578E-2</v>
      </c>
      <c r="EO178">
        <f t="shared" si="572"/>
        <v>4.0499999999999998E-3</v>
      </c>
      <c r="EP178" s="144">
        <f t="shared" si="573"/>
        <v>29.393519065585412</v>
      </c>
      <c r="EQ178" s="144"/>
      <c r="ER178" s="144">
        <f t="shared" si="593"/>
        <v>1993.627956794377</v>
      </c>
      <c r="ES178" s="456">
        <f t="shared" si="574"/>
        <v>0.85000000000000009</v>
      </c>
      <c r="EV178" s="144">
        <f t="shared" si="494"/>
        <v>850.00000000000011</v>
      </c>
      <c r="EW178" s="456">
        <f t="shared" si="575"/>
        <v>0.16947392913710427</v>
      </c>
      <c r="EX178" s="456">
        <f t="shared" si="576"/>
        <v>5.956904363342861E-2</v>
      </c>
      <c r="EY178" s="456">
        <f t="shared" si="577"/>
        <v>23.045838725832727</v>
      </c>
      <c r="EZ178" s="456"/>
      <c r="FA178" s="456">
        <f t="shared" si="578"/>
        <v>7.7066666666666686E-2</v>
      </c>
      <c r="FB178" s="144">
        <f t="shared" si="579"/>
        <v>23351.948365269927</v>
      </c>
      <c r="FC178" s="150">
        <f t="shared" si="580"/>
        <v>26.195576322064305</v>
      </c>
      <c r="FD178" s="5">
        <f t="shared" si="581"/>
        <v>57.800000000000004</v>
      </c>
      <c r="FE178" s="150">
        <f t="shared" si="582"/>
        <v>0.68813147704799849</v>
      </c>
      <c r="FF178" s="5">
        <f t="shared" si="583"/>
        <v>68.813147704799846</v>
      </c>
      <c r="FI178" s="59">
        <f t="shared" si="584"/>
        <v>-50</v>
      </c>
      <c r="FJ178">
        <f t="shared" si="585"/>
        <v>-50</v>
      </c>
      <c r="FL178">
        <f t="shared" si="586"/>
        <v>0.51325919589392655</v>
      </c>
    </row>
    <row r="179" spans="5:168">
      <c r="E179" s="147">
        <v>69</v>
      </c>
      <c r="F179" s="188">
        <f t="shared" si="587"/>
        <v>0.34499999999999997</v>
      </c>
      <c r="G179" s="188"/>
      <c r="H179" s="188">
        <f t="shared" si="495"/>
        <v>58.65</v>
      </c>
      <c r="I179" s="465">
        <f t="shared" si="496"/>
        <v>8.933419438728718</v>
      </c>
      <c r="J179" s="149">
        <f t="shared" si="497"/>
        <v>8.5417939348236001</v>
      </c>
      <c r="K179" s="149">
        <f t="shared" si="498"/>
        <v>17.475213373552318</v>
      </c>
      <c r="L179" s="379"/>
      <c r="M179" s="188">
        <f t="shared" si="499"/>
        <v>0.48879271748083614</v>
      </c>
      <c r="N179" s="149">
        <f t="shared" si="500"/>
        <v>145.94600526115795</v>
      </c>
      <c r="O179" s="149">
        <f t="shared" si="438"/>
        <v>58.65</v>
      </c>
      <c r="P179" s="188">
        <f t="shared" si="501"/>
        <v>0.85850591330092907</v>
      </c>
      <c r="Q179" s="188">
        <f t="shared" si="502"/>
        <v>170</v>
      </c>
      <c r="R179" s="188"/>
      <c r="S179" s="149">
        <f t="shared" si="503"/>
        <v>684.646412694677</v>
      </c>
      <c r="T179" s="149">
        <f t="shared" si="504"/>
        <v>170</v>
      </c>
      <c r="U179" s="188">
        <f t="shared" si="505"/>
        <v>26.994920596583388</v>
      </c>
      <c r="V179" s="188">
        <f t="shared" si="506"/>
        <v>4.5326855156190229</v>
      </c>
      <c r="W179" s="188">
        <f t="shared" si="507"/>
        <v>4.7405007898626277</v>
      </c>
      <c r="X179" s="172">
        <f t="shared" si="508"/>
        <v>218.33046140213344</v>
      </c>
      <c r="Y179" s="379">
        <f t="shared" si="509"/>
        <v>105.56110349285022</v>
      </c>
      <c r="AA179" s="188">
        <f t="shared" si="510"/>
        <v>13.333333333333334</v>
      </c>
      <c r="AB179" s="150">
        <f t="shared" si="511"/>
        <v>2.3414285280827287</v>
      </c>
      <c r="AC179" s="150">
        <f t="shared" si="512"/>
        <v>0.17040172362547343</v>
      </c>
      <c r="AD179" s="150"/>
      <c r="AE179" s="150">
        <f t="shared" si="513"/>
        <v>2.3414285280827287</v>
      </c>
      <c r="AF179" s="314">
        <f t="shared" si="514"/>
        <v>442.03783612712124</v>
      </c>
      <c r="AG179" s="456">
        <f t="shared" si="515"/>
        <v>0.17040172362547343</v>
      </c>
      <c r="AI179" s="150">
        <f t="shared" si="516"/>
        <v>14.984230205726963</v>
      </c>
      <c r="AJ179" s="150">
        <f t="shared" si="517"/>
        <v>26.994920596583388</v>
      </c>
      <c r="AK179" s="150">
        <f t="shared" si="518"/>
        <v>11.319694269074112</v>
      </c>
      <c r="AM179" s="314">
        <f t="shared" si="519"/>
        <v>345</v>
      </c>
      <c r="AN179" s="144">
        <f t="shared" si="520"/>
        <v>105.56110349285022</v>
      </c>
      <c r="AP179">
        <f t="shared" si="521"/>
        <v>345</v>
      </c>
      <c r="AQ179">
        <f t="shared" si="522"/>
        <v>105.56110349285022</v>
      </c>
      <c r="AS179" s="5">
        <f t="shared" si="439"/>
        <v>9.4731863054816507</v>
      </c>
      <c r="AT179" s="5">
        <f t="shared" si="523"/>
        <v>4.5326855156190229</v>
      </c>
      <c r="AU179" s="5">
        <f t="shared" si="478"/>
        <v>4.9405007898626279</v>
      </c>
      <c r="AV179" s="5"/>
      <c r="AW179" s="150">
        <f t="shared" si="479"/>
        <v>0.47847528481480284</v>
      </c>
      <c r="AX179" s="150">
        <f t="shared" si="435"/>
        <v>57.693819786445466</v>
      </c>
      <c r="AY179" s="150">
        <f t="shared" si="436"/>
        <v>0.35196295688950413</v>
      </c>
      <c r="AZ179" s="150">
        <f t="shared" si="440"/>
        <v>163.92014743914646</v>
      </c>
      <c r="BA179" s="144">
        <f t="shared" si="433"/>
        <v>0.91986853111091937</v>
      </c>
      <c r="BB179" s="5">
        <f t="shared" si="434"/>
        <v>54.059249710746407</v>
      </c>
      <c r="BD179" s="150">
        <f t="shared" si="441"/>
        <v>10.780804779004324</v>
      </c>
      <c r="BE179" s="150">
        <f t="shared" si="437"/>
        <v>0.56276733126490996</v>
      </c>
      <c r="BG179" s="456">
        <f t="shared" si="480"/>
        <v>0.39516755572220841</v>
      </c>
      <c r="BH179" s="456">
        <f t="shared" si="524"/>
        <v>1.1926526592059581</v>
      </c>
      <c r="BI179" s="456">
        <f t="shared" si="525"/>
        <v>4.3190389917384046E-2</v>
      </c>
      <c r="BJ179" s="456">
        <f t="shared" si="481"/>
        <v>2.2082053992542448E-2</v>
      </c>
      <c r="BK179">
        <f t="shared" si="482"/>
        <v>4.0200387474279226E-3</v>
      </c>
      <c r="BL179" s="144">
        <f t="shared" si="588"/>
        <v>47.210428664811971</v>
      </c>
      <c r="BM179" s="456">
        <f t="shared" si="526"/>
        <v>1.8944730113454638</v>
      </c>
      <c r="BN179" s="144">
        <f t="shared" si="527"/>
        <v>1894.4730113454636</v>
      </c>
      <c r="BO179" s="456">
        <f t="shared" si="483"/>
        <v>0.86249999999999993</v>
      </c>
      <c r="BR179" s="144">
        <f t="shared" si="484"/>
        <v>862.49999999999989</v>
      </c>
      <c r="BS179" s="456">
        <f t="shared" si="485"/>
        <v>0.17433862752450371</v>
      </c>
      <c r="BT179" s="456">
        <f t="shared" si="486"/>
        <v>6.3341413827805781E-2</v>
      </c>
      <c r="BU179" s="456">
        <f t="shared" si="487"/>
        <v>21.673794137501741</v>
      </c>
      <c r="BV179" s="456"/>
      <c r="BW179" s="456">
        <f t="shared" si="488"/>
        <v>7.6925093048593962E-2</v>
      </c>
      <c r="BX179" s="144">
        <f t="shared" si="489"/>
        <v>21988.399271902643</v>
      </c>
      <c r="BY179" s="150">
        <f t="shared" si="490"/>
        <v>24.508011969488166</v>
      </c>
      <c r="BZ179" s="5">
        <f t="shared" si="491"/>
        <v>58.65</v>
      </c>
      <c r="CA179" s="150">
        <f t="shared" si="492"/>
        <v>0.70528381584590427</v>
      </c>
      <c r="CB179" s="5">
        <f t="shared" si="493"/>
        <v>70.52838158459042</v>
      </c>
      <c r="CE179" s="59">
        <f t="shared" si="528"/>
        <v>-50</v>
      </c>
      <c r="CF179">
        <f t="shared" si="529"/>
        <v>-50</v>
      </c>
      <c r="CG179" s="150">
        <f t="shared" si="530"/>
        <v>0.50780587238130115</v>
      </c>
      <c r="CI179" s="147">
        <v>69</v>
      </c>
      <c r="CJ179" s="188">
        <f t="shared" si="589"/>
        <v>0.34499999999999997</v>
      </c>
      <c r="CK179" s="188"/>
      <c r="CL179" s="188">
        <f t="shared" si="531"/>
        <v>58.65</v>
      </c>
      <c r="CM179" s="465">
        <f t="shared" si="532"/>
        <v>9</v>
      </c>
      <c r="CN179" s="379">
        <f t="shared" si="533"/>
        <v>8.5350000000000001</v>
      </c>
      <c r="CO179" s="379">
        <f t="shared" si="534"/>
        <v>17.535</v>
      </c>
      <c r="CP179" s="379"/>
      <c r="CQ179" s="188">
        <f t="shared" si="535"/>
        <v>0.48674080410607357</v>
      </c>
      <c r="CR179" s="149">
        <f t="shared" si="590"/>
        <v>146.41650128314802</v>
      </c>
      <c r="CS179" s="149">
        <f t="shared" si="536"/>
        <v>58.65</v>
      </c>
      <c r="CT179" s="188">
        <f t="shared" si="537"/>
        <v>0.86127353695969422</v>
      </c>
      <c r="CU179" s="188">
        <f t="shared" si="538"/>
        <v>170</v>
      </c>
      <c r="CV179" s="188"/>
      <c r="CW179" s="149">
        <f t="shared" si="539"/>
        <v>689.74770767782286</v>
      </c>
      <c r="CX179" s="149">
        <f t="shared" si="540"/>
        <v>170</v>
      </c>
      <c r="CY179" s="188">
        <f t="shared" si="541"/>
        <v>26.776742823667252</v>
      </c>
      <c r="CZ179" s="188">
        <f t="shared" si="542"/>
        <v>4.4627904706112087</v>
      </c>
      <c r="DA179" s="188">
        <f t="shared" si="543"/>
        <v>4.705930197481063</v>
      </c>
      <c r="DB179" s="172">
        <f t="shared" si="544"/>
        <v>219.03336184773312</v>
      </c>
      <c r="DC179" s="379">
        <f t="shared" si="545"/>
        <v>109.06647025250354</v>
      </c>
      <c r="DE179" s="188">
        <f t="shared" si="546"/>
        <v>13.333333333333334</v>
      </c>
      <c r="DF179" s="150">
        <f t="shared" si="547"/>
        <v>2.3432923257176337</v>
      </c>
      <c r="DG179" s="150">
        <f t="shared" si="548"/>
        <v>0.17108639863130889</v>
      </c>
      <c r="DH179" s="150"/>
      <c r="DI179" s="150">
        <f t="shared" si="549"/>
        <v>2.3432923257176337</v>
      </c>
      <c r="DJ179" s="314">
        <f t="shared" si="550"/>
        <v>441.6862499999998</v>
      </c>
      <c r="DK179" s="456">
        <f t="shared" si="551"/>
        <v>0.17108639863130887</v>
      </c>
      <c r="DM179" s="150">
        <f t="shared" si="552"/>
        <v>14.978269974485418</v>
      </c>
      <c r="DN179" s="150">
        <f t="shared" si="553"/>
        <v>26.776742823667252</v>
      </c>
      <c r="DO179" s="150">
        <f t="shared" si="554"/>
        <v>11.15808110395105</v>
      </c>
      <c r="DQ179" s="314">
        <f t="shared" si="555"/>
        <v>345</v>
      </c>
      <c r="DR179" s="144">
        <f t="shared" si="556"/>
        <v>109.06647025250354</v>
      </c>
      <c r="DT179">
        <f t="shared" si="591"/>
        <v>345</v>
      </c>
      <c r="DU179">
        <f t="shared" si="592"/>
        <v>109.06647025250354</v>
      </c>
      <c r="DW179" s="5">
        <f t="shared" si="557"/>
        <v>9.1687206680922699</v>
      </c>
      <c r="DX179" s="5">
        <f t="shared" si="558"/>
        <v>4.4627904706112087</v>
      </c>
      <c r="DY179" s="5">
        <f t="shared" si="559"/>
        <v>4.7059301974810612</v>
      </c>
      <c r="DZ179" s="5"/>
      <c r="EA179" s="150">
        <f t="shared" si="560"/>
        <v>0.48674080410607368</v>
      </c>
      <c r="EB179" s="150">
        <f t="shared" si="561"/>
        <v>58.650000000000006</v>
      </c>
      <c r="EC179" s="150">
        <f t="shared" si="562"/>
        <v>0.34358523725834789</v>
      </c>
      <c r="ED179" s="150">
        <f t="shared" si="563"/>
        <v>170.70000000000007</v>
      </c>
      <c r="EE179" s="144">
        <f t="shared" si="564"/>
        <v>0.90568394844756872</v>
      </c>
      <c r="EF179" s="5">
        <f t="shared" si="565"/>
        <v>51.111630755974851</v>
      </c>
      <c r="EH179" s="150">
        <f t="shared" si="566"/>
        <v>10.785641918801071</v>
      </c>
      <c r="EI179" s="150">
        <f t="shared" si="567"/>
        <v>0.55377773929244323</v>
      </c>
      <c r="EK179" s="456">
        <f t="shared" si="568"/>
        <v>0.39552224344203601</v>
      </c>
      <c r="EL179" s="456">
        <f t="shared" si="569"/>
        <v>1.5567840000000002</v>
      </c>
      <c r="EM179" s="456">
        <f t="shared" si="570"/>
        <v>2.4976221687823312E-2</v>
      </c>
      <c r="EN179" s="456">
        <f t="shared" si="571"/>
        <v>2.2971712384910494E-2</v>
      </c>
      <c r="EO179">
        <f t="shared" si="572"/>
        <v>4.0499999999999998E-3</v>
      </c>
      <c r="EP179" s="144">
        <f t="shared" si="573"/>
        <v>29.026221687823309</v>
      </c>
      <c r="EQ179" s="144"/>
      <c r="ER179" s="144">
        <f t="shared" si="593"/>
        <v>2004.3041775147699</v>
      </c>
      <c r="ES179" s="456">
        <f t="shared" si="574"/>
        <v>0.86249999999999993</v>
      </c>
      <c r="EV179" s="144">
        <f t="shared" si="494"/>
        <v>862.49999999999989</v>
      </c>
      <c r="EW179" s="456">
        <f t="shared" si="575"/>
        <v>0.17449510740089827</v>
      </c>
      <c r="EX179" s="456">
        <f t="shared" si="576"/>
        <v>6.1333956907169841E-2</v>
      </c>
      <c r="EY179" s="456">
        <f t="shared" si="577"/>
        <v>23.045838725832805</v>
      </c>
      <c r="EZ179" s="456"/>
      <c r="FA179" s="456">
        <f t="shared" si="578"/>
        <v>7.8200000000000019E-2</v>
      </c>
      <c r="FB179" s="144">
        <f t="shared" si="579"/>
        <v>23359.86779014087</v>
      </c>
      <c r="FC179" s="150">
        <f t="shared" si="580"/>
        <v>26.226671967655641</v>
      </c>
      <c r="FD179" s="5">
        <f t="shared" si="581"/>
        <v>58.65</v>
      </c>
      <c r="FE179" s="150">
        <f t="shared" si="582"/>
        <v>0.69100258811219695</v>
      </c>
      <c r="FF179" s="5">
        <f t="shared" si="583"/>
        <v>69.100258811219689</v>
      </c>
      <c r="FI179" s="59">
        <f t="shared" si="584"/>
        <v>-50</v>
      </c>
      <c r="FJ179">
        <f t="shared" si="585"/>
        <v>-50</v>
      </c>
      <c r="FL179">
        <f t="shared" si="586"/>
        <v>0.51325919589392632</v>
      </c>
    </row>
    <row r="180" spans="5:168">
      <c r="E180" s="147">
        <v>70</v>
      </c>
      <c r="F180" s="188">
        <f t="shared" si="587"/>
        <v>0.35</v>
      </c>
      <c r="G180" s="188"/>
      <c r="H180" s="188">
        <f t="shared" si="495"/>
        <v>59.499999999999993</v>
      </c>
      <c r="I180" s="465">
        <f t="shared" si="496"/>
        <v>8.9324648639056576</v>
      </c>
      <c r="J180" s="149">
        <f t="shared" si="497"/>
        <v>8.5418913404177896</v>
      </c>
      <c r="K180" s="149">
        <f t="shared" si="498"/>
        <v>17.474356204323449</v>
      </c>
      <c r="L180" s="379"/>
      <c r="M180" s="188">
        <f t="shared" si="499"/>
        <v>0.48882226886791091</v>
      </c>
      <c r="N180" s="149">
        <f t="shared" si="500"/>
        <v>145.93923294196412</v>
      </c>
      <c r="O180" s="149">
        <f t="shared" si="438"/>
        <v>59.499999999999993</v>
      </c>
      <c r="P180" s="188">
        <f t="shared" si="501"/>
        <v>0.85846607612920067</v>
      </c>
      <c r="Q180" s="188">
        <f t="shared" si="502"/>
        <v>170</v>
      </c>
      <c r="R180" s="188"/>
      <c r="S180" s="149">
        <f t="shared" si="503"/>
        <v>672.24747315070408</v>
      </c>
      <c r="T180" s="149">
        <f t="shared" si="504"/>
        <v>170</v>
      </c>
      <c r="U180" s="188">
        <f t="shared" si="505"/>
        <v>27.387734534121119</v>
      </c>
      <c r="V180" s="188">
        <f t="shared" si="506"/>
        <v>4.599133881531893</v>
      </c>
      <c r="W180" s="188">
        <f t="shared" si="507"/>
        <v>4.8094268779556204</v>
      </c>
      <c r="X180" s="172">
        <f t="shared" si="508"/>
        <v>218.32033002367197</v>
      </c>
      <c r="Y180" s="379">
        <f t="shared" si="509"/>
        <v>104.07385924188468</v>
      </c>
      <c r="AA180" s="188">
        <f t="shared" si="510"/>
        <v>13.333333333333334</v>
      </c>
      <c r="AB180" s="150">
        <f t="shared" si="511"/>
        <v>2.3414018281133728</v>
      </c>
      <c r="AC180" s="150">
        <f t="shared" si="512"/>
        <v>0.17039187327724684</v>
      </c>
      <c r="AD180" s="150"/>
      <c r="AE180" s="150">
        <f t="shared" si="513"/>
        <v>2.3414018281133728</v>
      </c>
      <c r="AF180" s="314">
        <f t="shared" si="514"/>
        <v>448.44929537193389</v>
      </c>
      <c r="AG180" s="456">
        <f t="shared" si="515"/>
        <v>0.17039187327724681</v>
      </c>
      <c r="AI180" s="150">
        <f t="shared" si="516"/>
        <v>15.092507050778798</v>
      </c>
      <c r="AJ180" s="150">
        <f t="shared" si="517"/>
        <v>27.387734534121119</v>
      </c>
      <c r="AK180" s="150">
        <f t="shared" si="518"/>
        <v>11.610667556139099</v>
      </c>
      <c r="AM180" s="314">
        <f t="shared" si="519"/>
        <v>350</v>
      </c>
      <c r="AN180" s="144">
        <f t="shared" si="520"/>
        <v>104.07385924188468</v>
      </c>
      <c r="AP180">
        <f t="shared" si="521"/>
        <v>350</v>
      </c>
      <c r="AQ180">
        <f t="shared" si="522"/>
        <v>104.07385924188468</v>
      </c>
      <c r="AS180" s="5">
        <f t="shared" si="439"/>
        <v>9.6085607594875135</v>
      </c>
      <c r="AT180" s="5">
        <f t="shared" si="523"/>
        <v>4.599133881531893</v>
      </c>
      <c r="AU180" s="5">
        <f t="shared" si="478"/>
        <v>5.0094268779556206</v>
      </c>
      <c r="AV180" s="5"/>
      <c r="AW180" s="150">
        <f t="shared" si="479"/>
        <v>0.47864961222113295</v>
      </c>
      <c r="AX180" s="150">
        <f t="shared" si="435"/>
        <v>58.548414925527631</v>
      </c>
      <c r="AY180" s="150">
        <f t="shared" si="436"/>
        <v>0.35696515049371785</v>
      </c>
      <c r="AZ180" s="150">
        <f t="shared" si="440"/>
        <v>164.01717322979408</v>
      </c>
      <c r="BA180" s="144">
        <f t="shared" si="433"/>
        <v>0.94688050502127197</v>
      </c>
      <c r="BB180" s="5">
        <f t="shared" si="434"/>
        <v>55.61378331356314</v>
      </c>
      <c r="BD180" s="150">
        <f t="shared" si="441"/>
        <v>10.939672934253398</v>
      </c>
      <c r="BE180" s="150">
        <f t="shared" si="437"/>
        <v>0.57086095153590999</v>
      </c>
      <c r="BG180" s="456">
        <f t="shared" si="480"/>
        <v>0.40689990928868358</v>
      </c>
      <c r="BH180" s="456">
        <f t="shared" si="524"/>
        <v>1.1929011876546434</v>
      </c>
      <c r="BI180" s="456">
        <f t="shared" si="525"/>
        <v>4.257733296455727E-2</v>
      </c>
      <c r="BJ180" s="456">
        <f t="shared" si="481"/>
        <v>2.1768805515543908E-2</v>
      </c>
      <c r="BK180">
        <f t="shared" si="482"/>
        <v>4.0196091887575456E-3</v>
      </c>
      <c r="BL180" s="144">
        <f t="shared" si="588"/>
        <v>46.596942153314814</v>
      </c>
      <c r="BM180" s="456">
        <f t="shared" si="526"/>
        <v>1.9167424204927308</v>
      </c>
      <c r="BN180" s="144">
        <f t="shared" si="527"/>
        <v>1916.7424204927308</v>
      </c>
      <c r="BO180" s="456">
        <f t="shared" si="483"/>
        <v>0.875</v>
      </c>
      <c r="BR180" s="144">
        <f t="shared" si="484"/>
        <v>875</v>
      </c>
      <c r="BS180" s="456">
        <f t="shared" si="485"/>
        <v>0.17951466586265455</v>
      </c>
      <c r="BT180" s="456">
        <f t="shared" si="486"/>
        <v>6.5176445197696928E-2</v>
      </c>
      <c r="BU180" s="456">
        <f t="shared" si="487"/>
        <v>21.687746416857625</v>
      </c>
      <c r="BV180" s="456"/>
      <c r="BW180" s="456">
        <f t="shared" si="488"/>
        <v>7.8064553234036854E-2</v>
      </c>
      <c r="BX180" s="144">
        <f t="shared" si="489"/>
        <v>22010.502081152012</v>
      </c>
      <c r="BY180" s="150">
        <f t="shared" si="490"/>
        <v>24.5536689257642</v>
      </c>
      <c r="BZ180" s="5">
        <f t="shared" si="491"/>
        <v>59.499999999999993</v>
      </c>
      <c r="CA180" s="150">
        <f t="shared" si="492"/>
        <v>0.70788105695362469</v>
      </c>
      <c r="CB180" s="5">
        <f t="shared" si="493"/>
        <v>70.788105695362475</v>
      </c>
      <c r="CE180" s="59">
        <f t="shared" si="528"/>
        <v>-50</v>
      </c>
      <c r="CF180">
        <f t="shared" si="529"/>
        <v>-50</v>
      </c>
      <c r="CG180" s="150">
        <f t="shared" si="530"/>
        <v>0.5078837770029101</v>
      </c>
      <c r="CI180" s="147">
        <v>70</v>
      </c>
      <c r="CJ180" s="188">
        <f t="shared" si="589"/>
        <v>0.35</v>
      </c>
      <c r="CK180" s="188"/>
      <c r="CL180" s="188">
        <f t="shared" si="531"/>
        <v>59.499999999999993</v>
      </c>
      <c r="CM180" s="465">
        <f t="shared" si="532"/>
        <v>9</v>
      </c>
      <c r="CN180" s="379">
        <f t="shared" si="533"/>
        <v>8.5350000000000001</v>
      </c>
      <c r="CO180" s="379">
        <f t="shared" si="534"/>
        <v>17.535</v>
      </c>
      <c r="CP180" s="379"/>
      <c r="CQ180" s="188">
        <f t="shared" si="535"/>
        <v>0.48674080410607357</v>
      </c>
      <c r="CR180" s="149">
        <f t="shared" si="590"/>
        <v>146.41650128314802</v>
      </c>
      <c r="CS180" s="149">
        <f t="shared" si="536"/>
        <v>59.499999999999993</v>
      </c>
      <c r="CT180" s="188">
        <f t="shared" si="537"/>
        <v>0.86127353695969422</v>
      </c>
      <c r="CU180" s="188">
        <f t="shared" si="538"/>
        <v>170</v>
      </c>
      <c r="CV180" s="188"/>
      <c r="CW180" s="149">
        <f t="shared" si="539"/>
        <v>677.32868998719096</v>
      </c>
      <c r="CX180" s="149">
        <f t="shared" si="540"/>
        <v>170</v>
      </c>
      <c r="CY180" s="188">
        <f t="shared" si="541"/>
        <v>27.164811560242139</v>
      </c>
      <c r="CZ180" s="188">
        <f t="shared" si="542"/>
        <v>4.5274685933736896</v>
      </c>
      <c r="DA180" s="188">
        <f t="shared" si="543"/>
        <v>4.7741320844010788</v>
      </c>
      <c r="DB180" s="172">
        <f t="shared" si="544"/>
        <v>219.03336184773312</v>
      </c>
      <c r="DC180" s="379">
        <f t="shared" si="545"/>
        <v>107.50837782032491</v>
      </c>
      <c r="DE180" s="188">
        <f t="shared" si="546"/>
        <v>13.333333333333334</v>
      </c>
      <c r="DF180" s="150">
        <f t="shared" si="547"/>
        <v>2.3432923257176337</v>
      </c>
      <c r="DG180" s="150">
        <f t="shared" si="548"/>
        <v>0.17108639863130889</v>
      </c>
      <c r="DH180" s="150"/>
      <c r="DI180" s="150">
        <f t="shared" si="549"/>
        <v>2.3432923257176337</v>
      </c>
      <c r="DJ180" s="314">
        <f t="shared" si="550"/>
        <v>448.08749999999981</v>
      </c>
      <c r="DK180" s="456">
        <f t="shared" si="551"/>
        <v>0.17108639863130887</v>
      </c>
      <c r="DM180" s="150">
        <f t="shared" si="552"/>
        <v>15.086417732516887</v>
      </c>
      <c r="DN180" s="150">
        <f t="shared" si="553"/>
        <v>27.164811560242139</v>
      </c>
      <c r="DO180" s="150">
        <f t="shared" si="554"/>
        <v>11.445539427339856</v>
      </c>
      <c r="DQ180" s="314">
        <f t="shared" si="555"/>
        <v>350</v>
      </c>
      <c r="DR180" s="144">
        <f t="shared" si="556"/>
        <v>107.50837782032491</v>
      </c>
      <c r="DT180">
        <f t="shared" si="591"/>
        <v>350</v>
      </c>
      <c r="DU180">
        <f t="shared" si="592"/>
        <v>107.50837782032491</v>
      </c>
      <c r="DW180" s="5">
        <f t="shared" si="557"/>
        <v>9.3016006777747666</v>
      </c>
      <c r="DX180" s="5">
        <f t="shared" si="558"/>
        <v>4.5274685933736896</v>
      </c>
      <c r="DY180" s="5">
        <f t="shared" si="559"/>
        <v>4.7741320844010771</v>
      </c>
      <c r="DZ180" s="5"/>
      <c r="EA180" s="150">
        <f t="shared" si="560"/>
        <v>0.48674080410607368</v>
      </c>
      <c r="EB180" s="150">
        <f t="shared" si="561"/>
        <v>59.500000000000007</v>
      </c>
      <c r="EC180" s="150">
        <f t="shared" si="562"/>
        <v>0.34856473345049788</v>
      </c>
      <c r="ED180" s="150">
        <f t="shared" si="563"/>
        <v>170.70000000000005</v>
      </c>
      <c r="EE180" s="144">
        <f t="shared" si="564"/>
        <v>0.93212588687105369</v>
      </c>
      <c r="EF180" s="5">
        <f t="shared" si="565"/>
        <v>52.60386278182667</v>
      </c>
      <c r="EH180" s="150">
        <f t="shared" si="566"/>
        <v>10.941955569798187</v>
      </c>
      <c r="EI180" s="150">
        <f t="shared" si="567"/>
        <v>0.56180350363001486</v>
      </c>
      <c r="EK180" s="456">
        <f t="shared" si="568"/>
        <v>0.40706973175088773</v>
      </c>
      <c r="EL180" s="456">
        <f t="shared" si="569"/>
        <v>1.5567840000000002</v>
      </c>
      <c r="EM180" s="456">
        <f t="shared" si="570"/>
        <v>2.4619418520854402E-2</v>
      </c>
      <c r="EN180" s="456">
        <f t="shared" si="571"/>
        <v>2.2643545065126055E-2</v>
      </c>
      <c r="EO180">
        <f t="shared" si="572"/>
        <v>4.0499999999999998E-3</v>
      </c>
      <c r="EP180" s="144">
        <f t="shared" si="573"/>
        <v>28.669418520854403</v>
      </c>
      <c r="EQ180" s="144"/>
      <c r="ER180" s="144">
        <f t="shared" si="593"/>
        <v>2015.1666953368683</v>
      </c>
      <c r="ES180" s="456">
        <f t="shared" si="574"/>
        <v>0.875</v>
      </c>
      <c r="EV180" s="144">
        <f t="shared" si="494"/>
        <v>875</v>
      </c>
      <c r="EW180" s="456">
        <f t="shared" si="575"/>
        <v>0.17958958753715637</v>
      </c>
      <c r="EX180" s="456">
        <f t="shared" si="576"/>
        <v>6.3124635338192028E-2</v>
      </c>
      <c r="EY180" s="456">
        <f t="shared" si="577"/>
        <v>23.04583872583277</v>
      </c>
      <c r="EZ180" s="456"/>
      <c r="FA180" s="456">
        <f t="shared" si="578"/>
        <v>7.9333333333333339E-2</v>
      </c>
      <c r="FB180" s="144">
        <f t="shared" si="579"/>
        <v>23367.886282041454</v>
      </c>
      <c r="FC180" s="150">
        <f t="shared" si="580"/>
        <v>26.25805297737832</v>
      </c>
      <c r="FD180" s="5">
        <f t="shared" si="581"/>
        <v>59.499999999999993</v>
      </c>
      <c r="FE180" s="150">
        <f t="shared" si="582"/>
        <v>0.69381239352175128</v>
      </c>
      <c r="FF180" s="5">
        <f t="shared" si="583"/>
        <v>69.381239352175129</v>
      </c>
      <c r="FI180" s="59">
        <f t="shared" si="584"/>
        <v>-50</v>
      </c>
      <c r="FJ180">
        <f t="shared" si="585"/>
        <v>-50</v>
      </c>
      <c r="FL180">
        <f t="shared" si="586"/>
        <v>0.51325919589392632</v>
      </c>
    </row>
    <row r="181" spans="5:168">
      <c r="E181" s="147">
        <v>71</v>
      </c>
      <c r="F181" s="188">
        <f t="shared" si="587"/>
        <v>0.35499999999999998</v>
      </c>
      <c r="G181" s="188"/>
      <c r="H181" s="188">
        <f t="shared" si="495"/>
        <v>60.349999999999994</v>
      </c>
      <c r="I181" s="465">
        <f t="shared" si="496"/>
        <v>8.9315102859940794</v>
      </c>
      <c r="J181" s="149">
        <f t="shared" si="497"/>
        <v>8.5419887463271333</v>
      </c>
      <c r="K181" s="149">
        <f t="shared" si="498"/>
        <v>17.473499032321214</v>
      </c>
      <c r="L181" s="379"/>
      <c r="M181" s="188">
        <f t="shared" si="499"/>
        <v>0.48885182324067655</v>
      </c>
      <c r="N181" s="149">
        <f t="shared" si="500"/>
        <v>145.93245957791953</v>
      </c>
      <c r="O181" s="149">
        <f t="shared" si="438"/>
        <v>60.349999999999994</v>
      </c>
      <c r="P181" s="188">
        <f t="shared" si="501"/>
        <v>0.85842623281129138</v>
      </c>
      <c r="Q181" s="188">
        <f t="shared" si="502"/>
        <v>170</v>
      </c>
      <c r="R181" s="188"/>
      <c r="S181" s="149">
        <f t="shared" si="503"/>
        <v>660.19845647675004</v>
      </c>
      <c r="T181" s="149">
        <f t="shared" si="504"/>
        <v>170</v>
      </c>
      <c r="U181" s="188">
        <f t="shared" si="505"/>
        <v>27.78059405401369</v>
      </c>
      <c r="V181" s="188">
        <f t="shared" si="506"/>
        <v>4.6656041080047368</v>
      </c>
      <c r="W181" s="188">
        <f t="shared" si="507"/>
        <v>4.8783593983237337</v>
      </c>
      <c r="X181" s="172">
        <f t="shared" si="508"/>
        <v>218.31019708630038</v>
      </c>
      <c r="Y181" s="379">
        <f t="shared" si="509"/>
        <v>102.62764216538004</v>
      </c>
      <c r="AA181" s="188">
        <f t="shared" si="510"/>
        <v>13.333333333333332</v>
      </c>
      <c r="AB181" s="150">
        <f t="shared" si="511"/>
        <v>2.3413751286665598</v>
      </c>
      <c r="AC181" s="150">
        <f t="shared" si="512"/>
        <v>0.17038202193071952</v>
      </c>
      <c r="AD181" s="150"/>
      <c r="AE181" s="150">
        <f t="shared" si="513"/>
        <v>2.3413751286665603</v>
      </c>
      <c r="AF181" s="314">
        <f t="shared" si="514"/>
        <v>454.86090074191964</v>
      </c>
      <c r="AG181" s="456">
        <f t="shared" si="515"/>
        <v>0.17038202193071961</v>
      </c>
      <c r="AI181" s="150">
        <f t="shared" si="516"/>
        <v>15.200015049982854</v>
      </c>
      <c r="AJ181" s="150">
        <f t="shared" si="517"/>
        <v>27.78059405401369</v>
      </c>
      <c r="AK181" s="150">
        <f t="shared" si="518"/>
        <v>11.901674607911374</v>
      </c>
      <c r="AM181" s="314">
        <f t="shared" si="519"/>
        <v>355</v>
      </c>
      <c r="AN181" s="144">
        <f t="shared" si="520"/>
        <v>102.62764216538004</v>
      </c>
      <c r="AP181">
        <f t="shared" si="521"/>
        <v>355</v>
      </c>
      <c r="AQ181">
        <f t="shared" si="522"/>
        <v>102.62764216538004</v>
      </c>
      <c r="AS181" s="5">
        <f t="shared" si="439"/>
        <v>9.7439635063284697</v>
      </c>
      <c r="AT181" s="5">
        <f t="shared" si="523"/>
        <v>4.6656041080047368</v>
      </c>
      <c r="AU181" s="5">
        <f t="shared" si="478"/>
        <v>5.078359398323733</v>
      </c>
      <c r="AV181" s="5"/>
      <c r="AW181" s="150">
        <f t="shared" si="479"/>
        <v>0.47881994888163726</v>
      </c>
      <c r="AX181" s="150">
        <f t="shared" si="435"/>
        <v>59.403040058544477</v>
      </c>
      <c r="AY181" s="150">
        <f t="shared" si="436"/>
        <v>0.36196728572923348</v>
      </c>
      <c r="AZ181" s="150">
        <f t="shared" si="440"/>
        <v>164.11162665948882</v>
      </c>
      <c r="BA181" s="144">
        <f t="shared" ref="BA181:BA244" si="594">F181*AT181/Vout_ripple*1000</f>
        <v>0.97428791667157733</v>
      </c>
      <c r="BB181" s="5">
        <f t="shared" ref="BB181:BB244" si="595">H181/Efficiency/I181*AU181/Vinripple1</f>
        <v>57.190587010695026</v>
      </c>
      <c r="BD181" s="150">
        <f t="shared" si="441"/>
        <v>11.098569832292508</v>
      </c>
      <c r="BE181" s="150">
        <f t="shared" si="437"/>
        <v>0.57895498459658667</v>
      </c>
      <c r="BG181" s="456">
        <f t="shared" si="480"/>
        <v>0.41880605789572939</v>
      </c>
      <c r="BH181" s="456">
        <f t="shared" si="524"/>
        <v>1.1931396482515606</v>
      </c>
      <c r="BI181" s="456">
        <f t="shared" si="525"/>
        <v>4.1981188746535447E-2</v>
      </c>
      <c r="BJ181" s="456">
        <f t="shared" si="481"/>
        <v>2.1464198859165246E-2</v>
      </c>
      <c r="BK181">
        <f t="shared" si="482"/>
        <v>4.0191796286973358E-3</v>
      </c>
      <c r="BL181" s="144">
        <f t="shared" si="588"/>
        <v>46.000368375232782</v>
      </c>
      <c r="BM181" s="456">
        <f t="shared" si="526"/>
        <v>1.9394821497843544</v>
      </c>
      <c r="BN181" s="144">
        <f t="shared" si="527"/>
        <v>1939.4821497843543</v>
      </c>
      <c r="BO181" s="456">
        <f t="shared" si="483"/>
        <v>0.88749999999999996</v>
      </c>
      <c r="BR181" s="144">
        <f t="shared" si="484"/>
        <v>887.5</v>
      </c>
      <c r="BS181" s="456">
        <f t="shared" si="485"/>
        <v>0.18476737848341004</v>
      </c>
      <c r="BT181" s="456">
        <f t="shared" si="486"/>
        <v>6.7037774837846786E-2</v>
      </c>
      <c r="BU181" s="456">
        <f t="shared" si="487"/>
        <v>21.701247665023914</v>
      </c>
      <c r="BV181" s="456"/>
      <c r="BW181" s="456">
        <f t="shared" si="488"/>
        <v>7.9204053411392639E-2</v>
      </c>
      <c r="BX181" s="144">
        <f t="shared" si="489"/>
        <v>22032.256871756563</v>
      </c>
      <c r="BY181" s="150">
        <f t="shared" si="490"/>
        <v>24.599167145138249</v>
      </c>
      <c r="BZ181" s="5">
        <f t="shared" si="491"/>
        <v>60.349999999999994</v>
      </c>
      <c r="CA181" s="150">
        <f t="shared" si="492"/>
        <v>0.71042485792580135</v>
      </c>
      <c r="CB181" s="5">
        <f t="shared" si="493"/>
        <v>71.042485792580138</v>
      </c>
      <c r="CE181" s="59">
        <f t="shared" si="528"/>
        <v>-50</v>
      </c>
      <c r="CF181">
        <f t="shared" si="529"/>
        <v>-50</v>
      </c>
      <c r="CG181" s="150">
        <f t="shared" si="530"/>
        <v>0.50795948712813566</v>
      </c>
      <c r="CI181" s="147">
        <v>71</v>
      </c>
      <c r="CJ181" s="188">
        <f t="shared" si="589"/>
        <v>0.35499999999999998</v>
      </c>
      <c r="CK181" s="188"/>
      <c r="CL181" s="188">
        <f t="shared" si="531"/>
        <v>60.349999999999994</v>
      </c>
      <c r="CM181" s="465">
        <f t="shared" si="532"/>
        <v>9</v>
      </c>
      <c r="CN181" s="379">
        <f t="shared" si="533"/>
        <v>8.5350000000000001</v>
      </c>
      <c r="CO181" s="379">
        <f t="shared" si="534"/>
        <v>17.535</v>
      </c>
      <c r="CP181" s="379"/>
      <c r="CQ181" s="188">
        <f t="shared" si="535"/>
        <v>0.48674080410607357</v>
      </c>
      <c r="CR181" s="149">
        <f t="shared" si="590"/>
        <v>146.41650128314802</v>
      </c>
      <c r="CS181" s="149">
        <f t="shared" si="536"/>
        <v>60.349999999999994</v>
      </c>
      <c r="CT181" s="188">
        <f t="shared" si="537"/>
        <v>0.86127353695969422</v>
      </c>
      <c r="CU181" s="188">
        <f t="shared" si="538"/>
        <v>170</v>
      </c>
      <c r="CV181" s="188"/>
      <c r="CW181" s="149">
        <f t="shared" si="539"/>
        <v>665.25962319484836</v>
      </c>
      <c r="CX181" s="149">
        <f t="shared" si="540"/>
        <v>170</v>
      </c>
      <c r="CY181" s="188">
        <f t="shared" si="541"/>
        <v>27.552880296817026</v>
      </c>
      <c r="CZ181" s="188">
        <f t="shared" si="542"/>
        <v>4.5921467161361704</v>
      </c>
      <c r="DA181" s="188">
        <f t="shared" si="543"/>
        <v>4.8423339713210938</v>
      </c>
      <c r="DB181" s="172">
        <f t="shared" si="544"/>
        <v>219.03336184773312</v>
      </c>
      <c r="DC181" s="379">
        <f t="shared" si="545"/>
        <v>105.99417531581331</v>
      </c>
      <c r="DE181" s="188">
        <f t="shared" si="546"/>
        <v>13.333333333333334</v>
      </c>
      <c r="DF181" s="150">
        <f t="shared" si="547"/>
        <v>2.3432923257176337</v>
      </c>
      <c r="DG181" s="150">
        <f t="shared" si="548"/>
        <v>0.17108639863130889</v>
      </c>
      <c r="DH181" s="150"/>
      <c r="DI181" s="150">
        <f t="shared" si="549"/>
        <v>2.3432923257176337</v>
      </c>
      <c r="DJ181" s="314">
        <f t="shared" si="550"/>
        <v>454.48874999999981</v>
      </c>
      <c r="DK181" s="456">
        <f t="shared" si="551"/>
        <v>0.17108639863130887</v>
      </c>
      <c r="DM181" s="150">
        <f t="shared" si="552"/>
        <v>15.193795726263682</v>
      </c>
      <c r="DN181" s="150">
        <f t="shared" si="553"/>
        <v>27.552880296817026</v>
      </c>
      <c r="DO181" s="150">
        <f t="shared" si="554"/>
        <v>11.732997750728661</v>
      </c>
      <c r="DQ181" s="314">
        <f t="shared" si="555"/>
        <v>355</v>
      </c>
      <c r="DR181" s="144">
        <f t="shared" si="556"/>
        <v>105.99417531581331</v>
      </c>
      <c r="DT181">
        <f t="shared" si="591"/>
        <v>355</v>
      </c>
      <c r="DU181">
        <f t="shared" si="592"/>
        <v>105.99417531581331</v>
      </c>
      <c r="DW181" s="5">
        <f t="shared" si="557"/>
        <v>9.4344806874572633</v>
      </c>
      <c r="DX181" s="5">
        <f t="shared" si="558"/>
        <v>4.5921467161361704</v>
      </c>
      <c r="DY181" s="5">
        <f t="shared" si="559"/>
        <v>4.8423339713210929</v>
      </c>
      <c r="DZ181" s="5"/>
      <c r="EA181" s="150">
        <f t="shared" si="560"/>
        <v>0.48674080410607362</v>
      </c>
      <c r="EB181" s="150">
        <f t="shared" si="561"/>
        <v>60.350000000000009</v>
      </c>
      <c r="EC181" s="150">
        <f t="shared" si="562"/>
        <v>0.35354422964264781</v>
      </c>
      <c r="ED181" s="150">
        <f t="shared" si="563"/>
        <v>170.70000000000007</v>
      </c>
      <c r="EE181" s="144">
        <f t="shared" si="564"/>
        <v>0.95894828484020034</v>
      </c>
      <c r="EF181" s="5">
        <f t="shared" si="565"/>
        <v>54.117565772079239</v>
      </c>
      <c r="EH181" s="150">
        <f t="shared" si="566"/>
        <v>11.098269220795304</v>
      </c>
      <c r="EI181" s="150">
        <f t="shared" si="567"/>
        <v>0.56982926796758648</v>
      </c>
      <c r="EK181" s="456">
        <f t="shared" si="568"/>
        <v>0.41878337097065815</v>
      </c>
      <c r="EL181" s="456">
        <f t="shared" si="569"/>
        <v>1.5567840000000004</v>
      </c>
      <c r="EM181" s="456">
        <f t="shared" si="570"/>
        <v>2.4272666147321247E-2</v>
      </c>
      <c r="EN181" s="456">
        <f t="shared" si="571"/>
        <v>2.2324621895194706E-2</v>
      </c>
      <c r="EO181">
        <f t="shared" si="572"/>
        <v>4.0499999999999998E-3</v>
      </c>
      <c r="EP181" s="144">
        <f t="shared" si="573"/>
        <v>28.32266614732125</v>
      </c>
      <c r="EQ181" s="144"/>
      <c r="ER181" s="144">
        <f t="shared" si="593"/>
        <v>2026.2146590131742</v>
      </c>
      <c r="ES181" s="456">
        <f t="shared" si="574"/>
        <v>0.88749999999999996</v>
      </c>
      <c r="EV181" s="144">
        <f t="shared" si="494"/>
        <v>887.5</v>
      </c>
      <c r="EW181" s="456">
        <f t="shared" si="575"/>
        <v>0.1847573695458786</v>
      </c>
      <c r="EX181" s="456">
        <f t="shared" si="576"/>
        <v>6.4941078926495102E-2</v>
      </c>
      <c r="EY181" s="456">
        <f t="shared" si="577"/>
        <v>23.045838725832766</v>
      </c>
      <c r="EZ181" s="456"/>
      <c r="FA181" s="456">
        <f t="shared" si="578"/>
        <v>8.04666666666667E-2</v>
      </c>
      <c r="FB181" s="144">
        <f t="shared" si="579"/>
        <v>23376.003840971804</v>
      </c>
      <c r="FC181" s="150">
        <f t="shared" si="580"/>
        <v>26.289718499984982</v>
      </c>
      <c r="FD181" s="5">
        <f t="shared" si="581"/>
        <v>60.349999999999994</v>
      </c>
      <c r="FE181" s="150">
        <f t="shared" si="582"/>
        <v>0.69656274333359536</v>
      </c>
      <c r="FF181" s="5">
        <f t="shared" si="583"/>
        <v>69.656274333359534</v>
      </c>
      <c r="FI181" s="59">
        <f t="shared" si="584"/>
        <v>-50</v>
      </c>
      <c r="FJ181">
        <f t="shared" si="585"/>
        <v>-50</v>
      </c>
      <c r="FL181">
        <f t="shared" si="586"/>
        <v>0.51325919589392632</v>
      </c>
    </row>
    <row r="182" spans="5:168">
      <c r="E182" s="147">
        <v>72</v>
      </c>
      <c r="F182" s="188">
        <f t="shared" si="587"/>
        <v>0.36</v>
      </c>
      <c r="G182" s="188"/>
      <c r="H182" s="188">
        <f t="shared" si="495"/>
        <v>61.199999999999996</v>
      </c>
      <c r="I182" s="465">
        <f t="shared" si="496"/>
        <v>8.9305557051239948</v>
      </c>
      <c r="J182" s="149">
        <f t="shared" si="497"/>
        <v>8.5420861525383671</v>
      </c>
      <c r="K182" s="149">
        <f t="shared" si="498"/>
        <v>17.47264185766236</v>
      </c>
      <c r="L182" s="379"/>
      <c r="M182" s="188">
        <f t="shared" si="499"/>
        <v>0.4888813805959506</v>
      </c>
      <c r="N182" s="149">
        <f t="shared" si="500"/>
        <v>145.92568516990366</v>
      </c>
      <c r="O182" s="149">
        <f t="shared" si="438"/>
        <v>61.199999999999996</v>
      </c>
      <c r="P182" s="188">
        <f t="shared" si="501"/>
        <v>0.85838638335237449</v>
      </c>
      <c r="Q182" s="188">
        <f t="shared" si="502"/>
        <v>170</v>
      </c>
      <c r="R182" s="188"/>
      <c r="S182" s="149">
        <f t="shared" si="503"/>
        <v>648.48478390282776</v>
      </c>
      <c r="T182" s="149">
        <f t="shared" si="504"/>
        <v>170</v>
      </c>
      <c r="U182" s="188">
        <f t="shared" si="505"/>
        <v>28.173499170877424</v>
      </c>
      <c r="V182" s="188">
        <f t="shared" si="506"/>
        <v>4.7320962045025823</v>
      </c>
      <c r="W182" s="188">
        <f t="shared" si="507"/>
        <v>4.9472983533136192</v>
      </c>
      <c r="X182" s="172">
        <f t="shared" si="508"/>
        <v>218.30006259115964</v>
      </c>
      <c r="Y182" s="379">
        <f t="shared" si="509"/>
        <v>101.22077766484566</v>
      </c>
      <c r="AA182" s="188">
        <f t="shared" si="510"/>
        <v>13.333333333333332</v>
      </c>
      <c r="AB182" s="150">
        <f t="shared" si="511"/>
        <v>2.3413484297459113</v>
      </c>
      <c r="AC182" s="150">
        <f t="shared" si="512"/>
        <v>0.1703721695870819</v>
      </c>
      <c r="AD182" s="150"/>
      <c r="AE182" s="150">
        <f t="shared" si="513"/>
        <v>2.3413484297459117</v>
      </c>
      <c r="AF182" s="314">
        <f t="shared" si="514"/>
        <v>461.27265223707172</v>
      </c>
      <c r="AG182" s="456">
        <f t="shared" si="515"/>
        <v>0.17037216958708196</v>
      </c>
      <c r="AI182" s="150">
        <f t="shared" si="516"/>
        <v>15.306770403449235</v>
      </c>
      <c r="AJ182" s="150">
        <f t="shared" si="517"/>
        <v>28.173499170877424</v>
      </c>
      <c r="AK182" s="150">
        <f t="shared" si="518"/>
        <v>12.192715435217844</v>
      </c>
      <c r="AM182" s="314">
        <f t="shared" si="519"/>
        <v>360</v>
      </c>
      <c r="AN182" s="144">
        <f t="shared" si="520"/>
        <v>101.22077766484566</v>
      </c>
      <c r="AP182">
        <f t="shared" si="521"/>
        <v>360</v>
      </c>
      <c r="AQ182">
        <f t="shared" si="522"/>
        <v>101.22077766484566</v>
      </c>
      <c r="AS182" s="5">
        <f t="shared" si="439"/>
        <v>9.8793945578162035</v>
      </c>
      <c r="AT182" s="5">
        <f t="shared" si="523"/>
        <v>4.7320962045025823</v>
      </c>
      <c r="AU182" s="5">
        <f t="shared" si="478"/>
        <v>5.1472983533136212</v>
      </c>
      <c r="AV182" s="5"/>
      <c r="AW182" s="150">
        <f t="shared" si="479"/>
        <v>0.47898645780461585</v>
      </c>
      <c r="AX182" s="150">
        <f t="shared" si="435"/>
        <v>60.257694756971397</v>
      </c>
      <c r="AY182" s="150">
        <f t="shared" si="436"/>
        <v>0.36696936497643912</v>
      </c>
      <c r="AZ182" s="150">
        <f t="shared" si="440"/>
        <v>164.20361073148484</v>
      </c>
      <c r="BA182" s="144">
        <f t="shared" si="594"/>
        <v>1.002090960953488</v>
      </c>
      <c r="BB182" s="5">
        <f t="shared" si="595"/>
        <v>58.789671032089444</v>
      </c>
      <c r="BD182" s="150">
        <f t="shared" si="441"/>
        <v>11.257495451703663</v>
      </c>
      <c r="BE182" s="150">
        <f t="shared" si="437"/>
        <v>0.58704943289587697</v>
      </c>
      <c r="BG182" s="456">
        <f t="shared" si="480"/>
        <v>0.43088609307343745</v>
      </c>
      <c r="BH182" s="456">
        <f t="shared" si="524"/>
        <v>1.193368451813196</v>
      </c>
      <c r="BI182" s="456">
        <f t="shared" si="525"/>
        <v>4.1401266940095868E-2</v>
      </c>
      <c r="BJ182" s="456">
        <f t="shared" si="481"/>
        <v>2.1167881292133421E-2</v>
      </c>
      <c r="BK182">
        <f t="shared" si="482"/>
        <v>4.0187500673057978E-3</v>
      </c>
      <c r="BL182" s="144">
        <f t="shared" si="588"/>
        <v>45.420017007401668</v>
      </c>
      <c r="BM182" s="456">
        <f t="shared" si="526"/>
        <v>1.962700026018708</v>
      </c>
      <c r="BN182" s="144">
        <f t="shared" si="527"/>
        <v>1962.7000260187081</v>
      </c>
      <c r="BO182" s="456">
        <f t="shared" si="483"/>
        <v>0.89999999999999991</v>
      </c>
      <c r="BR182" s="144">
        <f t="shared" si="484"/>
        <v>899.99999999999989</v>
      </c>
      <c r="BS182" s="456">
        <f t="shared" si="485"/>
        <v>0.19009680576769303</v>
      </c>
      <c r="BT182" s="456">
        <f t="shared" si="486"/>
        <v>6.8925407332674146E-2</v>
      </c>
      <c r="BU182" s="456">
        <f t="shared" si="487"/>
        <v>21.71431599174403</v>
      </c>
      <c r="BV182" s="456"/>
      <c r="BW182" s="456">
        <f t="shared" si="488"/>
        <v>8.0343593009295208E-2</v>
      </c>
      <c r="BX182" s="144">
        <f t="shared" si="489"/>
        <v>22053.681797853693</v>
      </c>
      <c r="BY182" s="150">
        <f t="shared" si="490"/>
        <v>24.644524241039861</v>
      </c>
      <c r="BZ182" s="5">
        <f t="shared" si="491"/>
        <v>61.199999999999996</v>
      </c>
      <c r="CA182" s="150">
        <f t="shared" si="492"/>
        <v>0.7129167590021076</v>
      </c>
      <c r="CB182" s="5">
        <f t="shared" si="493"/>
        <v>71.291675900210763</v>
      </c>
      <c r="CE182" s="59">
        <f t="shared" si="528"/>
        <v>-50</v>
      </c>
      <c r="CF182">
        <f t="shared" si="529"/>
        <v>-50</v>
      </c>
      <c r="CG182" s="150">
        <f t="shared" si="530"/>
        <v>0.50803309419432741</v>
      </c>
      <c r="CI182" s="147">
        <v>72</v>
      </c>
      <c r="CJ182" s="188">
        <f t="shared" si="589"/>
        <v>0.36</v>
      </c>
      <c r="CK182" s="188"/>
      <c r="CL182" s="188">
        <f t="shared" si="531"/>
        <v>61.199999999999996</v>
      </c>
      <c r="CM182" s="465">
        <f t="shared" si="532"/>
        <v>9</v>
      </c>
      <c r="CN182" s="379">
        <f t="shared" si="533"/>
        <v>8.5350000000000001</v>
      </c>
      <c r="CO182" s="379">
        <f t="shared" si="534"/>
        <v>17.535</v>
      </c>
      <c r="CP182" s="379"/>
      <c r="CQ182" s="188">
        <f t="shared" si="535"/>
        <v>0.48674080410607357</v>
      </c>
      <c r="CR182" s="149">
        <f t="shared" si="590"/>
        <v>146.41650128314802</v>
      </c>
      <c r="CS182" s="149">
        <f t="shared" si="536"/>
        <v>61.199999999999996</v>
      </c>
      <c r="CT182" s="188">
        <f t="shared" si="537"/>
        <v>0.86127353695969422</v>
      </c>
      <c r="CU182" s="188">
        <f t="shared" si="538"/>
        <v>170</v>
      </c>
      <c r="CV182" s="188"/>
      <c r="CW182" s="149">
        <f t="shared" si="539"/>
        <v>653.52592735129031</v>
      </c>
      <c r="CX182" s="149">
        <f t="shared" si="540"/>
        <v>170</v>
      </c>
      <c r="CY182" s="188">
        <f t="shared" si="541"/>
        <v>27.940949033391913</v>
      </c>
      <c r="CZ182" s="188">
        <f t="shared" si="542"/>
        <v>4.6568248388986522</v>
      </c>
      <c r="DA182" s="188">
        <f t="shared" si="543"/>
        <v>4.9105358582411096</v>
      </c>
      <c r="DB182" s="172">
        <f t="shared" si="544"/>
        <v>219.03336184773312</v>
      </c>
      <c r="DC182" s="379">
        <f t="shared" si="545"/>
        <v>104.52203399198254</v>
      </c>
      <c r="DE182" s="188">
        <f t="shared" si="546"/>
        <v>13.333333333333334</v>
      </c>
      <c r="DF182" s="150">
        <f t="shared" si="547"/>
        <v>2.3432923257176337</v>
      </c>
      <c r="DG182" s="150">
        <f t="shared" si="548"/>
        <v>0.17108639863130889</v>
      </c>
      <c r="DH182" s="150"/>
      <c r="DI182" s="150">
        <f t="shared" si="549"/>
        <v>2.3432923257176337</v>
      </c>
      <c r="DJ182" s="314">
        <f t="shared" si="550"/>
        <v>460.88999999999987</v>
      </c>
      <c r="DK182" s="456">
        <f t="shared" si="551"/>
        <v>0.17108639863130887</v>
      </c>
      <c r="DM182" s="150">
        <f t="shared" si="552"/>
        <v>15.300420162298064</v>
      </c>
      <c r="DN182" s="150">
        <f t="shared" si="553"/>
        <v>27.940949033391913</v>
      </c>
      <c r="DO182" s="150">
        <f t="shared" si="554"/>
        <v>12.020456074117465</v>
      </c>
      <c r="DQ182" s="314">
        <f t="shared" si="555"/>
        <v>360</v>
      </c>
      <c r="DR182" s="144">
        <f t="shared" si="556"/>
        <v>104.52203399198254</v>
      </c>
      <c r="DT182">
        <f t="shared" si="591"/>
        <v>360</v>
      </c>
      <c r="DU182">
        <f t="shared" si="592"/>
        <v>104.52203399198254</v>
      </c>
      <c r="DW182" s="5">
        <f t="shared" si="557"/>
        <v>9.5673606971397636</v>
      </c>
      <c r="DX182" s="5">
        <f t="shared" si="558"/>
        <v>4.6568248388986522</v>
      </c>
      <c r="DY182" s="5">
        <f t="shared" si="559"/>
        <v>4.9105358582411114</v>
      </c>
      <c r="DZ182" s="5"/>
      <c r="EA182" s="150">
        <f t="shared" si="560"/>
        <v>0.48674080410607345</v>
      </c>
      <c r="EB182" s="150">
        <f t="shared" si="561"/>
        <v>61.199999999999989</v>
      </c>
      <c r="EC182" s="150">
        <f t="shared" si="562"/>
        <v>0.35852372583479791</v>
      </c>
      <c r="ED182" s="150">
        <f t="shared" si="563"/>
        <v>170.69999999999996</v>
      </c>
      <c r="EE182" s="144">
        <f t="shared" si="564"/>
        <v>0.98615114235500867</v>
      </c>
      <c r="EF182" s="5">
        <f t="shared" si="565"/>
        <v>55.652739726732584</v>
      </c>
      <c r="EH182" s="150">
        <f t="shared" si="566"/>
        <v>11.254582871792419</v>
      </c>
      <c r="EI182" s="150">
        <f t="shared" si="567"/>
        <v>0.57785503230515822</v>
      </c>
      <c r="EK182" s="456">
        <f t="shared" si="568"/>
        <v>0.43066316110134711</v>
      </c>
      <c r="EL182" s="456">
        <f t="shared" si="569"/>
        <v>1.5567839999999997</v>
      </c>
      <c r="EM182" s="456">
        <f t="shared" si="570"/>
        <v>2.3935545784164E-2</v>
      </c>
      <c r="EN182" s="456">
        <f t="shared" si="571"/>
        <v>2.2014557702205884E-2</v>
      </c>
      <c r="EO182">
        <f t="shared" si="572"/>
        <v>4.0499999999999998E-3</v>
      </c>
      <c r="EP182" s="144">
        <f t="shared" si="573"/>
        <v>27.985545784164</v>
      </c>
      <c r="EQ182" s="144"/>
      <c r="ER182" s="144">
        <f t="shared" si="593"/>
        <v>2037.4472645877165</v>
      </c>
      <c r="ES182" s="456">
        <f t="shared" si="574"/>
        <v>0.89999999999999991</v>
      </c>
      <c r="EV182" s="144">
        <f t="shared" si="494"/>
        <v>899.99999999999989</v>
      </c>
      <c r="EW182" s="456">
        <f t="shared" si="575"/>
        <v>0.18999845342706492</v>
      </c>
      <c r="EX182" s="456">
        <f t="shared" si="576"/>
        <v>6.6783287672079097E-2</v>
      </c>
      <c r="EY182" s="456">
        <f t="shared" si="577"/>
        <v>23.04583872583277</v>
      </c>
      <c r="EZ182" s="456"/>
      <c r="FA182" s="456">
        <f t="shared" si="578"/>
        <v>8.1599999999999992E-2</v>
      </c>
      <c r="FB182" s="144">
        <f t="shared" si="579"/>
        <v>23384.220466931914</v>
      </c>
      <c r="FC182" s="150">
        <f t="shared" si="580"/>
        <v>26.321667731519632</v>
      </c>
      <c r="FD182" s="5">
        <f t="shared" si="581"/>
        <v>61.199999999999996</v>
      </c>
      <c r="FE182" s="150">
        <f t="shared" si="582"/>
        <v>0.69925541395916213</v>
      </c>
      <c r="FF182" s="5">
        <f t="shared" si="583"/>
        <v>69.925541395916213</v>
      </c>
      <c r="FI182" s="59">
        <f t="shared" si="584"/>
        <v>-50</v>
      </c>
      <c r="FJ182">
        <f t="shared" si="585"/>
        <v>-50</v>
      </c>
      <c r="FL182">
        <f t="shared" si="586"/>
        <v>0.51325919589392655</v>
      </c>
    </row>
    <row r="183" spans="5:168">
      <c r="E183" s="147">
        <v>73</v>
      </c>
      <c r="F183" s="188">
        <f t="shared" si="587"/>
        <v>0.36499999999999999</v>
      </c>
      <c r="G183" s="188"/>
      <c r="H183" s="188">
        <f t="shared" si="495"/>
        <v>62.05</v>
      </c>
      <c r="I183" s="465">
        <f t="shared" si="496"/>
        <v>8.9296011214182212</v>
      </c>
      <c r="J183" s="149">
        <f t="shared" si="497"/>
        <v>8.542183559038957</v>
      </c>
      <c r="K183" s="149">
        <f t="shared" si="498"/>
        <v>17.471784680457176</v>
      </c>
      <c r="L183" s="379"/>
      <c r="M183" s="188">
        <f t="shared" si="499"/>
        <v>0.4889109409307501</v>
      </c>
      <c r="N183" s="149">
        <f t="shared" si="500"/>
        <v>145.91890971873895</v>
      </c>
      <c r="O183" s="149">
        <f t="shared" si="438"/>
        <v>62.05</v>
      </c>
      <c r="P183" s="188">
        <f t="shared" si="501"/>
        <v>0.85834652775728792</v>
      </c>
      <c r="Q183" s="188">
        <f t="shared" si="502"/>
        <v>170</v>
      </c>
      <c r="R183" s="188"/>
      <c r="S183" s="149">
        <f t="shared" si="503"/>
        <v>637.09267551492997</v>
      </c>
      <c r="T183" s="149">
        <f t="shared" si="504"/>
        <v>170</v>
      </c>
      <c r="U183" s="188">
        <f t="shared" si="505"/>
        <v>28.566449899335009</v>
      </c>
      <c r="V183" s="188">
        <f t="shared" si="506"/>
        <v>4.7986101804956123</v>
      </c>
      <c r="W183" s="188">
        <f t="shared" si="507"/>
        <v>5.0162437452729405</v>
      </c>
      <c r="X183" s="172">
        <f t="shared" si="508"/>
        <v>218.28992653931508</v>
      </c>
      <c r="Y183" s="379">
        <f t="shared" si="509"/>
        <v>99.851681054175614</v>
      </c>
      <c r="AA183" s="188">
        <f t="shared" si="510"/>
        <v>13.333333333333334</v>
      </c>
      <c r="AB183" s="150">
        <f t="shared" si="511"/>
        <v>2.3413217313548471</v>
      </c>
      <c r="AC183" s="150">
        <f t="shared" si="512"/>
        <v>0.17036231624745057</v>
      </c>
      <c r="AD183" s="150"/>
      <c r="AE183" s="150">
        <f t="shared" si="513"/>
        <v>2.3413217313548471</v>
      </c>
      <c r="AF183" s="314">
        <f t="shared" si="514"/>
        <v>467.68454985738282</v>
      </c>
      <c r="AG183" s="456">
        <f t="shared" si="515"/>
        <v>0.17036231624745052</v>
      </c>
      <c r="AI183" s="150">
        <f t="shared" si="516"/>
        <v>15.412788750593341</v>
      </c>
      <c r="AJ183" s="150">
        <f t="shared" si="517"/>
        <v>28.566449899335009</v>
      </c>
      <c r="AK183" s="150">
        <f t="shared" si="518"/>
        <v>12.483790048890128</v>
      </c>
      <c r="AM183" s="314">
        <f t="shared" si="519"/>
        <v>365</v>
      </c>
      <c r="AN183" s="144">
        <f t="shared" si="520"/>
        <v>99.851681054175614</v>
      </c>
      <c r="AP183">
        <f t="shared" si="521"/>
        <v>365</v>
      </c>
      <c r="AQ183">
        <f t="shared" si="522"/>
        <v>99.851681054175614</v>
      </c>
      <c r="AS183" s="5">
        <f t="shared" si="439"/>
        <v>10.014853925768552</v>
      </c>
      <c r="AT183" s="5">
        <f t="shared" si="523"/>
        <v>4.7986101804956123</v>
      </c>
      <c r="AU183" s="5">
        <f t="shared" si="478"/>
        <v>5.2162437452729398</v>
      </c>
      <c r="AV183" s="5"/>
      <c r="AW183" s="150">
        <f t="shared" si="479"/>
        <v>0.47914929324616795</v>
      </c>
      <c r="AX183" s="150">
        <f t="shared" si="435"/>
        <v>61.112378615292172</v>
      </c>
      <c r="AY183" s="150">
        <f t="shared" si="436"/>
        <v>0.37197139048791439</v>
      </c>
      <c r="AZ183" s="150">
        <f t="shared" si="440"/>
        <v>164.29322302215539</v>
      </c>
      <c r="BA183" s="144">
        <f t="shared" si="594"/>
        <v>1.0302898328711168</v>
      </c>
      <c r="BB183" s="5">
        <f t="shared" si="595"/>
        <v>60.411045613569378</v>
      </c>
      <c r="BD183" s="150">
        <f t="shared" si="441"/>
        <v>11.416449772687038</v>
      </c>
      <c r="BE183" s="150">
        <f t="shared" si="437"/>
        <v>0.59514429875896446</v>
      </c>
      <c r="BG183" s="456">
        <f t="shared" si="480"/>
        <v>0.44314010640177215</v>
      </c>
      <c r="BH183" s="456">
        <f t="shared" si="524"/>
        <v>1.1935879870985062</v>
      </c>
      <c r="BI183" s="456">
        <f t="shared" si="525"/>
        <v>4.0836914286752235E-2</v>
      </c>
      <c r="BJ183" s="456">
        <f t="shared" si="481"/>
        <v>2.087951902197413E-2</v>
      </c>
      <c r="BK183">
        <f t="shared" si="482"/>
        <v>4.018320504638199E-3</v>
      </c>
      <c r="BL183" s="144">
        <f t="shared" si="588"/>
        <v>44.85523479139043</v>
      </c>
      <c r="BM183" s="456">
        <f t="shared" si="526"/>
        <v>1.9864041070279725</v>
      </c>
      <c r="BN183" s="144">
        <f t="shared" si="527"/>
        <v>1986.4041070279725</v>
      </c>
      <c r="BO183" s="456">
        <f t="shared" si="483"/>
        <v>0.91249999999999998</v>
      </c>
      <c r="BR183" s="144">
        <f t="shared" si="484"/>
        <v>912.5</v>
      </c>
      <c r="BS183" s="456">
        <f t="shared" si="485"/>
        <v>0.19550298811842889</v>
      </c>
      <c r="BT183" s="456">
        <f t="shared" si="486"/>
        <v>7.083934726905991E-2</v>
      </c>
      <c r="BU183" s="456">
        <f t="shared" si="487"/>
        <v>21.726968549785308</v>
      </c>
      <c r="BV183" s="456"/>
      <c r="BW183" s="456">
        <f t="shared" si="488"/>
        <v>8.1483171487056222E-2</v>
      </c>
      <c r="BX183" s="144">
        <f t="shared" si="489"/>
        <v>22074.794056659855</v>
      </c>
      <c r="BY183" s="150">
        <f t="shared" si="490"/>
        <v>24.689756903973496</v>
      </c>
      <c r="BZ183" s="5">
        <f t="shared" si="491"/>
        <v>62.05</v>
      </c>
      <c r="CA183" s="150">
        <f t="shared" si="492"/>
        <v>0.71535824188086372</v>
      </c>
      <c r="CB183" s="5">
        <f t="shared" si="493"/>
        <v>71.535824188086366</v>
      </c>
      <c r="CE183" s="59">
        <f t="shared" si="528"/>
        <v>-50</v>
      </c>
      <c r="CF183">
        <f t="shared" si="529"/>
        <v>-50</v>
      </c>
      <c r="CG183" s="150">
        <f t="shared" si="530"/>
        <v>0.50810468462856828</v>
      </c>
      <c r="CI183" s="147">
        <v>73</v>
      </c>
      <c r="CJ183" s="188">
        <f t="shared" si="589"/>
        <v>0.36499999999999999</v>
      </c>
      <c r="CK183" s="188"/>
      <c r="CL183" s="188">
        <f t="shared" si="531"/>
        <v>62.05</v>
      </c>
      <c r="CM183" s="465">
        <f t="shared" si="532"/>
        <v>9</v>
      </c>
      <c r="CN183" s="379">
        <f t="shared" si="533"/>
        <v>8.5350000000000001</v>
      </c>
      <c r="CO183" s="379">
        <f t="shared" si="534"/>
        <v>17.535</v>
      </c>
      <c r="CP183" s="379"/>
      <c r="CQ183" s="188">
        <f t="shared" si="535"/>
        <v>0.48674080410607357</v>
      </c>
      <c r="CR183" s="149">
        <f t="shared" si="590"/>
        <v>146.41650128314802</v>
      </c>
      <c r="CS183" s="149">
        <f t="shared" si="536"/>
        <v>62.05</v>
      </c>
      <c r="CT183" s="188">
        <f t="shared" si="537"/>
        <v>0.86127353695969422</v>
      </c>
      <c r="CU183" s="188">
        <f t="shared" si="538"/>
        <v>170</v>
      </c>
      <c r="CV183" s="188"/>
      <c r="CW183" s="149">
        <f t="shared" si="539"/>
        <v>642.11382142829075</v>
      </c>
      <c r="CX183" s="149">
        <f t="shared" si="540"/>
        <v>170</v>
      </c>
      <c r="CY183" s="188">
        <f t="shared" si="541"/>
        <v>28.329017769966804</v>
      </c>
      <c r="CZ183" s="188">
        <f t="shared" si="542"/>
        <v>4.7215029616611339</v>
      </c>
      <c r="DA183" s="188">
        <f t="shared" si="543"/>
        <v>4.9787377451611254</v>
      </c>
      <c r="DB183" s="172">
        <f t="shared" si="544"/>
        <v>219.03336184773312</v>
      </c>
      <c r="DC183" s="379">
        <f t="shared" si="545"/>
        <v>103.09022530716085</v>
      </c>
      <c r="DE183" s="188">
        <f t="shared" si="546"/>
        <v>13.333333333333334</v>
      </c>
      <c r="DF183" s="150">
        <f t="shared" si="547"/>
        <v>2.3432923257176337</v>
      </c>
      <c r="DG183" s="150">
        <f t="shared" si="548"/>
        <v>0.17108639863130889</v>
      </c>
      <c r="DH183" s="150"/>
      <c r="DI183" s="150">
        <f t="shared" si="549"/>
        <v>2.3432923257176337</v>
      </c>
      <c r="DJ183" s="314">
        <f t="shared" si="550"/>
        <v>467.29124999999988</v>
      </c>
      <c r="DK183" s="456">
        <f t="shared" si="551"/>
        <v>0.17108639863130887</v>
      </c>
      <c r="DM183" s="150">
        <f t="shared" si="552"/>
        <v>15.406306686363402</v>
      </c>
      <c r="DN183" s="150">
        <f t="shared" si="553"/>
        <v>28.329017769966804</v>
      </c>
      <c r="DO183" s="150">
        <f t="shared" si="554"/>
        <v>12.307914397506273</v>
      </c>
      <c r="DQ183" s="314">
        <f t="shared" si="555"/>
        <v>365</v>
      </c>
      <c r="DR183" s="144">
        <f t="shared" si="556"/>
        <v>103.09022530716085</v>
      </c>
      <c r="DT183">
        <f t="shared" si="591"/>
        <v>365</v>
      </c>
      <c r="DU183">
        <f t="shared" si="592"/>
        <v>103.09022530716085</v>
      </c>
      <c r="DW183" s="5">
        <f t="shared" si="557"/>
        <v>9.7002407068222585</v>
      </c>
      <c r="DX183" s="5">
        <f t="shared" si="558"/>
        <v>4.7215029616611339</v>
      </c>
      <c r="DY183" s="5">
        <f t="shared" si="559"/>
        <v>4.9787377451611246</v>
      </c>
      <c r="DZ183" s="5"/>
      <c r="EA183" s="150">
        <f t="shared" si="560"/>
        <v>0.48674080410607362</v>
      </c>
      <c r="EB183" s="150">
        <f t="shared" si="561"/>
        <v>62.05</v>
      </c>
      <c r="EC183" s="150">
        <f t="shared" si="562"/>
        <v>0.36350322202694779</v>
      </c>
      <c r="ED183" s="150">
        <f t="shared" si="563"/>
        <v>170.70000000000002</v>
      </c>
      <c r="EE183" s="144">
        <f t="shared" si="564"/>
        <v>1.0137344594154789</v>
      </c>
      <c r="EF183" s="5">
        <f t="shared" si="565"/>
        <v>57.209384645786614</v>
      </c>
      <c r="EH183" s="150">
        <f t="shared" si="566"/>
        <v>11.410896522789539</v>
      </c>
      <c r="EI183" s="150">
        <f t="shared" si="567"/>
        <v>0.58588079664272985</v>
      </c>
      <c r="EK183" s="456">
        <f t="shared" si="568"/>
        <v>0.44270910214295528</v>
      </c>
      <c r="EL183" s="456">
        <f t="shared" si="569"/>
        <v>1.5567839999999997</v>
      </c>
      <c r="EM183" s="456">
        <f t="shared" si="570"/>
        <v>2.3607661595339835E-2</v>
      </c>
      <c r="EN183" s="456">
        <f t="shared" si="571"/>
        <v>2.1712988418614021E-2</v>
      </c>
      <c r="EO183">
        <f t="shared" si="572"/>
        <v>4.0499999999999998E-3</v>
      </c>
      <c r="EP183" s="144">
        <f t="shared" si="573"/>
        <v>27.657661595339832</v>
      </c>
      <c r="EQ183" s="144"/>
      <c r="ER183" s="144">
        <f t="shared" si="593"/>
        <v>2048.8637521569085</v>
      </c>
      <c r="ES183" s="456">
        <f t="shared" si="574"/>
        <v>0.91249999999999998</v>
      </c>
      <c r="EV183" s="144">
        <f t="shared" si="494"/>
        <v>912.5</v>
      </c>
      <c r="EW183" s="456">
        <f t="shared" si="575"/>
        <v>0.19531283918071557</v>
      </c>
      <c r="EX183" s="456">
        <f t="shared" si="576"/>
        <v>6.8651261574943959E-2</v>
      </c>
      <c r="EY183" s="456">
        <f t="shared" si="577"/>
        <v>23.045838725832766</v>
      </c>
      <c r="EZ183" s="456"/>
      <c r="FA183" s="456">
        <f t="shared" si="578"/>
        <v>8.2733333333333325E-2</v>
      </c>
      <c r="FB183" s="144">
        <f t="shared" si="579"/>
        <v>23392.536159921761</v>
      </c>
      <c r="FC183" s="150">
        <f t="shared" si="580"/>
        <v>26.353899912078667</v>
      </c>
      <c r="FD183" s="5">
        <f t="shared" si="581"/>
        <v>62.05</v>
      </c>
      <c r="FE183" s="150">
        <f t="shared" si="582"/>
        <v>0.70189211179270705</v>
      </c>
      <c r="FF183" s="5">
        <f t="shared" si="583"/>
        <v>70.1892111792707</v>
      </c>
      <c r="FI183" s="59">
        <f t="shared" si="584"/>
        <v>-50</v>
      </c>
      <c r="FJ183">
        <f t="shared" si="585"/>
        <v>-50</v>
      </c>
      <c r="FL183">
        <f t="shared" si="586"/>
        <v>0.51325919589392632</v>
      </c>
    </row>
    <row r="184" spans="5:168">
      <c r="E184" s="147">
        <v>74</v>
      </c>
      <c r="F184" s="188">
        <f t="shared" si="587"/>
        <v>0.37</v>
      </c>
      <c r="G184" s="188"/>
      <c r="H184" s="188">
        <f t="shared" si="495"/>
        <v>62.9</v>
      </c>
      <c r="I184" s="465">
        <f t="shared" si="496"/>
        <v>8.9286465349928665</v>
      </c>
      <c r="J184" s="149">
        <f t="shared" si="497"/>
        <v>8.5422809658170546</v>
      </c>
      <c r="K184" s="149">
        <f t="shared" si="498"/>
        <v>17.470927500809921</v>
      </c>
      <c r="L184" s="379"/>
      <c r="M184" s="188">
        <f t="shared" si="499"/>
        <v>0.4889405042422787</v>
      </c>
      <c r="N184" s="149">
        <f t="shared" si="500"/>
        <v>145.91213322519476</v>
      </c>
      <c r="O184" s="149">
        <f t="shared" si="438"/>
        <v>62.9</v>
      </c>
      <c r="P184" s="188">
        <f t="shared" si="501"/>
        <v>0.85830666603055739</v>
      </c>
      <c r="Q184" s="188">
        <f t="shared" si="502"/>
        <v>170</v>
      </c>
      <c r="R184" s="188"/>
      <c r="S184" s="149">
        <f t="shared" si="503"/>
        <v>626.00909627868623</v>
      </c>
      <c r="T184" s="149">
        <f t="shared" si="504"/>
        <v>170</v>
      </c>
      <c r="U184" s="188">
        <f t="shared" si="505"/>
        <v>28.959446254015511</v>
      </c>
      <c r="V184" s="188">
        <f t="shared" si="506"/>
        <v>4.86514604545917</v>
      </c>
      <c r="W184" s="188">
        <f t="shared" si="507"/>
        <v>5.0851955765503645</v>
      </c>
      <c r="X184" s="172">
        <f t="shared" si="508"/>
        <v>218.27978893176154</v>
      </c>
      <c r="Y184" s="379">
        <f t="shared" si="509"/>
        <v>98.518851605117007</v>
      </c>
      <c r="AA184" s="188">
        <f t="shared" si="510"/>
        <v>13.333333333333334</v>
      </c>
      <c r="AB184" s="150">
        <f t="shared" si="511"/>
        <v>2.341295033496599</v>
      </c>
      <c r="AC184" s="150">
        <f t="shared" si="512"/>
        <v>0.17035246191287312</v>
      </c>
      <c r="AD184" s="150"/>
      <c r="AE184" s="150">
        <f t="shared" si="513"/>
        <v>2.341295033496599</v>
      </c>
      <c r="AF184" s="314">
        <f t="shared" si="514"/>
        <v>474.0965936028465</v>
      </c>
      <c r="AG184" s="456">
        <f t="shared" si="515"/>
        <v>0.17035246191287307</v>
      </c>
      <c r="AI184" s="150">
        <f t="shared" si="516"/>
        <v>15.518085196931471</v>
      </c>
      <c r="AJ184" s="150">
        <f t="shared" si="517"/>
        <v>28.959446254015511</v>
      </c>
      <c r="AK184" s="150">
        <f t="shared" si="518"/>
        <v>12.774898459764575</v>
      </c>
      <c r="AM184" s="314">
        <f t="shared" si="519"/>
        <v>370</v>
      </c>
      <c r="AN184" s="144">
        <f t="shared" si="520"/>
        <v>98.518851605117007</v>
      </c>
      <c r="AP184">
        <f t="shared" si="521"/>
        <v>370</v>
      </c>
      <c r="AQ184">
        <f t="shared" si="522"/>
        <v>98.518851605117007</v>
      </c>
      <c r="AS184" s="5">
        <f t="shared" si="439"/>
        <v>10.150341622009535</v>
      </c>
      <c r="AT184" s="5">
        <f t="shared" si="523"/>
        <v>4.86514604545917</v>
      </c>
      <c r="AU184" s="5">
        <f t="shared" si="478"/>
        <v>5.2851955765503646</v>
      </c>
      <c r="AV184" s="5"/>
      <c r="AW184" s="150">
        <f t="shared" si="479"/>
        <v>0.47930860128981378</v>
      </c>
      <c r="AX184" s="150">
        <f t="shared" si="435"/>
        <v>61.967091249475082</v>
      </c>
      <c r="AY184" s="150">
        <f t="shared" si="436"/>
        <v>0.37697336439689499</v>
      </c>
      <c r="AZ184" s="150">
        <f t="shared" si="440"/>
        <v>164.38055603375008</v>
      </c>
      <c r="BA184" s="144">
        <f t="shared" si="594"/>
        <v>1.0588847275411135</v>
      </c>
      <c r="BB184" s="5">
        <f t="shared" si="595"/>
        <v>62.054720996837602</v>
      </c>
      <c r="BD184" s="150">
        <f t="shared" si="441"/>
        <v>11.575432776953694</v>
      </c>
      <c r="BE184" s="150">
        <f t="shared" si="437"/>
        <v>0.60323958439543413</v>
      </c>
      <c r="BG184" s="456">
        <f t="shared" si="480"/>
        <v>0.45556818951083122</v>
      </c>
      <c r="BH184" s="456">
        <f t="shared" si="524"/>
        <v>1.1937986222697006</v>
      </c>
      <c r="BI184" s="456">
        <f t="shared" si="525"/>
        <v>4.0287512138110097E-2</v>
      </c>
      <c r="BJ184" s="456">
        <f t="shared" si="481"/>
        <v>2.0598795940773188E-2</v>
      </c>
      <c r="BK184">
        <f t="shared" si="482"/>
        <v>4.01789094074679E-3</v>
      </c>
      <c r="BL184" s="144">
        <f t="shared" si="588"/>
        <v>44.305403078856884</v>
      </c>
      <c r="BM184" s="456">
        <f t="shared" si="526"/>
        <v>2.0106026894817264</v>
      </c>
      <c r="BN184" s="144">
        <f t="shared" si="527"/>
        <v>2010.6026894817264</v>
      </c>
      <c r="BO184" s="456">
        <f t="shared" si="483"/>
        <v>0.92500000000000004</v>
      </c>
      <c r="BR184" s="144">
        <f t="shared" si="484"/>
        <v>925</v>
      </c>
      <c r="BS184" s="456">
        <f t="shared" si="485"/>
        <v>0.20098596596066085</v>
      </c>
      <c r="BT184" s="456">
        <f t="shared" si="486"/>
        <v>7.2779599236315218E-2</v>
      </c>
      <c r="BU184" s="456">
        <f t="shared" si="487"/>
        <v>21.73922159731497</v>
      </c>
      <c r="BV184" s="456"/>
      <c r="BW184" s="456">
        <f t="shared" si="488"/>
        <v>8.2622788332633451E-2</v>
      </c>
      <c r="BX184" s="144">
        <f t="shared" si="489"/>
        <v>22095.609950844577</v>
      </c>
      <c r="BY184" s="150">
        <f t="shared" si="490"/>
        <v>24.734880961644741</v>
      </c>
      <c r="BZ184" s="5">
        <f t="shared" si="491"/>
        <v>62.9</v>
      </c>
      <c r="CA184" s="150">
        <f t="shared" si="492"/>
        <v>0.71775073246838228</v>
      </c>
      <c r="CB184" s="5">
        <f t="shared" si="493"/>
        <v>71.775073246838232</v>
      </c>
      <c r="CE184" s="59">
        <f t="shared" si="528"/>
        <v>-50</v>
      </c>
      <c r="CF184">
        <f t="shared" si="529"/>
        <v>-50</v>
      </c>
      <c r="CG184" s="150">
        <f t="shared" si="530"/>
        <v>0.50817434018620833</v>
      </c>
      <c r="CI184" s="147">
        <v>74</v>
      </c>
      <c r="CJ184" s="188">
        <f t="shared" si="589"/>
        <v>0.37</v>
      </c>
      <c r="CK184" s="188"/>
      <c r="CL184" s="188">
        <f t="shared" si="531"/>
        <v>62.9</v>
      </c>
      <c r="CM184" s="465">
        <f t="shared" si="532"/>
        <v>9</v>
      </c>
      <c r="CN184" s="379">
        <f t="shared" si="533"/>
        <v>8.5350000000000001</v>
      </c>
      <c r="CO184" s="379">
        <f t="shared" si="534"/>
        <v>17.535</v>
      </c>
      <c r="CP184" s="379"/>
      <c r="CQ184" s="188">
        <f t="shared" si="535"/>
        <v>0.48674080410607357</v>
      </c>
      <c r="CR184" s="149">
        <f t="shared" si="590"/>
        <v>146.41650128314802</v>
      </c>
      <c r="CS184" s="149">
        <f t="shared" si="536"/>
        <v>62.9</v>
      </c>
      <c r="CT184" s="188">
        <f t="shared" si="537"/>
        <v>0.86127353695969422</v>
      </c>
      <c r="CU184" s="188">
        <f t="shared" si="538"/>
        <v>170</v>
      </c>
      <c r="CV184" s="188"/>
      <c r="CW184" s="149">
        <f t="shared" si="539"/>
        <v>631.01026933810715</v>
      </c>
      <c r="CX184" s="149">
        <f t="shared" si="540"/>
        <v>170</v>
      </c>
      <c r="CY184" s="188">
        <f t="shared" si="541"/>
        <v>28.71708650654169</v>
      </c>
      <c r="CZ184" s="188">
        <f t="shared" si="542"/>
        <v>4.7861810844236148</v>
      </c>
      <c r="DA184" s="188">
        <f t="shared" si="543"/>
        <v>5.0469396320811413</v>
      </c>
      <c r="DB184" s="172">
        <f t="shared" si="544"/>
        <v>219.03336184773312</v>
      </c>
      <c r="DC184" s="379">
        <f t="shared" si="545"/>
        <v>101.69711415436139</v>
      </c>
      <c r="DE184" s="188">
        <f t="shared" si="546"/>
        <v>13.333333333333334</v>
      </c>
      <c r="DF184" s="150">
        <f t="shared" si="547"/>
        <v>2.3432923257176337</v>
      </c>
      <c r="DG184" s="150">
        <f t="shared" si="548"/>
        <v>0.17108639863130889</v>
      </c>
      <c r="DH184" s="150"/>
      <c r="DI184" s="150">
        <f t="shared" si="549"/>
        <v>2.3432923257176337</v>
      </c>
      <c r="DJ184" s="314">
        <f t="shared" si="550"/>
        <v>473.69249999999988</v>
      </c>
      <c r="DK184" s="456">
        <f t="shared" si="551"/>
        <v>0.17108639863130887</v>
      </c>
      <c r="DM184" s="150">
        <f t="shared" si="552"/>
        <v>15.511470410174343</v>
      </c>
      <c r="DN184" s="150">
        <f t="shared" si="553"/>
        <v>28.71708650654169</v>
      </c>
      <c r="DO184" s="150">
        <f t="shared" si="554"/>
        <v>12.595372720895078</v>
      </c>
      <c r="DQ184" s="314">
        <f t="shared" si="555"/>
        <v>370</v>
      </c>
      <c r="DR184" s="144">
        <f t="shared" si="556"/>
        <v>101.69711415436139</v>
      </c>
      <c r="DT184">
        <f t="shared" si="591"/>
        <v>370</v>
      </c>
      <c r="DU184">
        <f t="shared" si="592"/>
        <v>101.69711415436139</v>
      </c>
      <c r="DW184" s="5">
        <f t="shared" si="557"/>
        <v>9.8331207165047552</v>
      </c>
      <c r="DX184" s="5">
        <f t="shared" si="558"/>
        <v>4.7861810844236148</v>
      </c>
      <c r="DY184" s="5">
        <f t="shared" si="559"/>
        <v>5.0469396320811404</v>
      </c>
      <c r="DZ184" s="5"/>
      <c r="EA184" s="150">
        <f t="shared" si="560"/>
        <v>0.48674080410607357</v>
      </c>
      <c r="EB184" s="150">
        <f t="shared" si="561"/>
        <v>62.9</v>
      </c>
      <c r="EC184" s="150">
        <f t="shared" si="562"/>
        <v>0.36848271821909784</v>
      </c>
      <c r="ED184" s="150">
        <f t="shared" si="563"/>
        <v>170.7</v>
      </c>
      <c r="EE184" s="144">
        <f t="shared" si="564"/>
        <v>1.0416982360216103</v>
      </c>
      <c r="EF184" s="5">
        <f t="shared" si="565"/>
        <v>58.787500529241427</v>
      </c>
      <c r="EH184" s="150">
        <f t="shared" si="566"/>
        <v>11.567210173786656</v>
      </c>
      <c r="EI184" s="150">
        <f t="shared" si="567"/>
        <v>0.59390656098030159</v>
      </c>
      <c r="EK184" s="456">
        <f t="shared" si="568"/>
        <v>0.45492119409548193</v>
      </c>
      <c r="EL184" s="456">
        <f t="shared" si="569"/>
        <v>1.5567839999999999</v>
      </c>
      <c r="EM184" s="456">
        <f t="shared" si="570"/>
        <v>2.3288639141348759E-2</v>
      </c>
      <c r="EN184" s="456">
        <f t="shared" si="571"/>
        <v>2.1419569656200319E-2</v>
      </c>
      <c r="EO184">
        <f t="shared" si="572"/>
        <v>4.0499999999999998E-3</v>
      </c>
      <c r="EP184" s="144">
        <f t="shared" si="573"/>
        <v>27.338639141348757</v>
      </c>
      <c r="EQ184" s="144"/>
      <c r="ER184" s="144">
        <f t="shared" si="593"/>
        <v>2060.4634028930309</v>
      </c>
      <c r="ES184" s="456">
        <f t="shared" si="574"/>
        <v>0.92500000000000004</v>
      </c>
      <c r="EV184" s="144">
        <f t="shared" si="494"/>
        <v>925</v>
      </c>
      <c r="EW184" s="456">
        <f t="shared" si="575"/>
        <v>0.20070052680683029</v>
      </c>
      <c r="EX184" s="456">
        <f t="shared" si="576"/>
        <v>7.0545000635089741E-2</v>
      </c>
      <c r="EY184" s="456">
        <f t="shared" si="577"/>
        <v>23.04583872583277</v>
      </c>
      <c r="EZ184" s="456"/>
      <c r="FA184" s="456">
        <f t="shared" si="578"/>
        <v>8.3866666666666673E-2</v>
      </c>
      <c r="FB184" s="144">
        <f t="shared" si="579"/>
        <v>23400.950919941355</v>
      </c>
      <c r="FC184" s="150">
        <f t="shared" si="580"/>
        <v>26.386414322834387</v>
      </c>
      <c r="FD184" s="5">
        <f t="shared" si="581"/>
        <v>62.9</v>
      </c>
      <c r="FE184" s="150">
        <f t="shared" si="582"/>
        <v>0.7044744766272214</v>
      </c>
      <c r="FF184" s="5">
        <f t="shared" si="583"/>
        <v>70.447447662722141</v>
      </c>
      <c r="FI184" s="59">
        <f t="shared" si="584"/>
        <v>-50</v>
      </c>
      <c r="FJ184">
        <f t="shared" si="585"/>
        <v>-50</v>
      </c>
      <c r="FL184">
        <f t="shared" si="586"/>
        <v>0.51325919589392643</v>
      </c>
    </row>
    <row r="185" spans="5:168">
      <c r="E185" s="147">
        <v>75</v>
      </c>
      <c r="F185" s="188">
        <f t="shared" si="587"/>
        <v>0.375</v>
      </c>
      <c r="G185" s="188"/>
      <c r="H185" s="188">
        <f t="shared" si="495"/>
        <v>63.75</v>
      </c>
      <c r="I185" s="465">
        <f t="shared" si="496"/>
        <v>8.9276919459577897</v>
      </c>
      <c r="J185" s="149">
        <f t="shared" si="497"/>
        <v>8.5423783728614495</v>
      </c>
      <c r="K185" s="149">
        <f t="shared" si="498"/>
        <v>17.470070318819239</v>
      </c>
      <c r="L185" s="379"/>
      <c r="M185" s="188">
        <f t="shared" si="499"/>
        <v>0.48897007052791336</v>
      </c>
      <c r="N185" s="149">
        <f t="shared" si="500"/>
        <v>145.90535568999081</v>
      </c>
      <c r="O185" s="149">
        <f t="shared" si="438"/>
        <v>63.75</v>
      </c>
      <c r="P185" s="188">
        <f t="shared" si="501"/>
        <v>0.8582667981764166</v>
      </c>
      <c r="Q185" s="188">
        <f t="shared" si="502"/>
        <v>170</v>
      </c>
      <c r="R185" s="188"/>
      <c r="S185" s="149">
        <f t="shared" si="503"/>
        <v>615.22170638113528</v>
      </c>
      <c r="T185" s="149">
        <f t="shared" si="504"/>
        <v>170</v>
      </c>
      <c r="U185" s="188">
        <f t="shared" si="505"/>
        <v>29.35248824955433</v>
      </c>
      <c r="V185" s="188">
        <f t="shared" si="506"/>
        <v>4.9317038088737455</v>
      </c>
      <c r="W185" s="188">
        <f t="shared" si="507"/>
        <v>5.1541538494955645</v>
      </c>
      <c r="X185" s="172">
        <f t="shared" si="508"/>
        <v>218.26964976942818</v>
      </c>
      <c r="Y185" s="379">
        <f t="shared" si="509"/>
        <v>97.220867059766135</v>
      </c>
      <c r="AA185" s="188">
        <f t="shared" si="510"/>
        <v>13.333333333333334</v>
      </c>
      <c r="AB185" s="150">
        <f t="shared" si="511"/>
        <v>2.3412683361742239</v>
      </c>
      <c r="AC185" s="150">
        <f t="shared" si="512"/>
        <v>0.17034260658433323</v>
      </c>
      <c r="AD185" s="150"/>
      <c r="AE185" s="150">
        <f t="shared" si="513"/>
        <v>2.3412683361742239</v>
      </c>
      <c r="AF185" s="314">
        <f t="shared" si="514"/>
        <v>480.5087834734565</v>
      </c>
      <c r="AG185" s="456">
        <f t="shared" si="515"/>
        <v>0.17034260658433326</v>
      </c>
      <c r="AI185" s="150">
        <f t="shared" si="516"/>
        <v>15.622674339252134</v>
      </c>
      <c r="AJ185" s="150">
        <f t="shared" si="517"/>
        <v>29.35248824955433</v>
      </c>
      <c r="AK185" s="150">
        <f t="shared" si="518"/>
        <v>13.066040678682219</v>
      </c>
      <c r="AM185" s="314">
        <f t="shared" si="519"/>
        <v>375</v>
      </c>
      <c r="AN185" s="144">
        <f t="shared" si="520"/>
        <v>97.220867059766135</v>
      </c>
      <c r="AP185">
        <f t="shared" si="521"/>
        <v>375</v>
      </c>
      <c r="AQ185">
        <f t="shared" si="522"/>
        <v>97.220867059766135</v>
      </c>
      <c r="AS185" s="5">
        <f t="shared" si="439"/>
        <v>10.285857658369309</v>
      </c>
      <c r="AT185" s="5">
        <f t="shared" si="523"/>
        <v>4.9317038088737455</v>
      </c>
      <c r="AU185" s="5">
        <f t="shared" si="478"/>
        <v>5.3541538494955638</v>
      </c>
      <c r="AV185" s="5"/>
      <c r="AW185" s="150">
        <f t="shared" si="479"/>
        <v>0.47946452038065668</v>
      </c>
      <c r="AX185" s="150">
        <f t="shared" si="435"/>
        <v>62.821832295568811</v>
      </c>
      <c r="AY185" s="150">
        <f t="shared" si="436"/>
        <v>0.38197528872507258</v>
      </c>
      <c r="AZ185" s="150">
        <f t="shared" si="440"/>
        <v>164.46569751999047</v>
      </c>
      <c r="BA185" s="144">
        <f t="shared" si="594"/>
        <v>1.087875840192738</v>
      </c>
      <c r="BB185" s="5">
        <f t="shared" si="595"/>
        <v>63.720707429480257</v>
      </c>
      <c r="BD185" s="150">
        <f t="shared" si="441"/>
        <v>11.734444447626718</v>
      </c>
      <c r="BE185" s="150">
        <f t="shared" si="437"/>
        <v>0.61133529190679037</v>
      </c>
      <c r="BG185" s="456">
        <f t="shared" si="480"/>
        <v>0.46817043408108755</v>
      </c>
      <c r="BH185" s="456">
        <f t="shared" si="524"/>
        <v>1.1940007062384483</v>
      </c>
      <c r="BI185" s="456">
        <f t="shared" si="525"/>
        <v>3.9752474193745627E-2</v>
      </c>
      <c r="BJ185" s="456">
        <f t="shared" si="481"/>
        <v>2.0325412469310741E-2</v>
      </c>
      <c r="BK185">
        <f t="shared" si="482"/>
        <v>4.0174613756810054E-3</v>
      </c>
      <c r="BL185" s="144">
        <f t="shared" si="588"/>
        <v>43.769935569426636</v>
      </c>
      <c r="BM185" s="456">
        <f t="shared" si="526"/>
        <v>2.0353043169953144</v>
      </c>
      <c r="BN185" s="144">
        <f t="shared" si="527"/>
        <v>2035.3043169953144</v>
      </c>
      <c r="BO185" s="456">
        <f t="shared" si="483"/>
        <v>0.9375</v>
      </c>
      <c r="BR185" s="144">
        <f t="shared" si="484"/>
        <v>937.5</v>
      </c>
      <c r="BS185" s="456">
        <f t="shared" si="485"/>
        <v>0.20654577974165628</v>
      </c>
      <c r="BT185" s="456">
        <f t="shared" si="486"/>
        <v>7.4746167826152121E-2</v>
      </c>
      <c r="BU185" s="456">
        <f t="shared" si="487"/>
        <v>21.751090555460486</v>
      </c>
      <c r="BV185" s="456"/>
      <c r="BW185" s="456">
        <f t="shared" si="488"/>
        <v>8.3762443060758418E-2</v>
      </c>
      <c r="BX185" s="144">
        <f t="shared" si="489"/>
        <v>22116.144946089054</v>
      </c>
      <c r="BY185" s="150">
        <f t="shared" si="490"/>
        <v>24.779911434447328</v>
      </c>
      <c r="BZ185" s="5">
        <f t="shared" si="491"/>
        <v>63.75</v>
      </c>
      <c r="CA185" s="150">
        <f t="shared" si="492"/>
        <v>0.72009560347526369</v>
      </c>
      <c r="CB185" s="5">
        <f t="shared" si="493"/>
        <v>72.009560347526374</v>
      </c>
      <c r="CE185" s="59">
        <f t="shared" si="528"/>
        <v>-50</v>
      </c>
      <c r="CF185">
        <f t="shared" si="529"/>
        <v>-50</v>
      </c>
      <c r="CG185" s="150">
        <f t="shared" si="530"/>
        <v>0.50824213826231135</v>
      </c>
      <c r="CI185" s="147">
        <v>75</v>
      </c>
      <c r="CJ185" s="188">
        <f t="shared" si="589"/>
        <v>0.375</v>
      </c>
      <c r="CK185" s="188"/>
      <c r="CL185" s="188">
        <f t="shared" si="531"/>
        <v>63.75</v>
      </c>
      <c r="CM185" s="465">
        <f t="shared" si="532"/>
        <v>9</v>
      </c>
      <c r="CN185" s="379">
        <f t="shared" si="533"/>
        <v>8.5350000000000001</v>
      </c>
      <c r="CO185" s="379">
        <f t="shared" si="534"/>
        <v>17.535</v>
      </c>
      <c r="CP185" s="379"/>
      <c r="CQ185" s="188">
        <f t="shared" si="535"/>
        <v>0.48674080410607357</v>
      </c>
      <c r="CR185" s="149">
        <f t="shared" si="590"/>
        <v>146.41650128314802</v>
      </c>
      <c r="CS185" s="149">
        <f t="shared" si="536"/>
        <v>63.75</v>
      </c>
      <c r="CT185" s="188">
        <f t="shared" si="537"/>
        <v>0.86127353695969422</v>
      </c>
      <c r="CU185" s="188">
        <f t="shared" si="538"/>
        <v>170</v>
      </c>
      <c r="CV185" s="188"/>
      <c r="CW185" s="149">
        <f t="shared" si="539"/>
        <v>620.20293027115372</v>
      </c>
      <c r="CX185" s="149">
        <f t="shared" si="540"/>
        <v>170</v>
      </c>
      <c r="CY185" s="188">
        <f t="shared" si="541"/>
        <v>29.105155243116581</v>
      </c>
      <c r="CZ185" s="188">
        <f t="shared" si="542"/>
        <v>4.8508592071860965</v>
      </c>
      <c r="DA185" s="188">
        <f t="shared" si="543"/>
        <v>5.1151415190011562</v>
      </c>
      <c r="DB185" s="172">
        <f t="shared" si="544"/>
        <v>219.03336184773312</v>
      </c>
      <c r="DC185" s="379">
        <f t="shared" si="545"/>
        <v>100.34115263230322</v>
      </c>
      <c r="DE185" s="188">
        <f t="shared" si="546"/>
        <v>13.333333333333334</v>
      </c>
      <c r="DF185" s="150">
        <f t="shared" si="547"/>
        <v>2.3432923257176337</v>
      </c>
      <c r="DG185" s="150">
        <f t="shared" si="548"/>
        <v>0.17108639863130889</v>
      </c>
      <c r="DH185" s="150"/>
      <c r="DI185" s="150">
        <f t="shared" si="549"/>
        <v>2.3432923257176337</v>
      </c>
      <c r="DJ185" s="314">
        <f t="shared" si="550"/>
        <v>480.09374999999989</v>
      </c>
      <c r="DK185" s="456">
        <f t="shared" si="551"/>
        <v>0.17108639863130887</v>
      </c>
      <c r="DM185" s="150">
        <f t="shared" si="552"/>
        <v>15.615925936592516</v>
      </c>
      <c r="DN185" s="150">
        <f t="shared" si="553"/>
        <v>29.105155243116581</v>
      </c>
      <c r="DO185" s="150">
        <f t="shared" si="554"/>
        <v>12.882831044283886</v>
      </c>
      <c r="DQ185" s="314">
        <f t="shared" si="555"/>
        <v>375</v>
      </c>
      <c r="DR185" s="144">
        <f t="shared" si="556"/>
        <v>100.34115263230322</v>
      </c>
      <c r="DT185">
        <f t="shared" si="591"/>
        <v>375</v>
      </c>
      <c r="DU185">
        <f t="shared" si="592"/>
        <v>100.34115263230322</v>
      </c>
      <c r="DW185" s="5">
        <f t="shared" si="557"/>
        <v>9.9660007261872536</v>
      </c>
      <c r="DX185" s="5">
        <f t="shared" si="558"/>
        <v>4.8508592071860965</v>
      </c>
      <c r="DY185" s="5">
        <f t="shared" si="559"/>
        <v>5.1151415190011571</v>
      </c>
      <c r="DZ185" s="5"/>
      <c r="EA185" s="150">
        <f t="shared" si="560"/>
        <v>0.48674080410607351</v>
      </c>
      <c r="EB185" s="150">
        <f t="shared" si="561"/>
        <v>63.75</v>
      </c>
      <c r="EC185" s="150">
        <f t="shared" si="562"/>
        <v>0.37346221441124794</v>
      </c>
      <c r="ED185" s="150">
        <f t="shared" si="563"/>
        <v>170.69999999999993</v>
      </c>
      <c r="EE185" s="144">
        <f t="shared" si="564"/>
        <v>1.0700424721734036</v>
      </c>
      <c r="EF185" s="5">
        <f t="shared" si="565"/>
        <v>60.387087377096975</v>
      </c>
      <c r="EH185" s="150">
        <f t="shared" si="566"/>
        <v>11.723523824783772</v>
      </c>
      <c r="EI185" s="150">
        <f t="shared" si="567"/>
        <v>0.60193232531787322</v>
      </c>
      <c r="EK185" s="456">
        <f t="shared" si="568"/>
        <v>0.46729943695892723</v>
      </c>
      <c r="EL185" s="456">
        <f t="shared" si="569"/>
        <v>1.5567839999999997</v>
      </c>
      <c r="EM185" s="456">
        <f t="shared" si="570"/>
        <v>2.2978123952797438E-2</v>
      </c>
      <c r="EN185" s="456">
        <f t="shared" si="571"/>
        <v>2.1133975394117648E-2</v>
      </c>
      <c r="EO185">
        <f t="shared" si="572"/>
        <v>4.0499999999999998E-3</v>
      </c>
      <c r="EP185" s="144">
        <f t="shared" si="573"/>
        <v>27.02812395279744</v>
      </c>
      <c r="EQ185" s="144"/>
      <c r="ER185" s="144">
        <f t="shared" si="593"/>
        <v>2072.2455363058421</v>
      </c>
      <c r="ES185" s="456">
        <f t="shared" si="574"/>
        <v>0.9375</v>
      </c>
      <c r="EV185" s="144">
        <f t="shared" si="494"/>
        <v>937.5</v>
      </c>
      <c r="EW185" s="456">
        <f t="shared" si="575"/>
        <v>0.20616151630540908</v>
      </c>
      <c r="EX185" s="456">
        <f t="shared" si="576"/>
        <v>7.246450485251639E-2</v>
      </c>
      <c r="EY185" s="456">
        <f t="shared" si="577"/>
        <v>23.045838725832766</v>
      </c>
      <c r="EZ185" s="456"/>
      <c r="FA185" s="456">
        <f t="shared" si="578"/>
        <v>8.5000000000000006E-2</v>
      </c>
      <c r="FB185" s="144">
        <f t="shared" si="579"/>
        <v>23409.464746990692</v>
      </c>
      <c r="FC185" s="150">
        <f t="shared" si="580"/>
        <v>26.419210283296536</v>
      </c>
      <c r="FD185" s="5">
        <f t="shared" si="581"/>
        <v>63.75</v>
      </c>
      <c r="FE185" s="150">
        <f t="shared" si="582"/>
        <v>0.70700408487229949</v>
      </c>
      <c r="FF185" s="5">
        <f t="shared" si="583"/>
        <v>70.70040848722995</v>
      </c>
      <c r="FI185" s="59">
        <f t="shared" si="584"/>
        <v>-50</v>
      </c>
      <c r="FJ185">
        <f t="shared" si="585"/>
        <v>-50</v>
      </c>
      <c r="FL185">
        <f t="shared" si="586"/>
        <v>0.51325919589392655</v>
      </c>
    </row>
    <row r="186" spans="5:168">
      <c r="E186" s="147">
        <v>76</v>
      </c>
      <c r="F186" s="188">
        <f t="shared" si="587"/>
        <v>0.38</v>
      </c>
      <c r="G186" s="188"/>
      <c r="H186" s="188">
        <f t="shared" si="495"/>
        <v>64.599999999999994</v>
      </c>
      <c r="I186" s="465">
        <f t="shared" si="496"/>
        <v>8.9267373544170088</v>
      </c>
      <c r="J186" s="149">
        <f t="shared" si="497"/>
        <v>8.5424757801615296</v>
      </c>
      <c r="K186" s="149">
        <f t="shared" si="498"/>
        <v>17.469213134578538</v>
      </c>
      <c r="L186" s="379"/>
      <c r="M186" s="188">
        <f t="shared" si="499"/>
        <v>0.48899963978519362</v>
      </c>
      <c r="N186" s="149">
        <f t="shared" si="500"/>
        <v>145.89857711380071</v>
      </c>
      <c r="O186" s="149">
        <f t="shared" si="438"/>
        <v>64.599999999999994</v>
      </c>
      <c r="P186" s="188">
        <f t="shared" si="501"/>
        <v>0.85822692419882773</v>
      </c>
      <c r="Q186" s="188">
        <f t="shared" si="502"/>
        <v>170</v>
      </c>
      <c r="R186" s="188"/>
      <c r="S186" s="149">
        <f t="shared" si="503"/>
        <v>604.71881549288707</v>
      </c>
      <c r="T186" s="149">
        <f t="shared" si="504"/>
        <v>170</v>
      </c>
      <c r="U186" s="188">
        <f t="shared" si="505"/>
        <v>29.74557590059322</v>
      </c>
      <c r="V186" s="188">
        <f t="shared" si="506"/>
        <v>4.9982834802249858</v>
      </c>
      <c r="W186" s="188">
        <f t="shared" si="507"/>
        <v>5.2231185664592132</v>
      </c>
      <c r="X186" s="172">
        <f t="shared" si="508"/>
        <v>218.25950905318285</v>
      </c>
      <c r="Y186" s="379">
        <f t="shared" si="509"/>
        <v>95.956378567907976</v>
      </c>
      <c r="AA186" s="188">
        <f t="shared" si="510"/>
        <v>13.333333333333334</v>
      </c>
      <c r="AB186" s="150">
        <f t="shared" si="511"/>
        <v>2.3412416393906148</v>
      </c>
      <c r="AC186" s="150">
        <f t="shared" si="512"/>
        <v>0.17033275026275485</v>
      </c>
      <c r="AD186" s="150"/>
      <c r="AE186" s="150">
        <f t="shared" si="513"/>
        <v>2.3412416393906148</v>
      </c>
      <c r="AF186" s="314">
        <f t="shared" si="514"/>
        <v>486.9211194692071</v>
      </c>
      <c r="AG186" s="456">
        <f t="shared" si="515"/>
        <v>0.17033275026275491</v>
      </c>
      <c r="AI186" s="150">
        <f t="shared" si="516"/>
        <v>15.726570289281902</v>
      </c>
      <c r="AJ186" s="150">
        <f t="shared" si="517"/>
        <v>29.74557590059322</v>
      </c>
      <c r="AK186" s="150">
        <f t="shared" si="518"/>
        <v>13.357216716488805</v>
      </c>
      <c r="AM186" s="314">
        <f t="shared" si="519"/>
        <v>380</v>
      </c>
      <c r="AN186" s="144">
        <f t="shared" si="520"/>
        <v>95.956378567907976</v>
      </c>
      <c r="AP186">
        <f t="shared" si="521"/>
        <v>380</v>
      </c>
      <c r="AQ186">
        <f t="shared" si="522"/>
        <v>95.956378567907976</v>
      </c>
      <c r="AS186" s="5">
        <f t="shared" si="439"/>
        <v>10.4214020466842</v>
      </c>
      <c r="AT186" s="5">
        <f t="shared" si="523"/>
        <v>4.9982834802249858</v>
      </c>
      <c r="AU186" s="5">
        <f t="shared" si="478"/>
        <v>5.4231185664592143</v>
      </c>
      <c r="AV186" s="5"/>
      <c r="AW186" s="150">
        <f t="shared" si="479"/>
        <v>0.4796171818181893</v>
      </c>
      <c r="AX186" s="150">
        <f t="shared" si="435"/>
        <v>63.676601408406768</v>
      </c>
      <c r="AY186" s="150">
        <f t="shared" si="436"/>
        <v>0.38697716538979127</v>
      </c>
      <c r="AZ186" s="150">
        <f t="shared" si="440"/>
        <v>164.54873078691119</v>
      </c>
      <c r="BA186" s="144">
        <f t="shared" si="594"/>
        <v>1.1172633661679381</v>
      </c>
      <c r="BB186" s="5">
        <f t="shared" si="595"/>
        <v>65.409015164970995</v>
      </c>
      <c r="BD186" s="150">
        <f t="shared" si="441"/>
        <v>11.893484769150069</v>
      </c>
      <c r="BE186" s="150">
        <f t="shared" si="437"/>
        <v>0.61943142329339551</v>
      </c>
      <c r="BG186" s="456">
        <f t="shared" si="480"/>
        <v>0.48094693184361587</v>
      </c>
      <c r="BH186" s="456">
        <f t="shared" si="524"/>
        <v>1.194194569907866</v>
      </c>
      <c r="BI186" s="456">
        <f t="shared" si="525"/>
        <v>3.923124441421795E-2</v>
      </c>
      <c r="BJ186" s="456">
        <f t="shared" si="481"/>
        <v>2.0059084490682697E-2</v>
      </c>
      <c r="BK186">
        <f t="shared" si="482"/>
        <v>4.0170318094876539E-3</v>
      </c>
      <c r="BL186" s="144">
        <f t="shared" si="588"/>
        <v>43.248276223705602</v>
      </c>
      <c r="BM186" s="456">
        <f t="shared" si="526"/>
        <v>2.0605177885598303</v>
      </c>
      <c r="BN186" s="144">
        <f t="shared" si="527"/>
        <v>2060.5177885598305</v>
      </c>
      <c r="BO186" s="456">
        <f t="shared" si="483"/>
        <v>0.95</v>
      </c>
      <c r="BR186" s="144">
        <f t="shared" si="484"/>
        <v>950</v>
      </c>
      <c r="BS186" s="456">
        <f t="shared" si="485"/>
        <v>0.21218246993100701</v>
      </c>
      <c r="BT186" s="456">
        <f t="shared" si="486"/>
        <v>7.6739057632656357E-2</v>
      </c>
      <c r="BU186" s="456">
        <f t="shared" si="487"/>
        <v>21.762590061483515</v>
      </c>
      <c r="BV186" s="456"/>
      <c r="BW186" s="456">
        <f t="shared" si="488"/>
        <v>8.4902135211209012E-2</v>
      </c>
      <c r="BX186" s="144">
        <f t="shared" si="489"/>
        <v>22136.413724258386</v>
      </c>
      <c r="BY186" s="150">
        <f t="shared" si="490"/>
        <v>24.824862586724258</v>
      </c>
      <c r="BZ186" s="5">
        <f t="shared" si="491"/>
        <v>64.599999999999994</v>
      </c>
      <c r="CA186" s="150">
        <f t="shared" si="492"/>
        <v>0.72239417686944607</v>
      </c>
      <c r="CB186" s="5">
        <f t="shared" si="493"/>
        <v>72.239417686944606</v>
      </c>
      <c r="CE186" s="59">
        <f t="shared" si="528"/>
        <v>-50</v>
      </c>
      <c r="CF186">
        <f t="shared" si="529"/>
        <v>-50</v>
      </c>
      <c r="CG186" s="150">
        <f t="shared" si="530"/>
        <v>0.50830815217851677</v>
      </c>
      <c r="CI186" s="147">
        <v>76</v>
      </c>
      <c r="CJ186" s="188">
        <f t="shared" si="589"/>
        <v>0.38</v>
      </c>
      <c r="CK186" s="188"/>
      <c r="CL186" s="188">
        <f t="shared" si="531"/>
        <v>64.599999999999994</v>
      </c>
      <c r="CM186" s="465">
        <f t="shared" si="532"/>
        <v>9</v>
      </c>
      <c r="CN186" s="379">
        <f t="shared" si="533"/>
        <v>8.5350000000000001</v>
      </c>
      <c r="CO186" s="379">
        <f t="shared" si="534"/>
        <v>17.535</v>
      </c>
      <c r="CP186" s="379"/>
      <c r="CQ186" s="188">
        <f t="shared" si="535"/>
        <v>0.48674080410607357</v>
      </c>
      <c r="CR186" s="149">
        <f t="shared" si="590"/>
        <v>146.41650128314802</v>
      </c>
      <c r="CS186" s="149">
        <f t="shared" si="536"/>
        <v>64.599999999999994</v>
      </c>
      <c r="CT186" s="188">
        <f t="shared" si="537"/>
        <v>0.86127353695969422</v>
      </c>
      <c r="CU186" s="188">
        <f t="shared" si="538"/>
        <v>170</v>
      </c>
      <c r="CV186" s="188"/>
      <c r="CW186" s="149">
        <f t="shared" si="539"/>
        <v>609.68011295439578</v>
      </c>
      <c r="CX186" s="149">
        <f t="shared" si="540"/>
        <v>170</v>
      </c>
      <c r="CY186" s="188">
        <f t="shared" si="541"/>
        <v>29.493223979691464</v>
      </c>
      <c r="CZ186" s="188">
        <f t="shared" si="542"/>
        <v>4.9155373299485774</v>
      </c>
      <c r="DA186" s="188">
        <f t="shared" si="543"/>
        <v>5.183343405921172</v>
      </c>
      <c r="DB186" s="172">
        <f t="shared" si="544"/>
        <v>219.03336184773312</v>
      </c>
      <c r="DC186" s="379">
        <f t="shared" si="545"/>
        <v>99.020874308193996</v>
      </c>
      <c r="DE186" s="188">
        <f t="shared" si="546"/>
        <v>13.333333333333334</v>
      </c>
      <c r="DF186" s="150">
        <f t="shared" si="547"/>
        <v>2.3432923257176337</v>
      </c>
      <c r="DG186" s="150">
        <f t="shared" si="548"/>
        <v>0.17108639863130889</v>
      </c>
      <c r="DH186" s="150"/>
      <c r="DI186" s="150">
        <f t="shared" si="549"/>
        <v>2.3432923257176337</v>
      </c>
      <c r="DJ186" s="314">
        <f t="shared" si="550"/>
        <v>486.49499999999989</v>
      </c>
      <c r="DK186" s="456">
        <f t="shared" si="551"/>
        <v>0.17108639863130887</v>
      </c>
      <c r="DM186" s="150">
        <f t="shared" si="552"/>
        <v>15.719687383296508</v>
      </c>
      <c r="DN186" s="150">
        <f t="shared" si="553"/>
        <v>29.493223979691464</v>
      </c>
      <c r="DO186" s="150">
        <f t="shared" si="554"/>
        <v>13.170289367672687</v>
      </c>
      <c r="DQ186" s="314">
        <f t="shared" si="555"/>
        <v>380</v>
      </c>
      <c r="DR186" s="144">
        <f t="shared" si="556"/>
        <v>99.020874308193996</v>
      </c>
      <c r="DT186">
        <f t="shared" si="591"/>
        <v>380</v>
      </c>
      <c r="DU186">
        <f t="shared" si="592"/>
        <v>99.020874308193996</v>
      </c>
      <c r="DW186" s="5">
        <f t="shared" si="557"/>
        <v>10.098880735869749</v>
      </c>
      <c r="DX186" s="5">
        <f t="shared" si="558"/>
        <v>4.9155373299485774</v>
      </c>
      <c r="DY186" s="5">
        <f t="shared" si="559"/>
        <v>5.1833434059211712</v>
      </c>
      <c r="DZ186" s="5"/>
      <c r="EA186" s="150">
        <f t="shared" si="560"/>
        <v>0.48674080410607357</v>
      </c>
      <c r="EB186" s="150">
        <f t="shared" si="561"/>
        <v>64.600000000000009</v>
      </c>
      <c r="EC186" s="150">
        <f t="shared" si="562"/>
        <v>0.37844171060339776</v>
      </c>
      <c r="ED186" s="150">
        <f t="shared" si="563"/>
        <v>170.70000000000002</v>
      </c>
      <c r="EE186" s="144">
        <f t="shared" si="564"/>
        <v>1.0987671678708586</v>
      </c>
      <c r="EF186" s="5">
        <f t="shared" si="565"/>
        <v>62.008145189353257</v>
      </c>
      <c r="EH186" s="150">
        <f t="shared" si="566"/>
        <v>11.87983747578089</v>
      </c>
      <c r="EI186" s="150">
        <f t="shared" si="567"/>
        <v>0.60995808965544485</v>
      </c>
      <c r="EK186" s="456">
        <f t="shared" si="568"/>
        <v>0.47984383073329145</v>
      </c>
      <c r="EL186" s="456">
        <f t="shared" si="569"/>
        <v>1.5567839999999999</v>
      </c>
      <c r="EM186" s="456">
        <f t="shared" si="570"/>
        <v>2.2675780216576423E-2</v>
      </c>
      <c r="EN186" s="456">
        <f t="shared" si="571"/>
        <v>2.0855896770510838E-2</v>
      </c>
      <c r="EO186">
        <f t="shared" si="572"/>
        <v>4.0499999999999998E-3</v>
      </c>
      <c r="EP186" s="144">
        <f t="shared" si="573"/>
        <v>26.725780216576421</v>
      </c>
      <c r="EQ186" s="144"/>
      <c r="ER186" s="144">
        <f t="shared" si="593"/>
        <v>2084.209507720378</v>
      </c>
      <c r="ES186" s="456">
        <f t="shared" si="574"/>
        <v>0.95</v>
      </c>
      <c r="EV186" s="144">
        <f t="shared" si="494"/>
        <v>950</v>
      </c>
      <c r="EW186" s="456">
        <f t="shared" si="575"/>
        <v>0.21169580767645213</v>
      </c>
      <c r="EX186" s="456">
        <f t="shared" si="576"/>
        <v>7.4409774227223932E-2</v>
      </c>
      <c r="EY186" s="456">
        <f t="shared" si="577"/>
        <v>23.04583872583277</v>
      </c>
      <c r="EZ186" s="456"/>
      <c r="FA186" s="456">
        <f t="shared" si="578"/>
        <v>8.613333333333334E-2</v>
      </c>
      <c r="FB186" s="144">
        <f t="shared" si="579"/>
        <v>23418.07764106978</v>
      </c>
      <c r="FC186" s="150">
        <f t="shared" si="580"/>
        <v>26.452287148790155</v>
      </c>
      <c r="FD186" s="5">
        <f t="shared" si="581"/>
        <v>64.599999999999994</v>
      </c>
      <c r="FE186" s="150">
        <f t="shared" si="582"/>
        <v>0.70948245258722598</v>
      </c>
      <c r="FF186" s="5">
        <f t="shared" si="583"/>
        <v>70.948245258722594</v>
      </c>
      <c r="FI186" s="59">
        <f t="shared" si="584"/>
        <v>-50</v>
      </c>
      <c r="FJ186">
        <f t="shared" si="585"/>
        <v>-50</v>
      </c>
      <c r="FL186">
        <f t="shared" si="586"/>
        <v>0.51325919589392643</v>
      </c>
    </row>
    <row r="187" spans="5:168">
      <c r="E187" s="147">
        <v>77</v>
      </c>
      <c r="F187" s="188">
        <f t="shared" si="587"/>
        <v>0.38500000000000001</v>
      </c>
      <c r="G187" s="188"/>
      <c r="H187" s="188">
        <f t="shared" si="495"/>
        <v>65.45</v>
      </c>
      <c r="I187" s="465">
        <f t="shared" si="496"/>
        <v>8.9257827604690867</v>
      </c>
      <c r="J187" s="149">
        <f t="shared" si="497"/>
        <v>8.5425731877072355</v>
      </c>
      <c r="K187" s="149">
        <f t="shared" si="498"/>
        <v>17.468355948176324</v>
      </c>
      <c r="L187" s="379"/>
      <c r="M187" s="188">
        <f t="shared" si="499"/>
        <v>0.48902921201181027</v>
      </c>
      <c r="N187" s="149">
        <f t="shared" si="500"/>
        <v>145.89179749725463</v>
      </c>
      <c r="O187" s="149">
        <f t="shared" si="438"/>
        <v>65.45</v>
      </c>
      <c r="P187" s="188">
        <f t="shared" si="501"/>
        <v>0.85818704410149782</v>
      </c>
      <c r="Q187" s="188">
        <f t="shared" si="502"/>
        <v>170</v>
      </c>
      <c r="R187" s="188"/>
      <c r="S187" s="149">
        <f t="shared" si="503"/>
        <v>594.489340594277</v>
      </c>
      <c r="T187" s="149">
        <f t="shared" si="504"/>
        <v>170</v>
      </c>
      <c r="U187" s="188">
        <f t="shared" si="505"/>
        <v>30.138709221780296</v>
      </c>
      <c r="V187" s="188">
        <f t="shared" si="506"/>
        <v>5.0648850690036937</v>
      </c>
      <c r="W187" s="188">
        <f t="shared" si="507"/>
        <v>5.2920897297929921</v>
      </c>
      <c r="X187" s="172">
        <f t="shared" si="508"/>
        <v>218.24936678383582</v>
      </c>
      <c r="Y187" s="379">
        <f t="shared" si="509"/>
        <v>94.724106011315186</v>
      </c>
      <c r="AA187" s="188">
        <f t="shared" si="510"/>
        <v>13.333333333333334</v>
      </c>
      <c r="AB187" s="150">
        <f t="shared" si="511"/>
        <v>2.3412149431485121</v>
      </c>
      <c r="AC187" s="150">
        <f t="shared" si="512"/>
        <v>0.17032289294900568</v>
      </c>
      <c r="AD187" s="150"/>
      <c r="AE187" s="150">
        <f t="shared" si="513"/>
        <v>2.3412149431485121</v>
      </c>
      <c r="AF187" s="314">
        <f t="shared" si="514"/>
        <v>493.33360159009277</v>
      </c>
      <c r="AG187" s="456">
        <f t="shared" si="515"/>
        <v>0.17032289294900568</v>
      </c>
      <c r="AI187" s="150">
        <f t="shared" si="516"/>
        <v>15.829786695954315</v>
      </c>
      <c r="AJ187" s="150">
        <f t="shared" si="517"/>
        <v>30.138709221780296</v>
      </c>
      <c r="AK187" s="150">
        <f t="shared" si="518"/>
        <v>13.648426584034784</v>
      </c>
      <c r="AM187" s="314">
        <f t="shared" si="519"/>
        <v>385</v>
      </c>
      <c r="AN187" s="144">
        <f t="shared" si="520"/>
        <v>94.724106011315186</v>
      </c>
      <c r="AP187">
        <f t="shared" si="521"/>
        <v>385</v>
      </c>
      <c r="AQ187">
        <f t="shared" si="522"/>
        <v>94.724106011315186</v>
      </c>
      <c r="AS187" s="5">
        <f t="shared" si="439"/>
        <v>10.556974798796686</v>
      </c>
      <c r="AT187" s="5">
        <f t="shared" si="523"/>
        <v>5.0648850690036937</v>
      </c>
      <c r="AU187" s="5">
        <f t="shared" si="478"/>
        <v>5.4920897297929923</v>
      </c>
      <c r="AV187" s="5"/>
      <c r="AW187" s="150">
        <f t="shared" si="479"/>
        <v>0.4797667102114333</v>
      </c>
      <c r="AX187" s="150">
        <f t="shared" si="435"/>
        <v>64.531398260410754</v>
      </c>
      <c r="AY187" s="150">
        <f t="shared" si="436"/>
        <v>0.39197899621069437</v>
      </c>
      <c r="AZ187" s="150">
        <f t="shared" si="440"/>
        <v>164.62973497111614</v>
      </c>
      <c r="BA187" s="144">
        <f t="shared" si="594"/>
        <v>1.1470475009214247</v>
      </c>
      <c r="BB187" s="5">
        <f t="shared" si="595"/>
        <v>67.119654462674887</v>
      </c>
      <c r="BD187" s="150">
        <f t="shared" si="441"/>
        <v>12.052553727204415</v>
      </c>
      <c r="BE187" s="150">
        <f t="shared" si="437"/>
        <v>0.62752798046088332</v>
      </c>
      <c r="BG187" s="456">
        <f t="shared" si="480"/>
        <v>0.4938977745803067</v>
      </c>
      <c r="BH187" s="456">
        <f t="shared" si="524"/>
        <v>1.1943805273195691</v>
      </c>
      <c r="BI187" s="456">
        <f t="shared" si="525"/>
        <v>3.8723295093598259E-2</v>
      </c>
      <c r="BJ187" s="456">
        <f t="shared" si="481"/>
        <v>1.9799542365429659E-2</v>
      </c>
      <c r="BK187">
        <f t="shared" si="482"/>
        <v>4.0166022422110891E-3</v>
      </c>
      <c r="BL187" s="144">
        <f t="shared" si="588"/>
        <v>42.739897335809353</v>
      </c>
      <c r="BM187" s="456">
        <f t="shared" si="526"/>
        <v>2.0862521673112391</v>
      </c>
      <c r="BN187" s="144">
        <f t="shared" si="527"/>
        <v>2086.2521673112392</v>
      </c>
      <c r="BO187" s="456">
        <f t="shared" si="483"/>
        <v>0.96250000000000002</v>
      </c>
      <c r="BR187" s="144">
        <f t="shared" si="484"/>
        <v>962.5</v>
      </c>
      <c r="BS187" s="456">
        <f t="shared" si="485"/>
        <v>0.21789607702072356</v>
      </c>
      <c r="BT187" s="456">
        <f t="shared" si="486"/>
        <v>7.8758273252262964E-2</v>
      </c>
      <c r="BU187" s="456">
        <f t="shared" si="487"/>
        <v>21.773734017951458</v>
      </c>
      <c r="BV187" s="456"/>
      <c r="BW187" s="456">
        <f t="shared" si="488"/>
        <v>8.6041864347214336E-2</v>
      </c>
      <c r="BX187" s="144">
        <f t="shared" si="489"/>
        <v>22156.430232571664</v>
      </c>
      <c r="BY187" s="150">
        <f t="shared" si="490"/>
        <v>24.869747974172775</v>
      </c>
      <c r="BZ187" s="5">
        <f t="shared" si="491"/>
        <v>65.45</v>
      </c>
      <c r="CA187" s="150">
        <f t="shared" si="492"/>
        <v>0.72464772619511342</v>
      </c>
      <c r="CB187" s="5">
        <f t="shared" si="493"/>
        <v>72.464772619511336</v>
      </c>
      <c r="CE187" s="59">
        <f t="shared" si="528"/>
        <v>-50</v>
      </c>
      <c r="CF187">
        <f t="shared" si="529"/>
        <v>-50</v>
      </c>
      <c r="CG187" s="150">
        <f t="shared" si="530"/>
        <v>0.50837245144754817</v>
      </c>
      <c r="CI187" s="147">
        <v>77</v>
      </c>
      <c r="CJ187" s="188">
        <f t="shared" si="589"/>
        <v>0.38500000000000001</v>
      </c>
      <c r="CK187" s="188"/>
      <c r="CL187" s="188">
        <f t="shared" si="531"/>
        <v>65.45</v>
      </c>
      <c r="CM187" s="465">
        <f t="shared" si="532"/>
        <v>9</v>
      </c>
      <c r="CN187" s="379">
        <f t="shared" si="533"/>
        <v>8.5350000000000001</v>
      </c>
      <c r="CO187" s="379">
        <f t="shared" si="534"/>
        <v>17.535</v>
      </c>
      <c r="CP187" s="379"/>
      <c r="CQ187" s="188">
        <f t="shared" si="535"/>
        <v>0.48674080410607357</v>
      </c>
      <c r="CR187" s="149">
        <f t="shared" si="590"/>
        <v>146.41650128314802</v>
      </c>
      <c r="CS187" s="149">
        <f t="shared" si="536"/>
        <v>65.45</v>
      </c>
      <c r="CT187" s="188">
        <f t="shared" si="537"/>
        <v>0.86127353695969422</v>
      </c>
      <c r="CU187" s="188">
        <f t="shared" si="538"/>
        <v>170</v>
      </c>
      <c r="CV187" s="188"/>
      <c r="CW187" s="149">
        <f t="shared" si="539"/>
        <v>599.43073347403117</v>
      </c>
      <c r="CX187" s="149">
        <f t="shared" si="540"/>
        <v>170</v>
      </c>
      <c r="CY187" s="188">
        <f t="shared" si="541"/>
        <v>29.881292716266355</v>
      </c>
      <c r="CZ187" s="188">
        <f t="shared" si="542"/>
        <v>4.9802154527110583</v>
      </c>
      <c r="DA187" s="188">
        <f t="shared" si="543"/>
        <v>5.251545292841187</v>
      </c>
      <c r="DB187" s="172">
        <f t="shared" si="544"/>
        <v>219.03336184773312</v>
      </c>
      <c r="DC187" s="379">
        <f t="shared" si="545"/>
        <v>97.734888927568093</v>
      </c>
      <c r="DE187" s="188">
        <f t="shared" si="546"/>
        <v>13.333333333333334</v>
      </c>
      <c r="DF187" s="150">
        <f t="shared" si="547"/>
        <v>2.3432923257176337</v>
      </c>
      <c r="DG187" s="150">
        <f t="shared" si="548"/>
        <v>0.17108639863130889</v>
      </c>
      <c r="DH187" s="150"/>
      <c r="DI187" s="150">
        <f t="shared" si="549"/>
        <v>2.3432923257176337</v>
      </c>
      <c r="DJ187" s="314">
        <f t="shared" si="550"/>
        <v>492.8962499999999</v>
      </c>
      <c r="DK187" s="456">
        <f t="shared" si="551"/>
        <v>0.17108639863130887</v>
      </c>
      <c r="DM187" s="150">
        <f t="shared" si="552"/>
        <v>15.822768405054786</v>
      </c>
      <c r="DN187" s="150">
        <f t="shared" si="553"/>
        <v>29.881292716266355</v>
      </c>
      <c r="DO187" s="150">
        <f t="shared" si="554"/>
        <v>13.457747691061497</v>
      </c>
      <c r="DQ187" s="314">
        <f t="shared" si="555"/>
        <v>385</v>
      </c>
      <c r="DR187" s="144">
        <f t="shared" si="556"/>
        <v>97.734888927568093</v>
      </c>
      <c r="DT187">
        <f t="shared" si="591"/>
        <v>385</v>
      </c>
      <c r="DU187">
        <f t="shared" si="592"/>
        <v>97.734888927568093</v>
      </c>
      <c r="DW187" s="5">
        <f t="shared" si="557"/>
        <v>10.231760745552247</v>
      </c>
      <c r="DX187" s="5">
        <f t="shared" si="558"/>
        <v>4.9802154527110583</v>
      </c>
      <c r="DY187" s="5">
        <f t="shared" si="559"/>
        <v>5.2515452928411888</v>
      </c>
      <c r="DZ187" s="5"/>
      <c r="EA187" s="150">
        <f t="shared" si="560"/>
        <v>0.48674080410607345</v>
      </c>
      <c r="EB187" s="150">
        <f t="shared" si="561"/>
        <v>65.45</v>
      </c>
      <c r="EC187" s="150">
        <f t="shared" si="562"/>
        <v>0.38342120679554786</v>
      </c>
      <c r="ED187" s="150">
        <f t="shared" si="563"/>
        <v>170.69999999999996</v>
      </c>
      <c r="EE187" s="144">
        <f t="shared" si="564"/>
        <v>1.1278723231139751</v>
      </c>
      <c r="EF187" s="5">
        <f t="shared" si="565"/>
        <v>63.650673966010324</v>
      </c>
      <c r="EH187" s="150">
        <f t="shared" si="566"/>
        <v>12.036151126778005</v>
      </c>
      <c r="EI187" s="150">
        <f t="shared" si="567"/>
        <v>0.61798385399301647</v>
      </c>
      <c r="EK187" s="456">
        <f t="shared" si="568"/>
        <v>0.49255437541857411</v>
      </c>
      <c r="EL187" s="456">
        <f t="shared" si="569"/>
        <v>1.5567840000000002</v>
      </c>
      <c r="EM187" s="456">
        <f t="shared" si="570"/>
        <v>2.2381289564413095E-2</v>
      </c>
      <c r="EN187" s="456">
        <f t="shared" si="571"/>
        <v>2.0585040968296414E-2</v>
      </c>
      <c r="EO187">
        <f t="shared" si="572"/>
        <v>4.0499999999999998E-3</v>
      </c>
      <c r="EP187" s="144">
        <f t="shared" si="573"/>
        <v>26.431289564413095</v>
      </c>
      <c r="EQ187" s="144"/>
      <c r="ER187" s="144">
        <f t="shared" si="593"/>
        <v>2096.3547059512834</v>
      </c>
      <c r="ES187" s="456">
        <f t="shared" si="574"/>
        <v>0.96250000000000002</v>
      </c>
      <c r="EV187" s="144">
        <f t="shared" si="494"/>
        <v>962.5</v>
      </c>
      <c r="EW187" s="456">
        <f t="shared" si="575"/>
        <v>0.2173034009199592</v>
      </c>
      <c r="EX187" s="456">
        <f t="shared" si="576"/>
        <v>7.6380808759212382E-2</v>
      </c>
      <c r="EY187" s="456">
        <f t="shared" si="577"/>
        <v>23.045838725832766</v>
      </c>
      <c r="EZ187" s="456"/>
      <c r="FA187" s="456">
        <f t="shared" si="578"/>
        <v>8.7266666666666687E-2</v>
      </c>
      <c r="FB187" s="144">
        <f t="shared" si="579"/>
        <v>23426.789602178604</v>
      </c>
      <c r="FC187" s="150">
        <f t="shared" si="580"/>
        <v>26.485644308129888</v>
      </c>
      <c r="FD187" s="5">
        <f t="shared" si="581"/>
        <v>65.45</v>
      </c>
      <c r="FE187" s="150">
        <f t="shared" si="582"/>
        <v>0.71191103834154823</v>
      </c>
      <c r="FF187" s="5">
        <f t="shared" si="583"/>
        <v>71.191103834154816</v>
      </c>
      <c r="FI187" s="59">
        <f t="shared" si="584"/>
        <v>-50</v>
      </c>
      <c r="FJ187">
        <f t="shared" si="585"/>
        <v>-50</v>
      </c>
      <c r="FL187">
        <f t="shared" si="586"/>
        <v>0.51325919589392655</v>
      </c>
    </row>
    <row r="188" spans="5:168">
      <c r="E188" s="147">
        <v>78</v>
      </c>
      <c r="F188" s="188">
        <f t="shared" si="587"/>
        <v>0.39</v>
      </c>
      <c r="G188" s="188"/>
      <c r="H188" s="188">
        <f t="shared" si="495"/>
        <v>66.3</v>
      </c>
      <c r="I188" s="465">
        <f t="shared" si="496"/>
        <v>8.9248281642074865</v>
      </c>
      <c r="J188" s="149">
        <f t="shared" si="497"/>
        <v>8.5426705954890316</v>
      </c>
      <c r="K188" s="149">
        <f t="shared" si="498"/>
        <v>17.467498759696518</v>
      </c>
      <c r="L188" s="379"/>
      <c r="M188" s="188">
        <f t="shared" si="499"/>
        <v>0.48905878720559587</v>
      </c>
      <c r="N188" s="149">
        <f t="shared" si="500"/>
        <v>145.88501684094248</v>
      </c>
      <c r="O188" s="149">
        <f t="shared" si="438"/>
        <v>66.3</v>
      </c>
      <c r="P188" s="188">
        <f t="shared" si="501"/>
        <v>0.85814715788789697</v>
      </c>
      <c r="Q188" s="188">
        <f t="shared" si="502"/>
        <v>170</v>
      </c>
      <c r="R188" s="188"/>
      <c r="S188" s="149">
        <f t="shared" si="503"/>
        <v>584.52276704567009</v>
      </c>
      <c r="T188" s="149">
        <f t="shared" si="504"/>
        <v>170</v>
      </c>
      <c r="U188" s="188">
        <f t="shared" si="505"/>
        <v>30.531888227770011</v>
      </c>
      <c r="V188" s="188">
        <f t="shared" si="506"/>
        <v>5.1315085847058217</v>
      </c>
      <c r="W188" s="188">
        <f t="shared" si="507"/>
        <v>5.361067341849588</v>
      </c>
      <c r="X188" s="172">
        <f t="shared" si="508"/>
        <v>218.239222962144</v>
      </c>
      <c r="Y188" s="379">
        <f t="shared" si="509"/>
        <v>93.522833680933957</v>
      </c>
      <c r="AA188" s="188">
        <f t="shared" si="510"/>
        <v>13.333333333333334</v>
      </c>
      <c r="AB188" s="150">
        <f t="shared" si="511"/>
        <v>2.3411882474505137</v>
      </c>
      <c r="AC188" s="150">
        <f t="shared" si="512"/>
        <v>0.17031303464390127</v>
      </c>
      <c r="AD188" s="150"/>
      <c r="AE188" s="150">
        <f t="shared" si="513"/>
        <v>2.3411882474505137</v>
      </c>
      <c r="AF188" s="314">
        <f t="shared" si="514"/>
        <v>499.74622983610834</v>
      </c>
      <c r="AG188" s="456">
        <f t="shared" si="515"/>
        <v>0.17031303464390127</v>
      </c>
      <c r="AI188" s="150">
        <f t="shared" si="516"/>
        <v>15.932336766381395</v>
      </c>
      <c r="AJ188" s="150">
        <f t="shared" si="517"/>
        <v>30.531888227770011</v>
      </c>
      <c r="AK188" s="150">
        <f t="shared" si="518"/>
        <v>13.939670292175315</v>
      </c>
      <c r="AM188" s="314">
        <f t="shared" si="519"/>
        <v>390</v>
      </c>
      <c r="AN188" s="144">
        <f t="shared" si="520"/>
        <v>93.522833680933957</v>
      </c>
      <c r="AP188">
        <f t="shared" si="521"/>
        <v>390</v>
      </c>
      <c r="AQ188">
        <f t="shared" si="522"/>
        <v>93.522833680933957</v>
      </c>
      <c r="AS188" s="5">
        <f t="shared" si="439"/>
        <v>10.692575926555412</v>
      </c>
      <c r="AT188" s="5">
        <f t="shared" si="523"/>
        <v>5.1315085847058217</v>
      </c>
      <c r="AU188" s="5">
        <f t="shared" si="478"/>
        <v>5.56106734184959</v>
      </c>
      <c r="AV188" s="5"/>
      <c r="AW188" s="150">
        <f t="shared" si="479"/>
        <v>0.47991322389972735</v>
      </c>
      <c r="AX188" s="150">
        <f t="shared" si="435"/>
        <v>65.386222540484638</v>
      </c>
      <c r="AY188" s="150">
        <f t="shared" si="436"/>
        <v>0.3969807829158693</v>
      </c>
      <c r="AZ188" s="150">
        <f t="shared" si="440"/>
        <v>164.70878529740241</v>
      </c>
      <c r="BA188" s="144">
        <f t="shared" si="594"/>
        <v>1.1772284400207476</v>
      </c>
      <c r="BB188" s="5">
        <f t="shared" si="595"/>
        <v>68.852635587852376</v>
      </c>
      <c r="BD188" s="150">
        <f t="shared" si="441"/>
        <v>12.211651308629298</v>
      </c>
      <c r="BE188" s="150">
        <f t="shared" si="437"/>
        <v>0.63562496522608758</v>
      </c>
      <c r="BG188" s="456">
        <f t="shared" si="480"/>
        <v>0.50702305412406201</v>
      </c>
      <c r="BH188" s="456">
        <f t="shared" si="524"/>
        <v>1.1945588767141582</v>
      </c>
      <c r="BI188" s="456">
        <f t="shared" si="525"/>
        <v>3.8228125077469803E-2</v>
      </c>
      <c r="BJ188" s="456">
        <f t="shared" si="481"/>
        <v>1.9546530020996478E-2</v>
      </c>
      <c r="BK188">
        <f t="shared" si="482"/>
        <v>4.0161726738933692E-3</v>
      </c>
      <c r="BL188" s="144">
        <f t="shared" si="588"/>
        <v>42.24429775136317</v>
      </c>
      <c r="BM188" s="456">
        <f t="shared" si="526"/>
        <v>2.1125167896569783</v>
      </c>
      <c r="BN188" s="144">
        <f t="shared" si="527"/>
        <v>2112.5167896569783</v>
      </c>
      <c r="BO188" s="456">
        <f t="shared" si="483"/>
        <v>0.97500000000000009</v>
      </c>
      <c r="BR188" s="144">
        <f t="shared" si="484"/>
        <v>975.00000000000011</v>
      </c>
      <c r="BS188" s="456">
        <f t="shared" si="485"/>
        <v>0.22368664152532147</v>
      </c>
      <c r="BT188" s="456">
        <f t="shared" si="486"/>
        <v>8.0803819283733022E-2</v>
      </c>
      <c r="BU188" s="456">
        <f t="shared" si="487"/>
        <v>21.784535638254187</v>
      </c>
      <c r="BV188" s="456"/>
      <c r="BW188" s="456">
        <f t="shared" si="488"/>
        <v>8.7181630053979525E-2</v>
      </c>
      <c r="BX188" s="144">
        <f t="shared" si="489"/>
        <v>22176.207729117225</v>
      </c>
      <c r="BY188" s="150">
        <f t="shared" si="490"/>
        <v>24.9145804877278</v>
      </c>
      <c r="BZ188" s="5">
        <f t="shared" si="491"/>
        <v>66.3</v>
      </c>
      <c r="CA188" s="150">
        <f t="shared" si="492"/>
        <v>0.72685747876591</v>
      </c>
      <c r="CB188" s="5">
        <f t="shared" si="493"/>
        <v>72.685747876590995</v>
      </c>
      <c r="CE188" s="59">
        <f t="shared" si="528"/>
        <v>-50</v>
      </c>
      <c r="CF188">
        <f t="shared" si="529"/>
        <v>-50</v>
      </c>
      <c r="CG188" s="150">
        <f t="shared" si="530"/>
        <v>0.5084351020173733</v>
      </c>
      <c r="CI188" s="147">
        <v>78</v>
      </c>
      <c r="CJ188" s="188">
        <f t="shared" si="589"/>
        <v>0.39</v>
      </c>
      <c r="CK188" s="188"/>
      <c r="CL188" s="188">
        <f t="shared" si="531"/>
        <v>66.3</v>
      </c>
      <c r="CM188" s="465">
        <f t="shared" si="532"/>
        <v>9</v>
      </c>
      <c r="CN188" s="379">
        <f t="shared" si="533"/>
        <v>8.5350000000000001</v>
      </c>
      <c r="CO188" s="379">
        <f t="shared" si="534"/>
        <v>17.535</v>
      </c>
      <c r="CP188" s="379"/>
      <c r="CQ188" s="188">
        <f t="shared" si="535"/>
        <v>0.48674080410607357</v>
      </c>
      <c r="CR188" s="149">
        <f t="shared" si="590"/>
        <v>146.41650128314802</v>
      </c>
      <c r="CS188" s="149">
        <f t="shared" si="536"/>
        <v>66.3</v>
      </c>
      <c r="CT188" s="188">
        <f t="shared" si="537"/>
        <v>0.86127353695969422</v>
      </c>
      <c r="CU188" s="188">
        <f t="shared" si="538"/>
        <v>170</v>
      </c>
      <c r="CV188" s="188"/>
      <c r="CW188" s="149">
        <f t="shared" si="539"/>
        <v>589.44427634259102</v>
      </c>
      <c r="CX188" s="149">
        <f t="shared" si="540"/>
        <v>170</v>
      </c>
      <c r="CY188" s="188">
        <f t="shared" si="541"/>
        <v>30.269361452841242</v>
      </c>
      <c r="CZ188" s="188">
        <f t="shared" si="542"/>
        <v>5.04489357547354</v>
      </c>
      <c r="DA188" s="188">
        <f t="shared" si="543"/>
        <v>5.3197471797612028</v>
      </c>
      <c r="DB188" s="172">
        <f t="shared" si="544"/>
        <v>219.03336184773312</v>
      </c>
      <c r="DC188" s="379">
        <f t="shared" si="545"/>
        <v>96.481877531060817</v>
      </c>
      <c r="DE188" s="188">
        <f t="shared" si="546"/>
        <v>13.333333333333334</v>
      </c>
      <c r="DF188" s="150">
        <f t="shared" si="547"/>
        <v>2.3432923257176337</v>
      </c>
      <c r="DG188" s="150">
        <f t="shared" si="548"/>
        <v>0.17108639863130889</v>
      </c>
      <c r="DH188" s="150"/>
      <c r="DI188" s="150">
        <f t="shared" si="549"/>
        <v>2.3432923257176337</v>
      </c>
      <c r="DJ188" s="314">
        <f t="shared" si="550"/>
        <v>499.2974999999999</v>
      </c>
      <c r="DK188" s="456">
        <f t="shared" si="551"/>
        <v>0.17108639863130887</v>
      </c>
      <c r="DM188" s="150">
        <f t="shared" si="552"/>
        <v>15.925182214700984</v>
      </c>
      <c r="DN188" s="150">
        <f t="shared" si="553"/>
        <v>30.269361452841242</v>
      </c>
      <c r="DO188" s="150">
        <f t="shared" si="554"/>
        <v>13.745206014450302</v>
      </c>
      <c r="DQ188" s="314">
        <f t="shared" si="555"/>
        <v>390</v>
      </c>
      <c r="DR188" s="144">
        <f t="shared" si="556"/>
        <v>96.481877531060817</v>
      </c>
      <c r="DT188">
        <f t="shared" si="591"/>
        <v>390</v>
      </c>
      <c r="DU188">
        <f t="shared" si="592"/>
        <v>96.481877531060817</v>
      </c>
      <c r="DW188" s="5">
        <f t="shared" si="557"/>
        <v>10.36464075523474</v>
      </c>
      <c r="DX188" s="5">
        <f t="shared" si="558"/>
        <v>5.04489357547354</v>
      </c>
      <c r="DY188" s="5">
        <f t="shared" si="559"/>
        <v>5.3197471797612002</v>
      </c>
      <c r="DZ188" s="5"/>
      <c r="EA188" s="150">
        <f t="shared" si="560"/>
        <v>0.48674080410607368</v>
      </c>
      <c r="EB188" s="150">
        <f t="shared" si="561"/>
        <v>66.300000000000011</v>
      </c>
      <c r="EC188" s="150">
        <f t="shared" si="562"/>
        <v>0.38840070298769763</v>
      </c>
      <c r="ED188" s="150">
        <f t="shared" si="563"/>
        <v>170.70000000000007</v>
      </c>
      <c r="EE188" s="144">
        <f t="shared" si="564"/>
        <v>1.1573579379027532</v>
      </c>
      <c r="EF188" s="5">
        <f t="shared" si="565"/>
        <v>65.314673707068053</v>
      </c>
      <c r="EH188" s="150">
        <f t="shared" si="566"/>
        <v>12.192464777775124</v>
      </c>
      <c r="EI188" s="150">
        <f t="shared" si="567"/>
        <v>0.6260096183305881</v>
      </c>
      <c r="EK188" s="456">
        <f t="shared" si="568"/>
        <v>0.5054310710147758</v>
      </c>
      <c r="EL188" s="456">
        <f t="shared" si="569"/>
        <v>1.5567840000000004</v>
      </c>
      <c r="EM188" s="456">
        <f t="shared" si="570"/>
        <v>2.209434995461293E-2</v>
      </c>
      <c r="EN188" s="456">
        <f t="shared" si="571"/>
        <v>2.0321130186651586E-2</v>
      </c>
      <c r="EO188">
        <f t="shared" si="572"/>
        <v>4.0499999999999998E-3</v>
      </c>
      <c r="EP188" s="144">
        <f t="shared" si="573"/>
        <v>26.144349954612927</v>
      </c>
      <c r="EQ188" s="144"/>
      <c r="ER188" s="144">
        <f t="shared" si="593"/>
        <v>2108.680551156041</v>
      </c>
      <c r="ES188" s="456">
        <f t="shared" si="574"/>
        <v>0.97500000000000009</v>
      </c>
      <c r="EV188" s="144">
        <f t="shared" si="494"/>
        <v>975.00000000000011</v>
      </c>
      <c r="EW188" s="456">
        <f t="shared" si="575"/>
        <v>0.22298429603593051</v>
      </c>
      <c r="EX188" s="456">
        <f t="shared" si="576"/>
        <v>7.8377608448481725E-2</v>
      </c>
      <c r="EY188" s="456">
        <f t="shared" si="577"/>
        <v>23.045838725832766</v>
      </c>
      <c r="EZ188" s="456"/>
      <c r="FA188" s="456">
        <f t="shared" si="578"/>
        <v>8.840000000000002E-2</v>
      </c>
      <c r="FB188" s="144">
        <f t="shared" si="579"/>
        <v>23435.600630317178</v>
      </c>
      <c r="FC188" s="150">
        <f t="shared" si="580"/>
        <v>26.519281181473218</v>
      </c>
      <c r="FD188" s="5">
        <f t="shared" si="581"/>
        <v>66.3</v>
      </c>
      <c r="FE188" s="150">
        <f t="shared" si="582"/>
        <v>0.71429124591446969</v>
      </c>
      <c r="FF188" s="5">
        <f t="shared" si="583"/>
        <v>71.429124591446964</v>
      </c>
      <c r="FI188" s="59">
        <f t="shared" si="584"/>
        <v>-50</v>
      </c>
      <c r="FJ188">
        <f t="shared" si="585"/>
        <v>-50</v>
      </c>
      <c r="FL188">
        <f t="shared" si="586"/>
        <v>0.51325919589392632</v>
      </c>
    </row>
    <row r="189" spans="5:168">
      <c r="E189" s="147">
        <v>79</v>
      </c>
      <c r="F189" s="188">
        <f t="shared" si="587"/>
        <v>0.39500000000000002</v>
      </c>
      <c r="G189" s="188"/>
      <c r="H189" s="188">
        <f t="shared" si="495"/>
        <v>67.150000000000006</v>
      </c>
      <c r="I189" s="465">
        <f t="shared" si="496"/>
        <v>8.9238735657208892</v>
      </c>
      <c r="J189" s="149">
        <f t="shared" si="497"/>
        <v>8.5427680034978675</v>
      </c>
      <c r="K189" s="149">
        <f t="shared" si="498"/>
        <v>17.466641569218758</v>
      </c>
      <c r="L189" s="379"/>
      <c r="M189" s="188">
        <f t="shared" si="499"/>
        <v>0.48908836536451578</v>
      </c>
      <c r="N189" s="149">
        <f t="shared" si="500"/>
        <v>145.87823514541611</v>
      </c>
      <c r="O189" s="149">
        <f t="shared" si="438"/>
        <v>67.150000000000006</v>
      </c>
      <c r="P189" s="188">
        <f t="shared" si="501"/>
        <v>0.85810726556127126</v>
      </c>
      <c r="Q189" s="188">
        <f t="shared" si="502"/>
        <v>170</v>
      </c>
      <c r="R189" s="188"/>
      <c r="S189" s="149">
        <f t="shared" si="503"/>
        <v>574.80911261445635</v>
      </c>
      <c r="T189" s="149">
        <f t="shared" si="504"/>
        <v>170</v>
      </c>
      <c r="U189" s="188">
        <f t="shared" si="505"/>
        <v>30.925112933223168</v>
      </c>
      <c r="V189" s="188">
        <f t="shared" si="506"/>
        <v>5.1981540368324861</v>
      </c>
      <c r="W189" s="188">
        <f t="shared" si="507"/>
        <v>5.4300514049826889</v>
      </c>
      <c r="X189" s="172">
        <f t="shared" si="508"/>
        <v>218.22907758881388</v>
      </c>
      <c r="Y189" s="379">
        <f t="shared" si="509"/>
        <v>92.351406276270836</v>
      </c>
      <c r="AA189" s="188">
        <f t="shared" si="510"/>
        <v>13.333333333333336</v>
      </c>
      <c r="AB189" s="150">
        <f t="shared" si="511"/>
        <v>2.341161552299083</v>
      </c>
      <c r="AC189" s="150">
        <f t="shared" si="512"/>
        <v>0.17030317534820821</v>
      </c>
      <c r="AD189" s="150"/>
      <c r="AE189" s="150">
        <f t="shared" si="513"/>
        <v>2.3411615522990825</v>
      </c>
      <c r="AF189" s="314">
        <f t="shared" si="514"/>
        <v>506.15900420724859</v>
      </c>
      <c r="AG189" s="456">
        <f t="shared" si="515"/>
        <v>0.17030317534820816</v>
      </c>
      <c r="AI189" s="150">
        <f t="shared" si="516"/>
        <v>16.034233285618932</v>
      </c>
      <c r="AJ189" s="150">
        <f t="shared" si="517"/>
        <v>30.925112933223168</v>
      </c>
      <c r="AK189" s="150">
        <f t="shared" si="518"/>
        <v>14.230947851770244</v>
      </c>
      <c r="AM189" s="314">
        <f t="shared" si="519"/>
        <v>395</v>
      </c>
      <c r="AN189" s="144">
        <f t="shared" si="520"/>
        <v>92.351406276270836</v>
      </c>
      <c r="AP189">
        <f t="shared" si="521"/>
        <v>395</v>
      </c>
      <c r="AQ189">
        <f t="shared" si="522"/>
        <v>92.351406276270836</v>
      </c>
      <c r="AS189" s="5">
        <f t="shared" si="439"/>
        <v>10.828205441815175</v>
      </c>
      <c r="AT189" s="5">
        <f t="shared" si="523"/>
        <v>5.1981540368324861</v>
      </c>
      <c r="AU189" s="5">
        <f t="shared" si="478"/>
        <v>5.6300514049826891</v>
      </c>
      <c r="AV189" s="5"/>
      <c r="AW189" s="150">
        <f t="shared" si="479"/>
        <v>0.48005683534215426</v>
      </c>
      <c r="AX189" s="150">
        <f t="shared" si="435"/>
        <v>66.241073952990689</v>
      </c>
      <c r="AY189" s="150">
        <f t="shared" si="436"/>
        <v>0.40198252714753324</v>
      </c>
      <c r="AZ189" s="150">
        <f t="shared" si="440"/>
        <v>164.78595331751643</v>
      </c>
      <c r="BA189" s="144">
        <f t="shared" si="594"/>
        <v>1.207806379146372</v>
      </c>
      <c r="BB189" s="5">
        <f t="shared" si="595"/>
        <v>70.607968811663156</v>
      </c>
      <c r="BD189" s="150">
        <f t="shared" si="441"/>
        <v>12.37077750135119</v>
      </c>
      <c r="BE189" s="150">
        <f t="shared" si="437"/>
        <v>0.64372237932253362</v>
      </c>
      <c r="BG189" s="456">
        <f t="shared" si="480"/>
        <v>0.52032286235898506</v>
      </c>
      <c r="BH189" s="456">
        <f t="shared" si="524"/>
        <v>1.1947299015126587</v>
      </c>
      <c r="BI189" s="456">
        <f t="shared" si="525"/>
        <v>3.7745258113749132E-2</v>
      </c>
      <c r="BJ189" s="456">
        <f t="shared" si="481"/>
        <v>1.929980410905896E-2</v>
      </c>
      <c r="BK189">
        <f t="shared" si="482"/>
        <v>4.0157431045743999E-3</v>
      </c>
      <c r="BL189" s="144">
        <f t="shared" si="588"/>
        <v>41.761001218323528</v>
      </c>
      <c r="BM189" s="456">
        <f t="shared" si="526"/>
        <v>2.1393212747792147</v>
      </c>
      <c r="BN189" s="144">
        <f t="shared" si="527"/>
        <v>2139.3212747792149</v>
      </c>
      <c r="BO189" s="456">
        <f t="shared" si="483"/>
        <v>0.98750000000000004</v>
      </c>
      <c r="BR189" s="144">
        <f t="shared" si="484"/>
        <v>987.5</v>
      </c>
      <c r="BS189" s="456">
        <f t="shared" si="485"/>
        <v>0.22955420398190521</v>
      </c>
      <c r="BT189" s="456">
        <f t="shared" si="486"/>
        <v>8.2875700328132781E-2</v>
      </c>
      <c r="BU189" s="456">
        <f t="shared" si="487"/>
        <v>21.79500748877928</v>
      </c>
      <c r="BV189" s="456"/>
      <c r="BW189" s="456">
        <f t="shared" si="488"/>
        <v>8.8321431937320921E-2</v>
      </c>
      <c r="BX189" s="144">
        <f t="shared" si="489"/>
        <v>22195.758825026638</v>
      </c>
      <c r="BY189" s="150">
        <f t="shared" si="490"/>
        <v>24.959372394225664</v>
      </c>
      <c r="BZ189" s="5">
        <f t="shared" si="491"/>
        <v>67.150000000000006</v>
      </c>
      <c r="CA189" s="150">
        <f t="shared" si="492"/>
        <v>0.72902461774030758</v>
      </c>
      <c r="CB189" s="5">
        <f t="shared" si="493"/>
        <v>72.902461774030755</v>
      </c>
      <c r="CE189" s="59">
        <f t="shared" si="528"/>
        <v>-50</v>
      </c>
      <c r="CF189">
        <f t="shared" si="529"/>
        <v>-50</v>
      </c>
      <c r="CG189" s="150">
        <f t="shared" si="530"/>
        <v>0.50849616649682339</v>
      </c>
      <c r="CI189" s="147">
        <v>79</v>
      </c>
      <c r="CJ189" s="188">
        <f t="shared" si="589"/>
        <v>0.39500000000000002</v>
      </c>
      <c r="CK189" s="188"/>
      <c r="CL189" s="188">
        <f t="shared" si="531"/>
        <v>67.150000000000006</v>
      </c>
      <c r="CM189" s="465">
        <f t="shared" si="532"/>
        <v>9</v>
      </c>
      <c r="CN189" s="379">
        <f t="shared" si="533"/>
        <v>8.5350000000000001</v>
      </c>
      <c r="CO189" s="379">
        <f t="shared" si="534"/>
        <v>17.535</v>
      </c>
      <c r="CP189" s="379"/>
      <c r="CQ189" s="188">
        <f t="shared" si="535"/>
        <v>0.48674080410607357</v>
      </c>
      <c r="CR189" s="149">
        <f t="shared" si="590"/>
        <v>146.41650128314802</v>
      </c>
      <c r="CS189" s="149">
        <f t="shared" si="536"/>
        <v>67.150000000000006</v>
      </c>
      <c r="CT189" s="188">
        <f t="shared" si="537"/>
        <v>0.86127353695969422</v>
      </c>
      <c r="CU189" s="188">
        <f t="shared" si="538"/>
        <v>170</v>
      </c>
      <c r="CV189" s="188"/>
      <c r="CW189" s="149">
        <f t="shared" si="539"/>
        <v>579.7107585229777</v>
      </c>
      <c r="CX189" s="149">
        <f t="shared" si="540"/>
        <v>170</v>
      </c>
      <c r="CY189" s="188">
        <f t="shared" si="541"/>
        <v>30.657430189416132</v>
      </c>
      <c r="CZ189" s="188">
        <f t="shared" si="542"/>
        <v>5.1095716982360218</v>
      </c>
      <c r="DA189" s="188">
        <f t="shared" si="543"/>
        <v>5.3879490666812186</v>
      </c>
      <c r="DB189" s="172">
        <f t="shared" si="544"/>
        <v>219.03336184773312</v>
      </c>
      <c r="DC189" s="379">
        <f t="shared" si="545"/>
        <v>95.260587942060027</v>
      </c>
      <c r="DE189" s="188">
        <f t="shared" si="546"/>
        <v>13.333333333333334</v>
      </c>
      <c r="DF189" s="150">
        <f t="shared" si="547"/>
        <v>2.3432923257176337</v>
      </c>
      <c r="DG189" s="150">
        <f t="shared" si="548"/>
        <v>0.17108639863130889</v>
      </c>
      <c r="DH189" s="150"/>
      <c r="DI189" s="150">
        <f t="shared" si="549"/>
        <v>2.3432923257176337</v>
      </c>
      <c r="DJ189" s="314">
        <f t="shared" si="550"/>
        <v>505.6987499999999</v>
      </c>
      <c r="DK189" s="456">
        <f t="shared" si="551"/>
        <v>0.17108639863130887</v>
      </c>
      <c r="DM189" s="150">
        <f t="shared" si="552"/>
        <v>16.026941602902816</v>
      </c>
      <c r="DN189" s="150">
        <f t="shared" si="553"/>
        <v>30.657430189416132</v>
      </c>
      <c r="DO189" s="150">
        <f t="shared" si="554"/>
        <v>14.032664337839108</v>
      </c>
      <c r="DQ189" s="314">
        <f t="shared" si="555"/>
        <v>395</v>
      </c>
      <c r="DR189" s="144">
        <f t="shared" si="556"/>
        <v>95.260587942060027</v>
      </c>
      <c r="DT189">
        <f t="shared" si="591"/>
        <v>395</v>
      </c>
      <c r="DU189">
        <f t="shared" si="592"/>
        <v>95.260587942060027</v>
      </c>
      <c r="DW189" s="5">
        <f t="shared" si="557"/>
        <v>10.49752076491724</v>
      </c>
      <c r="DX189" s="5">
        <f t="shared" si="558"/>
        <v>5.1095716982360218</v>
      </c>
      <c r="DY189" s="5">
        <f t="shared" si="559"/>
        <v>5.3879490666812186</v>
      </c>
      <c r="DZ189" s="5"/>
      <c r="EA189" s="150">
        <f t="shared" si="560"/>
        <v>0.48674080410607357</v>
      </c>
      <c r="EB189" s="150">
        <f t="shared" si="561"/>
        <v>67.15000000000002</v>
      </c>
      <c r="EC189" s="150">
        <f t="shared" si="562"/>
        <v>0.39338019917984773</v>
      </c>
      <c r="ED189" s="150">
        <f t="shared" si="563"/>
        <v>170.70000000000002</v>
      </c>
      <c r="EE189" s="144">
        <f t="shared" si="564"/>
        <v>1.1872240122371933</v>
      </c>
      <c r="EF189" s="5">
        <f t="shared" si="565"/>
        <v>67.000144412526637</v>
      </c>
      <c r="EH189" s="150">
        <f t="shared" si="566"/>
        <v>12.348778428772242</v>
      </c>
      <c r="EI189" s="150">
        <f t="shared" si="567"/>
        <v>0.63403538266815984</v>
      </c>
      <c r="EK189" s="456">
        <f t="shared" si="568"/>
        <v>0.5184739175218962</v>
      </c>
      <c r="EL189" s="456">
        <f t="shared" si="569"/>
        <v>1.5567840000000002</v>
      </c>
      <c r="EM189" s="456">
        <f t="shared" si="570"/>
        <v>2.1814674638731744E-2</v>
      </c>
      <c r="EN189" s="456">
        <f t="shared" si="571"/>
        <v>2.006390069061802E-2</v>
      </c>
      <c r="EO189">
        <f t="shared" si="572"/>
        <v>4.0499999999999998E-3</v>
      </c>
      <c r="EP189" s="144">
        <f t="shared" si="573"/>
        <v>25.864674638731746</v>
      </c>
      <c r="EQ189" s="144"/>
      <c r="ER189" s="144">
        <f t="shared" si="593"/>
        <v>2121.1864928512459</v>
      </c>
      <c r="ES189" s="456">
        <f t="shared" si="574"/>
        <v>0.98750000000000004</v>
      </c>
      <c r="EV189" s="144">
        <f t="shared" si="494"/>
        <v>987.5</v>
      </c>
      <c r="EW189" s="456">
        <f t="shared" si="575"/>
        <v>0.228738493024366</v>
      </c>
      <c r="EX189" s="456">
        <f t="shared" si="576"/>
        <v>8.0400173295031976E-2</v>
      </c>
      <c r="EY189" s="456">
        <f t="shared" si="577"/>
        <v>23.045838725832724</v>
      </c>
      <c r="EZ189" s="456"/>
      <c r="FA189" s="456">
        <f t="shared" si="578"/>
        <v>8.953333333333334E-2</v>
      </c>
      <c r="FB189" s="144">
        <f t="shared" si="579"/>
        <v>23444.510725485456</v>
      </c>
      <c r="FC189" s="150">
        <f t="shared" si="580"/>
        <v>26.553197218336699</v>
      </c>
      <c r="FD189" s="5">
        <f t="shared" si="581"/>
        <v>67.150000000000006</v>
      </c>
      <c r="FE189" s="150">
        <f t="shared" si="582"/>
        <v>0.71662442684356431</v>
      </c>
      <c r="FF189" s="5">
        <f t="shared" si="583"/>
        <v>71.662442684356435</v>
      </c>
      <c r="FI189" s="59">
        <f t="shared" si="584"/>
        <v>-50</v>
      </c>
      <c r="FJ189">
        <f t="shared" si="585"/>
        <v>-50</v>
      </c>
      <c r="FL189">
        <f t="shared" si="586"/>
        <v>0.51325919589392643</v>
      </c>
    </row>
    <row r="190" spans="5:168">
      <c r="E190" s="147">
        <v>80</v>
      </c>
      <c r="F190" s="188">
        <f t="shared" si="587"/>
        <v>0.4</v>
      </c>
      <c r="G190" s="188"/>
      <c r="H190" s="188">
        <f t="shared" si="495"/>
        <v>68</v>
      </c>
      <c r="I190" s="465">
        <f t="shared" si="496"/>
        <v>8.9229189650935066</v>
      </c>
      <c r="J190" s="149">
        <f t="shared" si="497"/>
        <v>8.5428654117251508</v>
      </c>
      <c r="K190" s="149">
        <f t="shared" si="498"/>
        <v>17.465784376818657</v>
      </c>
      <c r="L190" s="379"/>
      <c r="M190" s="188">
        <f t="shared" si="499"/>
        <v>0.48911794648665974</v>
      </c>
      <c r="N190" s="149">
        <f t="shared" si="500"/>
        <v>145.87145241119219</v>
      </c>
      <c r="O190" s="149">
        <f t="shared" si="438"/>
        <v>68</v>
      </c>
      <c r="P190" s="188">
        <f t="shared" si="501"/>
        <v>0.85806736712465992</v>
      </c>
      <c r="Q190" s="188">
        <f t="shared" si="502"/>
        <v>170</v>
      </c>
      <c r="R190" s="188"/>
      <c r="S190" s="149">
        <f t="shared" si="503"/>
        <v>565.33889420002811</v>
      </c>
      <c r="T190" s="149">
        <f t="shared" si="504"/>
        <v>170</v>
      </c>
      <c r="U190" s="188">
        <f t="shared" si="505"/>
        <v>31.318383352806897</v>
      </c>
      <c r="V190" s="188">
        <f t="shared" si="506"/>
        <v>5.2648214348899502</v>
      </c>
      <c r="W190" s="188">
        <f t="shared" si="507"/>
        <v>5.4990419215469846</v>
      </c>
      <c r="X190" s="172">
        <f t="shared" si="508"/>
        <v>218.21893066450494</v>
      </c>
      <c r="Y190" s="379">
        <f t="shared" si="509"/>
        <v>91.208725199306258</v>
      </c>
      <c r="AA190" s="188">
        <f t="shared" si="510"/>
        <v>13.333333333333334</v>
      </c>
      <c r="AB190" s="150">
        <f t="shared" si="511"/>
        <v>2.3411348576965572</v>
      </c>
      <c r="AC190" s="150">
        <f t="shared" si="512"/>
        <v>0.17029331506264689</v>
      </c>
      <c r="AD190" s="150"/>
      <c r="AE190" s="150">
        <f t="shared" si="513"/>
        <v>2.3411348576965572</v>
      </c>
      <c r="AF190" s="314">
        <f t="shared" si="514"/>
        <v>512.57192470350901</v>
      </c>
      <c r="AG190" s="456">
        <f t="shared" si="515"/>
        <v>0.17029331506264692</v>
      </c>
      <c r="AI190" s="150">
        <f t="shared" si="516"/>
        <v>16.135488635309283</v>
      </c>
      <c r="AJ190" s="150">
        <f t="shared" si="517"/>
        <v>31.318383352806897</v>
      </c>
      <c r="AK190" s="150">
        <f t="shared" si="518"/>
        <v>14.522259273684119</v>
      </c>
      <c r="AM190" s="314">
        <f t="shared" si="519"/>
        <v>400</v>
      </c>
      <c r="AN190" s="144">
        <f t="shared" si="520"/>
        <v>91.208725199306258</v>
      </c>
      <c r="AP190">
        <f t="shared" si="521"/>
        <v>400</v>
      </c>
      <c r="AQ190">
        <f t="shared" si="522"/>
        <v>91.208725199306258</v>
      </c>
      <c r="AS190" s="5">
        <f t="shared" si="439"/>
        <v>10.963863356436935</v>
      </c>
      <c r="AT190" s="5">
        <f t="shared" si="523"/>
        <v>5.2648214348899502</v>
      </c>
      <c r="AU190" s="5">
        <f t="shared" si="478"/>
        <v>5.6990419215469847</v>
      </c>
      <c r="AV190" s="5"/>
      <c r="AW190" s="150">
        <f t="shared" si="479"/>
        <v>0.48019765147829474</v>
      </c>
      <c r="AX190" s="150">
        <f t="shared" si="435"/>
        <v>67.095952216801095</v>
      </c>
      <c r="AY190" s="150">
        <f t="shared" si="436"/>
        <v>0.40698423046730259</v>
      </c>
      <c r="AZ190" s="150">
        <f t="shared" si="440"/>
        <v>164.86130713163254</v>
      </c>
      <c r="BA190" s="144">
        <f t="shared" si="594"/>
        <v>1.2387815140917531</v>
      </c>
      <c r="BB190" s="5">
        <f t="shared" si="595"/>
        <v>72.385664411170225</v>
      </c>
      <c r="BD190" s="150">
        <f t="shared" si="441"/>
        <v>12.529932294316788</v>
      </c>
      <c r="BE190" s="150">
        <f t="shared" si="437"/>
        <v>0.65182022440552578</v>
      </c>
      <c r="BG190" s="456">
        <f t="shared" si="480"/>
        <v>0.53379729122055342</v>
      </c>
      <c r="BH190" s="456">
        <f t="shared" si="524"/>
        <v>1.1948938712257064</v>
      </c>
      <c r="BI190" s="456">
        <f t="shared" si="525"/>
        <v>3.7274241324920444E-2</v>
      </c>
      <c r="BJ190" s="456">
        <f t="shared" si="481"/>
        <v>1.9059133224888343E-2</v>
      </c>
      <c r="BK190">
        <f t="shared" si="482"/>
        <v>4.015313534292078E-3</v>
      </c>
      <c r="BL190" s="144">
        <f t="shared" si="588"/>
        <v>41.289554859212522</v>
      </c>
      <c r="BM190" s="456">
        <f t="shared" si="526"/>
        <v>2.1666755345348574</v>
      </c>
      <c r="BN190" s="144">
        <f t="shared" si="527"/>
        <v>2166.6755345348574</v>
      </c>
      <c r="BO190" s="456">
        <f t="shared" si="483"/>
        <v>1</v>
      </c>
      <c r="BR190" s="144">
        <f t="shared" si="484"/>
        <v>1000</v>
      </c>
      <c r="BS190" s="456">
        <f t="shared" si="485"/>
        <v>0.23549880495024417</v>
      </c>
      <c r="BT190" s="456">
        <f t="shared" si="486"/>
        <v>8.4973920988814011E-2</v>
      </c>
      <c r="BU190" s="456">
        <f t="shared" si="487"/>
        <v>21.805161528027398</v>
      </c>
      <c r="BV190" s="456"/>
      <c r="BW190" s="456">
        <f t="shared" si="488"/>
        <v>8.9461269622401474E-2</v>
      </c>
      <c r="BX190" s="144">
        <f t="shared" si="489"/>
        <v>22215.095523588858</v>
      </c>
      <c r="BY190" s="150">
        <f t="shared" si="490"/>
        <v>25.004135374119219</v>
      </c>
      <c r="BZ190" s="5">
        <f t="shared" si="491"/>
        <v>68</v>
      </c>
      <c r="CA190" s="150">
        <f t="shared" si="492"/>
        <v>0.73115028408642935</v>
      </c>
      <c r="CB190" s="5">
        <f t="shared" si="493"/>
        <v>73.115028408642928</v>
      </c>
      <c r="CE190" s="59">
        <f t="shared" si="528"/>
        <v>-50</v>
      </c>
      <c r="CF190">
        <f t="shared" si="529"/>
        <v>-50</v>
      </c>
      <c r="CG190" s="150">
        <f t="shared" si="530"/>
        <v>0.50855570436428732</v>
      </c>
      <c r="CI190" s="147">
        <v>80</v>
      </c>
      <c r="CJ190" s="188">
        <f t="shared" si="589"/>
        <v>0.4</v>
      </c>
      <c r="CK190" s="188"/>
      <c r="CL190" s="188">
        <f t="shared" si="531"/>
        <v>68</v>
      </c>
      <c r="CM190" s="465">
        <f t="shared" si="532"/>
        <v>9</v>
      </c>
      <c r="CN190" s="379">
        <f t="shared" si="533"/>
        <v>8.5350000000000001</v>
      </c>
      <c r="CO190" s="379">
        <f t="shared" si="534"/>
        <v>17.535</v>
      </c>
      <c r="CP190" s="379"/>
      <c r="CQ190" s="188">
        <f t="shared" si="535"/>
        <v>0.48674080410607357</v>
      </c>
      <c r="CR190" s="149">
        <f t="shared" si="590"/>
        <v>146.41650128314802</v>
      </c>
      <c r="CS190" s="149">
        <f t="shared" si="536"/>
        <v>68</v>
      </c>
      <c r="CT190" s="188">
        <f t="shared" si="537"/>
        <v>0.86127353695969422</v>
      </c>
      <c r="CU190" s="188">
        <f t="shared" si="538"/>
        <v>170</v>
      </c>
      <c r="CV190" s="188"/>
      <c r="CW190" s="149">
        <f t="shared" si="539"/>
        <v>570.22069615070814</v>
      </c>
      <c r="CX190" s="149">
        <f t="shared" si="540"/>
        <v>170</v>
      </c>
      <c r="CY190" s="188">
        <f t="shared" si="541"/>
        <v>31.045498925991019</v>
      </c>
      <c r="CZ190" s="188">
        <f t="shared" si="542"/>
        <v>5.1742498209985026</v>
      </c>
      <c r="DA190" s="188">
        <f t="shared" si="543"/>
        <v>5.4561509536012327</v>
      </c>
      <c r="DB190" s="172">
        <f t="shared" si="544"/>
        <v>219.03336184773312</v>
      </c>
      <c r="DC190" s="379">
        <f t="shared" si="545"/>
        <v>94.069830592784285</v>
      </c>
      <c r="DE190" s="188">
        <f t="shared" si="546"/>
        <v>13.333333333333334</v>
      </c>
      <c r="DF190" s="150">
        <f t="shared" si="547"/>
        <v>2.3432923257176337</v>
      </c>
      <c r="DG190" s="150">
        <f t="shared" si="548"/>
        <v>0.17108639863130889</v>
      </c>
      <c r="DH190" s="150"/>
      <c r="DI190" s="150">
        <f t="shared" si="549"/>
        <v>2.3432923257176337</v>
      </c>
      <c r="DJ190" s="314">
        <f t="shared" si="550"/>
        <v>512.09999999999991</v>
      </c>
      <c r="DK190" s="456">
        <f t="shared" si="551"/>
        <v>0.17108639863130887</v>
      </c>
      <c r="DM190" s="150">
        <f t="shared" si="552"/>
        <v>16.128058956808339</v>
      </c>
      <c r="DN190" s="150">
        <f t="shared" si="553"/>
        <v>31.045498925991019</v>
      </c>
      <c r="DO190" s="150">
        <f t="shared" si="554"/>
        <v>14.320122661227913</v>
      </c>
      <c r="DQ190" s="314">
        <f t="shared" si="555"/>
        <v>400</v>
      </c>
      <c r="DR190" s="144">
        <f t="shared" si="556"/>
        <v>94.069830592784285</v>
      </c>
      <c r="DT190">
        <f t="shared" si="591"/>
        <v>400</v>
      </c>
      <c r="DU190">
        <f t="shared" si="592"/>
        <v>94.069830592784285</v>
      </c>
      <c r="DW190" s="5">
        <f t="shared" si="557"/>
        <v>10.630400774599737</v>
      </c>
      <c r="DX190" s="5">
        <f t="shared" si="558"/>
        <v>5.1742498209985026</v>
      </c>
      <c r="DY190" s="5">
        <f t="shared" si="559"/>
        <v>5.4561509536012345</v>
      </c>
      <c r="DZ190" s="5"/>
      <c r="EA190" s="150">
        <f t="shared" si="560"/>
        <v>0.48674080410607351</v>
      </c>
      <c r="EB190" s="150">
        <f t="shared" si="561"/>
        <v>68.000000000000014</v>
      </c>
      <c r="EC190" s="150">
        <f t="shared" si="562"/>
        <v>0.39835969537199778</v>
      </c>
      <c r="ED190" s="150">
        <f t="shared" si="563"/>
        <v>170.7</v>
      </c>
      <c r="EE190" s="144">
        <f t="shared" si="564"/>
        <v>1.2174705461172948</v>
      </c>
      <c r="EF190" s="5">
        <f t="shared" si="565"/>
        <v>68.707086082385914</v>
      </c>
      <c r="EH190" s="150">
        <f t="shared" si="566"/>
        <v>12.505092079769357</v>
      </c>
      <c r="EI190" s="150">
        <f t="shared" si="567"/>
        <v>0.64206114700573147</v>
      </c>
      <c r="EK190" s="456">
        <f t="shared" si="568"/>
        <v>0.53168291493993503</v>
      </c>
      <c r="EL190" s="456">
        <f t="shared" si="569"/>
        <v>1.5567840000000002</v>
      </c>
      <c r="EM190" s="456">
        <f t="shared" si="570"/>
        <v>2.1541991205747599E-2</v>
      </c>
      <c r="EN190" s="456">
        <f t="shared" si="571"/>
        <v>1.9813101931985294E-2</v>
      </c>
      <c r="EO190">
        <f t="shared" si="572"/>
        <v>4.0499999999999998E-3</v>
      </c>
      <c r="EP190" s="144">
        <f t="shared" si="573"/>
        <v>25.5919912057476</v>
      </c>
      <c r="EQ190" s="144"/>
      <c r="ER190" s="144">
        <f t="shared" si="593"/>
        <v>2133.8720080776679</v>
      </c>
      <c r="ES190" s="456">
        <f t="shared" si="574"/>
        <v>1</v>
      </c>
      <c r="EV190" s="144">
        <f t="shared" si="494"/>
        <v>1000</v>
      </c>
      <c r="EW190" s="456">
        <f t="shared" si="575"/>
        <v>0.23456599188526547</v>
      </c>
      <c r="EX190" s="456">
        <f t="shared" si="576"/>
        <v>8.2448503298863107E-2</v>
      </c>
      <c r="EY190" s="456">
        <f t="shared" si="577"/>
        <v>23.045838725832766</v>
      </c>
      <c r="EZ190" s="456"/>
      <c r="FA190" s="456">
        <f t="shared" si="578"/>
        <v>9.0666666666666687E-2</v>
      </c>
      <c r="FB190" s="144">
        <f t="shared" si="579"/>
        <v>23453.519887683564</v>
      </c>
      <c r="FC190" s="150">
        <f t="shared" si="580"/>
        <v>26.587391895761229</v>
      </c>
      <c r="FD190" s="5">
        <f t="shared" si="581"/>
        <v>68</v>
      </c>
      <c r="FE190" s="150">
        <f t="shared" si="582"/>
        <v>0.71891188283252905</v>
      </c>
      <c r="FF190" s="5">
        <f t="shared" si="583"/>
        <v>71.891188283252902</v>
      </c>
      <c r="FI190" s="59">
        <f t="shared" si="584"/>
        <v>-50</v>
      </c>
      <c r="FJ190">
        <f t="shared" si="585"/>
        <v>-50</v>
      </c>
      <c r="FL190">
        <f t="shared" si="586"/>
        <v>0.51325919589392655</v>
      </c>
    </row>
    <row r="191" spans="5:168">
      <c r="E191" s="147">
        <v>81</v>
      </c>
      <c r="F191" s="188">
        <f t="shared" si="587"/>
        <v>0.40500000000000003</v>
      </c>
      <c r="G191" s="188"/>
      <c r="H191" s="188">
        <f t="shared" si="495"/>
        <v>68.850000000000009</v>
      </c>
      <c r="I191" s="465">
        <f t="shared" si="496"/>
        <v>8.9219643624053493</v>
      </c>
      <c r="J191" s="149">
        <f t="shared" si="497"/>
        <v>8.5429628201627192</v>
      </c>
      <c r="K191" s="149">
        <f t="shared" si="498"/>
        <v>17.464927182568069</v>
      </c>
      <c r="L191" s="379"/>
      <c r="M191" s="188">
        <f t="shared" si="499"/>
        <v>0.4891475305702338</v>
      </c>
      <c r="N191" s="149">
        <f t="shared" si="500"/>
        <v>145.86466863875381</v>
      </c>
      <c r="O191" s="149">
        <f t="shared" si="438"/>
        <v>68.850000000000009</v>
      </c>
      <c r="P191" s="188">
        <f t="shared" si="501"/>
        <v>0.85802746258090479</v>
      </c>
      <c r="Q191" s="188">
        <f t="shared" si="502"/>
        <v>170</v>
      </c>
      <c r="R191" s="188"/>
      <c r="S191" s="149">
        <f t="shared" si="503"/>
        <v>556.10309702358018</v>
      </c>
      <c r="T191" s="149">
        <f t="shared" si="504"/>
        <v>170</v>
      </c>
      <c r="U191" s="188">
        <f t="shared" si="505"/>
        <v>31.711699501194708</v>
      </c>
      <c r="V191" s="188">
        <f t="shared" si="506"/>
        <v>5.3315107883896458</v>
      </c>
      <c r="W191" s="188">
        <f t="shared" si="507"/>
        <v>5.5680388938981755</v>
      </c>
      <c r="X191" s="172">
        <f t="shared" si="508"/>
        <v>218.20878218983268</v>
      </c>
      <c r="Y191" s="379">
        <f t="shared" si="509"/>
        <v>90.093745117944437</v>
      </c>
      <c r="AA191" s="188">
        <f t="shared" si="510"/>
        <v>13.333333333333334</v>
      </c>
      <c r="AB191" s="150">
        <f t="shared" si="511"/>
        <v>2.3411081636451581</v>
      </c>
      <c r="AC191" s="150">
        <f t="shared" si="512"/>
        <v>0.17028345378789519</v>
      </c>
      <c r="AD191" s="150"/>
      <c r="AE191" s="150">
        <f t="shared" si="513"/>
        <v>2.3411081636451581</v>
      </c>
      <c r="AF191" s="314">
        <f t="shared" si="514"/>
        <v>518.98499132488507</v>
      </c>
      <c r="AG191" s="456">
        <f t="shared" si="515"/>
        <v>0.17028345378789514</v>
      </c>
      <c r="AI191" s="150">
        <f t="shared" si="516"/>
        <v>16.236114811278622</v>
      </c>
      <c r="AJ191" s="150">
        <f t="shared" si="517"/>
        <v>31.711699501194708</v>
      </c>
      <c r="AK191" s="150">
        <f t="shared" si="518"/>
        <v>14.8136045687862</v>
      </c>
      <c r="AM191" s="314">
        <f t="shared" si="519"/>
        <v>405</v>
      </c>
      <c r="AN191" s="144">
        <f t="shared" si="520"/>
        <v>90.093745117944437</v>
      </c>
      <c r="AP191">
        <f t="shared" si="521"/>
        <v>405</v>
      </c>
      <c r="AQ191">
        <f t="shared" si="522"/>
        <v>90.093745117944437</v>
      </c>
      <c r="AS191" s="5">
        <f t="shared" si="439"/>
        <v>11.099549682287821</v>
      </c>
      <c r="AT191" s="5">
        <f t="shared" si="523"/>
        <v>5.3315107883896458</v>
      </c>
      <c r="AU191" s="5">
        <f t="shared" si="478"/>
        <v>5.7680388938981748</v>
      </c>
      <c r="AV191" s="5"/>
      <c r="AW191" s="150">
        <f t="shared" si="479"/>
        <v>0.48033577406274769</v>
      </c>
      <c r="AX191" s="150">
        <f t="shared" si="435"/>
        <v>67.950857064418784</v>
      </c>
      <c r="AY191" s="150">
        <f t="shared" si="436"/>
        <v>0.41198589436107752</v>
      </c>
      <c r="AZ191" s="150">
        <f t="shared" si="440"/>
        <v>164.93491159399863</v>
      </c>
      <c r="BA191" s="144">
        <f t="shared" si="594"/>
        <v>1.2701540407634155</v>
      </c>
      <c r="BB191" s="5">
        <f t="shared" si="595"/>
        <v>74.185732669343778</v>
      </c>
      <c r="BD191" s="150">
        <f t="shared" si="441"/>
        <v>12.689115677431259</v>
      </c>
      <c r="BE191" s="150">
        <f t="shared" si="437"/>
        <v>0.65991850205686853</v>
      </c>
      <c r="BG191" s="456">
        <f t="shared" si="480"/>
        <v>0.54744643269578785</v>
      </c>
      <c r="BH191" s="456">
        <f t="shared" si="524"/>
        <v>1.1950510422966136</v>
      </c>
      <c r="BI191" s="456">
        <f t="shared" si="525"/>
        <v>3.6814643791381246E-2</v>
      </c>
      <c r="BJ191" s="456">
        <f t="shared" si="481"/>
        <v>1.8824297183489953E-2</v>
      </c>
      <c r="BK191">
        <f t="shared" si="482"/>
        <v>4.0148839630824067E-3</v>
      </c>
      <c r="BL191" s="144">
        <f t="shared" si="588"/>
        <v>40.829527754463655</v>
      </c>
      <c r="BM191" s="456">
        <f t="shared" si="526"/>
        <v>2.1945897837734747</v>
      </c>
      <c r="BN191" s="144">
        <f t="shared" si="527"/>
        <v>2194.5897837734747</v>
      </c>
      <c r="BO191" s="456">
        <f t="shared" si="483"/>
        <v>1.0125000000000002</v>
      </c>
      <c r="BR191" s="144">
        <f t="shared" si="484"/>
        <v>1012.5000000000002</v>
      </c>
      <c r="BS191" s="456">
        <f t="shared" si="485"/>
        <v>0.24152048501284762</v>
      </c>
      <c r="BT191" s="456">
        <f t="shared" si="486"/>
        <v>8.7098485871396236E-2</v>
      </c>
      <c r="BU191" s="456">
        <f t="shared" si="487"/>
        <v>21.815009142924971</v>
      </c>
      <c r="BV191" s="456"/>
      <c r="BW191" s="456">
        <f t="shared" si="488"/>
        <v>9.0601142752558372E-2</v>
      </c>
      <c r="BX191" s="144">
        <f t="shared" si="489"/>
        <v>22234.229256561772</v>
      </c>
      <c r="BY191" s="150">
        <f t="shared" si="490"/>
        <v>25.048880556492129</v>
      </c>
      <c r="BZ191" s="5">
        <f t="shared" si="491"/>
        <v>68.850000000000009</v>
      </c>
      <c r="CA191" s="150">
        <f t="shared" si="492"/>
        <v>0.73323557844310994</v>
      </c>
      <c r="CB191" s="5">
        <f t="shared" si="493"/>
        <v>73.323557844310997</v>
      </c>
      <c r="CE191" s="59">
        <f t="shared" si="528"/>
        <v>-50</v>
      </c>
      <c r="CF191">
        <f t="shared" si="529"/>
        <v>-50</v>
      </c>
      <c r="CG191" s="150">
        <f t="shared" si="530"/>
        <v>0.5086137721609495</v>
      </c>
      <c r="CI191" s="147">
        <v>81</v>
      </c>
      <c r="CJ191" s="188">
        <f t="shared" si="589"/>
        <v>0.40500000000000003</v>
      </c>
      <c r="CK191" s="188"/>
      <c r="CL191" s="188">
        <f t="shared" si="531"/>
        <v>68.850000000000009</v>
      </c>
      <c r="CM191" s="465">
        <f t="shared" si="532"/>
        <v>9</v>
      </c>
      <c r="CN191" s="379">
        <f t="shared" si="533"/>
        <v>8.5350000000000001</v>
      </c>
      <c r="CO191" s="379">
        <f t="shared" si="534"/>
        <v>17.535</v>
      </c>
      <c r="CP191" s="379"/>
      <c r="CQ191" s="188">
        <f t="shared" si="535"/>
        <v>0.48674080410607357</v>
      </c>
      <c r="CR191" s="149">
        <f t="shared" si="590"/>
        <v>146.41650128314802</v>
      </c>
      <c r="CS191" s="149">
        <f t="shared" si="536"/>
        <v>68.850000000000009</v>
      </c>
      <c r="CT191" s="188">
        <f t="shared" si="537"/>
        <v>0.86127353695969422</v>
      </c>
      <c r="CU191" s="188">
        <f t="shared" si="538"/>
        <v>170</v>
      </c>
      <c r="CV191" s="188"/>
      <c r="CW191" s="149">
        <f t="shared" si="539"/>
        <v>560.96507372118629</v>
      </c>
      <c r="CX191" s="149">
        <f t="shared" si="540"/>
        <v>170</v>
      </c>
      <c r="CY191" s="188">
        <f t="shared" si="541"/>
        <v>31.43356766256591</v>
      </c>
      <c r="CZ191" s="188">
        <f t="shared" si="542"/>
        <v>5.2389279437609844</v>
      </c>
      <c r="DA191" s="188">
        <f t="shared" si="543"/>
        <v>5.5243528405212494</v>
      </c>
      <c r="DB191" s="172">
        <f t="shared" si="544"/>
        <v>219.03336184773312</v>
      </c>
      <c r="DC191" s="379">
        <f t="shared" si="545"/>
        <v>92.908474659540019</v>
      </c>
      <c r="DE191" s="188">
        <f t="shared" si="546"/>
        <v>13.333333333333334</v>
      </c>
      <c r="DF191" s="150">
        <f t="shared" si="547"/>
        <v>2.3432923257176337</v>
      </c>
      <c r="DG191" s="150">
        <f t="shared" si="548"/>
        <v>0.17108639863130889</v>
      </c>
      <c r="DH191" s="150"/>
      <c r="DI191" s="150">
        <f t="shared" si="549"/>
        <v>2.3432923257176337</v>
      </c>
      <c r="DJ191" s="314">
        <f t="shared" si="550"/>
        <v>518.50124999999991</v>
      </c>
      <c r="DK191" s="456">
        <f t="shared" si="551"/>
        <v>0.17108639863130887</v>
      </c>
      <c r="DM191" s="150">
        <f t="shared" si="552"/>
        <v>16.228546277646505</v>
      </c>
      <c r="DN191" s="150">
        <f t="shared" si="553"/>
        <v>31.43356766256591</v>
      </c>
      <c r="DO191" s="150">
        <f t="shared" si="554"/>
        <v>14.607580984616723</v>
      </c>
      <c r="DQ191" s="314">
        <f t="shared" si="555"/>
        <v>405</v>
      </c>
      <c r="DR191" s="144">
        <f t="shared" si="556"/>
        <v>92.908474659540019</v>
      </c>
      <c r="DT191">
        <f t="shared" si="591"/>
        <v>405</v>
      </c>
      <c r="DU191">
        <f t="shared" si="592"/>
        <v>92.908474659540019</v>
      </c>
      <c r="DW191" s="5">
        <f t="shared" si="557"/>
        <v>10.763280784282236</v>
      </c>
      <c r="DX191" s="5">
        <f t="shared" si="558"/>
        <v>5.2389279437609844</v>
      </c>
      <c r="DY191" s="5">
        <f t="shared" si="559"/>
        <v>5.5243528405212512</v>
      </c>
      <c r="DZ191" s="5"/>
      <c r="EA191" s="150">
        <f t="shared" si="560"/>
        <v>0.48674080410607345</v>
      </c>
      <c r="EB191" s="150">
        <f t="shared" si="561"/>
        <v>68.850000000000009</v>
      </c>
      <c r="EC191" s="150">
        <f t="shared" si="562"/>
        <v>0.40333919156414783</v>
      </c>
      <c r="ED191" s="150">
        <f t="shared" si="563"/>
        <v>170.69999999999993</v>
      </c>
      <c r="EE191" s="144">
        <f t="shared" si="564"/>
        <v>1.248097539543058</v>
      </c>
      <c r="EF191" s="5">
        <f t="shared" si="565"/>
        <v>70.435498716645952</v>
      </c>
      <c r="EH191" s="150">
        <f t="shared" si="566"/>
        <v>12.661405730766473</v>
      </c>
      <c r="EI191" s="150">
        <f t="shared" si="567"/>
        <v>0.65008691134330321</v>
      </c>
      <c r="EK191" s="456">
        <f t="shared" si="568"/>
        <v>0.54505806326889272</v>
      </c>
      <c r="EL191" s="456">
        <f t="shared" si="569"/>
        <v>1.5567839999999999</v>
      </c>
      <c r="EM191" s="456">
        <f t="shared" si="570"/>
        <v>2.1276040697034666E-2</v>
      </c>
      <c r="EN191" s="456">
        <f t="shared" si="571"/>
        <v>1.9568495735294116E-2</v>
      </c>
      <c r="EO191">
        <f t="shared" si="572"/>
        <v>4.0499999999999998E-3</v>
      </c>
      <c r="EP191" s="144">
        <f t="shared" si="573"/>
        <v>25.326040697034667</v>
      </c>
      <c r="EQ191" s="144"/>
      <c r="ER191" s="144">
        <f t="shared" si="593"/>
        <v>2146.7365997012212</v>
      </c>
      <c r="ES191" s="456">
        <f t="shared" si="574"/>
        <v>1.0125000000000002</v>
      </c>
      <c r="EV191" s="144">
        <f t="shared" si="494"/>
        <v>1012.5000000000002</v>
      </c>
      <c r="EW191" s="456">
        <f t="shared" si="575"/>
        <v>0.24046679261862916</v>
      </c>
      <c r="EX191" s="456">
        <f t="shared" si="576"/>
        <v>8.452259845997516E-2</v>
      </c>
      <c r="EY191" s="456">
        <f t="shared" si="577"/>
        <v>23.045838725832727</v>
      </c>
      <c r="EZ191" s="456"/>
      <c r="FA191" s="456">
        <f t="shared" si="578"/>
        <v>9.180000000000002E-2</v>
      </c>
      <c r="FB191" s="144">
        <f t="shared" si="579"/>
        <v>23462.628116911328</v>
      </c>
      <c r="FC191" s="150">
        <f t="shared" si="580"/>
        <v>26.621864716612553</v>
      </c>
      <c r="FD191" s="5">
        <f t="shared" si="581"/>
        <v>68.850000000000009</v>
      </c>
      <c r="FE191" s="150">
        <f t="shared" si="582"/>
        <v>0.72115486802699669</v>
      </c>
      <c r="FF191" s="5">
        <f t="shared" si="583"/>
        <v>72.115486802699664</v>
      </c>
      <c r="FI191" s="59">
        <f t="shared" si="584"/>
        <v>-50</v>
      </c>
      <c r="FJ191">
        <f t="shared" si="585"/>
        <v>-50</v>
      </c>
      <c r="FL191">
        <f t="shared" si="586"/>
        <v>0.51325919589392655</v>
      </c>
    </row>
    <row r="192" spans="5:168">
      <c r="E192" s="147">
        <v>82</v>
      </c>
      <c r="F192" s="188">
        <f t="shared" si="587"/>
        <v>0.41</v>
      </c>
      <c r="G192" s="188"/>
      <c r="H192" s="188">
        <f t="shared" si="495"/>
        <v>69.7</v>
      </c>
      <c r="I192" s="465">
        <f t="shared" si="496"/>
        <v>8.9210097577324934</v>
      </c>
      <c r="J192" s="149">
        <f t="shared" si="497"/>
        <v>8.5430602288028066</v>
      </c>
      <c r="K192" s="149">
        <f t="shared" si="498"/>
        <v>17.4640699865353</v>
      </c>
      <c r="L192" s="379"/>
      <c r="M192" s="188">
        <f t="shared" si="499"/>
        <v>0.4891771176135537</v>
      </c>
      <c r="N192" s="149">
        <f t="shared" si="500"/>
        <v>145.85788382855304</v>
      </c>
      <c r="O192" s="149">
        <f t="shared" si="438"/>
        <v>69.7</v>
      </c>
      <c r="P192" s="188">
        <f t="shared" si="501"/>
        <v>0.85798755193266496</v>
      </c>
      <c r="Q192" s="188">
        <f t="shared" si="502"/>
        <v>170</v>
      </c>
      <c r="R192" s="188"/>
      <c r="S192" s="149">
        <f t="shared" si="503"/>
        <v>547.09314607232477</v>
      </c>
      <c r="T192" s="149">
        <f t="shared" si="504"/>
        <v>170</v>
      </c>
      <c r="U192" s="188">
        <f t="shared" si="505"/>
        <v>32.105061393066414</v>
      </c>
      <c r="V192" s="188">
        <f t="shared" si="506"/>
        <v>5.3982221068481522</v>
      </c>
      <c r="W192" s="188">
        <f t="shared" si="507"/>
        <v>5.6370423243929597</v>
      </c>
      <c r="X192" s="172">
        <f t="shared" si="508"/>
        <v>218.19863216537095</v>
      </c>
      <c r="Y192" s="379">
        <f t="shared" si="509"/>
        <v>89.005470776403826</v>
      </c>
      <c r="AA192" s="188">
        <f t="shared" si="510"/>
        <v>13.333333333333334</v>
      </c>
      <c r="AB192" s="150">
        <f t="shared" si="511"/>
        <v>2.3410814701469955</v>
      </c>
      <c r="AC192" s="150">
        <f t="shared" si="512"/>
        <v>0.17027359152459007</v>
      </c>
      <c r="AD192" s="150"/>
      <c r="AE192" s="150">
        <f t="shared" si="513"/>
        <v>2.3410814701469955</v>
      </c>
      <c r="AF192" s="314">
        <f t="shared" si="514"/>
        <v>525.39820407137245</v>
      </c>
      <c r="AG192" s="456">
        <f t="shared" si="515"/>
        <v>0.17027359152459007</v>
      </c>
      <c r="AI192" s="150">
        <f t="shared" si="516"/>
        <v>16.336123440159412</v>
      </c>
      <c r="AJ192" s="150">
        <f t="shared" si="517"/>
        <v>32.105061393066414</v>
      </c>
      <c r="AK192" s="150">
        <f t="shared" si="518"/>
        <v>15.104983747950428</v>
      </c>
      <c r="AM192" s="314">
        <f t="shared" si="519"/>
        <v>410</v>
      </c>
      <c r="AN192" s="144">
        <f t="shared" si="520"/>
        <v>89.005470776403826</v>
      </c>
      <c r="AP192">
        <f t="shared" si="521"/>
        <v>410</v>
      </c>
      <c r="AQ192">
        <f t="shared" si="522"/>
        <v>89.005470776403826</v>
      </c>
      <c r="AS192" s="5">
        <f t="shared" si="439"/>
        <v>11.235264431241111</v>
      </c>
      <c r="AT192" s="5">
        <f t="shared" si="523"/>
        <v>5.3982221068481522</v>
      </c>
      <c r="AU192" s="5">
        <f t="shared" si="478"/>
        <v>5.837042324392959</v>
      </c>
      <c r="AV192" s="5"/>
      <c r="AW192" s="150">
        <f t="shared" si="479"/>
        <v>0.48047129997561028</v>
      </c>
      <c r="AX192" s="150">
        <f t="shared" si="435"/>
        <v>68.805788241160883</v>
      </c>
      <c r="AY192" s="150">
        <f t="shared" si="436"/>
        <v>0.41698752024357544</v>
      </c>
      <c r="AZ192" s="150">
        <f t="shared" si="440"/>
        <v>165.00682850405036</v>
      </c>
      <c r="BA192" s="144">
        <f t="shared" si="594"/>
        <v>1.301924155181025</v>
      </c>
      <c r="BB192" s="5">
        <f t="shared" si="595"/>
        <v>76.008183875065185</v>
      </c>
      <c r="BD192" s="150">
        <f t="shared" si="441"/>
        <v>12.848327641500832</v>
      </c>
      <c r="BE192" s="150">
        <f t="shared" si="437"/>
        <v>0.66801721378924839</v>
      </c>
      <c r="BG192" s="456">
        <f t="shared" si="480"/>
        <v>0.56127037882340469</v>
      </c>
      <c r="BH192" s="456">
        <f t="shared" si="524"/>
        <v>1.1952016588838472</v>
      </c>
      <c r="BI192" s="456">
        <f t="shared" si="525"/>
        <v>3.636605523658458E-2</v>
      </c>
      <c r="BJ192" s="456">
        <f t="shared" si="481"/>
        <v>1.8595086347756265E-2</v>
      </c>
      <c r="BK192">
        <f t="shared" si="482"/>
        <v>4.0144543909796217E-3</v>
      </c>
      <c r="BL192" s="144">
        <f t="shared" si="588"/>
        <v>40.380509627564201</v>
      </c>
      <c r="BM192" s="456">
        <f t="shared" si="526"/>
        <v>2.223074551095277</v>
      </c>
      <c r="BN192" s="144">
        <f t="shared" si="527"/>
        <v>2223.074551095277</v>
      </c>
      <c r="BO192" s="456">
        <f t="shared" si="483"/>
        <v>1.0249999999999999</v>
      </c>
      <c r="BR192" s="144">
        <f t="shared" si="484"/>
        <v>1025</v>
      </c>
      <c r="BS192" s="456">
        <f t="shared" si="485"/>
        <v>0.24761928477503151</v>
      </c>
      <c r="BT192" s="456">
        <f t="shared" si="486"/>
        <v>8.9249399583750083E-2</v>
      </c>
      <c r="BU192" s="456">
        <f t="shared" si="487"/>
        <v>21.824561182564729</v>
      </c>
      <c r="BV192" s="456"/>
      <c r="BW192" s="456">
        <f t="shared" si="488"/>
        <v>9.1741050988214515E-2</v>
      </c>
      <c r="BX192" s="144">
        <f t="shared" si="489"/>
        <v>22253.170917911724</v>
      </c>
      <c r="BY192" s="150">
        <f t="shared" si="490"/>
        <v>25.093618551594297</v>
      </c>
      <c r="BZ192" s="5">
        <f t="shared" si="491"/>
        <v>69.7</v>
      </c>
      <c r="CA192" s="150">
        <f t="shared" si="492"/>
        <v>0.73528156288351476</v>
      </c>
      <c r="CB192" s="5">
        <f t="shared" si="493"/>
        <v>73.528156288351482</v>
      </c>
      <c r="CE192" s="59">
        <f t="shared" si="528"/>
        <v>-50</v>
      </c>
      <c r="CF192">
        <f t="shared" si="529"/>
        <v>-50</v>
      </c>
      <c r="CG192" s="150">
        <f t="shared" si="530"/>
        <v>0.50867042366988813</v>
      </c>
      <c r="CI192" s="147">
        <v>82</v>
      </c>
      <c r="CJ192" s="188">
        <f t="shared" si="589"/>
        <v>0.41</v>
      </c>
      <c r="CK192" s="188"/>
      <c r="CL192" s="188">
        <f t="shared" si="531"/>
        <v>69.7</v>
      </c>
      <c r="CM192" s="465">
        <f t="shared" si="532"/>
        <v>9</v>
      </c>
      <c r="CN192" s="379">
        <f t="shared" si="533"/>
        <v>8.5350000000000001</v>
      </c>
      <c r="CO192" s="379">
        <f t="shared" si="534"/>
        <v>17.535</v>
      </c>
      <c r="CP192" s="379"/>
      <c r="CQ192" s="188">
        <f t="shared" si="535"/>
        <v>0.48674080410607357</v>
      </c>
      <c r="CR192" s="149">
        <f t="shared" si="590"/>
        <v>146.41650128314802</v>
      </c>
      <c r="CS192" s="149">
        <f t="shared" si="536"/>
        <v>69.7</v>
      </c>
      <c r="CT192" s="188">
        <f t="shared" si="537"/>
        <v>0.86127353695969422</v>
      </c>
      <c r="CU192" s="188">
        <f t="shared" si="538"/>
        <v>170</v>
      </c>
      <c r="CV192" s="188"/>
      <c r="CW192" s="149">
        <f t="shared" si="539"/>
        <v>551.93531553157345</v>
      </c>
      <c r="CX192" s="149">
        <f t="shared" si="540"/>
        <v>170</v>
      </c>
      <c r="CY192" s="188">
        <f t="shared" si="541"/>
        <v>31.821636399140797</v>
      </c>
      <c r="CZ192" s="188">
        <f t="shared" si="542"/>
        <v>5.3036060665234661</v>
      </c>
      <c r="DA192" s="188">
        <f t="shared" si="543"/>
        <v>5.5925547274412644</v>
      </c>
      <c r="DB192" s="172">
        <f t="shared" si="544"/>
        <v>219.03336184773312</v>
      </c>
      <c r="DC192" s="379">
        <f t="shared" si="545"/>
        <v>91.775444480765145</v>
      </c>
      <c r="DE192" s="188">
        <f t="shared" si="546"/>
        <v>13.333333333333334</v>
      </c>
      <c r="DF192" s="150">
        <f t="shared" si="547"/>
        <v>2.3432923257176337</v>
      </c>
      <c r="DG192" s="150">
        <f t="shared" si="548"/>
        <v>0.17108639863130889</v>
      </c>
      <c r="DH192" s="150"/>
      <c r="DI192" s="150">
        <f t="shared" si="549"/>
        <v>2.3432923257176337</v>
      </c>
      <c r="DJ192" s="314">
        <f t="shared" si="550"/>
        <v>524.9024999999998</v>
      </c>
      <c r="DK192" s="456">
        <f t="shared" si="551"/>
        <v>0.17108639863130887</v>
      </c>
      <c r="DM192" s="150">
        <f t="shared" si="552"/>
        <v>16.328415197352829</v>
      </c>
      <c r="DN192" s="150">
        <f t="shared" si="553"/>
        <v>31.821636399140797</v>
      </c>
      <c r="DO192" s="150">
        <f t="shared" si="554"/>
        <v>14.895039308005527</v>
      </c>
      <c r="DQ192" s="314">
        <f t="shared" si="555"/>
        <v>410</v>
      </c>
      <c r="DR192" s="144">
        <f t="shared" si="556"/>
        <v>91.775444480765145</v>
      </c>
      <c r="DT192">
        <f t="shared" si="591"/>
        <v>410</v>
      </c>
      <c r="DU192">
        <f t="shared" si="592"/>
        <v>91.775444480765145</v>
      </c>
      <c r="DW192" s="5">
        <f t="shared" si="557"/>
        <v>10.89616079396473</v>
      </c>
      <c r="DX192" s="5">
        <f t="shared" si="558"/>
        <v>5.3036060665234661</v>
      </c>
      <c r="DY192" s="5">
        <f t="shared" si="559"/>
        <v>5.5925547274412644</v>
      </c>
      <c r="DZ192" s="5"/>
      <c r="EA192" s="150">
        <f t="shared" si="560"/>
        <v>0.48674080410607357</v>
      </c>
      <c r="EB192" s="150">
        <f t="shared" si="561"/>
        <v>69.700000000000017</v>
      </c>
      <c r="EC192" s="150">
        <f t="shared" si="562"/>
        <v>0.4083186877562977</v>
      </c>
      <c r="ED192" s="150">
        <f t="shared" si="563"/>
        <v>170.7</v>
      </c>
      <c r="EE192" s="144">
        <f t="shared" si="564"/>
        <v>1.2791049925144828</v>
      </c>
      <c r="EF192" s="5">
        <f t="shared" si="565"/>
        <v>72.185382315306683</v>
      </c>
      <c r="EH192" s="150">
        <f t="shared" si="566"/>
        <v>12.817719381763593</v>
      </c>
      <c r="EI192" s="150">
        <f t="shared" si="567"/>
        <v>0.65811267568087484</v>
      </c>
      <c r="EK192" s="456">
        <f t="shared" si="568"/>
        <v>0.5585993625087694</v>
      </c>
      <c r="EL192" s="456">
        <f t="shared" si="569"/>
        <v>1.5567840000000002</v>
      </c>
      <c r="EM192" s="456">
        <f t="shared" si="570"/>
        <v>2.1016576786095219E-2</v>
      </c>
      <c r="EN192" s="456">
        <f t="shared" si="571"/>
        <v>1.9329855543400287E-2</v>
      </c>
      <c r="EO192">
        <f t="shared" si="572"/>
        <v>4.0499999999999998E-3</v>
      </c>
      <c r="EP192" s="144">
        <f t="shared" si="573"/>
        <v>25.066576786095215</v>
      </c>
      <c r="EQ192" s="144"/>
      <c r="ER192" s="144">
        <f t="shared" si="593"/>
        <v>2159.7797948382654</v>
      </c>
      <c r="ES192" s="456">
        <f t="shared" si="574"/>
        <v>1.0249999999999999</v>
      </c>
      <c r="EV192" s="144">
        <f t="shared" si="494"/>
        <v>1025</v>
      </c>
      <c r="EW192" s="456">
        <f t="shared" si="575"/>
        <v>0.24644089522445711</v>
      </c>
      <c r="EX192" s="456">
        <f t="shared" si="576"/>
        <v>8.6622458778368078E-2</v>
      </c>
      <c r="EY192" s="456">
        <f t="shared" si="577"/>
        <v>23.045838725832724</v>
      </c>
      <c r="EZ192" s="456"/>
      <c r="FA192" s="456">
        <f t="shared" si="578"/>
        <v>9.2933333333333354E-2</v>
      </c>
      <c r="FB192" s="144">
        <f t="shared" si="579"/>
        <v>23471.835413168883</v>
      </c>
      <c r="FC192" s="150">
        <f t="shared" si="580"/>
        <v>26.65661520800715</v>
      </c>
      <c r="FD192" s="5">
        <f t="shared" si="581"/>
        <v>69.7</v>
      </c>
      <c r="FE192" s="150">
        <f t="shared" si="582"/>
        <v>0.72335459116675149</v>
      </c>
      <c r="FF192" s="5">
        <f t="shared" si="583"/>
        <v>72.335459116675153</v>
      </c>
      <c r="FI192" s="59">
        <f t="shared" si="584"/>
        <v>-50</v>
      </c>
      <c r="FJ192">
        <f t="shared" si="585"/>
        <v>-50</v>
      </c>
      <c r="FL192">
        <f t="shared" si="586"/>
        <v>0.51325919589392643</v>
      </c>
    </row>
    <row r="193" spans="5:168">
      <c r="E193" s="147">
        <v>83</v>
      </c>
      <c r="F193" s="188">
        <f t="shared" si="587"/>
        <v>0.41499999999999998</v>
      </c>
      <c r="G193" s="188"/>
      <c r="H193" s="188">
        <f t="shared" si="495"/>
        <v>70.55</v>
      </c>
      <c r="I193" s="465">
        <f t="shared" si="496"/>
        <v>8.9200551511473112</v>
      </c>
      <c r="J193" s="149">
        <f t="shared" si="497"/>
        <v>8.5431576376380303</v>
      </c>
      <c r="K193" s="149">
        <f t="shared" si="498"/>
        <v>17.463212788785341</v>
      </c>
      <c r="L193" s="379"/>
      <c r="M193" s="188">
        <f t="shared" si="499"/>
        <v>0.48920670761503798</v>
      </c>
      <c r="N193" s="149">
        <f t="shared" si="500"/>
        <v>145.8510979810126</v>
      </c>
      <c r="O193" s="149">
        <f t="shared" si="438"/>
        <v>70.55</v>
      </c>
      <c r="P193" s="188">
        <f t="shared" si="501"/>
        <v>0.85794763518242712</v>
      </c>
      <c r="Q193" s="188">
        <f t="shared" si="502"/>
        <v>170</v>
      </c>
      <c r="R193" s="188"/>
      <c r="S193" s="149">
        <f t="shared" si="503"/>
        <v>538.30087960798392</v>
      </c>
      <c r="T193" s="149">
        <f t="shared" si="504"/>
        <v>170</v>
      </c>
      <c r="U193" s="188">
        <f t="shared" si="505"/>
        <v>32.498469043108194</v>
      </c>
      <c r="V193" s="188">
        <f t="shared" si="506"/>
        <v>5.4649553997872191</v>
      </c>
      <c r="W193" s="188">
        <f t="shared" si="507"/>
        <v>5.7060522153890414</v>
      </c>
      <c r="X193" s="172">
        <f t="shared" si="508"/>
        <v>218.18848059165492</v>
      </c>
      <c r="Y193" s="379">
        <f t="shared" si="509"/>
        <v>87.942954032090782</v>
      </c>
      <c r="AA193" s="188">
        <f t="shared" si="510"/>
        <v>13.333333333333334</v>
      </c>
      <c r="AB193" s="150">
        <f t="shared" si="511"/>
        <v>2.341054777204076</v>
      </c>
      <c r="AC193" s="150">
        <f t="shared" si="512"/>
        <v>0.17026372827333086</v>
      </c>
      <c r="AD193" s="150"/>
      <c r="AE193" s="150">
        <f t="shared" si="513"/>
        <v>2.341054777204076</v>
      </c>
      <c r="AF193" s="314">
        <f t="shared" si="514"/>
        <v>531.81156294296727</v>
      </c>
      <c r="AG193" s="456">
        <f t="shared" si="515"/>
        <v>0.17026372827333089</v>
      </c>
      <c r="AI193" s="150">
        <f t="shared" si="516"/>
        <v>16.435525795103338</v>
      </c>
      <c r="AJ193" s="150">
        <f t="shared" si="517"/>
        <v>32.498469043108194</v>
      </c>
      <c r="AK193" s="150">
        <f t="shared" si="518"/>
        <v>15.396396822055451</v>
      </c>
      <c r="AM193" s="314">
        <f t="shared" si="519"/>
        <v>415</v>
      </c>
      <c r="AN193" s="144">
        <f t="shared" si="520"/>
        <v>87.942954032090782</v>
      </c>
      <c r="AP193">
        <f t="shared" si="521"/>
        <v>415</v>
      </c>
      <c r="AQ193">
        <f t="shared" si="522"/>
        <v>87.942954032090782</v>
      </c>
      <c r="AS193" s="5">
        <f t="shared" si="439"/>
        <v>11.371007615176259</v>
      </c>
      <c r="AT193" s="5">
        <f t="shared" si="523"/>
        <v>5.4649553997872191</v>
      </c>
      <c r="AU193" s="5">
        <f t="shared" si="478"/>
        <v>5.9060522153890398</v>
      </c>
      <c r="AV193" s="5"/>
      <c r="AW193" s="150">
        <f t="shared" si="479"/>
        <v>0.48060432151091376</v>
      </c>
      <c r="AX193" s="150">
        <f t="shared" si="435"/>
        <v>69.660745504400737</v>
      </c>
      <c r="AY193" s="150">
        <f t="shared" si="436"/>
        <v>0.42198910946254375</v>
      </c>
      <c r="AZ193" s="150">
        <f t="shared" si="440"/>
        <v>165.07711678418067</v>
      </c>
      <c r="BA193" s="144">
        <f t="shared" si="594"/>
        <v>1.3340920534774681</v>
      </c>
      <c r="BB193" s="5">
        <f t="shared" si="595"/>
        <v>77.853028323130886</v>
      </c>
      <c r="BD193" s="150">
        <f t="shared" si="441"/>
        <v>13.007568178179589</v>
      </c>
      <c r="BE193" s="150">
        <f t="shared" si="437"/>
        <v>0.67611636105030704</v>
      </c>
      <c r="BG193" s="456">
        <f t="shared" si="480"/>
        <v>0.57526922169396688</v>
      </c>
      <c r="BH193" s="456">
        <f t="shared" si="524"/>
        <v>1.1953459535879547</v>
      </c>
      <c r="BI193" s="456">
        <f t="shared" si="525"/>
        <v>3.5928084805544665E-2</v>
      </c>
      <c r="BJ193" s="456">
        <f t="shared" si="481"/>
        <v>1.8371301004325557E-2</v>
      </c>
      <c r="BK193">
        <f t="shared" si="482"/>
        <v>4.0140248180162898E-3</v>
      </c>
      <c r="BL193" s="144">
        <f t="shared" si="588"/>
        <v>39.94210962356096</v>
      </c>
      <c r="BM193" s="456">
        <f t="shared" si="526"/>
        <v>2.2521406900726149</v>
      </c>
      <c r="BN193" s="144">
        <f t="shared" si="527"/>
        <v>2252.1406900726147</v>
      </c>
      <c r="BO193" s="456">
        <f t="shared" si="483"/>
        <v>1.0374999999999999</v>
      </c>
      <c r="BR193" s="144">
        <f t="shared" si="484"/>
        <v>1037.4999999999998</v>
      </c>
      <c r="BS193" s="456">
        <f t="shared" si="485"/>
        <v>0.25379524486498539</v>
      </c>
      <c r="BT193" s="456">
        <f t="shared" si="486"/>
        <v>9.1426666735981835E-2</v>
      </c>
      <c r="BU193" s="456">
        <f t="shared" si="487"/>
        <v>21.833827989584115</v>
      </c>
      <c r="BV193" s="456"/>
      <c r="BW193" s="456">
        <f t="shared" si="488"/>
        <v>9.2880994005867648E-2</v>
      </c>
      <c r="BX193" s="144">
        <f t="shared" si="489"/>
        <v>22271.930895190948</v>
      </c>
      <c r="BY193" s="150">
        <f t="shared" si="490"/>
        <v>25.138359481100757</v>
      </c>
      <c r="BZ193" s="5">
        <f t="shared" si="491"/>
        <v>70.55</v>
      </c>
      <c r="CA193" s="150">
        <f t="shared" si="492"/>
        <v>0.73728926258720329</v>
      </c>
      <c r="CB193" s="5">
        <f t="shared" si="493"/>
        <v>73.728926258720335</v>
      </c>
      <c r="CE193" s="59">
        <f t="shared" si="528"/>
        <v>-50</v>
      </c>
      <c r="CF193">
        <f t="shared" si="529"/>
        <v>-50</v>
      </c>
      <c r="CG193" s="150">
        <f t="shared" si="530"/>
        <v>0.50872571008222611</v>
      </c>
      <c r="CI193" s="147">
        <v>83</v>
      </c>
      <c r="CJ193" s="188">
        <f t="shared" si="589"/>
        <v>0.41499999999999998</v>
      </c>
      <c r="CK193" s="188"/>
      <c r="CL193" s="188">
        <f t="shared" si="531"/>
        <v>70.55</v>
      </c>
      <c r="CM193" s="465">
        <f t="shared" si="532"/>
        <v>9</v>
      </c>
      <c r="CN193" s="379">
        <f t="shared" si="533"/>
        <v>8.5350000000000001</v>
      </c>
      <c r="CO193" s="379">
        <f t="shared" si="534"/>
        <v>17.535</v>
      </c>
      <c r="CP193" s="379"/>
      <c r="CQ193" s="188">
        <f t="shared" si="535"/>
        <v>0.48674080410607357</v>
      </c>
      <c r="CR193" s="149">
        <f t="shared" si="590"/>
        <v>146.41650128314802</v>
      </c>
      <c r="CS193" s="149">
        <f t="shared" si="536"/>
        <v>70.55</v>
      </c>
      <c r="CT193" s="188">
        <f t="shared" si="537"/>
        <v>0.86127353695969422</v>
      </c>
      <c r="CU193" s="188">
        <f t="shared" si="538"/>
        <v>170</v>
      </c>
      <c r="CV193" s="188"/>
      <c r="CW193" s="149">
        <f t="shared" si="539"/>
        <v>543.12325918711076</v>
      </c>
      <c r="CX193" s="149">
        <f t="shared" si="540"/>
        <v>170</v>
      </c>
      <c r="CY193" s="188">
        <f t="shared" si="541"/>
        <v>32.20970513571568</v>
      </c>
      <c r="CZ193" s="188">
        <f t="shared" si="542"/>
        <v>5.3682841892859461</v>
      </c>
      <c r="DA193" s="188">
        <f t="shared" si="543"/>
        <v>5.6607566143612793</v>
      </c>
      <c r="DB193" s="172">
        <f t="shared" si="544"/>
        <v>219.03336184773312</v>
      </c>
      <c r="DC193" s="379">
        <f t="shared" si="545"/>
        <v>90.669716234008945</v>
      </c>
      <c r="DE193" s="188">
        <f t="shared" si="546"/>
        <v>13.333333333333334</v>
      </c>
      <c r="DF193" s="150">
        <f t="shared" si="547"/>
        <v>2.3432923257176337</v>
      </c>
      <c r="DG193" s="150">
        <f t="shared" si="548"/>
        <v>0.17108639863130889</v>
      </c>
      <c r="DH193" s="150"/>
      <c r="DI193" s="150">
        <f t="shared" si="549"/>
        <v>2.3432923257176337</v>
      </c>
      <c r="DJ193" s="314">
        <f t="shared" si="550"/>
        <v>531.30374999999992</v>
      </c>
      <c r="DK193" s="456">
        <f t="shared" si="551"/>
        <v>0.17108639863130887</v>
      </c>
      <c r="DM193" s="150">
        <f t="shared" si="552"/>
        <v>16.427676994285328</v>
      </c>
      <c r="DN193" s="150">
        <f t="shared" si="553"/>
        <v>32.20970513571568</v>
      </c>
      <c r="DO193" s="150">
        <f t="shared" si="554"/>
        <v>15.18249763139433</v>
      </c>
      <c r="DQ193" s="314">
        <f t="shared" si="555"/>
        <v>415</v>
      </c>
      <c r="DR193" s="144">
        <f t="shared" si="556"/>
        <v>90.669716234008945</v>
      </c>
      <c r="DT193">
        <f t="shared" si="591"/>
        <v>415</v>
      </c>
      <c r="DU193">
        <f t="shared" si="592"/>
        <v>90.669716234008945</v>
      </c>
      <c r="DW193" s="5">
        <f t="shared" si="557"/>
        <v>11.029040803647227</v>
      </c>
      <c r="DX193" s="5">
        <f t="shared" si="558"/>
        <v>5.3682841892859461</v>
      </c>
      <c r="DY193" s="5">
        <f t="shared" si="559"/>
        <v>5.6607566143612811</v>
      </c>
      <c r="DZ193" s="5"/>
      <c r="EA193" s="150">
        <f t="shared" si="560"/>
        <v>0.48674080410607345</v>
      </c>
      <c r="EB193" s="150">
        <f t="shared" si="561"/>
        <v>70.55</v>
      </c>
      <c r="EC193" s="150">
        <f t="shared" si="562"/>
        <v>0.41329818394844769</v>
      </c>
      <c r="ED193" s="150">
        <f t="shared" si="563"/>
        <v>170.69999999999993</v>
      </c>
      <c r="EE193" s="144">
        <f t="shared" si="564"/>
        <v>1.310492905031569</v>
      </c>
      <c r="EF193" s="5">
        <f t="shared" si="565"/>
        <v>73.956736878368204</v>
      </c>
      <c r="EH193" s="150">
        <f t="shared" si="566"/>
        <v>12.974033032760705</v>
      </c>
      <c r="EI193" s="150">
        <f t="shared" si="567"/>
        <v>0.66613844001844635</v>
      </c>
      <c r="EK193" s="456">
        <f t="shared" si="568"/>
        <v>0.57230681265956407</v>
      </c>
      <c r="EL193" s="456">
        <f t="shared" si="569"/>
        <v>1.5567839999999997</v>
      </c>
      <c r="EM193" s="456">
        <f t="shared" si="570"/>
        <v>2.0763365017588048E-2</v>
      </c>
      <c r="EN193" s="456">
        <f t="shared" si="571"/>
        <v>1.9096965717576186E-2</v>
      </c>
      <c r="EO193">
        <f t="shared" si="572"/>
        <v>4.0499999999999998E-3</v>
      </c>
      <c r="EP193" s="144">
        <f t="shared" si="573"/>
        <v>24.813365017588048</v>
      </c>
      <c r="EQ193" s="144"/>
      <c r="ER193" s="144">
        <f t="shared" si="593"/>
        <v>2173.0011433947284</v>
      </c>
      <c r="ES193" s="456">
        <f t="shared" si="574"/>
        <v>1.0374999999999999</v>
      </c>
      <c r="EV193" s="144">
        <f t="shared" si="494"/>
        <v>1037.4999999999998</v>
      </c>
      <c r="EW193" s="456">
        <f t="shared" si="575"/>
        <v>0.25248829970274889</v>
      </c>
      <c r="EX193" s="456">
        <f t="shared" si="576"/>
        <v>8.8748084254041848E-2</v>
      </c>
      <c r="EY193" s="456">
        <f t="shared" si="577"/>
        <v>23.045838725832809</v>
      </c>
      <c r="EZ193" s="456"/>
      <c r="FA193" s="456">
        <f t="shared" si="578"/>
        <v>9.4066666666666673E-2</v>
      </c>
      <c r="FB193" s="144">
        <f t="shared" si="579"/>
        <v>23481.141776456265</v>
      </c>
      <c r="FC193" s="150">
        <f t="shared" si="580"/>
        <v>26.691642919850995</v>
      </c>
      <c r="FD193" s="5">
        <f t="shared" si="581"/>
        <v>70.55</v>
      </c>
      <c r="FE193" s="150">
        <f t="shared" si="582"/>
        <v>0.72551221762212603</v>
      </c>
      <c r="FF193" s="5">
        <f t="shared" si="583"/>
        <v>72.551221762212606</v>
      </c>
      <c r="FI193" s="59">
        <f t="shared" si="584"/>
        <v>-50</v>
      </c>
      <c r="FJ193">
        <f t="shared" si="585"/>
        <v>-50</v>
      </c>
      <c r="FL193">
        <f t="shared" si="586"/>
        <v>0.51325919589392655</v>
      </c>
    </row>
    <row r="194" spans="5:168">
      <c r="E194" s="147">
        <v>84</v>
      </c>
      <c r="F194" s="188">
        <f t="shared" si="587"/>
        <v>0.42</v>
      </c>
      <c r="G194" s="188"/>
      <c r="H194" s="188">
        <f t="shared" si="495"/>
        <v>71.399999999999991</v>
      </c>
      <c r="I194" s="465">
        <f t="shared" si="496"/>
        <v>8.9191005427187058</v>
      </c>
      <c r="J194" s="149">
        <f t="shared" si="497"/>
        <v>8.5432550466613559</v>
      </c>
      <c r="K194" s="149">
        <f t="shared" si="498"/>
        <v>17.46235558938006</v>
      </c>
      <c r="L194" s="379"/>
      <c r="M194" s="188">
        <f t="shared" si="499"/>
        <v>0.48923630057320155</v>
      </c>
      <c r="N194" s="149">
        <f t="shared" si="500"/>
        <v>145.84431109652758</v>
      </c>
      <c r="O194" s="149">
        <f t="shared" si="438"/>
        <v>71.399999999999991</v>
      </c>
      <c r="P194" s="188">
        <f t="shared" si="501"/>
        <v>0.85790771233251517</v>
      </c>
      <c r="Q194" s="188">
        <f t="shared" si="502"/>
        <v>170</v>
      </c>
      <c r="R194" s="188"/>
      <c r="S194" s="149">
        <f t="shared" si="503"/>
        <v>529.71852456754459</v>
      </c>
      <c r="T194" s="149">
        <f t="shared" si="504"/>
        <v>170</v>
      </c>
      <c r="U194" s="188">
        <f t="shared" si="505"/>
        <v>32.891922466012559</v>
      </c>
      <c r="V194" s="188">
        <f t="shared" si="506"/>
        <v>5.5317106767337494</v>
      </c>
      <c r="W194" s="188">
        <f t="shared" si="507"/>
        <v>5.7750685692451311</v>
      </c>
      <c r="X194" s="172">
        <f t="shared" si="508"/>
        <v>218.17832746918296</v>
      </c>
      <c r="Y194" s="379">
        <f t="shared" si="509"/>
        <v>86.905291100414274</v>
      </c>
      <c r="AA194" s="188">
        <f t="shared" si="510"/>
        <v>13.333333333333334</v>
      </c>
      <c r="AB194" s="150">
        <f t="shared" si="511"/>
        <v>2.3410280848183107</v>
      </c>
      <c r="AC194" s="150">
        <f t="shared" si="512"/>
        <v>0.17025386403468121</v>
      </c>
      <c r="AD194" s="150"/>
      <c r="AE194" s="150">
        <f t="shared" si="513"/>
        <v>2.3410280848183107</v>
      </c>
      <c r="AF194" s="314">
        <f t="shared" si="514"/>
        <v>538.22506793966534</v>
      </c>
      <c r="AG194" s="456">
        <f t="shared" si="515"/>
        <v>0.17025386403468123</v>
      </c>
      <c r="AI194" s="150">
        <f t="shared" si="516"/>
        <v>16.534332810644745</v>
      </c>
      <c r="AJ194" s="150">
        <f t="shared" si="517"/>
        <v>32.891922466012559</v>
      </c>
      <c r="AK194" s="150">
        <f t="shared" si="518"/>
        <v>15.687843801984609</v>
      </c>
      <c r="AM194" s="314">
        <f t="shared" si="519"/>
        <v>420</v>
      </c>
      <c r="AN194" s="144">
        <f t="shared" si="520"/>
        <v>86.905291100414274</v>
      </c>
      <c r="AP194">
        <f t="shared" si="521"/>
        <v>420</v>
      </c>
      <c r="AQ194">
        <f t="shared" si="522"/>
        <v>86.905291100414274</v>
      </c>
      <c r="AS194" s="5">
        <f t="shared" si="439"/>
        <v>11.50677924597888</v>
      </c>
      <c r="AT194" s="5">
        <f t="shared" si="523"/>
        <v>5.5317106767337494</v>
      </c>
      <c r="AU194" s="5">
        <f t="shared" si="478"/>
        <v>5.9750685692451304</v>
      </c>
      <c r="AV194" s="5"/>
      <c r="AW194" s="150">
        <f t="shared" si="479"/>
        <v>0.48073492664481615</v>
      </c>
      <c r="AX194" s="150">
        <f t="shared" si="435"/>
        <v>70.515728622862795</v>
      </c>
      <c r="AY194" s="150">
        <f t="shared" si="436"/>
        <v>0.42699066330267577</v>
      </c>
      <c r="AZ194" s="150">
        <f t="shared" si="440"/>
        <v>165.14583264523785</v>
      </c>
      <c r="BA194" s="144">
        <f t="shared" si="594"/>
        <v>1.3666579318989263</v>
      </c>
      <c r="BB194" s="5">
        <f t="shared" si="595"/>
        <v>79.720276314256509</v>
      </c>
      <c r="BD194" s="150">
        <f t="shared" si="441"/>
        <v>13.16683727991991</v>
      </c>
      <c r="BE194" s="150">
        <f t="shared" si="437"/>
        <v>0.68421594522642937</v>
      </c>
      <c r="BG194" s="456">
        <f t="shared" si="480"/>
        <v>0.58944305345002179</v>
      </c>
      <c r="BH194" s="456">
        <f t="shared" si="524"/>
        <v>1.1954841481274714</v>
      </c>
      <c r="BI194" s="456">
        <f t="shared" si="525"/>
        <v>3.550035992906251E-2</v>
      </c>
      <c r="BJ194" s="456">
        <f t="shared" si="481"/>
        <v>1.815275078324043E-2</v>
      </c>
      <c r="BK194">
        <f t="shared" si="482"/>
        <v>4.0135952442234175E-3</v>
      </c>
      <c r="BL194" s="144">
        <f t="shared" si="588"/>
        <v>39.513955173285929</v>
      </c>
      <c r="BM194" s="456">
        <f t="shared" si="526"/>
        <v>2.2817993909595855</v>
      </c>
      <c r="BN194" s="144">
        <f t="shared" si="527"/>
        <v>2281.7993909595857</v>
      </c>
      <c r="BO194" s="456">
        <f t="shared" si="483"/>
        <v>1.05</v>
      </c>
      <c r="BR194" s="144">
        <f t="shared" si="484"/>
        <v>1050</v>
      </c>
      <c r="BS194" s="456">
        <f t="shared" si="485"/>
        <v>0.26004840593383316</v>
      </c>
      <c r="BT194" s="456">
        <f t="shared" si="486"/>
        <v>9.3630291940419247E-2</v>
      </c>
      <c r="BU194" s="456">
        <f t="shared" si="487"/>
        <v>21.84281942937314</v>
      </c>
      <c r="BV194" s="456"/>
      <c r="BW194" s="456">
        <f t="shared" si="488"/>
        <v>9.4020971497150371E-2</v>
      </c>
      <c r="BX194" s="144">
        <f t="shared" si="489"/>
        <v>22290.519098744542</v>
      </c>
      <c r="BY194" s="150">
        <f t="shared" si="490"/>
        <v>25.183113006278564</v>
      </c>
      <c r="BZ194" s="5">
        <f t="shared" si="491"/>
        <v>71.399999999999991</v>
      </c>
      <c r="CA194" s="150">
        <f t="shared" si="492"/>
        <v>0.73925966742611116</v>
      </c>
      <c r="CB194" s="5">
        <f t="shared" si="493"/>
        <v>73.925966742611109</v>
      </c>
      <c r="CE194" s="59">
        <f t="shared" si="528"/>
        <v>-50</v>
      </c>
      <c r="CF194">
        <f t="shared" si="529"/>
        <v>-50</v>
      </c>
      <c r="CG194" s="150">
        <f t="shared" si="530"/>
        <v>0.50877968015141306</v>
      </c>
      <c r="CI194" s="147">
        <v>84</v>
      </c>
      <c r="CJ194" s="188">
        <f t="shared" si="589"/>
        <v>0.42</v>
      </c>
      <c r="CK194" s="188"/>
      <c r="CL194" s="188">
        <f t="shared" si="531"/>
        <v>71.399999999999991</v>
      </c>
      <c r="CM194" s="465">
        <f t="shared" si="532"/>
        <v>9</v>
      </c>
      <c r="CN194" s="379">
        <f t="shared" si="533"/>
        <v>8.5350000000000001</v>
      </c>
      <c r="CO194" s="379">
        <f t="shared" si="534"/>
        <v>17.535</v>
      </c>
      <c r="CP194" s="379"/>
      <c r="CQ194" s="188">
        <f t="shared" si="535"/>
        <v>0.48674080410607357</v>
      </c>
      <c r="CR194" s="149">
        <f t="shared" si="590"/>
        <v>146.41650128314802</v>
      </c>
      <c r="CS194" s="149">
        <f t="shared" si="536"/>
        <v>71.399999999999991</v>
      </c>
      <c r="CT194" s="188">
        <f t="shared" si="537"/>
        <v>0.86127353695969422</v>
      </c>
      <c r="CU194" s="188">
        <f t="shared" si="538"/>
        <v>170</v>
      </c>
      <c r="CV194" s="188"/>
      <c r="CW194" s="149">
        <f t="shared" si="539"/>
        <v>534.52113099985763</v>
      </c>
      <c r="CX194" s="149">
        <f t="shared" si="540"/>
        <v>170</v>
      </c>
      <c r="CY194" s="188">
        <f t="shared" si="541"/>
        <v>32.597773872290567</v>
      </c>
      <c r="CZ194" s="188">
        <f t="shared" si="542"/>
        <v>5.4329623120484278</v>
      </c>
      <c r="DA194" s="188">
        <f t="shared" si="543"/>
        <v>5.7289585012812942</v>
      </c>
      <c r="DB194" s="172">
        <f t="shared" si="544"/>
        <v>219.03336184773312</v>
      </c>
      <c r="DC194" s="379">
        <f t="shared" si="545"/>
        <v>89.590314850270744</v>
      </c>
      <c r="DE194" s="188">
        <f t="shared" si="546"/>
        <v>13.333333333333334</v>
      </c>
      <c r="DF194" s="150">
        <f t="shared" si="547"/>
        <v>2.3432923257176337</v>
      </c>
      <c r="DG194" s="150">
        <f t="shared" si="548"/>
        <v>0.17108639863130889</v>
      </c>
      <c r="DH194" s="150"/>
      <c r="DI194" s="150">
        <f t="shared" si="549"/>
        <v>2.3432923257176337</v>
      </c>
      <c r="DJ194" s="314">
        <f t="shared" si="550"/>
        <v>537.70499999999993</v>
      </c>
      <c r="DK194" s="456">
        <f t="shared" si="551"/>
        <v>0.17108639863130887</v>
      </c>
      <c r="DM194" s="150">
        <f t="shared" si="552"/>
        <v>16.526342608090875</v>
      </c>
      <c r="DN194" s="150">
        <f t="shared" si="553"/>
        <v>32.597773872290567</v>
      </c>
      <c r="DO194" s="150">
        <f t="shared" si="554"/>
        <v>15.469955954783135</v>
      </c>
      <c r="DQ194" s="314">
        <f t="shared" si="555"/>
        <v>420</v>
      </c>
      <c r="DR194" s="144">
        <f t="shared" si="556"/>
        <v>89.590314850270744</v>
      </c>
      <c r="DT194">
        <f t="shared" si="591"/>
        <v>420</v>
      </c>
      <c r="DU194">
        <f t="shared" si="592"/>
        <v>89.590314850270744</v>
      </c>
      <c r="DW194" s="5">
        <f t="shared" si="557"/>
        <v>11.161920813329724</v>
      </c>
      <c r="DX194" s="5">
        <f t="shared" si="558"/>
        <v>5.4329623120484278</v>
      </c>
      <c r="DY194" s="5">
        <f t="shared" si="559"/>
        <v>5.728958501281296</v>
      </c>
      <c r="DZ194" s="5"/>
      <c r="EA194" s="150">
        <f t="shared" si="560"/>
        <v>0.48674080410607351</v>
      </c>
      <c r="EB194" s="150">
        <f t="shared" si="561"/>
        <v>71.399999999999991</v>
      </c>
      <c r="EC194" s="150">
        <f t="shared" si="562"/>
        <v>0.41827768014059763</v>
      </c>
      <c r="ED194" s="150">
        <f t="shared" si="563"/>
        <v>170.69999999999993</v>
      </c>
      <c r="EE194" s="144">
        <f t="shared" si="564"/>
        <v>1.3422612770943174</v>
      </c>
      <c r="EF194" s="5">
        <f t="shared" si="565"/>
        <v>75.74956240583046</v>
      </c>
      <c r="EH194" s="150">
        <f t="shared" si="566"/>
        <v>13.130346683757823</v>
      </c>
      <c r="EI194" s="150">
        <f t="shared" si="567"/>
        <v>0.67416420435601798</v>
      </c>
      <c r="EK194" s="456">
        <f t="shared" si="568"/>
        <v>0.58618041372127816</v>
      </c>
      <c r="EL194" s="456">
        <f t="shared" si="569"/>
        <v>1.5567839999999999</v>
      </c>
      <c r="EM194" s="456">
        <f t="shared" si="570"/>
        <v>2.0516182100711999E-2</v>
      </c>
      <c r="EN194" s="456">
        <f t="shared" si="571"/>
        <v>1.8869620887605045E-2</v>
      </c>
      <c r="EO194">
        <f t="shared" si="572"/>
        <v>4.0499999999999998E-3</v>
      </c>
      <c r="EP194" s="144">
        <f t="shared" si="573"/>
        <v>24.566182100712002</v>
      </c>
      <c r="EQ194" s="144"/>
      <c r="ER194" s="144">
        <f t="shared" si="593"/>
        <v>2186.400216709595</v>
      </c>
      <c r="ES194" s="456">
        <f t="shared" si="574"/>
        <v>1.05</v>
      </c>
      <c r="EV194" s="144">
        <f t="shared" si="494"/>
        <v>1050</v>
      </c>
      <c r="EW194" s="456">
        <f t="shared" si="575"/>
        <v>0.25860900605350512</v>
      </c>
      <c r="EX194" s="456">
        <f t="shared" si="576"/>
        <v>9.0899474886996567E-2</v>
      </c>
      <c r="EY194" s="456">
        <f t="shared" si="577"/>
        <v>23.04583872583277</v>
      </c>
      <c r="EZ194" s="456"/>
      <c r="FA194" s="456">
        <f t="shared" si="578"/>
        <v>9.5199999999999993E-2</v>
      </c>
      <c r="FB194" s="144">
        <f t="shared" si="579"/>
        <v>23490.54720677327</v>
      </c>
      <c r="FC194" s="150">
        <f t="shared" si="580"/>
        <v>26.726947423482866</v>
      </c>
      <c r="FD194" s="5">
        <f t="shared" si="581"/>
        <v>71.399999999999991</v>
      </c>
      <c r="FE194" s="150">
        <f t="shared" si="582"/>
        <v>0.72762887132177501</v>
      </c>
      <c r="FF194" s="5">
        <f t="shared" si="583"/>
        <v>72.762887132177497</v>
      </c>
      <c r="FI194" s="59">
        <f t="shared" si="584"/>
        <v>-50</v>
      </c>
      <c r="FJ194">
        <f t="shared" si="585"/>
        <v>-50</v>
      </c>
      <c r="FL194">
        <f t="shared" si="586"/>
        <v>0.51325919589392655</v>
      </c>
    </row>
    <row r="195" spans="5:168">
      <c r="E195" s="147">
        <v>85</v>
      </c>
      <c r="F195" s="188">
        <f t="shared" si="587"/>
        <v>0.42499999999999999</v>
      </c>
      <c r="G195" s="188"/>
      <c r="H195" s="188">
        <f t="shared" si="495"/>
        <v>72.25</v>
      </c>
      <c r="I195" s="465">
        <f t="shared" si="496"/>
        <v>8.9181459325123011</v>
      </c>
      <c r="J195" s="149">
        <f t="shared" si="497"/>
        <v>8.5433524558660903</v>
      </c>
      <c r="K195" s="149">
        <f t="shared" si="498"/>
        <v>17.461498388378391</v>
      </c>
      <c r="L195" s="379"/>
      <c r="M195" s="188">
        <f t="shared" si="499"/>
        <v>0.48926589648665042</v>
      </c>
      <c r="N195" s="149">
        <f t="shared" si="500"/>
        <v>145.83752317546714</v>
      </c>
      <c r="O195" s="149">
        <f t="shared" si="438"/>
        <v>72.25</v>
      </c>
      <c r="P195" s="188">
        <f t="shared" si="501"/>
        <v>0.85786778338510083</v>
      </c>
      <c r="Q195" s="188">
        <f t="shared" si="502"/>
        <v>170</v>
      </c>
      <c r="R195" s="188"/>
      <c r="S195" s="149">
        <f t="shared" si="503"/>
        <v>521.33867370043458</v>
      </c>
      <c r="T195" s="149">
        <f t="shared" si="504"/>
        <v>170</v>
      </c>
      <c r="U195" s="188">
        <f t="shared" si="505"/>
        <v>33.285421676478371</v>
      </c>
      <c r="V195" s="188">
        <f t="shared" si="506"/>
        <v>5.5984879472198168</v>
      </c>
      <c r="W195" s="188">
        <f t="shared" si="507"/>
        <v>5.8440913883209387</v>
      </c>
      <c r="X195" s="172">
        <f t="shared" si="508"/>
        <v>218.16817279841933</v>
      </c>
      <c r="Y195" s="379">
        <f t="shared" si="509"/>
        <v>85.891619990713465</v>
      </c>
      <c r="AA195" s="188">
        <f t="shared" si="510"/>
        <v>13.333333333333334</v>
      </c>
      <c r="AB195" s="150">
        <f t="shared" si="511"/>
        <v>2.3410013929915152</v>
      </c>
      <c r="AC195" s="150">
        <f t="shared" si="512"/>
        <v>0.1702439988091711</v>
      </c>
      <c r="AD195" s="150"/>
      <c r="AE195" s="150">
        <f t="shared" si="513"/>
        <v>2.3410013929915152</v>
      </c>
      <c r="AF195" s="314">
        <f t="shared" si="514"/>
        <v>544.63871906146312</v>
      </c>
      <c r="AG195" s="456">
        <f t="shared" si="515"/>
        <v>0.1702439988091711</v>
      </c>
      <c r="AI195" s="150">
        <f t="shared" si="516"/>
        <v>16.632555096770083</v>
      </c>
      <c r="AJ195" s="150">
        <f t="shared" si="517"/>
        <v>33.285421676478371</v>
      </c>
      <c r="AK195" s="150">
        <f t="shared" si="518"/>
        <v>15.97932469862595</v>
      </c>
      <c r="AM195" s="314">
        <f t="shared" si="519"/>
        <v>425</v>
      </c>
      <c r="AN195" s="144">
        <f t="shared" si="520"/>
        <v>85.891619990713465</v>
      </c>
      <c r="AP195">
        <f t="shared" si="521"/>
        <v>425</v>
      </c>
      <c r="AQ195">
        <f t="shared" si="522"/>
        <v>85.891619990713465</v>
      </c>
      <c r="AS195" s="5">
        <f t="shared" si="439"/>
        <v>11.642579335540757</v>
      </c>
      <c r="AT195" s="5">
        <f t="shared" si="523"/>
        <v>5.5984879472198168</v>
      </c>
      <c r="AU195" s="5">
        <f t="shared" si="478"/>
        <v>6.0440913883209406</v>
      </c>
      <c r="AV195" s="5"/>
      <c r="AW195" s="150">
        <f t="shared" si="479"/>
        <v>0.480863199285194</v>
      </c>
      <c r="AX195" s="150">
        <f t="shared" si="435"/>
        <v>71.370737375966357</v>
      </c>
      <c r="AY195" s="150">
        <f t="shared" si="436"/>
        <v>0.43199218298925601</v>
      </c>
      <c r="AZ195" s="150">
        <f t="shared" si="440"/>
        <v>165.2130297407289</v>
      </c>
      <c r="BA195" s="144">
        <f t="shared" si="594"/>
        <v>1.3996219868049542</v>
      </c>
      <c r="BB195" s="5">
        <f t="shared" si="595"/>
        <v>81.60993815508067</v>
      </c>
      <c r="BD195" s="150">
        <f t="shared" si="441"/>
        <v>13.326134939926437</v>
      </c>
      <c r="BE195" s="150">
        <f t="shared" si="437"/>
        <v>0.69231596764627135</v>
      </c>
      <c r="BG195" s="456">
        <f t="shared" si="480"/>
        <v>0.60379196628623577</v>
      </c>
      <c r="BH195" s="456">
        <f t="shared" si="524"/>
        <v>1.1956164539679452</v>
      </c>
      <c r="BI195" s="456">
        <f t="shared" si="525"/>
        <v>3.5082525266733972E-2</v>
      </c>
      <c r="BJ195" s="456">
        <f t="shared" si="481"/>
        <v>1.7939254117861493E-2</v>
      </c>
      <c r="BK195">
        <f t="shared" si="482"/>
        <v>4.013165669630535E-3</v>
      </c>
      <c r="BL195" s="144">
        <f t="shared" si="588"/>
        <v>39.095690936364512</v>
      </c>
      <c r="BM195" s="456">
        <f t="shared" si="526"/>
        <v>2.3120621929158061</v>
      </c>
      <c r="BN195" s="144">
        <f t="shared" si="527"/>
        <v>2312.062192915806</v>
      </c>
      <c r="BO195" s="456">
        <f t="shared" si="483"/>
        <v>1.0625</v>
      </c>
      <c r="BR195" s="144">
        <f t="shared" si="484"/>
        <v>1062.5</v>
      </c>
      <c r="BS195" s="456">
        <f t="shared" si="485"/>
        <v>0.2663788086556923</v>
      </c>
      <c r="BT195" s="456">
        <f t="shared" si="486"/>
        <v>9.5860279811598614E-2</v>
      </c>
      <c r="BU195" s="456">
        <f t="shared" si="487"/>
        <v>21.851544917283739</v>
      </c>
      <c r="BV195" s="456"/>
      <c r="BW195" s="456">
        <f t="shared" si="488"/>
        <v>9.516098316795514E-2</v>
      </c>
      <c r="BX195" s="144">
        <f t="shared" si="489"/>
        <v>22308.944988918985</v>
      </c>
      <c r="BY195" s="150">
        <f t="shared" si="490"/>
        <v>25.227888354227392</v>
      </c>
      <c r="BZ195" s="5">
        <f t="shared" si="491"/>
        <v>72.25</v>
      </c>
      <c r="CA195" s="150">
        <f t="shared" si="492"/>
        <v>0.74119373346957296</v>
      </c>
      <c r="CB195" s="5">
        <f t="shared" si="493"/>
        <v>74.119373346957289</v>
      </c>
      <c r="CE195" s="59">
        <f t="shared" si="528"/>
        <v>-50</v>
      </c>
      <c r="CF195">
        <f t="shared" si="529"/>
        <v>-50</v>
      </c>
      <c r="CG195" s="150">
        <f t="shared" si="530"/>
        <v>0.50883238033661904</v>
      </c>
      <c r="CI195" s="147">
        <v>85</v>
      </c>
      <c r="CJ195" s="188">
        <f t="shared" si="589"/>
        <v>0.42499999999999999</v>
      </c>
      <c r="CK195" s="188"/>
      <c r="CL195" s="188">
        <f t="shared" si="531"/>
        <v>72.25</v>
      </c>
      <c r="CM195" s="465">
        <f t="shared" si="532"/>
        <v>9</v>
      </c>
      <c r="CN195" s="379">
        <f t="shared" si="533"/>
        <v>8.5350000000000001</v>
      </c>
      <c r="CO195" s="379">
        <f t="shared" si="534"/>
        <v>17.535</v>
      </c>
      <c r="CP195" s="379"/>
      <c r="CQ195" s="188">
        <f t="shared" si="535"/>
        <v>0.48674080410607357</v>
      </c>
      <c r="CR195" s="149">
        <f t="shared" si="590"/>
        <v>146.41650128314802</v>
      </c>
      <c r="CS195" s="149">
        <f t="shared" si="536"/>
        <v>72.25</v>
      </c>
      <c r="CT195" s="188">
        <f t="shared" si="537"/>
        <v>0.86127353695969422</v>
      </c>
      <c r="CU195" s="188">
        <f t="shared" si="538"/>
        <v>170</v>
      </c>
      <c r="CV195" s="188"/>
      <c r="CW195" s="149">
        <f t="shared" si="539"/>
        <v>526.12152312399837</v>
      </c>
      <c r="CX195" s="149">
        <f t="shared" si="540"/>
        <v>170</v>
      </c>
      <c r="CY195" s="188">
        <f t="shared" si="541"/>
        <v>32.985842608865454</v>
      </c>
      <c r="CZ195" s="188">
        <f t="shared" si="542"/>
        <v>5.4976404348109087</v>
      </c>
      <c r="DA195" s="188">
        <f t="shared" si="543"/>
        <v>5.7971603882013101</v>
      </c>
      <c r="DB195" s="172">
        <f t="shared" si="544"/>
        <v>219.03336184773312</v>
      </c>
      <c r="DC195" s="379">
        <f t="shared" si="545"/>
        <v>88.536311146149913</v>
      </c>
      <c r="DE195" s="188">
        <f t="shared" si="546"/>
        <v>13.333333333333334</v>
      </c>
      <c r="DF195" s="150">
        <f t="shared" si="547"/>
        <v>2.3432923257176337</v>
      </c>
      <c r="DG195" s="150">
        <f t="shared" si="548"/>
        <v>0.17108639863130889</v>
      </c>
      <c r="DH195" s="150"/>
      <c r="DI195" s="150">
        <f t="shared" si="549"/>
        <v>2.3432923257176337</v>
      </c>
      <c r="DJ195" s="314">
        <f t="shared" si="550"/>
        <v>544.10624999999993</v>
      </c>
      <c r="DK195" s="456">
        <f t="shared" si="551"/>
        <v>0.17108639863130887</v>
      </c>
      <c r="DM195" s="150">
        <f t="shared" si="552"/>
        <v>16.62442265377744</v>
      </c>
      <c r="DN195" s="150">
        <f t="shared" si="553"/>
        <v>32.985842608865454</v>
      </c>
      <c r="DO195" s="150">
        <f t="shared" si="554"/>
        <v>15.75741427817194</v>
      </c>
      <c r="DQ195" s="314">
        <f t="shared" si="555"/>
        <v>425</v>
      </c>
      <c r="DR195" s="144">
        <f t="shared" si="556"/>
        <v>88.536311146149913</v>
      </c>
      <c r="DT195">
        <f t="shared" si="591"/>
        <v>425</v>
      </c>
      <c r="DU195">
        <f t="shared" si="592"/>
        <v>88.536311146149913</v>
      </c>
      <c r="DW195" s="5">
        <f t="shared" si="557"/>
        <v>11.294800823012221</v>
      </c>
      <c r="DX195" s="5">
        <f t="shared" si="558"/>
        <v>5.4976404348109087</v>
      </c>
      <c r="DY195" s="5">
        <f t="shared" si="559"/>
        <v>5.7971603882013119</v>
      </c>
      <c r="DZ195" s="5"/>
      <c r="EA195" s="150">
        <f t="shared" si="560"/>
        <v>0.48674080410607345</v>
      </c>
      <c r="EB195" s="150">
        <f t="shared" si="561"/>
        <v>72.249999999999986</v>
      </c>
      <c r="EC195" s="150">
        <f t="shared" si="562"/>
        <v>0.42325717633274762</v>
      </c>
      <c r="ED195" s="150">
        <f t="shared" si="563"/>
        <v>170.69999999999993</v>
      </c>
      <c r="EE195" s="144">
        <f t="shared" si="564"/>
        <v>1.3744101087027272</v>
      </c>
      <c r="EF195" s="5">
        <f t="shared" si="565"/>
        <v>77.563858897693478</v>
      </c>
      <c r="EH195" s="150">
        <f t="shared" si="566"/>
        <v>13.286660334754938</v>
      </c>
      <c r="EI195" s="150">
        <f t="shared" si="567"/>
        <v>0.68218996869358961</v>
      </c>
      <c r="EK195" s="456">
        <f t="shared" si="568"/>
        <v>0.60022016569391068</v>
      </c>
      <c r="EL195" s="456">
        <f t="shared" si="569"/>
        <v>1.5567839999999997</v>
      </c>
      <c r="EM195" s="456">
        <f t="shared" si="570"/>
        <v>2.0274815252468329E-2</v>
      </c>
      <c r="EN195" s="456">
        <f t="shared" si="571"/>
        <v>1.8647625347750867E-2</v>
      </c>
      <c r="EO195">
        <f t="shared" si="572"/>
        <v>4.0499999999999998E-3</v>
      </c>
      <c r="EP195" s="144">
        <f t="shared" si="573"/>
        <v>24.32481525246833</v>
      </c>
      <c r="EQ195" s="144"/>
      <c r="ER195" s="144">
        <f t="shared" si="593"/>
        <v>2199.9766062941294</v>
      </c>
      <c r="ES195" s="456">
        <f t="shared" si="574"/>
        <v>1.0625</v>
      </c>
      <c r="EV195" s="144">
        <f t="shared" si="494"/>
        <v>1062.5</v>
      </c>
      <c r="EW195" s="456">
        <f t="shared" si="575"/>
        <v>0.26480301427672531</v>
      </c>
      <c r="EX195" s="456">
        <f t="shared" si="576"/>
        <v>9.3076630677232153E-2</v>
      </c>
      <c r="EY195" s="456">
        <f t="shared" si="577"/>
        <v>23.04583872583277</v>
      </c>
      <c r="EZ195" s="456"/>
      <c r="FA195" s="456">
        <f t="shared" si="578"/>
        <v>9.633333333333334E-2</v>
      </c>
      <c r="FB195" s="144">
        <f t="shared" si="579"/>
        <v>23500.051704120062</v>
      </c>
      <c r="FC195" s="150">
        <f t="shared" si="580"/>
        <v>26.76252831041419</v>
      </c>
      <c r="FD195" s="5">
        <f t="shared" si="581"/>
        <v>72.25</v>
      </c>
      <c r="FE195" s="150">
        <f t="shared" si="582"/>
        <v>0.72970563657852494</v>
      </c>
      <c r="FF195" s="5">
        <f t="shared" si="583"/>
        <v>72.970563657852495</v>
      </c>
      <c r="FI195" s="59">
        <f t="shared" si="584"/>
        <v>-50</v>
      </c>
      <c r="FJ195">
        <f t="shared" si="585"/>
        <v>-50</v>
      </c>
      <c r="FL195">
        <f t="shared" si="586"/>
        <v>0.51325919589392655</v>
      </c>
    </row>
    <row r="196" spans="5:168">
      <c r="E196" s="147">
        <v>86</v>
      </c>
      <c r="F196" s="188">
        <f t="shared" si="587"/>
        <v>0.43</v>
      </c>
      <c r="G196" s="188"/>
      <c r="H196" s="188">
        <f t="shared" si="495"/>
        <v>73.099999999999994</v>
      </c>
      <c r="I196" s="465">
        <f t="shared" si="496"/>
        <v>8.9171913205906499</v>
      </c>
      <c r="J196" s="149">
        <f t="shared" si="497"/>
        <v>8.5434498652458526</v>
      </c>
      <c r="K196" s="149">
        <f t="shared" si="498"/>
        <v>17.460641185836501</v>
      </c>
      <c r="L196" s="379"/>
      <c r="M196" s="188">
        <f t="shared" si="499"/>
        <v>0.48929549535407585</v>
      </c>
      <c r="N196" s="149">
        <f t="shared" si="500"/>
        <v>145.83073421817608</v>
      </c>
      <c r="O196" s="149">
        <f t="shared" si="438"/>
        <v>73.099999999999994</v>
      </c>
      <c r="P196" s="188">
        <f t="shared" si="501"/>
        <v>0.85782784834221226</v>
      </c>
      <c r="Q196" s="188">
        <f t="shared" si="502"/>
        <v>170</v>
      </c>
      <c r="R196" s="188"/>
      <c r="S196" s="149">
        <f t="shared" si="503"/>
        <v>513.15426430079265</v>
      </c>
      <c r="T196" s="149">
        <f t="shared" si="504"/>
        <v>170</v>
      </c>
      <c r="U196" s="188">
        <f t="shared" si="505"/>
        <v>33.678966689210839</v>
      </c>
      <c r="V196" s="188">
        <f t="shared" si="506"/>
        <v>5.6652872207826599</v>
      </c>
      <c r="W196" s="188">
        <f t="shared" si="507"/>
        <v>5.9131206749771801</v>
      </c>
      <c r="X196" s="172">
        <f t="shared" si="508"/>
        <v>218.15801657979571</v>
      </c>
      <c r="Y196" s="379">
        <f t="shared" si="509"/>
        <v>84.90111811800935</v>
      </c>
      <c r="AA196" s="188">
        <f t="shared" si="510"/>
        <v>13.333333333333334</v>
      </c>
      <c r="AB196" s="150">
        <f t="shared" si="511"/>
        <v>2.3409747017254214</v>
      </c>
      <c r="AC196" s="150">
        <f t="shared" si="512"/>
        <v>0.17023413259729894</v>
      </c>
      <c r="AD196" s="150"/>
      <c r="AE196" s="150">
        <f t="shared" si="513"/>
        <v>2.3409747017254214</v>
      </c>
      <c r="AF196" s="314">
        <f t="shared" si="514"/>
        <v>551.05251630835733</v>
      </c>
      <c r="AG196" s="456">
        <f t="shared" si="515"/>
        <v>0.17023413259729894</v>
      </c>
      <c r="AI196" s="150">
        <f t="shared" si="516"/>
        <v>16.730202952244561</v>
      </c>
      <c r="AJ196" s="150">
        <f t="shared" si="517"/>
        <v>33.678966689210839</v>
      </c>
      <c r="AK196" s="150">
        <f t="shared" si="518"/>
        <v>16.270839522872222</v>
      </c>
      <c r="AM196" s="314">
        <f t="shared" si="519"/>
        <v>430</v>
      </c>
      <c r="AN196" s="144">
        <f t="shared" si="520"/>
        <v>84.90111811800935</v>
      </c>
      <c r="AP196">
        <f t="shared" si="521"/>
        <v>430</v>
      </c>
      <c r="AQ196">
        <f t="shared" si="522"/>
        <v>84.90111811800935</v>
      </c>
      <c r="AS196" s="5">
        <f t="shared" si="439"/>
        <v>11.778407895759839</v>
      </c>
      <c r="AT196" s="5">
        <f t="shared" si="523"/>
        <v>5.6652872207826599</v>
      </c>
      <c r="AU196" s="5">
        <f t="shared" si="478"/>
        <v>6.1131206749771794</v>
      </c>
      <c r="AV196" s="5"/>
      <c r="AW196" s="150">
        <f t="shared" si="479"/>
        <v>0.48098921950411749</v>
      </c>
      <c r="AX196" s="150">
        <f t="shared" si="435"/>
        <v>72.22577155321467</v>
      </c>
      <c r="AY196" s="150">
        <f t="shared" si="436"/>
        <v>0.43699366969155368</v>
      </c>
      <c r="AZ196" s="150">
        <f t="shared" si="440"/>
        <v>165.27875931061953</v>
      </c>
      <c r="BA196" s="144">
        <f t="shared" si="594"/>
        <v>1.4329844146685551</v>
      </c>
      <c r="BB196" s="5">
        <f t="shared" si="595"/>
        <v>83.522024158168875</v>
      </c>
      <c r="BD196" s="150">
        <f t="shared" si="441"/>
        <v>13.485461152113162</v>
      </c>
      <c r="BE196" s="150">
        <f t="shared" si="437"/>
        <v>0.70041642958404493</v>
      </c>
      <c r="BG196" s="456">
        <f t="shared" si="480"/>
        <v>0.61831605244952104</v>
      </c>
      <c r="BH196" s="456">
        <f t="shared" si="524"/>
        <v>1.1957430729078291</v>
      </c>
      <c r="BI196" s="456">
        <f t="shared" si="525"/>
        <v>3.4674241722438243E-2</v>
      </c>
      <c r="BJ196" s="456">
        <f t="shared" si="481"/>
        <v>1.7730637741815998E-2</v>
      </c>
      <c r="BK196">
        <f t="shared" si="482"/>
        <v>4.0127360942657925E-3</v>
      </c>
      <c r="BL196" s="144">
        <f t="shared" si="588"/>
        <v>38.686977816704037</v>
      </c>
      <c r="BM196" s="456">
        <f t="shared" si="526"/>
        <v>2.3429409967718078</v>
      </c>
      <c r="BN196" s="144">
        <f t="shared" si="527"/>
        <v>2342.9409967718079</v>
      </c>
      <c r="BO196" s="456">
        <f t="shared" si="483"/>
        <v>1.075</v>
      </c>
      <c r="BR196" s="144">
        <f t="shared" si="484"/>
        <v>1075</v>
      </c>
      <c r="BS196" s="456">
        <f t="shared" si="485"/>
        <v>0.2727864937277299</v>
      </c>
      <c r="BT196" s="456">
        <f t="shared" si="486"/>
        <v>9.8116634966252281E-2</v>
      </c>
      <c r="BU196" s="456">
        <f t="shared" si="487"/>
        <v>21.860013443999332</v>
      </c>
      <c r="BV196" s="456"/>
      <c r="BW196" s="456">
        <f t="shared" si="488"/>
        <v>9.6301028737619573E-2</v>
      </c>
      <c r="BX196" s="144">
        <f t="shared" si="489"/>
        <v>22327.217601430933</v>
      </c>
      <c r="BY196" s="150">
        <f t="shared" si="490"/>
        <v>25.272694342346803</v>
      </c>
      <c r="BZ196" s="5">
        <f t="shared" si="491"/>
        <v>73.099999999999994</v>
      </c>
      <c r="CA196" s="150">
        <f t="shared" si="492"/>
        <v>0.74309238441314518</v>
      </c>
      <c r="CB196" s="5">
        <f t="shared" si="493"/>
        <v>74.30923844131452</v>
      </c>
      <c r="CE196" s="59">
        <f t="shared" si="528"/>
        <v>-50</v>
      </c>
      <c r="CF196">
        <f t="shared" si="529"/>
        <v>-50</v>
      </c>
      <c r="CG196" s="150">
        <f t="shared" si="530"/>
        <v>0.50888385493612254</v>
      </c>
      <c r="CI196" s="147">
        <v>86</v>
      </c>
      <c r="CJ196" s="188">
        <f t="shared" si="589"/>
        <v>0.43</v>
      </c>
      <c r="CK196" s="188"/>
      <c r="CL196" s="188">
        <f t="shared" si="531"/>
        <v>73.099999999999994</v>
      </c>
      <c r="CM196" s="465">
        <f t="shared" si="532"/>
        <v>9</v>
      </c>
      <c r="CN196" s="379">
        <f t="shared" si="533"/>
        <v>8.5350000000000001</v>
      </c>
      <c r="CO196" s="379">
        <f t="shared" si="534"/>
        <v>17.535</v>
      </c>
      <c r="CP196" s="379"/>
      <c r="CQ196" s="188">
        <f t="shared" si="535"/>
        <v>0.48674080410607357</v>
      </c>
      <c r="CR196" s="149">
        <f t="shared" si="590"/>
        <v>146.41650128314802</v>
      </c>
      <c r="CS196" s="149">
        <f t="shared" si="536"/>
        <v>73.099999999999994</v>
      </c>
      <c r="CT196" s="188">
        <f t="shared" si="537"/>
        <v>0.86127353695969422</v>
      </c>
      <c r="CU196" s="188">
        <f t="shared" si="538"/>
        <v>170</v>
      </c>
      <c r="CV196" s="188"/>
      <c r="CW196" s="149">
        <f t="shared" si="539"/>
        <v>517.91737228636964</v>
      </c>
      <c r="CX196" s="149">
        <f t="shared" si="540"/>
        <v>170</v>
      </c>
      <c r="CY196" s="188">
        <f t="shared" si="541"/>
        <v>33.373911345440341</v>
      </c>
      <c r="CZ196" s="188">
        <f t="shared" si="542"/>
        <v>5.5623185575733904</v>
      </c>
      <c r="DA196" s="188">
        <f t="shared" si="543"/>
        <v>5.865362275121325</v>
      </c>
      <c r="DB196" s="172">
        <f t="shared" si="544"/>
        <v>219.03336184773312</v>
      </c>
      <c r="DC196" s="379">
        <f t="shared" si="545"/>
        <v>87.506819156078407</v>
      </c>
      <c r="DE196" s="188">
        <f t="shared" si="546"/>
        <v>13.333333333333334</v>
      </c>
      <c r="DF196" s="150">
        <f t="shared" si="547"/>
        <v>2.3432923257176337</v>
      </c>
      <c r="DG196" s="150">
        <f t="shared" si="548"/>
        <v>0.17108639863130889</v>
      </c>
      <c r="DH196" s="150"/>
      <c r="DI196" s="150">
        <f t="shared" si="549"/>
        <v>2.3432923257176337</v>
      </c>
      <c r="DJ196" s="314">
        <f t="shared" si="550"/>
        <v>550.50749999999994</v>
      </c>
      <c r="DK196" s="456">
        <f t="shared" si="551"/>
        <v>0.17108639863130887</v>
      </c>
      <c r="DM196" s="150">
        <f t="shared" si="552"/>
        <v>16.721927435043401</v>
      </c>
      <c r="DN196" s="150">
        <f t="shared" si="553"/>
        <v>33.373911345440341</v>
      </c>
      <c r="DO196" s="150">
        <f t="shared" si="554"/>
        <v>16.044872601560744</v>
      </c>
      <c r="DQ196" s="314">
        <f t="shared" si="555"/>
        <v>430</v>
      </c>
      <c r="DR196" s="144">
        <f t="shared" si="556"/>
        <v>87.506819156078407</v>
      </c>
      <c r="DT196">
        <f t="shared" si="591"/>
        <v>430</v>
      </c>
      <c r="DU196">
        <f t="shared" si="592"/>
        <v>87.506819156078407</v>
      </c>
      <c r="DW196" s="5">
        <f t="shared" si="557"/>
        <v>11.427680832694715</v>
      </c>
      <c r="DX196" s="5">
        <f t="shared" si="558"/>
        <v>5.5623185575733904</v>
      </c>
      <c r="DY196" s="5">
        <f t="shared" si="559"/>
        <v>5.865362275121325</v>
      </c>
      <c r="DZ196" s="5"/>
      <c r="EA196" s="150">
        <f t="shared" si="560"/>
        <v>0.48674080410607357</v>
      </c>
      <c r="EB196" s="150">
        <f t="shared" si="561"/>
        <v>73.099999999999994</v>
      </c>
      <c r="EC196" s="150">
        <f t="shared" si="562"/>
        <v>0.4282366725248975</v>
      </c>
      <c r="ED196" s="150">
        <f t="shared" si="563"/>
        <v>170.7</v>
      </c>
      <c r="EE196" s="144">
        <f t="shared" si="564"/>
        <v>1.4069393998567987</v>
      </c>
      <c r="EF196" s="5">
        <f t="shared" si="565"/>
        <v>79.399626353957188</v>
      </c>
      <c r="EH196" s="150">
        <f t="shared" si="566"/>
        <v>13.44297398575206</v>
      </c>
      <c r="EI196" s="150">
        <f t="shared" si="567"/>
        <v>0.69021573303116124</v>
      </c>
      <c r="EK196" s="456">
        <f t="shared" si="568"/>
        <v>0.61442606857746251</v>
      </c>
      <c r="EL196" s="456">
        <f t="shared" si="569"/>
        <v>1.5567839999999999</v>
      </c>
      <c r="EM196" s="456">
        <f t="shared" si="570"/>
        <v>2.0039061586741954E-2</v>
      </c>
      <c r="EN196" s="456">
        <f t="shared" si="571"/>
        <v>1.8430792494870042E-2</v>
      </c>
      <c r="EO196">
        <f t="shared" si="572"/>
        <v>4.0499999999999998E-3</v>
      </c>
      <c r="EP196" s="144">
        <f t="shared" si="573"/>
        <v>24.089061586741956</v>
      </c>
      <c r="EQ196" s="144"/>
      <c r="ER196" s="144">
        <f t="shared" si="593"/>
        <v>2213.7299226590744</v>
      </c>
      <c r="ES196" s="456">
        <f t="shared" si="574"/>
        <v>1.075</v>
      </c>
      <c r="EV196" s="144">
        <f t="shared" si="494"/>
        <v>1075</v>
      </c>
      <c r="EW196" s="456">
        <f t="shared" si="575"/>
        <v>0.27107032437240997</v>
      </c>
      <c r="EX196" s="456">
        <f t="shared" si="576"/>
        <v>9.527955162474866E-2</v>
      </c>
      <c r="EY196" s="456">
        <f t="shared" si="577"/>
        <v>23.045838725832766</v>
      </c>
      <c r="EZ196" s="456"/>
      <c r="FA196" s="456">
        <f t="shared" si="578"/>
        <v>9.7466666666666674E-2</v>
      </c>
      <c r="FB196" s="144">
        <f t="shared" si="579"/>
        <v>23509.65526849659</v>
      </c>
      <c r="FC196" s="150">
        <f t="shared" si="580"/>
        <v>26.798385191155663</v>
      </c>
      <c r="FD196" s="5">
        <f t="shared" si="581"/>
        <v>73.099999999999994</v>
      </c>
      <c r="FE196" s="150">
        <f t="shared" si="582"/>
        <v>0.73174355981954142</v>
      </c>
      <c r="FF196" s="5">
        <f t="shared" si="583"/>
        <v>73.174355981954136</v>
      </c>
      <c r="FI196" s="59">
        <f t="shared" si="584"/>
        <v>-50</v>
      </c>
      <c r="FJ196">
        <f t="shared" si="585"/>
        <v>-50</v>
      </c>
      <c r="FL196">
        <f t="shared" si="586"/>
        <v>0.51325919589392643</v>
      </c>
    </row>
    <row r="197" spans="5:168">
      <c r="E197" s="147">
        <v>87</v>
      </c>
      <c r="F197" s="188">
        <f t="shared" si="587"/>
        <v>0.435</v>
      </c>
      <c r="G197" s="188"/>
      <c r="H197" s="188">
        <f t="shared" si="495"/>
        <v>73.95</v>
      </c>
      <c r="I197" s="465">
        <f t="shared" si="496"/>
        <v>8.9162367070133985</v>
      </c>
      <c r="J197" s="149">
        <f t="shared" si="497"/>
        <v>8.5435472747945518</v>
      </c>
      <c r="K197" s="149">
        <f t="shared" si="498"/>
        <v>17.459783981807952</v>
      </c>
      <c r="L197" s="379"/>
      <c r="M197" s="188">
        <f t="shared" si="499"/>
        <v>0.48932509717425021</v>
      </c>
      <c r="N197" s="149">
        <f t="shared" si="500"/>
        <v>145.8239442249762</v>
      </c>
      <c r="O197" s="149">
        <f t="shared" si="438"/>
        <v>73.95</v>
      </c>
      <c r="P197" s="188">
        <f t="shared" si="501"/>
        <v>0.85778790720574238</v>
      </c>
      <c r="Q197" s="188">
        <f t="shared" si="502"/>
        <v>170</v>
      </c>
      <c r="R197" s="188"/>
      <c r="S197" s="149">
        <f t="shared" si="503"/>
        <v>505.15855840648288</v>
      </c>
      <c r="T197" s="149">
        <f t="shared" si="504"/>
        <v>170</v>
      </c>
      <c r="U197" s="188">
        <f t="shared" si="505"/>
        <v>34.072557518921485</v>
      </c>
      <c r="V197" s="188">
        <f t="shared" si="506"/>
        <v>5.7321085069646784</v>
      </c>
      <c r="W197" s="188">
        <f t="shared" si="507"/>
        <v>5.9821564315755777</v>
      </c>
      <c r="X197" s="172">
        <f t="shared" si="508"/>
        <v>218.14785881371327</v>
      </c>
      <c r="Y197" s="379">
        <f t="shared" si="509"/>
        <v>83.933000076672855</v>
      </c>
      <c r="AA197" s="188">
        <f t="shared" si="510"/>
        <v>13.333333333333334</v>
      </c>
      <c r="AB197" s="150">
        <f t="shared" si="511"/>
        <v>2.3409480110216805</v>
      </c>
      <c r="AC197" s="150">
        <f t="shared" si="512"/>
        <v>0.17022426539953353</v>
      </c>
      <c r="AD197" s="150"/>
      <c r="AE197" s="150">
        <f t="shared" si="513"/>
        <v>2.3409480110216805</v>
      </c>
      <c r="AF197" s="314">
        <f t="shared" si="514"/>
        <v>557.46645968034431</v>
      </c>
      <c r="AG197" s="456">
        <f t="shared" si="515"/>
        <v>0.1702242653995335</v>
      </c>
      <c r="AI197" s="150">
        <f t="shared" si="516"/>
        <v>16.827286377243428</v>
      </c>
      <c r="AJ197" s="150">
        <f t="shared" si="517"/>
        <v>34.072557518921485</v>
      </c>
      <c r="AK197" s="150">
        <f t="shared" si="518"/>
        <v>16.562388285620852</v>
      </c>
      <c r="AM197" s="314">
        <f t="shared" si="519"/>
        <v>435</v>
      </c>
      <c r="AN197" s="144">
        <f t="shared" si="520"/>
        <v>83.933000076672855</v>
      </c>
      <c r="AP197">
        <f t="shared" si="521"/>
        <v>435</v>
      </c>
      <c r="AQ197">
        <f t="shared" si="522"/>
        <v>83.933000076672855</v>
      </c>
      <c r="AS197" s="5">
        <f t="shared" si="439"/>
        <v>11.914264938540256</v>
      </c>
      <c r="AT197" s="5">
        <f t="shared" si="523"/>
        <v>5.7321085069646784</v>
      </c>
      <c r="AU197" s="5">
        <f t="shared" si="478"/>
        <v>6.1821564315755779</v>
      </c>
      <c r="AV197" s="5"/>
      <c r="AW197" s="150">
        <f t="shared" si="479"/>
        <v>0.48111306375456347</v>
      </c>
      <c r="AX197" s="150">
        <f t="shared" ref="AX197:AX210" si="596">0.5*L*AJ197^2*AN197*1000</f>
        <v>73.080830953624826</v>
      </c>
      <c r="AY197" s="150">
        <f t="shared" ref="AY197:AY210" si="597">AJ197*Nps/2*(1-AW197)</f>
        <v>0.44199512452598949</v>
      </c>
      <c r="AZ197" s="150">
        <f t="shared" si="440"/>
        <v>165.34307031553612</v>
      </c>
      <c r="BA197" s="144">
        <f t="shared" si="594"/>
        <v>1.466745412076256</v>
      </c>
      <c r="BB197" s="5">
        <f t="shared" si="595"/>
        <v>85.456544642017974</v>
      </c>
      <c r="BD197" s="150">
        <f t="shared" si="441"/>
        <v>13.644815911063407</v>
      </c>
      <c r="BE197" s="150">
        <f t="shared" ref="BE197:BE210" si="598">AJ197*Nps*SQRT((1-AW197)/3)</f>
        <v>0.70851733226258351</v>
      </c>
      <c r="BG197" s="456">
        <f t="shared" si="480"/>
        <v>0.63301540423915104</v>
      </c>
      <c r="BH197" s="456">
        <f t="shared" si="524"/>
        <v>1.1958641976246451</v>
      </c>
      <c r="BI197" s="456">
        <f t="shared" si="525"/>
        <v>3.4275185526573208E-2</v>
      </c>
      <c r="BJ197" s="456">
        <f t="shared" si="481"/>
        <v>1.7526736220051849E-2</v>
      </c>
      <c r="BK197">
        <f t="shared" si="482"/>
        <v>4.0123065181560296E-3</v>
      </c>
      <c r="BL197" s="144">
        <f t="shared" si="588"/>
        <v>38.287492044729241</v>
      </c>
      <c r="BM197" s="456">
        <f t="shared" si="526"/>
        <v>2.3744480783650839</v>
      </c>
      <c r="BN197" s="144">
        <f t="shared" si="527"/>
        <v>2374.4480783650838</v>
      </c>
      <c r="BO197" s="456">
        <f t="shared" si="483"/>
        <v>1.0874999999999999</v>
      </c>
      <c r="BR197" s="144">
        <f t="shared" si="484"/>
        <v>1087.5</v>
      </c>
      <c r="BS197" s="456">
        <f t="shared" si="485"/>
        <v>0.27927150187021371</v>
      </c>
      <c r="BT197" s="456">
        <f t="shared" si="486"/>
        <v>0.10039936202329763</v>
      </c>
      <c r="BU197" s="456">
        <f t="shared" si="487"/>
        <v>21.868233599206988</v>
      </c>
      <c r="BV197" s="456"/>
      <c r="BW197" s="456">
        <f t="shared" si="488"/>
        <v>9.7441107938166432E-2</v>
      </c>
      <c r="BX197" s="144">
        <f t="shared" si="489"/>
        <v>22345.345571038666</v>
      </c>
      <c r="BY197" s="150">
        <f t="shared" si="490"/>
        <v>25.317539401167245</v>
      </c>
      <c r="BZ197" s="5">
        <f t="shared" si="491"/>
        <v>73.95</v>
      </c>
      <c r="CA197" s="150">
        <f t="shared" si="492"/>
        <v>0.74495651293569232</v>
      </c>
      <c r="CB197" s="5">
        <f t="shared" si="493"/>
        <v>74.495651293569239</v>
      </c>
      <c r="CE197" s="59">
        <f t="shared" si="528"/>
        <v>-50</v>
      </c>
      <c r="CF197">
        <f t="shared" si="529"/>
        <v>-50</v>
      </c>
      <c r="CG197" s="150">
        <f t="shared" si="530"/>
        <v>0.50893414621149957</v>
      </c>
      <c r="CI197" s="147">
        <v>87</v>
      </c>
      <c r="CJ197" s="188">
        <f t="shared" si="589"/>
        <v>0.435</v>
      </c>
      <c r="CK197" s="188"/>
      <c r="CL197" s="188">
        <f t="shared" si="531"/>
        <v>73.95</v>
      </c>
      <c r="CM197" s="465">
        <f t="shared" si="532"/>
        <v>9</v>
      </c>
      <c r="CN197" s="379">
        <f t="shared" si="533"/>
        <v>8.5350000000000001</v>
      </c>
      <c r="CO197" s="379">
        <f t="shared" si="534"/>
        <v>17.535</v>
      </c>
      <c r="CP197" s="379"/>
      <c r="CQ197" s="188">
        <f t="shared" si="535"/>
        <v>0.48674080410607357</v>
      </c>
      <c r="CR197" s="149">
        <f t="shared" si="590"/>
        <v>146.41650128314802</v>
      </c>
      <c r="CS197" s="149">
        <f t="shared" si="536"/>
        <v>73.95</v>
      </c>
      <c r="CT197" s="188">
        <f t="shared" si="537"/>
        <v>0.86127353695969422</v>
      </c>
      <c r="CU197" s="188">
        <f t="shared" si="538"/>
        <v>170</v>
      </c>
      <c r="CV197" s="188"/>
      <c r="CW197" s="149">
        <f t="shared" si="539"/>
        <v>509.90193998385769</v>
      </c>
      <c r="CX197" s="149">
        <f t="shared" si="540"/>
        <v>170</v>
      </c>
      <c r="CY197" s="188">
        <f t="shared" si="541"/>
        <v>33.761980082015235</v>
      </c>
      <c r="CZ197" s="188">
        <f t="shared" si="542"/>
        <v>5.6269966803358722</v>
      </c>
      <c r="DA197" s="188">
        <f t="shared" si="543"/>
        <v>5.9335641620413426</v>
      </c>
      <c r="DB197" s="172">
        <f t="shared" si="544"/>
        <v>219.03336184773312</v>
      </c>
      <c r="DC197" s="379">
        <f t="shared" si="545"/>
        <v>86.500993648537261</v>
      </c>
      <c r="DE197" s="188">
        <f t="shared" si="546"/>
        <v>13.333333333333334</v>
      </c>
      <c r="DF197" s="150">
        <f t="shared" si="547"/>
        <v>2.3432923257176337</v>
      </c>
      <c r="DG197" s="150">
        <f t="shared" si="548"/>
        <v>0.17108639863130889</v>
      </c>
      <c r="DH197" s="150"/>
      <c r="DI197" s="150">
        <f t="shared" si="549"/>
        <v>2.3432923257176337</v>
      </c>
      <c r="DJ197" s="314">
        <f t="shared" si="550"/>
        <v>556.90874999999983</v>
      </c>
      <c r="DK197" s="456">
        <f t="shared" si="551"/>
        <v>0.17108639863130887</v>
      </c>
      <c r="DM197" s="150">
        <f t="shared" si="552"/>
        <v>16.818866956911386</v>
      </c>
      <c r="DN197" s="150">
        <f t="shared" si="553"/>
        <v>33.761980082015235</v>
      </c>
      <c r="DO197" s="150">
        <f t="shared" si="554"/>
        <v>16.332330924949556</v>
      </c>
      <c r="DQ197" s="314">
        <f t="shared" si="555"/>
        <v>435</v>
      </c>
      <c r="DR197" s="144">
        <f t="shared" si="556"/>
        <v>86.500993648537261</v>
      </c>
      <c r="DT197">
        <f t="shared" si="591"/>
        <v>435</v>
      </c>
      <c r="DU197">
        <f t="shared" si="592"/>
        <v>86.500993648537261</v>
      </c>
      <c r="DW197" s="5">
        <f t="shared" si="557"/>
        <v>11.560560842377214</v>
      </c>
      <c r="DX197" s="5">
        <f t="shared" si="558"/>
        <v>5.6269966803358722</v>
      </c>
      <c r="DY197" s="5">
        <f t="shared" si="559"/>
        <v>5.9335641620413417</v>
      </c>
      <c r="DZ197" s="5"/>
      <c r="EA197" s="150">
        <f t="shared" si="560"/>
        <v>0.48674080410607357</v>
      </c>
      <c r="EB197" s="150">
        <f t="shared" si="561"/>
        <v>73.950000000000017</v>
      </c>
      <c r="EC197" s="150">
        <f t="shared" si="562"/>
        <v>0.43321616871704749</v>
      </c>
      <c r="ED197" s="150">
        <f t="shared" si="563"/>
        <v>170.70000000000002</v>
      </c>
      <c r="EE197" s="144">
        <f t="shared" si="564"/>
        <v>1.4398491505565318</v>
      </c>
      <c r="EF197" s="5">
        <f t="shared" si="565"/>
        <v>81.256864774621704</v>
      </c>
      <c r="EH197" s="150">
        <f t="shared" si="566"/>
        <v>13.599287636749178</v>
      </c>
      <c r="EI197" s="150">
        <f t="shared" si="567"/>
        <v>0.69824149736873298</v>
      </c>
      <c r="EK197" s="456">
        <f t="shared" si="568"/>
        <v>0.62879812237193278</v>
      </c>
      <c r="EL197" s="456">
        <f t="shared" si="569"/>
        <v>1.5567839999999997</v>
      </c>
      <c r="EM197" s="456">
        <f t="shared" si="570"/>
        <v>1.9808727545515031E-2</v>
      </c>
      <c r="EN197" s="456">
        <f t="shared" si="571"/>
        <v>1.8218944305273831E-2</v>
      </c>
      <c r="EO197">
        <f t="shared" si="572"/>
        <v>4.0499999999999998E-3</v>
      </c>
      <c r="EP197" s="144">
        <f t="shared" si="573"/>
        <v>23.85872754551503</v>
      </c>
      <c r="EQ197" s="144"/>
      <c r="ER197" s="144">
        <f t="shared" si="593"/>
        <v>2227.6597942227213</v>
      </c>
      <c r="ES197" s="456">
        <f t="shared" si="574"/>
        <v>1.0874999999999999</v>
      </c>
      <c r="EV197" s="144">
        <f t="shared" si="494"/>
        <v>1087.5</v>
      </c>
      <c r="EW197" s="456">
        <f t="shared" si="575"/>
        <v>0.27741093634055858</v>
      </c>
      <c r="EX197" s="456">
        <f t="shared" si="576"/>
        <v>9.7508237729546074E-2</v>
      </c>
      <c r="EY197" s="456">
        <f t="shared" si="577"/>
        <v>23.045838725832766</v>
      </c>
      <c r="EZ197" s="456"/>
      <c r="FA197" s="456">
        <f t="shared" si="578"/>
        <v>9.8600000000000021E-2</v>
      </c>
      <c r="FB197" s="144">
        <f t="shared" si="579"/>
        <v>23519.357899902872</v>
      </c>
      <c r="FC197" s="150">
        <f t="shared" si="580"/>
        <v>26.834517694125594</v>
      </c>
      <c r="FD197" s="5">
        <f t="shared" si="581"/>
        <v>73.95</v>
      </c>
      <c r="FE197" s="150">
        <f t="shared" si="582"/>
        <v>0.73374365122660412</v>
      </c>
      <c r="FF197" s="5">
        <f t="shared" si="583"/>
        <v>73.374365122660407</v>
      </c>
      <c r="FI197" s="59">
        <f t="shared" si="584"/>
        <v>-50</v>
      </c>
      <c r="FJ197">
        <f t="shared" si="585"/>
        <v>-50</v>
      </c>
      <c r="FL197">
        <f t="shared" si="586"/>
        <v>0.51325919589392643</v>
      </c>
    </row>
    <row r="198" spans="5:168">
      <c r="E198" s="147">
        <v>88</v>
      </c>
      <c r="F198" s="188">
        <f t="shared" si="587"/>
        <v>0.44</v>
      </c>
      <c r="G198" s="188"/>
      <c r="H198" s="188">
        <f t="shared" si="495"/>
        <v>74.8</v>
      </c>
      <c r="I198" s="465">
        <f t="shared" si="496"/>
        <v>8.9152820918374633</v>
      </c>
      <c r="J198" s="149">
        <f t="shared" si="497"/>
        <v>8.5436446845063809</v>
      </c>
      <c r="K198" s="149">
        <f t="shared" si="498"/>
        <v>17.458926776343844</v>
      </c>
      <c r="L198" s="379"/>
      <c r="M198" s="188">
        <f t="shared" si="499"/>
        <v>0.48935470194602149</v>
      </c>
      <c r="N198" s="149">
        <f t="shared" si="500"/>
        <v>145.81715319616762</v>
      </c>
      <c r="O198" s="149">
        <f t="shared" ref="O198:O261" si="599">T198*F198</f>
        <v>74.8</v>
      </c>
      <c r="P198" s="188">
        <f t="shared" si="501"/>
        <v>0.85774795997745656</v>
      </c>
      <c r="Q198" s="188">
        <f t="shared" si="502"/>
        <v>170</v>
      </c>
      <c r="R198" s="188"/>
      <c r="S198" s="149">
        <f t="shared" si="503"/>
        <v>497.34512434818771</v>
      </c>
      <c r="T198" s="149">
        <f t="shared" si="504"/>
        <v>170</v>
      </c>
      <c r="U198" s="188">
        <f t="shared" si="505"/>
        <v>34.466194180328209</v>
      </c>
      <c r="V198" s="188">
        <f t="shared" si="506"/>
        <v>5.7989518153134467</v>
      </c>
      <c r="W198" s="188">
        <f t="shared" si="507"/>
        <v>6.0511986604788568</v>
      </c>
      <c r="X198" s="172">
        <f t="shared" si="508"/>
        <v>218.13769950054447</v>
      </c>
      <c r="Y198" s="379">
        <f t="shared" si="509"/>
        <v>82.98651556334606</v>
      </c>
      <c r="AA198" s="188">
        <f t="shared" si="510"/>
        <v>13.333333333333336</v>
      </c>
      <c r="AB198" s="150">
        <f t="shared" si="511"/>
        <v>2.3409213208818653</v>
      </c>
      <c r="AC198" s="150">
        <f t="shared" si="512"/>
        <v>0.17021439721631537</v>
      </c>
      <c r="AD198" s="150"/>
      <c r="AE198" s="150">
        <f t="shared" si="513"/>
        <v>2.3409213208818649</v>
      </c>
      <c r="AF198" s="314">
        <f t="shared" si="514"/>
        <v>563.88054917742102</v>
      </c>
      <c r="AG198" s="456">
        <f t="shared" si="515"/>
        <v>0.17021439721631534</v>
      </c>
      <c r="AI198" s="150">
        <f t="shared" si="516"/>
        <v>16.923815085331665</v>
      </c>
      <c r="AJ198" s="150">
        <f t="shared" si="517"/>
        <v>34.466194180328209</v>
      </c>
      <c r="AK198" s="150">
        <f t="shared" si="518"/>
        <v>16.853970997773981</v>
      </c>
      <c r="AM198" s="314">
        <f t="shared" si="519"/>
        <v>440</v>
      </c>
      <c r="AN198" s="144">
        <f t="shared" si="520"/>
        <v>82.98651556334606</v>
      </c>
      <c r="AP198">
        <f t="shared" si="521"/>
        <v>440</v>
      </c>
      <c r="AQ198">
        <f t="shared" si="522"/>
        <v>82.98651556334606</v>
      </c>
      <c r="AS198" s="5">
        <f t="shared" ref="AS198:AS262" si="600">1/AN198*1000</f>
        <v>12.050150475792304</v>
      </c>
      <c r="AT198" s="5">
        <f t="shared" si="523"/>
        <v>5.7989518153134467</v>
      </c>
      <c r="AU198" s="5">
        <f t="shared" si="478"/>
        <v>6.251198660478857</v>
      </c>
      <c r="AV198" s="5"/>
      <c r="AW198" s="150">
        <f t="shared" si="479"/>
        <v>0.48123480507260324</v>
      </c>
      <c r="AX198" s="150">
        <f t="shared" si="596"/>
        <v>73.935915385196694</v>
      </c>
      <c r="AY198" s="150">
        <f t="shared" si="597"/>
        <v>0.44699654855908683</v>
      </c>
      <c r="AZ198" s="150">
        <f t="shared" ref="AZ198:AZ210" si="601">AX198/AY198</f>
        <v>165.40600956211495</v>
      </c>
      <c r="BA198" s="144">
        <f t="shared" si="594"/>
        <v>1.5009051757281862</v>
      </c>
      <c r="BB198" s="5">
        <f t="shared" si="595"/>
        <v>87.413509931059465</v>
      </c>
      <c r="BD198" s="150">
        <f t="shared" ref="BD198:BD210" si="602">AJ198*SQRT(AW198/3)</f>
        <v>13.804199211992589</v>
      </c>
      <c r="BE198" s="150">
        <f t="shared" si="598"/>
        <v>0.71661867685620162</v>
      </c>
      <c r="BG198" s="456">
        <f t="shared" si="480"/>
        <v>0.64789011400688112</v>
      </c>
      <c r="BH198" s="456">
        <f t="shared" si="524"/>
        <v>1.1959800121845452</v>
      </c>
      <c r="BI198" s="456">
        <f t="shared" si="525"/>
        <v>3.3885047379817769E-2</v>
      </c>
      <c r="BJ198" s="456">
        <f t="shared" si="481"/>
        <v>1.7327391511329709E-2</v>
      </c>
      <c r="BK198">
        <f t="shared" si="482"/>
        <v>4.0118769413268586E-3</v>
      </c>
      <c r="BL198" s="144">
        <f t="shared" si="588"/>
        <v>37.896924321144631</v>
      </c>
      <c r="BM198" s="456">
        <f t="shared" si="526"/>
        <v>2.4065961024775784</v>
      </c>
      <c r="BN198" s="144">
        <f t="shared" si="527"/>
        <v>2406.5961024775784</v>
      </c>
      <c r="BO198" s="456">
        <f t="shared" si="483"/>
        <v>1.1000000000000001</v>
      </c>
      <c r="BR198" s="144">
        <f t="shared" si="484"/>
        <v>1100</v>
      </c>
      <c r="BS198" s="456">
        <f t="shared" si="485"/>
        <v>0.28583387382656522</v>
      </c>
      <c r="BT198" s="456">
        <f t="shared" si="486"/>
        <v>0.10270846560382663</v>
      </c>
      <c r="BU198" s="456">
        <f t="shared" si="487"/>
        <v>21.876213593704481</v>
      </c>
      <c r="BV198" s="456"/>
      <c r="BW198" s="456">
        <f t="shared" si="488"/>
        <v>9.8581220513595594E-2</v>
      </c>
      <c r="BX198" s="144">
        <f t="shared" si="489"/>
        <v>22363.337153648466</v>
      </c>
      <c r="BY198" s="150">
        <f t="shared" si="490"/>
        <v>25.362431595672369</v>
      </c>
      <c r="BZ198" s="5">
        <f t="shared" si="491"/>
        <v>74.8</v>
      </c>
      <c r="CA198" s="150">
        <f t="shared" si="492"/>
        <v>0.74678698198888194</v>
      </c>
      <c r="CB198" s="5">
        <f t="shared" si="493"/>
        <v>74.678698198888199</v>
      </c>
      <c r="CE198" s="59">
        <f t="shared" si="528"/>
        <v>-50</v>
      </c>
      <c r="CF198">
        <f t="shared" si="529"/>
        <v>-50</v>
      </c>
      <c r="CG198" s="150">
        <f t="shared" si="530"/>
        <v>0.50898329450334545</v>
      </c>
      <c r="CI198" s="147">
        <v>88</v>
      </c>
      <c r="CJ198" s="188">
        <f t="shared" si="589"/>
        <v>0.44</v>
      </c>
      <c r="CK198" s="188"/>
      <c r="CL198" s="188">
        <f t="shared" si="531"/>
        <v>74.8</v>
      </c>
      <c r="CM198" s="465">
        <f t="shared" si="532"/>
        <v>9</v>
      </c>
      <c r="CN198" s="379">
        <f t="shared" si="533"/>
        <v>8.5350000000000001</v>
      </c>
      <c r="CO198" s="379">
        <f t="shared" si="534"/>
        <v>17.535</v>
      </c>
      <c r="CP198" s="379"/>
      <c r="CQ198" s="188">
        <f t="shared" si="535"/>
        <v>0.48674080410607357</v>
      </c>
      <c r="CR198" s="149">
        <f t="shared" si="590"/>
        <v>146.41650128314802</v>
      </c>
      <c r="CS198" s="149">
        <f t="shared" si="536"/>
        <v>74.8</v>
      </c>
      <c r="CT198" s="188">
        <f t="shared" si="537"/>
        <v>0.86127353695969422</v>
      </c>
      <c r="CU198" s="188">
        <f t="shared" si="538"/>
        <v>170</v>
      </c>
      <c r="CV198" s="188"/>
      <c r="CW198" s="149">
        <f t="shared" si="539"/>
        <v>502.06879403098418</v>
      </c>
      <c r="CX198" s="149">
        <f t="shared" si="540"/>
        <v>170</v>
      </c>
      <c r="CY198" s="188">
        <f t="shared" si="541"/>
        <v>34.150048818590122</v>
      </c>
      <c r="CZ198" s="188">
        <f t="shared" si="542"/>
        <v>5.6916748030983539</v>
      </c>
      <c r="DA198" s="188">
        <f t="shared" si="543"/>
        <v>6.0017660489613576</v>
      </c>
      <c r="DB198" s="172">
        <f t="shared" si="544"/>
        <v>219.03336184773312</v>
      </c>
      <c r="DC198" s="379">
        <f t="shared" si="545"/>
        <v>85.518027811622062</v>
      </c>
      <c r="DE198" s="188">
        <f t="shared" si="546"/>
        <v>13.333333333333334</v>
      </c>
      <c r="DF198" s="150">
        <f t="shared" si="547"/>
        <v>2.3432923257176337</v>
      </c>
      <c r="DG198" s="150">
        <f t="shared" si="548"/>
        <v>0.17108639863130889</v>
      </c>
      <c r="DH198" s="150"/>
      <c r="DI198" s="150">
        <f t="shared" si="549"/>
        <v>2.3432923257176337</v>
      </c>
      <c r="DJ198" s="314">
        <f t="shared" si="550"/>
        <v>563.30999999999983</v>
      </c>
      <c r="DK198" s="456">
        <f t="shared" si="551"/>
        <v>0.17108639863130887</v>
      </c>
      <c r="DM198" s="150">
        <f t="shared" si="552"/>
        <v>16.91525093771045</v>
      </c>
      <c r="DN198" s="150">
        <f t="shared" si="553"/>
        <v>34.150048818590122</v>
      </c>
      <c r="DO198" s="150">
        <f t="shared" si="554"/>
        <v>16.61978924833836</v>
      </c>
      <c r="DQ198" s="314">
        <f t="shared" si="555"/>
        <v>440</v>
      </c>
      <c r="DR198" s="144">
        <f t="shared" si="556"/>
        <v>85.518027811622062</v>
      </c>
      <c r="DT198">
        <f t="shared" si="591"/>
        <v>440</v>
      </c>
      <c r="DU198">
        <f t="shared" si="592"/>
        <v>85.518027811622062</v>
      </c>
      <c r="DW198" s="5">
        <f t="shared" si="557"/>
        <v>11.693440852059712</v>
      </c>
      <c r="DX198" s="5">
        <f t="shared" si="558"/>
        <v>5.6916748030983539</v>
      </c>
      <c r="DY198" s="5">
        <f t="shared" si="559"/>
        <v>6.0017660489613585</v>
      </c>
      <c r="DZ198" s="5"/>
      <c r="EA198" s="150">
        <f t="shared" si="560"/>
        <v>0.48674080410607351</v>
      </c>
      <c r="EB198" s="150">
        <f t="shared" si="561"/>
        <v>74.800000000000011</v>
      </c>
      <c r="EC198" s="150">
        <f t="shared" si="562"/>
        <v>0.43819566490919754</v>
      </c>
      <c r="ED198" s="150">
        <f t="shared" si="563"/>
        <v>170.7</v>
      </c>
      <c r="EE198" s="144">
        <f t="shared" si="564"/>
        <v>1.4731393608019268</v>
      </c>
      <c r="EF198" s="5">
        <f t="shared" si="565"/>
        <v>83.135574159686939</v>
      </c>
      <c r="EH198" s="150">
        <f t="shared" si="566"/>
        <v>13.755601287746293</v>
      </c>
      <c r="EI198" s="150">
        <f t="shared" si="567"/>
        <v>0.70626726170630461</v>
      </c>
      <c r="EK198" s="456">
        <f t="shared" si="568"/>
        <v>0.64333632707732136</v>
      </c>
      <c r="EL198" s="456">
        <f t="shared" si="569"/>
        <v>1.5567839999999999</v>
      </c>
      <c r="EM198" s="456">
        <f t="shared" si="570"/>
        <v>1.9583628368861454E-2</v>
      </c>
      <c r="EN198" s="456">
        <f t="shared" si="571"/>
        <v>1.8011910847259355E-2</v>
      </c>
      <c r="EO198">
        <f t="shared" si="572"/>
        <v>4.0499999999999998E-3</v>
      </c>
      <c r="EP198" s="144">
        <f t="shared" si="573"/>
        <v>23.633628368861451</v>
      </c>
      <c r="EQ198" s="144"/>
      <c r="ER198" s="144">
        <f t="shared" si="593"/>
        <v>2241.7658662934418</v>
      </c>
      <c r="ES198" s="456">
        <f t="shared" si="574"/>
        <v>1.1000000000000001</v>
      </c>
      <c r="EV198" s="144">
        <f t="shared" si="494"/>
        <v>1100</v>
      </c>
      <c r="EW198" s="456">
        <f t="shared" si="575"/>
        <v>0.28382485018117121</v>
      </c>
      <c r="EX198" s="456">
        <f t="shared" si="576"/>
        <v>9.9762688991624354E-2</v>
      </c>
      <c r="EY198" s="456">
        <f t="shared" si="577"/>
        <v>23.045838725832731</v>
      </c>
      <c r="EZ198" s="456"/>
      <c r="FA198" s="456">
        <f t="shared" si="578"/>
        <v>9.9733333333333354E-2</v>
      </c>
      <c r="FB198" s="144">
        <f t="shared" si="579"/>
        <v>23529.159598338858</v>
      </c>
      <c r="FC198" s="150">
        <f t="shared" si="580"/>
        <v>26.8709254646323</v>
      </c>
      <c r="FD198" s="5">
        <f t="shared" si="581"/>
        <v>74.8</v>
      </c>
      <c r="FE198" s="150">
        <f t="shared" si="582"/>
        <v>0.7357068862918954</v>
      </c>
      <c r="FF198" s="5">
        <f t="shared" si="583"/>
        <v>73.570688629189533</v>
      </c>
      <c r="FI198" s="59">
        <f t="shared" si="584"/>
        <v>-50</v>
      </c>
      <c r="FJ198">
        <f t="shared" si="585"/>
        <v>-50</v>
      </c>
      <c r="FL198">
        <f t="shared" si="586"/>
        <v>0.51325919589392655</v>
      </c>
    </row>
    <row r="199" spans="5:168">
      <c r="E199" s="147">
        <v>89</v>
      </c>
      <c r="F199" s="188">
        <f t="shared" si="587"/>
        <v>0.44500000000000001</v>
      </c>
      <c r="G199" s="188"/>
      <c r="H199" s="188">
        <f t="shared" si="495"/>
        <v>75.650000000000006</v>
      </c>
      <c r="I199" s="465">
        <f t="shared" si="496"/>
        <v>8.9143274751171795</v>
      </c>
      <c r="J199" s="149">
        <f t="shared" si="497"/>
        <v>8.5437420943757978</v>
      </c>
      <c r="K199" s="149">
        <f t="shared" si="498"/>
        <v>17.458069569492977</v>
      </c>
      <c r="L199" s="379"/>
      <c r="M199" s="188">
        <f t="shared" si="499"/>
        <v>0.48938430966830926</v>
      </c>
      <c r="N199" s="149">
        <f t="shared" si="500"/>
        <v>145.81036113202987</v>
      </c>
      <c r="O199" s="149">
        <f t="shared" si="599"/>
        <v>75.650000000000006</v>
      </c>
      <c r="P199" s="188">
        <f t="shared" si="501"/>
        <v>0.85770800665899927</v>
      </c>
      <c r="Q199" s="188">
        <f t="shared" si="502"/>
        <v>170</v>
      </c>
      <c r="R199" s="188"/>
      <c r="S199" s="149">
        <f t="shared" si="503"/>
        <v>489.70781954239089</v>
      </c>
      <c r="T199" s="149">
        <f t="shared" si="504"/>
        <v>170</v>
      </c>
      <c r="U199" s="188">
        <f t="shared" si="505"/>
        <v>34.859876688155246</v>
      </c>
      <c r="V199" s="188">
        <f t="shared" si="506"/>
        <v>5.86581715538171</v>
      </c>
      <c r="W199" s="188">
        <f t="shared" si="507"/>
        <v>6.1202473640507451</v>
      </c>
      <c r="X199" s="172">
        <f t="shared" si="508"/>
        <v>218.1275386406347</v>
      </c>
      <c r="Y199" s="379">
        <f t="shared" si="509"/>
        <v>82.060947437571357</v>
      </c>
      <c r="AA199" s="188">
        <f t="shared" si="510"/>
        <v>13.333333333333332</v>
      </c>
      <c r="AB199" s="150">
        <f t="shared" si="511"/>
        <v>2.3408946313074765</v>
      </c>
      <c r="AC199" s="150">
        <f t="shared" si="512"/>
        <v>0.17020452804805861</v>
      </c>
      <c r="AD199" s="150"/>
      <c r="AE199" s="150">
        <f t="shared" si="513"/>
        <v>2.340894631307477</v>
      </c>
      <c r="AF199" s="314">
        <f t="shared" si="514"/>
        <v>570.29478479958448</v>
      </c>
      <c r="AG199" s="456">
        <f t="shared" si="515"/>
        <v>0.17020452804805863</v>
      </c>
      <c r="AI199" s="150">
        <f t="shared" si="516"/>
        <v>17.019798514832754</v>
      </c>
      <c r="AJ199" s="150">
        <f t="shared" si="517"/>
        <v>34.859876688155246</v>
      </c>
      <c r="AK199" s="150">
        <f t="shared" si="518"/>
        <v>17.145587670238452</v>
      </c>
      <c r="AM199" s="314">
        <f t="shared" si="519"/>
        <v>445</v>
      </c>
      <c r="AN199" s="144">
        <f t="shared" si="520"/>
        <v>82.060947437571357</v>
      </c>
      <c r="AP199">
        <f t="shared" si="521"/>
        <v>445</v>
      </c>
      <c r="AQ199">
        <f t="shared" si="522"/>
        <v>82.060947437571357</v>
      </c>
      <c r="AS199" s="5">
        <f t="shared" si="600"/>
        <v>12.186064519432456</v>
      </c>
      <c r="AT199" s="5">
        <f t="shared" si="523"/>
        <v>5.86581715538171</v>
      </c>
      <c r="AU199" s="5">
        <f t="shared" si="478"/>
        <v>6.3202473640507462</v>
      </c>
      <c r="AV199" s="5"/>
      <c r="AW199" s="150">
        <f t="shared" si="479"/>
        <v>0.48135451326618284</v>
      </c>
      <c r="AX199" s="150">
        <f t="shared" si="596"/>
        <v>74.791024664416398</v>
      </c>
      <c r="AY199" s="150">
        <f t="shared" si="597"/>
        <v>0.45199794281022815</v>
      </c>
      <c r="AZ199" s="150">
        <f t="shared" si="601"/>
        <v>165.46762182016721</v>
      </c>
      <c r="BA199" s="144">
        <f t="shared" si="594"/>
        <v>1.5354639024381533</v>
      </c>
      <c r="BB199" s="5">
        <f t="shared" si="595"/>
        <v>89.392930355663921</v>
      </c>
      <c r="BD199" s="150">
        <f t="shared" si="602"/>
        <v>13.96361105071337</v>
      </c>
      <c r="BE199" s="150">
        <f t="shared" si="598"/>
        <v>0.72472046449336591</v>
      </c>
      <c r="BG199" s="456">
        <f t="shared" si="480"/>
        <v>0.66294027415705536</v>
      </c>
      <c r="BH199" s="456">
        <f t="shared" si="524"/>
        <v>1.1960906925180801</v>
      </c>
      <c r="BI199" s="456">
        <f t="shared" si="525"/>
        <v>3.3503531653661517E-2</v>
      </c>
      <c r="BJ199" s="456">
        <f t="shared" si="481"/>
        <v>1.7132452559721411E-2</v>
      </c>
      <c r="BK199">
        <f t="shared" si="482"/>
        <v>4.0114473638027306E-3</v>
      </c>
      <c r="BL199" s="144">
        <f t="shared" si="588"/>
        <v>37.514979017464249</v>
      </c>
      <c r="BM199" s="456">
        <f t="shared" si="526"/>
        <v>2.4393981374070921</v>
      </c>
      <c r="BN199" s="144">
        <f t="shared" si="527"/>
        <v>2439.3981374070922</v>
      </c>
      <c r="BO199" s="456">
        <f t="shared" si="483"/>
        <v>1.1125</v>
      </c>
      <c r="BR199" s="144">
        <f t="shared" si="484"/>
        <v>1112.5</v>
      </c>
      <c r="BS199" s="456">
        <f t="shared" si="485"/>
        <v>0.29247365036340683</v>
      </c>
      <c r="BT199" s="456">
        <f t="shared" si="486"/>
        <v>0.10504395033109602</v>
      </c>
      <c r="BU199" s="456">
        <f t="shared" si="487"/>
        <v>21.883961280060259</v>
      </c>
      <c r="BV199" s="456"/>
      <c r="BW199" s="456">
        <f t="shared" si="488"/>
        <v>9.9721366219221855E-2</v>
      </c>
      <c r="BX199" s="144">
        <f t="shared" si="489"/>
        <v>22381.200246973982</v>
      </c>
      <c r="BY199" s="150">
        <f t="shared" si="490"/>
        <v>25.407378645226302</v>
      </c>
      <c r="BZ199" s="5">
        <f t="shared" si="491"/>
        <v>75.650000000000006</v>
      </c>
      <c r="CA199" s="150">
        <f t="shared" si="492"/>
        <v>0.74858462602298581</v>
      </c>
      <c r="CB199" s="5">
        <f t="shared" si="493"/>
        <v>74.858462602298587</v>
      </c>
      <c r="CE199" s="59">
        <f t="shared" si="528"/>
        <v>-50</v>
      </c>
      <c r="CF199">
        <f t="shared" si="529"/>
        <v>-50</v>
      </c>
      <c r="CG199" s="150">
        <f t="shared" si="530"/>
        <v>0.50903133833919467</v>
      </c>
      <c r="CI199" s="147">
        <v>89</v>
      </c>
      <c r="CJ199" s="188">
        <f t="shared" si="589"/>
        <v>0.44500000000000001</v>
      </c>
      <c r="CK199" s="188"/>
      <c r="CL199" s="188">
        <f t="shared" si="531"/>
        <v>75.650000000000006</v>
      </c>
      <c r="CM199" s="465">
        <f t="shared" si="532"/>
        <v>9</v>
      </c>
      <c r="CN199" s="379">
        <f t="shared" si="533"/>
        <v>8.5350000000000001</v>
      </c>
      <c r="CO199" s="379">
        <f t="shared" si="534"/>
        <v>17.535</v>
      </c>
      <c r="CP199" s="379"/>
      <c r="CQ199" s="188">
        <f t="shared" si="535"/>
        <v>0.48674080410607357</v>
      </c>
      <c r="CR199" s="149">
        <f t="shared" si="590"/>
        <v>146.41650128314802</v>
      </c>
      <c r="CS199" s="149">
        <f t="shared" si="536"/>
        <v>75.650000000000006</v>
      </c>
      <c r="CT199" s="188">
        <f t="shared" si="537"/>
        <v>0.86127353695969422</v>
      </c>
      <c r="CU199" s="188">
        <f t="shared" si="538"/>
        <v>170</v>
      </c>
      <c r="CV199" s="188"/>
      <c r="CW199" s="149">
        <f t="shared" si="539"/>
        <v>494.41179135148298</v>
      </c>
      <c r="CX199" s="149">
        <f t="shared" si="540"/>
        <v>170</v>
      </c>
      <c r="CY199" s="188">
        <f t="shared" si="541"/>
        <v>34.538117555165009</v>
      </c>
      <c r="CZ199" s="188">
        <f t="shared" si="542"/>
        <v>5.7563529258608348</v>
      </c>
      <c r="DA199" s="188">
        <f t="shared" si="543"/>
        <v>6.0699679358813734</v>
      </c>
      <c r="DB199" s="172">
        <f t="shared" si="544"/>
        <v>219.03336184773312</v>
      </c>
      <c r="DC199" s="379">
        <f t="shared" si="545"/>
        <v>84.557151094637547</v>
      </c>
      <c r="DE199" s="188">
        <f t="shared" si="546"/>
        <v>13.333333333333334</v>
      </c>
      <c r="DF199" s="150">
        <f t="shared" si="547"/>
        <v>2.3432923257176337</v>
      </c>
      <c r="DG199" s="150">
        <f t="shared" si="548"/>
        <v>0.17108639863130889</v>
      </c>
      <c r="DH199" s="150"/>
      <c r="DI199" s="150">
        <f t="shared" si="549"/>
        <v>2.3432923257176337</v>
      </c>
      <c r="DJ199" s="314">
        <f t="shared" si="550"/>
        <v>569.71124999999984</v>
      </c>
      <c r="DK199" s="456">
        <f t="shared" si="551"/>
        <v>0.17108639863130887</v>
      </c>
      <c r="DM199" s="150">
        <f t="shared" si="552"/>
        <v>17.011088820447174</v>
      </c>
      <c r="DN199" s="150">
        <f t="shared" si="553"/>
        <v>34.538117555165009</v>
      </c>
      <c r="DO199" s="150">
        <f t="shared" si="554"/>
        <v>16.907247571727165</v>
      </c>
      <c r="DQ199" s="314">
        <f t="shared" si="555"/>
        <v>445</v>
      </c>
      <c r="DR199" s="144">
        <f t="shared" si="556"/>
        <v>84.557151094637547</v>
      </c>
      <c r="DT199">
        <f t="shared" si="591"/>
        <v>445</v>
      </c>
      <c r="DU199">
        <f t="shared" si="592"/>
        <v>84.557151094637547</v>
      </c>
      <c r="DW199" s="5">
        <f t="shared" si="557"/>
        <v>11.826320861742209</v>
      </c>
      <c r="DX199" s="5">
        <f t="shared" si="558"/>
        <v>5.7563529258608348</v>
      </c>
      <c r="DY199" s="5">
        <f t="shared" si="559"/>
        <v>6.0699679358813743</v>
      </c>
      <c r="DZ199" s="5"/>
      <c r="EA199" s="150">
        <f t="shared" si="560"/>
        <v>0.48674080410607351</v>
      </c>
      <c r="EB199" s="150">
        <f t="shared" si="561"/>
        <v>75.649999999999991</v>
      </c>
      <c r="EC199" s="150">
        <f t="shared" si="562"/>
        <v>0.44317516110134753</v>
      </c>
      <c r="ED199" s="150">
        <f t="shared" si="563"/>
        <v>170.69999999999993</v>
      </c>
      <c r="EE199" s="144">
        <f t="shared" si="564"/>
        <v>1.5068100305929832</v>
      </c>
      <c r="EF199" s="5">
        <f t="shared" si="565"/>
        <v>85.035754509152952</v>
      </c>
      <c r="EH199" s="150">
        <f t="shared" si="566"/>
        <v>13.91191493874341</v>
      </c>
      <c r="EI199" s="150">
        <f t="shared" si="567"/>
        <v>0.71429302604387623</v>
      </c>
      <c r="EK199" s="456">
        <f t="shared" si="568"/>
        <v>0.65804068269362892</v>
      </c>
      <c r="EL199" s="456">
        <f t="shared" si="569"/>
        <v>1.5567839999999997</v>
      </c>
      <c r="EM199" s="456">
        <f t="shared" si="570"/>
        <v>1.9363587600672E-2</v>
      </c>
      <c r="EN199" s="456">
        <f t="shared" si="571"/>
        <v>1.7809529826503634E-2</v>
      </c>
      <c r="EO199">
        <f t="shared" si="572"/>
        <v>4.0499999999999998E-3</v>
      </c>
      <c r="EP199" s="144">
        <f t="shared" si="573"/>
        <v>23.413587600671999</v>
      </c>
      <c r="EQ199" s="144"/>
      <c r="ER199" s="144">
        <f t="shared" si="593"/>
        <v>2256.0478001208044</v>
      </c>
      <c r="ES199" s="456">
        <f t="shared" si="574"/>
        <v>1.1125</v>
      </c>
      <c r="EV199" s="144">
        <f t="shared" si="494"/>
        <v>1112.5</v>
      </c>
      <c r="EW199" s="456">
        <f t="shared" si="575"/>
        <v>0.29031206589424807</v>
      </c>
      <c r="EX199" s="456">
        <f t="shared" si="576"/>
        <v>0.10204290541098354</v>
      </c>
      <c r="EY199" s="456">
        <f t="shared" si="577"/>
        <v>23.045838725832766</v>
      </c>
      <c r="EZ199" s="456"/>
      <c r="FA199" s="456">
        <f t="shared" si="578"/>
        <v>0.10086666666666666</v>
      </c>
      <c r="FB199" s="144">
        <f t="shared" si="579"/>
        <v>23539.060363804667</v>
      </c>
      <c r="FC199" s="150">
        <f t="shared" si="580"/>
        <v>26.907608163925467</v>
      </c>
      <c r="FD199" s="5">
        <f t="shared" si="581"/>
        <v>75.650000000000006</v>
      </c>
      <c r="FE199" s="150">
        <f t="shared" si="582"/>
        <v>0.73763420729433327</v>
      </c>
      <c r="FF199" s="5">
        <f t="shared" si="583"/>
        <v>73.763420729433321</v>
      </c>
      <c r="FI199" s="59">
        <f t="shared" si="584"/>
        <v>-50</v>
      </c>
      <c r="FJ199">
        <f t="shared" si="585"/>
        <v>-50</v>
      </c>
      <c r="FL199">
        <f t="shared" si="586"/>
        <v>0.51325919589392655</v>
      </c>
    </row>
    <row r="200" spans="5:168">
      <c r="E200" s="147">
        <v>90</v>
      </c>
      <c r="F200" s="188">
        <f t="shared" si="587"/>
        <v>0.45</v>
      </c>
      <c r="G200" s="188"/>
      <c r="H200" s="188">
        <f t="shared" si="495"/>
        <v>76.5</v>
      </c>
      <c r="I200" s="465">
        <f t="shared" si="496"/>
        <v>8.9133728569044486</v>
      </c>
      <c r="J200" s="149">
        <f t="shared" si="497"/>
        <v>8.5438395043975053</v>
      </c>
      <c r="K200" s="149">
        <f t="shared" si="498"/>
        <v>17.457212361301956</v>
      </c>
      <c r="L200" s="379"/>
      <c r="M200" s="188">
        <f t="shared" si="499"/>
        <v>0.48941392034010128</v>
      </c>
      <c r="N200" s="149">
        <f t="shared" si="500"/>
        <v>145.80356803282339</v>
      </c>
      <c r="O200" s="149">
        <f t="shared" si="599"/>
        <v>76.5</v>
      </c>
      <c r="P200" s="188">
        <f t="shared" si="501"/>
        <v>0.85766804725190227</v>
      </c>
      <c r="Q200" s="188">
        <f t="shared" si="502"/>
        <v>170</v>
      </c>
      <c r="R200" s="188"/>
      <c r="S200" s="149">
        <f t="shared" si="503"/>
        <v>482.24077443150469</v>
      </c>
      <c r="T200" s="149">
        <f t="shared" si="504"/>
        <v>170</v>
      </c>
      <c r="U200" s="188">
        <f t="shared" si="505"/>
        <v>35.25360505713315</v>
      </c>
      <c r="V200" s="188">
        <f t="shared" si="506"/>
        <v>5.932704536727381</v>
      </c>
      <c r="W200" s="188">
        <f t="shared" si="507"/>
        <v>6.1893025446559742</v>
      </c>
      <c r="X200" s="172">
        <f t="shared" si="508"/>
        <v>218.11737623430361</v>
      </c>
      <c r="Y200" s="379">
        <f t="shared" si="509"/>
        <v>81.155609909593807</v>
      </c>
      <c r="AA200" s="188">
        <f t="shared" si="510"/>
        <v>13.333333333333334</v>
      </c>
      <c r="AB200" s="150">
        <f t="shared" si="511"/>
        <v>2.3408679422999485</v>
      </c>
      <c r="AC200" s="150">
        <f t="shared" si="512"/>
        <v>0.1701946578951527</v>
      </c>
      <c r="AD200" s="150"/>
      <c r="AE200" s="150">
        <f t="shared" si="513"/>
        <v>2.3408679422999485</v>
      </c>
      <c r="AF200" s="314">
        <f t="shared" si="514"/>
        <v>576.70916654683163</v>
      </c>
      <c r="AG200" s="456">
        <f t="shared" si="515"/>
        <v>0.17019465789515267</v>
      </c>
      <c r="AI200" s="150">
        <f t="shared" si="516"/>
        <v>17.115245839624144</v>
      </c>
      <c r="AJ200" s="150">
        <f t="shared" si="517"/>
        <v>35.25360505713315</v>
      </c>
      <c r="AK200" s="150">
        <f t="shared" si="518"/>
        <v>17.437238313925786</v>
      </c>
      <c r="AM200" s="314">
        <f t="shared" si="519"/>
        <v>450</v>
      </c>
      <c r="AN200" s="144">
        <f t="shared" si="520"/>
        <v>81.155609909593807</v>
      </c>
      <c r="AP200">
        <f t="shared" si="521"/>
        <v>450</v>
      </c>
      <c r="AQ200">
        <f t="shared" si="522"/>
        <v>81.155609909593807</v>
      </c>
      <c r="AS200" s="5">
        <f t="shared" si="600"/>
        <v>12.322007081383354</v>
      </c>
      <c r="AT200" s="5">
        <f t="shared" si="523"/>
        <v>5.932704536727381</v>
      </c>
      <c r="AU200" s="5">
        <f t="shared" si="478"/>
        <v>6.3893025446559735</v>
      </c>
      <c r="AV200" s="5"/>
      <c r="AW200" s="150">
        <f t="shared" si="479"/>
        <v>0.48147225509152475</v>
      </c>
      <c r="AX200" s="150">
        <f t="shared" si="596"/>
        <v>75.646158615792444</v>
      </c>
      <c r="AY200" s="150">
        <f t="shared" si="597"/>
        <v>0.45699930825423185</v>
      </c>
      <c r="AZ200" s="150">
        <f t="shared" si="601"/>
        <v>165.5279499322786</v>
      </c>
      <c r="BA200" s="144">
        <f t="shared" si="594"/>
        <v>1.5704217891337184</v>
      </c>
      <c r="BB200" s="5">
        <f t="shared" si="595"/>
        <v>91.39481625214475</v>
      </c>
      <c r="BD200" s="150">
        <f t="shared" si="602"/>
        <v>14.123051423603123</v>
      </c>
      <c r="BE200" s="150">
        <f t="shared" si="598"/>
        <v>0.73282269625919161</v>
      </c>
      <c r="BG200" s="456">
        <f t="shared" si="480"/>
        <v>0.67816597714670979</v>
      </c>
      <c r="BH200" s="456">
        <f t="shared" si="524"/>
        <v>1.1961964068647697</v>
      </c>
      <c r="BI200" s="456">
        <f t="shared" si="525"/>
        <v>3.3130355643359415E-2</v>
      </c>
      <c r="BJ200" s="456">
        <f t="shared" si="481"/>
        <v>1.6941774912895544E-2</v>
      </c>
      <c r="BK200">
        <f t="shared" si="482"/>
        <v>4.0110177856070017E-3</v>
      </c>
      <c r="BL200" s="144">
        <f t="shared" si="588"/>
        <v>37.141373428966418</v>
      </c>
      <c r="BM200" s="456">
        <f t="shared" si="526"/>
        <v>2.4728676702070986</v>
      </c>
      <c r="BN200" s="144">
        <f t="shared" si="527"/>
        <v>2472.8676702070989</v>
      </c>
      <c r="BO200" s="456">
        <f t="shared" si="483"/>
        <v>1.125</v>
      </c>
      <c r="BR200" s="144">
        <f t="shared" si="484"/>
        <v>1125</v>
      </c>
      <c r="BS200" s="456">
        <f t="shared" si="485"/>
        <v>0.29919087227060731</v>
      </c>
      <c r="BT200" s="456">
        <f t="shared" si="486"/>
        <v>0.10740582083051829</v>
      </c>
      <c r="BU200" s="456">
        <f t="shared" si="487"/>
        <v>21.891484171936995</v>
      </c>
      <c r="BV200" s="456"/>
      <c r="BW200" s="456">
        <f t="shared" si="488"/>
        <v>0.1008615448210566</v>
      </c>
      <c r="BX200" s="144">
        <f t="shared" si="489"/>
        <v>22398.942409859177</v>
      </c>
      <c r="BY200" s="150">
        <f t="shared" si="490"/>
        <v>25.452387942212518</v>
      </c>
      <c r="BZ200" s="5">
        <f t="shared" si="491"/>
        <v>76.5</v>
      </c>
      <c r="CA200" s="150">
        <f t="shared" si="492"/>
        <v>0.7503502521526112</v>
      </c>
      <c r="CB200" s="5">
        <f t="shared" si="493"/>
        <v>75.035025215261115</v>
      </c>
      <c r="CE200" s="59">
        <f t="shared" si="528"/>
        <v>-50</v>
      </c>
      <c r="CF200">
        <f t="shared" si="529"/>
        <v>-50</v>
      </c>
      <c r="CG200" s="150">
        <f t="shared" si="530"/>
        <v>0.50907831453424723</v>
      </c>
      <c r="CI200" s="147">
        <v>90</v>
      </c>
      <c r="CJ200" s="188">
        <f t="shared" si="589"/>
        <v>0.45</v>
      </c>
      <c r="CK200" s="188"/>
      <c r="CL200" s="188">
        <f t="shared" si="531"/>
        <v>76.5</v>
      </c>
      <c r="CM200" s="465">
        <f t="shared" si="532"/>
        <v>9</v>
      </c>
      <c r="CN200" s="379">
        <f t="shared" si="533"/>
        <v>8.5350000000000001</v>
      </c>
      <c r="CO200" s="379">
        <f t="shared" si="534"/>
        <v>17.535</v>
      </c>
      <c r="CP200" s="379"/>
      <c r="CQ200" s="188">
        <f t="shared" si="535"/>
        <v>0.48674080410607357</v>
      </c>
      <c r="CR200" s="149">
        <f t="shared" si="590"/>
        <v>146.41650128314802</v>
      </c>
      <c r="CS200" s="149">
        <f t="shared" si="536"/>
        <v>76.5</v>
      </c>
      <c r="CT200" s="188">
        <f t="shared" si="537"/>
        <v>0.86127353695969422</v>
      </c>
      <c r="CU200" s="188">
        <f t="shared" si="538"/>
        <v>170</v>
      </c>
      <c r="CV200" s="188"/>
      <c r="CW200" s="149">
        <f t="shared" si="539"/>
        <v>486.92506191711726</v>
      </c>
      <c r="CX200" s="149">
        <f t="shared" si="540"/>
        <v>170</v>
      </c>
      <c r="CY200" s="188">
        <f t="shared" si="541"/>
        <v>34.926186291739896</v>
      </c>
      <c r="CZ200" s="188">
        <f t="shared" si="542"/>
        <v>5.8210310486233157</v>
      </c>
      <c r="DA200" s="188">
        <f t="shared" si="543"/>
        <v>6.1381698228013883</v>
      </c>
      <c r="DB200" s="172">
        <f t="shared" si="544"/>
        <v>219.03336184773312</v>
      </c>
      <c r="DC200" s="379">
        <f t="shared" si="545"/>
        <v>83.617627193586017</v>
      </c>
      <c r="DE200" s="188">
        <f t="shared" si="546"/>
        <v>13.333333333333334</v>
      </c>
      <c r="DF200" s="150">
        <f t="shared" si="547"/>
        <v>2.3432923257176337</v>
      </c>
      <c r="DG200" s="150">
        <f t="shared" si="548"/>
        <v>0.17108639863130889</v>
      </c>
      <c r="DH200" s="150"/>
      <c r="DI200" s="150">
        <f t="shared" si="549"/>
        <v>2.3432923257176337</v>
      </c>
      <c r="DJ200" s="314">
        <f t="shared" si="550"/>
        <v>576.11249999999984</v>
      </c>
      <c r="DK200" s="456">
        <f t="shared" si="551"/>
        <v>0.17108639863130887</v>
      </c>
      <c r="DM200" s="150">
        <f t="shared" si="552"/>
        <v>17.106389783603419</v>
      </c>
      <c r="DN200" s="150">
        <f t="shared" si="553"/>
        <v>34.926186291739896</v>
      </c>
      <c r="DO200" s="150">
        <f t="shared" si="554"/>
        <v>17.19470589511597</v>
      </c>
      <c r="DQ200" s="314">
        <f t="shared" si="555"/>
        <v>450</v>
      </c>
      <c r="DR200" s="144">
        <f t="shared" si="556"/>
        <v>83.617627193586017</v>
      </c>
      <c r="DT200">
        <f t="shared" si="591"/>
        <v>450</v>
      </c>
      <c r="DU200">
        <f t="shared" si="592"/>
        <v>83.617627193586017</v>
      </c>
      <c r="DW200" s="5">
        <f t="shared" si="557"/>
        <v>11.959200871424704</v>
      </c>
      <c r="DX200" s="5">
        <f t="shared" si="558"/>
        <v>5.8210310486233157</v>
      </c>
      <c r="DY200" s="5">
        <f t="shared" si="559"/>
        <v>6.1381698228013883</v>
      </c>
      <c r="DZ200" s="5"/>
      <c r="EA200" s="150">
        <f t="shared" si="560"/>
        <v>0.48674080410607351</v>
      </c>
      <c r="EB200" s="150">
        <f t="shared" si="561"/>
        <v>76.5</v>
      </c>
      <c r="EC200" s="150">
        <f t="shared" si="562"/>
        <v>0.44815465729349746</v>
      </c>
      <c r="ED200" s="150">
        <f t="shared" si="563"/>
        <v>170.69999999999996</v>
      </c>
      <c r="EE200" s="144">
        <f t="shared" si="564"/>
        <v>1.5408611599297013</v>
      </c>
      <c r="EF200" s="5">
        <f t="shared" si="565"/>
        <v>86.957405823019656</v>
      </c>
      <c r="EH200" s="150">
        <f t="shared" si="566"/>
        <v>14.068228589740526</v>
      </c>
      <c r="EI200" s="150">
        <f t="shared" si="567"/>
        <v>0.72231879038144786</v>
      </c>
      <c r="EK200" s="456">
        <f t="shared" si="568"/>
        <v>0.67291118922085524</v>
      </c>
      <c r="EL200" s="456">
        <f t="shared" si="569"/>
        <v>1.5567839999999997</v>
      </c>
      <c r="EM200" s="456">
        <f t="shared" si="570"/>
        <v>1.9148436627331199E-2</v>
      </c>
      <c r="EN200" s="456">
        <f t="shared" si="571"/>
        <v>1.7611646161764704E-2</v>
      </c>
      <c r="EO200">
        <f t="shared" si="572"/>
        <v>4.0499999999999998E-3</v>
      </c>
      <c r="EP200" s="144">
        <f t="shared" si="573"/>
        <v>23.198436627331198</v>
      </c>
      <c r="EQ200" s="144"/>
      <c r="ER200" s="144">
        <f t="shared" si="593"/>
        <v>2270.5052720099507</v>
      </c>
      <c r="ES200" s="456">
        <f t="shared" si="574"/>
        <v>1.125</v>
      </c>
      <c r="EV200" s="144">
        <f t="shared" si="494"/>
        <v>1125</v>
      </c>
      <c r="EW200" s="456">
        <f t="shared" si="575"/>
        <v>0.29687258347978907</v>
      </c>
      <c r="EX200" s="456">
        <f t="shared" si="576"/>
        <v>0.10434888698762362</v>
      </c>
      <c r="EY200" s="456">
        <f t="shared" si="577"/>
        <v>23.04583872583277</v>
      </c>
      <c r="EZ200" s="456"/>
      <c r="FA200" s="456">
        <f t="shared" si="578"/>
        <v>0.10199999999999999</v>
      </c>
      <c r="FB200" s="144">
        <f t="shared" si="579"/>
        <v>23549.060196300183</v>
      </c>
      <c r="FC200" s="150">
        <f t="shared" si="580"/>
        <v>26.944565468310135</v>
      </c>
      <c r="FD200" s="5">
        <f t="shared" si="581"/>
        <v>76.5</v>
      </c>
      <c r="FE200" s="150">
        <f t="shared" si="582"/>
        <v>0.73952652470115021</v>
      </c>
      <c r="FF200" s="5">
        <f t="shared" si="583"/>
        <v>73.952652470115027</v>
      </c>
      <c r="FI200" s="59">
        <f t="shared" si="584"/>
        <v>-50</v>
      </c>
      <c r="FJ200">
        <f t="shared" si="585"/>
        <v>-50</v>
      </c>
      <c r="FL200">
        <f t="shared" si="586"/>
        <v>0.51325919589392655</v>
      </c>
    </row>
    <row r="201" spans="5:168">
      <c r="E201" s="147">
        <v>91</v>
      </c>
      <c r="F201" s="188">
        <f t="shared" si="587"/>
        <v>0.45500000000000002</v>
      </c>
      <c r="G201" s="188"/>
      <c r="H201" s="188">
        <f t="shared" si="495"/>
        <v>77.350000000000009</v>
      </c>
      <c r="I201" s="465">
        <f t="shared" si="496"/>
        <v>8.9124182372488736</v>
      </c>
      <c r="J201" s="149">
        <f t="shared" si="497"/>
        <v>8.5439369145664426</v>
      </c>
      <c r="K201" s="149">
        <f t="shared" si="498"/>
        <v>17.456355151815316</v>
      </c>
      <c r="L201" s="379"/>
      <c r="M201" s="188">
        <f t="shared" si="499"/>
        <v>0.48944353396044854</v>
      </c>
      <c r="N201" s="149">
        <f t="shared" si="500"/>
        <v>145.79677389879024</v>
      </c>
      <c r="O201" s="149">
        <f t="shared" si="599"/>
        <v>77.350000000000009</v>
      </c>
      <c r="P201" s="188">
        <f t="shared" si="501"/>
        <v>0.85762808175758964</v>
      </c>
      <c r="Q201" s="188">
        <f t="shared" si="502"/>
        <v>170</v>
      </c>
      <c r="R201" s="188"/>
      <c r="S201" s="149">
        <f t="shared" si="503"/>
        <v>474.93837748289837</v>
      </c>
      <c r="T201" s="149">
        <f t="shared" si="504"/>
        <v>170</v>
      </c>
      <c r="U201" s="188">
        <f t="shared" si="505"/>
        <v>35.647379301998882</v>
      </c>
      <c r="V201" s="188">
        <f t="shared" si="506"/>
        <v>5.999613968913561</v>
      </c>
      <c r="W201" s="188">
        <f t="shared" si="507"/>
        <v>6.2583642046602916</v>
      </c>
      <c r="X201" s="172">
        <f t="shared" si="508"/>
        <v>218.1072122818467</v>
      </c>
      <c r="Y201" s="379">
        <f t="shared" si="509"/>
        <v>80.269846845712308</v>
      </c>
      <c r="AA201" s="188">
        <f t="shared" si="510"/>
        <v>13.333333333333334</v>
      </c>
      <c r="AB201" s="150">
        <f t="shared" si="511"/>
        <v>2.3408412538606496</v>
      </c>
      <c r="AC201" s="150">
        <f t="shared" si="512"/>
        <v>0.17018478675796297</v>
      </c>
      <c r="AD201" s="150"/>
      <c r="AE201" s="150">
        <f t="shared" si="513"/>
        <v>2.3408412538606496</v>
      </c>
      <c r="AF201" s="314">
        <f t="shared" si="514"/>
        <v>583.12369441915962</v>
      </c>
      <c r="AG201" s="456">
        <f t="shared" si="515"/>
        <v>0.17018478675796297</v>
      </c>
      <c r="AI201" s="150">
        <f t="shared" si="516"/>
        <v>17.210165979394372</v>
      </c>
      <c r="AJ201" s="150">
        <f t="shared" si="517"/>
        <v>35.647379301998882</v>
      </c>
      <c r="AK201" s="150">
        <f t="shared" si="518"/>
        <v>17.728922939752255</v>
      </c>
      <c r="AM201" s="314">
        <f t="shared" si="519"/>
        <v>455</v>
      </c>
      <c r="AN201" s="144">
        <f t="shared" si="520"/>
        <v>80.269846845712308</v>
      </c>
      <c r="AP201">
        <f t="shared" si="521"/>
        <v>455</v>
      </c>
      <c r="AQ201">
        <f t="shared" si="522"/>
        <v>80.269846845712308</v>
      </c>
      <c r="AS201" s="5">
        <f t="shared" si="600"/>
        <v>12.457978173573855</v>
      </c>
      <c r="AT201" s="5">
        <f t="shared" si="523"/>
        <v>5.999613968913561</v>
      </c>
      <c r="AU201" s="5">
        <f t="shared" si="478"/>
        <v>6.4583642046602936</v>
      </c>
      <c r="AV201" s="5"/>
      <c r="AW201" s="150">
        <f t="shared" si="479"/>
        <v>0.4815880944180877</v>
      </c>
      <c r="AX201" s="150">
        <f t="shared" si="596"/>
        <v>76.501317071422449</v>
      </c>
      <c r="AY201" s="150">
        <f t="shared" si="597"/>
        <v>0.46200064582376149</v>
      </c>
      <c r="AZ201" s="150">
        <f t="shared" si="601"/>
        <v>165.58703491640844</v>
      </c>
      <c r="BA201" s="144">
        <f t="shared" si="594"/>
        <v>1.6057790328562769</v>
      </c>
      <c r="BB201" s="5">
        <f t="shared" si="595"/>
        <v>93.419177962762532</v>
      </c>
      <c r="BD201" s="150">
        <f t="shared" si="602"/>
        <v>14.282520327573554</v>
      </c>
      <c r="BE201" s="150">
        <f t="shared" si="598"/>
        <v>0.74092537319777962</v>
      </c>
      <c r="BG201" s="456">
        <f t="shared" si="480"/>
        <v>0.69356731548567596</v>
      </c>
      <c r="BH201" s="456">
        <f t="shared" si="524"/>
        <v>1.1962973161888404</v>
      </c>
      <c r="BI201" s="456">
        <f t="shared" si="525"/>
        <v>3.2765248869343636E-2</v>
      </c>
      <c r="BJ201" s="456">
        <f t="shared" si="481"/>
        <v>1.6755220365163075E-2</v>
      </c>
      <c r="BK201">
        <f t="shared" si="482"/>
        <v>4.0105882067619928E-3</v>
      </c>
      <c r="BL201" s="144">
        <f t="shared" si="588"/>
        <v>36.775837076105624</v>
      </c>
      <c r="BM201" s="456">
        <f t="shared" si="526"/>
        <v>2.5070186226315618</v>
      </c>
      <c r="BN201" s="144">
        <f t="shared" si="527"/>
        <v>2507.0186226315618</v>
      </c>
      <c r="BO201" s="456">
        <f t="shared" si="483"/>
        <v>1.1375</v>
      </c>
      <c r="BR201" s="144">
        <f t="shared" si="484"/>
        <v>1137.5</v>
      </c>
      <c r="BS201" s="456">
        <f t="shared" si="485"/>
        <v>0.30598558036132767</v>
      </c>
      <c r="BT201" s="456">
        <f t="shared" si="486"/>
        <v>0.1097940817296538</v>
      </c>
      <c r="BU201" s="456">
        <f t="shared" si="487"/>
        <v>21.898789462177305</v>
      </c>
      <c r="BV201" s="456"/>
      <c r="BW201" s="456">
        <f t="shared" si="488"/>
        <v>0.10200175609522993</v>
      </c>
      <c r="BX201" s="144">
        <f t="shared" si="489"/>
        <v>22416.570880363517</v>
      </c>
      <c r="BY201" s="150">
        <f t="shared" si="490"/>
        <v>25.497466569479304</v>
      </c>
      <c r="BZ201" s="5">
        <f t="shared" si="491"/>
        <v>77.350000000000009</v>
      </c>
      <c r="CA201" s="150">
        <f t="shared" si="492"/>
        <v>0.75208464126576891</v>
      </c>
      <c r="CB201" s="5">
        <f t="shared" si="493"/>
        <v>75.208464126576885</v>
      </c>
      <c r="CE201" s="59">
        <f t="shared" si="528"/>
        <v>-50</v>
      </c>
      <c r="CF201">
        <f t="shared" si="529"/>
        <v>-50</v>
      </c>
      <c r="CG201" s="150">
        <f t="shared" si="530"/>
        <v>0.50912425828545238</v>
      </c>
      <c r="CI201" s="147">
        <v>91</v>
      </c>
      <c r="CJ201" s="188">
        <f t="shared" si="589"/>
        <v>0.45500000000000002</v>
      </c>
      <c r="CK201" s="188"/>
      <c r="CL201" s="188">
        <f t="shared" si="531"/>
        <v>77.350000000000009</v>
      </c>
      <c r="CM201" s="465">
        <f t="shared" si="532"/>
        <v>9</v>
      </c>
      <c r="CN201" s="379">
        <f t="shared" si="533"/>
        <v>8.5350000000000001</v>
      </c>
      <c r="CO201" s="379">
        <f t="shared" si="534"/>
        <v>17.535</v>
      </c>
      <c r="CP201" s="379"/>
      <c r="CQ201" s="188">
        <f t="shared" si="535"/>
        <v>0.48674080410607357</v>
      </c>
      <c r="CR201" s="149">
        <f t="shared" si="590"/>
        <v>146.41650128314802</v>
      </c>
      <c r="CS201" s="149">
        <f t="shared" si="536"/>
        <v>77.350000000000009</v>
      </c>
      <c r="CT201" s="188">
        <f t="shared" si="537"/>
        <v>0.86127353695969422</v>
      </c>
      <c r="CU201" s="188">
        <f t="shared" si="538"/>
        <v>170</v>
      </c>
      <c r="CV201" s="188"/>
      <c r="CW201" s="149">
        <f t="shared" si="539"/>
        <v>479.60299374548464</v>
      </c>
      <c r="CX201" s="149">
        <f t="shared" si="540"/>
        <v>170</v>
      </c>
      <c r="CY201" s="188">
        <f t="shared" si="541"/>
        <v>35.31425502831479</v>
      </c>
      <c r="CZ201" s="188">
        <f t="shared" si="542"/>
        <v>5.8857091713857983</v>
      </c>
      <c r="DA201" s="188">
        <f t="shared" si="543"/>
        <v>6.2063717097214042</v>
      </c>
      <c r="DB201" s="172">
        <f t="shared" si="544"/>
        <v>219.03336184773312</v>
      </c>
      <c r="DC201" s="379">
        <f t="shared" si="545"/>
        <v>82.69875216948067</v>
      </c>
      <c r="DE201" s="188">
        <f t="shared" si="546"/>
        <v>13.333333333333334</v>
      </c>
      <c r="DF201" s="150">
        <f t="shared" si="547"/>
        <v>2.3432923257176337</v>
      </c>
      <c r="DG201" s="150">
        <f t="shared" si="548"/>
        <v>0.17108639863130889</v>
      </c>
      <c r="DH201" s="150"/>
      <c r="DI201" s="150">
        <f t="shared" si="549"/>
        <v>2.3432923257176337</v>
      </c>
      <c r="DJ201" s="314">
        <f t="shared" si="550"/>
        <v>582.51374999999985</v>
      </c>
      <c r="DK201" s="456">
        <f t="shared" si="551"/>
        <v>0.17108639863130887</v>
      </c>
      <c r="DM201" s="150">
        <f t="shared" si="552"/>
        <v>17.201162751395614</v>
      </c>
      <c r="DN201" s="150">
        <f t="shared" si="553"/>
        <v>35.31425502831479</v>
      </c>
      <c r="DO201" s="150">
        <f t="shared" si="554"/>
        <v>17.482164218504781</v>
      </c>
      <c r="DQ201" s="314">
        <f t="shared" si="555"/>
        <v>455</v>
      </c>
      <c r="DR201" s="144">
        <f t="shared" si="556"/>
        <v>82.69875216948067</v>
      </c>
      <c r="DT201">
        <f t="shared" si="591"/>
        <v>455</v>
      </c>
      <c r="DU201">
        <f t="shared" si="592"/>
        <v>82.69875216948067</v>
      </c>
      <c r="DW201" s="5">
        <f t="shared" si="557"/>
        <v>12.092080881107202</v>
      </c>
      <c r="DX201" s="5">
        <f t="shared" si="558"/>
        <v>5.8857091713857983</v>
      </c>
      <c r="DY201" s="5">
        <f t="shared" si="559"/>
        <v>6.2063717097214042</v>
      </c>
      <c r="DZ201" s="5"/>
      <c r="EA201" s="150">
        <f t="shared" si="560"/>
        <v>0.48674080410607357</v>
      </c>
      <c r="EB201" s="150">
        <f t="shared" si="561"/>
        <v>77.350000000000023</v>
      </c>
      <c r="EC201" s="150">
        <f t="shared" si="562"/>
        <v>0.45313415348564745</v>
      </c>
      <c r="ED201" s="150">
        <f t="shared" si="563"/>
        <v>170.70000000000002</v>
      </c>
      <c r="EE201" s="144">
        <f t="shared" si="564"/>
        <v>1.5752927488120814</v>
      </c>
      <c r="EF201" s="5">
        <f t="shared" si="565"/>
        <v>88.900528101287136</v>
      </c>
      <c r="EH201" s="150">
        <f t="shared" si="566"/>
        <v>14.224542240737648</v>
      </c>
      <c r="EI201" s="150">
        <f t="shared" si="567"/>
        <v>0.73034455471901971</v>
      </c>
      <c r="EK201" s="456">
        <f t="shared" si="568"/>
        <v>0.68794784665900066</v>
      </c>
      <c r="EL201" s="456">
        <f t="shared" si="569"/>
        <v>1.5567839999999997</v>
      </c>
      <c r="EM201" s="456">
        <f t="shared" si="570"/>
        <v>1.8938014246811075E-2</v>
      </c>
      <c r="EN201" s="456">
        <f t="shared" si="571"/>
        <v>1.7418111588558497E-2</v>
      </c>
      <c r="EO201">
        <f t="shared" si="572"/>
        <v>4.0499999999999998E-3</v>
      </c>
      <c r="EP201" s="144">
        <f t="shared" si="573"/>
        <v>22.988014246811073</v>
      </c>
      <c r="EQ201" s="144"/>
      <c r="ER201" s="144">
        <f t="shared" si="593"/>
        <v>2285.1379724943699</v>
      </c>
      <c r="ES201" s="456">
        <f t="shared" si="574"/>
        <v>1.1375</v>
      </c>
      <c r="EV201" s="144">
        <f t="shared" si="494"/>
        <v>1137.5</v>
      </c>
      <c r="EW201" s="456">
        <f t="shared" si="575"/>
        <v>0.30350640293779446</v>
      </c>
      <c r="EX201" s="456">
        <f t="shared" si="576"/>
        <v>0.10668063372154464</v>
      </c>
      <c r="EY201" s="456">
        <f t="shared" si="577"/>
        <v>23.045838725832809</v>
      </c>
      <c r="EZ201" s="456"/>
      <c r="FA201" s="456">
        <f t="shared" si="578"/>
        <v>0.10313333333333337</v>
      </c>
      <c r="FB201" s="144">
        <f t="shared" si="579"/>
        <v>23559.159095825478</v>
      </c>
      <c r="FC201" s="150">
        <f t="shared" si="580"/>
        <v>26.98179706831985</v>
      </c>
      <c r="FD201" s="5">
        <f t="shared" si="581"/>
        <v>77.350000000000009</v>
      </c>
      <c r="FE201" s="150">
        <f t="shared" si="582"/>
        <v>0.74138471849908527</v>
      </c>
      <c r="FF201" s="5">
        <f t="shared" si="583"/>
        <v>74.138471849908527</v>
      </c>
      <c r="FI201" s="59">
        <f t="shared" si="584"/>
        <v>-50</v>
      </c>
      <c r="FJ201">
        <f t="shared" si="585"/>
        <v>-50</v>
      </c>
      <c r="FL201">
        <f t="shared" si="586"/>
        <v>0.51325919589392643</v>
      </c>
    </row>
    <row r="202" spans="5:168">
      <c r="E202" s="147">
        <v>92</v>
      </c>
      <c r="F202" s="188">
        <f t="shared" si="587"/>
        <v>0.46</v>
      </c>
      <c r="G202" s="188"/>
      <c r="H202" s="188">
        <f t="shared" si="495"/>
        <v>78.2</v>
      </c>
      <c r="I202" s="465">
        <f t="shared" si="496"/>
        <v>8.911463616197878</v>
      </c>
      <c r="J202" s="149">
        <f t="shared" si="497"/>
        <v>8.5440343248777673</v>
      </c>
      <c r="K202" s="149">
        <f t="shared" si="498"/>
        <v>17.455497941075645</v>
      </c>
      <c r="L202" s="379"/>
      <c r="M202" s="188">
        <f t="shared" si="499"/>
        <v>0.48947315052846319</v>
      </c>
      <c r="N202" s="149">
        <f t="shared" si="500"/>
        <v>145.78997873015518</v>
      </c>
      <c r="O202" s="149">
        <f t="shared" si="599"/>
        <v>78.2</v>
      </c>
      <c r="P202" s="188">
        <f t="shared" si="501"/>
        <v>0.85758811017738346</v>
      </c>
      <c r="Q202" s="188">
        <f t="shared" si="502"/>
        <v>170</v>
      </c>
      <c r="R202" s="188"/>
      <c r="S202" s="149">
        <f t="shared" si="503"/>
        <v>467.79526116626153</v>
      </c>
      <c r="T202" s="149">
        <f t="shared" si="504"/>
        <v>170</v>
      </c>
      <c r="U202" s="188">
        <f t="shared" si="505"/>
        <v>36.041199437495699</v>
      </c>
      <c r="V202" s="188">
        <f t="shared" si="506"/>
        <v>6.0665454615085208</v>
      </c>
      <c r="W202" s="188">
        <f t="shared" si="507"/>
        <v>6.3274323464304398</v>
      </c>
      <c r="X202" s="172">
        <f t="shared" si="508"/>
        <v>218.09704678353657</v>
      </c>
      <c r="Y202" s="379">
        <f t="shared" si="509"/>
        <v>79.403030182379922</v>
      </c>
      <c r="AA202" s="188">
        <f t="shared" si="510"/>
        <v>13.333333333333334</v>
      </c>
      <c r="AB202" s="150">
        <f t="shared" si="511"/>
        <v>2.3408145659908883</v>
      </c>
      <c r="AC202" s="150">
        <f t="shared" si="512"/>
        <v>0.1701749146368329</v>
      </c>
      <c r="AD202" s="150"/>
      <c r="AE202" s="150">
        <f t="shared" si="513"/>
        <v>2.3408145659908883</v>
      </c>
      <c r="AF202" s="314">
        <f t="shared" si="514"/>
        <v>589.53836841656585</v>
      </c>
      <c r="AG202" s="456">
        <f t="shared" si="515"/>
        <v>0.1701749146368329</v>
      </c>
      <c r="AI202" s="150">
        <f t="shared" si="516"/>
        <v>17.304567609394258</v>
      </c>
      <c r="AJ202" s="150">
        <f t="shared" si="517"/>
        <v>36.041199437495699</v>
      </c>
      <c r="AK202" s="150">
        <f t="shared" si="518"/>
        <v>18.020641558638786</v>
      </c>
      <c r="AM202" s="314">
        <f t="shared" si="519"/>
        <v>460</v>
      </c>
      <c r="AN202" s="144">
        <f t="shared" si="520"/>
        <v>79.403030182379922</v>
      </c>
      <c r="AP202">
        <f t="shared" si="521"/>
        <v>460</v>
      </c>
      <c r="AQ202">
        <f t="shared" si="522"/>
        <v>79.403030182379922</v>
      </c>
      <c r="AS202" s="5">
        <f t="shared" si="600"/>
        <v>12.593977807938957</v>
      </c>
      <c r="AT202" s="5">
        <f t="shared" si="523"/>
        <v>6.0665454615085208</v>
      </c>
      <c r="AU202" s="5">
        <f t="shared" si="478"/>
        <v>6.5274323464304365</v>
      </c>
      <c r="AV202" s="5"/>
      <c r="AW202" s="150">
        <f t="shared" si="479"/>
        <v>0.48170209238294104</v>
      </c>
      <c r="AX202" s="150">
        <f t="shared" si="596"/>
        <v>77.356499870586973</v>
      </c>
      <c r="AY202" s="150">
        <f t="shared" si="597"/>
        <v>0.4670019564115786</v>
      </c>
      <c r="AZ202" s="150">
        <f t="shared" si="601"/>
        <v>165.64491606200269</v>
      </c>
      <c r="BA202" s="144">
        <f t="shared" si="594"/>
        <v>1.6415358307611292</v>
      </c>
      <c r="BB202" s="5">
        <f t="shared" si="595"/>
        <v>95.466025835728374</v>
      </c>
      <c r="BD202" s="150">
        <f t="shared" si="602"/>
        <v>14.442017760042226</v>
      </c>
      <c r="BE202" s="150">
        <f t="shared" si="598"/>
        <v>0.74902849631440094</v>
      </c>
      <c r="BG202" s="456">
        <f t="shared" si="480"/>
        <v>0.70914438173667527</v>
      </c>
      <c r="BH202" s="456">
        <f t="shared" si="524"/>
        <v>1.1963935745682825</v>
      </c>
      <c r="BI202" s="456">
        <f t="shared" si="525"/>
        <v>3.2407952423465239E-2</v>
      </c>
      <c r="BJ202" s="456">
        <f t="shared" si="481"/>
        <v>1.6572656623429511E-2</v>
      </c>
      <c r="BK202">
        <f t="shared" si="482"/>
        <v>4.0101586272890451E-3</v>
      </c>
      <c r="BL202" s="144">
        <f t="shared" si="588"/>
        <v>36.418111050754284</v>
      </c>
      <c r="BM202" s="456">
        <f t="shared" si="526"/>
        <v>2.5418653678234868</v>
      </c>
      <c r="BN202" s="144">
        <f t="shared" si="527"/>
        <v>2541.8653678234868</v>
      </c>
      <c r="BO202" s="456">
        <f t="shared" si="483"/>
        <v>1.1500000000000001</v>
      </c>
      <c r="BR202" s="144">
        <f t="shared" si="484"/>
        <v>1150.0000000000002</v>
      </c>
      <c r="BS202" s="456">
        <f t="shared" si="485"/>
        <v>0.31285781547206265</v>
      </c>
      <c r="BT202" s="456">
        <f t="shared" si="486"/>
        <v>0.11220873765820252</v>
      </c>
      <c r="BU202" s="456">
        <f t="shared" si="487"/>
        <v>21.905884039744222</v>
      </c>
      <c r="BV202" s="456"/>
      <c r="BW202" s="456">
        <f t="shared" si="488"/>
        <v>0.10314199982744929</v>
      </c>
      <c r="BX202" s="144">
        <f t="shared" si="489"/>
        <v>22434.092592701938</v>
      </c>
      <c r="BY202" s="150">
        <f t="shared" si="490"/>
        <v>25.542621316681078</v>
      </c>
      <c r="BZ202" s="5">
        <f t="shared" si="491"/>
        <v>78.2</v>
      </c>
      <c r="CA202" s="150">
        <f t="shared" si="492"/>
        <v>0.75378854907945148</v>
      </c>
      <c r="CB202" s="5">
        <f t="shared" si="493"/>
        <v>75.378854907945154</v>
      </c>
      <c r="CE202" s="59">
        <f t="shared" si="528"/>
        <v>-50</v>
      </c>
      <c r="CF202">
        <f t="shared" si="529"/>
        <v>-50</v>
      </c>
      <c r="CG202" s="150">
        <f t="shared" si="530"/>
        <v>0.50916920325945747</v>
      </c>
      <c r="CI202" s="147">
        <v>92</v>
      </c>
      <c r="CJ202" s="188">
        <f t="shared" si="589"/>
        <v>0.46</v>
      </c>
      <c r="CK202" s="188"/>
      <c r="CL202" s="188">
        <f t="shared" si="531"/>
        <v>78.2</v>
      </c>
      <c r="CM202" s="465">
        <f t="shared" si="532"/>
        <v>9</v>
      </c>
      <c r="CN202" s="379">
        <f t="shared" si="533"/>
        <v>8.5350000000000001</v>
      </c>
      <c r="CO202" s="379">
        <f t="shared" si="534"/>
        <v>17.535</v>
      </c>
      <c r="CP202" s="379"/>
      <c r="CQ202" s="188">
        <f t="shared" si="535"/>
        <v>0.48674080410607357</v>
      </c>
      <c r="CR202" s="149">
        <f t="shared" si="590"/>
        <v>146.41650128314802</v>
      </c>
      <c r="CS202" s="149">
        <f t="shared" si="536"/>
        <v>78.2</v>
      </c>
      <c r="CT202" s="188">
        <f t="shared" si="537"/>
        <v>0.86127353695969422</v>
      </c>
      <c r="CU202" s="188">
        <f t="shared" si="538"/>
        <v>170</v>
      </c>
      <c r="CV202" s="188"/>
      <c r="CW202" s="149">
        <f t="shared" si="539"/>
        <v>472.44021887623819</v>
      </c>
      <c r="CX202" s="149">
        <f t="shared" si="540"/>
        <v>170</v>
      </c>
      <c r="CY202" s="188">
        <f t="shared" si="541"/>
        <v>35.70232376488967</v>
      </c>
      <c r="CZ202" s="188">
        <f t="shared" si="542"/>
        <v>5.9503872941482792</v>
      </c>
      <c r="DA202" s="188">
        <f t="shared" si="543"/>
        <v>6.2745735966414182</v>
      </c>
      <c r="DB202" s="172">
        <f t="shared" si="544"/>
        <v>219.03336184773312</v>
      </c>
      <c r="DC202" s="379">
        <f t="shared" si="545"/>
        <v>81.79985268937763</v>
      </c>
      <c r="DE202" s="188">
        <f t="shared" si="546"/>
        <v>13.333333333333334</v>
      </c>
      <c r="DF202" s="150">
        <f t="shared" si="547"/>
        <v>2.3432923257176337</v>
      </c>
      <c r="DG202" s="150">
        <f t="shared" si="548"/>
        <v>0.17108639863130889</v>
      </c>
      <c r="DH202" s="150"/>
      <c r="DI202" s="150">
        <f t="shared" si="549"/>
        <v>2.3432923257176337</v>
      </c>
      <c r="DJ202" s="314">
        <f t="shared" si="550"/>
        <v>588.91499999999985</v>
      </c>
      <c r="DK202" s="456">
        <f t="shared" si="551"/>
        <v>0.17108639863130887</v>
      </c>
      <c r="DM202" s="150">
        <f t="shared" si="552"/>
        <v>17.29541640352809</v>
      </c>
      <c r="DN202" s="150">
        <f t="shared" si="553"/>
        <v>35.70232376488967</v>
      </c>
      <c r="DO202" s="150">
        <f t="shared" si="554"/>
        <v>17.769622541893579</v>
      </c>
      <c r="DQ202" s="314">
        <f t="shared" si="555"/>
        <v>460</v>
      </c>
      <c r="DR202" s="144">
        <f t="shared" si="556"/>
        <v>81.79985268937763</v>
      </c>
      <c r="DT202">
        <f t="shared" si="591"/>
        <v>460</v>
      </c>
      <c r="DU202">
        <f t="shared" si="592"/>
        <v>81.79985268937763</v>
      </c>
      <c r="DW202" s="5">
        <f t="shared" si="557"/>
        <v>12.224960890789697</v>
      </c>
      <c r="DX202" s="5">
        <f t="shared" si="558"/>
        <v>5.9503872941482792</v>
      </c>
      <c r="DY202" s="5">
        <f t="shared" si="559"/>
        <v>6.2745735966414182</v>
      </c>
      <c r="DZ202" s="5"/>
      <c r="EA202" s="150">
        <f t="shared" si="560"/>
        <v>0.48674080410607362</v>
      </c>
      <c r="EB202" s="150">
        <f t="shared" si="561"/>
        <v>78.199999999999989</v>
      </c>
      <c r="EC202" s="150">
        <f t="shared" si="562"/>
        <v>0.45811364967779722</v>
      </c>
      <c r="ED202" s="150">
        <f t="shared" si="563"/>
        <v>170.70000000000002</v>
      </c>
      <c r="EE202" s="144">
        <f t="shared" si="564"/>
        <v>1.6101047972401226</v>
      </c>
      <c r="EF202" s="5">
        <f t="shared" si="565"/>
        <v>90.865121343955352</v>
      </c>
      <c r="EH202" s="150">
        <f t="shared" si="566"/>
        <v>14.380855891734763</v>
      </c>
      <c r="EI202" s="150">
        <f t="shared" si="567"/>
        <v>0.73837031905659101</v>
      </c>
      <c r="EK202" s="456">
        <f t="shared" si="568"/>
        <v>0.70315065500806428</v>
      </c>
      <c r="EL202" s="456">
        <f t="shared" si="569"/>
        <v>1.5567839999999999</v>
      </c>
      <c r="EM202" s="456">
        <f t="shared" si="570"/>
        <v>1.8732166265867479E-2</v>
      </c>
      <c r="EN202" s="456">
        <f t="shared" si="571"/>
        <v>1.7228784288682866E-2</v>
      </c>
      <c r="EO202">
        <f t="shared" si="572"/>
        <v>4.0499999999999998E-3</v>
      </c>
      <c r="EP202" s="144">
        <f t="shared" si="573"/>
        <v>22.782166265867481</v>
      </c>
      <c r="EQ202" s="144"/>
      <c r="ER202" s="144">
        <f t="shared" si="593"/>
        <v>2299.9456055626138</v>
      </c>
      <c r="ES202" s="456">
        <f t="shared" si="574"/>
        <v>1.1500000000000001</v>
      </c>
      <c r="EV202" s="144">
        <f t="shared" si="494"/>
        <v>1150.0000000000002</v>
      </c>
      <c r="EW202" s="456">
        <f t="shared" si="575"/>
        <v>0.31021352426826371</v>
      </c>
      <c r="EX202" s="456">
        <f t="shared" si="576"/>
        <v>0.10903814561274641</v>
      </c>
      <c r="EY202" s="456">
        <f t="shared" si="577"/>
        <v>23.045838725832727</v>
      </c>
      <c r="EZ202" s="456"/>
      <c r="FA202" s="456">
        <f t="shared" si="578"/>
        <v>0.10426666666666666</v>
      </c>
      <c r="FB202" s="144">
        <f t="shared" si="579"/>
        <v>23569.357062380404</v>
      </c>
      <c r="FC202" s="150">
        <f t="shared" si="580"/>
        <v>27.01930266794302</v>
      </c>
      <c r="FD202" s="5">
        <f t="shared" si="581"/>
        <v>78.2</v>
      </c>
      <c r="FE202" s="150">
        <f t="shared" si="582"/>
        <v>0.74320963945929153</v>
      </c>
      <c r="FF202" s="5">
        <f t="shared" si="583"/>
        <v>74.320963945929151</v>
      </c>
      <c r="FI202" s="59">
        <f t="shared" si="584"/>
        <v>-50</v>
      </c>
      <c r="FJ202">
        <f t="shared" si="585"/>
        <v>-50</v>
      </c>
      <c r="FL202">
        <f t="shared" si="586"/>
        <v>0.51325919589392632</v>
      </c>
    </row>
    <row r="203" spans="5:168">
      <c r="E203" s="147">
        <v>93</v>
      </c>
      <c r="F203" s="188">
        <f t="shared" si="587"/>
        <v>0.46500000000000002</v>
      </c>
      <c r="G203" s="188"/>
      <c r="H203" s="188">
        <f t="shared" si="495"/>
        <v>79.05</v>
      </c>
      <c r="I203" s="465">
        <f t="shared" si="496"/>
        <v>8.9105089937968351</v>
      </c>
      <c r="J203" s="149">
        <f t="shared" si="497"/>
        <v>8.5441317353268538</v>
      </c>
      <c r="K203" s="149">
        <f t="shared" si="498"/>
        <v>17.454640729123689</v>
      </c>
      <c r="L203" s="379"/>
      <c r="M203" s="188">
        <f t="shared" si="499"/>
        <v>0.48950277004331416</v>
      </c>
      <c r="N203" s="149">
        <f t="shared" si="500"/>
        <v>145.78318252712688</v>
      </c>
      <c r="O203" s="149">
        <f t="shared" si="599"/>
        <v>79.05</v>
      </c>
      <c r="P203" s="188">
        <f t="shared" si="501"/>
        <v>0.85754813251251105</v>
      </c>
      <c r="Q203" s="188">
        <f t="shared" si="502"/>
        <v>170</v>
      </c>
      <c r="R203" s="188"/>
      <c r="S203" s="149">
        <f t="shared" si="503"/>
        <v>460.80628883566436</v>
      </c>
      <c r="T203" s="149">
        <f t="shared" si="504"/>
        <v>170</v>
      </c>
      <c r="U203" s="188">
        <f t="shared" si="505"/>
        <v>36.435065478373211</v>
      </c>
      <c r="V203" s="188">
        <f t="shared" si="506"/>
        <v>6.1334990240857081</v>
      </c>
      <c r="W203" s="188">
        <f t="shared" si="507"/>
        <v>6.3965069723341639</v>
      </c>
      <c r="X203" s="172">
        <f t="shared" si="508"/>
        <v>218.08687973962418</v>
      </c>
      <c r="Y203" s="379">
        <f t="shared" si="509"/>
        <v>78.554558440996445</v>
      </c>
      <c r="AA203" s="188">
        <f t="shared" si="510"/>
        <v>13.333333333333334</v>
      </c>
      <c r="AB203" s="150">
        <f t="shared" si="511"/>
        <v>2.3407878786919132</v>
      </c>
      <c r="AC203" s="150">
        <f t="shared" si="512"/>
        <v>0.17016504153208445</v>
      </c>
      <c r="AD203" s="150"/>
      <c r="AE203" s="150">
        <f t="shared" si="513"/>
        <v>2.3407878786919132</v>
      </c>
      <c r="AF203" s="314">
        <f t="shared" si="514"/>
        <v>595.95318853904791</v>
      </c>
      <c r="AG203" s="456">
        <f t="shared" si="515"/>
        <v>0.17016504153208445</v>
      </c>
      <c r="AI203" s="150">
        <f t="shared" si="516"/>
        <v>17.398459169712453</v>
      </c>
      <c r="AJ203" s="150">
        <f t="shared" si="517"/>
        <v>36.435065478373211</v>
      </c>
      <c r="AK203" s="150">
        <f t="shared" si="518"/>
        <v>18.312394181511017</v>
      </c>
      <c r="AM203" s="314">
        <f t="shared" si="519"/>
        <v>465</v>
      </c>
      <c r="AN203" s="144">
        <f t="shared" si="520"/>
        <v>78.554558440996445</v>
      </c>
      <c r="AP203">
        <f t="shared" si="521"/>
        <v>465</v>
      </c>
      <c r="AQ203">
        <f t="shared" si="522"/>
        <v>78.554558440996445</v>
      </c>
      <c r="AS203" s="5">
        <f t="shared" si="600"/>
        <v>12.730005996419871</v>
      </c>
      <c r="AT203" s="5">
        <f t="shared" si="523"/>
        <v>6.1334990240857081</v>
      </c>
      <c r="AU203" s="5">
        <f t="shared" si="478"/>
        <v>6.5965069723341632</v>
      </c>
      <c r="AV203" s="5"/>
      <c r="AW203" s="150">
        <f t="shared" si="479"/>
        <v>0.48181430753533544</v>
      </c>
      <c r="AX203" s="150">
        <f t="shared" si="596"/>
        <v>78.211706859369556</v>
      </c>
      <c r="AY203" s="150">
        <f t="shared" si="597"/>
        <v>0.47200324087265549</v>
      </c>
      <c r="AZ203" s="150">
        <f t="shared" si="601"/>
        <v>165.70163102009451</v>
      </c>
      <c r="BA203" s="144">
        <f t="shared" si="594"/>
        <v>1.6776923801175616</v>
      </c>
      <c r="BB203" s="5">
        <f t="shared" si="595"/>
        <v>97.53537022520868</v>
      </c>
      <c r="BD203" s="150">
        <f t="shared" si="602"/>
        <v>14.601543718905898</v>
      </c>
      <c r="BE203" s="150">
        <f t="shared" si="598"/>
        <v>0.75713206657754595</v>
      </c>
      <c r="BG203" s="456">
        <f t="shared" si="480"/>
        <v>0.72489726851540892</v>
      </c>
      <c r="BH203" s="456">
        <f t="shared" si="524"/>
        <v>1.1964853295592046</v>
      </c>
      <c r="BI203" s="456">
        <f t="shared" si="525"/>
        <v>3.2058218356744494E-2</v>
      </c>
      <c r="BJ203" s="456">
        <f t="shared" si="481"/>
        <v>1.6393956994356421E-2</v>
      </c>
      <c r="BK203">
        <f t="shared" si="482"/>
        <v>4.0097290472085757E-3</v>
      </c>
      <c r="BL203" s="144">
        <f t="shared" si="588"/>
        <v>36.06794740395307</v>
      </c>
      <c r="BM203" s="456">
        <f t="shared" si="526"/>
        <v>2.5774227477884062</v>
      </c>
      <c r="BN203" s="144">
        <f t="shared" si="527"/>
        <v>2577.422747788406</v>
      </c>
      <c r="BO203" s="456">
        <f t="shared" si="483"/>
        <v>1.1625000000000001</v>
      </c>
      <c r="BR203" s="144">
        <f t="shared" si="484"/>
        <v>1162.5</v>
      </c>
      <c r="BS203" s="456">
        <f t="shared" si="485"/>
        <v>0.31980761846268041</v>
      </c>
      <c r="BT203" s="456">
        <f t="shared" si="486"/>
        <v>0.11464979324799709</v>
      </c>
      <c r="BU203" s="456">
        <f t="shared" si="487"/>
        <v>21.912774505598769</v>
      </c>
      <c r="BV203" s="456"/>
      <c r="BW203" s="456">
        <f t="shared" si="488"/>
        <v>0.10428227581249275</v>
      </c>
      <c r="BX203" s="144">
        <f t="shared" si="489"/>
        <v>22451.51419312194</v>
      </c>
      <c r="BY203" s="150">
        <f t="shared" si="490"/>
        <v>25.587858695594864</v>
      </c>
      <c r="BZ203" s="5">
        <f t="shared" si="491"/>
        <v>79.05</v>
      </c>
      <c r="CA203" s="150">
        <f t="shared" si="492"/>
        <v>0.75546270714471264</v>
      </c>
      <c r="CB203" s="5">
        <f t="shared" si="493"/>
        <v>75.546270714471262</v>
      </c>
      <c r="CE203" s="59">
        <f t="shared" si="528"/>
        <v>-50</v>
      </c>
      <c r="CF203">
        <f t="shared" si="529"/>
        <v>-50</v>
      </c>
      <c r="CG203" s="150">
        <f t="shared" si="530"/>
        <v>0.50921318167488205</v>
      </c>
      <c r="CI203" s="147">
        <v>93</v>
      </c>
      <c r="CJ203" s="188">
        <f t="shared" si="589"/>
        <v>0.46500000000000002</v>
      </c>
      <c r="CK203" s="188"/>
      <c r="CL203" s="188">
        <f t="shared" si="531"/>
        <v>79.05</v>
      </c>
      <c r="CM203" s="465">
        <f t="shared" si="532"/>
        <v>9</v>
      </c>
      <c r="CN203" s="379">
        <f t="shared" si="533"/>
        <v>8.5350000000000001</v>
      </c>
      <c r="CO203" s="379">
        <f t="shared" si="534"/>
        <v>17.535</v>
      </c>
      <c r="CP203" s="379"/>
      <c r="CQ203" s="188">
        <f t="shared" si="535"/>
        <v>0.48674080410607357</v>
      </c>
      <c r="CR203" s="149">
        <f t="shared" si="590"/>
        <v>146.41650128314802</v>
      </c>
      <c r="CS203" s="149">
        <f t="shared" si="536"/>
        <v>79.05</v>
      </c>
      <c r="CT203" s="188">
        <f t="shared" si="537"/>
        <v>0.86127353695969422</v>
      </c>
      <c r="CU203" s="188">
        <f t="shared" si="538"/>
        <v>170</v>
      </c>
      <c r="CV203" s="188"/>
      <c r="CW203" s="149">
        <f t="shared" si="539"/>
        <v>465.43160025207681</v>
      </c>
      <c r="CX203" s="149">
        <f t="shared" si="540"/>
        <v>170</v>
      </c>
      <c r="CY203" s="188">
        <f t="shared" si="541"/>
        <v>36.090392501464557</v>
      </c>
      <c r="CZ203" s="188">
        <f t="shared" si="542"/>
        <v>6.01506541691076</v>
      </c>
      <c r="DA203" s="188">
        <f t="shared" si="543"/>
        <v>6.3427754835614332</v>
      </c>
      <c r="DB203" s="172">
        <f t="shared" si="544"/>
        <v>219.03336184773312</v>
      </c>
      <c r="DC203" s="379">
        <f t="shared" si="545"/>
        <v>80.920284380889697</v>
      </c>
      <c r="DE203" s="188">
        <f t="shared" si="546"/>
        <v>13.333333333333334</v>
      </c>
      <c r="DF203" s="150">
        <f t="shared" si="547"/>
        <v>2.3432923257176337</v>
      </c>
      <c r="DG203" s="150">
        <f t="shared" si="548"/>
        <v>0.17108639863130889</v>
      </c>
      <c r="DH203" s="150"/>
      <c r="DI203" s="150">
        <f t="shared" si="549"/>
        <v>2.3432923257176337</v>
      </c>
      <c r="DJ203" s="314">
        <f t="shared" si="550"/>
        <v>595.31624999999985</v>
      </c>
      <c r="DK203" s="456">
        <f t="shared" si="551"/>
        <v>0.17108639863130887</v>
      </c>
      <c r="DM203" s="150">
        <f t="shared" si="552"/>
        <v>17.389159184470568</v>
      </c>
      <c r="DN203" s="150">
        <f t="shared" si="553"/>
        <v>36.090392501464557</v>
      </c>
      <c r="DO203" s="150">
        <f t="shared" si="554"/>
        <v>18.057080865282384</v>
      </c>
      <c r="DQ203" s="314">
        <f t="shared" si="555"/>
        <v>465</v>
      </c>
      <c r="DR203" s="144">
        <f t="shared" si="556"/>
        <v>80.920284380889697</v>
      </c>
      <c r="DT203">
        <f t="shared" si="591"/>
        <v>465</v>
      </c>
      <c r="DU203">
        <f t="shared" si="592"/>
        <v>80.920284380889697</v>
      </c>
      <c r="DW203" s="5">
        <f t="shared" si="557"/>
        <v>12.357840900472196</v>
      </c>
      <c r="DX203" s="5">
        <f t="shared" si="558"/>
        <v>6.01506541691076</v>
      </c>
      <c r="DY203" s="5">
        <f t="shared" si="559"/>
        <v>6.3427754835614358</v>
      </c>
      <c r="DZ203" s="5"/>
      <c r="EA203" s="150">
        <f t="shared" si="560"/>
        <v>0.48674080410607351</v>
      </c>
      <c r="EB203" s="150">
        <f t="shared" si="561"/>
        <v>79.05</v>
      </c>
      <c r="EC203" s="150">
        <f t="shared" si="562"/>
        <v>0.46309314586994738</v>
      </c>
      <c r="ED203" s="150">
        <f t="shared" si="563"/>
        <v>170.69999999999996</v>
      </c>
      <c r="EE203" s="144">
        <f t="shared" si="564"/>
        <v>1.6452973052138256</v>
      </c>
      <c r="EF203" s="5">
        <f t="shared" si="565"/>
        <v>92.851185551024329</v>
      </c>
      <c r="EH203" s="150">
        <f t="shared" si="566"/>
        <v>14.537169542731876</v>
      </c>
      <c r="EI203" s="150">
        <f t="shared" si="567"/>
        <v>0.74639608339416275</v>
      </c>
      <c r="EK203" s="456">
        <f t="shared" si="568"/>
        <v>0.71851961426804645</v>
      </c>
      <c r="EL203" s="456">
        <f t="shared" si="569"/>
        <v>1.5567839999999997</v>
      </c>
      <c r="EM203" s="456">
        <f t="shared" si="570"/>
        <v>1.8530745123223738E-2</v>
      </c>
      <c r="EN203" s="456">
        <f t="shared" si="571"/>
        <v>1.7043528543643261E-2</v>
      </c>
      <c r="EO203">
        <f t="shared" si="572"/>
        <v>4.0499999999999998E-3</v>
      </c>
      <c r="EP203" s="144">
        <f t="shared" si="573"/>
        <v>22.580745123223736</v>
      </c>
      <c r="EQ203" s="144"/>
      <c r="ER203" s="144">
        <f t="shared" si="593"/>
        <v>2314.9278879349131</v>
      </c>
      <c r="ES203" s="456">
        <f t="shared" si="574"/>
        <v>1.1625000000000001</v>
      </c>
      <c r="EV203" s="144">
        <f t="shared" si="494"/>
        <v>1162.5</v>
      </c>
      <c r="EW203" s="456">
        <f t="shared" si="575"/>
        <v>0.31699394747119697</v>
      </c>
      <c r="EX203" s="456">
        <f t="shared" si="576"/>
        <v>0.11142142266122919</v>
      </c>
      <c r="EY203" s="456">
        <f t="shared" si="577"/>
        <v>23.045838725832727</v>
      </c>
      <c r="EZ203" s="456"/>
      <c r="FA203" s="456">
        <f t="shared" si="578"/>
        <v>0.10539999999999999</v>
      </c>
      <c r="FB203" s="144">
        <f t="shared" si="579"/>
        <v>23579.654095965154</v>
      </c>
      <c r="FC203" s="150">
        <f t="shared" si="580"/>
        <v>27.057081983900066</v>
      </c>
      <c r="FD203" s="5">
        <f t="shared" si="581"/>
        <v>79.05</v>
      </c>
      <c r="FE203" s="150">
        <f t="shared" si="582"/>
        <v>0.74500211033976493</v>
      </c>
      <c r="FF203" s="5">
        <f t="shared" si="583"/>
        <v>74.500211033976498</v>
      </c>
      <c r="FI203" s="59">
        <f t="shared" si="584"/>
        <v>-50</v>
      </c>
      <c r="FJ203">
        <f t="shared" si="585"/>
        <v>-50</v>
      </c>
      <c r="FL203">
        <f t="shared" si="586"/>
        <v>0.51325919589392655</v>
      </c>
    </row>
    <row r="204" spans="5:168">
      <c r="E204" s="147">
        <v>94</v>
      </c>
      <c r="F204" s="188">
        <f t="shared" si="587"/>
        <v>0.47</v>
      </c>
      <c r="G204" s="188"/>
      <c r="H204" s="188">
        <f t="shared" si="495"/>
        <v>79.899999999999991</v>
      </c>
      <c r="I204" s="465">
        <f>VIN_min-F204*(Rdcr_pri+RON/1000)/CG204/Nps</f>
        <v>8.90955437008917</v>
      </c>
      <c r="J204" s="149">
        <f t="shared" si="497"/>
        <v>8.5442291459092683</v>
      </c>
      <c r="K204" s="149">
        <f t="shared" si="498"/>
        <v>17.453783515998438</v>
      </c>
      <c r="L204" s="379"/>
      <c r="M204" s="188">
        <f t="shared" si="499"/>
        <v>0.48953239250422431</v>
      </c>
      <c r="N204" s="149">
        <f t="shared" si="500"/>
        <v>145.77638528989823</v>
      </c>
      <c r="O204" s="149">
        <f t="shared" si="599"/>
        <v>79.899999999999991</v>
      </c>
      <c r="P204" s="188">
        <f t="shared" si="501"/>
        <v>0.85750814876410719</v>
      </c>
      <c r="Q204" s="188">
        <f t="shared" si="502"/>
        <v>170</v>
      </c>
      <c r="R204" s="188"/>
      <c r="S204" s="149">
        <f>(SQRT(Isw_max^2*Nps^2*I204^2+4*Isw_max*F204/Efficiency*(Nps^2*Vfwd1*I204-Nps*I204^2)+4*(F204/Efficiency)^2*Nps^2*Vfwd1^2+8*(F204/Efficiency)^2*Nps*Vfwd1*I204+4*(F204/Efficiency)^2*I204^2)-2*0*F204/Efficiency*I204-2*F204/Efficiency*Nps*Vfwd1+Isw_max*Nps*I204)/(4*F204/Efficiency*Nps)</f>
        <v>543.06208614983404</v>
      </c>
      <c r="T204" s="149">
        <f t="shared" si="504"/>
        <v>170</v>
      </c>
      <c r="U204" s="188">
        <f t="shared" si="505"/>
        <v>36.82897743938743</v>
      </c>
      <c r="V204" s="188">
        <f t="shared" si="506"/>
        <v>6.2004746662237658</v>
      </c>
      <c r="W204" s="188">
        <f t="shared" si="507"/>
        <v>6.4655880847402285</v>
      </c>
      <c r="X204" s="172">
        <f t="shared" si="508"/>
        <v>218.07671115034006</v>
      </c>
      <c r="Y204" s="379">
        <f t="shared" si="509"/>
        <v>77.723855336013699</v>
      </c>
      <c r="AA204" s="188">
        <f t="shared" si="510"/>
        <v>13.333333333333334</v>
      </c>
      <c r="AB204" s="150">
        <f t="shared" si="511"/>
        <v>2.3407611919649214</v>
      </c>
      <c r="AC204" s="150">
        <f t="shared" si="512"/>
        <v>0.17015516744401998</v>
      </c>
      <c r="AD204" s="150"/>
      <c r="AE204" s="150">
        <f t="shared" si="513"/>
        <v>2.3407611919649214</v>
      </c>
      <c r="AF204" s="314">
        <f t="shared" si="514"/>
        <v>602.36815478660344</v>
      </c>
      <c r="AG204" s="456">
        <f t="shared" si="515"/>
        <v>0.17015516744401996</v>
      </c>
      <c r="AI204" s="150">
        <f t="shared" si="516"/>
        <v>17.491848874103194</v>
      </c>
      <c r="AJ204" s="150">
        <f t="shared" si="517"/>
        <v>36.82897743938743</v>
      </c>
      <c r="AK204" s="150">
        <f t="shared" si="518"/>
        <v>18.604180819299327</v>
      </c>
      <c r="AM204" s="314">
        <f t="shared" si="519"/>
        <v>470</v>
      </c>
      <c r="AN204" s="144">
        <f t="shared" si="520"/>
        <v>77.723855336013699</v>
      </c>
      <c r="AP204">
        <f t="shared" si="521"/>
        <v>470</v>
      </c>
      <c r="AQ204">
        <f t="shared" si="522"/>
        <v>77.723855336013699</v>
      </c>
      <c r="AS204" s="5">
        <f t="shared" si="600"/>
        <v>12.866062750963994</v>
      </c>
      <c r="AT204" s="5">
        <f t="shared" si="523"/>
        <v>6.2004746662237658</v>
      </c>
      <c r="AU204" s="5">
        <f t="shared" si="478"/>
        <v>6.6655880847402287</v>
      </c>
      <c r="AV204" s="5"/>
      <c r="AW204" s="150">
        <f t="shared" si="479"/>
        <v>0.48192479597219384</v>
      </c>
      <c r="AX204" s="150">
        <f t="shared" si="596"/>
        <v>79.066937890300665</v>
      </c>
      <c r="AY204" s="150">
        <f t="shared" si="597"/>
        <v>0.47700450002615286</v>
      </c>
      <c r="AZ204" s="150">
        <f t="shared" si="601"/>
        <v>165.75721588782841</v>
      </c>
      <c r="BA204" s="144">
        <f t="shared" si="594"/>
        <v>1.7142488783089231</v>
      </c>
      <c r="BB204" s="5">
        <f t="shared" si="595"/>
        <v>99.627221491328442</v>
      </c>
      <c r="BD204" s="150">
        <f t="shared" si="602"/>
        <v>14.761098202515623</v>
      </c>
      <c r="BE204" s="150">
        <f t="shared" si="598"/>
        <v>0.76523608492084461</v>
      </c>
      <c r="BG204" s="456">
        <f t="shared" si="480"/>
        <v>0.7408260684906538</v>
      </c>
      <c r="BH204" s="456">
        <f t="shared" si="524"/>
        <v>1.1965727225372955</v>
      </c>
      <c r="BI204" s="456">
        <f t="shared" si="525"/>
        <v>3.1715809105587502E-2</v>
      </c>
      <c r="BJ204" s="456">
        <f t="shared" si="481"/>
        <v>1.6219000091178014E-2</v>
      </c>
      <c r="BK204">
        <f t="shared" si="482"/>
        <v>4.009299466540126E-3</v>
      </c>
      <c r="BL204" s="144">
        <f t="shared" si="588"/>
        <v>35.725108572127631</v>
      </c>
      <c r="BM204" s="456">
        <f t="shared" si="526"/>
        <v>2.6137060916965504</v>
      </c>
      <c r="BN204" s="144">
        <f t="shared" si="527"/>
        <v>2613.7060916965506</v>
      </c>
      <c r="BO204" s="456">
        <f t="shared" si="483"/>
        <v>1.1749999999999998</v>
      </c>
      <c r="BR204" s="144">
        <f t="shared" si="484"/>
        <v>1174.9999999999998</v>
      </c>
      <c r="BS204" s="456">
        <f t="shared" si="485"/>
        <v>0.32683503021646493</v>
      </c>
      <c r="BT204" s="456">
        <f t="shared" si="486"/>
        <v>0.11711725313299642</v>
      </c>
      <c r="BU204" s="456">
        <f t="shared" si="487"/>
        <v>21.919467187593458</v>
      </c>
      <c r="BV204" s="456"/>
      <c r="BW204" s="456">
        <f t="shared" si="488"/>
        <v>0.10542258385373424</v>
      </c>
      <c r="BX204" s="144">
        <f t="shared" si="489"/>
        <v>22468.842054796653</v>
      </c>
      <c r="BY204" s="150">
        <f t="shared" si="490"/>
        <v>25.633184954487909</v>
      </c>
      <c r="BZ204" s="5">
        <f t="shared" si="491"/>
        <v>79.899999999999991</v>
      </c>
      <c r="CA204" s="150">
        <f t="shared" si="492"/>
        <v>0.75710782380402486</v>
      </c>
      <c r="CB204" s="5">
        <f t="shared" si="493"/>
        <v>75.710782380402492</v>
      </c>
      <c r="CE204" s="59">
        <f t="shared" si="528"/>
        <v>-50</v>
      </c>
      <c r="CF204">
        <f t="shared" si="529"/>
        <v>-50</v>
      </c>
      <c r="CG204" s="150">
        <f t="shared" si="530"/>
        <v>0.50925622437933993</v>
      </c>
      <c r="CI204" s="147">
        <v>94</v>
      </c>
      <c r="CJ204" s="188">
        <f t="shared" si="589"/>
        <v>0.47</v>
      </c>
      <c r="CK204" s="188"/>
      <c r="CL204" s="188">
        <f t="shared" si="531"/>
        <v>79.899999999999991</v>
      </c>
      <c r="CM204" s="465">
        <f t="shared" si="532"/>
        <v>9</v>
      </c>
      <c r="CN204" s="379">
        <f t="shared" si="533"/>
        <v>8.5350000000000001</v>
      </c>
      <c r="CO204" s="379">
        <f t="shared" si="534"/>
        <v>17.535</v>
      </c>
      <c r="CP204" s="379"/>
      <c r="CQ204" s="188">
        <f t="shared" si="535"/>
        <v>0.48674080410607357</v>
      </c>
      <c r="CR204" s="149">
        <f t="shared" si="590"/>
        <v>146.41650128314802</v>
      </c>
      <c r="CS204" s="149">
        <f t="shared" si="536"/>
        <v>79.899999999999991</v>
      </c>
      <c r="CT204" s="188">
        <f t="shared" si="537"/>
        <v>0.86127353695969422</v>
      </c>
      <c r="CU204" s="188">
        <f t="shared" si="538"/>
        <v>170</v>
      </c>
      <c r="CV204" s="188"/>
      <c r="CW204" s="149">
        <f t="shared" si="539"/>
        <v>458.57221943713108</v>
      </c>
      <c r="CX204" s="149">
        <f t="shared" si="540"/>
        <v>170</v>
      </c>
      <c r="CY204" s="188">
        <f t="shared" si="541"/>
        <v>36.478461238039444</v>
      </c>
      <c r="CZ204" s="188">
        <f t="shared" si="542"/>
        <v>6.0797435396732418</v>
      </c>
      <c r="DA204" s="188">
        <f t="shared" si="543"/>
        <v>6.410977370481449</v>
      </c>
      <c r="DB204" s="172">
        <f t="shared" si="544"/>
        <v>219.03336184773312</v>
      </c>
      <c r="DC204" s="379">
        <f t="shared" si="545"/>
        <v>80.059430291731289</v>
      </c>
      <c r="DE204" s="188">
        <f t="shared" si="546"/>
        <v>13.333333333333334</v>
      </c>
      <c r="DF204" s="150">
        <f t="shared" si="547"/>
        <v>2.3432923257176337</v>
      </c>
      <c r="DG204" s="150">
        <f t="shared" si="548"/>
        <v>0.17108639863130889</v>
      </c>
      <c r="DH204" s="150"/>
      <c r="DI204" s="150">
        <f t="shared" si="549"/>
        <v>2.3432923257176337</v>
      </c>
      <c r="DJ204" s="314">
        <f t="shared" si="550"/>
        <v>601.71749999999975</v>
      </c>
      <c r="DK204" s="456">
        <f t="shared" si="551"/>
        <v>0.17108639863130887</v>
      </c>
      <c r="DM204" s="150">
        <f t="shared" si="552"/>
        <v>17.482399312287935</v>
      </c>
      <c r="DN204" s="150">
        <f t="shared" si="553"/>
        <v>36.478461238039444</v>
      </c>
      <c r="DO204" s="150">
        <f t="shared" si="554"/>
        <v>18.344539188671188</v>
      </c>
      <c r="DQ204" s="314">
        <f t="shared" si="555"/>
        <v>470</v>
      </c>
      <c r="DR204" s="144">
        <f t="shared" si="556"/>
        <v>80.059430291731289</v>
      </c>
      <c r="DT204">
        <f t="shared" si="591"/>
        <v>470</v>
      </c>
      <c r="DU204">
        <f t="shared" si="592"/>
        <v>80.059430291731289</v>
      </c>
      <c r="DW204" s="5">
        <f t="shared" si="557"/>
        <v>12.490720910154693</v>
      </c>
      <c r="DX204" s="5">
        <f t="shared" si="558"/>
        <v>6.0797435396732418</v>
      </c>
      <c r="DY204" s="5">
        <f t="shared" si="559"/>
        <v>6.4109773704814508</v>
      </c>
      <c r="DZ204" s="5"/>
      <c r="EA204" s="150">
        <f t="shared" si="560"/>
        <v>0.48674080410607351</v>
      </c>
      <c r="EB204" s="150">
        <f t="shared" si="561"/>
        <v>79.899999999999991</v>
      </c>
      <c r="EC204" s="150">
        <f t="shared" si="562"/>
        <v>0.46807264206209731</v>
      </c>
      <c r="ED204" s="150">
        <f t="shared" si="563"/>
        <v>170.69999999999996</v>
      </c>
      <c r="EE204" s="144">
        <f t="shared" si="564"/>
        <v>1.6808702727331903</v>
      </c>
      <c r="EF204" s="5">
        <f t="shared" si="565"/>
        <v>94.858720722494027</v>
      </c>
      <c r="EH204" s="150">
        <f t="shared" si="566"/>
        <v>14.693483193728992</v>
      </c>
      <c r="EI204" s="150">
        <f t="shared" si="567"/>
        <v>0.75442184773173437</v>
      </c>
      <c r="EK204" s="456">
        <f t="shared" si="568"/>
        <v>0.73405472443894759</v>
      </c>
      <c r="EL204" s="456">
        <f t="shared" si="569"/>
        <v>1.5567839999999997</v>
      </c>
      <c r="EM204" s="456">
        <f t="shared" si="570"/>
        <v>1.8333609536806465E-2</v>
      </c>
      <c r="EN204" s="456">
        <f t="shared" si="571"/>
        <v>1.6862214410200249E-2</v>
      </c>
      <c r="EO204">
        <f t="shared" si="572"/>
        <v>4.0499999999999998E-3</v>
      </c>
      <c r="EP204" s="144">
        <f t="shared" si="573"/>
        <v>22.383609536806468</v>
      </c>
      <c r="EQ204" s="144"/>
      <c r="ER204" s="144">
        <f t="shared" si="593"/>
        <v>2330.0845483859543</v>
      </c>
      <c r="ES204" s="456">
        <f t="shared" si="574"/>
        <v>1.1749999999999998</v>
      </c>
      <c r="EV204" s="144">
        <f t="shared" si="494"/>
        <v>1174.9999999999998</v>
      </c>
      <c r="EW204" s="456">
        <f t="shared" si="575"/>
        <v>0.32384767254659452</v>
      </c>
      <c r="EX204" s="456">
        <f t="shared" si="576"/>
        <v>0.11383046486699284</v>
      </c>
      <c r="EY204" s="456">
        <f t="shared" si="577"/>
        <v>23.045838725832724</v>
      </c>
      <c r="EZ204" s="456"/>
      <c r="FA204" s="456">
        <f t="shared" si="578"/>
        <v>0.10653333333333333</v>
      </c>
      <c r="FB204" s="144">
        <f t="shared" si="579"/>
        <v>23590.050196579647</v>
      </c>
      <c r="FC204" s="150">
        <f t="shared" si="580"/>
        <v>27.095134744965602</v>
      </c>
      <c r="FD204" s="5">
        <f t="shared" si="581"/>
        <v>79.899999999999991</v>
      </c>
      <c r="FE204" s="150">
        <f t="shared" si="582"/>
        <v>0.74676292702888059</v>
      </c>
      <c r="FF204" s="5">
        <f t="shared" si="583"/>
        <v>74.676292702888063</v>
      </c>
      <c r="FI204" s="59">
        <f t="shared" si="584"/>
        <v>-50</v>
      </c>
      <c r="FJ204">
        <f t="shared" si="585"/>
        <v>-50</v>
      </c>
      <c r="FL204">
        <f t="shared" si="586"/>
        <v>0.51325919589392655</v>
      </c>
    </row>
    <row r="205" spans="5:168">
      <c r="E205" s="147">
        <v>95</v>
      </c>
      <c r="F205" s="188">
        <f t="shared" si="587"/>
        <v>0.47499999999999998</v>
      </c>
      <c r="G205" s="188"/>
      <c r="H205" s="188">
        <f t="shared" si="495"/>
        <v>80.75</v>
      </c>
      <c r="I205" s="465">
        <f t="shared" si="496"/>
        <v>8.9085997451164669</v>
      </c>
      <c r="J205" s="149">
        <f t="shared" si="497"/>
        <v>8.5443265566207689</v>
      </c>
      <c r="K205" s="149">
        <f t="shared" si="498"/>
        <v>17.452926301737236</v>
      </c>
      <c r="L205" s="379"/>
      <c r="M205" s="188">
        <f t="shared" si="499"/>
        <v>0.48956201791046816</v>
      </c>
      <c r="N205" s="149">
        <f t="shared" si="500"/>
        <v>145.76958701864783</v>
      </c>
      <c r="O205" s="149">
        <f t="shared" si="599"/>
        <v>80.75</v>
      </c>
      <c r="P205" s="188">
        <f t="shared" si="501"/>
        <v>0.85746815893322248</v>
      </c>
      <c r="Q205" s="188">
        <f t="shared" si="502"/>
        <v>170</v>
      </c>
      <c r="R205" s="188"/>
      <c r="S205" s="149">
        <f t="shared" si="503"/>
        <v>447.27131106271003</v>
      </c>
      <c r="T205" s="149">
        <f t="shared" si="504"/>
        <v>170</v>
      </c>
      <c r="U205" s="188">
        <f t="shared" si="505"/>
        <v>37.222935335300669</v>
      </c>
      <c r="V205" s="188">
        <f t="shared" si="506"/>
        <v>6.2674723975065127</v>
      </c>
      <c r="W205" s="188">
        <f t="shared" si="507"/>
        <v>6.5346756860183941</v>
      </c>
      <c r="X205" s="172">
        <f t="shared" si="508"/>
        <v>218.06654101589535</v>
      </c>
      <c r="Y205" s="379">
        <f t="shared" si="509"/>
        <v>76.910368469584313</v>
      </c>
      <c r="AA205" s="188">
        <f t="shared" si="510"/>
        <v>13.333333333333336</v>
      </c>
      <c r="AB205" s="150">
        <f t="shared" si="511"/>
        <v>2.3407345058110569</v>
      </c>
      <c r="AC205" s="150">
        <f t="shared" si="512"/>
        <v>0.17014529237292284</v>
      </c>
      <c r="AD205" s="150"/>
      <c r="AE205" s="150">
        <f t="shared" si="513"/>
        <v>2.3407345058110565</v>
      </c>
      <c r="AF205" s="314">
        <f t="shared" si="514"/>
        <v>608.78326715922958</v>
      </c>
      <c r="AG205" s="456">
        <f t="shared" si="515"/>
        <v>0.17014529237292278</v>
      </c>
      <c r="AI205" s="150">
        <f t="shared" si="516"/>
        <v>17.584744718392624</v>
      </c>
      <c r="AJ205" s="150">
        <f t="shared" si="517"/>
        <v>37.222935335300669</v>
      </c>
      <c r="AK205" s="150">
        <f t="shared" si="518"/>
        <v>18.896001482938765</v>
      </c>
      <c r="AM205" s="314">
        <f t="shared" si="519"/>
        <v>475</v>
      </c>
      <c r="AN205" s="144">
        <f t="shared" si="520"/>
        <v>76.910368469584313</v>
      </c>
      <c r="AP205">
        <f t="shared" si="521"/>
        <v>475</v>
      </c>
      <c r="AQ205">
        <f t="shared" si="522"/>
        <v>76.910368469584313</v>
      </c>
      <c r="AS205" s="5">
        <f t="shared" si="600"/>
        <v>13.002148083524906</v>
      </c>
      <c r="AT205" s="5">
        <f t="shared" si="523"/>
        <v>6.2674723975065127</v>
      </c>
      <c r="AU205" s="5">
        <f t="shared" si="478"/>
        <v>6.7346756860183934</v>
      </c>
      <c r="AV205" s="5"/>
      <c r="AW205" s="150">
        <f t="shared" si="479"/>
        <v>0.48203361146517487</v>
      </c>
      <c r="AX205" s="150">
        <f t="shared" si="596"/>
        <v>79.922192822023533</v>
      </c>
      <c r="AY205" s="150">
        <f t="shared" si="597"/>
        <v>0.48200573465727542</v>
      </c>
      <c r="AZ205" s="150">
        <f t="shared" si="601"/>
        <v>165.81170528780385</v>
      </c>
      <c r="BA205" s="144">
        <f t="shared" si="594"/>
        <v>1.7512055228327021</v>
      </c>
      <c r="BB205" s="5">
        <f t="shared" si="595"/>
        <v>101.74159000017562</v>
      </c>
      <c r="BD205" s="150">
        <f t="shared" si="602"/>
        <v>14.920681209653274</v>
      </c>
      <c r="BE205" s="150">
        <f t="shared" si="598"/>
        <v>0.77334055224486664</v>
      </c>
      <c r="BG205" s="456">
        <f t="shared" si="480"/>
        <v>0.75693087438434092</v>
      </c>
      <c r="BH205" s="456">
        <f t="shared" si="524"/>
        <v>1.1966558890180581</v>
      </c>
      <c r="BI205" s="456">
        <f t="shared" si="525"/>
        <v>3.1380496953678817E-2</v>
      </c>
      <c r="BJ205" s="456">
        <f t="shared" si="481"/>
        <v>1.6047669558746893E-2</v>
      </c>
      <c r="BK205">
        <f t="shared" si="482"/>
        <v>4.0088698853024103E-3</v>
      </c>
      <c r="BL205" s="144">
        <f t="shared" si="588"/>
        <v>35.389366838981232</v>
      </c>
      <c r="BM205" s="456">
        <f t="shared" si="526"/>
        <v>2.6507312350601624</v>
      </c>
      <c r="BN205" s="144">
        <f t="shared" si="527"/>
        <v>2650.7312350601624</v>
      </c>
      <c r="BO205" s="456">
        <f t="shared" si="483"/>
        <v>1.1875</v>
      </c>
      <c r="BR205" s="144">
        <f t="shared" si="484"/>
        <v>1187.5</v>
      </c>
      <c r="BS205" s="456">
        <f t="shared" si="485"/>
        <v>0.33394009164015043</v>
      </c>
      <c r="BT205" s="456">
        <f t="shared" si="486"/>
        <v>0.11961112194927906</v>
      </c>
      <c r="BU205" s="456">
        <f t="shared" si="487"/>
        <v>21.925968154450306</v>
      </c>
      <c r="BV205" s="456"/>
      <c r="BW205" s="456">
        <f t="shared" si="488"/>
        <v>0.10656292376269805</v>
      </c>
      <c r="BX205" s="144">
        <f t="shared" si="489"/>
        <v>22486.082291802431</v>
      </c>
      <c r="BY205" s="150">
        <f t="shared" si="490"/>
        <v>25.67860609160256</v>
      </c>
      <c r="BZ205" s="5">
        <f t="shared" si="491"/>
        <v>80.75</v>
      </c>
      <c r="CA205" s="150">
        <f t="shared" si="492"/>
        <v>0.75872458510354712</v>
      </c>
      <c r="CB205" s="5">
        <f t="shared" si="493"/>
        <v>75.872458510354718</v>
      </c>
      <c r="CE205" s="59">
        <f t="shared" si="528"/>
        <v>-50</v>
      </c>
      <c r="CF205">
        <f t="shared" si="529"/>
        <v>-50</v>
      </c>
      <c r="CG205" s="150">
        <f t="shared" si="530"/>
        <v>0.50929836092159864</v>
      </c>
      <c r="CI205" s="147">
        <v>95</v>
      </c>
      <c r="CJ205" s="188">
        <f t="shared" si="589"/>
        <v>0.47499999999999998</v>
      </c>
      <c r="CK205" s="188"/>
      <c r="CL205" s="188">
        <f t="shared" si="531"/>
        <v>80.75</v>
      </c>
      <c r="CM205" s="465">
        <f t="shared" si="532"/>
        <v>9</v>
      </c>
      <c r="CN205" s="379">
        <f t="shared" si="533"/>
        <v>8.5350000000000001</v>
      </c>
      <c r="CO205" s="379">
        <f t="shared" si="534"/>
        <v>17.535</v>
      </c>
      <c r="CP205" s="379"/>
      <c r="CQ205" s="188">
        <f t="shared" si="535"/>
        <v>0.48674080410607357</v>
      </c>
      <c r="CR205" s="149">
        <f t="shared" si="590"/>
        <v>146.41650128314802</v>
      </c>
      <c r="CS205" s="149">
        <f t="shared" si="536"/>
        <v>80.75</v>
      </c>
      <c r="CT205" s="188">
        <f t="shared" si="537"/>
        <v>0.86127353695969422</v>
      </c>
      <c r="CU205" s="188">
        <f t="shared" si="538"/>
        <v>170</v>
      </c>
      <c r="CV205" s="188"/>
      <c r="CW205" s="149">
        <f t="shared" si="539"/>
        <v>451.85736511104062</v>
      </c>
      <c r="CX205" s="149">
        <f t="shared" si="540"/>
        <v>170</v>
      </c>
      <c r="CY205" s="188">
        <f t="shared" si="541"/>
        <v>36.866529974614338</v>
      </c>
      <c r="CZ205" s="188">
        <f t="shared" si="542"/>
        <v>6.1444216624357226</v>
      </c>
      <c r="DA205" s="188">
        <f t="shared" si="543"/>
        <v>6.4791792574014648</v>
      </c>
      <c r="DB205" s="172">
        <f t="shared" si="544"/>
        <v>219.03336184773312</v>
      </c>
      <c r="DC205" s="379">
        <f t="shared" si="545"/>
        <v>79.216699446555182</v>
      </c>
      <c r="DE205" s="188">
        <f t="shared" si="546"/>
        <v>13.333333333333334</v>
      </c>
      <c r="DF205" s="150">
        <f t="shared" si="547"/>
        <v>2.3432923257176337</v>
      </c>
      <c r="DG205" s="150">
        <f t="shared" si="548"/>
        <v>0.17108639863130889</v>
      </c>
      <c r="DH205" s="150"/>
      <c r="DI205" s="150">
        <f t="shared" si="549"/>
        <v>2.3432923257176337</v>
      </c>
      <c r="DJ205" s="314">
        <f t="shared" si="550"/>
        <v>608.11874999999975</v>
      </c>
      <c r="DK205" s="456">
        <f t="shared" si="551"/>
        <v>0.17108639863130887</v>
      </c>
      <c r="DM205" s="150">
        <f t="shared" si="552"/>
        <v>17.575144787048391</v>
      </c>
      <c r="DN205" s="150">
        <f t="shared" si="553"/>
        <v>36.866529974614338</v>
      </c>
      <c r="DO205" s="150">
        <f t="shared" si="554"/>
        <v>18.63199751206</v>
      </c>
      <c r="DQ205" s="314">
        <f t="shared" si="555"/>
        <v>475</v>
      </c>
      <c r="DR205" s="144">
        <f t="shared" si="556"/>
        <v>79.216699446555182</v>
      </c>
      <c r="DT205">
        <f t="shared" si="591"/>
        <v>475</v>
      </c>
      <c r="DU205">
        <f t="shared" si="592"/>
        <v>79.216699446555182</v>
      </c>
      <c r="DW205" s="5">
        <f t="shared" si="557"/>
        <v>12.623600919837187</v>
      </c>
      <c r="DX205" s="5">
        <f t="shared" si="558"/>
        <v>6.1444216624357226</v>
      </c>
      <c r="DY205" s="5">
        <f t="shared" si="559"/>
        <v>6.4791792574014648</v>
      </c>
      <c r="DZ205" s="5"/>
      <c r="EA205" s="150">
        <f t="shared" si="560"/>
        <v>0.48674080410607357</v>
      </c>
      <c r="EB205" s="150">
        <f t="shared" si="561"/>
        <v>80.750000000000014</v>
      </c>
      <c r="EC205" s="150">
        <f t="shared" si="562"/>
        <v>0.4730521382542473</v>
      </c>
      <c r="ED205" s="150">
        <f t="shared" si="563"/>
        <v>170.7</v>
      </c>
      <c r="EE205" s="144">
        <f t="shared" si="564"/>
        <v>1.7168236997982167</v>
      </c>
      <c r="EF205" s="5">
        <f t="shared" si="565"/>
        <v>96.887726858364474</v>
      </c>
      <c r="EH205" s="150">
        <f t="shared" si="566"/>
        <v>14.849796844726114</v>
      </c>
      <c r="EI205" s="150">
        <f t="shared" si="567"/>
        <v>0.76244761206930611</v>
      </c>
      <c r="EK205" s="456">
        <f t="shared" si="568"/>
        <v>0.74975598552076805</v>
      </c>
      <c r="EL205" s="456">
        <f t="shared" si="569"/>
        <v>1.5567839999999999</v>
      </c>
      <c r="EM205" s="456">
        <f t="shared" si="570"/>
        <v>1.8140624173261139E-2</v>
      </c>
      <c r="EN205" s="456">
        <f t="shared" si="571"/>
        <v>1.668471741640867E-2</v>
      </c>
      <c r="EO205">
        <f t="shared" si="572"/>
        <v>4.0499999999999998E-3</v>
      </c>
      <c r="EP205" s="144">
        <f t="shared" si="573"/>
        <v>22.190624173261142</v>
      </c>
      <c r="EQ205" s="144"/>
      <c r="ER205" s="144">
        <f t="shared" si="593"/>
        <v>2345.4153271104378</v>
      </c>
      <c r="ES205" s="456">
        <f t="shared" si="574"/>
        <v>1.1875</v>
      </c>
      <c r="EV205" s="144">
        <f t="shared" si="494"/>
        <v>1187.5</v>
      </c>
      <c r="EW205" s="456">
        <f t="shared" si="575"/>
        <v>0.33077469949445648</v>
      </c>
      <c r="EX205" s="456">
        <f t="shared" si="576"/>
        <v>0.11626527223003742</v>
      </c>
      <c r="EY205" s="456">
        <f t="shared" si="577"/>
        <v>23.045838725832731</v>
      </c>
      <c r="EZ205" s="456"/>
      <c r="FA205" s="456">
        <f t="shared" si="578"/>
        <v>0.1076666666666667</v>
      </c>
      <c r="FB205" s="144">
        <f t="shared" si="579"/>
        <v>23600.54536422389</v>
      </c>
      <c r="FC205" s="150">
        <f t="shared" si="580"/>
        <v>27.133460691334328</v>
      </c>
      <c r="FD205" s="5">
        <f t="shared" si="581"/>
        <v>80.75</v>
      </c>
      <c r="FE205" s="150">
        <f t="shared" si="582"/>
        <v>0.74849285963335976</v>
      </c>
      <c r="FF205" s="5">
        <f t="shared" si="583"/>
        <v>74.849285963335973</v>
      </c>
      <c r="FI205" s="59">
        <f t="shared" si="584"/>
        <v>-50</v>
      </c>
      <c r="FJ205">
        <f t="shared" si="585"/>
        <v>-50</v>
      </c>
      <c r="FL205">
        <f t="shared" si="586"/>
        <v>0.51325919589392643</v>
      </c>
    </row>
    <row r="206" spans="5:168">
      <c r="E206" s="147">
        <v>96</v>
      </c>
      <c r="F206" s="188">
        <f t="shared" si="587"/>
        <v>0.48</v>
      </c>
      <c r="G206" s="188"/>
      <c r="H206" s="188">
        <f>F206*Vout</f>
        <v>81.599999999999994</v>
      </c>
      <c r="I206" s="465">
        <f t="shared" si="496"/>
        <v>8.907645118918559</v>
      </c>
      <c r="J206" s="149">
        <f t="shared" si="497"/>
        <v>8.5444239674572895</v>
      </c>
      <c r="K206" s="149">
        <f t="shared" si="498"/>
        <v>17.45206908637585</v>
      </c>
      <c r="L206" s="379"/>
      <c r="M206" s="188">
        <f t="shared" si="499"/>
        <v>0.48959164626136864</v>
      </c>
      <c r="N206" s="149">
        <f>M206*I206*(Isw_max+VIN_min/Lmag*ILIM_delay)*0.5*Efficiency</f>
        <v>145.76278771354026</v>
      </c>
      <c r="O206" s="149">
        <f t="shared" si="599"/>
        <v>81.599999999999994</v>
      </c>
      <c r="P206" s="188">
        <f>N206/Vout</f>
        <v>0.85742816302082503</v>
      </c>
      <c r="Q206" s="188">
        <f t="shared" si="502"/>
        <v>170</v>
      </c>
      <c r="R206" s="188"/>
      <c r="S206" s="149">
        <f t="shared" si="503"/>
        <v>440.7160800464469</v>
      </c>
      <c r="T206" s="149">
        <f>MIN(Vout, S206)</f>
        <v>170</v>
      </c>
      <c r="U206" s="188">
        <f t="shared" si="505"/>
        <v>37.616939180881602</v>
      </c>
      <c r="V206" s="188">
        <f>L*U206/I206*1000000</f>
        <v>6.3344922275229552</v>
      </c>
      <c r="W206" s="188">
        <f t="shared" si="507"/>
        <v>6.6037697785394274</v>
      </c>
      <c r="X206" s="172">
        <f t="shared" si="508"/>
        <v>218.05636933648265</v>
      </c>
      <c r="Y206" s="379">
        <f t="shared" si="509"/>
        <v>76.113568106540313</v>
      </c>
      <c r="AA206" s="188">
        <f t="shared" si="510"/>
        <v>13.333333333333336</v>
      </c>
      <c r="AB206" s="150">
        <f>L*AA206/J206*1000000</f>
        <v>2.3407078202314144</v>
      </c>
      <c r="AC206" s="150">
        <f>0.5*AB206*AA206*Nps*X206/1000</f>
        <v>0.17013541631905824</v>
      </c>
      <c r="AD206" s="150"/>
      <c r="AE206" s="150">
        <f t="shared" si="513"/>
        <v>2.340707820231414</v>
      </c>
      <c r="AF206" s="314">
        <f>MAX(12000,F206/(0.5*AE206/1000000*Isw_min*Nps))/1000</f>
        <v>615.19852565692474</v>
      </c>
      <c r="AG206" s="456">
        <f t="shared" si="515"/>
        <v>0.17013541631905815</v>
      </c>
      <c r="AI206" s="150">
        <f t="shared" si="516"/>
        <v>17.677154488487862</v>
      </c>
      <c r="AJ206" s="150">
        <f>MAX(IF(F206&gt;AC206,U206,AI206),Isw_min)</f>
        <v>37.616939180881602</v>
      </c>
      <c r="AK206" s="150">
        <f>IF(F206&gt;AG206, (AJ206-Isw_min)/1.08*0.8+1.2, AF206*0.2/350+1)</f>
        <v>19.187856183369085</v>
      </c>
      <c r="AM206" s="314">
        <f t="shared" si="519"/>
        <v>480</v>
      </c>
      <c r="AN206" s="144">
        <f t="shared" si="520"/>
        <v>76.113568106540313</v>
      </c>
      <c r="AP206">
        <f t="shared" si="521"/>
        <v>480</v>
      </c>
      <c r="AQ206">
        <f t="shared" si="522"/>
        <v>76.113568106540313</v>
      </c>
      <c r="AS206" s="5">
        <f t="shared" si="600"/>
        <v>13.138262006062382</v>
      </c>
      <c r="AT206" s="5">
        <f t="shared" si="523"/>
        <v>6.3344922275229552</v>
      </c>
      <c r="AU206" s="5">
        <f t="shared" si="478"/>
        <v>6.8037697785394267</v>
      </c>
      <c r="AV206" s="5"/>
      <c r="AW206" s="150">
        <f t="shared" si="479"/>
        <v>0.48214080557991867</v>
      </c>
      <c r="AX206" s="150">
        <f t="shared" si="596"/>
        <v>80.777471518980605</v>
      </c>
      <c r="AY206" s="150">
        <f t="shared" si="597"/>
        <v>0.48700694551901352</v>
      </c>
      <c r="AZ206" s="150">
        <f t="shared" si="601"/>
        <v>165.86513244260686</v>
      </c>
      <c r="BA206" s="144">
        <f t="shared" si="594"/>
        <v>1.7885625113005992</v>
      </c>
      <c r="BB206" s="5">
        <f t="shared" si="595"/>
        <v>103.8784861238051</v>
      </c>
      <c r="BD206" s="150">
        <f t="shared" si="602"/>
        <v>15.080292739509616</v>
      </c>
      <c r="BE206" s="150">
        <f t="shared" si="598"/>
        <v>0.78144546941881265</v>
      </c>
      <c r="BG206" s="456">
        <f t="shared" si="480"/>
        <v>0.77321177897164184</v>
      </c>
      <c r="BH206" s="456">
        <f t="shared" si="524"/>
        <v>1.1967349589573308</v>
      </c>
      <c r="BI206" s="456">
        <f t="shared" si="525"/>
        <v>3.1052063526988621E-2</v>
      </c>
      <c r="BJ206" s="456">
        <f t="shared" si="481"/>
        <v>1.5879853815500153E-2</v>
      </c>
      <c r="BK206">
        <f t="shared" si="482"/>
        <v>4.0084403035133519E-3</v>
      </c>
      <c r="BL206" s="144">
        <f t="shared" si="588"/>
        <v>35.060503830501972</v>
      </c>
      <c r="BM206" s="456">
        <f t="shared" si="526"/>
        <v>2.6885145398354338</v>
      </c>
      <c r="BN206" s="144">
        <f t="shared" si="527"/>
        <v>2688.5145398354339</v>
      </c>
      <c r="BO206" s="456">
        <f t="shared" si="483"/>
        <v>1.2</v>
      </c>
      <c r="BR206" s="144">
        <f t="shared" si="484"/>
        <v>1200</v>
      </c>
      <c r="BS206" s="456">
        <f t="shared" si="485"/>
        <v>0.34112284366395967</v>
      </c>
      <c r="BT206" s="456">
        <f t="shared" si="486"/>
        <v>0.12213140433503769</v>
      </c>
      <c r="BU206" s="456">
        <f t="shared" si="487"/>
        <v>21.932283228889538</v>
      </c>
      <c r="BV206" s="456"/>
      <c r="BW206" s="456">
        <f t="shared" si="488"/>
        <v>0.10770329535864082</v>
      </c>
      <c r="BX206" s="144">
        <f t="shared" si="489"/>
        <v>22503.240772247176</v>
      </c>
      <c r="BY206" s="150">
        <f t="shared" si="490"/>
        <v>25.724127867822151</v>
      </c>
      <c r="BZ206" s="5">
        <f t="shared" si="491"/>
        <v>81.599999999999994</v>
      </c>
      <c r="CA206" s="150">
        <f t="shared" si="492"/>
        <v>0.76031365566274733</v>
      </c>
      <c r="CB206" s="5">
        <f t="shared" si="493"/>
        <v>76.031365566274729</v>
      </c>
      <c r="CE206" s="59">
        <f t="shared" si="528"/>
        <v>-50</v>
      </c>
      <c r="CF206">
        <f t="shared" si="529"/>
        <v>-50</v>
      </c>
      <c r="CG206" s="150">
        <f t="shared" si="530"/>
        <v>0.50933961961922702</v>
      </c>
      <c r="CI206" s="147">
        <v>96</v>
      </c>
      <c r="CJ206" s="188">
        <f t="shared" si="589"/>
        <v>0.48</v>
      </c>
      <c r="CK206" s="188"/>
      <c r="CL206" s="188">
        <f t="shared" si="531"/>
        <v>81.599999999999994</v>
      </c>
      <c r="CM206" s="465">
        <f t="shared" si="532"/>
        <v>9</v>
      </c>
      <c r="CN206" s="379">
        <f t="shared" si="533"/>
        <v>8.5350000000000001</v>
      </c>
      <c r="CO206" s="379">
        <f t="shared" si="534"/>
        <v>17.535</v>
      </c>
      <c r="CP206" s="379"/>
      <c r="CQ206" s="188">
        <f t="shared" si="535"/>
        <v>0.48674080410607357</v>
      </c>
      <c r="CR206" s="149">
        <f t="shared" si="590"/>
        <v>146.41650128314802</v>
      </c>
      <c r="CS206" s="149">
        <f t="shared" si="536"/>
        <v>81.599999999999994</v>
      </c>
      <c r="CT206" s="188">
        <f t="shared" si="537"/>
        <v>0.86127353695969422</v>
      </c>
      <c r="CU206" s="188">
        <f t="shared" si="538"/>
        <v>170</v>
      </c>
      <c r="CV206" s="188"/>
      <c r="CW206" s="149">
        <f t="shared" si="539"/>
        <v>445.28252228216326</v>
      </c>
      <c r="CX206" s="149">
        <f t="shared" si="540"/>
        <v>170</v>
      </c>
      <c r="CY206" s="188">
        <f t="shared" si="541"/>
        <v>37.254598711189217</v>
      </c>
      <c r="CZ206" s="188">
        <f t="shared" si="542"/>
        <v>6.2090997851982035</v>
      </c>
      <c r="DA206" s="188">
        <f t="shared" si="543"/>
        <v>6.5473811443214798</v>
      </c>
      <c r="DB206" s="172">
        <f t="shared" si="544"/>
        <v>219.03336184773312</v>
      </c>
      <c r="DC206" s="379">
        <f t="shared" si="545"/>
        <v>78.391525493986904</v>
      </c>
      <c r="DE206" s="188">
        <f t="shared" si="546"/>
        <v>13.333333333333334</v>
      </c>
      <c r="DF206" s="150">
        <f t="shared" si="547"/>
        <v>2.3432923257176337</v>
      </c>
      <c r="DG206" s="150">
        <f t="shared" si="548"/>
        <v>0.17108639863130889</v>
      </c>
      <c r="DH206" s="150"/>
      <c r="DI206" s="150">
        <f t="shared" si="549"/>
        <v>2.3432923257176337</v>
      </c>
      <c r="DJ206" s="314">
        <f t="shared" si="550"/>
        <v>614.51999999999975</v>
      </c>
      <c r="DK206" s="456">
        <f t="shared" si="551"/>
        <v>0.17108639863130887</v>
      </c>
      <c r="DM206" s="150">
        <f t="shared" si="552"/>
        <v>17.667403398834328</v>
      </c>
      <c r="DN206" s="150">
        <f t="shared" si="553"/>
        <v>37.254598711189217</v>
      </c>
      <c r="DO206" s="150">
        <f t="shared" si="554"/>
        <v>18.919455835448801</v>
      </c>
      <c r="DQ206" s="314">
        <f t="shared" si="555"/>
        <v>480</v>
      </c>
      <c r="DR206" s="144">
        <f t="shared" si="556"/>
        <v>78.391525493986904</v>
      </c>
      <c r="DT206">
        <f t="shared" si="591"/>
        <v>480</v>
      </c>
      <c r="DU206">
        <f t="shared" si="592"/>
        <v>78.391525493986904</v>
      </c>
      <c r="DW206" s="5">
        <f t="shared" si="557"/>
        <v>12.756480929519682</v>
      </c>
      <c r="DX206" s="5">
        <f t="shared" si="558"/>
        <v>6.2090997851982035</v>
      </c>
      <c r="DY206" s="5">
        <f t="shared" si="559"/>
        <v>6.5473811443214789</v>
      </c>
      <c r="DZ206" s="5"/>
      <c r="EA206" s="150">
        <f t="shared" si="560"/>
        <v>0.48674080410607362</v>
      </c>
      <c r="EB206" s="150">
        <f t="shared" si="561"/>
        <v>81.59999999999998</v>
      </c>
      <c r="EC206" s="150">
        <f t="shared" si="562"/>
        <v>0.47803163444639707</v>
      </c>
      <c r="ED206" s="150">
        <f t="shared" si="563"/>
        <v>170.7</v>
      </c>
      <c r="EE206" s="144">
        <f t="shared" si="564"/>
        <v>1.7531575864089044</v>
      </c>
      <c r="EF206" s="5">
        <f t="shared" si="565"/>
        <v>98.938203958635654</v>
      </c>
      <c r="EH206" s="150">
        <f t="shared" si="566"/>
        <v>15.006110495723229</v>
      </c>
      <c r="EI206" s="150">
        <f t="shared" si="567"/>
        <v>0.77047337640687752</v>
      </c>
      <c r="EK206" s="456">
        <f t="shared" si="568"/>
        <v>0.7656233975135065</v>
      </c>
      <c r="EL206" s="456">
        <f t="shared" si="569"/>
        <v>1.5567839999999999</v>
      </c>
      <c r="EM206" s="456">
        <f t="shared" si="570"/>
        <v>1.7951659338123E-2</v>
      </c>
      <c r="EN206" s="456">
        <f t="shared" si="571"/>
        <v>1.6510918276654411E-2</v>
      </c>
      <c r="EO206">
        <f t="shared" si="572"/>
        <v>4.0499999999999998E-3</v>
      </c>
      <c r="EP206" s="144">
        <f t="shared" si="573"/>
        <v>22.001659338123002</v>
      </c>
      <c r="EQ206" s="144"/>
      <c r="ER206" s="144">
        <f t="shared" si="593"/>
        <v>2360.919975128284</v>
      </c>
      <c r="ES206" s="456">
        <f t="shared" si="574"/>
        <v>1.2</v>
      </c>
      <c r="EV206" s="144">
        <f t="shared" si="494"/>
        <v>1200</v>
      </c>
      <c r="EW206" s="456">
        <f t="shared" si="575"/>
        <v>0.33777502831478229</v>
      </c>
      <c r="EX206" s="456">
        <f t="shared" si="576"/>
        <v>0.1187258447503628</v>
      </c>
      <c r="EY206" s="456">
        <f t="shared" si="577"/>
        <v>23.04583872583277</v>
      </c>
      <c r="EZ206" s="456"/>
      <c r="FA206" s="456">
        <f t="shared" si="578"/>
        <v>0.10879999999999999</v>
      </c>
      <c r="FB206" s="144">
        <f t="shared" si="579"/>
        <v>23611.139598897913</v>
      </c>
      <c r="FC206" s="150">
        <f t="shared" si="580"/>
        <v>27.172059574026196</v>
      </c>
      <c r="FD206" s="5">
        <f t="shared" si="581"/>
        <v>81.599999999999994</v>
      </c>
      <c r="FE206" s="150">
        <f t="shared" si="582"/>
        <v>0.75019265351380138</v>
      </c>
      <c r="FF206" s="5">
        <f t="shared" si="583"/>
        <v>75.019265351380142</v>
      </c>
      <c r="FI206" s="59">
        <f t="shared" si="584"/>
        <v>-50</v>
      </c>
      <c r="FJ206">
        <f t="shared" si="585"/>
        <v>-50</v>
      </c>
      <c r="FL206">
        <f t="shared" si="586"/>
        <v>0.51325919589392632</v>
      </c>
    </row>
    <row r="207" spans="5:168">
      <c r="E207" s="147">
        <v>97</v>
      </c>
      <c r="F207" s="188">
        <f>IF(PLOT_TYPE=1, E207/100*Iout_max, min_I*EXP(N207*rr/100))</f>
        <v>0.48499999999999999</v>
      </c>
      <c r="G207" s="188"/>
      <c r="H207" s="188">
        <f>F207*Vout</f>
        <v>82.45</v>
      </c>
      <c r="I207" s="465">
        <f t="shared" si="496"/>
        <v>8.9066904915336309</v>
      </c>
      <c r="J207" s="149">
        <f t="shared" si="497"/>
        <v>8.5445213784149345</v>
      </c>
      <c r="K207" s="149">
        <f t="shared" si="498"/>
        <v>17.451211869948565</v>
      </c>
      <c r="L207" s="379"/>
      <c r="M207" s="188">
        <f t="shared" si="499"/>
        <v>0.48962127755629453</v>
      </c>
      <c r="N207" s="149">
        <f>M207*I207*(Isw_max+VIN_min/Lmag*ILIM_delay)*0.5*Efficiency</f>
        <v>145.75598737472697</v>
      </c>
      <c r="O207" s="149">
        <f t="shared" si="599"/>
        <v>82.45</v>
      </c>
      <c r="P207" s="188">
        <f>N207/Vout</f>
        <v>0.85738816102780568</v>
      </c>
      <c r="Q207" s="188">
        <f t="shared" si="502"/>
        <v>170</v>
      </c>
      <c r="R207" s="188"/>
      <c r="S207" s="149">
        <f t="shared" si="503"/>
        <v>434.29652096376509</v>
      </c>
      <c r="T207" s="149">
        <f>MIN(Vout, S207)</f>
        <v>170</v>
      </c>
      <c r="U207" s="188">
        <f t="shared" si="505"/>
        <v>38.010988990905297</v>
      </c>
      <c r="V207" s="188">
        <f>L*U207/I207*1000000</f>
        <v>6.4015341658672993</v>
      </c>
      <c r="W207" s="188">
        <f t="shared" si="507"/>
        <v>6.6728703646751111</v>
      </c>
      <c r="X207" s="172">
        <f t="shared" si="508"/>
        <v>218.0461961122773</v>
      </c>
      <c r="Y207" s="379">
        <f t="shared" si="509"/>
        <v>75.332946023993046</v>
      </c>
      <c r="AA207" s="188">
        <f t="shared" si="510"/>
        <v>13.333333333333334</v>
      </c>
      <c r="AB207" s="150">
        <f>L*AA207/J207*1000000</f>
        <v>2.3406811352270425</v>
      </c>
      <c r="AC207" s="150">
        <f>0.5*AB207*AA207*Nps*X207/1000</f>
        <v>0.17012553928267457</v>
      </c>
      <c r="AD207" s="150"/>
      <c r="AE207" s="150">
        <f t="shared" si="513"/>
        <v>2.3406811352270425</v>
      </c>
      <c r="AF207" s="314">
        <f>MAX(12000,F207/(0.5*AE207/1000000*Isw_min*Nps))/1000</f>
        <v>621.61393027968631</v>
      </c>
      <c r="AG207" s="456">
        <f t="shared" si="515"/>
        <v>0.17012553928267454</v>
      </c>
      <c r="AI207" s="150">
        <f t="shared" si="516"/>
        <v>17.769085768011585</v>
      </c>
      <c r="AJ207" s="150">
        <f>MAX(IF(F207&gt;AC207,U207,AI207),Isw_min)</f>
        <v>38.010988990905297</v>
      </c>
      <c r="AK207" s="150">
        <f>IF(F207&gt;AG207, (AJ207-Isw_min)/1.08*0.8+1.2, AF207*0.2/350+1)</f>
        <v>19.479744931534785</v>
      </c>
      <c r="AM207" s="314">
        <f t="shared" si="519"/>
        <v>485</v>
      </c>
      <c r="AN207" s="144">
        <f t="shared" si="520"/>
        <v>75.332946023993046</v>
      </c>
      <c r="AP207">
        <f t="shared" si="521"/>
        <v>485</v>
      </c>
      <c r="AQ207">
        <f t="shared" si="522"/>
        <v>75.332946023993046</v>
      </c>
      <c r="AS207" s="5">
        <f t="shared" si="600"/>
        <v>13.274404530542409</v>
      </c>
      <c r="AT207" s="5">
        <f t="shared" si="523"/>
        <v>6.4015341658672993</v>
      </c>
      <c r="AU207" s="5">
        <f t="shared" si="478"/>
        <v>6.8728703646751095</v>
      </c>
      <c r="AV207" s="5"/>
      <c r="AW207" s="150">
        <f t="shared" si="479"/>
        <v>0.48224642778802856</v>
      </c>
      <c r="AX207" s="150">
        <f t="shared" si="596"/>
        <v>81.632773851119381</v>
      </c>
      <c r="AY207" s="150">
        <f t="shared" si="597"/>
        <v>0.49200813333377846</v>
      </c>
      <c r="AZ207" s="150">
        <f t="shared" si="601"/>
        <v>165.91752924486653</v>
      </c>
      <c r="BA207" s="144">
        <f t="shared" si="594"/>
        <v>1.8263200414386118</v>
      </c>
      <c r="BB207" s="5">
        <f t="shared" si="595"/>
        <v>106.0379202402427</v>
      </c>
      <c r="BD207" s="150">
        <f t="shared" si="602"/>
        <v>15.239932791663692</v>
      </c>
      <c r="BE207" s="150">
        <f t="shared" si="598"/>
        <v>0.78955083728210351</v>
      </c>
      <c r="BG207" s="456">
        <f t="shared" si="480"/>
        <v>0.78966887508104933</v>
      </c>
      <c r="BH207" s="456">
        <f t="shared" si="524"/>
        <v>1.1968100570335121</v>
      </c>
      <c r="BI207" s="456">
        <f t="shared" si="525"/>
        <v>3.073029931954107E-2</v>
      </c>
      <c r="BJ207" s="456">
        <f t="shared" si="481"/>
        <v>1.5715445811143435E-2</v>
      </c>
      <c r="BK207">
        <f t="shared" si="482"/>
        <v>4.0080107211901339E-3</v>
      </c>
      <c r="BL207" s="144">
        <f t="shared" si="588"/>
        <v>34.738310040731207</v>
      </c>
      <c r="BM207" s="456">
        <f t="shared" si="526"/>
        <v>2.7270729155016835</v>
      </c>
      <c r="BN207" s="144">
        <f t="shared" si="527"/>
        <v>2727.0729155016834</v>
      </c>
      <c r="BO207" s="456">
        <f t="shared" si="483"/>
        <v>1.2124999999999999</v>
      </c>
      <c r="BR207" s="144">
        <f t="shared" si="484"/>
        <v>1212.5</v>
      </c>
      <c r="BS207" s="456">
        <f t="shared" si="485"/>
        <v>0.34838332724163945</v>
      </c>
      <c r="BT207" s="456">
        <f t="shared" si="486"/>
        <v>0.12467810493057414</v>
      </c>
      <c r="BU207" s="456">
        <f t="shared" si="487"/>
        <v>21.938417999967953</v>
      </c>
      <c r="BV207" s="456"/>
      <c r="BW207" s="456">
        <f t="shared" si="488"/>
        <v>0.10884369846815917</v>
      </c>
      <c r="BX207" s="144">
        <f t="shared" si="489"/>
        <v>22520.323130608325</v>
      </c>
      <c r="BY207" s="150">
        <f t="shared" si="490"/>
        <v>25.769755818574762</v>
      </c>
      <c r="BZ207" s="5">
        <f t="shared" si="491"/>
        <v>82.45</v>
      </c>
      <c r="CA207" s="150">
        <f t="shared" si="492"/>
        <v>0.76187567950368951</v>
      </c>
      <c r="CB207" s="5">
        <f t="shared" si="493"/>
        <v>76.187567950368944</v>
      </c>
      <c r="CE207" s="59">
        <f t="shared" si="528"/>
        <v>-50</v>
      </c>
      <c r="CF207">
        <f t="shared" si="529"/>
        <v>-50</v>
      </c>
      <c r="CG207" s="150">
        <f t="shared" si="530"/>
        <v>0.50938002762205903</v>
      </c>
      <c r="CI207" s="147">
        <v>97</v>
      </c>
      <c r="CJ207" s="188">
        <f t="shared" si="589"/>
        <v>0.48499999999999999</v>
      </c>
      <c r="CK207" s="188"/>
      <c r="CL207" s="188">
        <f t="shared" si="531"/>
        <v>82.45</v>
      </c>
      <c r="CM207" s="465">
        <f t="shared" si="532"/>
        <v>9</v>
      </c>
      <c r="CN207" s="379">
        <f t="shared" si="533"/>
        <v>8.5350000000000001</v>
      </c>
      <c r="CO207" s="379">
        <f t="shared" si="534"/>
        <v>17.535</v>
      </c>
      <c r="CP207" s="379"/>
      <c r="CQ207" s="188">
        <f t="shared" si="535"/>
        <v>0.48674080410607357</v>
      </c>
      <c r="CR207" s="149">
        <f t="shared" si="590"/>
        <v>146.41650128314802</v>
      </c>
      <c r="CS207" s="149">
        <f t="shared" si="536"/>
        <v>82.45</v>
      </c>
      <c r="CT207" s="188">
        <f t="shared" si="537"/>
        <v>0.86127353695969422</v>
      </c>
      <c r="CU207" s="188">
        <f t="shared" si="538"/>
        <v>170</v>
      </c>
      <c r="CV207" s="188"/>
      <c r="CW207" s="149">
        <f t="shared" si="539"/>
        <v>438.84336216801927</v>
      </c>
      <c r="CX207" s="149">
        <f t="shared" si="540"/>
        <v>170</v>
      </c>
      <c r="CY207" s="188">
        <f t="shared" si="541"/>
        <v>37.642667447764111</v>
      </c>
      <c r="CZ207" s="188">
        <f t="shared" si="542"/>
        <v>6.2737779079606861</v>
      </c>
      <c r="DA207" s="188">
        <f t="shared" si="543"/>
        <v>6.6155830312414956</v>
      </c>
      <c r="DB207" s="172">
        <f t="shared" si="544"/>
        <v>219.03336184773312</v>
      </c>
      <c r="DC207" s="379">
        <f t="shared" si="545"/>
        <v>77.583365437347851</v>
      </c>
      <c r="DE207" s="188">
        <f t="shared" si="546"/>
        <v>13.333333333333334</v>
      </c>
      <c r="DF207" s="150">
        <f t="shared" si="547"/>
        <v>2.3432923257176337</v>
      </c>
      <c r="DG207" s="150">
        <f t="shared" si="548"/>
        <v>0.17108639863130889</v>
      </c>
      <c r="DH207" s="150"/>
      <c r="DI207" s="150">
        <f t="shared" si="549"/>
        <v>2.3432923257176337</v>
      </c>
      <c r="DJ207" s="314">
        <f t="shared" si="550"/>
        <v>620.92124999999976</v>
      </c>
      <c r="DK207" s="456">
        <f t="shared" si="551"/>
        <v>0.17108639863130887</v>
      </c>
      <c r="DM207" s="150">
        <f t="shared" si="552"/>
        <v>17.759182735378658</v>
      </c>
      <c r="DN207" s="150">
        <f t="shared" si="553"/>
        <v>37.642667447764111</v>
      </c>
      <c r="DO207" s="150">
        <f t="shared" si="554"/>
        <v>19.206914158837613</v>
      </c>
      <c r="DQ207" s="314">
        <f t="shared" si="555"/>
        <v>485</v>
      </c>
      <c r="DR207" s="144">
        <f t="shared" si="556"/>
        <v>77.583365437347851</v>
      </c>
      <c r="DT207">
        <f t="shared" si="591"/>
        <v>485</v>
      </c>
      <c r="DU207">
        <f t="shared" si="592"/>
        <v>77.583365437347851</v>
      </c>
      <c r="DW207" s="5">
        <f t="shared" si="557"/>
        <v>12.889360939202183</v>
      </c>
      <c r="DX207" s="5">
        <f t="shared" si="558"/>
        <v>6.2737779079606861</v>
      </c>
      <c r="DY207" s="5">
        <f t="shared" si="559"/>
        <v>6.6155830312414965</v>
      </c>
      <c r="DZ207" s="5"/>
      <c r="EA207" s="150">
        <f t="shared" si="560"/>
        <v>0.48674080410607357</v>
      </c>
      <c r="EB207" s="150">
        <f t="shared" si="561"/>
        <v>82.45</v>
      </c>
      <c r="EC207" s="150">
        <f t="shared" si="562"/>
        <v>0.48301113063854723</v>
      </c>
      <c r="ED207" s="150">
        <f t="shared" si="563"/>
        <v>170.7</v>
      </c>
      <c r="EE207" s="144">
        <f t="shared" si="564"/>
        <v>1.7898719325652543</v>
      </c>
      <c r="EF207" s="5">
        <f t="shared" si="565"/>
        <v>101.01015202330765</v>
      </c>
      <c r="EH207" s="150">
        <f t="shared" si="566"/>
        <v>15.162424146720348</v>
      </c>
      <c r="EI207" s="150">
        <f t="shared" si="567"/>
        <v>0.77849914074444937</v>
      </c>
      <c r="EK207" s="456">
        <f t="shared" si="568"/>
        <v>0.78165696041716404</v>
      </c>
      <c r="EL207" s="456">
        <f t="shared" si="569"/>
        <v>1.5567839999999997</v>
      </c>
      <c r="EM207" s="456">
        <f t="shared" si="570"/>
        <v>1.7766590685152659E-2</v>
      </c>
      <c r="EN207" s="456">
        <f t="shared" si="571"/>
        <v>1.6340702624317766E-2</v>
      </c>
      <c r="EO207">
        <f t="shared" si="572"/>
        <v>4.0499999999999998E-3</v>
      </c>
      <c r="EP207" s="144">
        <f t="shared" si="573"/>
        <v>21.816590685152661</v>
      </c>
      <c r="EQ207" s="144"/>
      <c r="ER207" s="144">
        <f t="shared" si="593"/>
        <v>2376.5982537266345</v>
      </c>
      <c r="ES207" s="456">
        <f t="shared" si="574"/>
        <v>1.2124999999999999</v>
      </c>
      <c r="EV207" s="144">
        <f t="shared" si="494"/>
        <v>1212.5</v>
      </c>
      <c r="EW207" s="456">
        <f t="shared" si="575"/>
        <v>0.34484865900757239</v>
      </c>
      <c r="EX207" s="456">
        <f t="shared" si="576"/>
        <v>0.12121218242796922</v>
      </c>
      <c r="EY207" s="456">
        <f t="shared" si="577"/>
        <v>23.045838725832766</v>
      </c>
      <c r="EZ207" s="456"/>
      <c r="FA207" s="456">
        <f t="shared" si="578"/>
        <v>0.10993333333333334</v>
      </c>
      <c r="FB207" s="144">
        <f t="shared" si="579"/>
        <v>23621.832900601643</v>
      </c>
      <c r="FC207" s="150">
        <f t="shared" si="580"/>
        <v>27.210931154328275</v>
      </c>
      <c r="FD207" s="5">
        <f t="shared" si="581"/>
        <v>82.45</v>
      </c>
      <c r="FE207" s="150">
        <f t="shared" si="582"/>
        <v>0.75186303027070123</v>
      </c>
      <c r="FF207" s="5">
        <f t="shared" si="583"/>
        <v>75.186303027070124</v>
      </c>
      <c r="FI207" s="59">
        <f t="shared" si="584"/>
        <v>-50</v>
      </c>
      <c r="FJ207">
        <f t="shared" si="585"/>
        <v>-50</v>
      </c>
      <c r="FL207">
        <f t="shared" si="586"/>
        <v>0.51325919589392643</v>
      </c>
    </row>
    <row r="208" spans="5:168">
      <c r="E208" s="147">
        <v>98</v>
      </c>
      <c r="F208" s="188">
        <f>IF(PLOT_TYPE=1, E208/100*Iout_max, min_I*EXP(N208*rr/100))</f>
        <v>0.49</v>
      </c>
      <c r="G208" s="188"/>
      <c r="H208" s="188">
        <f>F208*Vout</f>
        <v>83.3</v>
      </c>
      <c r="I208" s="465">
        <f t="shared" si="496"/>
        <v>8.9057358629982915</v>
      </c>
      <c r="J208" s="149">
        <f t="shared" si="497"/>
        <v>8.5446187894899701</v>
      </c>
      <c r="K208" s="149">
        <f t="shared" si="498"/>
        <v>17.450354652488262</v>
      </c>
      <c r="L208" s="379"/>
      <c r="M208" s="188">
        <f t="shared" si="499"/>
        <v>0.48965091179465853</v>
      </c>
      <c r="N208" s="149">
        <f>M208*I208*(Isw_max+VIN_min/Lmag*ILIM_delay)*0.5*Efficiency</f>
        <v>145.7491860023469</v>
      </c>
      <c r="O208" s="149">
        <f t="shared" si="599"/>
        <v>83.3</v>
      </c>
      <c r="P208" s="188">
        <f>N208/Vout</f>
        <v>0.85734815295498179</v>
      </c>
      <c r="Q208" s="188">
        <f t="shared" si="502"/>
        <v>170</v>
      </c>
      <c r="R208" s="188"/>
      <c r="S208" s="149">
        <f t="shared" si="503"/>
        <v>428.00848207320115</v>
      </c>
      <c r="T208" s="149">
        <f>MIN(Vout, S208)</f>
        <v>170</v>
      </c>
      <c r="U208" s="188">
        <f t="shared" si="505"/>
        <v>38.405084780153153</v>
      </c>
      <c r="V208" s="188">
        <f>L*U208/I208*1000000</f>
        <v>6.4685982221389375</v>
      </c>
      <c r="W208" s="188">
        <f t="shared" si="507"/>
        <v>6.7419774467982245</v>
      </c>
      <c r="X208" s="172">
        <f t="shared" si="508"/>
        <v>218.03602134343799</v>
      </c>
      <c r="Y208" s="379">
        <f t="shared" si="509"/>
        <v>74.568014430304757</v>
      </c>
      <c r="AA208" s="188">
        <f t="shared" si="510"/>
        <v>13.333333333333336</v>
      </c>
      <c r="AB208" s="150">
        <f>L*AA208/J208*1000000</f>
        <v>2.3406544507989464</v>
      </c>
      <c r="AC208" s="150">
        <f>0.5*AB208*AA208*Nps*X208/1000</f>
        <v>0.17011566126400413</v>
      </c>
      <c r="AD208" s="150"/>
      <c r="AE208" s="150">
        <f t="shared" si="513"/>
        <v>2.340654450798946</v>
      </c>
      <c r="AF208" s="314">
        <f>MAX(12000,F208/(0.5*AE208/1000000*Isw_min*Nps))/1000</f>
        <v>628.0294810275127</v>
      </c>
      <c r="AG208" s="456">
        <f t="shared" si="515"/>
        <v>0.17011566126400404</v>
      </c>
      <c r="AI208" s="150">
        <f t="shared" si="516"/>
        <v>17.860545945583304</v>
      </c>
      <c r="AJ208" s="150">
        <f>MAX(IF(F208&gt;AC208,U208,AI208),Isw_min)</f>
        <v>38.405084780153153</v>
      </c>
      <c r="AK208" s="150">
        <f>IF(F208&gt;AG208, (AJ208-Isw_min)/1.08*0.8+1.2, AF208*0.2/350+1)</f>
        <v>19.771667738385048</v>
      </c>
      <c r="AM208" s="314">
        <f t="shared" si="519"/>
        <v>490</v>
      </c>
      <c r="AN208" s="144">
        <f t="shared" si="520"/>
        <v>74.568014430304757</v>
      </c>
      <c r="AP208">
        <f t="shared" si="521"/>
        <v>490</v>
      </c>
      <c r="AQ208">
        <f t="shared" si="522"/>
        <v>74.568014430304757</v>
      </c>
      <c r="AS208" s="5">
        <f t="shared" si="600"/>
        <v>13.41057566893716</v>
      </c>
      <c r="AT208" s="5">
        <f t="shared" si="523"/>
        <v>6.4685982221389375</v>
      </c>
      <c r="AU208" s="5">
        <f t="shared" si="478"/>
        <v>6.941977446798222</v>
      </c>
      <c r="AV208" s="5"/>
      <c r="AW208" s="150">
        <f t="shared" si="479"/>
        <v>0.48235052557230002</v>
      </c>
      <c r="AX208" s="150">
        <f t="shared" si="596"/>
        <v>82.488099693615553</v>
      </c>
      <c r="AY208" s="150">
        <f t="shared" si="597"/>
        <v>0.4970092987949386</v>
      </c>
      <c r="AZ208" s="150">
        <f t="shared" si="601"/>
        <v>165.96892632314587</v>
      </c>
      <c r="BA208" s="144">
        <f t="shared" si="594"/>
        <v>1.8644783110871055</v>
      </c>
      <c r="BB208" s="5">
        <f t="shared" si="595"/>
        <v>108.21990273348898</v>
      </c>
      <c r="BD208" s="150">
        <f t="shared" si="602"/>
        <v>15.399601366063431</v>
      </c>
      <c r="BE208" s="150">
        <f t="shared" si="598"/>
        <v>0.79765665664587138</v>
      </c>
      <c r="BG208" s="456">
        <f t="shared" si="480"/>
        <v>0.80630225559445301</v>
      </c>
      <c r="BH208" s="456">
        <f t="shared" si="524"/>
        <v>1.1968813029127561</v>
      </c>
      <c r="BI208" s="456">
        <f t="shared" si="525"/>
        <v>3.0415003247779897E-2</v>
      </c>
      <c r="BJ208" s="456">
        <f t="shared" si="481"/>
        <v>1.5554342798947168E-2</v>
      </c>
      <c r="BK208">
        <f t="shared" si="482"/>
        <v>4.007581138349231E-3</v>
      </c>
      <c r="BL208" s="144">
        <f t="shared" si="588"/>
        <v>34.422584386129131</v>
      </c>
      <c r="BM208" s="456">
        <f t="shared" si="526"/>
        <v>2.7664238411737792</v>
      </c>
      <c r="BN208" s="144">
        <f t="shared" si="527"/>
        <v>2766.4238411737792</v>
      </c>
      <c r="BO208" s="456">
        <f t="shared" si="483"/>
        <v>1.2250000000000001</v>
      </c>
      <c r="BR208" s="144">
        <f t="shared" si="484"/>
        <v>1225</v>
      </c>
      <c r="BS208" s="456">
        <f t="shared" si="485"/>
        <v>0.35572158335049403</v>
      </c>
      <c r="BT208" s="456">
        <f t="shared" si="486"/>
        <v>0.12725122837829392</v>
      </c>
      <c r="BU208" s="456">
        <f t="shared" si="487"/>
        <v>21.944377834682715</v>
      </c>
      <c r="BV208" s="456"/>
      <c r="BW208" s="456">
        <f t="shared" si="488"/>
        <v>0.10998413292482073</v>
      </c>
      <c r="BX208" s="144">
        <f t="shared" si="489"/>
        <v>22537.334779336328</v>
      </c>
      <c r="BY208" s="150">
        <f t="shared" si="490"/>
        <v>25.815495265028609</v>
      </c>
      <c r="BZ208" s="5">
        <f t="shared" si="491"/>
        <v>83.3</v>
      </c>
      <c r="CA208" s="150">
        <f t="shared" si="492"/>
        <v>0.76341128084214038</v>
      </c>
      <c r="CB208" s="5">
        <f t="shared" si="493"/>
        <v>76.341128084214034</v>
      </c>
      <c r="CE208" s="59">
        <f t="shared" si="528"/>
        <v>-50</v>
      </c>
      <c r="CF208">
        <f t="shared" si="529"/>
        <v>-50</v>
      </c>
      <c r="CG208" s="150">
        <f t="shared" si="530"/>
        <v>0.50941961097177202</v>
      </c>
      <c r="CI208" s="147">
        <v>98</v>
      </c>
      <c r="CJ208" s="188">
        <f t="shared" si="589"/>
        <v>0.49</v>
      </c>
      <c r="CK208" s="188"/>
      <c r="CL208" s="188">
        <f t="shared" si="531"/>
        <v>83.3</v>
      </c>
      <c r="CM208" s="465">
        <f t="shared" si="532"/>
        <v>9</v>
      </c>
      <c r="CN208" s="379">
        <f t="shared" si="533"/>
        <v>8.5350000000000001</v>
      </c>
      <c r="CO208" s="379">
        <f t="shared" si="534"/>
        <v>17.535</v>
      </c>
      <c r="CP208" s="379"/>
      <c r="CQ208" s="188">
        <f t="shared" si="535"/>
        <v>0.48674080410607357</v>
      </c>
      <c r="CR208" s="149">
        <f t="shared" si="590"/>
        <v>146.41650128314802</v>
      </c>
      <c r="CS208" s="149">
        <f t="shared" si="536"/>
        <v>83.3</v>
      </c>
      <c r="CT208" s="188">
        <f t="shared" si="537"/>
        <v>0.86127353695969422</v>
      </c>
      <c r="CU208" s="188">
        <f t="shared" si="538"/>
        <v>170</v>
      </c>
      <c r="CV208" s="188"/>
      <c r="CW208" s="149">
        <f t="shared" si="539"/>
        <v>432.53573269531262</v>
      </c>
      <c r="CX208" s="149">
        <f t="shared" si="540"/>
        <v>170</v>
      </c>
      <c r="CY208" s="188">
        <f t="shared" si="541"/>
        <v>38.030736184338998</v>
      </c>
      <c r="CZ208" s="188">
        <f t="shared" si="542"/>
        <v>6.338456030723167</v>
      </c>
      <c r="DA208" s="188">
        <f t="shared" si="543"/>
        <v>6.6837849181615114</v>
      </c>
      <c r="DB208" s="172">
        <f t="shared" si="544"/>
        <v>219.03336184773312</v>
      </c>
      <c r="DC208" s="379">
        <f t="shared" si="545"/>
        <v>76.791698443089189</v>
      </c>
      <c r="DE208" s="188">
        <f t="shared" si="546"/>
        <v>13.333333333333334</v>
      </c>
      <c r="DF208" s="150">
        <f t="shared" si="547"/>
        <v>2.3432923257176337</v>
      </c>
      <c r="DG208" s="150">
        <f t="shared" si="548"/>
        <v>0.17108639863130889</v>
      </c>
      <c r="DH208" s="150"/>
      <c r="DI208" s="150">
        <f t="shared" si="549"/>
        <v>2.3432923257176337</v>
      </c>
      <c r="DJ208" s="314">
        <f t="shared" si="550"/>
        <v>627.32249999999976</v>
      </c>
      <c r="DK208" s="456">
        <f t="shared" si="551"/>
        <v>0.17108639863130887</v>
      </c>
      <c r="DM208" s="150">
        <f t="shared" si="552"/>
        <v>17.850490189347742</v>
      </c>
      <c r="DN208" s="150">
        <f t="shared" si="553"/>
        <v>38.030736184338998</v>
      </c>
      <c r="DO208" s="150">
        <f t="shared" si="554"/>
        <v>19.494372482226417</v>
      </c>
      <c r="DQ208" s="314">
        <f t="shared" si="555"/>
        <v>490</v>
      </c>
      <c r="DR208" s="144">
        <f t="shared" si="556"/>
        <v>76.791698443089189</v>
      </c>
      <c r="DT208">
        <f t="shared" si="591"/>
        <v>490</v>
      </c>
      <c r="DU208">
        <f t="shared" si="592"/>
        <v>76.791698443089189</v>
      </c>
      <c r="DW208" s="5">
        <f t="shared" si="557"/>
        <v>13.022240948884679</v>
      </c>
      <c r="DX208" s="5">
        <f t="shared" si="558"/>
        <v>6.338456030723167</v>
      </c>
      <c r="DY208" s="5">
        <f t="shared" si="559"/>
        <v>6.6837849181615123</v>
      </c>
      <c r="DZ208" s="5"/>
      <c r="EA208" s="150">
        <f t="shared" si="560"/>
        <v>0.48674080410607357</v>
      </c>
      <c r="EB208" s="150">
        <f t="shared" si="561"/>
        <v>83.299999999999983</v>
      </c>
      <c r="EC208" s="150">
        <f t="shared" si="562"/>
        <v>0.48799062683069716</v>
      </c>
      <c r="ED208" s="150">
        <f t="shared" si="563"/>
        <v>170.69999999999996</v>
      </c>
      <c r="EE208" s="144">
        <f t="shared" si="564"/>
        <v>1.8269667382672656</v>
      </c>
      <c r="EF208" s="5">
        <f t="shared" si="565"/>
        <v>103.10357105238035</v>
      </c>
      <c r="EH208" s="150">
        <f t="shared" si="566"/>
        <v>15.318737797717464</v>
      </c>
      <c r="EI208" s="150">
        <f t="shared" si="567"/>
        <v>0.786524905082021</v>
      </c>
      <c r="EK208" s="456">
        <f t="shared" si="568"/>
        <v>0.79785667423174012</v>
      </c>
      <c r="EL208" s="456">
        <f t="shared" si="569"/>
        <v>1.5567839999999997</v>
      </c>
      <c r="EM208" s="456">
        <f t="shared" si="570"/>
        <v>1.7585298943467425E-2</v>
      </c>
      <c r="EN208" s="456">
        <f t="shared" si="571"/>
        <v>1.6173960760804316E-2</v>
      </c>
      <c r="EO208">
        <f t="shared" si="572"/>
        <v>4.0499999999999998E-3</v>
      </c>
      <c r="EP208" s="144">
        <f t="shared" si="573"/>
        <v>21.635298943467426</v>
      </c>
      <c r="EQ208" s="144"/>
      <c r="ER208" s="144">
        <f t="shared" si="593"/>
        <v>2392.4499339360113</v>
      </c>
      <c r="ES208" s="456">
        <f t="shared" si="574"/>
        <v>1.2250000000000001</v>
      </c>
      <c r="EV208" s="144">
        <f t="shared" si="494"/>
        <v>1225</v>
      </c>
      <c r="EW208" s="456">
        <f t="shared" si="575"/>
        <v>0.35199559157282656</v>
      </c>
      <c r="EX208" s="456">
        <f t="shared" si="576"/>
        <v>0.12372428526285645</v>
      </c>
      <c r="EY208" s="456">
        <f t="shared" si="577"/>
        <v>23.045838725832766</v>
      </c>
      <c r="EZ208" s="456"/>
      <c r="FA208" s="456">
        <f t="shared" si="578"/>
        <v>0.11106666666666665</v>
      </c>
      <c r="FB208" s="144">
        <f t="shared" si="579"/>
        <v>23632.625269335116</v>
      </c>
      <c r="FC208" s="150">
        <f t="shared" si="580"/>
        <v>27.250075203271127</v>
      </c>
      <c r="FD208" s="5">
        <f t="shared" si="581"/>
        <v>83.3</v>
      </c>
      <c r="FE208" s="150">
        <f t="shared" si="582"/>
        <v>0.75350468868369613</v>
      </c>
      <c r="FF208" s="5">
        <f t="shared" si="583"/>
        <v>75.350468868369617</v>
      </c>
      <c r="FI208" s="59">
        <f t="shared" si="584"/>
        <v>-50</v>
      </c>
      <c r="FJ208">
        <f t="shared" si="585"/>
        <v>-50</v>
      </c>
      <c r="FL208">
        <f t="shared" si="586"/>
        <v>0.51325919589392643</v>
      </c>
    </row>
    <row r="209" spans="5:168">
      <c r="E209" s="147">
        <v>99</v>
      </c>
      <c r="F209" s="188">
        <f>IF(PLOT_TYPE=1, E209/100*Iout_max, min_I*EXP(N209*rr/100))</f>
        <v>0.495</v>
      </c>
      <c r="G209" s="188"/>
      <c r="H209" s="188">
        <f>F209*Vout</f>
        <v>84.15</v>
      </c>
      <c r="I209" s="465">
        <f t="shared" si="496"/>
        <v>8.9047812333476646</v>
      </c>
      <c r="J209" s="149">
        <f t="shared" si="497"/>
        <v>8.5447162006788098</v>
      </c>
      <c r="K209" s="149">
        <f t="shared" si="498"/>
        <v>17.449497434026476</v>
      </c>
      <c r="L209" s="379"/>
      <c r="M209" s="188">
        <f t="shared" si="499"/>
        <v>0.48968054897591468</v>
      </c>
      <c r="N209" s="149">
        <f>M209*I209*(Isw_max+VIN_min/Lmag*ILIM_delay)*0.5*Efficiency</f>
        <v>145.7423835965273</v>
      </c>
      <c r="O209" s="149">
        <f t="shared" si="599"/>
        <v>84.15</v>
      </c>
      <c r="P209" s="188">
        <f>N209/Vout</f>
        <v>0.85730813880310175</v>
      </c>
      <c r="Q209" s="188">
        <f t="shared" si="502"/>
        <v>170</v>
      </c>
      <c r="R209" s="188"/>
      <c r="S209" s="149">
        <f t="shared" si="503"/>
        <v>421.84797940473067</v>
      </c>
      <c r="T209" s="149">
        <f>MIN(Vout, S209)</f>
        <v>170</v>
      </c>
      <c r="U209" s="188">
        <f t="shared" si="505"/>
        <v>38.799226563412937</v>
      </c>
      <c r="V209" s="188">
        <f>L*U209/I209*1000000</f>
        <v>6.5356844059424617</v>
      </c>
      <c r="W209" s="188">
        <f t="shared" si="507"/>
        <v>6.8110910272825649</v>
      </c>
      <c r="X209" s="172">
        <f t="shared" si="508"/>
        <v>218.02584503010786</v>
      </c>
      <c r="Y209" s="379">
        <f t="shared" si="509"/>
        <v>73.818304948599419</v>
      </c>
      <c r="AA209" s="188">
        <f t="shared" si="510"/>
        <v>13.333333333333334</v>
      </c>
      <c r="AB209" s="150">
        <f>L*AA209/J209*1000000</f>
        <v>2.3406277669480891</v>
      </c>
      <c r="AC209" s="150">
        <f>0.5*AB209*AA209*Nps*X209/1000</f>
        <v>0.17010578226326384</v>
      </c>
      <c r="AD209" s="150"/>
      <c r="AE209" s="150">
        <f t="shared" si="513"/>
        <v>2.3406277669480891</v>
      </c>
      <c r="AF209" s="314">
        <f>MAX(12000,F209/(0.5*AE209/1000000*Isw_min*Nps))/1000</f>
        <v>634.44517790040152</v>
      </c>
      <c r="AG209" s="456">
        <f t="shared" si="515"/>
        <v>0.17010578226326384</v>
      </c>
      <c r="AI209" s="150">
        <f t="shared" si="516"/>
        <v>17.951542221767088</v>
      </c>
      <c r="AJ209" s="150">
        <f>MAX(IF(F209&gt;AC209,U209,AI209),Isw_min)</f>
        <v>38.799226563412937</v>
      </c>
      <c r="AK209" s="150">
        <f>IF(F209&gt;AG209, (AJ209-Isw_min)/1.08*0.8+1.2, AF209*0.2/350+1)</f>
        <v>20.063624614873778</v>
      </c>
      <c r="AM209" s="314">
        <f t="shared" si="519"/>
        <v>495</v>
      </c>
      <c r="AN209" s="144">
        <f t="shared" si="520"/>
        <v>73.818304948599419</v>
      </c>
      <c r="AP209">
        <f t="shared" si="521"/>
        <v>495</v>
      </c>
      <c r="AQ209">
        <f t="shared" si="522"/>
        <v>73.818304948599419</v>
      </c>
      <c r="AS209" s="5">
        <f t="shared" si="600"/>
        <v>13.546775433225026</v>
      </c>
      <c r="AT209" s="5">
        <f t="shared" si="523"/>
        <v>6.5356844059424617</v>
      </c>
      <c r="AU209" s="5">
        <f t="shared" si="478"/>
        <v>7.0110910272825642</v>
      </c>
      <c r="AV209" s="5"/>
      <c r="AW209" s="150">
        <f t="shared" si="479"/>
        <v>0.48245314452566651</v>
      </c>
      <c r="AX209" s="150">
        <f t="shared" si="596"/>
        <v>83.343448926613021</v>
      </c>
      <c r="AY209" s="150">
        <f t="shared" si="597"/>
        <v>0.50201044256826488</v>
      </c>
      <c r="AZ209" s="150">
        <f t="shared" si="601"/>
        <v>166.01935310395407</v>
      </c>
      <c r="BA209" s="144">
        <f t="shared" si="594"/>
        <v>1.9030375182008932</v>
      </c>
      <c r="BB209" s="5">
        <f t="shared" si="595"/>
        <v>110.42444399352364</v>
      </c>
      <c r="BD209" s="150">
        <f t="shared" si="602"/>
        <v>15.559298463007426</v>
      </c>
      <c r="BE209" s="150">
        <f t="shared" si="598"/>
        <v>0.80576292829436524</v>
      </c>
      <c r="BG209" s="456">
        <f t="shared" si="480"/>
        <v>0.82311201344721385</v>
      </c>
      <c r="BH209" s="456">
        <f t="shared" si="524"/>
        <v>1.1969488114983424</v>
      </c>
      <c r="BI209" s="456">
        <f t="shared" si="525"/>
        <v>3.01059822315391E-2</v>
      </c>
      <c r="BJ209" s="456">
        <f t="shared" si="481"/>
        <v>1.5396446121637096E-2</v>
      </c>
      <c r="BK209">
        <f t="shared" si="482"/>
        <v>4.0071515550064492E-3</v>
      </c>
      <c r="BL209" s="144">
        <f t="shared" si="588"/>
        <v>34.113133786545546</v>
      </c>
      <c r="BM209" s="456">
        <f t="shared" si="526"/>
        <v>2.8065853888075347</v>
      </c>
      <c r="BN209" s="144">
        <f t="shared" si="527"/>
        <v>2806.5853888075349</v>
      </c>
      <c r="BO209" s="456">
        <f t="shared" si="483"/>
        <v>1.2375</v>
      </c>
      <c r="BR209" s="144">
        <f t="shared" si="484"/>
        <v>1237.5</v>
      </c>
      <c r="BS209" s="456">
        <f t="shared" si="485"/>
        <v>0.36313765299141793</v>
      </c>
      <c r="BT209" s="456">
        <f t="shared" si="486"/>
        <v>0.12985077932270209</v>
      </c>
      <c r="BU209" s="456">
        <f t="shared" si="487"/>
        <v>21.950167888889549</v>
      </c>
      <c r="BV209" s="456"/>
      <c r="BW209" s="456">
        <f t="shared" si="488"/>
        <v>0.11112459856881739</v>
      </c>
      <c r="BX209" s="144">
        <f t="shared" si="489"/>
        <v>22554.280919772489</v>
      </c>
      <c r="BY209" s="150">
        <f t="shared" si="490"/>
        <v>25.861351324626224</v>
      </c>
      <c r="BZ209" s="5">
        <f t="shared" si="491"/>
        <v>84.15</v>
      </c>
      <c r="CA209" s="150">
        <f t="shared" si="492"/>
        <v>0.76492106484254119</v>
      </c>
      <c r="CB209" s="5">
        <f t="shared" si="493"/>
        <v>76.492106484254123</v>
      </c>
      <c r="CE209" s="59">
        <f t="shared" si="528"/>
        <v>-50</v>
      </c>
      <c r="CF209">
        <f t="shared" si="529"/>
        <v>-50</v>
      </c>
      <c r="CG209" s="150">
        <f t="shared" si="530"/>
        <v>0.50945839465785436</v>
      </c>
      <c r="CI209" s="147">
        <v>99</v>
      </c>
      <c r="CJ209" s="188">
        <f t="shared" si="589"/>
        <v>0.495</v>
      </c>
      <c r="CK209" s="188"/>
      <c r="CL209" s="188">
        <f t="shared" si="531"/>
        <v>84.15</v>
      </c>
      <c r="CM209" s="465">
        <f t="shared" si="532"/>
        <v>9</v>
      </c>
      <c r="CN209" s="379">
        <f t="shared" si="533"/>
        <v>8.5350000000000001</v>
      </c>
      <c r="CO209" s="379">
        <f t="shared" si="534"/>
        <v>17.535</v>
      </c>
      <c r="CP209" s="379"/>
      <c r="CQ209" s="188">
        <f t="shared" si="535"/>
        <v>0.48674080410607357</v>
      </c>
      <c r="CR209" s="149">
        <f t="shared" si="590"/>
        <v>146.41650128314802</v>
      </c>
      <c r="CS209" s="149">
        <f t="shared" si="536"/>
        <v>84.15</v>
      </c>
      <c r="CT209" s="188">
        <f t="shared" si="537"/>
        <v>0.86127353695969422</v>
      </c>
      <c r="CU209" s="188">
        <f t="shared" si="538"/>
        <v>170</v>
      </c>
      <c r="CV209" s="188"/>
      <c r="CW209" s="149">
        <f t="shared" si="539"/>
        <v>426.35564957571995</v>
      </c>
      <c r="CX209" s="149">
        <f t="shared" si="540"/>
        <v>170</v>
      </c>
      <c r="CY209" s="188">
        <f t="shared" si="541"/>
        <v>38.418804920913885</v>
      </c>
      <c r="CZ209" s="188">
        <f t="shared" si="542"/>
        <v>6.4031341534856479</v>
      </c>
      <c r="DA209" s="188">
        <f t="shared" si="543"/>
        <v>6.7519868050815264</v>
      </c>
      <c r="DB209" s="172">
        <f t="shared" si="544"/>
        <v>219.03336184773312</v>
      </c>
      <c r="DC209" s="379">
        <f t="shared" si="545"/>
        <v>76.016024721441838</v>
      </c>
      <c r="DE209" s="188">
        <f t="shared" si="546"/>
        <v>13.333333333333334</v>
      </c>
      <c r="DF209" s="150">
        <f t="shared" si="547"/>
        <v>2.3432923257176337</v>
      </c>
      <c r="DG209" s="150">
        <f t="shared" si="548"/>
        <v>0.17108639863130889</v>
      </c>
      <c r="DH209" s="150"/>
      <c r="DI209" s="150">
        <f t="shared" si="549"/>
        <v>2.3432923257176337</v>
      </c>
      <c r="DJ209" s="314">
        <f t="shared" si="550"/>
        <v>633.72374999999977</v>
      </c>
      <c r="DK209" s="456">
        <f t="shared" si="551"/>
        <v>0.17108639863130887</v>
      </c>
      <c r="DM209" s="150">
        <f t="shared" si="552"/>
        <v>17.941332965290748</v>
      </c>
      <c r="DN209" s="150">
        <f t="shared" si="553"/>
        <v>38.418804920913885</v>
      </c>
      <c r="DO209" s="150">
        <f t="shared" si="554"/>
        <v>19.781830805615222</v>
      </c>
      <c r="DQ209" s="314">
        <f t="shared" si="555"/>
        <v>495</v>
      </c>
      <c r="DR209" s="144">
        <f t="shared" si="556"/>
        <v>76.016024721441838</v>
      </c>
      <c r="DT209">
        <f t="shared" si="591"/>
        <v>495</v>
      </c>
      <c r="DU209">
        <f t="shared" si="592"/>
        <v>76.016024721441838</v>
      </c>
      <c r="DW209" s="5">
        <f t="shared" si="557"/>
        <v>13.155120958567174</v>
      </c>
      <c r="DX209" s="5">
        <f t="shared" si="558"/>
        <v>6.4031341534856479</v>
      </c>
      <c r="DY209" s="5">
        <f t="shared" si="559"/>
        <v>6.7519868050815264</v>
      </c>
      <c r="DZ209" s="5"/>
      <c r="EA209" s="150">
        <f t="shared" si="560"/>
        <v>0.48674080410607357</v>
      </c>
      <c r="EB209" s="150">
        <f t="shared" si="561"/>
        <v>84.15</v>
      </c>
      <c r="EC209" s="150">
        <f t="shared" si="562"/>
        <v>0.49297012302284715</v>
      </c>
      <c r="ED209" s="150">
        <f t="shared" si="563"/>
        <v>170.7</v>
      </c>
      <c r="EE209" s="144">
        <f t="shared" si="564"/>
        <v>1.8644420035149387</v>
      </c>
      <c r="EF209" s="5">
        <f t="shared" si="565"/>
        <v>105.21846104585379</v>
      </c>
      <c r="EH209" s="150">
        <f t="shared" si="566"/>
        <v>15.475051448714581</v>
      </c>
      <c r="EI209" s="150">
        <f t="shared" si="567"/>
        <v>0.79455066941959263</v>
      </c>
      <c r="EK209" s="456">
        <f t="shared" si="568"/>
        <v>0.81422253895723495</v>
      </c>
      <c r="EL209" s="456">
        <f t="shared" si="569"/>
        <v>1.5567839999999997</v>
      </c>
      <c r="EM209" s="456">
        <f t="shared" si="570"/>
        <v>1.7407669661210181E-2</v>
      </c>
      <c r="EN209" s="456">
        <f t="shared" si="571"/>
        <v>1.6010587419786098E-2</v>
      </c>
      <c r="EO209">
        <f t="shared" si="572"/>
        <v>4.0499999999999998E-3</v>
      </c>
      <c r="EP209" s="144">
        <f t="shared" si="573"/>
        <v>21.457669661210183</v>
      </c>
      <c r="EQ209" s="144"/>
      <c r="ER209" s="144">
        <f t="shared" si="593"/>
        <v>2408.474796038231</v>
      </c>
      <c r="ES209" s="456">
        <f t="shared" si="574"/>
        <v>1.2375</v>
      </c>
      <c r="EV209" s="144">
        <f t="shared" si="494"/>
        <v>1237.5</v>
      </c>
      <c r="EW209" s="456">
        <f t="shared" si="575"/>
        <v>0.35921582601054486</v>
      </c>
      <c r="EX209" s="456">
        <f t="shared" si="576"/>
        <v>0.12626215325502455</v>
      </c>
      <c r="EY209" s="456">
        <f t="shared" si="577"/>
        <v>23.045838725832727</v>
      </c>
      <c r="EZ209" s="456"/>
      <c r="FA209" s="456">
        <f t="shared" si="578"/>
        <v>0.11220000000000001</v>
      </c>
      <c r="FB209" s="144">
        <f t="shared" si="579"/>
        <v>23643.516705098296</v>
      </c>
      <c r="FC209" s="150">
        <f t="shared" si="580"/>
        <v>27.289491501136528</v>
      </c>
      <c r="FD209" s="5">
        <f t="shared" si="581"/>
        <v>84.15</v>
      </c>
      <c r="FE209" s="150">
        <f t="shared" si="582"/>
        <v>0.7551183056066062</v>
      </c>
      <c r="FF209" s="5">
        <f t="shared" si="583"/>
        <v>75.511830560660627</v>
      </c>
      <c r="FI209" s="59">
        <f t="shared" si="584"/>
        <v>-50</v>
      </c>
      <c r="FJ209">
        <f t="shared" si="585"/>
        <v>-50</v>
      </c>
      <c r="FL209">
        <f t="shared" si="586"/>
        <v>0.51325919589392643</v>
      </c>
    </row>
    <row r="210" spans="5:168">
      <c r="E210" s="147">
        <v>100</v>
      </c>
      <c r="F210" s="188">
        <f>IF(PLOT_TYPE=1, E210/100*Iout_max, min_I*EXP(N210*rr/100))</f>
        <v>0.5</v>
      </c>
      <c r="G210" s="188"/>
      <c r="H210" s="188">
        <f>F210*Vout</f>
        <v>85</v>
      </c>
      <c r="I210" s="465">
        <f t="shared" si="496"/>
        <v>8.9038266026154531</v>
      </c>
      <c r="J210" s="149">
        <f t="shared" si="497"/>
        <v>8.5448136119780145</v>
      </c>
      <c r="K210" s="149">
        <f t="shared" si="498"/>
        <v>17.448640214593468</v>
      </c>
      <c r="L210" s="379"/>
      <c r="M210" s="188">
        <f>(Vout+Vfwd1+F210/FL210*Rdcr_sec)*Nps/((Vout+Vfwd1+F210/FL210*Rdcr_sec)*Nps+I210)</f>
        <v>0.48971018909955633</v>
      </c>
      <c r="N210" s="149">
        <f>M210*I210*(Isw_max+VIN_min/Lmag*ILIM_delay)*0.5*Efficiency</f>
        <v>145.73558015738402</v>
      </c>
      <c r="O210" s="149">
        <f t="shared" si="599"/>
        <v>85</v>
      </c>
      <c r="P210" s="188">
        <f>N210/Vout</f>
        <v>0.85726811857284724</v>
      </c>
      <c r="Q210" s="188">
        <f t="shared" si="502"/>
        <v>170</v>
      </c>
      <c r="R210" s="188"/>
      <c r="S210" s="149">
        <f t="shared" si="503"/>
        <v>415.81118837170152</v>
      </c>
      <c r="T210" s="149">
        <f>MIN(Vout, S210)</f>
        <v>170</v>
      </c>
      <c r="U210" s="188">
        <f>MIN(2*(Vout+Vfwd1+F210/FL210*Rdcr_sec)*F210/(I210*M210), Isw_max)</f>
        <v>39.193414355478787</v>
      </c>
      <c r="V210" s="188">
        <f>L*U210/I210*1000000</f>
        <v>6.6027927268876603</v>
      </c>
      <c r="W210" s="188">
        <f t="shared" si="507"/>
        <v>6.8802111085029303</v>
      </c>
      <c r="X210" s="172">
        <f t="shared" si="508"/>
        <v>218.01566717241491</v>
      </c>
      <c r="Y210" s="379">
        <f>MIN(1/(V210+W210+0.2)*1000, 350)</f>
        <v>73.083367660362455</v>
      </c>
      <c r="AA210" s="188">
        <f t="shared" si="510"/>
        <v>13.333333333333332</v>
      </c>
      <c r="AB210" s="150">
        <f>L*AA210/J210*1000000</f>
        <v>2.3406010836753941</v>
      </c>
      <c r="AC210" s="150">
        <f>0.5*AB210*AA210*Nps*X210/1000</f>
        <v>0.17009590228065613</v>
      </c>
      <c r="AD210" s="150"/>
      <c r="AE210" s="150">
        <f t="shared" si="513"/>
        <v>2.3406010836753941</v>
      </c>
      <c r="AF210" s="314">
        <f>MAX(12000,F210/(0.5*AE210/1000000*Isw_min*Nps))/1000</f>
        <v>640.86102089835106</v>
      </c>
      <c r="AG210" s="456">
        <f t="shared" si="515"/>
        <v>0.17009590228065613</v>
      </c>
      <c r="AI210" s="150">
        <f t="shared" si="516"/>
        <v>18.042081615704266</v>
      </c>
      <c r="AJ210" s="150">
        <f>MAX(IF(F210&gt;AC210,U210,AI210),Isw_min)</f>
        <v>39.193414355478787</v>
      </c>
      <c r="AK210" s="150">
        <f>IF(F210&gt;AG210, (AJ210-Isw_min)/1.08*0.8+1.2, AF210*0.2/350+1)</f>
        <v>20.355615571959593</v>
      </c>
      <c r="AM210" s="314">
        <f t="shared" si="519"/>
        <v>500</v>
      </c>
      <c r="AN210" s="144">
        <f t="shared" si="520"/>
        <v>73.083367660362455</v>
      </c>
      <c r="AP210">
        <f t="shared" si="521"/>
        <v>500</v>
      </c>
      <c r="AQ210">
        <f t="shared" si="522"/>
        <v>73.083367660362455</v>
      </c>
      <c r="AS210" s="5">
        <f t="shared" si="600"/>
        <v>13.68300383539059</v>
      </c>
      <c r="AT210" s="5">
        <f t="shared" si="523"/>
        <v>6.6027927268876603</v>
      </c>
      <c r="AU210" s="5">
        <f t="shared" si="478"/>
        <v>7.0802111085029296</v>
      </c>
      <c r="AV210" s="5"/>
      <c r="AW210" s="150">
        <f t="shared" si="479"/>
        <v>0.48255432844429802</v>
      </c>
      <c r="AX210" s="150">
        <f t="shared" si="596"/>
        <v>84.198821434979223</v>
      </c>
      <c r="AY210" s="150">
        <f t="shared" si="597"/>
        <v>0.50701156529329028</v>
      </c>
      <c r="AZ210" s="150">
        <f t="shared" si="601"/>
        <v>166.06883787014374</v>
      </c>
      <c r="BA210" s="144">
        <f t="shared" si="594"/>
        <v>1.9419978608493118</v>
      </c>
      <c r="BB210" s="5">
        <f t="shared" si="595"/>
        <v>112.65155441630903</v>
      </c>
      <c r="BD210" s="150">
        <f t="shared" si="602"/>
        <v>15.719024083127829</v>
      </c>
      <c r="BE210" s="150">
        <f t="shared" si="598"/>
        <v>0.81386965298627134</v>
      </c>
      <c r="BG210" s="456">
        <f t="shared" si="480"/>
        <v>0.8400982416282391</v>
      </c>
      <c r="BH210" s="456">
        <f t="shared" si="524"/>
        <v>1.1970126931653029</v>
      </c>
      <c r="BI210" s="456">
        <f t="shared" si="525"/>
        <v>2.9803050799784198E-2</v>
      </c>
      <c r="BJ210" s="456">
        <f t="shared" si="481"/>
        <v>1.524166100994166E-2</v>
      </c>
      <c r="BK210">
        <f t="shared" si="482"/>
        <v>4.0067219711769535E-3</v>
      </c>
      <c r="BL210" s="144">
        <f t="shared" si="588"/>
        <v>33.809772770961153</v>
      </c>
      <c r="BM210" s="456">
        <f t="shared" si="526"/>
        <v>2.8475762475617001</v>
      </c>
      <c r="BN210" s="144">
        <f t="shared" si="527"/>
        <v>2847.5762475617003</v>
      </c>
      <c r="BO210" s="456">
        <f t="shared" si="483"/>
        <v>1.25</v>
      </c>
      <c r="BR210" s="144">
        <f t="shared" si="484"/>
        <v>1250</v>
      </c>
      <c r="BS210" s="456">
        <f t="shared" si="485"/>
        <v>0.37063157718892903</v>
      </c>
      <c r="BT210" s="456">
        <f t="shared" si="486"/>
        <v>0.13247676241039874</v>
      </c>
      <c r="BU210" s="456">
        <f t="shared" si="487"/>
        <v>21.955793117584196</v>
      </c>
      <c r="BV210" s="456"/>
      <c r="BW210" s="456">
        <f t="shared" si="488"/>
        <v>0.11226509524663895</v>
      </c>
      <c r="BX210" s="144">
        <f t="shared" si="489"/>
        <v>22571.166552430164</v>
      </c>
      <c r="BY210" s="150">
        <f t="shared" si="490"/>
        <v>25.907328921004606</v>
      </c>
      <c r="BZ210" s="5">
        <f t="shared" si="491"/>
        <v>85</v>
      </c>
      <c r="CA210" s="150">
        <f t="shared" si="492"/>
        <v>0.766405618338735</v>
      </c>
      <c r="CB210" s="5">
        <f t="shared" si="493"/>
        <v>76.640561833873505</v>
      </c>
      <c r="CE210" s="59">
        <f t="shared" si="528"/>
        <v>-50</v>
      </c>
      <c r="CF210">
        <f t="shared" si="529"/>
        <v>-50</v>
      </c>
      <c r="CG210" s="150">
        <f t="shared" si="530"/>
        <v>0.50949640267021501</v>
      </c>
      <c r="CI210" s="147">
        <v>100</v>
      </c>
      <c r="CJ210" s="188">
        <f t="shared" si="589"/>
        <v>0.5</v>
      </c>
      <c r="CK210" s="188"/>
      <c r="CL210" s="188">
        <f t="shared" si="531"/>
        <v>85</v>
      </c>
      <c r="CM210" s="465">
        <f t="shared" si="532"/>
        <v>9</v>
      </c>
      <c r="CN210" s="379">
        <f t="shared" si="533"/>
        <v>8.5350000000000001</v>
      </c>
      <c r="CO210" s="379">
        <f t="shared" si="534"/>
        <v>17.535</v>
      </c>
      <c r="CP210" s="379"/>
      <c r="CQ210" s="188">
        <f t="shared" si="535"/>
        <v>0.48674080410607357</v>
      </c>
      <c r="CR210" s="149">
        <f t="shared" si="590"/>
        <v>146.41650128314802</v>
      </c>
      <c r="CS210" s="149">
        <f t="shared" si="536"/>
        <v>85</v>
      </c>
      <c r="CT210" s="188">
        <f t="shared" si="537"/>
        <v>0.86127353695969422</v>
      </c>
      <c r="CU210" s="188">
        <f t="shared" si="538"/>
        <v>170</v>
      </c>
      <c r="CV210" s="188"/>
      <c r="CW210" s="149">
        <f t="shared" si="539"/>
        <v>420.29928791714451</v>
      </c>
      <c r="CX210" s="149">
        <f t="shared" si="540"/>
        <v>170</v>
      </c>
      <c r="CY210" s="188">
        <f t="shared" si="541"/>
        <v>38.806873657488772</v>
      </c>
      <c r="CZ210" s="188">
        <f t="shared" si="542"/>
        <v>6.4678122762481296</v>
      </c>
      <c r="DA210" s="188">
        <f t="shared" si="543"/>
        <v>6.8201886920015422</v>
      </c>
      <c r="DB210" s="172">
        <f t="shared" si="544"/>
        <v>219.03336184773312</v>
      </c>
      <c r="DC210" s="379">
        <f t="shared" si="545"/>
        <v>75.255864474227408</v>
      </c>
      <c r="DE210" s="188">
        <f t="shared" si="546"/>
        <v>13.333333333333334</v>
      </c>
      <c r="DF210" s="150">
        <f t="shared" si="547"/>
        <v>2.3432923257176337</v>
      </c>
      <c r="DG210" s="150">
        <f t="shared" si="548"/>
        <v>0.17108639863130889</v>
      </c>
      <c r="DH210" s="150"/>
      <c r="DI210" s="150">
        <f t="shared" si="549"/>
        <v>2.3432923257176337</v>
      </c>
      <c r="DJ210" s="314">
        <f t="shared" si="550"/>
        <v>640.12499999999977</v>
      </c>
      <c r="DK210" s="456">
        <f t="shared" si="551"/>
        <v>0.17108639863130887</v>
      </c>
      <c r="DM210" s="150">
        <f t="shared" si="552"/>
        <v>18.031718086273894</v>
      </c>
      <c r="DN210" s="150">
        <f t="shared" si="553"/>
        <v>38.806873657488772</v>
      </c>
      <c r="DO210" s="150">
        <f t="shared" si="554"/>
        <v>20.069289129004027</v>
      </c>
      <c r="DQ210" s="314">
        <f t="shared" si="555"/>
        <v>500</v>
      </c>
      <c r="DR210" s="144">
        <f t="shared" si="556"/>
        <v>75.255864474227408</v>
      </c>
      <c r="DT210">
        <f>IF(CL210&gt;CR210, " ",DQ210)</f>
        <v>500</v>
      </c>
      <c r="DU210">
        <f>IF(CL210&gt;CR210, " ",DR210)</f>
        <v>75.255864474227408</v>
      </c>
      <c r="DW210" s="5">
        <f t="shared" si="557"/>
        <v>13.288000968249673</v>
      </c>
      <c r="DX210" s="5">
        <f t="shared" si="558"/>
        <v>6.4678122762481296</v>
      </c>
      <c r="DY210" s="5">
        <f t="shared" si="559"/>
        <v>6.8201886920015431</v>
      </c>
      <c r="DZ210" s="5"/>
      <c r="EA210" s="150">
        <f t="shared" si="560"/>
        <v>0.48674080410607357</v>
      </c>
      <c r="EB210" s="150">
        <f t="shared" si="561"/>
        <v>84.999999999999972</v>
      </c>
      <c r="EC210" s="150">
        <f t="shared" si="562"/>
        <v>0.49794961921499709</v>
      </c>
      <c r="ED210" s="150">
        <f t="shared" si="563"/>
        <v>170.69999999999993</v>
      </c>
      <c r="EE210" s="144">
        <f t="shared" si="564"/>
        <v>1.9022977283082734</v>
      </c>
      <c r="EF210" s="5">
        <f t="shared" si="565"/>
        <v>107.35482200372799</v>
      </c>
      <c r="EH210" s="150">
        <f t="shared" si="566"/>
        <v>15.631365099711697</v>
      </c>
      <c r="EI210" s="150">
        <f t="shared" si="567"/>
        <v>0.80257643375716425</v>
      </c>
      <c r="EK210" s="456">
        <f t="shared" si="568"/>
        <v>0.83075455459364855</v>
      </c>
      <c r="EL210" s="456">
        <f t="shared" si="569"/>
        <v>1.5567839999999997</v>
      </c>
      <c r="EM210" s="456">
        <f t="shared" si="570"/>
        <v>1.7233592964598077E-2</v>
      </c>
      <c r="EN210" s="456">
        <f t="shared" si="571"/>
        <v>1.585048154558823E-2</v>
      </c>
      <c r="EO210">
        <f t="shared" si="572"/>
        <v>4.0499999999999998E-3</v>
      </c>
      <c r="EP210" s="144">
        <f t="shared" si="573"/>
        <v>21.283592964598078</v>
      </c>
      <c r="EQ210" s="144"/>
      <c r="ER210" s="144">
        <f t="shared" si="593"/>
        <v>2424.6726291038344</v>
      </c>
      <c r="ES210" s="456">
        <f t="shared" si="574"/>
        <v>1.25</v>
      </c>
      <c r="EV210" s="144">
        <f t="shared" si="494"/>
        <v>1250</v>
      </c>
      <c r="EW210" s="456">
        <f t="shared" si="575"/>
        <v>0.36650936232072734</v>
      </c>
      <c r="EX210" s="456">
        <f t="shared" si="576"/>
        <v>0.12882578640447359</v>
      </c>
      <c r="EY210" s="456">
        <f t="shared" si="577"/>
        <v>23.045838725832724</v>
      </c>
      <c r="EZ210" s="456"/>
      <c r="FA210" s="456">
        <f t="shared" si="578"/>
        <v>0.11333333333333333</v>
      </c>
      <c r="FB210" s="144">
        <f t="shared" si="579"/>
        <v>23654.507207891256</v>
      </c>
      <c r="FC210" s="150">
        <f t="shared" si="580"/>
        <v>27.329179836995092</v>
      </c>
      <c r="FD210" s="5">
        <f t="shared" si="581"/>
        <v>85</v>
      </c>
      <c r="FE210" s="150">
        <f t="shared" si="582"/>
        <v>0.75670453682067784</v>
      </c>
      <c r="FF210" s="5">
        <f t="shared" si="583"/>
        <v>75.670453682067787</v>
      </c>
      <c r="FI210" s="59">
        <f t="shared" si="584"/>
        <v>-50</v>
      </c>
      <c r="FJ210">
        <f t="shared" si="585"/>
        <v>-50</v>
      </c>
      <c r="FL210">
        <f t="shared" si="586"/>
        <v>0.51325919589392643</v>
      </c>
    </row>
    <row r="211" spans="5:168">
      <c r="E211" s="147"/>
      <c r="F211" s="188"/>
      <c r="G211" s="188"/>
      <c r="H211" s="188"/>
      <c r="I211" s="465"/>
      <c r="J211" s="379"/>
      <c r="K211" s="379"/>
      <c r="L211" s="379"/>
      <c r="M211" s="188"/>
      <c r="N211" s="149"/>
      <c r="O211" s="149"/>
      <c r="P211" s="188"/>
      <c r="Q211" s="188"/>
      <c r="R211" s="188"/>
      <c r="S211" s="149"/>
      <c r="T211" s="149"/>
      <c r="U211" s="188"/>
      <c r="V211" s="188"/>
      <c r="W211" s="188"/>
      <c r="X211" s="172"/>
      <c r="Y211" s="379"/>
      <c r="AA211" s="188"/>
      <c r="AB211" s="150"/>
      <c r="AC211" s="150"/>
      <c r="AD211" s="150"/>
      <c r="AE211" s="150"/>
      <c r="AF211" s="314"/>
      <c r="AG211" s="456"/>
      <c r="AI211" s="150"/>
      <c r="AJ211" s="150"/>
      <c r="AK211" s="150"/>
      <c r="AM211" s="314"/>
      <c r="AN211" s="144"/>
      <c r="AS211" s="5"/>
      <c r="AT211" s="5"/>
      <c r="AU211" s="5"/>
      <c r="AV211" s="5"/>
      <c r="AW211" s="150"/>
      <c r="AX211" s="150"/>
      <c r="BA211" s="144"/>
      <c r="BB211" s="5"/>
      <c r="CE211" s="59"/>
      <c r="CF211" s="458">
        <f>MAX(CF110:CF210)</f>
        <v>-50</v>
      </c>
      <c r="CH211" s="59"/>
      <c r="CI211" s="147"/>
      <c r="CJ211" s="188"/>
      <c r="CK211" s="188"/>
      <c r="CL211" s="188"/>
      <c r="CM211" s="465"/>
      <c r="CN211" s="379"/>
      <c r="CO211" s="379"/>
      <c r="CP211" s="379"/>
      <c r="CQ211" s="188"/>
      <c r="CR211" s="149"/>
      <c r="CS211" s="149"/>
      <c r="CT211" s="188"/>
      <c r="CU211" s="188"/>
      <c r="CV211" s="188"/>
      <c r="CW211" s="149"/>
      <c r="CX211" s="149"/>
      <c r="CY211" s="188"/>
      <c r="CZ211" s="188"/>
      <c r="DA211" s="188"/>
      <c r="DB211" s="172"/>
      <c r="DC211" s="379"/>
      <c r="DE211" s="188"/>
      <c r="DF211" s="150"/>
      <c r="DG211" s="150"/>
      <c r="DH211" s="150"/>
      <c r="DI211" s="150"/>
      <c r="DJ211" s="314"/>
      <c r="DK211" s="456"/>
      <c r="DM211" s="150"/>
      <c r="DN211" s="150"/>
      <c r="DO211" s="150"/>
      <c r="DQ211" s="314"/>
      <c r="DR211" s="144"/>
      <c r="DW211" s="5"/>
      <c r="DX211" s="5"/>
      <c r="DY211" s="5"/>
      <c r="DZ211" s="5"/>
      <c r="EA211" s="150"/>
      <c r="EB211" s="150"/>
      <c r="EE211" s="144"/>
      <c r="EF211" s="5"/>
      <c r="FI211" s="59"/>
    </row>
    <row r="212" spans="5:168">
      <c r="E212" s="147">
        <v>110</v>
      </c>
      <c r="F212" s="188">
        <f>Ioutmax_Vinmin</f>
        <v>0.8612730973686441</v>
      </c>
      <c r="G212" s="188"/>
      <c r="H212" s="188">
        <f>F212*Vout</f>
        <v>146.41642655266949</v>
      </c>
      <c r="I212" s="465">
        <f>VIN_min-F212*(Rdcr_pri+RON/1000)/CG212/Nps</f>
        <v>8.83433688030029</v>
      </c>
      <c r="J212" s="149">
        <f>(T212+Vfwd1+F212/CG212*Rdcr_sec)*Nps</f>
        <v>8.3501726795701412</v>
      </c>
      <c r="K212" s="149">
        <f>(Vout+Vfwd1+F212/CG212*Rdcr_sec)*Nps++I212</f>
        <v>17.386241280269648</v>
      </c>
      <c r="L212" s="379"/>
      <c r="M212" s="188">
        <f>(Vout+Vfwd1+F212/FL212*Rdcr_sec)*Nps/((Vout+Vfwd1+F212/FL212*Rdcr_sec)*Nps+I212)</f>
        <v>0.49187407965371355</v>
      </c>
      <c r="N212" s="149">
        <f>M212*I212*(Isw_max+VIN_min/Lmag*ILIM_delay)*0.5*Efficiency</f>
        <v>145.23712839729689</v>
      </c>
      <c r="O212" s="149">
        <f>T212*F212</f>
        <v>142.94150447935471</v>
      </c>
      <c r="P212" s="188">
        <f>N212/Vout</f>
        <v>0.85433604939586405</v>
      </c>
      <c r="Q212" s="188">
        <f>MIN(Vout,N212/F212)</f>
        <v>168.63075003854689</v>
      </c>
      <c r="R212" s="188"/>
      <c r="S212" s="149">
        <f>(SQRT(Isw_max^2*Nps^2*I212^2+4*Isw_max*F212/Efficiency*(Nps^2*Vfwd1*I212-Nps*I212^2)+4*(F212/Efficiency)^2*Nps^2*Vfwd1^2+8*(F212/Efficiency)^2*Nps*Vfwd1*I212+4*(F212/Efficiency)^2*I212^2)-2*F212/Efficiency*I212-2*F212/Efficiency*Nps*Vfwd1+Isw_max*Nps*I212)/(4*F212/Efficiency*Nps)</f>
        <v>165.96536559201564</v>
      </c>
      <c r="T212" s="149">
        <f>MIN(Vout, S212)</f>
        <v>165.96536559201564</v>
      </c>
      <c r="U212" s="188">
        <f>MIN(2*(Vout+Vfwd1+F212/FL212*Rdcr_sec)*F212/(I212*M212), Isw_max)</f>
        <v>66.666666666666671</v>
      </c>
      <c r="V212" s="188">
        <f>L*U212/I212*1000000</f>
        <v>11.319468722433514</v>
      </c>
      <c r="W212" s="188">
        <f>L*U212/J212*1000000</f>
        <v>11.975800242390665</v>
      </c>
      <c r="X212" s="172">
        <f>IF(1/((350000*L)*(1/I212+1/J212))&gt;Isw_min, 350, 0.001/((Isw_min*L)*(1/I212+1/J212)))</f>
        <v>214.6358562139803</v>
      </c>
      <c r="Y212" s="379">
        <f>MIN(1/(V212+W212+0.2)*1000, 350)</f>
        <v>42.561760050380556</v>
      </c>
      <c r="AA212" s="188">
        <f>1/((X212*1000*L)*(1/I212+1/J212))</f>
        <v>13.333333333333334</v>
      </c>
      <c r="AB212" s="150">
        <f>L*AA212/J212*1000000</f>
        <v>2.3951600484781332</v>
      </c>
      <c r="AC212" s="150">
        <f>0.5*AB212*AA212*Nps*X212/1000</f>
        <v>0.17136240925820759</v>
      </c>
      <c r="AD212" s="150"/>
      <c r="AE212" s="150">
        <f>L*Isw_min/J212*1000000</f>
        <v>2.3951600484781332</v>
      </c>
      <c r="AF212" s="314">
        <f>MAX(12000,F212/(0.5*AE212/1000000*Isw_min*Nps))/1000</f>
        <v>1078.7668630944604</v>
      </c>
      <c r="AG212" s="456">
        <f>0.5*AE212/1000000*Isw_min*Nps*X212*1000</f>
        <v>0.17136240925820762</v>
      </c>
      <c r="AI212" s="150">
        <f>SQRT(F212/(0.5*L/J212*Fsw_DCM*Nps))</f>
        <v>23.408226616252271</v>
      </c>
      <c r="AJ212" s="150">
        <f>MAX(IF(F212&gt;AC212,U212,AI212),Isw_min)</f>
        <v>66.666666666666671</v>
      </c>
      <c r="AK212" s="150">
        <f>IF(F212&gt;AG212, (AJ212-Isw_min)/1.08*0.8+1.2, AF212*0.2/350+1)</f>
        <v>40.706172839506181</v>
      </c>
      <c r="AM212" s="314">
        <f>F212*1000</f>
        <v>861.27309736864413</v>
      </c>
      <c r="AN212" s="144">
        <f>IF(F212&gt;AG212, Y212, AF212)</f>
        <v>42.561760050380556</v>
      </c>
      <c r="AP212" t="str">
        <f>IF(H212&gt;N212, "",AM212)</f>
        <v/>
      </c>
      <c r="AQ212" t="str">
        <f>IF(H212&gt;N212, "",AN212)</f>
        <v/>
      </c>
      <c r="AS212" s="5">
        <f>1/AN212*1000</f>
        <v>23.495268964824181</v>
      </c>
      <c r="AT212" s="5">
        <f>L*AJ212/I212*1000000</f>
        <v>11.319468722433514</v>
      </c>
      <c r="AU212" s="5">
        <f>AS212-AT212</f>
        <v>12.175800242390666</v>
      </c>
      <c r="AV212" s="5"/>
      <c r="AW212" s="150">
        <f>AT212/AS212</f>
        <v>0.48177651166200303</v>
      </c>
      <c r="AX212" s="150">
        <f>0.5*L*AJ212^2*AN212*1000</f>
        <v>141.87253350126855</v>
      </c>
      <c r="AY212" s="150">
        <f>AJ212*Nps/2*(1-AW212)</f>
        <v>0.8637058138966619</v>
      </c>
      <c r="AZ212" s="150">
        <f>AX212/AY212</f>
        <v>164.26025067632912</v>
      </c>
      <c r="BA212" s="144">
        <f>F212*AT212/Vout_ripple*1000</f>
        <v>5.7347964041987067</v>
      </c>
      <c r="BB212" s="5">
        <f>H212/Efficiency/I212*AU212/Vinripple1</f>
        <v>336.32729240932957</v>
      </c>
      <c r="BD212" s="150">
        <f>AJ212*SQRT(AW212/3)</f>
        <v>26.715968637502264</v>
      </c>
      <c r="BE212" s="150">
        <f>AJ212*Nps*SQRT((1-AW212)/3)</f>
        <v>1.3854047253794441</v>
      </c>
      <c r="BG212" s="456">
        <f>Rdson*BD212^2</f>
        <v>2.4267261328160155</v>
      </c>
      <c r="BH212" s="456">
        <f>0.5*K212*AJ212*AN212*1000*Tfall</f>
        <v>1.1815158171796769</v>
      </c>
      <c r="BI212" s="456">
        <f>Qg*Vdd*AN212*1000*0+Qg*I212*AN212*1000</f>
        <v>1.7221025633863438E-2</v>
      </c>
      <c r="BJ212" s="456">
        <f>0.5*(Coss+Csw)*K212^2*AN212*1000</f>
        <v>8.8129550515549868E-3</v>
      </c>
      <c r="BK212">
        <f>I212*IQ</f>
        <v>3.9754515961351305E-3</v>
      </c>
      <c r="BL212" s="144">
        <f>(BK212+BI212)*1000</f>
        <v>21.196477229998568</v>
      </c>
      <c r="BM212" s="456">
        <f>(BH212+BI212*0+BJ212+BK212*0+BG212*(1+RdsonTC*(Ta-25)))/(1-BG212*RdsonTC*ThetaJA)</f>
        <v>10.090154375481211</v>
      </c>
      <c r="BN212" s="144">
        <f>BM212*1000</f>
        <v>10090.15437548121</v>
      </c>
      <c r="BO212" s="456">
        <f>Vfwd2*F212</f>
        <v>2.1531827434216102</v>
      </c>
      <c r="BR212" s="144">
        <f>SUM(BO212:BQ212)*1000</f>
        <v>2153.1827434216102</v>
      </c>
      <c r="BS212" s="456">
        <f>Rdcr_pri*BD212^2</f>
        <v>1.0706144703600069</v>
      </c>
      <c r="BT212" s="456">
        <f>Rdcr_sec*BE212^2</f>
        <v>0.38386925062073862</v>
      </c>
      <c r="BU212" s="456">
        <f>AJ212^2.5*AN212^2.5*k_core</f>
        <v>21.443259638953993</v>
      </c>
      <c r="BV212" s="456"/>
      <c r="BW212" s="456">
        <f>0.5*Lleak*0.000000001*AJ212^2*AN212*1000</f>
        <v>0.18916337800169142</v>
      </c>
      <c r="BX212" s="144">
        <f>SUM(BS212:BW212)*1000</f>
        <v>23086.906737936431</v>
      </c>
      <c r="BY212" s="150">
        <f>SUM(BG212:BK212,BO212:BQ212,BS212:BW212)</f>
        <v>28.878340863635284</v>
      </c>
      <c r="BZ212" s="5">
        <f>MIN(H212,O212)</f>
        <v>142.94150447935471</v>
      </c>
      <c r="CA212" s="150">
        <f>BZ212/(BZ212+BY212)</f>
        <v>0.83192662753253088</v>
      </c>
      <c r="CB212" s="5">
        <f>CA212*100</f>
        <v>83.192662753253089</v>
      </c>
      <c r="CE212" s="59">
        <f>IF(ABS(F212-Ioutmax_Vinmin)&lt;Iout/200, AN212, -50)</f>
        <v>42.561760050380556</v>
      </c>
      <c r="CF212">
        <f>IF(ABS(F212-Ioutmax_Vinmin)&lt;Iout/200, N212*CA212, -50)</f>
        <v>120.82663442007237</v>
      </c>
      <c r="CG212" s="150">
        <f>MIN(SQRT(2*DU212*1000*Ls1_*CL212)/CU212,1-EA212-0.00000005*DU212*1000)</f>
        <v>0.50949640267021501</v>
      </c>
      <c r="CI212" s="147">
        <v>100</v>
      </c>
      <c r="CJ212" s="188">
        <f>IF(PLOT_TYPE=1, CI212/100*Iout_max, min_I*EXP(CR212*rr/100))</f>
        <v>0.5</v>
      </c>
      <c r="CK212" s="188"/>
      <c r="CL212" s="188">
        <f>CJ212*Vout</f>
        <v>85</v>
      </c>
      <c r="CM212" s="465">
        <f t="shared" si="532"/>
        <v>9</v>
      </c>
      <c r="CN212" s="379">
        <f>(CX212+Vfwd1)*Nps</f>
        <v>8.5350000000000001</v>
      </c>
      <c r="CO212" s="379">
        <f>(Vout+Vfwd1)*Nps+CM212</f>
        <v>17.535</v>
      </c>
      <c r="CP212" s="379"/>
      <c r="CQ212" s="188">
        <f>(Vout+Vfwd1)*Nps/((Vout+Vfwd1)*Nps+CM212)</f>
        <v>0.48674080410607357</v>
      </c>
      <c r="CR212" s="149">
        <f>CQ212*CM212*(Isw_max+VIN_min/Lmag*ILIM_delay)*0.5*Efficiency</f>
        <v>146.41650128314802</v>
      </c>
      <c r="CS212" s="149">
        <f>CX212*CJ212</f>
        <v>85</v>
      </c>
      <c r="CT212" s="188">
        <f>CR212/Vout</f>
        <v>0.86127353695969422</v>
      </c>
      <c r="CU212" s="188">
        <f>MIN(Vout,CR212/CJ212)</f>
        <v>170</v>
      </c>
      <c r="CV212" s="188"/>
      <c r="CW212" s="149">
        <f>(SQRT(Isw_max^2*Nps^2*CM212^2+4*Isw_max*CJ212/Efficiency*(Nps^2*Vfwd1*CM212-Nps*CM212^2)+4*(CJ212/Efficiency)^2*Nps^2*Vfwd1^2+8*(CJ212/Efficiency)^2*Nps*Vfwd1*CM212+4*(CJ212/Efficiency)^2*CM212^2)-2*CJ212/Efficiency*CM212-2*CJ212/Efficiency*Nps*Vfwd1+Isw_max*Nps*CM212)/(4*CJ212/Efficiency*Nps)</f>
        <v>420.29928791714451</v>
      </c>
      <c r="CX212" s="149">
        <f>MIN(Vout, CW212)</f>
        <v>170</v>
      </c>
      <c r="CY212" s="188">
        <f>MIN(2*Vout*CJ212/(Efficiency*CM212*CQ212), Isw_max)</f>
        <v>38.806873657488772</v>
      </c>
      <c r="CZ212" s="188">
        <f>L*CY212/CM212*1000000</f>
        <v>6.4678122762481296</v>
      </c>
      <c r="DA212" s="188">
        <f>L*CY212/CN212*1000000</f>
        <v>6.8201886920015422</v>
      </c>
      <c r="DB212" s="172">
        <f>IF(1/((350000*L)*(1/CM212+1/CN212))&gt;Isw_min, 350, 0.001/((Isw_min*L)*(1/CM212+1/CN212)))</f>
        <v>219.03336184773312</v>
      </c>
      <c r="DC212" s="379">
        <f>MIN(1/(CZ212+DA212)*1000, 350)</f>
        <v>75.255864474227408</v>
      </c>
      <c r="DE212" s="188">
        <f>1/((DB212*1000*L)*(1/CM212+1/CN212))</f>
        <v>13.333333333333334</v>
      </c>
      <c r="DF212" s="150">
        <f>L*DE212/CN212*1000000</f>
        <v>2.3432923257176337</v>
      </c>
      <c r="DG212" s="150">
        <f>0.5*DF212*DE212*Nps*DB212/1000</f>
        <v>0.17108639863130889</v>
      </c>
      <c r="DH212" s="150"/>
      <c r="DI212" s="150">
        <f>L*Isw_min/CN212*1000000</f>
        <v>2.3432923257176337</v>
      </c>
      <c r="DJ212" s="314">
        <f>MAX(12000,CJ212/(0.5*DI212/1000000*Isw_min*Nps))/1000</f>
        <v>640.12499999999977</v>
      </c>
      <c r="DK212" s="456">
        <f>0.5*DI212/1000000*Isw_min*Nps*DB212*1000</f>
        <v>0.17108639863130887</v>
      </c>
      <c r="DM212" s="150">
        <f>SQRT(CJ212/(0.5*L/CN212*Fsw_DCM*Nps))</f>
        <v>18.031718086273894</v>
      </c>
      <c r="DN212" s="150">
        <f>MAX(IF(CJ212&gt;DG212,CY212,DM212),Isw_min)</f>
        <v>38.806873657488772</v>
      </c>
      <c r="DO212" s="150">
        <f>IF(CJ212&gt;DK212, (DN212-Isw_min)/1.08*0.8+1.2, DJ212*0.2/350+1)</f>
        <v>20.069289129004027</v>
      </c>
      <c r="DQ212" s="314">
        <f>CJ212*1000</f>
        <v>500</v>
      </c>
      <c r="DR212" s="144">
        <f>IF(CJ212&gt;DK212, DC212, DJ212)</f>
        <v>75.255864474227408</v>
      </c>
      <c r="DT212">
        <f>IF(CL212&gt;CR212, " ",DQ212)</f>
        <v>500</v>
      </c>
      <c r="DU212">
        <f>IF(CL212&gt;CR212, " ",DR212)</f>
        <v>75.255864474227408</v>
      </c>
      <c r="DW212" s="5">
        <f>1/DR212*1000</f>
        <v>13.288000968249673</v>
      </c>
      <c r="DX212" s="5">
        <f>L*DN212/CM212*1000000</f>
        <v>6.4678122762481296</v>
      </c>
      <c r="DY212" s="5">
        <f>DW212-DX212</f>
        <v>6.8201886920015431</v>
      </c>
      <c r="DZ212" s="5"/>
      <c r="EA212" s="150">
        <f>DX212/DW212</f>
        <v>0.48674080410607357</v>
      </c>
      <c r="EB212" s="150">
        <f>0.5*L*DN212^2*DR212*1000</f>
        <v>84.999999999999972</v>
      </c>
      <c r="EC212" s="150">
        <f>DN212*Nps/2*(1-EA212)</f>
        <v>0.49794961921499709</v>
      </c>
      <c r="ED212" s="150">
        <f>EB212/EC212</f>
        <v>170.69999999999993</v>
      </c>
      <c r="EE212" s="144">
        <f>CJ212*DX212/Vout_ripple*1000</f>
        <v>1.9022977283082734</v>
      </c>
      <c r="EF212" s="5">
        <f>CL212/Efficiency/CM212*DY212/Vinripple1</f>
        <v>107.35482200372799</v>
      </c>
      <c r="EH212" s="150">
        <f>DN212*SQRT(EA212/3)</f>
        <v>15.631365099711697</v>
      </c>
      <c r="EI212" s="150">
        <f>DN212*Nps*SQRT((1-EA212)/3)</f>
        <v>0.80257643375716425</v>
      </c>
      <c r="EK212" s="456">
        <f>Rdson*EH212^2</f>
        <v>0.83075455459364855</v>
      </c>
      <c r="EL212" s="456">
        <f>0.5*CO212*DN212*DR212*1000*Trise</f>
        <v>1.5567839999999997</v>
      </c>
      <c r="EM212" s="456">
        <f>Qg*Vdd*DR212*1000</f>
        <v>1.7233592964598077E-2</v>
      </c>
      <c r="EN212" s="456">
        <f>0.5*(Coss+Csw)*CO212^2*DR212*1000</f>
        <v>1.585048154558823E-2</v>
      </c>
      <c r="EO212">
        <f>CM212*IQ</f>
        <v>4.0499999999999998E-3</v>
      </c>
      <c r="EP212" s="144">
        <f>(EO212+EM212)*1000</f>
        <v>21.283592964598078</v>
      </c>
      <c r="EQ212" s="144"/>
      <c r="ER212" s="144">
        <f>SUM(EK212:EO212)*1000</f>
        <v>2424.6726291038344</v>
      </c>
      <c r="ES212" s="456">
        <f>Vfwd2*CJ212</f>
        <v>1.25</v>
      </c>
      <c r="EV212" s="144">
        <f>SUM(ES212:EU212)*1000</f>
        <v>1250</v>
      </c>
      <c r="EW212" s="456">
        <f>Rdcr_pri*EH212^2</f>
        <v>0.36650936232072734</v>
      </c>
      <c r="EX212" s="456">
        <f>Rdcr_sec*EI212^2</f>
        <v>0.12882578640447359</v>
      </c>
      <c r="EY212" s="456">
        <f>DN212^2.5*DR212^2.5*k_core</f>
        <v>23.045838725832724</v>
      </c>
      <c r="EZ212" s="456"/>
      <c r="FA212" s="456">
        <f>0.5*Lleak*0.000000001*DN212^2*DR212*1000</f>
        <v>0.11333333333333333</v>
      </c>
      <c r="FB212" s="144">
        <f>SUM(EW212:FA212)*1000</f>
        <v>23654.507207891256</v>
      </c>
      <c r="FC212" s="150">
        <f>SUM(EK212:EO212,ES212:EU212,EW212:FA212)</f>
        <v>27.329179836995092</v>
      </c>
      <c r="FD212" s="5">
        <f>MIN(CL212,CS212)</f>
        <v>85</v>
      </c>
      <c r="FE212" s="150">
        <f>FD212/(FD212+FC212)</f>
        <v>0.75670453682067784</v>
      </c>
      <c r="FF212" s="5">
        <f>FE212*100</f>
        <v>75.670453682067787</v>
      </c>
      <c r="FI212" s="59">
        <f>IF(ABS(CJ212-Ioutmax_Vinmin)&lt;Iout/200, DR212, -50)</f>
        <v>-50</v>
      </c>
      <c r="FJ212">
        <f>IF(ABS(CJ212-Ioutmax_Vinmin)&lt;Iout/200, CR212*FE212, -50)</f>
        <v>-50</v>
      </c>
      <c r="FL212">
        <f>MIN(SQRT(2*L*DR212*1000*CJ212*(CX212+Vfwd1))/(Nps*(CX212+Vfwd1)), 1-EA212)</f>
        <v>0.51325919589392643</v>
      </c>
    </row>
    <row r="213" spans="5:168">
      <c r="H213" s="188"/>
      <c r="I213" s="465"/>
      <c r="J213" s="379"/>
      <c r="K213" s="379"/>
      <c r="L213" s="379"/>
      <c r="M213" s="188"/>
      <c r="N213" s="149"/>
      <c r="O213" s="149"/>
      <c r="P213" s="188"/>
      <c r="Q213" s="188"/>
      <c r="R213" s="188"/>
      <c r="S213" s="149"/>
      <c r="T213" s="149"/>
      <c r="U213" s="188"/>
      <c r="V213" s="188"/>
      <c r="W213" s="188"/>
      <c r="X213" s="172"/>
      <c r="Y213" s="379"/>
      <c r="AA213" s="188"/>
      <c r="AB213" s="150"/>
      <c r="AC213" s="150"/>
      <c r="AD213" s="150"/>
      <c r="AE213" s="150"/>
      <c r="AF213" s="314"/>
      <c r="AI213" s="150"/>
      <c r="AJ213" s="150"/>
      <c r="AK213" s="150"/>
      <c r="AM213" s="314"/>
      <c r="AN213" s="144"/>
      <c r="AS213" s="5"/>
      <c r="AT213" s="5"/>
      <c r="AU213" s="5"/>
      <c r="AV213" s="5"/>
      <c r="AW213" s="150"/>
      <c r="AX213" s="150"/>
      <c r="BA213" s="144"/>
      <c r="BB213" s="5"/>
      <c r="CE213" s="59"/>
      <c r="CL213" s="188"/>
      <c r="CM213" s="465"/>
      <c r="CN213" s="379"/>
      <c r="CO213" s="379"/>
      <c r="CP213" s="379"/>
      <c r="CQ213" s="188"/>
      <c r="CR213" s="149"/>
      <c r="CS213" s="149"/>
      <c r="CT213" s="188"/>
      <c r="CU213" s="188"/>
      <c r="CV213" s="188"/>
      <c r="CW213" s="149"/>
      <c r="CX213" s="149"/>
      <c r="CY213" s="188"/>
      <c r="CZ213" s="188"/>
      <c r="DA213" s="188"/>
      <c r="DB213" s="172"/>
      <c r="DC213" s="379"/>
      <c r="DE213" s="188"/>
      <c r="DF213" s="150"/>
      <c r="DG213" s="150"/>
      <c r="DH213" s="150"/>
      <c r="DI213" s="150"/>
      <c r="DJ213" s="314"/>
      <c r="DM213" s="150"/>
      <c r="DN213" s="150"/>
      <c r="DO213" s="150"/>
      <c r="DQ213" s="314"/>
      <c r="DR213" s="144"/>
      <c r="DW213" s="5"/>
      <c r="DX213" s="5"/>
      <c r="DY213" s="5"/>
      <c r="DZ213" s="5"/>
      <c r="EA213" s="150"/>
      <c r="EB213" s="150"/>
      <c r="EE213" s="144"/>
      <c r="EF213" s="5"/>
      <c r="FI213" s="59"/>
    </row>
    <row r="214" spans="5:168">
      <c r="E214" s="159" t="s">
        <v>435</v>
      </c>
      <c r="H214" s="188"/>
      <c r="I214" s="465"/>
      <c r="J214" s="379"/>
      <c r="K214" s="379"/>
      <c r="L214" s="379"/>
      <c r="M214" s="188"/>
      <c r="N214" s="149"/>
      <c r="O214" s="149"/>
      <c r="P214" s="188"/>
      <c r="Q214" s="188"/>
      <c r="R214" s="188"/>
      <c r="S214" s="149"/>
      <c r="T214" s="149"/>
      <c r="U214" s="188"/>
      <c r="V214" s="188"/>
      <c r="W214" s="188"/>
      <c r="X214" s="172"/>
      <c r="Y214" s="379"/>
      <c r="AA214" s="188"/>
      <c r="AB214" s="150"/>
      <c r="AC214" s="150"/>
      <c r="AD214" s="150"/>
      <c r="AE214" s="150"/>
      <c r="AF214" s="314"/>
      <c r="AI214" s="150"/>
      <c r="AJ214" s="150"/>
      <c r="AK214" s="150"/>
      <c r="AM214" s="314"/>
      <c r="AN214" s="144"/>
      <c r="AS214" s="5"/>
      <c r="AT214" s="5"/>
      <c r="AU214" s="5"/>
      <c r="AV214" s="5"/>
      <c r="AW214" s="150"/>
      <c r="AX214" s="150"/>
      <c r="BA214" s="144"/>
      <c r="BB214" s="5"/>
      <c r="CE214" s="59"/>
      <c r="CI214" s="159" t="s">
        <v>435</v>
      </c>
      <c r="CL214" s="188"/>
      <c r="CM214" s="465"/>
      <c r="CN214" s="379"/>
      <c r="CO214" s="379"/>
      <c r="CP214" s="379"/>
      <c r="CQ214" s="188"/>
      <c r="CR214" s="149"/>
      <c r="CS214" s="149"/>
      <c r="CT214" s="188"/>
      <c r="CU214" s="188"/>
      <c r="CV214" s="188"/>
      <c r="CW214" s="149"/>
      <c r="CX214" s="149"/>
      <c r="CY214" s="188"/>
      <c r="CZ214" s="188"/>
      <c r="DA214" s="188"/>
      <c r="DB214" s="172"/>
      <c r="DC214" s="379"/>
      <c r="DE214" s="188"/>
      <c r="DF214" s="150"/>
      <c r="DG214" s="150"/>
      <c r="DH214" s="150"/>
      <c r="DI214" s="150"/>
      <c r="DJ214" s="314"/>
      <c r="DM214" s="150"/>
      <c r="DN214" s="150"/>
      <c r="DO214" s="150"/>
      <c r="DQ214" s="314"/>
      <c r="DR214" s="144"/>
      <c r="DW214" s="5"/>
      <c r="DX214" s="5"/>
      <c r="DY214" s="5"/>
      <c r="DZ214" s="5"/>
      <c r="EA214" s="150"/>
      <c r="EB214" s="150"/>
      <c r="EE214" s="144"/>
      <c r="EF214" s="5"/>
      <c r="FI214" s="59"/>
    </row>
    <row r="215" spans="5:168" ht="45" customHeight="1" thickBot="1">
      <c r="E215" s="211" t="s">
        <v>25</v>
      </c>
      <c r="F215" s="380" t="s">
        <v>194</v>
      </c>
      <c r="G215" s="230"/>
      <c r="H215" s="455" t="s">
        <v>223</v>
      </c>
      <c r="I215" s="212" t="s">
        <v>412</v>
      </c>
      <c r="J215" s="213" t="s">
        <v>418</v>
      </c>
      <c r="K215" s="455" t="s">
        <v>413</v>
      </c>
      <c r="L215" s="455"/>
      <c r="M215" s="214" t="s">
        <v>48</v>
      </c>
      <c r="N215" s="455" t="s">
        <v>402</v>
      </c>
      <c r="O215" s="455" t="s">
        <v>656</v>
      </c>
      <c r="P215" s="455" t="s">
        <v>403</v>
      </c>
      <c r="Q215" s="455" t="s">
        <v>433</v>
      </c>
      <c r="R215" s="455" t="s">
        <v>654</v>
      </c>
      <c r="S215" s="455" t="s">
        <v>657</v>
      </c>
      <c r="T215" s="455" t="s">
        <v>655</v>
      </c>
      <c r="U215" s="455" t="s">
        <v>414</v>
      </c>
      <c r="V215" s="455" t="s">
        <v>466</v>
      </c>
      <c r="W215" s="455" t="s">
        <v>465</v>
      </c>
      <c r="X215" s="469" t="s">
        <v>420</v>
      </c>
      <c r="Y215" s="466" t="s">
        <v>425</v>
      </c>
      <c r="AA215" s="215" t="s">
        <v>417</v>
      </c>
      <c r="AB215" s="215" t="s">
        <v>464</v>
      </c>
      <c r="AC215" s="215" t="s">
        <v>423</v>
      </c>
      <c r="AD215" s="468"/>
      <c r="AE215" s="215" t="s">
        <v>463</v>
      </c>
      <c r="AF215" s="215" t="s">
        <v>681</v>
      </c>
      <c r="AG215" s="215" t="s">
        <v>427</v>
      </c>
      <c r="AH215" s="468"/>
      <c r="AI215" s="215" t="s">
        <v>429</v>
      </c>
      <c r="AJ215" s="470" t="s">
        <v>430</v>
      </c>
      <c r="AK215" s="470" t="s">
        <v>431</v>
      </c>
      <c r="AM215" s="467" t="s">
        <v>275</v>
      </c>
      <c r="AN215" s="467" t="s">
        <v>432</v>
      </c>
      <c r="AP215" s="215" t="s">
        <v>275</v>
      </c>
      <c r="AQ215" s="215" t="s">
        <v>432</v>
      </c>
      <c r="AR215" s="471"/>
      <c r="AS215" s="215" t="s">
        <v>467</v>
      </c>
      <c r="AT215" s="215" t="s">
        <v>461</v>
      </c>
      <c r="AU215" s="215" t="s">
        <v>462</v>
      </c>
      <c r="AV215" s="215" t="s">
        <v>653</v>
      </c>
      <c r="AW215" s="215" t="s">
        <v>48</v>
      </c>
      <c r="AX215" s="471" t="s">
        <v>651</v>
      </c>
      <c r="AY215" s="468" t="s">
        <v>650</v>
      </c>
      <c r="AZ215" s="468" t="s">
        <v>652</v>
      </c>
      <c r="BA215" s="215" t="s">
        <v>481</v>
      </c>
      <c r="BB215" s="215" t="s">
        <v>514</v>
      </c>
      <c r="BC215" s="468"/>
      <c r="BD215" s="479" t="s">
        <v>456</v>
      </c>
      <c r="BE215" s="215" t="s">
        <v>457</v>
      </c>
      <c r="BF215" s="468"/>
      <c r="BG215" s="479" t="s">
        <v>474</v>
      </c>
      <c r="BH215" s="215" t="s">
        <v>475</v>
      </c>
      <c r="BI215" s="215" t="s">
        <v>473</v>
      </c>
      <c r="BJ215" s="215" t="s">
        <v>469</v>
      </c>
      <c r="BK215" s="215" t="s">
        <v>478</v>
      </c>
      <c r="BL215" s="215" t="s">
        <v>777</v>
      </c>
      <c r="BM215" s="215" t="s">
        <v>776</v>
      </c>
      <c r="BN215" s="215" t="s">
        <v>491</v>
      </c>
      <c r="BO215" s="479" t="s">
        <v>476</v>
      </c>
      <c r="BP215" s="215" t="s">
        <v>477</v>
      </c>
      <c r="BQ215" s="215" t="s">
        <v>483</v>
      </c>
      <c r="BR215" s="215" t="s">
        <v>487</v>
      </c>
      <c r="BS215" s="479" t="s">
        <v>458</v>
      </c>
      <c r="BT215" s="215" t="s">
        <v>459</v>
      </c>
      <c r="BU215" s="215" t="s">
        <v>468</v>
      </c>
      <c r="BV215" s="215" t="s">
        <v>666</v>
      </c>
      <c r="BW215" s="215" t="s">
        <v>484</v>
      </c>
      <c r="BX215" s="215" t="s">
        <v>667</v>
      </c>
      <c r="BY215" s="479" t="s">
        <v>482</v>
      </c>
      <c r="BZ215" s="215" t="s">
        <v>223</v>
      </c>
      <c r="CA215" s="215" t="s">
        <v>47</v>
      </c>
      <c r="CB215" s="215" t="s">
        <v>485</v>
      </c>
      <c r="CC215" s="215"/>
      <c r="CE215" s="490" t="s">
        <v>664</v>
      </c>
      <c r="CF215" s="490" t="s">
        <v>665</v>
      </c>
      <c r="CG215" s="667" t="s">
        <v>828</v>
      </c>
      <c r="CI215" s="211" t="s">
        <v>25</v>
      </c>
      <c r="CJ215" s="380" t="s">
        <v>194</v>
      </c>
      <c r="CK215" s="230"/>
      <c r="CL215" s="455" t="s">
        <v>223</v>
      </c>
      <c r="CM215" s="212" t="s">
        <v>412</v>
      </c>
      <c r="CN215" s="213" t="s">
        <v>418</v>
      </c>
      <c r="CO215" s="455" t="s">
        <v>413</v>
      </c>
      <c r="CP215" s="455"/>
      <c r="CQ215" s="214" t="s">
        <v>48</v>
      </c>
      <c r="CR215" s="455" t="s">
        <v>402</v>
      </c>
      <c r="CS215" s="455" t="s">
        <v>656</v>
      </c>
      <c r="CT215" s="455" t="s">
        <v>403</v>
      </c>
      <c r="CU215" s="455" t="s">
        <v>433</v>
      </c>
      <c r="CV215" s="455" t="s">
        <v>654</v>
      </c>
      <c r="CW215" s="455" t="s">
        <v>657</v>
      </c>
      <c r="CX215" s="455" t="s">
        <v>655</v>
      </c>
      <c r="CY215" s="455" t="s">
        <v>414</v>
      </c>
      <c r="CZ215" s="455" t="s">
        <v>466</v>
      </c>
      <c r="DA215" s="455" t="s">
        <v>465</v>
      </c>
      <c r="DB215" s="469" t="s">
        <v>420</v>
      </c>
      <c r="DC215" s="466" t="s">
        <v>425</v>
      </c>
      <c r="DE215" s="215" t="s">
        <v>417</v>
      </c>
      <c r="DF215" s="215" t="s">
        <v>464</v>
      </c>
      <c r="DG215" s="215" t="s">
        <v>423</v>
      </c>
      <c r="DH215" s="468"/>
      <c r="DI215" s="215" t="s">
        <v>463</v>
      </c>
      <c r="DJ215" s="215" t="s">
        <v>681</v>
      </c>
      <c r="DK215" s="215" t="s">
        <v>427</v>
      </c>
      <c r="DL215" s="468"/>
      <c r="DM215" s="215" t="s">
        <v>429</v>
      </c>
      <c r="DN215" s="470" t="s">
        <v>430</v>
      </c>
      <c r="DO215" s="470" t="s">
        <v>431</v>
      </c>
      <c r="DQ215" s="467" t="s">
        <v>275</v>
      </c>
      <c r="DR215" s="467" t="s">
        <v>432</v>
      </c>
      <c r="DT215" s="215" t="s">
        <v>275</v>
      </c>
      <c r="DU215" s="215" t="s">
        <v>432</v>
      </c>
      <c r="DV215" s="471"/>
      <c r="DW215" s="215" t="s">
        <v>467</v>
      </c>
      <c r="DX215" s="215" t="s">
        <v>461</v>
      </c>
      <c r="DY215" s="215" t="s">
        <v>462</v>
      </c>
      <c r="DZ215" s="215" t="s">
        <v>653</v>
      </c>
      <c r="EA215" s="215" t="s">
        <v>48</v>
      </c>
      <c r="EB215" s="471" t="s">
        <v>651</v>
      </c>
      <c r="EC215" s="468" t="s">
        <v>650</v>
      </c>
      <c r="ED215" s="468" t="s">
        <v>652</v>
      </c>
      <c r="EE215" s="215" t="s">
        <v>481</v>
      </c>
      <c r="EF215" s="215" t="s">
        <v>514</v>
      </c>
      <c r="EG215" s="468"/>
      <c r="EH215" s="479" t="s">
        <v>456</v>
      </c>
      <c r="EI215" s="215" t="s">
        <v>457</v>
      </c>
      <c r="EJ215" s="468"/>
      <c r="EK215" s="479" t="s">
        <v>474</v>
      </c>
      <c r="EL215" s="215" t="s">
        <v>475</v>
      </c>
      <c r="EM215" s="215" t="s">
        <v>473</v>
      </c>
      <c r="EN215" s="215" t="s">
        <v>469</v>
      </c>
      <c r="EO215" s="215" t="s">
        <v>478</v>
      </c>
      <c r="EP215" s="215" t="s">
        <v>777</v>
      </c>
      <c r="EQ215" s="215" t="s">
        <v>776</v>
      </c>
      <c r="ER215" s="215" t="s">
        <v>491</v>
      </c>
      <c r="ES215" s="479" t="s">
        <v>476</v>
      </c>
      <c r="ET215" s="215" t="s">
        <v>477</v>
      </c>
      <c r="EU215" s="215" t="s">
        <v>483</v>
      </c>
      <c r="EV215" s="215" t="s">
        <v>487</v>
      </c>
      <c r="EW215" s="479" t="s">
        <v>458</v>
      </c>
      <c r="EX215" s="215" t="s">
        <v>459</v>
      </c>
      <c r="EY215" s="215" t="s">
        <v>468</v>
      </c>
      <c r="EZ215" s="215" t="s">
        <v>666</v>
      </c>
      <c r="FA215" s="215" t="s">
        <v>484</v>
      </c>
      <c r="FB215" s="215" t="s">
        <v>667</v>
      </c>
      <c r="FC215" s="479" t="s">
        <v>482</v>
      </c>
      <c r="FD215" s="215" t="s">
        <v>223</v>
      </c>
      <c r="FE215" s="215" t="s">
        <v>47</v>
      </c>
      <c r="FF215" s="215" t="s">
        <v>485</v>
      </c>
      <c r="FG215" s="215"/>
      <c r="FI215" s="490" t="s">
        <v>664</v>
      </c>
      <c r="FJ215" s="490" t="s">
        <v>665</v>
      </c>
      <c r="FL215" t="s">
        <v>825</v>
      </c>
    </row>
    <row r="216" spans="5:168">
      <c r="E216" s="147">
        <v>0.1</v>
      </c>
      <c r="F216" s="188">
        <v>1.0000000000000001E-9</v>
      </c>
      <c r="G216" s="188"/>
      <c r="H216" s="188">
        <f t="shared" ref="H216:H247" si="603">F216*Vout</f>
        <v>1.7000000000000001E-7</v>
      </c>
      <c r="I216" s="465">
        <f t="shared" ref="I216:I247" si="604">VIN_max-F216*(Rdcr_pri+RON/1000)/CG216/Nps</f>
        <v>15.999989351969404</v>
      </c>
      <c r="J216" s="149">
        <f t="shared" ref="J216:J247" si="605">(T216+Vfwd1+F216/CG216*Rdcr_sec)*Nps</f>
        <v>8.5350010865337342</v>
      </c>
      <c r="K216" s="149">
        <f t="shared" ref="K216:K247" si="606">(Vout+Vfwd1+F216/CG216*Rdcr_sec)*Nps+I216</f>
        <v>24.534990438503137</v>
      </c>
      <c r="L216" s="379"/>
      <c r="M216" s="188">
        <f t="shared" ref="M216:M247" si="607">(Vout+Vfwd1+F216/FL216*Rdcr_sec)*Nps/((Vout+Vfwd1+F216/FL216*Rdcr_sec)*Nps+I216)</f>
        <v>0.34787056915241044</v>
      </c>
      <c r="N216" s="149">
        <f t="shared" ref="N216:N247" si="608">M216*I216*(Isw_max+VIN_max/Lmag*ILIM_delay)*0.5*Efficiency</f>
        <v>186.42139480777178</v>
      </c>
      <c r="O216" s="149">
        <f t="shared" si="599"/>
        <v>1.7000000000000001E-7</v>
      </c>
      <c r="P216" s="188">
        <f t="shared" ref="P216:P247" si="609">N216/Vout</f>
        <v>1.0965964400457164</v>
      </c>
      <c r="Q216" s="188">
        <f t="shared" ref="Q216:Q247" si="610">MIN(Vout,N216/F216)</f>
        <v>170</v>
      </c>
      <c r="R216" s="188"/>
      <c r="S216" s="149">
        <f t="shared" ref="S216:S247" si="611">(SQRT(Isw_max^2*Nps^2*I216^2+4*Isw_max*F216/Efficiency*(Nps^2*Vfwd1*I216-Nps*I216^2)+4*(F216/Efficiency)^2*Nps^2*Vfwd1^2+8*(F216/Efficiency)^2*Nps*Vfwd1*I216+4*(F216/Efficiency)^2*I216^2)-2*F216/Efficiency*I216-2*F216/Efficiency*Nps*Vfwd1+Isw_max*Nps*I216)/(4*F216/Efficiency*Nps)</f>
        <v>533332978078.98035</v>
      </c>
      <c r="T216" s="149">
        <f t="shared" ref="T216:T247" si="612">MIN(Vout, S216)</f>
        <v>170</v>
      </c>
      <c r="U216" s="188">
        <f t="shared" ref="U216:U247" si="613">MIN(2*(Vout+Vfwd1+F216/FL216*Rdcr_sec)*F216/(I216*M216), Isw_max)</f>
        <v>6.1337516922079359E-8</v>
      </c>
      <c r="V216" s="188">
        <f t="shared" ref="V216:V247" si="614">L*U216/I216*1000000</f>
        <v>5.7503960383444998E-9</v>
      </c>
      <c r="W216" s="188">
        <f t="shared" ref="W216:W247" si="615">L*U216/J216*1000000</f>
        <v>1.07798785788421E-8</v>
      </c>
      <c r="X216" s="172">
        <f t="shared" ref="X216:X247" si="616">IF(1/((350000*L)*(1/I216+1/J216))&gt;Isw_min, 350, 0.001/((Isw_min*L)*(1/I216+1/J216)))</f>
        <v>278.29627006758767</v>
      </c>
      <c r="Y216" s="379">
        <f>MIN(1/(V216+W216+0.2)*1000, 350)</f>
        <v>350</v>
      </c>
      <c r="AA216" s="188">
        <f t="shared" ref="AA216:AA247" si="617">1/((X216*1000*L)*(1/I216+1/J216))</f>
        <v>13.333333333333334</v>
      </c>
      <c r="AB216" s="150">
        <f t="shared" ref="AB216:AB247" si="618">L*AA216/J216*1000000</f>
        <v>2.3432920274088067</v>
      </c>
      <c r="AC216" s="150">
        <f t="shared" ref="AC216:AC247" si="619">0.5*AB216*AA216*Nps*X216/1000</f>
        <v>0.21737647696899548</v>
      </c>
      <c r="AD216" s="150"/>
      <c r="AE216" s="150">
        <f t="shared" ref="AE216:AE247" si="620">L*Isw_min/J216*1000000</f>
        <v>2.3432920274088067</v>
      </c>
      <c r="AF216" s="314">
        <f t="shared" ref="AF216:AF247" si="621">MAX(12000,F216/(0.5*AE216/1000000*Isw_min*Nps))/1000</f>
        <v>12</v>
      </c>
      <c r="AG216" s="456">
        <f t="shared" ref="AG216:AG247" si="622">0.5*AE216/1000000*Isw_min*Nps*X216*1000</f>
        <v>0.21737647696899545</v>
      </c>
      <c r="AI216" s="150">
        <f t="shared" ref="AI216:AI247" si="623">SQRT(F216/(0.5*L/J216*Fsw_DCM*Nps))</f>
        <v>8.0640299916929679E-4</v>
      </c>
      <c r="AJ216" s="150">
        <f t="shared" ref="AJ216:AJ247" si="624">MAX(IF(F216&gt;AC216,U216,AI216),Isw_min)</f>
        <v>13.333333333333334</v>
      </c>
      <c r="AK216" s="150">
        <f t="shared" ref="AK216:AK247" si="625">IF(F216&gt;AG216, (AJ216-Isw_min)/1.08*0.8+1.2, AF216*0.2/350+1)</f>
        <v>1.0068571428571429</v>
      </c>
      <c r="AM216" s="314">
        <f t="shared" ref="AM216:AM247" si="626">F216*1000</f>
        <v>1.0000000000000002E-6</v>
      </c>
      <c r="AN216" s="144">
        <f t="shared" ref="AN216:AN247" si="627">IF(F216&gt;AG216, Y216, AF216)</f>
        <v>12</v>
      </c>
      <c r="AP216">
        <f t="shared" ref="AP216:AP247" si="628">IF(H216&gt;N216, "",AM216)</f>
        <v>1.0000000000000002E-6</v>
      </c>
      <c r="AQ216">
        <f t="shared" ref="AQ216:AQ247" si="629">IF(H216&gt;N216, "",AN216)</f>
        <v>12</v>
      </c>
      <c r="AS216" s="5">
        <f t="shared" si="600"/>
        <v>83.333333333333329</v>
      </c>
      <c r="AT216" s="5">
        <f t="shared" ref="AT216:AT247" si="630">L*AJ216/I216*1000000</f>
        <v>1.2500008318779441</v>
      </c>
      <c r="AU216" s="5">
        <f t="shared" si="478"/>
        <v>82.083332501455388</v>
      </c>
      <c r="AV216" s="5"/>
      <c r="AW216" s="150">
        <f t="shared" si="479"/>
        <v>1.5000009982535329E-2</v>
      </c>
      <c r="AX216" s="150">
        <f t="shared" ref="AX216:AX279" si="631">0.5*L*AJ216^2*AN216*1000</f>
        <v>1.6000000000000003</v>
      </c>
      <c r="AY216" s="150">
        <f t="shared" ref="AY216:AY279" si="632">AJ216*Nps/2*(1-AW216)</f>
        <v>0.3283333300058216</v>
      </c>
      <c r="AZ216" s="150">
        <f t="shared" ref="AZ216:AZ279" si="633">AX216/AY216</f>
        <v>4.8730964960871654</v>
      </c>
      <c r="BA216" s="144">
        <f t="shared" si="594"/>
        <v>7.3529460698702606E-10</v>
      </c>
      <c r="BB216" s="5">
        <f t="shared" si="595"/>
        <v>1.4535599803935523E-6</v>
      </c>
      <c r="BD216" s="150">
        <f>AJ216*SQRT(AW216/3)</f>
        <v>0.94280935530283017</v>
      </c>
      <c r="BE216" s="150">
        <f>AJ216*Nps*SQRT((1-AW216)/3)</f>
        <v>0.38200251890142273</v>
      </c>
      <c r="BG216" s="456">
        <f>Rdson*BD216^2</f>
        <v>3.0222242335182299E-3</v>
      </c>
      <c r="BH216" s="456">
        <f t="shared" ref="BH216:BH247" si="634">0.5*K216*AJ216*AN216*1000*Tfall</f>
        <v>9.4018083360344021E-2</v>
      </c>
      <c r="BI216" s="456">
        <f t="shared" ref="BI216:BI247" si="635">Qg*Vdd*AN216*1000*0+Qg*I216*AN216*1000</f>
        <v>8.7935941478423842E-3</v>
      </c>
      <c r="BJ216" s="456">
        <f>0.5*(Coss+Csw)*K216^2*AN216*1000</f>
        <v>4.9481585128193601E-3</v>
      </c>
      <c r="BK216">
        <f>I216*IQ</f>
        <v>7.1999952083862317E-3</v>
      </c>
      <c r="BL216" s="144">
        <f>(BK216+BI216)*1000</f>
        <v>15.993589356228615</v>
      </c>
      <c r="BM216" s="456">
        <f t="shared" ref="BM216:BM247" si="636">(BH216+BI216*0+BJ216+BK216*0+BG216*(1+RdsonTC*(Ta-25)))/(1-BG216*RdsonTC*ThetaJA)</f>
        <v>0.10287834157841608</v>
      </c>
      <c r="BN216" s="144">
        <f>BM216*1000</f>
        <v>102.87834157841608</v>
      </c>
      <c r="BO216" s="456">
        <f t="shared" ref="BO216:BO279" si="637">Vfwd2*F216</f>
        <v>2.5000000000000001E-9</v>
      </c>
      <c r="BR216" s="144">
        <f>SUM(BO216:BQ216)*1000</f>
        <v>2.5000000000000002E-6</v>
      </c>
      <c r="BS216" s="456">
        <f>Rdcr_pri*BD216^2</f>
        <v>1.3333342206698073E-3</v>
      </c>
      <c r="BT216" s="456">
        <f>Rdcr_sec*BE216^2</f>
        <v>2.9185184889406371E-2</v>
      </c>
      <c r="BU216" s="456">
        <f>AJ216^2.5*AN216^2.5*k_core</f>
        <v>1.6190861620062107E-2</v>
      </c>
      <c r="BV216" s="456"/>
      <c r="BW216" s="456">
        <f>0.5*Lleak*0.000000001*AJ216^2*AN216*1000</f>
        <v>2.1333333333333339E-3</v>
      </c>
      <c r="BX216" s="144">
        <f>SUM(BS216:BW216)*1000</f>
        <v>48.842714063471618</v>
      </c>
      <c r="BY216" s="150">
        <f>SUM(BG216:BK216,BO216:BQ216,BS216:BW216)</f>
        <v>0.16682477202638185</v>
      </c>
      <c r="BZ216" s="5">
        <f>MIN(H216,O216)</f>
        <v>1.7000000000000001E-7</v>
      </c>
      <c r="CA216" s="150">
        <f>BZ216/(BZ216+BY216)</f>
        <v>1.019032273801816E-6</v>
      </c>
      <c r="CB216" s="5">
        <f>CA216*100</f>
        <v>1.0190322738018159E-4</v>
      </c>
      <c r="CE216" s="59">
        <f t="shared" ref="CE216:CE247" si="638">IF(ABS(F216-Ioutmax_Vinmax)&lt;Iout/200, AN216, -50)</f>
        <v>-50</v>
      </c>
      <c r="CF216">
        <f t="shared" ref="CF216:CF247" si="639">IF(ABS(F216-Ioutmax_Vinmin)&lt;Iout/200, N216*CA216, -50)</f>
        <v>-50</v>
      </c>
      <c r="CG216" s="150">
        <f t="shared" ref="CG216:CG247" si="640">MIN(SQRT(2*DU216*1000*Ls1_*CL216)/CU216,1-EA216-0.00000005*DU216*1000)</f>
        <v>9.2035798661684451E-6</v>
      </c>
      <c r="CI216" s="147">
        <v>0.1</v>
      </c>
      <c r="CJ216" s="188">
        <v>1.0000000000000001E-9</v>
      </c>
      <c r="CK216" s="188"/>
      <c r="CL216" s="188">
        <f t="shared" ref="CL216:CL279" si="641">CJ216*Vout</f>
        <v>1.7000000000000001E-7</v>
      </c>
      <c r="CM216" s="465">
        <f t="shared" ref="CM216:CM279" si="642">VIN_max</f>
        <v>16</v>
      </c>
      <c r="CN216" s="379">
        <f t="shared" ref="CN216:CN279" si="643">(CX216+Vfwd1)*Nps</f>
        <v>8.5350000000000001</v>
      </c>
      <c r="CO216" s="379">
        <f t="shared" ref="CO216:CO279" si="644">(Vout+Vfwd1)*Nps+CM216</f>
        <v>24.535</v>
      </c>
      <c r="CP216" s="379"/>
      <c r="CQ216" s="188">
        <f t="shared" ref="CQ216:CQ279" si="645">(Vout+Vfwd1)*Nps/((Vout+Vfwd1)*Nps+CM216)</f>
        <v>0.34787038923986141</v>
      </c>
      <c r="CR216" s="149">
        <f t="shared" ref="CR216:CR279" si="646">CQ216*CM216*(Isw_max+VIN_max/Lmag*ILIM_delay)*0.5*Efficiency</f>
        <v>186.42142245771345</v>
      </c>
      <c r="CS216" s="149">
        <f t="shared" ref="CS216:CS279" si="647">CX216*CJ216</f>
        <v>1.7000000000000001E-7</v>
      </c>
      <c r="CT216" s="188">
        <f t="shared" ref="CT216:CT279" si="648">CR216/Vout</f>
        <v>1.0965966026924321</v>
      </c>
      <c r="CU216" s="188">
        <f t="shared" ref="CU216:CU279" si="649">MIN(Vout,CR216/CJ216)</f>
        <v>170</v>
      </c>
      <c r="CV216" s="188"/>
      <c r="CW216" s="149">
        <f t="shared" ref="CW216:CW279" si="650">(SQRT(Isw_max^2*Nps^2*CM216^2+4*Isw_max*CJ216/Efficiency*(Nps^2*Vfwd1*CM216-Nps*CM216^2)+4*(CJ216/Efficiency)^2*Nps^2*Vfwd1^2+8*(CJ216/Efficiency)^2*Nps*Vfwd1*CM216+4*(CJ216/Efficiency)^2*CM216^2)-2*CJ216/Efficiency*CM216-2*CJ216/Efficiency*Nps*Vfwd1+Isw_max*Nps*CM216)/(4*CJ216/Efficiency*Nps)</f>
        <v>533333333013.33331</v>
      </c>
      <c r="CX216" s="149">
        <f t="shared" ref="CX216:CX279" si="651">MIN(Vout, CW216)</f>
        <v>170</v>
      </c>
      <c r="CY216" s="188">
        <f t="shared" ref="CY216:CY279" si="652">MIN(2*Vout*CJ216/(Efficiency*CM216*CQ216), Isw_max)</f>
        <v>6.1085969537199772E-8</v>
      </c>
      <c r="CZ216" s="188">
        <f t="shared" ref="CZ216:CZ279" si="653">L*CY216/CM216*1000000</f>
        <v>5.7268096441124786E-9</v>
      </c>
      <c r="DA216" s="188">
        <f t="shared" ref="DA216:DA279" si="654">L*CY216/CN216*1000000</f>
        <v>1.0735671271915601E-8</v>
      </c>
      <c r="DB216" s="172">
        <f t="shared" ref="DB216:DB279" si="655">IF(1/((350000*L)*(1/CM216+1/CN216))&gt;Isw_min, 350, 0.001/((Isw_min*L)*(1/CM216+1/CN216)))</f>
        <v>278.29631139188916</v>
      </c>
      <c r="DC216" s="379">
        <f t="shared" ref="DC216:DC279" si="656">MIN(1/(CZ216+DA216)*1000, 350)</f>
        <v>350</v>
      </c>
      <c r="DE216" s="188">
        <f t="shared" ref="DE216:DE279" si="657">1/((DB216*1000*L)*(1/CM216+1/CN216))</f>
        <v>13.333333333333332</v>
      </c>
      <c r="DF216" s="150">
        <f t="shared" ref="DF216:DF279" si="658">L*DE216/CN216*1000000</f>
        <v>2.3432923257176332</v>
      </c>
      <c r="DG216" s="150">
        <f t="shared" ref="DG216:DG279" si="659">0.5*DF216*DE216*Nps*DB216/1000</f>
        <v>0.21737653692004619</v>
      </c>
      <c r="DH216" s="150"/>
      <c r="DI216" s="150">
        <f t="shared" ref="DI216:DI279" si="660">L*Isw_min/CN216*1000000</f>
        <v>2.3432923257176337</v>
      </c>
      <c r="DJ216" s="314">
        <f t="shared" ref="DJ216:DJ279" si="661">MAX(12000,CJ216/(0.5*DI216/1000000*Isw_min*Nps))/1000</f>
        <v>12</v>
      </c>
      <c r="DK216" s="456">
        <f t="shared" ref="DK216:DK279" si="662">0.5*DI216/1000000*Isw_min*Nps*DB216*1000</f>
        <v>0.21737653692004627</v>
      </c>
      <c r="DM216" s="150">
        <f t="shared" ref="DM216:DM279" si="663">SQRT(CJ216/(0.5*L/CN216*Fsw_DCM*Nps))</f>
        <v>8.0640294784041695E-4</v>
      </c>
      <c r="DN216" s="150">
        <f t="shared" ref="DN216:DN279" si="664">MAX(IF(CJ216&gt;DG216,CY216,DM216),Isw_min)</f>
        <v>13.333333333333334</v>
      </c>
      <c r="DO216" s="150">
        <f t="shared" ref="DO216:DO279" si="665">IF(CJ216&gt;DK216, (DN216-Isw_min)/1.08*0.8+1.2, DJ216*0.2/350+1)</f>
        <v>1.0068571428571429</v>
      </c>
      <c r="DQ216" s="314">
        <f t="shared" ref="DQ216:DQ279" si="666">CJ216*1000</f>
        <v>1.0000000000000002E-6</v>
      </c>
      <c r="DR216" s="144">
        <f t="shared" ref="DR216:DR279" si="667">IF(CJ216&gt;DK216, DC216, DJ216)</f>
        <v>12</v>
      </c>
      <c r="DT216">
        <f t="shared" ref="DT216:DT279" si="668">IF(CL216&gt;CR216, "",DQ216)</f>
        <v>1.0000000000000002E-6</v>
      </c>
      <c r="DU216">
        <f t="shared" ref="DU216:DU279" si="669">IF(CL216&gt;CR216, "",DR216)</f>
        <v>12</v>
      </c>
      <c r="DW216" s="5">
        <f t="shared" ref="DW216:DW280" si="670">1/DR216*1000</f>
        <v>83.333333333333329</v>
      </c>
      <c r="DX216" s="5">
        <f t="shared" ref="DX216:DX279" si="671">L*DN216/CM216*1000000</f>
        <v>1.25</v>
      </c>
      <c r="DY216" s="5">
        <f t="shared" ref="DY216:DY279" si="672">DW216-DX216</f>
        <v>82.083333333333329</v>
      </c>
      <c r="DZ216" s="5"/>
      <c r="EA216" s="150">
        <f t="shared" ref="EA216:EA279" si="673">DX216/DW216</f>
        <v>1.5000000000000001E-2</v>
      </c>
      <c r="EB216" s="150">
        <f>0.5*L*DN216^2*DR216*1000</f>
        <v>1.6000000000000003</v>
      </c>
      <c r="EC216" s="150">
        <f>DN216*Nps/2*(1-EA216)</f>
        <v>0.32833333333333337</v>
      </c>
      <c r="ED216" s="150">
        <f>EB216/EC216</f>
        <v>4.873096446700508</v>
      </c>
      <c r="EE216" s="144">
        <f t="shared" ref="EE216:EE279" si="674">CJ216*DX216/Vout_ripple*1000</f>
        <v>7.352941176470588E-10</v>
      </c>
      <c r="EF216" s="5">
        <f t="shared" ref="EF216:EF279" si="675">CL216/Efficiency/CM216*DY216/Vinripple1</f>
        <v>1.4535590277777777E-6</v>
      </c>
      <c r="EH216" s="150">
        <f>DN216*SQRT(EA216/3)</f>
        <v>0.94280904158206336</v>
      </c>
      <c r="EI216" s="150">
        <f>DN216*Nps*SQRT((1-EA216)/3)</f>
        <v>0.38200252083713526</v>
      </c>
      <c r="EK216" s="456">
        <f>Rdson*EH216^2</f>
        <v>3.0222222222222217E-3</v>
      </c>
      <c r="EL216" s="456">
        <f>0.5*CO216*DN216*DR216*1000*Trise</f>
        <v>0.11933824</v>
      </c>
      <c r="EM216" s="456">
        <f>Qg*Vdd*DR216*1000</f>
        <v>2.7479999999999996E-3</v>
      </c>
      <c r="EN216" s="456">
        <f>0.5*(Coss+Csw)*CO216^2*DR216*1000</f>
        <v>4.9481623694999999E-3</v>
      </c>
      <c r="EO216">
        <f>CM216*IQ</f>
        <v>7.1999999999999998E-3</v>
      </c>
      <c r="EP216" s="144">
        <f>(EO216+EM216)*1000</f>
        <v>9.9479999999999986</v>
      </c>
      <c r="EQ216" s="144"/>
      <c r="ER216" s="144">
        <f>SUM(EK216:EO216)*1000</f>
        <v>137.25662459172221</v>
      </c>
      <c r="ES216" s="456">
        <f>Vfwd2*CJ216</f>
        <v>2.5000000000000001E-9</v>
      </c>
      <c r="EV216" s="144">
        <f>SUM(ES216:EU216)*1000</f>
        <v>2.5000000000000002E-6</v>
      </c>
      <c r="EW216" s="456">
        <f>Rdcr_pri*EH216^2</f>
        <v>1.3333333333333333E-3</v>
      </c>
      <c r="EX216" s="456">
        <f>Rdcr_sec*EI216^2</f>
        <v>2.9185185185185192E-2</v>
      </c>
      <c r="EY216" s="456">
        <f>DN216^2.5*DR216^2.5*k_core</f>
        <v>1.6190861620062107E-2</v>
      </c>
      <c r="EZ216" s="456"/>
      <c r="FA216" s="456">
        <f>0.5*Lleak*0.000000001*DN216^2*DR216*1000</f>
        <v>2.1333333333333339E-3</v>
      </c>
      <c r="FB216" s="144">
        <f>SUM(EW216:FA216)*1000</f>
        <v>48.84271347191396</v>
      </c>
      <c r="FC216" s="150">
        <f>SUM(EK216:EO216,ES216:EU216,EW216:FA216)</f>
        <v>0.1860993405636362</v>
      </c>
      <c r="FD216" s="5">
        <f>MIN(CL216,CS216)</f>
        <v>1.7000000000000001E-7</v>
      </c>
      <c r="FE216" s="150">
        <f>FD216/(FD216+FC216)</f>
        <v>9.134897748259741E-7</v>
      </c>
      <c r="FF216" s="5">
        <f>FE216*100</f>
        <v>9.1348977482597407E-5</v>
      </c>
      <c r="FI216" s="59">
        <f t="shared" ref="FI216:FI279" si="676">IF(ABS(CJ216-Ioutmax_Vinmax)&lt;Iout/200, DR216, -50)</f>
        <v>-50</v>
      </c>
      <c r="FJ216">
        <f t="shared" ref="FJ216:FJ279" si="677">IF(ABS(CJ216-Ioutmax_Vinmin)&lt;Iout/200, CR216*FE216, -50)</f>
        <v>-50</v>
      </c>
      <c r="FL216">
        <f t="shared" ref="FL216:FL247" si="678">MIN(SQRT(2*L*DR216*1000*CJ216*(CX216+Vfwd1))/(Nps*(CX216+Vfwd1)), 1-EA216)</f>
        <v>9.1846896368813035E-6</v>
      </c>
    </row>
    <row r="217" spans="5:168">
      <c r="E217" s="147">
        <v>1</v>
      </c>
      <c r="F217" s="188">
        <f t="shared" ref="F217:F248" si="679">IF(PLOT_TYPE=1, E217/100*Iout_max, min_I*EXP(N217*rr/100))</f>
        <v>5.0000000000000001E-3</v>
      </c>
      <c r="G217" s="188"/>
      <c r="H217" s="188">
        <f t="shared" si="603"/>
        <v>0.85</v>
      </c>
      <c r="I217" s="465">
        <f t="shared" si="604"/>
        <v>15.976190279762715</v>
      </c>
      <c r="J217" s="149">
        <f t="shared" si="605"/>
        <v>8.5374295632895194</v>
      </c>
      <c r="K217" s="149">
        <f t="shared" si="606"/>
        <v>24.513619843052233</v>
      </c>
      <c r="L217" s="379"/>
      <c r="M217" s="188">
        <f t="shared" si="607"/>
        <v>0.34827303656362973</v>
      </c>
      <c r="N217" s="149">
        <f t="shared" si="608"/>
        <v>186.35946225660905</v>
      </c>
      <c r="O217" s="149">
        <f t="shared" si="599"/>
        <v>0.85</v>
      </c>
      <c r="P217" s="188">
        <f t="shared" si="609"/>
        <v>1.0962321309212297</v>
      </c>
      <c r="Q217" s="188">
        <f t="shared" si="610"/>
        <v>170</v>
      </c>
      <c r="R217" s="188"/>
      <c r="S217" s="149">
        <f t="shared" si="611"/>
        <v>106188.4134991279</v>
      </c>
      <c r="T217" s="149">
        <f t="shared" si="612"/>
        <v>170</v>
      </c>
      <c r="U217" s="188">
        <f t="shared" si="613"/>
        <v>0.30687697643420658</v>
      </c>
      <c r="V217" s="188">
        <f t="shared" si="614"/>
        <v>2.8812592776539383E-2</v>
      </c>
      <c r="W217" s="188">
        <f t="shared" si="615"/>
        <v>5.3917336739226662E-2</v>
      </c>
      <c r="X217" s="172">
        <f t="shared" si="616"/>
        <v>278.20370895129696</v>
      </c>
      <c r="Y217" s="379">
        <f t="shared" ref="Y217:Y280" si="680">MIN(1/(V217+W217+0.2)*1000, 350)</f>
        <v>350</v>
      </c>
      <c r="AA217" s="188">
        <f t="shared" si="617"/>
        <v>13.333333333333334</v>
      </c>
      <c r="AB217" s="150">
        <f t="shared" si="618"/>
        <v>2.3426254766421626</v>
      </c>
      <c r="AC217" s="150">
        <f t="shared" si="619"/>
        <v>0.21724236542854988</v>
      </c>
      <c r="AD217" s="150"/>
      <c r="AE217" s="150">
        <f t="shared" si="620"/>
        <v>2.3426254766421626</v>
      </c>
      <c r="AF217" s="314">
        <f t="shared" si="621"/>
        <v>12</v>
      </c>
      <c r="AG217" s="456">
        <f t="shared" si="622"/>
        <v>0.21724236542854988</v>
      </c>
      <c r="AI217" s="150">
        <f t="shared" si="623"/>
        <v>1.8034284347731653</v>
      </c>
      <c r="AJ217" s="150">
        <f t="shared" si="624"/>
        <v>13.333333333333334</v>
      </c>
      <c r="AK217" s="150">
        <f t="shared" si="625"/>
        <v>1.0068571428571429</v>
      </c>
      <c r="AM217" s="314">
        <f t="shared" si="626"/>
        <v>5</v>
      </c>
      <c r="AN217" s="144">
        <f t="shared" si="627"/>
        <v>12</v>
      </c>
      <c r="AP217">
        <f t="shared" si="628"/>
        <v>5</v>
      </c>
      <c r="AQ217">
        <f t="shared" si="629"/>
        <v>12</v>
      </c>
      <c r="AS217" s="5">
        <f t="shared" si="600"/>
        <v>83.333333333333329</v>
      </c>
      <c r="AT217" s="5">
        <f t="shared" si="630"/>
        <v>1.2518629065988471</v>
      </c>
      <c r="AU217" s="5">
        <f t="shared" si="478"/>
        <v>82.081470426734484</v>
      </c>
      <c r="AV217" s="5"/>
      <c r="AW217" s="150">
        <f t="shared" si="479"/>
        <v>1.5022354879186166E-2</v>
      </c>
      <c r="AX217" s="150">
        <f t="shared" si="631"/>
        <v>1.6000000000000003</v>
      </c>
      <c r="AY217" s="150">
        <f t="shared" si="632"/>
        <v>0.32832588170693799</v>
      </c>
      <c r="AZ217" s="150">
        <f t="shared" si="633"/>
        <v>4.8732070456393446</v>
      </c>
      <c r="BA217" s="144">
        <f t="shared" si="594"/>
        <v>3.6819497252907267E-3</v>
      </c>
      <c r="BB217" s="5">
        <f t="shared" si="595"/>
        <v>7.2784613270309375</v>
      </c>
      <c r="BD217" s="150">
        <f t="shared" ref="BD217:BD280" si="681">AJ217*SQRT(AW217/3)</f>
        <v>0.94351132609539534</v>
      </c>
      <c r="BE217" s="150">
        <f t="shared" ref="BE217:BE280" si="682">AJ217*Nps*SQRT((1-AW217)/3)</f>
        <v>0.38199818597995</v>
      </c>
      <c r="BG217" s="456">
        <f t="shared" ref="BG217:BG280" si="683">Rdson*BD217^2</f>
        <v>3.0267263163989908E-3</v>
      </c>
      <c r="BH217" s="456">
        <f t="shared" si="634"/>
        <v>9.3936191238576147E-2</v>
      </c>
      <c r="BI217" s="456">
        <f t="shared" si="635"/>
        <v>8.7805141777575896E-3</v>
      </c>
      <c r="BJ217" s="456">
        <f t="shared" ref="BJ217:BJ280" si="684">0.5*(Coss+Csw)*K217^2*AN217*1000</f>
        <v>4.9395423251956038E-3</v>
      </c>
      <c r="BK217">
        <f t="shared" ref="BK217:BK280" si="685">I217*IQ</f>
        <v>7.1892856258932219E-3</v>
      </c>
      <c r="BL217" s="144">
        <f t="shared" ref="BL217:BL280" si="686">(BK217+BI217)*1000</f>
        <v>15.969799803650812</v>
      </c>
      <c r="BM217" s="456">
        <f t="shared" si="636"/>
        <v>0.10279360002081374</v>
      </c>
      <c r="BN217" s="144">
        <f t="shared" ref="BN217:BN280" si="687">BM217*1000</f>
        <v>102.79360002081374</v>
      </c>
      <c r="BO217" s="456">
        <f t="shared" si="637"/>
        <v>1.2500000000000001E-2</v>
      </c>
      <c r="BR217" s="144">
        <f t="shared" ref="BR217:BR280" si="688">SUM(BO217:BQ217)*1000</f>
        <v>12.5</v>
      </c>
      <c r="BS217" s="456">
        <f t="shared" ref="BS217:BS280" si="689">Rdcr_pri*BD217^2</f>
        <v>1.3353204337054373E-3</v>
      </c>
      <c r="BT217" s="456">
        <f t="shared" ref="BT217:BT280" si="690">Rdcr_sec*BE217^2</f>
        <v>2.9184522818394495E-2</v>
      </c>
      <c r="BU217" s="456">
        <f t="shared" ref="BU217:BU280" si="691">AJ217^2.5*AN217^2.5*k_core</f>
        <v>1.6190861620062107E-2</v>
      </c>
      <c r="BV217" s="456"/>
      <c r="BW217" s="456">
        <f t="shared" ref="BW217:BW280" si="692">0.5*Lleak*0.000000001*AJ217^2*AN217*1000</f>
        <v>2.1333333333333339E-3</v>
      </c>
      <c r="BX217" s="144">
        <f t="shared" ref="BX217:BX280" si="693">SUM(BS217:BW217)*1000</f>
        <v>48.84403820549538</v>
      </c>
      <c r="BY217" s="150">
        <f t="shared" ref="BY217:BY280" si="694">SUM(BG217:BK217,BO217:BQ217,BS217:BW217)</f>
        <v>0.17921629788931692</v>
      </c>
      <c r="BZ217" s="5">
        <f t="shared" ref="BZ217:BZ280" si="695">MIN(H217,O217)</f>
        <v>0.85</v>
      </c>
      <c r="CA217" s="150">
        <f t="shared" ref="CA217:CA280" si="696">BZ217/(BZ217+BY217)</f>
        <v>0.82587110381282547</v>
      </c>
      <c r="CB217" s="5">
        <f t="shared" ref="CB217:CB280" si="697">CA217*100</f>
        <v>82.587110381282542</v>
      </c>
      <c r="CE217" s="59">
        <f t="shared" si="638"/>
        <v>-50</v>
      </c>
      <c r="CF217">
        <f t="shared" si="639"/>
        <v>-50</v>
      </c>
      <c r="CG217" s="150">
        <f t="shared" si="640"/>
        <v>2.057983021710106E-2</v>
      </c>
      <c r="CI217" s="147">
        <v>1</v>
      </c>
      <c r="CJ217" s="188">
        <f t="shared" ref="CJ217:CJ280" si="698">IF(PLOT_TYPE=1, CI217/100*Iout_max, min_I*EXP(CR217*rr/100))</f>
        <v>5.0000000000000001E-3</v>
      </c>
      <c r="CK217" s="188"/>
      <c r="CL217" s="188">
        <f t="shared" si="641"/>
        <v>0.85</v>
      </c>
      <c r="CM217" s="465">
        <f t="shared" si="642"/>
        <v>16</v>
      </c>
      <c r="CN217" s="379">
        <f t="shared" si="643"/>
        <v>8.5350000000000001</v>
      </c>
      <c r="CO217" s="379">
        <f t="shared" si="644"/>
        <v>24.535</v>
      </c>
      <c r="CP217" s="379"/>
      <c r="CQ217" s="188">
        <f t="shared" si="645"/>
        <v>0.34787038923986141</v>
      </c>
      <c r="CR217" s="149">
        <f t="shared" si="646"/>
        <v>186.42142245771345</v>
      </c>
      <c r="CS217" s="149">
        <f t="shared" si="647"/>
        <v>0.85</v>
      </c>
      <c r="CT217" s="188">
        <f t="shared" si="648"/>
        <v>1.0965966026924321</v>
      </c>
      <c r="CU217" s="188">
        <f t="shared" si="649"/>
        <v>170</v>
      </c>
      <c r="CV217" s="188"/>
      <c r="CW217" s="149">
        <f t="shared" si="650"/>
        <v>106346.66877297175</v>
      </c>
      <c r="CX217" s="149">
        <f t="shared" si="651"/>
        <v>170</v>
      </c>
      <c r="CY217" s="188">
        <f t="shared" si="652"/>
        <v>0.30542984768599885</v>
      </c>
      <c r="CZ217" s="188">
        <f t="shared" si="653"/>
        <v>2.8634048220562393E-2</v>
      </c>
      <c r="DA217" s="188">
        <f t="shared" si="654"/>
        <v>5.367835635957801E-2</v>
      </c>
      <c r="DB217" s="172">
        <f t="shared" si="655"/>
        <v>278.29631139188916</v>
      </c>
      <c r="DC217" s="379">
        <f t="shared" si="656"/>
        <v>350</v>
      </c>
      <c r="DE217" s="188">
        <f t="shared" si="657"/>
        <v>13.333333333333332</v>
      </c>
      <c r="DF217" s="150">
        <f t="shared" si="658"/>
        <v>2.3432923257176332</v>
      </c>
      <c r="DG217" s="150">
        <f t="shared" si="659"/>
        <v>0.21737653692004619</v>
      </c>
      <c r="DH217" s="150"/>
      <c r="DI217" s="150">
        <f t="shared" si="660"/>
        <v>2.3432923257176337</v>
      </c>
      <c r="DJ217" s="314">
        <f t="shared" si="661"/>
        <v>12</v>
      </c>
      <c r="DK217" s="456">
        <f t="shared" si="662"/>
        <v>0.21737653692004627</v>
      </c>
      <c r="DM217" s="150">
        <f t="shared" si="663"/>
        <v>1.8031718086273896</v>
      </c>
      <c r="DN217" s="150">
        <f t="shared" si="664"/>
        <v>13.333333333333334</v>
      </c>
      <c r="DO217" s="150">
        <f t="shared" si="665"/>
        <v>1.0068571428571429</v>
      </c>
      <c r="DQ217" s="314">
        <f t="shared" si="666"/>
        <v>5</v>
      </c>
      <c r="DR217" s="144">
        <f t="shared" si="667"/>
        <v>12</v>
      </c>
      <c r="DT217">
        <f t="shared" si="668"/>
        <v>5</v>
      </c>
      <c r="DU217">
        <f t="shared" si="669"/>
        <v>12</v>
      </c>
      <c r="DW217" s="5">
        <f t="shared" si="670"/>
        <v>83.333333333333329</v>
      </c>
      <c r="DX217" s="5">
        <f t="shared" si="671"/>
        <v>1.25</v>
      </c>
      <c r="DY217" s="5">
        <f t="shared" si="672"/>
        <v>82.083333333333329</v>
      </c>
      <c r="DZ217" s="5"/>
      <c r="EA217" s="150">
        <f t="shared" si="673"/>
        <v>1.5000000000000001E-2</v>
      </c>
      <c r="EB217" s="150">
        <f t="shared" ref="EB217:EB280" si="699">0.5*L*DN217^2*DR217*1000</f>
        <v>1.6000000000000003</v>
      </c>
      <c r="EC217" s="150">
        <f t="shared" ref="EC217:EC280" si="700">DN217*Nps/2*(1-EA217)</f>
        <v>0.32833333333333337</v>
      </c>
      <c r="ED217" s="150">
        <f t="shared" ref="ED217:ED280" si="701">EB217/EC217</f>
        <v>4.873096446700508</v>
      </c>
      <c r="EE217" s="144">
        <f t="shared" si="674"/>
        <v>3.6764705882352941E-3</v>
      </c>
      <c r="EF217" s="5">
        <f t="shared" si="675"/>
        <v>7.2677951388888875</v>
      </c>
      <c r="EH217" s="150">
        <f t="shared" ref="EH217:EH280" si="702">DN217*SQRT(EA217/3)</f>
        <v>0.94280904158206336</v>
      </c>
      <c r="EI217" s="150">
        <f t="shared" ref="EI217:EI280" si="703">DN217*Nps*SQRT((1-EA217)/3)</f>
        <v>0.38200252083713526</v>
      </c>
      <c r="EK217" s="456">
        <f t="shared" ref="EK217:EK280" si="704">Rdson*EH217^2</f>
        <v>3.0222222222222217E-3</v>
      </c>
      <c r="EL217" s="456">
        <f t="shared" ref="EL217:EL280" si="705">0.5*CO217*DN217*DR217*1000*Trise</f>
        <v>0.11933824</v>
      </c>
      <c r="EM217" s="456">
        <f t="shared" ref="EM217:EM280" si="706">Qg*Vdd*DR217*1000</f>
        <v>2.7479999999999996E-3</v>
      </c>
      <c r="EN217" s="456">
        <f t="shared" ref="EN217:EN280" si="707">0.5*(Coss+Csw)*CO217^2*DR217*1000</f>
        <v>4.9481623694999999E-3</v>
      </c>
      <c r="EO217">
        <f t="shared" ref="EO217:EO280" si="708">CM217*IQ</f>
        <v>7.1999999999999998E-3</v>
      </c>
      <c r="EP217" s="144">
        <f t="shared" ref="EP217:EP280" si="709">(EO217+EM217)*1000</f>
        <v>9.9479999999999986</v>
      </c>
      <c r="EQ217" s="144"/>
      <c r="ER217" s="144">
        <f t="shared" ref="ER217:ER280" si="710">SUM(EK217:EO217)*1000</f>
        <v>137.25662459172221</v>
      </c>
      <c r="ES217" s="456">
        <f t="shared" ref="ES217:ES280" si="711">Vfwd2*CJ217</f>
        <v>1.2500000000000001E-2</v>
      </c>
      <c r="EV217" s="144">
        <f t="shared" ref="EV217:EV280" si="712">SUM(ES217:EU217)*1000</f>
        <v>12.5</v>
      </c>
      <c r="EW217" s="456">
        <f t="shared" ref="EW217:EW280" si="713">Rdcr_pri*EH217^2</f>
        <v>1.3333333333333333E-3</v>
      </c>
      <c r="EX217" s="456">
        <f t="shared" ref="EX217:EX280" si="714">Rdcr_sec*EI217^2</f>
        <v>2.9185185185185192E-2</v>
      </c>
      <c r="EY217" s="456">
        <f t="shared" ref="EY217:EY280" si="715">DN217^2.5*DR217^2.5*k_core</f>
        <v>1.6190861620062107E-2</v>
      </c>
      <c r="EZ217" s="456"/>
      <c r="FA217" s="456">
        <f t="shared" ref="FA217:FA280" si="716">0.5*Lleak*0.000000001*DN217^2*DR217*1000</f>
        <v>2.1333333333333339E-3</v>
      </c>
      <c r="FB217" s="144">
        <f t="shared" ref="FB217:FB280" si="717">SUM(EW217:FA217)*1000</f>
        <v>48.84271347191396</v>
      </c>
      <c r="FC217" s="150">
        <f t="shared" ref="FC217:FC280" si="718">SUM(EK217:EO217,ES217:EU217,EW217:FA217)</f>
        <v>0.19859933806363619</v>
      </c>
      <c r="FD217" s="5">
        <f t="shared" ref="FD217:FD280" si="719">MIN(CL217,CS217)</f>
        <v>0.85</v>
      </c>
      <c r="FE217" s="150">
        <f t="shared" ref="FE217:FE280" si="720">FD217/(FD217+FC217)</f>
        <v>0.81060512737841928</v>
      </c>
      <c r="FF217" s="5">
        <f t="shared" ref="FF217:FF280" si="721">FE217*100</f>
        <v>81.060512737841933</v>
      </c>
      <c r="FI217" s="59">
        <f t="shared" si="676"/>
        <v>-50</v>
      </c>
      <c r="FJ217">
        <f t="shared" si="677"/>
        <v>-50</v>
      </c>
      <c r="FL217">
        <f t="shared" si="678"/>
        <v>2.0537590380304453E-2</v>
      </c>
    </row>
    <row r="218" spans="5:168">
      <c r="E218" s="147">
        <v>2</v>
      </c>
      <c r="F218" s="188">
        <f t="shared" si="679"/>
        <v>0.01</v>
      </c>
      <c r="G218" s="188"/>
      <c r="H218" s="188">
        <f t="shared" si="603"/>
        <v>1.7</v>
      </c>
      <c r="I218" s="465">
        <f t="shared" si="604"/>
        <v>15.967400381246467</v>
      </c>
      <c r="J218" s="149">
        <f t="shared" si="605"/>
        <v>8.5383264917095438</v>
      </c>
      <c r="K218" s="149">
        <f t="shared" si="606"/>
        <v>24.505726872956011</v>
      </c>
      <c r="L218" s="379"/>
      <c r="M218" s="188">
        <f t="shared" si="607"/>
        <v>0.34842186048293716</v>
      </c>
      <c r="N218" s="149">
        <f t="shared" si="608"/>
        <v>186.33652087932737</v>
      </c>
      <c r="O218" s="149">
        <f t="shared" si="599"/>
        <v>1.7</v>
      </c>
      <c r="P218" s="188">
        <f t="shared" si="609"/>
        <v>1.0960971816431022</v>
      </c>
      <c r="Q218" s="188">
        <f t="shared" si="610"/>
        <v>170</v>
      </c>
      <c r="R218" s="188"/>
      <c r="S218" s="149">
        <f t="shared" si="611"/>
        <v>52905.324155159178</v>
      </c>
      <c r="T218" s="149">
        <f t="shared" si="612"/>
        <v>170</v>
      </c>
      <c r="U218" s="188">
        <f t="shared" si="613"/>
        <v>0.61389413754192601</v>
      </c>
      <c r="V218" s="188">
        <f t="shared" si="614"/>
        <v>5.7670076801882339E-2</v>
      </c>
      <c r="W218" s="188">
        <f t="shared" si="615"/>
        <v>0.10784797316043113</v>
      </c>
      <c r="X218" s="172">
        <f t="shared" si="616"/>
        <v>278.16942216349025</v>
      </c>
      <c r="Y218" s="379">
        <f t="shared" si="680"/>
        <v>350</v>
      </c>
      <c r="AA218" s="188">
        <f t="shared" si="617"/>
        <v>13.333333333333334</v>
      </c>
      <c r="AB218" s="150">
        <f t="shared" si="618"/>
        <v>2.3423793900853283</v>
      </c>
      <c r="AC218" s="150">
        <f t="shared" si="619"/>
        <v>0.21719277380923482</v>
      </c>
      <c r="AD218" s="150"/>
      <c r="AE218" s="150">
        <f t="shared" si="620"/>
        <v>2.3423793900853283</v>
      </c>
      <c r="AF218" s="314">
        <f t="shared" si="621"/>
        <v>12.807489737564312</v>
      </c>
      <c r="AG218" s="456">
        <f t="shared" si="622"/>
        <v>0.21719277380923488</v>
      </c>
      <c r="AI218" s="150">
        <f t="shared" si="623"/>
        <v>2.5505669198692047</v>
      </c>
      <c r="AJ218" s="150">
        <f t="shared" si="624"/>
        <v>13.333333333333334</v>
      </c>
      <c r="AK218" s="150">
        <f t="shared" si="625"/>
        <v>1.0073185655643224</v>
      </c>
      <c r="AM218" s="314">
        <f t="shared" si="626"/>
        <v>10</v>
      </c>
      <c r="AN218" s="144">
        <f t="shared" si="627"/>
        <v>12.807489737564312</v>
      </c>
      <c r="AP218">
        <f t="shared" si="628"/>
        <v>10</v>
      </c>
      <c r="AQ218">
        <f t="shared" si="629"/>
        <v>12.807489737564312</v>
      </c>
      <c r="AS218" s="5">
        <f t="shared" si="600"/>
        <v>78.079313002844287</v>
      </c>
      <c r="AT218" s="5">
        <f t="shared" si="630"/>
        <v>1.2525520449458871</v>
      </c>
      <c r="AU218" s="5">
        <f t="shared" si="478"/>
        <v>76.826760957898401</v>
      </c>
      <c r="AV218" s="5"/>
      <c r="AW218" s="150">
        <f t="shared" si="479"/>
        <v>1.6042047461409643E-2</v>
      </c>
      <c r="AX218" s="150">
        <f t="shared" si="631"/>
        <v>1.7076652983419087</v>
      </c>
      <c r="AY218" s="150">
        <f t="shared" si="632"/>
        <v>0.32798598417953012</v>
      </c>
      <c r="AZ218" s="150">
        <f t="shared" si="633"/>
        <v>5.2065191218877871</v>
      </c>
      <c r="BA218" s="144">
        <f t="shared" si="594"/>
        <v>7.3679532055640415E-3</v>
      </c>
      <c r="BB218" s="5">
        <f t="shared" si="595"/>
        <v>13.632514843787799</v>
      </c>
      <c r="BD218" s="150">
        <f t="shared" si="681"/>
        <v>0.97500761513180811</v>
      </c>
      <c r="BE218" s="150">
        <f t="shared" si="682"/>
        <v>0.38180040403885857</v>
      </c>
      <c r="BG218" s="456">
        <f t="shared" si="683"/>
        <v>3.2321754885210542E-3</v>
      </c>
      <c r="BH218" s="456">
        <f t="shared" si="634"/>
        <v>0.10022495264286223</v>
      </c>
      <c r="BI218" s="456">
        <f t="shared" si="635"/>
        <v>9.3662060965424721E-3</v>
      </c>
      <c r="BJ218" s="456">
        <f t="shared" si="684"/>
        <v>5.2685337400673457E-3</v>
      </c>
      <c r="BK218">
        <f t="shared" si="685"/>
        <v>7.1853301715609098E-3</v>
      </c>
      <c r="BL218" s="144">
        <f t="shared" si="686"/>
        <v>16.551536268103384</v>
      </c>
      <c r="BM218" s="456">
        <f t="shared" si="636"/>
        <v>0.10968258162575049</v>
      </c>
      <c r="BN218" s="144">
        <f t="shared" si="687"/>
        <v>109.6825816257505</v>
      </c>
      <c r="BO218" s="456">
        <f t="shared" si="637"/>
        <v>2.5000000000000001E-2</v>
      </c>
      <c r="BR218" s="144">
        <f t="shared" si="688"/>
        <v>25</v>
      </c>
      <c r="BS218" s="456">
        <f t="shared" si="689"/>
        <v>1.4259597743475241E-3</v>
      </c>
      <c r="BT218" s="456">
        <f t="shared" si="690"/>
        <v>2.9154309704847132E-2</v>
      </c>
      <c r="BU218" s="456">
        <f t="shared" si="691"/>
        <v>1.9053593137858541E-2</v>
      </c>
      <c r="BV218" s="456"/>
      <c r="BW218" s="456">
        <f t="shared" si="692"/>
        <v>2.2768870644558781E-3</v>
      </c>
      <c r="BX218" s="144">
        <f t="shared" si="693"/>
        <v>51.910749681509074</v>
      </c>
      <c r="BY218" s="150">
        <f t="shared" si="694"/>
        <v>0.20218794782106311</v>
      </c>
      <c r="BZ218" s="5">
        <f t="shared" si="695"/>
        <v>1.7</v>
      </c>
      <c r="CA218" s="150">
        <f t="shared" si="696"/>
        <v>0.89370769168595177</v>
      </c>
      <c r="CB218" s="5">
        <f t="shared" si="697"/>
        <v>89.370769168595174</v>
      </c>
      <c r="CE218" s="59">
        <f t="shared" si="638"/>
        <v>-50</v>
      </c>
      <c r="CF218">
        <f t="shared" si="639"/>
        <v>-50</v>
      </c>
      <c r="CG218" s="150">
        <f t="shared" si="640"/>
        <v>3.0061701255134261E-2</v>
      </c>
      <c r="CI218" s="147">
        <v>2</v>
      </c>
      <c r="CJ218" s="188">
        <f t="shared" si="698"/>
        <v>0.01</v>
      </c>
      <c r="CK218" s="188"/>
      <c r="CL218" s="188">
        <f t="shared" si="641"/>
        <v>1.7</v>
      </c>
      <c r="CM218" s="465">
        <f t="shared" si="642"/>
        <v>16</v>
      </c>
      <c r="CN218" s="379">
        <f t="shared" si="643"/>
        <v>8.5350000000000001</v>
      </c>
      <c r="CO218" s="379">
        <f t="shared" si="644"/>
        <v>24.535</v>
      </c>
      <c r="CP218" s="379"/>
      <c r="CQ218" s="188">
        <f t="shared" si="645"/>
        <v>0.34787038923986141</v>
      </c>
      <c r="CR218" s="149">
        <f t="shared" si="646"/>
        <v>186.42142245771345</v>
      </c>
      <c r="CS218" s="149">
        <f t="shared" si="647"/>
        <v>1.7</v>
      </c>
      <c r="CT218" s="188">
        <f t="shared" si="648"/>
        <v>1.0965966026924321</v>
      </c>
      <c r="CU218" s="188">
        <f t="shared" si="649"/>
        <v>170</v>
      </c>
      <c r="CV218" s="188"/>
      <c r="CW218" s="149">
        <f t="shared" si="650"/>
        <v>53013.337558629326</v>
      </c>
      <c r="CX218" s="149">
        <f t="shared" si="651"/>
        <v>170</v>
      </c>
      <c r="CY218" s="188">
        <f t="shared" si="652"/>
        <v>0.61085969537199769</v>
      </c>
      <c r="CZ218" s="188">
        <f t="shared" si="653"/>
        <v>5.7268096441124787E-2</v>
      </c>
      <c r="DA218" s="188">
        <f t="shared" si="654"/>
        <v>0.10735671271915602</v>
      </c>
      <c r="DB218" s="172">
        <f t="shared" si="655"/>
        <v>278.29631139188916</v>
      </c>
      <c r="DC218" s="379">
        <f t="shared" si="656"/>
        <v>350</v>
      </c>
      <c r="DE218" s="188">
        <f t="shared" si="657"/>
        <v>13.333333333333332</v>
      </c>
      <c r="DF218" s="150">
        <f t="shared" si="658"/>
        <v>2.3432923257176332</v>
      </c>
      <c r="DG218" s="150">
        <f t="shared" si="659"/>
        <v>0.21737653692004619</v>
      </c>
      <c r="DH218" s="150"/>
      <c r="DI218" s="150">
        <f t="shared" si="660"/>
        <v>2.3432923257176337</v>
      </c>
      <c r="DJ218" s="314">
        <f t="shared" si="661"/>
        <v>12.802499999999997</v>
      </c>
      <c r="DK218" s="456">
        <f t="shared" si="662"/>
        <v>0.21737653692004627</v>
      </c>
      <c r="DM218" s="150">
        <f t="shared" si="663"/>
        <v>2.5500700270496774</v>
      </c>
      <c r="DN218" s="150">
        <f t="shared" si="664"/>
        <v>13.333333333333334</v>
      </c>
      <c r="DO218" s="150">
        <f t="shared" si="665"/>
        <v>1.0073157142857143</v>
      </c>
      <c r="DQ218" s="314">
        <f t="shared" si="666"/>
        <v>10</v>
      </c>
      <c r="DR218" s="144">
        <f t="shared" si="667"/>
        <v>12.802499999999997</v>
      </c>
      <c r="DT218">
        <f t="shared" si="668"/>
        <v>10</v>
      </c>
      <c r="DU218">
        <f t="shared" si="669"/>
        <v>12.802499999999997</v>
      </c>
      <c r="DW218" s="5">
        <f t="shared" si="670"/>
        <v>78.10974419058779</v>
      </c>
      <c r="DX218" s="5">
        <f t="shared" si="671"/>
        <v>1.25</v>
      </c>
      <c r="DY218" s="5">
        <f t="shared" si="672"/>
        <v>76.85974419058779</v>
      </c>
      <c r="DZ218" s="5"/>
      <c r="EA218" s="150">
        <f t="shared" si="673"/>
        <v>1.6003124999999997E-2</v>
      </c>
      <c r="EB218" s="150">
        <f t="shared" si="699"/>
        <v>1.7070000000000001</v>
      </c>
      <c r="EC218" s="150">
        <f t="shared" si="700"/>
        <v>0.32799895833333337</v>
      </c>
      <c r="ED218" s="150">
        <f t="shared" si="701"/>
        <v>5.2042848205183576</v>
      </c>
      <c r="EE218" s="144">
        <f t="shared" si="674"/>
        <v>7.3529411764705881E-3</v>
      </c>
      <c r="EF218" s="5">
        <f t="shared" si="675"/>
        <v>13.610579700416586</v>
      </c>
      <c r="EH218" s="150">
        <f t="shared" si="702"/>
        <v>0.97382407719943609</v>
      </c>
      <c r="EI218" s="150">
        <f t="shared" si="703"/>
        <v>0.38180795541058965</v>
      </c>
      <c r="EK218" s="456">
        <f t="shared" si="704"/>
        <v>3.224333333333333E-3</v>
      </c>
      <c r="EL218" s="456">
        <f t="shared" si="705"/>
        <v>0.12731898479999998</v>
      </c>
      <c r="EM218" s="456">
        <f t="shared" si="706"/>
        <v>2.9317724999999993E-3</v>
      </c>
      <c r="EN218" s="456">
        <f t="shared" si="707"/>
        <v>5.2790707279603112E-3</v>
      </c>
      <c r="EO218">
        <f t="shared" si="708"/>
        <v>7.1999999999999998E-3</v>
      </c>
      <c r="EP218" s="144">
        <f t="shared" si="709"/>
        <v>10.131772499999999</v>
      </c>
      <c r="EQ218" s="144"/>
      <c r="ER218" s="144">
        <f t="shared" si="710"/>
        <v>145.95416136129364</v>
      </c>
      <c r="ES218" s="456">
        <f t="shared" si="711"/>
        <v>2.5000000000000001E-2</v>
      </c>
      <c r="EV218" s="144">
        <f t="shared" si="712"/>
        <v>25</v>
      </c>
      <c r="EW218" s="456">
        <f t="shared" si="713"/>
        <v>1.4224999999999999E-3</v>
      </c>
      <c r="EX218" s="456">
        <f t="shared" si="714"/>
        <v>2.9155462962962966E-2</v>
      </c>
      <c r="EY218" s="456">
        <f t="shared" si="715"/>
        <v>1.9035040585145397E-2</v>
      </c>
      <c r="EZ218" s="456"/>
      <c r="FA218" s="456">
        <f t="shared" si="716"/>
        <v>2.2759999999999998E-3</v>
      </c>
      <c r="FB218" s="144">
        <f t="shared" si="717"/>
        <v>51.88900354810837</v>
      </c>
      <c r="FC218" s="150">
        <f t="shared" si="718"/>
        <v>0.22284316490940201</v>
      </c>
      <c r="FD218" s="5">
        <f t="shared" si="719"/>
        <v>1.7</v>
      </c>
      <c r="FE218" s="150">
        <f t="shared" si="720"/>
        <v>0.88410746701751852</v>
      </c>
      <c r="FF218" s="5">
        <f t="shared" si="721"/>
        <v>88.410746701751847</v>
      </c>
      <c r="FI218" s="59">
        <f t="shared" si="676"/>
        <v>-50</v>
      </c>
      <c r="FJ218">
        <f t="shared" si="677"/>
        <v>-50</v>
      </c>
      <c r="FL218">
        <f t="shared" si="678"/>
        <v>2.9999999999999992E-2</v>
      </c>
    </row>
    <row r="219" spans="5:168">
      <c r="E219" s="147">
        <v>3</v>
      </c>
      <c r="F219" s="188">
        <f t="shared" si="679"/>
        <v>1.4999999999999999E-2</v>
      </c>
      <c r="G219" s="188"/>
      <c r="H219" s="188">
        <f t="shared" si="603"/>
        <v>2.5499999999999998</v>
      </c>
      <c r="I219" s="465">
        <f t="shared" si="604"/>
        <v>15.967400381246467</v>
      </c>
      <c r="J219" s="149">
        <f t="shared" si="605"/>
        <v>8.5383264917095438</v>
      </c>
      <c r="K219" s="149">
        <f t="shared" si="606"/>
        <v>24.505726872956011</v>
      </c>
      <c r="L219" s="379"/>
      <c r="M219" s="188">
        <f t="shared" si="607"/>
        <v>0.34842186048293716</v>
      </c>
      <c r="N219" s="149">
        <f t="shared" si="608"/>
        <v>186.33652087932737</v>
      </c>
      <c r="O219" s="149">
        <f t="shared" si="599"/>
        <v>2.5499999999999998</v>
      </c>
      <c r="P219" s="188">
        <f t="shared" si="609"/>
        <v>1.0960971816431022</v>
      </c>
      <c r="Q219" s="188">
        <f t="shared" si="610"/>
        <v>170</v>
      </c>
      <c r="R219" s="188"/>
      <c r="S219" s="149">
        <f t="shared" si="611"/>
        <v>35163.770307787796</v>
      </c>
      <c r="T219" s="149">
        <f t="shared" si="612"/>
        <v>170</v>
      </c>
      <c r="U219" s="188">
        <f t="shared" si="613"/>
        <v>0.92084120631288902</v>
      </c>
      <c r="V219" s="188">
        <f t="shared" si="614"/>
        <v>8.6505115202823502E-2</v>
      </c>
      <c r="W219" s="188">
        <f t="shared" si="615"/>
        <v>0.1617719597406467</v>
      </c>
      <c r="X219" s="172">
        <f t="shared" si="616"/>
        <v>278.16942216349025</v>
      </c>
      <c r="Y219" s="379">
        <f t="shared" si="680"/>
        <v>350</v>
      </c>
      <c r="AA219" s="188">
        <f t="shared" si="617"/>
        <v>13.333333333333334</v>
      </c>
      <c r="AB219" s="150">
        <f t="shared" si="618"/>
        <v>2.3423793900853283</v>
      </c>
      <c r="AC219" s="150">
        <f t="shared" si="619"/>
        <v>0.21719277380923482</v>
      </c>
      <c r="AD219" s="150"/>
      <c r="AE219" s="150">
        <f t="shared" si="620"/>
        <v>2.3423793900853283</v>
      </c>
      <c r="AF219" s="314">
        <f t="shared" si="621"/>
        <v>19.211234606346469</v>
      </c>
      <c r="AG219" s="456">
        <f t="shared" si="622"/>
        <v>0.21719277380923488</v>
      </c>
      <c r="AI219" s="150">
        <f t="shared" si="623"/>
        <v>3.1237937542508503</v>
      </c>
      <c r="AJ219" s="150">
        <f t="shared" si="624"/>
        <v>13.333333333333334</v>
      </c>
      <c r="AK219" s="150">
        <f t="shared" si="625"/>
        <v>1.0109778483464837</v>
      </c>
      <c r="AM219" s="314">
        <f t="shared" si="626"/>
        <v>15</v>
      </c>
      <c r="AN219" s="144">
        <f t="shared" si="627"/>
        <v>19.211234606346469</v>
      </c>
      <c r="AP219">
        <f t="shared" si="628"/>
        <v>15</v>
      </c>
      <c r="AQ219">
        <f t="shared" si="629"/>
        <v>19.211234606346469</v>
      </c>
      <c r="AS219" s="5">
        <f t="shared" si="600"/>
        <v>52.052875335229523</v>
      </c>
      <c r="AT219" s="5">
        <f t="shared" si="630"/>
        <v>1.2525520449458871</v>
      </c>
      <c r="AU219" s="5">
        <f t="shared" si="478"/>
        <v>50.800323290283636</v>
      </c>
      <c r="AV219" s="5"/>
      <c r="AW219" s="150">
        <f t="shared" si="479"/>
        <v>2.4063071192114465E-2</v>
      </c>
      <c r="AX219" s="150">
        <f t="shared" si="631"/>
        <v>2.561497947512863</v>
      </c>
      <c r="AY219" s="150">
        <f t="shared" si="632"/>
        <v>0.32531230960262852</v>
      </c>
      <c r="AZ219" s="150">
        <f t="shared" si="633"/>
        <v>7.8739656382562107</v>
      </c>
      <c r="BA219" s="144">
        <f t="shared" si="594"/>
        <v>1.1051929808346064E-2</v>
      </c>
      <c r="BB219" s="5">
        <f t="shared" si="595"/>
        <v>13.521385374495848</v>
      </c>
      <c r="BD219" s="150">
        <f t="shared" si="681"/>
        <v>1.1941355762004262</v>
      </c>
      <c r="BE219" s="150">
        <f t="shared" si="682"/>
        <v>0.38024104027876759</v>
      </c>
      <c r="BG219" s="456">
        <f t="shared" si="683"/>
        <v>4.8482632327815807E-3</v>
      </c>
      <c r="BH219" s="456">
        <f t="shared" si="634"/>
        <v>0.15033742896429336</v>
      </c>
      <c r="BI219" s="456">
        <f t="shared" si="635"/>
        <v>1.4049309144813711E-2</v>
      </c>
      <c r="BJ219" s="456">
        <f t="shared" si="684"/>
        <v>7.9028006101010181E-3</v>
      </c>
      <c r="BK219">
        <f t="shared" si="685"/>
        <v>7.1853301715609098E-3</v>
      </c>
      <c r="BL219" s="144">
        <f t="shared" si="686"/>
        <v>21.234639316374622</v>
      </c>
      <c r="BM219" s="456">
        <f t="shared" si="636"/>
        <v>0.16458711957529629</v>
      </c>
      <c r="BN219" s="144">
        <f t="shared" si="687"/>
        <v>164.5871195752963</v>
      </c>
      <c r="BO219" s="456">
        <f t="shared" si="637"/>
        <v>3.7499999999999999E-2</v>
      </c>
      <c r="BR219" s="144">
        <f t="shared" si="688"/>
        <v>37.5</v>
      </c>
      <c r="BS219" s="456">
        <f t="shared" si="689"/>
        <v>2.138939661521286E-3</v>
      </c>
      <c r="BT219" s="456">
        <f t="shared" si="690"/>
        <v>2.8916649742455877E-2</v>
      </c>
      <c r="BU219" s="456">
        <f t="shared" si="691"/>
        <v>5.250552857364197E-2</v>
      </c>
      <c r="BV219" s="456"/>
      <c r="BW219" s="456">
        <f t="shared" si="692"/>
        <v>3.4153305966838176E-3</v>
      </c>
      <c r="BX219" s="144">
        <f t="shared" si="693"/>
        <v>86.97644857430295</v>
      </c>
      <c r="BY219" s="150">
        <f t="shared" si="694"/>
        <v>0.30879958069785357</v>
      </c>
      <c r="BZ219" s="5">
        <f t="shared" si="695"/>
        <v>2.5499999999999998</v>
      </c>
      <c r="CA219" s="150">
        <f t="shared" si="696"/>
        <v>0.89198278089068661</v>
      </c>
      <c r="CB219" s="5">
        <f t="shared" si="697"/>
        <v>89.198278089068666</v>
      </c>
      <c r="CE219" s="59">
        <f t="shared" si="638"/>
        <v>-50</v>
      </c>
      <c r="CF219">
        <f t="shared" si="639"/>
        <v>-50</v>
      </c>
      <c r="CG219" s="150">
        <f t="shared" si="640"/>
        <v>4.5092551882701386E-2</v>
      </c>
      <c r="CI219" s="147">
        <v>3</v>
      </c>
      <c r="CJ219" s="188">
        <f t="shared" si="698"/>
        <v>1.4999999999999999E-2</v>
      </c>
      <c r="CK219" s="188"/>
      <c r="CL219" s="188">
        <f t="shared" si="641"/>
        <v>2.5499999999999998</v>
      </c>
      <c r="CM219" s="465">
        <f t="shared" si="642"/>
        <v>16</v>
      </c>
      <c r="CN219" s="379">
        <f t="shared" si="643"/>
        <v>8.5350000000000001</v>
      </c>
      <c r="CO219" s="379">
        <f t="shared" si="644"/>
        <v>24.535</v>
      </c>
      <c r="CP219" s="379"/>
      <c r="CQ219" s="188">
        <f t="shared" si="645"/>
        <v>0.34787038923986141</v>
      </c>
      <c r="CR219" s="149">
        <f t="shared" si="646"/>
        <v>186.42142245771345</v>
      </c>
      <c r="CS219" s="149">
        <f t="shared" si="647"/>
        <v>2.5499999999999998</v>
      </c>
      <c r="CT219" s="188">
        <f t="shared" si="648"/>
        <v>1.0965966026924321</v>
      </c>
      <c r="CU219" s="188">
        <f t="shared" si="649"/>
        <v>170</v>
      </c>
      <c r="CV219" s="188"/>
      <c r="CW219" s="149">
        <f t="shared" si="650"/>
        <v>35235.561912643061</v>
      </c>
      <c r="CX219" s="149">
        <f t="shared" si="651"/>
        <v>170</v>
      </c>
      <c r="CY219" s="188">
        <f t="shared" si="652"/>
        <v>0.91628954305799648</v>
      </c>
      <c r="CZ219" s="188">
        <f t="shared" si="653"/>
        <v>8.5902144661687177E-2</v>
      </c>
      <c r="DA219" s="188">
        <f t="shared" si="654"/>
        <v>0.16103506907873402</v>
      </c>
      <c r="DB219" s="172">
        <f t="shared" si="655"/>
        <v>278.29631139188916</v>
      </c>
      <c r="DC219" s="379">
        <f t="shared" si="656"/>
        <v>350</v>
      </c>
      <c r="DE219" s="188">
        <f t="shared" si="657"/>
        <v>13.333333333333332</v>
      </c>
      <c r="DF219" s="150">
        <f t="shared" si="658"/>
        <v>2.3432923257176332</v>
      </c>
      <c r="DG219" s="150">
        <f t="shared" si="659"/>
        <v>0.21737653692004619</v>
      </c>
      <c r="DH219" s="150"/>
      <c r="DI219" s="150">
        <f t="shared" si="660"/>
        <v>2.3432923257176337</v>
      </c>
      <c r="DJ219" s="314">
        <f t="shared" si="661"/>
        <v>19.203749999999992</v>
      </c>
      <c r="DK219" s="456">
        <f t="shared" si="662"/>
        <v>0.21737653692004627</v>
      </c>
      <c r="DM219" s="150">
        <f t="shared" si="663"/>
        <v>3.1231851873185028</v>
      </c>
      <c r="DN219" s="150">
        <f t="shared" si="664"/>
        <v>13.333333333333334</v>
      </c>
      <c r="DO219" s="150">
        <f t="shared" si="665"/>
        <v>1.0109735714285715</v>
      </c>
      <c r="DQ219" s="314">
        <f t="shared" si="666"/>
        <v>15</v>
      </c>
      <c r="DR219" s="144">
        <f t="shared" si="667"/>
        <v>19.203749999999992</v>
      </c>
      <c r="DT219">
        <f t="shared" si="668"/>
        <v>15</v>
      </c>
      <c r="DU219">
        <f t="shared" si="669"/>
        <v>19.203749999999992</v>
      </c>
      <c r="DW219" s="5">
        <f t="shared" si="670"/>
        <v>52.073162793725203</v>
      </c>
      <c r="DX219" s="5">
        <f t="shared" si="671"/>
        <v>1.25</v>
      </c>
      <c r="DY219" s="5">
        <f t="shared" si="672"/>
        <v>50.823162793725203</v>
      </c>
      <c r="DZ219" s="5"/>
      <c r="EA219" s="150">
        <f t="shared" si="673"/>
        <v>2.400468749999999E-2</v>
      </c>
      <c r="EB219" s="150">
        <f t="shared" si="699"/>
        <v>2.5604999999999993</v>
      </c>
      <c r="EC219" s="150">
        <f t="shared" si="700"/>
        <v>0.32533177083333337</v>
      </c>
      <c r="ED219" s="150">
        <f t="shared" si="701"/>
        <v>7.8704271440852818</v>
      </c>
      <c r="EE219" s="144">
        <f t="shared" si="674"/>
        <v>1.1029411764705881E-2</v>
      </c>
      <c r="EF219" s="5">
        <f t="shared" si="675"/>
        <v>13.499902617083254</v>
      </c>
      <c r="EH219" s="150">
        <f t="shared" si="702"/>
        <v>1.1926860441876561</v>
      </c>
      <c r="EI219" s="150">
        <f t="shared" si="703"/>
        <v>0.38025241373086399</v>
      </c>
      <c r="EK219" s="456">
        <f t="shared" si="704"/>
        <v>4.8364999999999988E-3</v>
      </c>
      <c r="EL219" s="456">
        <f t="shared" si="705"/>
        <v>0.19097847719999991</v>
      </c>
      <c r="EM219" s="456">
        <f t="shared" si="706"/>
        <v>4.3976587499999983E-3</v>
      </c>
      <c r="EN219" s="456">
        <f t="shared" si="707"/>
        <v>7.9186060919404656E-3</v>
      </c>
      <c r="EO219">
        <f t="shared" si="708"/>
        <v>7.1999999999999998E-3</v>
      </c>
      <c r="EP219" s="144">
        <f t="shared" si="709"/>
        <v>11.597658749999999</v>
      </c>
      <c r="EQ219" s="144"/>
      <c r="ER219" s="144">
        <f t="shared" si="710"/>
        <v>215.33124204194041</v>
      </c>
      <c r="ES219" s="456">
        <f t="shared" si="711"/>
        <v>3.7499999999999999E-2</v>
      </c>
      <c r="EV219" s="144">
        <f t="shared" si="712"/>
        <v>37.5</v>
      </c>
      <c r="EW219" s="456">
        <f t="shared" si="713"/>
        <v>2.1337499999999994E-3</v>
      </c>
      <c r="EX219" s="456">
        <f t="shared" si="714"/>
        <v>2.8918379629629634E-2</v>
      </c>
      <c r="EY219" s="456">
        <f t="shared" si="715"/>
        <v>5.2454403750122058E-2</v>
      </c>
      <c r="EZ219" s="456"/>
      <c r="FA219" s="456">
        <f t="shared" si="716"/>
        <v>3.4139999999999995E-3</v>
      </c>
      <c r="FB219" s="144">
        <f t="shared" si="717"/>
        <v>86.920533379751703</v>
      </c>
      <c r="FC219" s="150">
        <f t="shared" si="718"/>
        <v>0.33975177542169205</v>
      </c>
      <c r="FD219" s="5">
        <f t="shared" si="719"/>
        <v>2.5499999999999998</v>
      </c>
      <c r="FE219" s="150">
        <f t="shared" si="720"/>
        <v>0.8824287337371346</v>
      </c>
      <c r="FF219" s="5">
        <f t="shared" si="721"/>
        <v>88.242873373713465</v>
      </c>
      <c r="FI219" s="59">
        <f t="shared" si="676"/>
        <v>-50</v>
      </c>
      <c r="FJ219">
        <f t="shared" si="677"/>
        <v>-50</v>
      </c>
      <c r="FL219">
        <f t="shared" si="678"/>
        <v>4.4999999999999984E-2</v>
      </c>
    </row>
    <row r="220" spans="5:168">
      <c r="E220" s="147">
        <v>4</v>
      </c>
      <c r="F220" s="188">
        <f t="shared" si="679"/>
        <v>0.02</v>
      </c>
      <c r="G220" s="188"/>
      <c r="H220" s="188">
        <f t="shared" si="603"/>
        <v>3.4</v>
      </c>
      <c r="I220" s="465">
        <f t="shared" si="604"/>
        <v>15.967400381246467</v>
      </c>
      <c r="J220" s="149">
        <f t="shared" si="605"/>
        <v>8.5383264917095438</v>
      </c>
      <c r="K220" s="149">
        <f t="shared" si="606"/>
        <v>24.505726872956011</v>
      </c>
      <c r="L220" s="379"/>
      <c r="M220" s="188">
        <f t="shared" si="607"/>
        <v>0.34842186048293716</v>
      </c>
      <c r="N220" s="149">
        <f t="shared" si="608"/>
        <v>186.33652087932737</v>
      </c>
      <c r="O220" s="149">
        <f t="shared" si="599"/>
        <v>3.4</v>
      </c>
      <c r="P220" s="188">
        <f t="shared" si="609"/>
        <v>1.0960971816431022</v>
      </c>
      <c r="Q220" s="188">
        <f t="shared" si="610"/>
        <v>170</v>
      </c>
      <c r="R220" s="188"/>
      <c r="S220" s="149">
        <f t="shared" si="611"/>
        <v>26292.994462914387</v>
      </c>
      <c r="T220" s="149">
        <f t="shared" si="612"/>
        <v>170</v>
      </c>
      <c r="U220" s="188">
        <f t="shared" si="613"/>
        <v>1.227788275083852</v>
      </c>
      <c r="V220" s="188">
        <f t="shared" si="614"/>
        <v>0.11534015360376468</v>
      </c>
      <c r="W220" s="188">
        <f t="shared" si="615"/>
        <v>0.21569594632086225</v>
      </c>
      <c r="X220" s="172">
        <f t="shared" si="616"/>
        <v>278.16942216349025</v>
      </c>
      <c r="Y220" s="379">
        <f t="shared" si="680"/>
        <v>350</v>
      </c>
      <c r="AA220" s="188">
        <f t="shared" si="617"/>
        <v>13.333333333333334</v>
      </c>
      <c r="AB220" s="150">
        <f t="shared" si="618"/>
        <v>2.3423793900853283</v>
      </c>
      <c r="AC220" s="150">
        <f t="shared" si="619"/>
        <v>0.21719277380923482</v>
      </c>
      <c r="AD220" s="150"/>
      <c r="AE220" s="150">
        <f t="shared" si="620"/>
        <v>2.3423793900853283</v>
      </c>
      <c r="AF220" s="314">
        <f t="shared" si="621"/>
        <v>25.614979475128624</v>
      </c>
      <c r="AG220" s="456">
        <f t="shared" si="622"/>
        <v>0.21719277380923488</v>
      </c>
      <c r="AI220" s="150">
        <f t="shared" si="623"/>
        <v>3.6070463298192004</v>
      </c>
      <c r="AJ220" s="150">
        <f t="shared" si="624"/>
        <v>13.333333333333334</v>
      </c>
      <c r="AK220" s="150">
        <f t="shared" si="625"/>
        <v>1.0146371311286448</v>
      </c>
      <c r="AM220" s="314">
        <f t="shared" si="626"/>
        <v>20</v>
      </c>
      <c r="AN220" s="144">
        <f t="shared" si="627"/>
        <v>25.614979475128624</v>
      </c>
      <c r="AP220">
        <f t="shared" si="628"/>
        <v>20</v>
      </c>
      <c r="AQ220">
        <f t="shared" si="629"/>
        <v>25.614979475128624</v>
      </c>
      <c r="AS220" s="5">
        <f t="shared" si="600"/>
        <v>39.039656501422144</v>
      </c>
      <c r="AT220" s="5">
        <f t="shared" si="630"/>
        <v>1.2525520449458871</v>
      </c>
      <c r="AU220" s="5">
        <f t="shared" si="478"/>
        <v>37.787104456476257</v>
      </c>
      <c r="AV220" s="5"/>
      <c r="AW220" s="150">
        <f t="shared" si="479"/>
        <v>3.2084094922819287E-2</v>
      </c>
      <c r="AX220" s="150">
        <f t="shared" si="631"/>
        <v>3.4153305966838174</v>
      </c>
      <c r="AY220" s="150">
        <f t="shared" si="632"/>
        <v>0.32263863502572693</v>
      </c>
      <c r="AZ220" s="150">
        <f t="shared" si="633"/>
        <v>10.58562188750731</v>
      </c>
      <c r="BA220" s="144">
        <f t="shared" si="594"/>
        <v>1.4735906411128083E-2</v>
      </c>
      <c r="BB220" s="5">
        <f t="shared" si="595"/>
        <v>13.410255905203899</v>
      </c>
      <c r="BD220" s="150">
        <f t="shared" si="681"/>
        <v>1.3788689927364499</v>
      </c>
      <c r="BE220" s="150">
        <f t="shared" si="682"/>
        <v>0.37867525519938999</v>
      </c>
      <c r="BG220" s="456">
        <f t="shared" si="683"/>
        <v>6.4643509770421085E-3</v>
      </c>
      <c r="BH220" s="456">
        <f t="shared" si="634"/>
        <v>0.20044990528572446</v>
      </c>
      <c r="BI220" s="456">
        <f t="shared" si="635"/>
        <v>1.8732412193084944E-2</v>
      </c>
      <c r="BJ220" s="456">
        <f t="shared" si="684"/>
        <v>1.0537067480134691E-2</v>
      </c>
      <c r="BK220">
        <f t="shared" si="685"/>
        <v>7.1853301715609098E-3</v>
      </c>
      <c r="BL220" s="144">
        <f t="shared" si="686"/>
        <v>25.917742364645857</v>
      </c>
      <c r="BM220" s="456">
        <f t="shared" si="636"/>
        <v>0.21953388714435307</v>
      </c>
      <c r="BN220" s="144">
        <f t="shared" si="687"/>
        <v>219.53388714435306</v>
      </c>
      <c r="BO220" s="456">
        <f t="shared" si="637"/>
        <v>0.05</v>
      </c>
      <c r="BR220" s="144">
        <f t="shared" si="688"/>
        <v>50</v>
      </c>
      <c r="BS220" s="456">
        <f t="shared" si="689"/>
        <v>2.8519195486950482E-3</v>
      </c>
      <c r="BT220" s="456">
        <f t="shared" si="690"/>
        <v>2.8678989780064629E-2</v>
      </c>
      <c r="BU220" s="456">
        <f t="shared" si="691"/>
        <v>0.10778339930999388</v>
      </c>
      <c r="BV220" s="456"/>
      <c r="BW220" s="456">
        <f t="shared" si="692"/>
        <v>4.5537741289117563E-3</v>
      </c>
      <c r="BX220" s="144">
        <f t="shared" si="693"/>
        <v>143.8680827676653</v>
      </c>
      <c r="BY220" s="150">
        <f t="shared" si="694"/>
        <v>0.43723714887521248</v>
      </c>
      <c r="BZ220" s="5">
        <f t="shared" si="695"/>
        <v>3.4</v>
      </c>
      <c r="CA220" s="150">
        <f t="shared" si="696"/>
        <v>0.88605417598352565</v>
      </c>
      <c r="CB220" s="5">
        <f t="shared" si="697"/>
        <v>88.60541759835256</v>
      </c>
      <c r="CE220" s="59">
        <f t="shared" si="638"/>
        <v>-50</v>
      </c>
      <c r="CF220">
        <f t="shared" si="639"/>
        <v>-50</v>
      </c>
      <c r="CG220" s="150">
        <f t="shared" si="640"/>
        <v>6.0123402510268521E-2</v>
      </c>
      <c r="CI220" s="147">
        <v>4</v>
      </c>
      <c r="CJ220" s="188">
        <f t="shared" si="698"/>
        <v>0.02</v>
      </c>
      <c r="CK220" s="188"/>
      <c r="CL220" s="188">
        <f t="shared" si="641"/>
        <v>3.4</v>
      </c>
      <c r="CM220" s="465">
        <f t="shared" si="642"/>
        <v>16</v>
      </c>
      <c r="CN220" s="379">
        <f t="shared" si="643"/>
        <v>8.5350000000000001</v>
      </c>
      <c r="CO220" s="379">
        <f t="shared" si="644"/>
        <v>24.535</v>
      </c>
      <c r="CP220" s="379"/>
      <c r="CQ220" s="188">
        <f t="shared" si="645"/>
        <v>0.34787038923986141</v>
      </c>
      <c r="CR220" s="149">
        <f t="shared" si="646"/>
        <v>186.42142245771345</v>
      </c>
      <c r="CS220" s="149">
        <f t="shared" si="647"/>
        <v>3.4</v>
      </c>
      <c r="CT220" s="188">
        <f t="shared" si="648"/>
        <v>1.0965966026924321</v>
      </c>
      <c r="CU220" s="188">
        <f t="shared" si="649"/>
        <v>170</v>
      </c>
      <c r="CV220" s="188"/>
      <c r="CW220" s="149">
        <f t="shared" si="650"/>
        <v>26346.675168462341</v>
      </c>
      <c r="CX220" s="149">
        <f t="shared" si="651"/>
        <v>170</v>
      </c>
      <c r="CY220" s="188">
        <f t="shared" si="652"/>
        <v>1.2217193907439954</v>
      </c>
      <c r="CZ220" s="188">
        <f t="shared" si="653"/>
        <v>0.11453619288224957</v>
      </c>
      <c r="DA220" s="188">
        <f t="shared" si="654"/>
        <v>0.21471342543831204</v>
      </c>
      <c r="DB220" s="172">
        <f t="shared" si="655"/>
        <v>278.29631139188916</v>
      </c>
      <c r="DC220" s="379">
        <f t="shared" si="656"/>
        <v>350</v>
      </c>
      <c r="DE220" s="188">
        <f t="shared" si="657"/>
        <v>13.333333333333332</v>
      </c>
      <c r="DF220" s="150">
        <f t="shared" si="658"/>
        <v>2.3432923257176332</v>
      </c>
      <c r="DG220" s="150">
        <f t="shared" si="659"/>
        <v>0.21737653692004619</v>
      </c>
      <c r="DH220" s="150"/>
      <c r="DI220" s="150">
        <f t="shared" si="660"/>
        <v>2.3432923257176337</v>
      </c>
      <c r="DJ220" s="314">
        <f t="shared" si="661"/>
        <v>25.604999999999993</v>
      </c>
      <c r="DK220" s="456">
        <f t="shared" si="662"/>
        <v>0.21737653692004627</v>
      </c>
      <c r="DM220" s="150">
        <f t="shared" si="663"/>
        <v>3.6063436172547791</v>
      </c>
      <c r="DN220" s="150">
        <f t="shared" si="664"/>
        <v>13.333333333333334</v>
      </c>
      <c r="DO220" s="150">
        <f t="shared" si="665"/>
        <v>1.0146314285714286</v>
      </c>
      <c r="DQ220" s="314">
        <f t="shared" si="666"/>
        <v>20</v>
      </c>
      <c r="DR220" s="144">
        <f t="shared" si="667"/>
        <v>25.604999999999993</v>
      </c>
      <c r="DT220">
        <f t="shared" si="668"/>
        <v>20</v>
      </c>
      <c r="DU220">
        <f t="shared" si="669"/>
        <v>25.604999999999993</v>
      </c>
      <c r="DW220" s="5">
        <f t="shared" si="670"/>
        <v>39.054872095293895</v>
      </c>
      <c r="DX220" s="5">
        <f t="shared" si="671"/>
        <v>1.25</v>
      </c>
      <c r="DY220" s="5">
        <f t="shared" si="672"/>
        <v>37.804872095293895</v>
      </c>
      <c r="DZ220" s="5"/>
      <c r="EA220" s="150">
        <f t="shared" si="673"/>
        <v>3.2006249999999993E-2</v>
      </c>
      <c r="EB220" s="150">
        <f t="shared" si="699"/>
        <v>3.4140000000000001</v>
      </c>
      <c r="EC220" s="150">
        <f t="shared" si="700"/>
        <v>0.32266458333333337</v>
      </c>
      <c r="ED220" s="150">
        <f t="shared" si="701"/>
        <v>10.58064682752342</v>
      </c>
      <c r="EE220" s="144">
        <f t="shared" si="674"/>
        <v>1.4705882352941176E-2</v>
      </c>
      <c r="EF220" s="5">
        <f t="shared" si="675"/>
        <v>13.38922553374992</v>
      </c>
      <c r="EH220" s="150">
        <f t="shared" si="702"/>
        <v>1.3771952173409063</v>
      </c>
      <c r="EI220" s="150">
        <f t="shared" si="703"/>
        <v>0.3786904824279077</v>
      </c>
      <c r="EK220" s="456">
        <f t="shared" si="704"/>
        <v>6.448666666666665E-3</v>
      </c>
      <c r="EL220" s="456">
        <f t="shared" si="705"/>
        <v>0.25463796959999996</v>
      </c>
      <c r="EM220" s="456">
        <f t="shared" si="706"/>
        <v>5.8635449999999987E-3</v>
      </c>
      <c r="EN220" s="456">
        <f t="shared" si="707"/>
        <v>1.0558141455920622E-2</v>
      </c>
      <c r="EO220">
        <f t="shared" si="708"/>
        <v>7.1999999999999998E-3</v>
      </c>
      <c r="EP220" s="144">
        <f t="shared" si="709"/>
        <v>13.063545</v>
      </c>
      <c r="EQ220" s="144"/>
      <c r="ER220" s="144">
        <f t="shared" si="710"/>
        <v>284.70832272258724</v>
      </c>
      <c r="ES220" s="456">
        <f t="shared" si="711"/>
        <v>0.05</v>
      </c>
      <c r="EV220" s="144">
        <f t="shared" si="712"/>
        <v>50</v>
      </c>
      <c r="EW220" s="456">
        <f t="shared" si="713"/>
        <v>2.8449999999999994E-3</v>
      </c>
      <c r="EX220" s="456">
        <f t="shared" si="714"/>
        <v>2.8681296296296295E-2</v>
      </c>
      <c r="EY220" s="456">
        <f t="shared" si="715"/>
        <v>0.10767845022333958</v>
      </c>
      <c r="EZ220" s="456"/>
      <c r="FA220" s="456">
        <f t="shared" si="716"/>
        <v>4.5519999999999996E-3</v>
      </c>
      <c r="FB220" s="144">
        <f t="shared" si="717"/>
        <v>143.75674651963587</v>
      </c>
      <c r="FC220" s="150">
        <f t="shared" si="718"/>
        <v>0.4784650692422231</v>
      </c>
      <c r="FD220" s="5">
        <f t="shared" si="719"/>
        <v>3.4</v>
      </c>
      <c r="FE220" s="150">
        <f t="shared" si="720"/>
        <v>0.87663545740384718</v>
      </c>
      <c r="FF220" s="5">
        <f t="shared" si="721"/>
        <v>87.66354574038472</v>
      </c>
      <c r="FI220" s="59">
        <f t="shared" si="676"/>
        <v>-50</v>
      </c>
      <c r="FJ220">
        <f t="shared" si="677"/>
        <v>-50</v>
      </c>
      <c r="FL220">
        <f t="shared" si="678"/>
        <v>5.9999999999999984E-2</v>
      </c>
    </row>
    <row r="221" spans="5:168">
      <c r="E221" s="147">
        <v>5</v>
      </c>
      <c r="F221" s="188">
        <f t="shared" si="679"/>
        <v>2.5000000000000001E-2</v>
      </c>
      <c r="G221" s="188"/>
      <c r="H221" s="188">
        <f t="shared" si="603"/>
        <v>4.25</v>
      </c>
      <c r="I221" s="465">
        <f t="shared" si="604"/>
        <v>15.967400381246467</v>
      </c>
      <c r="J221" s="149">
        <f t="shared" si="605"/>
        <v>8.5383264917095438</v>
      </c>
      <c r="K221" s="149">
        <f t="shared" si="606"/>
        <v>24.505726872956011</v>
      </c>
      <c r="L221" s="379"/>
      <c r="M221" s="188">
        <f t="shared" si="607"/>
        <v>0.34842186048293716</v>
      </c>
      <c r="N221" s="149">
        <f t="shared" si="608"/>
        <v>186.33652087932737</v>
      </c>
      <c r="O221" s="149">
        <f t="shared" si="599"/>
        <v>4.25</v>
      </c>
      <c r="P221" s="188">
        <f t="shared" si="609"/>
        <v>1.0960971816431022</v>
      </c>
      <c r="Q221" s="188">
        <f t="shared" si="610"/>
        <v>170</v>
      </c>
      <c r="R221" s="188"/>
      <c r="S221" s="149">
        <f t="shared" si="611"/>
        <v>20970.529826907605</v>
      </c>
      <c r="T221" s="149">
        <f t="shared" si="612"/>
        <v>170</v>
      </c>
      <c r="U221" s="188">
        <f t="shared" si="613"/>
        <v>1.534735343854815</v>
      </c>
      <c r="V221" s="188">
        <f t="shared" si="614"/>
        <v>0.14417519200470583</v>
      </c>
      <c r="W221" s="188">
        <f t="shared" si="615"/>
        <v>0.26961993290107783</v>
      </c>
      <c r="X221" s="172">
        <f t="shared" si="616"/>
        <v>278.16942216349025</v>
      </c>
      <c r="Y221" s="379">
        <f t="shared" si="680"/>
        <v>350</v>
      </c>
      <c r="AA221" s="188">
        <f t="shared" si="617"/>
        <v>13.333333333333334</v>
      </c>
      <c r="AB221" s="150">
        <f t="shared" si="618"/>
        <v>2.3423793900853283</v>
      </c>
      <c r="AC221" s="150">
        <f t="shared" si="619"/>
        <v>0.21719277380923482</v>
      </c>
      <c r="AD221" s="150"/>
      <c r="AE221" s="150">
        <f t="shared" si="620"/>
        <v>2.3423793900853283</v>
      </c>
      <c r="AF221" s="314">
        <f t="shared" si="621"/>
        <v>32.018724343910783</v>
      </c>
      <c r="AG221" s="456">
        <f t="shared" si="622"/>
        <v>0.21719277380923488</v>
      </c>
      <c r="AI221" s="150">
        <f t="shared" si="623"/>
        <v>4.0328003957334291</v>
      </c>
      <c r="AJ221" s="150">
        <f t="shared" si="624"/>
        <v>13.333333333333334</v>
      </c>
      <c r="AK221" s="150">
        <f t="shared" si="625"/>
        <v>1.0182964139108062</v>
      </c>
      <c r="AM221" s="314">
        <f t="shared" si="626"/>
        <v>25</v>
      </c>
      <c r="AN221" s="144">
        <f t="shared" si="627"/>
        <v>32.018724343910783</v>
      </c>
      <c r="AP221">
        <f t="shared" si="628"/>
        <v>25</v>
      </c>
      <c r="AQ221">
        <f t="shared" si="629"/>
        <v>32.018724343910783</v>
      </c>
      <c r="AS221" s="5">
        <f t="shared" si="600"/>
        <v>31.231725201137714</v>
      </c>
      <c r="AT221" s="5">
        <f t="shared" si="630"/>
        <v>1.2525520449458871</v>
      </c>
      <c r="AU221" s="5">
        <f t="shared" si="478"/>
        <v>29.979173156191827</v>
      </c>
      <c r="AV221" s="5"/>
      <c r="AW221" s="150">
        <f t="shared" si="479"/>
        <v>4.0105118653524112E-2</v>
      </c>
      <c r="AX221" s="150">
        <f t="shared" si="631"/>
        <v>4.2691632458547719</v>
      </c>
      <c r="AY221" s="150">
        <f t="shared" si="632"/>
        <v>0.31996496044882533</v>
      </c>
      <c r="AZ221" s="150">
        <f t="shared" si="633"/>
        <v>13.342596138859321</v>
      </c>
      <c r="BA221" s="144">
        <f t="shared" si="594"/>
        <v>1.8419883013910104E-2</v>
      </c>
      <c r="BB221" s="5">
        <f t="shared" si="595"/>
        <v>13.299126435911949</v>
      </c>
      <c r="BD221" s="150">
        <f t="shared" si="681"/>
        <v>1.541622399912683</v>
      </c>
      <c r="BE221" s="150">
        <f t="shared" si="682"/>
        <v>0.37710296881404531</v>
      </c>
      <c r="BG221" s="456">
        <f t="shared" si="683"/>
        <v>8.0804387213026362E-3</v>
      </c>
      <c r="BH221" s="456">
        <f t="shared" si="634"/>
        <v>0.25056238160715555</v>
      </c>
      <c r="BI221" s="456">
        <f t="shared" si="635"/>
        <v>2.3415515241356183E-2</v>
      </c>
      <c r="BJ221" s="456">
        <f t="shared" si="684"/>
        <v>1.3171334350168365E-2</v>
      </c>
      <c r="BK221">
        <f t="shared" si="685"/>
        <v>7.1853301715609098E-3</v>
      </c>
      <c r="BL221" s="144">
        <f t="shared" si="686"/>
        <v>30.600845412917092</v>
      </c>
      <c r="BM221" s="456">
        <f t="shared" si="636"/>
        <v>0.27452293307279524</v>
      </c>
      <c r="BN221" s="144">
        <f t="shared" si="687"/>
        <v>274.52293307279524</v>
      </c>
      <c r="BO221" s="456">
        <f t="shared" si="637"/>
        <v>6.25E-2</v>
      </c>
      <c r="BR221" s="144">
        <f t="shared" si="688"/>
        <v>62.5</v>
      </c>
      <c r="BS221" s="456">
        <f t="shared" si="689"/>
        <v>3.5648994358688105E-3</v>
      </c>
      <c r="BT221" s="456">
        <f t="shared" si="690"/>
        <v>2.8441329817673368E-2</v>
      </c>
      <c r="BU221" s="456">
        <f t="shared" si="691"/>
        <v>0.18828984976808635</v>
      </c>
      <c r="BV221" s="456"/>
      <c r="BW221" s="456">
        <f t="shared" si="692"/>
        <v>5.6922176611396962E-3</v>
      </c>
      <c r="BX221" s="144">
        <f t="shared" si="693"/>
        <v>225.98829668276824</v>
      </c>
      <c r="BY221" s="150">
        <f t="shared" si="694"/>
        <v>0.59090329677431197</v>
      </c>
      <c r="BZ221" s="5">
        <f t="shared" si="695"/>
        <v>4.25</v>
      </c>
      <c r="CA221" s="150">
        <f t="shared" si="696"/>
        <v>0.87793532311045042</v>
      </c>
      <c r="CB221" s="5">
        <f t="shared" si="697"/>
        <v>87.793532311045041</v>
      </c>
      <c r="CE221" s="59">
        <f t="shared" si="638"/>
        <v>-50</v>
      </c>
      <c r="CF221">
        <f t="shared" si="639"/>
        <v>-50</v>
      </c>
      <c r="CG221" s="150">
        <f t="shared" si="640"/>
        <v>7.515425313783565E-2</v>
      </c>
      <c r="CI221" s="147">
        <v>5</v>
      </c>
      <c r="CJ221" s="188">
        <f t="shared" si="698"/>
        <v>2.5000000000000001E-2</v>
      </c>
      <c r="CK221" s="188"/>
      <c r="CL221" s="188">
        <f t="shared" si="641"/>
        <v>4.25</v>
      </c>
      <c r="CM221" s="465">
        <f t="shared" si="642"/>
        <v>16</v>
      </c>
      <c r="CN221" s="379">
        <f t="shared" si="643"/>
        <v>8.5350000000000001</v>
      </c>
      <c r="CO221" s="379">
        <f t="shared" si="644"/>
        <v>24.535</v>
      </c>
      <c r="CP221" s="379"/>
      <c r="CQ221" s="188">
        <f t="shared" si="645"/>
        <v>0.34787038923986141</v>
      </c>
      <c r="CR221" s="149">
        <f t="shared" si="646"/>
        <v>186.42142245771345</v>
      </c>
      <c r="CS221" s="149">
        <f t="shared" si="647"/>
        <v>4.25</v>
      </c>
      <c r="CT221" s="188">
        <f t="shared" si="648"/>
        <v>1.0965966026924321</v>
      </c>
      <c r="CU221" s="188">
        <f t="shared" si="649"/>
        <v>170</v>
      </c>
      <c r="CV221" s="188"/>
      <c r="CW221" s="149">
        <f t="shared" si="650"/>
        <v>21013.343992871312</v>
      </c>
      <c r="CX221" s="149">
        <f t="shared" si="651"/>
        <v>170</v>
      </c>
      <c r="CY221" s="188">
        <f t="shared" si="652"/>
        <v>1.5271492384299943</v>
      </c>
      <c r="CZ221" s="188">
        <f t="shared" si="653"/>
        <v>0.14317024110281196</v>
      </c>
      <c r="DA221" s="188">
        <f t="shared" si="654"/>
        <v>0.26839178179789003</v>
      </c>
      <c r="DB221" s="172">
        <f t="shared" si="655"/>
        <v>278.29631139188916</v>
      </c>
      <c r="DC221" s="379">
        <f t="shared" si="656"/>
        <v>350</v>
      </c>
      <c r="DE221" s="188">
        <f t="shared" si="657"/>
        <v>13.333333333333332</v>
      </c>
      <c r="DF221" s="150">
        <f t="shared" si="658"/>
        <v>2.3432923257176332</v>
      </c>
      <c r="DG221" s="150">
        <f t="shared" si="659"/>
        <v>0.21737653692004619</v>
      </c>
      <c r="DH221" s="150"/>
      <c r="DI221" s="150">
        <f t="shared" si="660"/>
        <v>2.3432923257176337</v>
      </c>
      <c r="DJ221" s="314">
        <f t="shared" si="661"/>
        <v>32.006249999999994</v>
      </c>
      <c r="DK221" s="456">
        <f t="shared" si="662"/>
        <v>0.21737653692004627</v>
      </c>
      <c r="DM221" s="150">
        <f t="shared" si="663"/>
        <v>4.0320147392020846</v>
      </c>
      <c r="DN221" s="150">
        <f t="shared" si="664"/>
        <v>13.333333333333334</v>
      </c>
      <c r="DO221" s="150">
        <f t="shared" si="665"/>
        <v>1.0182892857142858</v>
      </c>
      <c r="DQ221" s="314">
        <f t="shared" si="666"/>
        <v>25</v>
      </c>
      <c r="DR221" s="144">
        <f t="shared" si="667"/>
        <v>32.006249999999994</v>
      </c>
      <c r="DT221">
        <f t="shared" si="668"/>
        <v>25</v>
      </c>
      <c r="DU221">
        <f t="shared" si="669"/>
        <v>32.006249999999994</v>
      </c>
      <c r="DW221" s="5">
        <f t="shared" si="670"/>
        <v>31.243897676235115</v>
      </c>
      <c r="DX221" s="5">
        <f t="shared" si="671"/>
        <v>1.25</v>
      </c>
      <c r="DY221" s="5">
        <f t="shared" si="672"/>
        <v>29.993897676235115</v>
      </c>
      <c r="DZ221" s="5"/>
      <c r="EA221" s="150">
        <f t="shared" si="673"/>
        <v>4.0007812499999997E-2</v>
      </c>
      <c r="EB221" s="150">
        <f t="shared" si="699"/>
        <v>4.2675000000000001</v>
      </c>
      <c r="EC221" s="150">
        <f t="shared" si="700"/>
        <v>0.31999739583333336</v>
      </c>
      <c r="ED221" s="150">
        <f t="shared" si="701"/>
        <v>13.336046029020418</v>
      </c>
      <c r="EE221" s="144">
        <f t="shared" si="674"/>
        <v>1.8382352941176468E-2</v>
      </c>
      <c r="EF221" s="5">
        <f t="shared" si="675"/>
        <v>13.278548450416585</v>
      </c>
      <c r="EH221" s="150">
        <f t="shared" si="702"/>
        <v>1.539751062130932</v>
      </c>
      <c r="EI221" s="150">
        <f t="shared" si="703"/>
        <v>0.37712208210977899</v>
      </c>
      <c r="EK221" s="456">
        <f t="shared" si="704"/>
        <v>8.060833333333333E-3</v>
      </c>
      <c r="EL221" s="456">
        <f t="shared" si="705"/>
        <v>0.31829746199999992</v>
      </c>
      <c r="EM221" s="456">
        <f t="shared" si="706"/>
        <v>7.3294312499999981E-3</v>
      </c>
      <c r="EN221" s="456">
        <f t="shared" si="707"/>
        <v>1.3197676819900779E-2</v>
      </c>
      <c r="EO221">
        <f t="shared" si="708"/>
        <v>7.1999999999999998E-3</v>
      </c>
      <c r="EP221" s="144">
        <f t="shared" si="709"/>
        <v>14.529431249999998</v>
      </c>
      <c r="EQ221" s="144"/>
      <c r="ER221" s="144">
        <f t="shared" si="710"/>
        <v>354.08540340323407</v>
      </c>
      <c r="ES221" s="456">
        <f t="shared" si="711"/>
        <v>6.25E-2</v>
      </c>
      <c r="EV221" s="144">
        <f t="shared" si="712"/>
        <v>62.5</v>
      </c>
      <c r="EW221" s="456">
        <f t="shared" si="713"/>
        <v>3.5562500000000004E-3</v>
      </c>
      <c r="EX221" s="456">
        <f t="shared" si="714"/>
        <v>2.844421296296298E-2</v>
      </c>
      <c r="EY221" s="456">
        <f t="shared" si="715"/>
        <v>0.18810651125876177</v>
      </c>
      <c r="EZ221" s="456"/>
      <c r="FA221" s="456">
        <f t="shared" si="716"/>
        <v>5.6900000000000006E-3</v>
      </c>
      <c r="FB221" s="144">
        <f t="shared" si="717"/>
        <v>225.79697422172475</v>
      </c>
      <c r="FC221" s="150">
        <f t="shared" si="718"/>
        <v>0.64238237762495876</v>
      </c>
      <c r="FD221" s="5">
        <f t="shared" si="719"/>
        <v>4.25</v>
      </c>
      <c r="FE221" s="150">
        <f t="shared" si="720"/>
        <v>0.86869743040469227</v>
      </c>
      <c r="FF221" s="5">
        <f t="shared" si="721"/>
        <v>86.869743040469231</v>
      </c>
      <c r="FI221" s="59">
        <f t="shared" si="676"/>
        <v>-50</v>
      </c>
      <c r="FJ221">
        <f t="shared" si="677"/>
        <v>-50</v>
      </c>
      <c r="FL221">
        <f t="shared" si="678"/>
        <v>7.4999999999999997E-2</v>
      </c>
    </row>
    <row r="222" spans="5:168">
      <c r="E222" s="147">
        <v>6</v>
      </c>
      <c r="F222" s="188">
        <f t="shared" si="679"/>
        <v>0.03</v>
      </c>
      <c r="G222" s="188"/>
      <c r="H222" s="188">
        <f t="shared" si="603"/>
        <v>5.0999999999999996</v>
      </c>
      <c r="I222" s="465">
        <f t="shared" si="604"/>
        <v>15.967400381246467</v>
      </c>
      <c r="J222" s="149">
        <f t="shared" si="605"/>
        <v>8.5383264917095438</v>
      </c>
      <c r="K222" s="149">
        <f t="shared" si="606"/>
        <v>24.505726872956011</v>
      </c>
      <c r="L222" s="379"/>
      <c r="M222" s="188">
        <f t="shared" si="607"/>
        <v>0.34842186048293716</v>
      </c>
      <c r="N222" s="149">
        <f t="shared" si="608"/>
        <v>186.33652087932737</v>
      </c>
      <c r="O222" s="149">
        <f t="shared" si="599"/>
        <v>5.0999999999999996</v>
      </c>
      <c r="P222" s="188">
        <f t="shared" si="609"/>
        <v>1.0960971816431022</v>
      </c>
      <c r="Q222" s="188">
        <f t="shared" si="610"/>
        <v>170</v>
      </c>
      <c r="R222" s="188"/>
      <c r="S222" s="149">
        <f t="shared" si="611"/>
        <v>17422.220801970088</v>
      </c>
      <c r="T222" s="149">
        <f t="shared" si="612"/>
        <v>170</v>
      </c>
      <c r="U222" s="188">
        <f t="shared" si="613"/>
        <v>1.841682412625778</v>
      </c>
      <c r="V222" s="188">
        <f t="shared" si="614"/>
        <v>0.173010230405647</v>
      </c>
      <c r="W222" s="188">
        <f t="shared" si="615"/>
        <v>0.32354391948129341</v>
      </c>
      <c r="X222" s="172">
        <f t="shared" si="616"/>
        <v>278.16942216349025</v>
      </c>
      <c r="Y222" s="379">
        <f t="shared" si="680"/>
        <v>350</v>
      </c>
      <c r="AA222" s="188">
        <f t="shared" si="617"/>
        <v>13.333333333333334</v>
      </c>
      <c r="AB222" s="150">
        <f t="shared" si="618"/>
        <v>2.3423793900853283</v>
      </c>
      <c r="AC222" s="150">
        <f t="shared" si="619"/>
        <v>0.21719277380923482</v>
      </c>
      <c r="AD222" s="150"/>
      <c r="AE222" s="150">
        <f t="shared" si="620"/>
        <v>2.3423793900853283</v>
      </c>
      <c r="AF222" s="314">
        <f t="shared" si="621"/>
        <v>38.422469212692938</v>
      </c>
      <c r="AG222" s="456">
        <f t="shared" si="622"/>
        <v>0.21719277380923488</v>
      </c>
      <c r="AI222" s="150">
        <f t="shared" si="623"/>
        <v>4.4177114933179196</v>
      </c>
      <c r="AJ222" s="150">
        <f t="shared" si="624"/>
        <v>13.333333333333334</v>
      </c>
      <c r="AK222" s="150">
        <f t="shared" si="625"/>
        <v>1.0219556966929675</v>
      </c>
      <c r="AM222" s="314">
        <f t="shared" si="626"/>
        <v>30</v>
      </c>
      <c r="AN222" s="144">
        <f>IF(F222&gt;AG222, Y222, AF222)</f>
        <v>38.422469212692938</v>
      </c>
      <c r="AP222">
        <f t="shared" si="628"/>
        <v>30</v>
      </c>
      <c r="AQ222">
        <f t="shared" si="629"/>
        <v>38.422469212692938</v>
      </c>
      <c r="AS222" s="5">
        <f t="shared" si="600"/>
        <v>26.026437667614761</v>
      </c>
      <c r="AT222" s="5">
        <f t="shared" si="630"/>
        <v>1.2525520449458871</v>
      </c>
      <c r="AU222" s="5">
        <f t="shared" si="478"/>
        <v>24.773885622668875</v>
      </c>
      <c r="AV222" s="5"/>
      <c r="AW222" s="150">
        <f t="shared" si="479"/>
        <v>4.812614238422893E-2</v>
      </c>
      <c r="AX222" s="150">
        <f t="shared" si="631"/>
        <v>5.1229958950257259</v>
      </c>
      <c r="AY222" s="150">
        <f t="shared" si="632"/>
        <v>0.31729128587192373</v>
      </c>
      <c r="AZ222" s="150">
        <f t="shared" si="633"/>
        <v>16.146034017125984</v>
      </c>
      <c r="BA222" s="144">
        <f t="shared" si="594"/>
        <v>2.2103859616692128E-2</v>
      </c>
      <c r="BB222" s="5">
        <f t="shared" si="595"/>
        <v>13.187996966619997</v>
      </c>
      <c r="BD222" s="150">
        <f t="shared" si="681"/>
        <v>1.6887627271748533</v>
      </c>
      <c r="BE222" s="150">
        <f t="shared" si="682"/>
        <v>0.3755240994615533</v>
      </c>
      <c r="BG222" s="456">
        <f t="shared" si="683"/>
        <v>9.6965264655631631E-3</v>
      </c>
      <c r="BH222" s="456">
        <f t="shared" si="634"/>
        <v>0.30067485792858673</v>
      </c>
      <c r="BI222" s="456">
        <f t="shared" si="635"/>
        <v>2.8098618289627422E-2</v>
      </c>
      <c r="BJ222" s="456">
        <f t="shared" si="684"/>
        <v>1.5805601220202036E-2</v>
      </c>
      <c r="BK222">
        <f t="shared" si="685"/>
        <v>7.1853301715609098E-3</v>
      </c>
      <c r="BL222" s="144">
        <f t="shared" si="686"/>
        <v>35.283948461188331</v>
      </c>
      <c r="BM222" s="456">
        <f t="shared" si="636"/>
        <v>0.32955430617553105</v>
      </c>
      <c r="BN222" s="144">
        <f t="shared" si="687"/>
        <v>329.55430617553105</v>
      </c>
      <c r="BO222" s="456">
        <f t="shared" si="637"/>
        <v>7.4999999999999997E-2</v>
      </c>
      <c r="BR222" s="144">
        <f t="shared" si="688"/>
        <v>75</v>
      </c>
      <c r="BS222" s="456">
        <f t="shared" si="689"/>
        <v>4.2778793230425719E-3</v>
      </c>
      <c r="BT222" s="456">
        <f t="shared" si="690"/>
        <v>2.8203669855282117E-2</v>
      </c>
      <c r="BU222" s="456">
        <f t="shared" si="691"/>
        <v>0.29701612243365022</v>
      </c>
      <c r="BV222" s="456"/>
      <c r="BW222" s="456">
        <f t="shared" si="692"/>
        <v>6.8306611933676353E-3</v>
      </c>
      <c r="BX222" s="144">
        <f t="shared" si="693"/>
        <v>336.32833280534254</v>
      </c>
      <c r="BY222" s="150">
        <f t="shared" si="694"/>
        <v>0.77278926688088279</v>
      </c>
      <c r="BZ222" s="5">
        <f t="shared" si="695"/>
        <v>5.0999999999999996</v>
      </c>
      <c r="CA222" s="150">
        <f t="shared" si="696"/>
        <v>0.86841188543253789</v>
      </c>
      <c r="CB222" s="5">
        <f t="shared" si="697"/>
        <v>86.841188543253793</v>
      </c>
      <c r="CE222" s="59">
        <f t="shared" si="638"/>
        <v>-50</v>
      </c>
      <c r="CF222">
        <f t="shared" si="639"/>
        <v>-50</v>
      </c>
      <c r="CG222" s="150">
        <f t="shared" si="640"/>
        <v>9.0185103765402772E-2</v>
      </c>
      <c r="CI222" s="147">
        <v>6</v>
      </c>
      <c r="CJ222" s="188">
        <f t="shared" si="698"/>
        <v>0.03</v>
      </c>
      <c r="CK222" s="188"/>
      <c r="CL222" s="188">
        <f t="shared" si="641"/>
        <v>5.0999999999999996</v>
      </c>
      <c r="CM222" s="465">
        <f t="shared" si="642"/>
        <v>16</v>
      </c>
      <c r="CN222" s="379">
        <f t="shared" si="643"/>
        <v>8.5350000000000001</v>
      </c>
      <c r="CO222" s="379">
        <f t="shared" si="644"/>
        <v>24.535</v>
      </c>
      <c r="CP222" s="379"/>
      <c r="CQ222" s="188">
        <f t="shared" si="645"/>
        <v>0.34787038923986141</v>
      </c>
      <c r="CR222" s="149">
        <f t="shared" si="646"/>
        <v>186.42142245771345</v>
      </c>
      <c r="CS222" s="149">
        <f t="shared" si="647"/>
        <v>5.0999999999999996</v>
      </c>
      <c r="CT222" s="188">
        <f t="shared" si="648"/>
        <v>1.0965966026924321</v>
      </c>
      <c r="CU222" s="188">
        <f t="shared" si="649"/>
        <v>170</v>
      </c>
      <c r="CV222" s="188"/>
      <c r="CW222" s="149">
        <f t="shared" si="650"/>
        <v>17457.790608211122</v>
      </c>
      <c r="CX222" s="149">
        <f t="shared" si="651"/>
        <v>170</v>
      </c>
      <c r="CY222" s="188">
        <f t="shared" si="652"/>
        <v>1.832579086115993</v>
      </c>
      <c r="CZ222" s="188">
        <f t="shared" si="653"/>
        <v>0.17180428932337435</v>
      </c>
      <c r="DA222" s="188">
        <f t="shared" si="654"/>
        <v>0.32207013815746804</v>
      </c>
      <c r="DB222" s="172">
        <f t="shared" si="655"/>
        <v>278.29631139188916</v>
      </c>
      <c r="DC222" s="379">
        <f t="shared" si="656"/>
        <v>350</v>
      </c>
      <c r="DE222" s="188">
        <f t="shared" si="657"/>
        <v>13.333333333333332</v>
      </c>
      <c r="DF222" s="150">
        <f t="shared" si="658"/>
        <v>2.3432923257176332</v>
      </c>
      <c r="DG222" s="150">
        <f t="shared" si="659"/>
        <v>0.21737653692004619</v>
      </c>
      <c r="DH222" s="150"/>
      <c r="DI222" s="150">
        <f t="shared" si="660"/>
        <v>2.3432923257176337</v>
      </c>
      <c r="DJ222" s="314">
        <f t="shared" si="661"/>
        <v>38.407499999999985</v>
      </c>
      <c r="DK222" s="456">
        <f t="shared" si="662"/>
        <v>0.21737653692004627</v>
      </c>
      <c r="DM222" s="150">
        <f t="shared" si="663"/>
        <v>4.4168508497085819</v>
      </c>
      <c r="DN222" s="150">
        <f t="shared" si="664"/>
        <v>13.333333333333334</v>
      </c>
      <c r="DO222" s="150">
        <f t="shared" si="665"/>
        <v>1.0219471428571429</v>
      </c>
      <c r="DQ222" s="314">
        <f t="shared" si="666"/>
        <v>30</v>
      </c>
      <c r="DR222" s="144">
        <f t="shared" si="667"/>
        <v>38.407499999999985</v>
      </c>
      <c r="DT222">
        <f t="shared" si="668"/>
        <v>30</v>
      </c>
      <c r="DU222">
        <f t="shared" si="669"/>
        <v>38.407499999999985</v>
      </c>
      <c r="DW222" s="5">
        <f t="shared" si="670"/>
        <v>26.036581396862601</v>
      </c>
      <c r="DX222" s="5">
        <f t="shared" si="671"/>
        <v>1.25</v>
      </c>
      <c r="DY222" s="5">
        <f t="shared" si="672"/>
        <v>24.786581396862601</v>
      </c>
      <c r="DZ222" s="5"/>
      <c r="EA222" s="150">
        <f t="shared" si="673"/>
        <v>4.8009374999999979E-2</v>
      </c>
      <c r="EB222" s="150">
        <f t="shared" si="699"/>
        <v>5.1209999999999987</v>
      </c>
      <c r="EC222" s="150">
        <f t="shared" si="700"/>
        <v>0.31733020833333336</v>
      </c>
      <c r="ED222" s="150">
        <f t="shared" si="701"/>
        <v>16.137763961698671</v>
      </c>
      <c r="EE222" s="144">
        <f t="shared" si="674"/>
        <v>2.2058823529411763E-2</v>
      </c>
      <c r="EF222" s="5">
        <f t="shared" si="675"/>
        <v>13.167871367083254</v>
      </c>
      <c r="EH222" s="150">
        <f t="shared" si="702"/>
        <v>1.6867127793432999</v>
      </c>
      <c r="EI222" s="150">
        <f t="shared" si="703"/>
        <v>0.37554713172669574</v>
      </c>
      <c r="EK222" s="456">
        <f t="shared" si="704"/>
        <v>9.6729999999999976E-3</v>
      </c>
      <c r="EL222" s="456">
        <f t="shared" si="705"/>
        <v>0.38195695439999983</v>
      </c>
      <c r="EM222" s="456">
        <f t="shared" si="706"/>
        <v>8.7953174999999967E-3</v>
      </c>
      <c r="EN222" s="456">
        <f t="shared" si="707"/>
        <v>1.5837212183880931E-2</v>
      </c>
      <c r="EO222">
        <f t="shared" si="708"/>
        <v>7.1999999999999998E-3</v>
      </c>
      <c r="EP222" s="144">
        <f t="shared" si="709"/>
        <v>15.995317499999995</v>
      </c>
      <c r="EQ222" s="144"/>
      <c r="ER222" s="144">
        <f t="shared" si="710"/>
        <v>423.46248408388078</v>
      </c>
      <c r="ES222" s="456">
        <f t="shared" si="711"/>
        <v>7.4999999999999997E-2</v>
      </c>
      <c r="EV222" s="144">
        <f t="shared" si="712"/>
        <v>75</v>
      </c>
      <c r="EW222" s="456">
        <f t="shared" si="713"/>
        <v>4.2674999999999987E-3</v>
      </c>
      <c r="EX222" s="456">
        <f t="shared" si="714"/>
        <v>2.8207129629629638E-2</v>
      </c>
      <c r="EY222" s="456">
        <f t="shared" si="715"/>
        <v>0.2967269167584668</v>
      </c>
      <c r="EZ222" s="456"/>
      <c r="FA222" s="456">
        <f t="shared" si="716"/>
        <v>6.827999999999999E-3</v>
      </c>
      <c r="FB222" s="144">
        <f t="shared" si="717"/>
        <v>336.02954638809643</v>
      </c>
      <c r="FC222" s="150">
        <f t="shared" si="718"/>
        <v>0.83449203047197729</v>
      </c>
      <c r="FD222" s="5">
        <f t="shared" si="719"/>
        <v>5.0999999999999996</v>
      </c>
      <c r="FE222" s="150">
        <f t="shared" si="720"/>
        <v>0.85938273635096463</v>
      </c>
      <c r="FF222" s="5">
        <f t="shared" si="721"/>
        <v>85.938273635096465</v>
      </c>
      <c r="FI222" s="59">
        <f t="shared" si="676"/>
        <v>-50</v>
      </c>
      <c r="FJ222">
        <f t="shared" si="677"/>
        <v>-50</v>
      </c>
      <c r="FL222">
        <f t="shared" si="678"/>
        <v>8.9999999999999969E-2</v>
      </c>
    </row>
    <row r="223" spans="5:168">
      <c r="E223" s="147">
        <v>7</v>
      </c>
      <c r="F223" s="188">
        <f t="shared" si="679"/>
        <v>3.5000000000000003E-2</v>
      </c>
      <c r="G223" s="188"/>
      <c r="H223" s="188">
        <f t="shared" si="603"/>
        <v>5.95</v>
      </c>
      <c r="I223" s="465">
        <f t="shared" si="604"/>
        <v>15.967400381246467</v>
      </c>
      <c r="J223" s="149">
        <f t="shared" si="605"/>
        <v>8.5383264917095438</v>
      </c>
      <c r="K223" s="149">
        <f t="shared" si="606"/>
        <v>24.505726872956011</v>
      </c>
      <c r="L223" s="379"/>
      <c r="M223" s="188">
        <f t="shared" si="607"/>
        <v>0.34842186048293716</v>
      </c>
      <c r="N223" s="149">
        <f t="shared" si="608"/>
        <v>186.33652087932737</v>
      </c>
      <c r="O223" s="149">
        <f t="shared" si="599"/>
        <v>5.95</v>
      </c>
      <c r="P223" s="188">
        <f t="shared" si="609"/>
        <v>1.0960971816431022</v>
      </c>
      <c r="Q223" s="188">
        <f t="shared" si="610"/>
        <v>170</v>
      </c>
      <c r="R223" s="188"/>
      <c r="S223" s="149">
        <f t="shared" si="611"/>
        <v>14887.714989115211</v>
      </c>
      <c r="T223" s="149">
        <f t="shared" si="612"/>
        <v>170</v>
      </c>
      <c r="U223" s="188">
        <f t="shared" si="613"/>
        <v>2.1486294813967413</v>
      </c>
      <c r="V223" s="188">
        <f t="shared" si="614"/>
        <v>0.20184526880658821</v>
      </c>
      <c r="W223" s="188">
        <f t="shared" si="615"/>
        <v>0.37746790606150904</v>
      </c>
      <c r="X223" s="172">
        <f t="shared" si="616"/>
        <v>278.16942216349025</v>
      </c>
      <c r="Y223" s="379">
        <f t="shared" si="680"/>
        <v>350</v>
      </c>
      <c r="AA223" s="188">
        <f t="shared" si="617"/>
        <v>13.333333333333334</v>
      </c>
      <c r="AB223" s="150">
        <f t="shared" si="618"/>
        <v>2.3423793900853283</v>
      </c>
      <c r="AC223" s="150">
        <f t="shared" si="619"/>
        <v>0.21719277380923482</v>
      </c>
      <c r="AD223" s="150"/>
      <c r="AE223" s="150">
        <f t="shared" si="620"/>
        <v>2.3423793900853283</v>
      </c>
      <c r="AF223" s="314">
        <f t="shared" si="621"/>
        <v>44.826214081475094</v>
      </c>
      <c r="AG223" s="456">
        <f t="shared" si="622"/>
        <v>0.21719277380923488</v>
      </c>
      <c r="AI223" s="150">
        <f t="shared" si="623"/>
        <v>4.7716737780949341</v>
      </c>
      <c r="AJ223" s="150">
        <f t="shared" si="624"/>
        <v>13.333333333333334</v>
      </c>
      <c r="AK223" s="150">
        <f t="shared" si="625"/>
        <v>1.0256149794751286</v>
      </c>
      <c r="AM223" s="314">
        <f t="shared" si="626"/>
        <v>35</v>
      </c>
      <c r="AN223" s="144">
        <f t="shared" si="627"/>
        <v>44.826214081475094</v>
      </c>
      <c r="AP223">
        <f t="shared" si="628"/>
        <v>35</v>
      </c>
      <c r="AQ223">
        <f t="shared" si="629"/>
        <v>44.826214081475094</v>
      </c>
      <c r="AS223" s="5">
        <f t="shared" si="600"/>
        <v>22.308375143669796</v>
      </c>
      <c r="AT223" s="5">
        <f t="shared" si="630"/>
        <v>1.2525520449458871</v>
      </c>
      <c r="AU223" s="5">
        <f t="shared" si="478"/>
        <v>21.055823098723909</v>
      </c>
      <c r="AV223" s="5"/>
      <c r="AW223" s="150">
        <f t="shared" si="479"/>
        <v>5.6147166114933748E-2</v>
      </c>
      <c r="AX223" s="150">
        <f t="shared" si="631"/>
        <v>5.9768285441966809</v>
      </c>
      <c r="AY223" s="150">
        <f t="shared" si="632"/>
        <v>0.31461761129502214</v>
      </c>
      <c r="AZ223" s="150">
        <f t="shared" si="633"/>
        <v>18.997120089987938</v>
      </c>
      <c r="BA223" s="144">
        <f t="shared" si="594"/>
        <v>2.5787836219474152E-2</v>
      </c>
      <c r="BB223" s="5">
        <f t="shared" si="595"/>
        <v>13.076867497328049</v>
      </c>
      <c r="BD223" s="150">
        <f t="shared" si="681"/>
        <v>1.8240722226593868</v>
      </c>
      <c r="BE223" s="150">
        <f t="shared" si="682"/>
        <v>0.37393856375674106</v>
      </c>
      <c r="BG223" s="456">
        <f t="shared" si="683"/>
        <v>1.131261420982369E-2</v>
      </c>
      <c r="BH223" s="456">
        <f t="shared" si="634"/>
        <v>0.35078733425001779</v>
      </c>
      <c r="BI223" s="456">
        <f t="shared" si="635"/>
        <v>3.2781721337898653E-2</v>
      </c>
      <c r="BJ223" s="456">
        <f t="shared" si="684"/>
        <v>1.8439868090235709E-2</v>
      </c>
      <c r="BK223">
        <f t="shared" si="685"/>
        <v>7.1853301715609098E-3</v>
      </c>
      <c r="BL223" s="144">
        <f t="shared" si="686"/>
        <v>39.967051509459559</v>
      </c>
      <c r="BM223" s="456">
        <f t="shared" si="636"/>
        <v>0.38462805534264699</v>
      </c>
      <c r="BN223" s="144">
        <f t="shared" si="687"/>
        <v>384.62805534264697</v>
      </c>
      <c r="BO223" s="456">
        <f t="shared" si="637"/>
        <v>8.7500000000000008E-2</v>
      </c>
      <c r="BR223" s="144">
        <f t="shared" si="688"/>
        <v>87.500000000000014</v>
      </c>
      <c r="BS223" s="456">
        <f t="shared" si="689"/>
        <v>4.9908592102163342E-3</v>
      </c>
      <c r="BT223" s="456">
        <f t="shared" si="690"/>
        <v>2.7966009892890858E-2</v>
      </c>
      <c r="BU223" s="456">
        <f t="shared" si="691"/>
        <v>0.43666360724172898</v>
      </c>
      <c r="BV223" s="456"/>
      <c r="BW223" s="456">
        <f t="shared" si="692"/>
        <v>7.9691047255955744E-3</v>
      </c>
      <c r="BX223" s="144">
        <f t="shared" si="693"/>
        <v>477.58958107043173</v>
      </c>
      <c r="BY223" s="150">
        <f t="shared" si="694"/>
        <v>0.98559644912996858</v>
      </c>
      <c r="BZ223" s="5">
        <f t="shared" si="695"/>
        <v>5.95</v>
      </c>
      <c r="CA223" s="150">
        <f t="shared" si="696"/>
        <v>0.85789305125248361</v>
      </c>
      <c r="CB223" s="5">
        <f t="shared" si="697"/>
        <v>85.789305125248362</v>
      </c>
      <c r="CE223" s="59">
        <f t="shared" si="638"/>
        <v>-50</v>
      </c>
      <c r="CF223">
        <f t="shared" si="639"/>
        <v>-50</v>
      </c>
      <c r="CG223" s="150">
        <f t="shared" si="640"/>
        <v>0.10521595439296992</v>
      </c>
      <c r="CI223" s="147">
        <v>7</v>
      </c>
      <c r="CJ223" s="188">
        <f t="shared" si="698"/>
        <v>3.5000000000000003E-2</v>
      </c>
      <c r="CK223" s="188"/>
      <c r="CL223" s="188">
        <f t="shared" si="641"/>
        <v>5.95</v>
      </c>
      <c r="CM223" s="465">
        <f t="shared" si="642"/>
        <v>16</v>
      </c>
      <c r="CN223" s="379">
        <f t="shared" si="643"/>
        <v>8.5350000000000001</v>
      </c>
      <c r="CO223" s="379">
        <f t="shared" si="644"/>
        <v>24.535</v>
      </c>
      <c r="CP223" s="379"/>
      <c r="CQ223" s="188">
        <f t="shared" si="645"/>
        <v>0.34787038923986141</v>
      </c>
      <c r="CR223" s="149">
        <f t="shared" si="646"/>
        <v>186.42142245771345</v>
      </c>
      <c r="CS223" s="149">
        <f t="shared" si="647"/>
        <v>5.95</v>
      </c>
      <c r="CT223" s="188">
        <f t="shared" si="648"/>
        <v>1.0965966026924321</v>
      </c>
      <c r="CU223" s="188">
        <f t="shared" si="649"/>
        <v>170</v>
      </c>
      <c r="CV223" s="188"/>
      <c r="CW223" s="149">
        <f t="shared" si="650"/>
        <v>14918.110252697355</v>
      </c>
      <c r="CX223" s="149">
        <f t="shared" si="651"/>
        <v>170</v>
      </c>
      <c r="CY223" s="188">
        <f t="shared" si="652"/>
        <v>2.1380089338019919</v>
      </c>
      <c r="CZ223" s="188">
        <f t="shared" si="653"/>
        <v>0.20043833754393675</v>
      </c>
      <c r="DA223" s="188">
        <f t="shared" si="654"/>
        <v>0.37574849451704606</v>
      </c>
      <c r="DB223" s="172">
        <f t="shared" si="655"/>
        <v>278.29631139188916</v>
      </c>
      <c r="DC223" s="379">
        <f t="shared" si="656"/>
        <v>350</v>
      </c>
      <c r="DE223" s="188">
        <f t="shared" si="657"/>
        <v>13.333333333333332</v>
      </c>
      <c r="DF223" s="150">
        <f t="shared" si="658"/>
        <v>2.3432923257176332</v>
      </c>
      <c r="DG223" s="150">
        <f t="shared" si="659"/>
        <v>0.21737653692004619</v>
      </c>
      <c r="DH223" s="150"/>
      <c r="DI223" s="150">
        <f t="shared" si="660"/>
        <v>2.3432923257176337</v>
      </c>
      <c r="DJ223" s="314">
        <f t="shared" si="661"/>
        <v>44.808749999999989</v>
      </c>
      <c r="DK223" s="456">
        <f t="shared" si="662"/>
        <v>0.21737653692004627</v>
      </c>
      <c r="DM223" s="150">
        <f t="shared" si="663"/>
        <v>4.7707441767506253</v>
      </c>
      <c r="DN223" s="150">
        <f t="shared" si="664"/>
        <v>13.333333333333334</v>
      </c>
      <c r="DO223" s="150">
        <f t="shared" si="665"/>
        <v>1.0256050000000001</v>
      </c>
      <c r="DQ223" s="314">
        <f t="shared" si="666"/>
        <v>35</v>
      </c>
      <c r="DR223" s="144">
        <f t="shared" si="667"/>
        <v>44.808749999999989</v>
      </c>
      <c r="DT223">
        <f t="shared" si="668"/>
        <v>35</v>
      </c>
      <c r="DU223">
        <f t="shared" si="669"/>
        <v>44.808749999999989</v>
      </c>
      <c r="DW223" s="5">
        <f t="shared" si="670"/>
        <v>22.317069768739369</v>
      </c>
      <c r="DX223" s="5">
        <f t="shared" si="671"/>
        <v>1.25</v>
      </c>
      <c r="DY223" s="5">
        <f t="shared" si="672"/>
        <v>21.067069768739369</v>
      </c>
      <c r="DZ223" s="5"/>
      <c r="EA223" s="150">
        <f t="shared" si="673"/>
        <v>5.601093749999999E-2</v>
      </c>
      <c r="EB223" s="150">
        <f t="shared" si="699"/>
        <v>5.9744999999999999</v>
      </c>
      <c r="EC223" s="150">
        <f t="shared" si="700"/>
        <v>0.31466302083333336</v>
      </c>
      <c r="ED223" s="150">
        <f t="shared" si="701"/>
        <v>18.986978464064563</v>
      </c>
      <c r="EE223" s="144">
        <f t="shared" si="674"/>
        <v>2.5735294117647061E-2</v>
      </c>
      <c r="EF223" s="5">
        <f t="shared" si="675"/>
        <v>13.05719428374992</v>
      </c>
      <c r="EH223" s="150">
        <f t="shared" si="702"/>
        <v>1.8218580259357935</v>
      </c>
      <c r="EI223" s="150">
        <f t="shared" si="703"/>
        <v>0.37396554852216207</v>
      </c>
      <c r="EK223" s="456">
        <f t="shared" si="704"/>
        <v>1.1285166666666666E-2</v>
      </c>
      <c r="EL223" s="456">
        <f t="shared" si="705"/>
        <v>0.4456164467999999</v>
      </c>
      <c r="EM223" s="456">
        <f t="shared" si="706"/>
        <v>1.0261203749999998E-2</v>
      </c>
      <c r="EN223" s="456">
        <f t="shared" si="707"/>
        <v>1.8476747547861092E-2</v>
      </c>
      <c r="EO223">
        <f t="shared" si="708"/>
        <v>7.1999999999999998E-3</v>
      </c>
      <c r="EP223" s="144">
        <f t="shared" si="709"/>
        <v>17.461203749999999</v>
      </c>
      <c r="EQ223" s="144"/>
      <c r="ER223" s="144">
        <f t="shared" si="710"/>
        <v>492.83956476452767</v>
      </c>
      <c r="ES223" s="456">
        <f t="shared" si="711"/>
        <v>8.7500000000000008E-2</v>
      </c>
      <c r="EV223" s="144">
        <f t="shared" si="712"/>
        <v>87.500000000000014</v>
      </c>
      <c r="EW223" s="456">
        <f t="shared" si="713"/>
        <v>4.9787499999999997E-3</v>
      </c>
      <c r="EX223" s="456">
        <f t="shared" si="714"/>
        <v>2.7970046296296316E-2</v>
      </c>
      <c r="EY223" s="456">
        <f t="shared" si="715"/>
        <v>0.43623842630432519</v>
      </c>
      <c r="EZ223" s="456"/>
      <c r="FA223" s="456">
        <f t="shared" si="716"/>
        <v>7.9659999999999991E-3</v>
      </c>
      <c r="FB223" s="144">
        <f t="shared" si="717"/>
        <v>477.15322260062146</v>
      </c>
      <c r="FC223" s="150">
        <f t="shared" si="718"/>
        <v>1.0574927873651492</v>
      </c>
      <c r="FD223" s="5">
        <f t="shared" si="719"/>
        <v>5.95</v>
      </c>
      <c r="FE223" s="150">
        <f t="shared" si="720"/>
        <v>0.84909113438234862</v>
      </c>
      <c r="FF223" s="5">
        <f t="shared" si="721"/>
        <v>84.909113438234868</v>
      </c>
      <c r="FI223" s="59">
        <f t="shared" si="676"/>
        <v>-50</v>
      </c>
      <c r="FJ223">
        <f t="shared" si="677"/>
        <v>-50</v>
      </c>
      <c r="FL223">
        <f t="shared" si="678"/>
        <v>0.105</v>
      </c>
    </row>
    <row r="224" spans="5:168">
      <c r="E224" s="147">
        <v>8</v>
      </c>
      <c r="F224" s="188">
        <f t="shared" si="679"/>
        <v>0.04</v>
      </c>
      <c r="G224" s="188"/>
      <c r="H224" s="188">
        <f t="shared" si="603"/>
        <v>6.8</v>
      </c>
      <c r="I224" s="465">
        <f t="shared" si="604"/>
        <v>15.967400381246467</v>
      </c>
      <c r="J224" s="149">
        <f t="shared" si="605"/>
        <v>8.5383264917095438</v>
      </c>
      <c r="K224" s="149">
        <f t="shared" si="606"/>
        <v>24.505726872956011</v>
      </c>
      <c r="L224" s="379"/>
      <c r="M224" s="188">
        <f t="shared" si="607"/>
        <v>0.34842186048293716</v>
      </c>
      <c r="N224" s="149">
        <f t="shared" si="608"/>
        <v>186.33652087932737</v>
      </c>
      <c r="O224" s="149">
        <f t="shared" si="599"/>
        <v>6.8</v>
      </c>
      <c r="P224" s="188">
        <f t="shared" si="609"/>
        <v>1.0960971816431022</v>
      </c>
      <c r="Q224" s="188">
        <f t="shared" si="610"/>
        <v>170</v>
      </c>
      <c r="R224" s="188"/>
      <c r="S224" s="149">
        <f t="shared" si="611"/>
        <v>12986.836188911322</v>
      </c>
      <c r="T224" s="149">
        <f t="shared" si="612"/>
        <v>170</v>
      </c>
      <c r="U224" s="188">
        <f t="shared" si="613"/>
        <v>2.455576550167704</v>
      </c>
      <c r="V224" s="188">
        <f t="shared" si="614"/>
        <v>0.23068030720752936</v>
      </c>
      <c r="W224" s="188">
        <f t="shared" si="615"/>
        <v>0.43139189264172451</v>
      </c>
      <c r="X224" s="172">
        <f t="shared" si="616"/>
        <v>278.16942216349025</v>
      </c>
      <c r="Y224" s="379">
        <f t="shared" si="680"/>
        <v>350</v>
      </c>
      <c r="AA224" s="188">
        <f t="shared" si="617"/>
        <v>13.333333333333334</v>
      </c>
      <c r="AB224" s="150">
        <f t="shared" si="618"/>
        <v>2.3423793900853283</v>
      </c>
      <c r="AC224" s="150">
        <f t="shared" si="619"/>
        <v>0.21719277380923482</v>
      </c>
      <c r="AD224" s="150"/>
      <c r="AE224" s="150">
        <f t="shared" si="620"/>
        <v>2.3423793900853283</v>
      </c>
      <c r="AF224" s="314">
        <f t="shared" si="621"/>
        <v>51.229958950257249</v>
      </c>
      <c r="AG224" s="456">
        <f t="shared" si="622"/>
        <v>0.21719277380923488</v>
      </c>
      <c r="AI224" s="150">
        <f t="shared" si="623"/>
        <v>5.1011338397384094</v>
      </c>
      <c r="AJ224" s="150">
        <f t="shared" si="624"/>
        <v>13.333333333333334</v>
      </c>
      <c r="AK224" s="150">
        <f t="shared" si="625"/>
        <v>1.0292742622572899</v>
      </c>
      <c r="AM224" s="314">
        <f t="shared" si="626"/>
        <v>40</v>
      </c>
      <c r="AN224" s="144">
        <f t="shared" si="627"/>
        <v>51.229958950257249</v>
      </c>
      <c r="AP224">
        <f t="shared" si="628"/>
        <v>40</v>
      </c>
      <c r="AQ224">
        <f t="shared" si="629"/>
        <v>51.229958950257249</v>
      </c>
      <c r="AS224" s="5">
        <f t="shared" si="600"/>
        <v>19.519828250711072</v>
      </c>
      <c r="AT224" s="5">
        <f t="shared" si="630"/>
        <v>1.2525520449458871</v>
      </c>
      <c r="AU224" s="5">
        <f t="shared" si="478"/>
        <v>18.267276205765185</v>
      </c>
      <c r="AV224" s="5"/>
      <c r="AW224" s="150">
        <f t="shared" si="479"/>
        <v>6.4168189845638574E-2</v>
      </c>
      <c r="AX224" s="150">
        <f t="shared" si="631"/>
        <v>6.8306611933676349</v>
      </c>
      <c r="AY224" s="150">
        <f t="shared" si="632"/>
        <v>0.31194393671812054</v>
      </c>
      <c r="AZ224" s="150">
        <f t="shared" si="633"/>
        <v>21.89707953689118</v>
      </c>
      <c r="BA224" s="144">
        <f t="shared" si="594"/>
        <v>2.9471812822256166E-2</v>
      </c>
      <c r="BB224" s="5">
        <f t="shared" si="595"/>
        <v>12.965738028036098</v>
      </c>
      <c r="BD224" s="150">
        <f t="shared" si="681"/>
        <v>1.9500152302636162</v>
      </c>
      <c r="BE224" s="150">
        <f t="shared" si="682"/>
        <v>0.3723462765390545</v>
      </c>
      <c r="BG224" s="456">
        <f t="shared" si="683"/>
        <v>1.2928701954084217E-2</v>
      </c>
      <c r="BH224" s="456">
        <f t="shared" si="634"/>
        <v>0.40089981057144891</v>
      </c>
      <c r="BI224" s="456">
        <f t="shared" si="635"/>
        <v>3.7464824386169888E-2</v>
      </c>
      <c r="BJ224" s="456">
        <f t="shared" si="684"/>
        <v>2.1074134960269383E-2</v>
      </c>
      <c r="BK224">
        <f t="shared" si="685"/>
        <v>7.1853301715609098E-3</v>
      </c>
      <c r="BL224" s="144">
        <f t="shared" si="686"/>
        <v>44.650154557730794</v>
      </c>
      <c r="BM224" s="456">
        <f t="shared" si="636"/>
        <v>0.43974422953955272</v>
      </c>
      <c r="BN224" s="144">
        <f t="shared" si="687"/>
        <v>439.74422953955275</v>
      </c>
      <c r="BO224" s="456">
        <f t="shared" si="637"/>
        <v>0.1</v>
      </c>
      <c r="BR224" s="144">
        <f t="shared" si="688"/>
        <v>100</v>
      </c>
      <c r="BS224" s="456">
        <f t="shared" si="689"/>
        <v>5.7038390973900965E-3</v>
      </c>
      <c r="BT224" s="456">
        <f t="shared" si="690"/>
        <v>2.7728349930499607E-2</v>
      </c>
      <c r="BU224" s="456">
        <f t="shared" si="691"/>
        <v>0.60971498041147254</v>
      </c>
      <c r="BV224" s="456"/>
      <c r="BW224" s="456">
        <f t="shared" si="692"/>
        <v>9.1075482578235126E-3</v>
      </c>
      <c r="BX224" s="144">
        <f t="shared" si="693"/>
        <v>652.25471769718581</v>
      </c>
      <c r="BY224" s="150">
        <f t="shared" si="694"/>
        <v>1.2318075197407192</v>
      </c>
      <c r="BZ224" s="5">
        <f t="shared" si="695"/>
        <v>6.8</v>
      </c>
      <c r="CA224" s="150">
        <f t="shared" si="696"/>
        <v>0.84663383469870757</v>
      </c>
      <c r="CB224" s="5">
        <f t="shared" si="697"/>
        <v>84.663383469870752</v>
      </c>
      <c r="CE224" s="59">
        <f t="shared" si="638"/>
        <v>-50</v>
      </c>
      <c r="CF224">
        <f t="shared" si="639"/>
        <v>-50</v>
      </c>
      <c r="CG224" s="150">
        <f t="shared" si="640"/>
        <v>0.12024680502053704</v>
      </c>
      <c r="CI224" s="147">
        <v>8</v>
      </c>
      <c r="CJ224" s="188">
        <f t="shared" si="698"/>
        <v>0.04</v>
      </c>
      <c r="CK224" s="188"/>
      <c r="CL224" s="188">
        <f t="shared" si="641"/>
        <v>6.8</v>
      </c>
      <c r="CM224" s="465">
        <f t="shared" si="642"/>
        <v>16</v>
      </c>
      <c r="CN224" s="379">
        <f t="shared" si="643"/>
        <v>8.5350000000000001</v>
      </c>
      <c r="CO224" s="379">
        <f t="shared" si="644"/>
        <v>24.535</v>
      </c>
      <c r="CP224" s="379"/>
      <c r="CQ224" s="188">
        <f t="shared" si="645"/>
        <v>0.34787038923986141</v>
      </c>
      <c r="CR224" s="149">
        <f t="shared" si="646"/>
        <v>186.42142245771345</v>
      </c>
      <c r="CS224" s="149">
        <f t="shared" si="647"/>
        <v>6.8</v>
      </c>
      <c r="CT224" s="188">
        <f t="shared" si="648"/>
        <v>1.0965966026924321</v>
      </c>
      <c r="CU224" s="188">
        <f t="shared" si="649"/>
        <v>170</v>
      </c>
      <c r="CV224" s="188"/>
      <c r="CW224" s="149">
        <f t="shared" si="650"/>
        <v>13013.350545499463</v>
      </c>
      <c r="CX224" s="149">
        <f t="shared" si="651"/>
        <v>170</v>
      </c>
      <c r="CY224" s="188">
        <f t="shared" si="652"/>
        <v>2.4434387814879908</v>
      </c>
      <c r="CZ224" s="188">
        <f t="shared" si="653"/>
        <v>0.22907238576449915</v>
      </c>
      <c r="DA224" s="188">
        <f t="shared" si="654"/>
        <v>0.42942685087662408</v>
      </c>
      <c r="DB224" s="172">
        <f t="shared" si="655"/>
        <v>278.29631139188916</v>
      </c>
      <c r="DC224" s="379">
        <f t="shared" si="656"/>
        <v>350</v>
      </c>
      <c r="DE224" s="188">
        <f t="shared" si="657"/>
        <v>13.333333333333332</v>
      </c>
      <c r="DF224" s="150">
        <f t="shared" si="658"/>
        <v>2.3432923257176332</v>
      </c>
      <c r="DG224" s="150">
        <f t="shared" si="659"/>
        <v>0.21737653692004619</v>
      </c>
      <c r="DH224" s="150"/>
      <c r="DI224" s="150">
        <f t="shared" si="660"/>
        <v>2.3432923257176337</v>
      </c>
      <c r="DJ224" s="314">
        <f t="shared" si="661"/>
        <v>51.209999999999987</v>
      </c>
      <c r="DK224" s="456">
        <f t="shared" si="662"/>
        <v>0.21737653692004627</v>
      </c>
      <c r="DM224" s="150">
        <f t="shared" si="663"/>
        <v>5.1001400540993549</v>
      </c>
      <c r="DN224" s="150">
        <f t="shared" si="664"/>
        <v>13.333333333333334</v>
      </c>
      <c r="DO224" s="150">
        <f t="shared" si="665"/>
        <v>1.029262857142857</v>
      </c>
      <c r="DQ224" s="314">
        <f t="shared" si="666"/>
        <v>40</v>
      </c>
      <c r="DR224" s="144">
        <f t="shared" si="667"/>
        <v>51.209999999999987</v>
      </c>
      <c r="DT224">
        <f t="shared" si="668"/>
        <v>40</v>
      </c>
      <c r="DU224">
        <f t="shared" si="669"/>
        <v>51.209999999999987</v>
      </c>
      <c r="DW224" s="5">
        <f t="shared" si="670"/>
        <v>19.527436047646948</v>
      </c>
      <c r="DX224" s="5">
        <f t="shared" si="671"/>
        <v>1.25</v>
      </c>
      <c r="DY224" s="5">
        <f t="shared" si="672"/>
        <v>18.277436047646948</v>
      </c>
      <c r="DZ224" s="5"/>
      <c r="EA224" s="150">
        <f t="shared" si="673"/>
        <v>6.4012499999999986E-2</v>
      </c>
      <c r="EB224" s="150">
        <f t="shared" si="699"/>
        <v>6.8280000000000003</v>
      </c>
      <c r="EC224" s="150">
        <f t="shared" si="700"/>
        <v>0.31199583333333336</v>
      </c>
      <c r="ED224" s="150">
        <f t="shared" si="701"/>
        <v>21.884907651010295</v>
      </c>
      <c r="EE224" s="144">
        <f t="shared" si="674"/>
        <v>2.9411764705882353E-2</v>
      </c>
      <c r="EF224" s="5">
        <f t="shared" si="675"/>
        <v>12.946517200416585</v>
      </c>
      <c r="EH224" s="150">
        <f t="shared" si="702"/>
        <v>1.9476481543988722</v>
      </c>
      <c r="EI224" s="150">
        <f t="shared" si="703"/>
        <v>0.3723772479822241</v>
      </c>
      <c r="EK224" s="456">
        <f t="shared" si="704"/>
        <v>1.2897333333333332E-2</v>
      </c>
      <c r="EL224" s="456">
        <f t="shared" si="705"/>
        <v>0.50927593919999992</v>
      </c>
      <c r="EM224" s="456">
        <f t="shared" si="706"/>
        <v>1.1727089999999997E-2</v>
      </c>
      <c r="EN224" s="456">
        <f t="shared" si="707"/>
        <v>2.1116282911841245E-2</v>
      </c>
      <c r="EO224">
        <f t="shared" si="708"/>
        <v>7.1999999999999998E-3</v>
      </c>
      <c r="EP224" s="144">
        <f t="shared" si="709"/>
        <v>18.927089999999996</v>
      </c>
      <c r="EQ224" s="144"/>
      <c r="ER224" s="144">
        <f t="shared" si="710"/>
        <v>562.21664544517444</v>
      </c>
      <c r="ES224" s="456">
        <f t="shared" si="711"/>
        <v>0.1</v>
      </c>
      <c r="EV224" s="144">
        <f t="shared" si="712"/>
        <v>100</v>
      </c>
      <c r="EW224" s="456">
        <f t="shared" si="713"/>
        <v>5.6899999999999997E-3</v>
      </c>
      <c r="EX224" s="456">
        <f t="shared" si="714"/>
        <v>2.7732962962962966E-2</v>
      </c>
      <c r="EY224" s="456">
        <f t="shared" si="715"/>
        <v>0.60912129872465293</v>
      </c>
      <c r="EZ224" s="456"/>
      <c r="FA224" s="456">
        <f t="shared" si="716"/>
        <v>9.1039999999999992E-3</v>
      </c>
      <c r="FB224" s="144">
        <f t="shared" si="717"/>
        <v>651.6482616876159</v>
      </c>
      <c r="FC224" s="150">
        <f t="shared" si="718"/>
        <v>1.3138649071327904</v>
      </c>
      <c r="FD224" s="5">
        <f t="shared" si="719"/>
        <v>6.8</v>
      </c>
      <c r="FE224" s="150">
        <f t="shared" si="720"/>
        <v>0.8380716314394403</v>
      </c>
      <c r="FF224" s="5">
        <f t="shared" si="721"/>
        <v>83.807163143944024</v>
      </c>
      <c r="FI224" s="59">
        <f t="shared" si="676"/>
        <v>-50</v>
      </c>
      <c r="FJ224">
        <f t="shared" si="677"/>
        <v>-50</v>
      </c>
      <c r="FL224">
        <f t="shared" si="678"/>
        <v>0.11999999999999997</v>
      </c>
    </row>
    <row r="225" spans="5:168">
      <c r="E225" s="147">
        <v>9</v>
      </c>
      <c r="F225" s="188">
        <f t="shared" si="679"/>
        <v>4.4999999999999998E-2</v>
      </c>
      <c r="G225" s="188"/>
      <c r="H225" s="188">
        <f t="shared" si="603"/>
        <v>7.6499999999999995</v>
      </c>
      <c r="I225" s="465">
        <f t="shared" si="604"/>
        <v>15.967400381246467</v>
      </c>
      <c r="J225" s="149">
        <f t="shared" si="605"/>
        <v>8.5383264917095438</v>
      </c>
      <c r="K225" s="149">
        <f t="shared" si="606"/>
        <v>24.505726872956011</v>
      </c>
      <c r="L225" s="379"/>
      <c r="M225" s="188">
        <f t="shared" si="607"/>
        <v>0.34842186048293716</v>
      </c>
      <c r="N225" s="149">
        <f t="shared" si="608"/>
        <v>186.33652087932737</v>
      </c>
      <c r="O225" s="149">
        <f t="shared" si="599"/>
        <v>7.6499999999999995</v>
      </c>
      <c r="P225" s="188">
        <f t="shared" si="609"/>
        <v>1.0960971816431022</v>
      </c>
      <c r="Q225" s="188">
        <f t="shared" si="610"/>
        <v>170</v>
      </c>
      <c r="R225" s="188"/>
      <c r="S225" s="149">
        <f t="shared" si="611"/>
        <v>11508.375401729792</v>
      </c>
      <c r="T225" s="149">
        <f t="shared" si="612"/>
        <v>170</v>
      </c>
      <c r="U225" s="188">
        <f t="shared" si="613"/>
        <v>2.7625236189386668</v>
      </c>
      <c r="V225" s="188">
        <f t="shared" si="614"/>
        <v>0.2595153456084705</v>
      </c>
      <c r="W225" s="188">
        <f t="shared" si="615"/>
        <v>0.48531587922194014</v>
      </c>
      <c r="X225" s="172">
        <f t="shared" si="616"/>
        <v>278.16942216349025</v>
      </c>
      <c r="Y225" s="379">
        <f t="shared" si="680"/>
        <v>350</v>
      </c>
      <c r="AA225" s="188">
        <f t="shared" si="617"/>
        <v>13.333333333333334</v>
      </c>
      <c r="AB225" s="150">
        <f t="shared" si="618"/>
        <v>2.3423793900853283</v>
      </c>
      <c r="AC225" s="150">
        <f t="shared" si="619"/>
        <v>0.21719277380923482</v>
      </c>
      <c r="AD225" s="150"/>
      <c r="AE225" s="150">
        <f t="shared" si="620"/>
        <v>2.3423793900853283</v>
      </c>
      <c r="AF225" s="314">
        <f t="shared" si="621"/>
        <v>57.633703819039404</v>
      </c>
      <c r="AG225" s="456">
        <f t="shared" si="622"/>
        <v>0.21719277380923488</v>
      </c>
      <c r="AI225" s="150">
        <f t="shared" si="623"/>
        <v>5.4105694947287999</v>
      </c>
      <c r="AJ225" s="150">
        <f t="shared" si="624"/>
        <v>13.333333333333334</v>
      </c>
      <c r="AK225" s="150">
        <f t="shared" si="625"/>
        <v>1.032933545039451</v>
      </c>
      <c r="AM225" s="314">
        <f t="shared" si="626"/>
        <v>45</v>
      </c>
      <c r="AN225" s="144">
        <f t="shared" si="627"/>
        <v>57.633703819039404</v>
      </c>
      <c r="AP225">
        <f t="shared" si="628"/>
        <v>45</v>
      </c>
      <c r="AQ225">
        <f t="shared" si="629"/>
        <v>57.633703819039404</v>
      </c>
      <c r="AS225" s="5">
        <f t="shared" si="600"/>
        <v>17.350958445076511</v>
      </c>
      <c r="AT225" s="5">
        <f t="shared" si="630"/>
        <v>1.2525520449458871</v>
      </c>
      <c r="AU225" s="5">
        <f t="shared" si="478"/>
        <v>16.098406400130624</v>
      </c>
      <c r="AV225" s="5"/>
      <c r="AW225" s="150">
        <f t="shared" si="479"/>
        <v>7.2189213576343378E-2</v>
      </c>
      <c r="AX225" s="150">
        <f t="shared" si="631"/>
        <v>7.6844938425385889</v>
      </c>
      <c r="AY225" s="150">
        <f t="shared" si="632"/>
        <v>0.30927026214121894</v>
      </c>
      <c r="AZ225" s="150">
        <f t="shared" si="633"/>
        <v>24.847179904512437</v>
      </c>
      <c r="BA225" s="144">
        <f t="shared" si="594"/>
        <v>3.315578942503819E-2</v>
      </c>
      <c r="BB225" s="5">
        <f t="shared" si="595"/>
        <v>12.854608558744149</v>
      </c>
      <c r="BD225" s="150">
        <f t="shared" si="681"/>
        <v>2.0683034891046743</v>
      </c>
      <c r="BE225" s="150">
        <f t="shared" si="682"/>
        <v>0.37074715081918258</v>
      </c>
      <c r="BG225" s="456">
        <f t="shared" si="683"/>
        <v>1.4544789698344737E-2</v>
      </c>
      <c r="BH225" s="456">
        <f t="shared" si="634"/>
        <v>0.45101228689287998</v>
      </c>
      <c r="BI225" s="456">
        <f t="shared" si="635"/>
        <v>4.2147927434441131E-2</v>
      </c>
      <c r="BJ225" s="456">
        <f t="shared" si="684"/>
        <v>2.3708401830303056E-2</v>
      </c>
      <c r="BK225">
        <f t="shared" si="685"/>
        <v>7.1853301715609098E-3</v>
      </c>
      <c r="BL225" s="144">
        <f t="shared" si="686"/>
        <v>49.333257606002036</v>
      </c>
      <c r="BM225" s="456">
        <f t="shared" si="636"/>
        <v>0.49490287780712616</v>
      </c>
      <c r="BN225" s="144">
        <f t="shared" si="687"/>
        <v>494.90287780712617</v>
      </c>
      <c r="BO225" s="456">
        <f t="shared" si="637"/>
        <v>0.11249999999999999</v>
      </c>
      <c r="BR225" s="144">
        <f t="shared" si="688"/>
        <v>112.49999999999999</v>
      </c>
      <c r="BS225" s="456">
        <f t="shared" si="689"/>
        <v>6.4168189845638553E-3</v>
      </c>
      <c r="BT225" s="456">
        <f t="shared" si="690"/>
        <v>2.7490689968108346E-2</v>
      </c>
      <c r="BU225" s="456">
        <f t="shared" si="691"/>
        <v>0.81848018851026616</v>
      </c>
      <c r="BV225" s="456"/>
      <c r="BW225" s="456">
        <f t="shared" si="692"/>
        <v>1.0245991790051453E-2</v>
      </c>
      <c r="BX225" s="144">
        <f t="shared" si="693"/>
        <v>862.63368925298994</v>
      </c>
      <c r="BY225" s="150">
        <f t="shared" si="694"/>
        <v>1.5137324252805195</v>
      </c>
      <c r="BZ225" s="5">
        <f t="shared" si="695"/>
        <v>7.6499999999999995</v>
      </c>
      <c r="CA225" s="150">
        <f t="shared" si="696"/>
        <v>0.83481267729899022</v>
      </c>
      <c r="CB225" s="5">
        <f t="shared" si="697"/>
        <v>83.481267729899017</v>
      </c>
      <c r="CE225" s="59">
        <f t="shared" si="638"/>
        <v>-50</v>
      </c>
      <c r="CF225">
        <f t="shared" si="639"/>
        <v>-50</v>
      </c>
      <c r="CG225" s="150">
        <f t="shared" si="640"/>
        <v>0.13527765564810418</v>
      </c>
      <c r="CI225" s="147">
        <v>9</v>
      </c>
      <c r="CJ225" s="188">
        <f t="shared" si="698"/>
        <v>4.4999999999999998E-2</v>
      </c>
      <c r="CK225" s="188"/>
      <c r="CL225" s="188">
        <f t="shared" si="641"/>
        <v>7.6499999999999995</v>
      </c>
      <c r="CM225" s="465">
        <f t="shared" si="642"/>
        <v>16</v>
      </c>
      <c r="CN225" s="379">
        <f t="shared" si="643"/>
        <v>8.5350000000000001</v>
      </c>
      <c r="CO225" s="379">
        <f t="shared" si="644"/>
        <v>24.535</v>
      </c>
      <c r="CP225" s="379"/>
      <c r="CQ225" s="188">
        <f t="shared" si="645"/>
        <v>0.34787038923986141</v>
      </c>
      <c r="CR225" s="149">
        <f t="shared" si="646"/>
        <v>186.42142245771345</v>
      </c>
      <c r="CS225" s="149">
        <f t="shared" si="647"/>
        <v>7.6499999999999995</v>
      </c>
      <c r="CT225" s="188">
        <f t="shared" si="648"/>
        <v>1.0965966026924321</v>
      </c>
      <c r="CU225" s="188">
        <f t="shared" si="649"/>
        <v>170</v>
      </c>
      <c r="CV225" s="188"/>
      <c r="CW225" s="149">
        <f t="shared" si="650"/>
        <v>11531.871275100553</v>
      </c>
      <c r="CX225" s="149">
        <f t="shared" si="651"/>
        <v>170</v>
      </c>
      <c r="CY225" s="188">
        <f t="shared" si="652"/>
        <v>2.7488686291739892</v>
      </c>
      <c r="CZ225" s="188">
        <f t="shared" si="653"/>
        <v>0.25770643398506149</v>
      </c>
      <c r="DA225" s="188">
        <f t="shared" si="654"/>
        <v>0.48310520723620193</v>
      </c>
      <c r="DB225" s="172">
        <f t="shared" si="655"/>
        <v>278.29631139188916</v>
      </c>
      <c r="DC225" s="379">
        <f t="shared" si="656"/>
        <v>350</v>
      </c>
      <c r="DE225" s="188">
        <f t="shared" si="657"/>
        <v>13.333333333333332</v>
      </c>
      <c r="DF225" s="150">
        <f t="shared" si="658"/>
        <v>2.3432923257176332</v>
      </c>
      <c r="DG225" s="150">
        <f t="shared" si="659"/>
        <v>0.21737653692004619</v>
      </c>
      <c r="DH225" s="150"/>
      <c r="DI225" s="150">
        <f t="shared" si="660"/>
        <v>2.3432923257176337</v>
      </c>
      <c r="DJ225" s="314">
        <f t="shared" si="661"/>
        <v>57.611249999999984</v>
      </c>
      <c r="DK225" s="456">
        <f t="shared" si="662"/>
        <v>0.21737653692004627</v>
      </c>
      <c r="DM225" s="150">
        <f t="shared" si="663"/>
        <v>5.4095154258821685</v>
      </c>
      <c r="DN225" s="150">
        <f t="shared" si="664"/>
        <v>13.333333333333334</v>
      </c>
      <c r="DO225" s="150">
        <f t="shared" si="665"/>
        <v>1.0329207142857142</v>
      </c>
      <c r="DQ225" s="314">
        <f t="shared" si="666"/>
        <v>45</v>
      </c>
      <c r="DR225" s="144">
        <f t="shared" si="667"/>
        <v>57.611249999999984</v>
      </c>
      <c r="DT225">
        <f t="shared" si="668"/>
        <v>45</v>
      </c>
      <c r="DU225">
        <f t="shared" si="669"/>
        <v>57.611249999999984</v>
      </c>
      <c r="DW225" s="5">
        <f t="shared" si="670"/>
        <v>17.357720931241733</v>
      </c>
      <c r="DX225" s="5">
        <f t="shared" si="671"/>
        <v>1.25</v>
      </c>
      <c r="DY225" s="5">
        <f t="shared" si="672"/>
        <v>16.107720931241733</v>
      </c>
      <c r="DZ225" s="5"/>
      <c r="EA225" s="150">
        <f t="shared" si="673"/>
        <v>7.2014062499999976E-2</v>
      </c>
      <c r="EB225" s="150">
        <f t="shared" si="699"/>
        <v>7.6814999999999998</v>
      </c>
      <c r="EC225" s="150">
        <f t="shared" si="700"/>
        <v>0.30932864583333336</v>
      </c>
      <c r="ED225" s="150">
        <f t="shared" si="701"/>
        <v>24.832811650230418</v>
      </c>
      <c r="EE225" s="144">
        <f t="shared" si="674"/>
        <v>3.3088235294117647E-2</v>
      </c>
      <c r="EF225" s="5">
        <f t="shared" si="675"/>
        <v>12.835840117083254</v>
      </c>
      <c r="EH225" s="150">
        <f t="shared" si="702"/>
        <v>2.0657928260113594</v>
      </c>
      <c r="EI225" s="150">
        <f t="shared" si="703"/>
        <v>0.37078214378277197</v>
      </c>
      <c r="EK225" s="456">
        <f t="shared" si="704"/>
        <v>1.4509499999999993E-2</v>
      </c>
      <c r="EL225" s="456">
        <f t="shared" si="705"/>
        <v>0.57293543159999993</v>
      </c>
      <c r="EM225" s="456">
        <f t="shared" si="706"/>
        <v>1.3192976249999995E-2</v>
      </c>
      <c r="EN225" s="456">
        <f t="shared" si="707"/>
        <v>2.3755818275821398E-2</v>
      </c>
      <c r="EO225">
        <f t="shared" si="708"/>
        <v>7.1999999999999998E-3</v>
      </c>
      <c r="EP225" s="144">
        <f t="shared" si="709"/>
        <v>20.392976249999993</v>
      </c>
      <c r="EQ225" s="144"/>
      <c r="ER225" s="144">
        <f t="shared" si="710"/>
        <v>631.59372612582138</v>
      </c>
      <c r="ES225" s="456">
        <f t="shared" si="711"/>
        <v>0.11249999999999999</v>
      </c>
      <c r="EV225" s="144">
        <f t="shared" si="712"/>
        <v>112.49999999999999</v>
      </c>
      <c r="EW225" s="456">
        <f t="shared" si="713"/>
        <v>6.4012499999999972E-3</v>
      </c>
      <c r="EX225" s="456">
        <f t="shared" si="714"/>
        <v>2.7495879629629641E-2</v>
      </c>
      <c r="EY225" s="456">
        <f t="shared" si="715"/>
        <v>0.8176832313834852</v>
      </c>
      <c r="EZ225" s="456"/>
      <c r="FA225" s="456">
        <f t="shared" si="716"/>
        <v>1.0241999999999999E-2</v>
      </c>
      <c r="FB225" s="144">
        <f t="shared" si="717"/>
        <v>861.8223610131148</v>
      </c>
      <c r="FC225" s="150">
        <f t="shared" si="718"/>
        <v>1.6059160871389364</v>
      </c>
      <c r="FD225" s="5">
        <f t="shared" si="719"/>
        <v>7.6499999999999995</v>
      </c>
      <c r="FE225" s="150">
        <f t="shared" si="720"/>
        <v>0.82649841765847998</v>
      </c>
      <c r="FF225" s="5">
        <f t="shared" si="721"/>
        <v>82.649841765847995</v>
      </c>
      <c r="FI225" s="59">
        <f t="shared" si="676"/>
        <v>-50</v>
      </c>
      <c r="FJ225">
        <f t="shared" si="677"/>
        <v>-50</v>
      </c>
      <c r="FL225">
        <f t="shared" si="678"/>
        <v>0.13499999999999998</v>
      </c>
    </row>
    <row r="226" spans="5:168">
      <c r="E226" s="147">
        <v>10</v>
      </c>
      <c r="F226" s="188">
        <f t="shared" si="679"/>
        <v>0.05</v>
      </c>
      <c r="G226" s="188"/>
      <c r="H226" s="188">
        <f t="shared" si="603"/>
        <v>8.5</v>
      </c>
      <c r="I226" s="465">
        <f t="shared" si="604"/>
        <v>15.967400381246467</v>
      </c>
      <c r="J226" s="149">
        <f t="shared" si="605"/>
        <v>8.5383264917095438</v>
      </c>
      <c r="K226" s="149">
        <f t="shared" si="606"/>
        <v>24.505726872956011</v>
      </c>
      <c r="L226" s="379"/>
      <c r="M226" s="188">
        <f t="shared" si="607"/>
        <v>0.34842186048293716</v>
      </c>
      <c r="N226" s="149">
        <f t="shared" si="608"/>
        <v>186.33652087932737</v>
      </c>
      <c r="O226" s="149">
        <f t="shared" si="599"/>
        <v>8.5</v>
      </c>
      <c r="P226" s="188">
        <f t="shared" si="609"/>
        <v>1.0960971816431022</v>
      </c>
      <c r="Q226" s="188">
        <f t="shared" si="610"/>
        <v>170</v>
      </c>
      <c r="R226" s="188"/>
      <c r="S226" s="149">
        <f t="shared" si="611"/>
        <v>10325.607227844292</v>
      </c>
      <c r="T226" s="149">
        <f t="shared" si="612"/>
        <v>170</v>
      </c>
      <c r="U226" s="188">
        <f t="shared" si="613"/>
        <v>3.0694706877096301</v>
      </c>
      <c r="V226" s="188">
        <f t="shared" si="614"/>
        <v>0.28835038400941165</v>
      </c>
      <c r="W226" s="188">
        <f t="shared" si="615"/>
        <v>0.53923986580215566</v>
      </c>
      <c r="X226" s="172">
        <f t="shared" si="616"/>
        <v>278.16942216349025</v>
      </c>
      <c r="Y226" s="379">
        <f t="shared" si="680"/>
        <v>350</v>
      </c>
      <c r="AA226" s="188">
        <f t="shared" si="617"/>
        <v>13.333333333333334</v>
      </c>
      <c r="AB226" s="150">
        <f t="shared" si="618"/>
        <v>2.3423793900853283</v>
      </c>
      <c r="AC226" s="150">
        <f t="shared" si="619"/>
        <v>0.21719277380923482</v>
      </c>
      <c r="AD226" s="150"/>
      <c r="AE226" s="150">
        <f t="shared" si="620"/>
        <v>2.3423793900853283</v>
      </c>
      <c r="AF226" s="314">
        <f t="shared" si="621"/>
        <v>64.037448687821566</v>
      </c>
      <c r="AG226" s="456">
        <f t="shared" si="622"/>
        <v>0.21719277380923488</v>
      </c>
      <c r="AI226" s="150">
        <f t="shared" si="623"/>
        <v>5.7032410139898007</v>
      </c>
      <c r="AJ226" s="150">
        <f t="shared" si="624"/>
        <v>13.333333333333334</v>
      </c>
      <c r="AK226" s="150">
        <f t="shared" si="625"/>
        <v>1.0365928278216123</v>
      </c>
      <c r="AM226" s="314">
        <f t="shared" si="626"/>
        <v>50</v>
      </c>
      <c r="AN226" s="144">
        <f t="shared" si="627"/>
        <v>64.037448687821566</v>
      </c>
      <c r="AP226">
        <f t="shared" si="628"/>
        <v>50</v>
      </c>
      <c r="AQ226">
        <f t="shared" si="629"/>
        <v>64.037448687821566</v>
      </c>
      <c r="AS226" s="5">
        <f t="shared" si="600"/>
        <v>15.615862600568857</v>
      </c>
      <c r="AT226" s="5">
        <f t="shared" si="630"/>
        <v>1.2525520449458871</v>
      </c>
      <c r="AU226" s="5">
        <f t="shared" si="478"/>
        <v>14.36331055562297</v>
      </c>
      <c r="AV226" s="5"/>
      <c r="AW226" s="150">
        <f t="shared" si="479"/>
        <v>8.0210237307048224E-2</v>
      </c>
      <c r="AX226" s="150">
        <f t="shared" si="631"/>
        <v>8.5383264917095438</v>
      </c>
      <c r="AY226" s="150">
        <f t="shared" si="632"/>
        <v>0.30659658756431729</v>
      </c>
      <c r="AZ226" s="150">
        <f t="shared" si="633"/>
        <v>27.848732954075651</v>
      </c>
      <c r="BA226" s="144">
        <f t="shared" si="594"/>
        <v>3.6839766027820207E-2</v>
      </c>
      <c r="BB226" s="5">
        <f t="shared" si="595"/>
        <v>12.743479089452197</v>
      </c>
      <c r="BD226" s="150">
        <f t="shared" si="681"/>
        <v>2.1801833060146754</v>
      </c>
      <c r="BE226" s="150">
        <f t="shared" si="682"/>
        <v>0.36914109772360143</v>
      </c>
      <c r="BG226" s="456">
        <f t="shared" si="683"/>
        <v>1.6160877442605272E-2</v>
      </c>
      <c r="BH226" s="456">
        <f t="shared" si="634"/>
        <v>0.5011247632143111</v>
      </c>
      <c r="BI226" s="456">
        <f t="shared" si="635"/>
        <v>4.6831030482712366E-2</v>
      </c>
      <c r="BJ226" s="456">
        <f t="shared" si="684"/>
        <v>2.6342668700336729E-2</v>
      </c>
      <c r="BK226">
        <f t="shared" si="685"/>
        <v>7.1853301715609098E-3</v>
      </c>
      <c r="BL226" s="144">
        <f t="shared" si="686"/>
        <v>54.016360654273271</v>
      </c>
      <c r="BM226" s="456">
        <f t="shared" si="636"/>
        <v>0.55010404926185896</v>
      </c>
      <c r="BN226" s="144">
        <f t="shared" si="687"/>
        <v>550.10404926185902</v>
      </c>
      <c r="BO226" s="456">
        <f t="shared" si="637"/>
        <v>0.125</v>
      </c>
      <c r="BR226" s="144">
        <f t="shared" si="688"/>
        <v>125</v>
      </c>
      <c r="BS226" s="456">
        <f t="shared" si="689"/>
        <v>7.1297988717376201E-3</v>
      </c>
      <c r="BT226" s="456">
        <f t="shared" si="690"/>
        <v>2.7253030005717094E-2</v>
      </c>
      <c r="BU226" s="456">
        <f t="shared" si="691"/>
        <v>1.0651282367968784</v>
      </c>
      <c r="BV226" s="456"/>
      <c r="BW226" s="456">
        <f t="shared" si="692"/>
        <v>1.1384435322279392E-2</v>
      </c>
      <c r="BX226" s="144">
        <f t="shared" si="693"/>
        <v>1110.8955009966126</v>
      </c>
      <c r="BY226" s="150">
        <f t="shared" si="694"/>
        <v>1.8335401710081389</v>
      </c>
      <c r="BZ226" s="5">
        <f t="shared" si="695"/>
        <v>8.5</v>
      </c>
      <c r="CA226" s="150">
        <f t="shared" si="696"/>
        <v>0.82256418026492673</v>
      </c>
      <c r="CB226" s="5">
        <f t="shared" si="697"/>
        <v>82.256418026492668</v>
      </c>
      <c r="CE226" s="59">
        <f t="shared" si="638"/>
        <v>-50</v>
      </c>
      <c r="CF226">
        <f t="shared" si="639"/>
        <v>-50</v>
      </c>
      <c r="CG226" s="150">
        <f t="shared" si="640"/>
        <v>0.1503085062756713</v>
      </c>
      <c r="CI226" s="147">
        <v>10</v>
      </c>
      <c r="CJ226" s="188">
        <f t="shared" si="698"/>
        <v>0.05</v>
      </c>
      <c r="CK226" s="188"/>
      <c r="CL226" s="188">
        <f t="shared" si="641"/>
        <v>8.5</v>
      </c>
      <c r="CM226" s="465">
        <f t="shared" si="642"/>
        <v>16</v>
      </c>
      <c r="CN226" s="379">
        <f t="shared" si="643"/>
        <v>8.5350000000000001</v>
      </c>
      <c r="CO226" s="379">
        <f t="shared" si="644"/>
        <v>24.535</v>
      </c>
      <c r="CP226" s="379"/>
      <c r="CQ226" s="188">
        <f t="shared" si="645"/>
        <v>0.34787038923986141</v>
      </c>
      <c r="CR226" s="149">
        <f t="shared" si="646"/>
        <v>186.42142245771345</v>
      </c>
      <c r="CS226" s="149">
        <f t="shared" si="647"/>
        <v>8.5</v>
      </c>
      <c r="CT226" s="188">
        <f t="shared" si="648"/>
        <v>1.0965966026924321</v>
      </c>
      <c r="CU226" s="188">
        <f t="shared" si="649"/>
        <v>170</v>
      </c>
      <c r="CV226" s="188"/>
      <c r="CW226" s="149">
        <f t="shared" si="650"/>
        <v>10346.688314641324</v>
      </c>
      <c r="CX226" s="149">
        <f t="shared" si="651"/>
        <v>170</v>
      </c>
      <c r="CY226" s="188">
        <f t="shared" si="652"/>
        <v>3.0542984768599886</v>
      </c>
      <c r="CZ226" s="188">
        <f t="shared" si="653"/>
        <v>0.28634048220562391</v>
      </c>
      <c r="DA226" s="188">
        <f t="shared" si="654"/>
        <v>0.53678356359578006</v>
      </c>
      <c r="DB226" s="172">
        <f t="shared" si="655"/>
        <v>278.29631139188916</v>
      </c>
      <c r="DC226" s="379">
        <f t="shared" si="656"/>
        <v>350</v>
      </c>
      <c r="DE226" s="188">
        <f t="shared" si="657"/>
        <v>13.333333333333332</v>
      </c>
      <c r="DF226" s="150">
        <f t="shared" si="658"/>
        <v>2.3432923257176332</v>
      </c>
      <c r="DG226" s="150">
        <f t="shared" si="659"/>
        <v>0.21737653692004619</v>
      </c>
      <c r="DH226" s="150"/>
      <c r="DI226" s="150">
        <f t="shared" si="660"/>
        <v>2.3432923257176337</v>
      </c>
      <c r="DJ226" s="314">
        <f t="shared" si="661"/>
        <v>64.012499999999989</v>
      </c>
      <c r="DK226" s="456">
        <f t="shared" si="662"/>
        <v>0.21737653692004627</v>
      </c>
      <c r="DM226" s="150">
        <f t="shared" si="663"/>
        <v>5.7021299278678059</v>
      </c>
      <c r="DN226" s="150">
        <f t="shared" si="664"/>
        <v>13.333333333333334</v>
      </c>
      <c r="DO226" s="150">
        <f t="shared" si="665"/>
        <v>1.0365785714285713</v>
      </c>
      <c r="DQ226" s="314">
        <f t="shared" si="666"/>
        <v>50</v>
      </c>
      <c r="DR226" s="144">
        <f t="shared" si="667"/>
        <v>64.012499999999989</v>
      </c>
      <c r="DT226">
        <f t="shared" si="668"/>
        <v>50</v>
      </c>
      <c r="DU226">
        <f t="shared" si="669"/>
        <v>64.012499999999989</v>
      </c>
      <c r="DW226" s="5">
        <f t="shared" si="670"/>
        <v>15.621948838117557</v>
      </c>
      <c r="DX226" s="5">
        <f t="shared" si="671"/>
        <v>1.25</v>
      </c>
      <c r="DY226" s="5">
        <f t="shared" si="672"/>
        <v>14.371948838117557</v>
      </c>
      <c r="DZ226" s="5"/>
      <c r="EA226" s="150">
        <f t="shared" si="673"/>
        <v>8.0015624999999993E-2</v>
      </c>
      <c r="EB226" s="150">
        <f t="shared" si="699"/>
        <v>8.5350000000000001</v>
      </c>
      <c r="EC226" s="150">
        <f t="shared" si="700"/>
        <v>0.30666145833333336</v>
      </c>
      <c r="ED226" s="150">
        <f t="shared" si="701"/>
        <v>27.831994429253211</v>
      </c>
      <c r="EE226" s="144">
        <f t="shared" si="674"/>
        <v>3.6764705882352935E-2</v>
      </c>
      <c r="EF226" s="5">
        <f t="shared" si="675"/>
        <v>12.725163033749919</v>
      </c>
      <c r="EH226" s="150">
        <f t="shared" si="702"/>
        <v>2.1775368347439423</v>
      </c>
      <c r="EI226" s="150">
        <f t="shared" si="703"/>
        <v>0.36918014773479019</v>
      </c>
      <c r="EK226" s="456">
        <f t="shared" si="704"/>
        <v>1.6121666666666666E-2</v>
      </c>
      <c r="EL226" s="456">
        <f t="shared" si="705"/>
        <v>0.63659492399999984</v>
      </c>
      <c r="EM226" s="456">
        <f t="shared" si="706"/>
        <v>1.4658862499999996E-2</v>
      </c>
      <c r="EN226" s="456">
        <f t="shared" si="707"/>
        <v>2.6395353639801559E-2</v>
      </c>
      <c r="EO226">
        <f t="shared" si="708"/>
        <v>7.1999999999999998E-3</v>
      </c>
      <c r="EP226" s="144">
        <f t="shared" si="709"/>
        <v>21.858862499999997</v>
      </c>
      <c r="EQ226" s="144"/>
      <c r="ER226" s="144">
        <f t="shared" si="710"/>
        <v>700.9708068064682</v>
      </c>
      <c r="ES226" s="456">
        <f t="shared" si="711"/>
        <v>0.125</v>
      </c>
      <c r="EV226" s="144">
        <f t="shared" si="712"/>
        <v>125</v>
      </c>
      <c r="EW226" s="456">
        <f t="shared" si="713"/>
        <v>7.1125000000000008E-3</v>
      </c>
      <c r="EX226" s="456">
        <f t="shared" si="714"/>
        <v>2.7258796296296302E-2</v>
      </c>
      <c r="EY226" s="456">
        <f t="shared" si="715"/>
        <v>1.0640911175713139</v>
      </c>
      <c r="EZ226" s="456"/>
      <c r="FA226" s="456">
        <f t="shared" si="716"/>
        <v>1.1380000000000001E-2</v>
      </c>
      <c r="FB226" s="144">
        <f t="shared" si="717"/>
        <v>1109.8424138676103</v>
      </c>
      <c r="FC226" s="150">
        <f t="shared" si="718"/>
        <v>1.9358132206740783</v>
      </c>
      <c r="FD226" s="5">
        <f t="shared" si="719"/>
        <v>8.5</v>
      </c>
      <c r="FE226" s="150">
        <f t="shared" si="720"/>
        <v>0.81450288734191834</v>
      </c>
      <c r="FF226" s="5">
        <f t="shared" si="721"/>
        <v>81.45028873419183</v>
      </c>
      <c r="FI226" s="59">
        <f t="shared" si="676"/>
        <v>-50</v>
      </c>
      <c r="FJ226">
        <f t="shared" si="677"/>
        <v>-50</v>
      </c>
      <c r="FL226">
        <f t="shared" si="678"/>
        <v>0.15</v>
      </c>
    </row>
    <row r="227" spans="5:168">
      <c r="E227" s="147">
        <v>11</v>
      </c>
      <c r="F227" s="188">
        <f t="shared" si="679"/>
        <v>5.5E-2</v>
      </c>
      <c r="G227" s="188"/>
      <c r="H227" s="188">
        <f t="shared" si="603"/>
        <v>9.35</v>
      </c>
      <c r="I227" s="465">
        <f t="shared" si="604"/>
        <v>15.967400381246467</v>
      </c>
      <c r="J227" s="149">
        <f t="shared" si="605"/>
        <v>8.5383264917095438</v>
      </c>
      <c r="K227" s="149">
        <f t="shared" si="606"/>
        <v>24.505726872956011</v>
      </c>
      <c r="L227" s="379"/>
      <c r="M227" s="188">
        <f t="shared" si="607"/>
        <v>0.34842186048293716</v>
      </c>
      <c r="N227" s="149">
        <f t="shared" si="608"/>
        <v>186.33652087932737</v>
      </c>
      <c r="O227" s="149">
        <f t="shared" si="599"/>
        <v>9.35</v>
      </c>
      <c r="P227" s="188">
        <f t="shared" si="609"/>
        <v>1.0960971816431022</v>
      </c>
      <c r="Q227" s="188">
        <f t="shared" si="610"/>
        <v>170</v>
      </c>
      <c r="R227" s="188"/>
      <c r="S227" s="149">
        <f t="shared" si="611"/>
        <v>9357.8882311122707</v>
      </c>
      <c r="T227" s="149">
        <f t="shared" si="612"/>
        <v>170</v>
      </c>
      <c r="U227" s="188">
        <f t="shared" si="613"/>
        <v>3.3764177564805933</v>
      </c>
      <c r="V227" s="188">
        <f t="shared" si="614"/>
        <v>0.31718542241035286</v>
      </c>
      <c r="W227" s="188">
        <f t="shared" si="615"/>
        <v>0.59316385238237124</v>
      </c>
      <c r="X227" s="172">
        <f t="shared" si="616"/>
        <v>278.16942216349025</v>
      </c>
      <c r="Y227" s="379">
        <f t="shared" si="680"/>
        <v>350</v>
      </c>
      <c r="AA227" s="188">
        <f t="shared" si="617"/>
        <v>13.333333333333334</v>
      </c>
      <c r="AB227" s="150">
        <f t="shared" si="618"/>
        <v>2.3423793900853283</v>
      </c>
      <c r="AC227" s="150">
        <f t="shared" si="619"/>
        <v>0.21719277380923482</v>
      </c>
      <c r="AD227" s="150"/>
      <c r="AE227" s="150">
        <f t="shared" si="620"/>
        <v>2.3423793900853283</v>
      </c>
      <c r="AF227" s="314">
        <f t="shared" si="621"/>
        <v>70.441193556603707</v>
      </c>
      <c r="AG227" s="456">
        <f t="shared" si="622"/>
        <v>0.21719277380923488</v>
      </c>
      <c r="AI227" s="150">
        <f t="shared" si="623"/>
        <v>5.9816096387194095</v>
      </c>
      <c r="AJ227" s="150">
        <f t="shared" si="624"/>
        <v>13.333333333333334</v>
      </c>
      <c r="AK227" s="150">
        <f t="shared" si="625"/>
        <v>1.0402521106037736</v>
      </c>
      <c r="AM227" s="314">
        <f t="shared" si="626"/>
        <v>55</v>
      </c>
      <c r="AN227" s="144">
        <f t="shared" si="627"/>
        <v>70.441193556603707</v>
      </c>
      <c r="AP227">
        <f t="shared" si="628"/>
        <v>55</v>
      </c>
      <c r="AQ227">
        <f t="shared" si="629"/>
        <v>70.441193556603707</v>
      </c>
      <c r="AS227" s="5">
        <f t="shared" si="600"/>
        <v>14.196238727789874</v>
      </c>
      <c r="AT227" s="5">
        <f t="shared" si="630"/>
        <v>1.2525520449458871</v>
      </c>
      <c r="AU227" s="5">
        <f t="shared" si="478"/>
        <v>12.943686682843987</v>
      </c>
      <c r="AV227" s="5"/>
      <c r="AW227" s="150">
        <f t="shared" si="479"/>
        <v>8.8231261037753014E-2</v>
      </c>
      <c r="AX227" s="150">
        <f t="shared" si="631"/>
        <v>9.3921591408804979</v>
      </c>
      <c r="AY227" s="150">
        <f t="shared" si="632"/>
        <v>0.30392291298741569</v>
      </c>
      <c r="AZ227" s="150">
        <f t="shared" si="633"/>
        <v>30.903096606175897</v>
      </c>
      <c r="BA227" s="144">
        <f t="shared" si="594"/>
        <v>4.0523742630602225E-2</v>
      </c>
      <c r="BB227" s="5">
        <f t="shared" si="595"/>
        <v>12.63234962016025</v>
      </c>
      <c r="BD227" s="150">
        <f t="shared" si="681"/>
        <v>2.2865955419810442</v>
      </c>
      <c r="BE227" s="150">
        <f t="shared" si="682"/>
        <v>0.36752802643693611</v>
      </c>
      <c r="BG227" s="456">
        <f t="shared" si="683"/>
        <v>1.7776965186865789E-2</v>
      </c>
      <c r="BH227" s="456">
        <f t="shared" si="634"/>
        <v>0.55123723953574211</v>
      </c>
      <c r="BI227" s="456">
        <f t="shared" si="635"/>
        <v>5.1514133530983594E-2</v>
      </c>
      <c r="BJ227" s="456">
        <f t="shared" si="684"/>
        <v>2.8976935570370392E-2</v>
      </c>
      <c r="BK227">
        <f t="shared" si="685"/>
        <v>7.1853301715609098E-3</v>
      </c>
      <c r="BL227" s="144">
        <f t="shared" si="686"/>
        <v>58.699463702544499</v>
      </c>
      <c r="BM227" s="456">
        <f t="shared" si="636"/>
        <v>0.60534779309600228</v>
      </c>
      <c r="BN227" s="144">
        <f t="shared" si="687"/>
        <v>605.34779309600231</v>
      </c>
      <c r="BO227" s="456">
        <f t="shared" si="637"/>
        <v>0.13750000000000001</v>
      </c>
      <c r="BR227" s="144">
        <f t="shared" si="688"/>
        <v>137.5</v>
      </c>
      <c r="BS227" s="456">
        <f t="shared" si="689"/>
        <v>7.8427787589113781E-3</v>
      </c>
      <c r="BT227" s="456">
        <f t="shared" si="690"/>
        <v>2.7015370043325843E-2</v>
      </c>
      <c r="BU227" s="456">
        <f t="shared" si="691"/>
        <v>1.351710262218011</v>
      </c>
      <c r="BV227" s="456"/>
      <c r="BW227" s="456">
        <f t="shared" si="692"/>
        <v>1.2522878854507329E-2</v>
      </c>
      <c r="BX227" s="144">
        <f t="shared" si="693"/>
        <v>1399.0912898747556</v>
      </c>
      <c r="BY227" s="150">
        <f t="shared" si="694"/>
        <v>2.1932818938702785</v>
      </c>
      <c r="BZ227" s="5">
        <f t="shared" si="695"/>
        <v>9.35</v>
      </c>
      <c r="CA227" s="150">
        <f t="shared" si="696"/>
        <v>0.80999494649481307</v>
      </c>
      <c r="CB227" s="5">
        <f t="shared" si="697"/>
        <v>80.999494649481306</v>
      </c>
      <c r="CE227" s="59">
        <f t="shared" si="638"/>
        <v>-50</v>
      </c>
      <c r="CF227">
        <f t="shared" si="639"/>
        <v>-50</v>
      </c>
      <c r="CG227" s="150">
        <f t="shared" si="640"/>
        <v>0.16533935690323842</v>
      </c>
      <c r="CI227" s="147">
        <v>11</v>
      </c>
      <c r="CJ227" s="188">
        <f t="shared" si="698"/>
        <v>5.5E-2</v>
      </c>
      <c r="CK227" s="188"/>
      <c r="CL227" s="188">
        <f t="shared" si="641"/>
        <v>9.35</v>
      </c>
      <c r="CM227" s="465">
        <f t="shared" si="642"/>
        <v>16</v>
      </c>
      <c r="CN227" s="379">
        <f t="shared" si="643"/>
        <v>8.5350000000000001</v>
      </c>
      <c r="CO227" s="379">
        <f t="shared" si="644"/>
        <v>24.535</v>
      </c>
      <c r="CP227" s="379"/>
      <c r="CQ227" s="188">
        <f t="shared" si="645"/>
        <v>0.34787038923986141</v>
      </c>
      <c r="CR227" s="149">
        <f t="shared" si="646"/>
        <v>186.42142245771345</v>
      </c>
      <c r="CS227" s="149">
        <f t="shared" si="647"/>
        <v>9.35</v>
      </c>
      <c r="CT227" s="188">
        <f t="shared" si="648"/>
        <v>1.0965966026924321</v>
      </c>
      <c r="CU227" s="188">
        <f t="shared" si="649"/>
        <v>170</v>
      </c>
      <c r="CV227" s="188"/>
      <c r="CW227" s="149">
        <f t="shared" si="650"/>
        <v>9376.9935834400767</v>
      </c>
      <c r="CX227" s="149">
        <f t="shared" si="651"/>
        <v>170</v>
      </c>
      <c r="CY227" s="188">
        <f t="shared" si="652"/>
        <v>3.359728324545987</v>
      </c>
      <c r="CZ227" s="188">
        <f t="shared" si="653"/>
        <v>0.31497453042618628</v>
      </c>
      <c r="DA227" s="188">
        <f t="shared" si="654"/>
        <v>0.59046191995535802</v>
      </c>
      <c r="DB227" s="172">
        <f t="shared" si="655"/>
        <v>278.29631139188916</v>
      </c>
      <c r="DC227" s="379">
        <f t="shared" si="656"/>
        <v>350</v>
      </c>
      <c r="DE227" s="188">
        <f t="shared" si="657"/>
        <v>13.333333333333332</v>
      </c>
      <c r="DF227" s="150">
        <f t="shared" si="658"/>
        <v>2.3432923257176332</v>
      </c>
      <c r="DG227" s="150">
        <f t="shared" si="659"/>
        <v>0.21737653692004619</v>
      </c>
      <c r="DH227" s="150"/>
      <c r="DI227" s="150">
        <f t="shared" si="660"/>
        <v>2.3432923257176337</v>
      </c>
      <c r="DJ227" s="314">
        <f t="shared" si="661"/>
        <v>70.413749999999979</v>
      </c>
      <c r="DK227" s="456">
        <f t="shared" si="662"/>
        <v>0.21737653692004627</v>
      </c>
      <c r="DM227" s="150">
        <f t="shared" si="663"/>
        <v>5.9804443217635832</v>
      </c>
      <c r="DN227" s="150">
        <f t="shared" si="664"/>
        <v>13.333333333333334</v>
      </c>
      <c r="DO227" s="150">
        <f t="shared" si="665"/>
        <v>1.0402364285714285</v>
      </c>
      <c r="DQ227" s="314">
        <f t="shared" si="666"/>
        <v>55</v>
      </c>
      <c r="DR227" s="144">
        <f t="shared" si="667"/>
        <v>70.413749999999979</v>
      </c>
      <c r="DT227">
        <f t="shared" si="668"/>
        <v>55</v>
      </c>
      <c r="DU227">
        <f t="shared" si="669"/>
        <v>70.413749999999979</v>
      </c>
      <c r="DW227" s="5">
        <f t="shared" si="670"/>
        <v>14.201771671015964</v>
      </c>
      <c r="DX227" s="5">
        <f t="shared" si="671"/>
        <v>1.25</v>
      </c>
      <c r="DY227" s="5">
        <f t="shared" si="672"/>
        <v>12.951771671015964</v>
      </c>
      <c r="DZ227" s="5"/>
      <c r="EA227" s="150">
        <f t="shared" si="673"/>
        <v>8.8017187499999969E-2</v>
      </c>
      <c r="EB227" s="150">
        <f t="shared" si="699"/>
        <v>9.3884999999999987</v>
      </c>
      <c r="EC227" s="150">
        <f t="shared" si="700"/>
        <v>0.30399427083333336</v>
      </c>
      <c r="ED227" s="150">
        <f t="shared" si="701"/>
        <v>30.883805718652173</v>
      </c>
      <c r="EE227" s="144">
        <f t="shared" si="674"/>
        <v>4.0441176470588237E-2</v>
      </c>
      <c r="EF227" s="5">
        <f t="shared" si="675"/>
        <v>12.614485950416586</v>
      </c>
      <c r="EH227" s="150">
        <f t="shared" si="702"/>
        <v>2.2838198994958714</v>
      </c>
      <c r="EI227" s="150">
        <f t="shared" si="703"/>
        <v>0.36757116972746223</v>
      </c>
      <c r="EK227" s="456">
        <f t="shared" si="704"/>
        <v>1.7733833333333331E-2</v>
      </c>
      <c r="EL227" s="456">
        <f t="shared" si="705"/>
        <v>0.70025441639999975</v>
      </c>
      <c r="EM227" s="456">
        <f t="shared" si="706"/>
        <v>1.6124748749999997E-2</v>
      </c>
      <c r="EN227" s="456">
        <f t="shared" si="707"/>
        <v>2.9034889003781709E-2</v>
      </c>
      <c r="EO227">
        <f t="shared" si="708"/>
        <v>7.1999999999999998E-3</v>
      </c>
      <c r="EP227" s="144">
        <f t="shared" si="709"/>
        <v>23.324748749999998</v>
      </c>
      <c r="EQ227" s="144"/>
      <c r="ER227" s="144">
        <f t="shared" si="710"/>
        <v>770.3478874871148</v>
      </c>
      <c r="ES227" s="456">
        <f t="shared" si="711"/>
        <v>0.13750000000000001</v>
      </c>
      <c r="EV227" s="144">
        <f t="shared" si="712"/>
        <v>137.5</v>
      </c>
      <c r="EW227" s="456">
        <f t="shared" si="713"/>
        <v>7.8237499999999991E-3</v>
      </c>
      <c r="EX227" s="456">
        <f t="shared" si="714"/>
        <v>2.702171296296297E-2</v>
      </c>
      <c r="EY227" s="456">
        <f t="shared" si="715"/>
        <v>1.3503940970353492</v>
      </c>
      <c r="EZ227" s="456"/>
      <c r="FA227" s="456">
        <f t="shared" si="716"/>
        <v>1.2518E-2</v>
      </c>
      <c r="FB227" s="144">
        <f t="shared" si="717"/>
        <v>1397.757559998312</v>
      </c>
      <c r="FC227" s="150">
        <f t="shared" si="718"/>
        <v>2.3056054474854268</v>
      </c>
      <c r="FD227" s="5">
        <f t="shared" si="719"/>
        <v>9.35</v>
      </c>
      <c r="FE227" s="150">
        <f t="shared" si="720"/>
        <v>0.8021891305541029</v>
      </c>
      <c r="FF227" s="5">
        <f t="shared" si="721"/>
        <v>80.218913055410297</v>
      </c>
      <c r="FI227" s="59">
        <f t="shared" si="676"/>
        <v>-50</v>
      </c>
      <c r="FJ227">
        <f t="shared" si="677"/>
        <v>-50</v>
      </c>
      <c r="FL227">
        <f t="shared" si="678"/>
        <v>0.16499999999999998</v>
      </c>
    </row>
    <row r="228" spans="5:168">
      <c r="E228" s="147">
        <v>12</v>
      </c>
      <c r="F228" s="188">
        <f t="shared" si="679"/>
        <v>0.06</v>
      </c>
      <c r="G228" s="188"/>
      <c r="H228" s="188">
        <f t="shared" si="603"/>
        <v>10.199999999999999</v>
      </c>
      <c r="I228" s="465">
        <f t="shared" si="604"/>
        <v>15.967400381246467</v>
      </c>
      <c r="J228" s="149">
        <f t="shared" si="605"/>
        <v>8.5383264917095438</v>
      </c>
      <c r="K228" s="149">
        <f t="shared" si="606"/>
        <v>24.505726872956011</v>
      </c>
      <c r="L228" s="379"/>
      <c r="M228" s="188">
        <f t="shared" si="607"/>
        <v>0.34842186048293716</v>
      </c>
      <c r="N228" s="149">
        <f t="shared" si="608"/>
        <v>186.33652087932737</v>
      </c>
      <c r="O228" s="149">
        <f t="shared" si="599"/>
        <v>10.199999999999999</v>
      </c>
      <c r="P228" s="188">
        <f t="shared" si="609"/>
        <v>1.0960971816431022</v>
      </c>
      <c r="Q228" s="188">
        <f t="shared" si="610"/>
        <v>170</v>
      </c>
      <c r="R228" s="188"/>
      <c r="S228" s="149">
        <f t="shared" si="611"/>
        <v>8551.4561208157174</v>
      </c>
      <c r="T228" s="149">
        <f t="shared" si="612"/>
        <v>170</v>
      </c>
      <c r="U228" s="188">
        <f t="shared" si="613"/>
        <v>3.6833648252515561</v>
      </c>
      <c r="V228" s="188">
        <f t="shared" si="614"/>
        <v>0.34602046081129401</v>
      </c>
      <c r="W228" s="188">
        <f t="shared" si="615"/>
        <v>0.64708783896258681</v>
      </c>
      <c r="X228" s="172">
        <f t="shared" si="616"/>
        <v>278.16942216349025</v>
      </c>
      <c r="Y228" s="379">
        <f t="shared" si="680"/>
        <v>350</v>
      </c>
      <c r="AA228" s="188">
        <f t="shared" si="617"/>
        <v>13.333333333333334</v>
      </c>
      <c r="AB228" s="150">
        <f t="shared" si="618"/>
        <v>2.3423793900853283</v>
      </c>
      <c r="AC228" s="150">
        <f t="shared" si="619"/>
        <v>0.21719277380923482</v>
      </c>
      <c r="AD228" s="150"/>
      <c r="AE228" s="150">
        <f t="shared" si="620"/>
        <v>2.3423793900853283</v>
      </c>
      <c r="AF228" s="314">
        <f t="shared" si="621"/>
        <v>76.844938425385877</v>
      </c>
      <c r="AG228" s="456">
        <f t="shared" si="622"/>
        <v>0.21719277380923488</v>
      </c>
      <c r="AI228" s="150">
        <f t="shared" si="623"/>
        <v>6.2475875085017005</v>
      </c>
      <c r="AJ228" s="150">
        <f t="shared" si="624"/>
        <v>13.333333333333334</v>
      </c>
      <c r="AK228" s="150">
        <f t="shared" si="625"/>
        <v>1.0439113933859347</v>
      </c>
      <c r="AM228" s="314">
        <f t="shared" si="626"/>
        <v>60</v>
      </c>
      <c r="AN228" s="144">
        <f t="shared" si="627"/>
        <v>76.844938425385877</v>
      </c>
      <c r="AP228">
        <f t="shared" si="628"/>
        <v>60</v>
      </c>
      <c r="AQ228">
        <f t="shared" si="629"/>
        <v>76.844938425385877</v>
      </c>
      <c r="AS228" s="5">
        <f t="shared" si="600"/>
        <v>13.013218833807381</v>
      </c>
      <c r="AT228" s="5">
        <f t="shared" si="630"/>
        <v>1.2525520449458871</v>
      </c>
      <c r="AU228" s="5">
        <f t="shared" si="478"/>
        <v>11.760666788861494</v>
      </c>
      <c r="AV228" s="5"/>
      <c r="AW228" s="150">
        <f t="shared" si="479"/>
        <v>9.625228476845786E-2</v>
      </c>
      <c r="AX228" s="150">
        <f t="shared" si="631"/>
        <v>10.245991790051452</v>
      </c>
      <c r="AY228" s="150">
        <f t="shared" si="632"/>
        <v>0.3012492384105141</v>
      </c>
      <c r="AZ228" s="150">
        <f t="shared" si="633"/>
        <v>34.011676989168613</v>
      </c>
      <c r="BA228" s="144">
        <f t="shared" si="594"/>
        <v>4.4207719233384256E-2</v>
      </c>
      <c r="BB228" s="5">
        <f t="shared" si="595"/>
        <v>12.521220150868295</v>
      </c>
      <c r="BD228" s="150">
        <f t="shared" si="681"/>
        <v>2.3882711524008524</v>
      </c>
      <c r="BE228" s="150">
        <f t="shared" si="682"/>
        <v>0.36590784414203659</v>
      </c>
      <c r="BG228" s="456">
        <f t="shared" si="683"/>
        <v>1.9393052931126323E-2</v>
      </c>
      <c r="BH228" s="456">
        <f t="shared" si="634"/>
        <v>0.60134971585717345</v>
      </c>
      <c r="BI228" s="456">
        <f t="shared" si="635"/>
        <v>5.6197236579254843E-2</v>
      </c>
      <c r="BJ228" s="456">
        <f t="shared" si="684"/>
        <v>3.1611202440404072E-2</v>
      </c>
      <c r="BK228">
        <f t="shared" si="685"/>
        <v>7.1853301715609098E-3</v>
      </c>
      <c r="BL228" s="144">
        <f t="shared" si="686"/>
        <v>63.382566750815755</v>
      </c>
      <c r="BM228" s="456">
        <f t="shared" si="636"/>
        <v>0.66063415857771279</v>
      </c>
      <c r="BN228" s="144">
        <f t="shared" si="687"/>
        <v>660.63415857771281</v>
      </c>
      <c r="BO228" s="456">
        <f t="shared" si="637"/>
        <v>0.15</v>
      </c>
      <c r="BR228" s="144">
        <f t="shared" si="688"/>
        <v>150</v>
      </c>
      <c r="BS228" s="456">
        <f t="shared" si="689"/>
        <v>8.5557586460851438E-3</v>
      </c>
      <c r="BT228" s="456">
        <f t="shared" si="690"/>
        <v>2.6777710080934589E-2</v>
      </c>
      <c r="BU228" s="456">
        <f t="shared" si="691"/>
        <v>1.6801769143565453</v>
      </c>
      <c r="BV228" s="456"/>
      <c r="BW228" s="456">
        <f t="shared" si="692"/>
        <v>1.3661322386735271E-2</v>
      </c>
      <c r="BX228" s="144">
        <f t="shared" si="693"/>
        <v>1729.1717054703001</v>
      </c>
      <c r="BY228" s="150">
        <f t="shared" si="694"/>
        <v>2.5949082434498201</v>
      </c>
      <c r="BZ228" s="5">
        <f t="shared" si="695"/>
        <v>10.199999999999999</v>
      </c>
      <c r="CA228" s="150">
        <f t="shared" si="696"/>
        <v>0.79719211782716393</v>
      </c>
      <c r="CB228" s="5">
        <f t="shared" si="697"/>
        <v>79.7192117827164</v>
      </c>
      <c r="CE228" s="59">
        <f t="shared" si="638"/>
        <v>-50</v>
      </c>
      <c r="CF228">
        <f t="shared" si="639"/>
        <v>-50</v>
      </c>
      <c r="CG228" s="150">
        <f t="shared" si="640"/>
        <v>0.18037020753080554</v>
      </c>
      <c r="CI228" s="147">
        <v>12</v>
      </c>
      <c r="CJ228" s="188">
        <f t="shared" si="698"/>
        <v>0.06</v>
      </c>
      <c r="CK228" s="188"/>
      <c r="CL228" s="188">
        <f t="shared" si="641"/>
        <v>10.199999999999999</v>
      </c>
      <c r="CM228" s="465">
        <f t="shared" si="642"/>
        <v>16</v>
      </c>
      <c r="CN228" s="379">
        <f t="shared" si="643"/>
        <v>8.5350000000000001</v>
      </c>
      <c r="CO228" s="379">
        <f t="shared" si="644"/>
        <v>24.535</v>
      </c>
      <c r="CP228" s="379"/>
      <c r="CQ228" s="188">
        <f t="shared" si="645"/>
        <v>0.34787038923986141</v>
      </c>
      <c r="CR228" s="149">
        <f t="shared" si="646"/>
        <v>186.42142245771345</v>
      </c>
      <c r="CS228" s="149">
        <f t="shared" si="647"/>
        <v>10.199999999999999</v>
      </c>
      <c r="CT228" s="188">
        <f t="shared" si="648"/>
        <v>1.0965966026924321</v>
      </c>
      <c r="CU228" s="188">
        <f t="shared" si="649"/>
        <v>170</v>
      </c>
      <c r="CV228" s="188"/>
      <c r="CW228" s="149">
        <f t="shared" si="650"/>
        <v>8568.9150277526878</v>
      </c>
      <c r="CX228" s="149">
        <f t="shared" si="651"/>
        <v>170</v>
      </c>
      <c r="CY228" s="188">
        <f t="shared" si="652"/>
        <v>3.6651581722319859</v>
      </c>
      <c r="CZ228" s="188">
        <f t="shared" si="653"/>
        <v>0.34360857864674871</v>
      </c>
      <c r="DA228" s="188">
        <f t="shared" si="654"/>
        <v>0.64414027631493609</v>
      </c>
      <c r="DB228" s="172">
        <f t="shared" si="655"/>
        <v>278.29631139188916</v>
      </c>
      <c r="DC228" s="379">
        <f t="shared" si="656"/>
        <v>350</v>
      </c>
      <c r="DE228" s="188">
        <f t="shared" si="657"/>
        <v>13.333333333333332</v>
      </c>
      <c r="DF228" s="150">
        <f t="shared" si="658"/>
        <v>2.3432923257176332</v>
      </c>
      <c r="DG228" s="150">
        <f t="shared" si="659"/>
        <v>0.21737653692004619</v>
      </c>
      <c r="DH228" s="150"/>
      <c r="DI228" s="150">
        <f t="shared" si="660"/>
        <v>2.3432923257176337</v>
      </c>
      <c r="DJ228" s="314">
        <f t="shared" si="661"/>
        <v>76.814999999999969</v>
      </c>
      <c r="DK228" s="456">
        <f t="shared" si="662"/>
        <v>0.21737653692004627</v>
      </c>
      <c r="DM228" s="150">
        <f t="shared" si="663"/>
        <v>6.2463703746370056</v>
      </c>
      <c r="DN228" s="150">
        <f t="shared" si="664"/>
        <v>13.333333333333334</v>
      </c>
      <c r="DO228" s="150">
        <f t="shared" si="665"/>
        <v>1.0438942857142857</v>
      </c>
      <c r="DQ228" s="314">
        <f t="shared" si="666"/>
        <v>60</v>
      </c>
      <c r="DR228" s="144">
        <f t="shared" si="667"/>
        <v>76.814999999999969</v>
      </c>
      <c r="DT228">
        <f t="shared" si="668"/>
        <v>60</v>
      </c>
      <c r="DU228">
        <f t="shared" si="669"/>
        <v>76.814999999999969</v>
      </c>
      <c r="DW228" s="5">
        <f t="shared" si="670"/>
        <v>13.018290698431301</v>
      </c>
      <c r="DX228" s="5">
        <f t="shared" si="671"/>
        <v>1.25</v>
      </c>
      <c r="DY228" s="5">
        <f t="shared" si="672"/>
        <v>11.768290698431301</v>
      </c>
      <c r="DZ228" s="5"/>
      <c r="EA228" s="150">
        <f t="shared" si="673"/>
        <v>9.6018749999999958E-2</v>
      </c>
      <c r="EB228" s="150">
        <f t="shared" si="699"/>
        <v>10.241999999999997</v>
      </c>
      <c r="EC228" s="150">
        <f t="shared" si="700"/>
        <v>0.30132708333333341</v>
      </c>
      <c r="ED228" s="150">
        <f t="shared" si="701"/>
        <v>33.989643037397052</v>
      </c>
      <c r="EE228" s="144">
        <f t="shared" si="674"/>
        <v>4.4117647058823525E-2</v>
      </c>
      <c r="EF228" s="5">
        <f t="shared" si="675"/>
        <v>12.503808867083254</v>
      </c>
      <c r="EH228" s="150">
        <f t="shared" si="702"/>
        <v>2.3853720883753122</v>
      </c>
      <c r="EI228" s="150">
        <f t="shared" si="703"/>
        <v>0.36595511766902261</v>
      </c>
      <c r="EK228" s="456">
        <f t="shared" si="704"/>
        <v>1.9345999999999995E-2</v>
      </c>
      <c r="EL228" s="456">
        <f t="shared" si="705"/>
        <v>0.76391390879999965</v>
      </c>
      <c r="EM228" s="456">
        <f t="shared" si="706"/>
        <v>1.7590634999999993E-2</v>
      </c>
      <c r="EN228" s="456">
        <f t="shared" si="707"/>
        <v>3.1674424367761862E-2</v>
      </c>
      <c r="EO228">
        <f t="shared" si="708"/>
        <v>7.1999999999999998E-3</v>
      </c>
      <c r="EP228" s="144">
        <f t="shared" si="709"/>
        <v>24.790634999999991</v>
      </c>
      <c r="EQ228" s="144"/>
      <c r="ER228" s="144">
        <f t="shared" si="710"/>
        <v>839.72496816776152</v>
      </c>
      <c r="ES228" s="456">
        <f t="shared" si="711"/>
        <v>0.15</v>
      </c>
      <c r="EV228" s="144">
        <f t="shared" si="712"/>
        <v>150</v>
      </c>
      <c r="EW228" s="456">
        <f t="shared" si="713"/>
        <v>8.5349999999999974E-3</v>
      </c>
      <c r="EX228" s="456">
        <f t="shared" si="714"/>
        <v>2.6784629629629637E-2</v>
      </c>
      <c r="EY228" s="456">
        <f t="shared" si="715"/>
        <v>1.6785409200039036</v>
      </c>
      <c r="EZ228" s="456"/>
      <c r="FA228" s="456">
        <f t="shared" si="716"/>
        <v>1.3655999999999998E-2</v>
      </c>
      <c r="FB228" s="144">
        <f t="shared" si="717"/>
        <v>1727.5165496335333</v>
      </c>
      <c r="FC228" s="150">
        <f t="shared" si="718"/>
        <v>2.7172415178012947</v>
      </c>
      <c r="FD228" s="5">
        <f t="shared" si="719"/>
        <v>10.199999999999999</v>
      </c>
      <c r="FE228" s="150">
        <f t="shared" si="720"/>
        <v>0.78964227663803799</v>
      </c>
      <c r="FF228" s="5">
        <f t="shared" si="721"/>
        <v>78.964227663803797</v>
      </c>
      <c r="FI228" s="59">
        <f t="shared" si="676"/>
        <v>-50</v>
      </c>
      <c r="FJ228">
        <f t="shared" si="677"/>
        <v>-50</v>
      </c>
      <c r="FL228">
        <f t="shared" si="678"/>
        <v>0.17999999999999994</v>
      </c>
    </row>
    <row r="229" spans="5:168">
      <c r="E229" s="147">
        <v>13</v>
      </c>
      <c r="F229" s="188">
        <f t="shared" si="679"/>
        <v>6.5000000000000002E-2</v>
      </c>
      <c r="G229" s="188"/>
      <c r="H229" s="188">
        <f t="shared" si="603"/>
        <v>11.05</v>
      </c>
      <c r="I229" s="465">
        <f t="shared" si="604"/>
        <v>15.967400381246467</v>
      </c>
      <c r="J229" s="149">
        <f t="shared" si="605"/>
        <v>8.5383264917095438</v>
      </c>
      <c r="K229" s="149">
        <f t="shared" si="606"/>
        <v>24.505726872956011</v>
      </c>
      <c r="L229" s="379"/>
      <c r="M229" s="188">
        <f t="shared" si="607"/>
        <v>0.34842186048293716</v>
      </c>
      <c r="N229" s="149">
        <f t="shared" si="608"/>
        <v>186.33652087932737</v>
      </c>
      <c r="O229" s="149">
        <f t="shared" si="599"/>
        <v>11.05</v>
      </c>
      <c r="P229" s="188">
        <f t="shared" si="609"/>
        <v>1.0960971816431022</v>
      </c>
      <c r="Q229" s="188">
        <f t="shared" si="610"/>
        <v>170</v>
      </c>
      <c r="R229" s="188"/>
      <c r="S229" s="149">
        <f t="shared" si="611"/>
        <v>7869.0908495754102</v>
      </c>
      <c r="T229" s="149">
        <f t="shared" si="612"/>
        <v>170</v>
      </c>
      <c r="U229" s="188">
        <f t="shared" si="613"/>
        <v>3.9903118940225193</v>
      </c>
      <c r="V229" s="188">
        <f t="shared" si="614"/>
        <v>0.37485549921223521</v>
      </c>
      <c r="W229" s="188">
        <f t="shared" si="615"/>
        <v>0.70101182554280239</v>
      </c>
      <c r="X229" s="172">
        <f t="shared" si="616"/>
        <v>278.16942216349025</v>
      </c>
      <c r="Y229" s="379">
        <f t="shared" si="680"/>
        <v>350</v>
      </c>
      <c r="AA229" s="188">
        <f t="shared" si="617"/>
        <v>13.333333333333334</v>
      </c>
      <c r="AB229" s="150">
        <f t="shared" si="618"/>
        <v>2.3423793900853283</v>
      </c>
      <c r="AC229" s="150">
        <f t="shared" si="619"/>
        <v>0.21719277380923482</v>
      </c>
      <c r="AD229" s="150"/>
      <c r="AE229" s="150">
        <f t="shared" si="620"/>
        <v>2.3423793900853283</v>
      </c>
      <c r="AF229" s="314">
        <f t="shared" si="621"/>
        <v>83.248683294168032</v>
      </c>
      <c r="AG229" s="456">
        <f t="shared" si="622"/>
        <v>0.21719277380923488</v>
      </c>
      <c r="AI229" s="150">
        <f t="shared" si="623"/>
        <v>6.502695247568659</v>
      </c>
      <c r="AJ229" s="150">
        <f t="shared" si="624"/>
        <v>13.333333333333334</v>
      </c>
      <c r="AK229" s="150">
        <f t="shared" si="625"/>
        <v>1.0475706761680961</v>
      </c>
      <c r="AM229" s="314">
        <f t="shared" si="626"/>
        <v>65</v>
      </c>
      <c r="AN229" s="144">
        <f t="shared" si="627"/>
        <v>83.248683294168032</v>
      </c>
      <c r="AP229">
        <f t="shared" si="628"/>
        <v>65</v>
      </c>
      <c r="AQ229">
        <f t="shared" si="629"/>
        <v>83.248683294168032</v>
      </c>
      <c r="AS229" s="5">
        <f t="shared" si="600"/>
        <v>12.012202000437583</v>
      </c>
      <c r="AT229" s="5">
        <f t="shared" si="630"/>
        <v>1.2525520449458871</v>
      </c>
      <c r="AU229" s="5">
        <f t="shared" si="478"/>
        <v>10.759649955491696</v>
      </c>
      <c r="AV229" s="5"/>
      <c r="AW229" s="150">
        <f t="shared" si="479"/>
        <v>0.10427330849916268</v>
      </c>
      <c r="AX229" s="150">
        <f t="shared" si="631"/>
        <v>11.099824439222408</v>
      </c>
      <c r="AY229" s="150">
        <f t="shared" si="632"/>
        <v>0.29857556383361245</v>
      </c>
      <c r="AZ229" s="150">
        <f t="shared" si="633"/>
        <v>37.175930597615881</v>
      </c>
      <c r="BA229" s="144">
        <f t="shared" si="594"/>
        <v>4.7891695836166273E-2</v>
      </c>
      <c r="BB229" s="5">
        <f t="shared" si="595"/>
        <v>12.410090681576348</v>
      </c>
      <c r="BD229" s="150">
        <f t="shared" si="681"/>
        <v>2.4857914277293265</v>
      </c>
      <c r="BE229" s="150">
        <f t="shared" si="682"/>
        <v>0.36428045595765451</v>
      </c>
      <c r="BG229" s="456">
        <f t="shared" si="683"/>
        <v>2.100914067538685E-2</v>
      </c>
      <c r="BH229" s="456">
        <f t="shared" si="634"/>
        <v>0.65146219217860446</v>
      </c>
      <c r="BI229" s="456">
        <f t="shared" si="635"/>
        <v>6.0880339627526071E-2</v>
      </c>
      <c r="BJ229" s="456">
        <f t="shared" si="684"/>
        <v>3.4245469310437746E-2</v>
      </c>
      <c r="BK229">
        <f t="shared" si="685"/>
        <v>7.1853301715609098E-3</v>
      </c>
      <c r="BL229" s="144">
        <f t="shared" si="686"/>
        <v>68.06566979908699</v>
      </c>
      <c r="BM229" s="456">
        <f t="shared" si="636"/>
        <v>0.71596319505119899</v>
      </c>
      <c r="BN229" s="144">
        <f t="shared" si="687"/>
        <v>715.96319505119902</v>
      </c>
      <c r="BO229" s="456">
        <f t="shared" si="637"/>
        <v>0.16250000000000001</v>
      </c>
      <c r="BR229" s="144">
        <f t="shared" si="688"/>
        <v>162.5</v>
      </c>
      <c r="BS229" s="456">
        <f t="shared" si="689"/>
        <v>9.2687385332589061E-3</v>
      </c>
      <c r="BT229" s="456">
        <f t="shared" si="690"/>
        <v>2.6540050118543337E-2</v>
      </c>
      <c r="BU229" s="456">
        <f t="shared" si="691"/>
        <v>2.0523918378957129</v>
      </c>
      <c r="BV229" s="456"/>
      <c r="BW229" s="456">
        <f t="shared" si="692"/>
        <v>1.4799765918963209E-2</v>
      </c>
      <c r="BX229" s="144">
        <f t="shared" si="693"/>
        <v>2103.0003924664788</v>
      </c>
      <c r="BY229" s="150">
        <f t="shared" si="694"/>
        <v>3.0402828644299942</v>
      </c>
      <c r="BZ229" s="5">
        <f t="shared" si="695"/>
        <v>11.05</v>
      </c>
      <c r="CA229" s="150">
        <f t="shared" si="696"/>
        <v>0.78422840097092794</v>
      </c>
      <c r="CB229" s="5">
        <f t="shared" si="697"/>
        <v>78.422840097092788</v>
      </c>
      <c r="CE229" s="59">
        <f t="shared" si="638"/>
        <v>-50</v>
      </c>
      <c r="CF229">
        <f t="shared" si="639"/>
        <v>-50</v>
      </c>
      <c r="CG229" s="150">
        <f t="shared" si="640"/>
        <v>0.19540105815837269</v>
      </c>
      <c r="CI229" s="147">
        <v>13</v>
      </c>
      <c r="CJ229" s="188">
        <f t="shared" si="698"/>
        <v>6.5000000000000002E-2</v>
      </c>
      <c r="CK229" s="188"/>
      <c r="CL229" s="188">
        <f t="shared" si="641"/>
        <v>11.05</v>
      </c>
      <c r="CM229" s="465">
        <f t="shared" si="642"/>
        <v>16</v>
      </c>
      <c r="CN229" s="379">
        <f t="shared" si="643"/>
        <v>8.5350000000000001</v>
      </c>
      <c r="CO229" s="379">
        <f t="shared" si="644"/>
        <v>24.535</v>
      </c>
      <c r="CP229" s="379"/>
      <c r="CQ229" s="188">
        <f t="shared" si="645"/>
        <v>0.34787038923986141</v>
      </c>
      <c r="CR229" s="149">
        <f t="shared" si="646"/>
        <v>186.42142245771345</v>
      </c>
      <c r="CS229" s="149">
        <f t="shared" si="647"/>
        <v>11.05</v>
      </c>
      <c r="CT229" s="188">
        <f t="shared" si="648"/>
        <v>1.0965966026924321</v>
      </c>
      <c r="CU229" s="188">
        <f t="shared" si="649"/>
        <v>170</v>
      </c>
      <c r="CV229" s="188"/>
      <c r="CW229" s="149">
        <f t="shared" si="650"/>
        <v>7885.1566104126368</v>
      </c>
      <c r="CX229" s="149">
        <f t="shared" si="651"/>
        <v>170</v>
      </c>
      <c r="CY229" s="188">
        <f t="shared" si="652"/>
        <v>3.9705880199179853</v>
      </c>
      <c r="CZ229" s="188">
        <f t="shared" si="653"/>
        <v>0.37224262686731113</v>
      </c>
      <c r="DA229" s="188">
        <f t="shared" si="654"/>
        <v>0.69781863267451405</v>
      </c>
      <c r="DB229" s="172">
        <f t="shared" si="655"/>
        <v>278.29631139188916</v>
      </c>
      <c r="DC229" s="379">
        <f t="shared" si="656"/>
        <v>350</v>
      </c>
      <c r="DE229" s="188">
        <f t="shared" si="657"/>
        <v>13.333333333333332</v>
      </c>
      <c r="DF229" s="150">
        <f t="shared" si="658"/>
        <v>2.3432923257176332</v>
      </c>
      <c r="DG229" s="150">
        <f t="shared" si="659"/>
        <v>0.21737653692004619</v>
      </c>
      <c r="DH229" s="150"/>
      <c r="DI229" s="150">
        <f t="shared" si="660"/>
        <v>2.3432923257176337</v>
      </c>
      <c r="DJ229" s="314">
        <f t="shared" si="661"/>
        <v>83.216249999999988</v>
      </c>
      <c r="DK229" s="456">
        <f t="shared" si="662"/>
        <v>0.21737653692004627</v>
      </c>
      <c r="DM229" s="150">
        <f t="shared" si="663"/>
        <v>6.5014284144771928</v>
      </c>
      <c r="DN229" s="150">
        <f t="shared" si="664"/>
        <v>13.333333333333334</v>
      </c>
      <c r="DO229" s="150">
        <f t="shared" si="665"/>
        <v>1.0475521428571428</v>
      </c>
      <c r="DQ229" s="314">
        <f t="shared" si="666"/>
        <v>65</v>
      </c>
      <c r="DR229" s="144">
        <f t="shared" si="667"/>
        <v>83.216249999999988</v>
      </c>
      <c r="DT229">
        <f t="shared" si="668"/>
        <v>65</v>
      </c>
      <c r="DU229">
        <f t="shared" si="669"/>
        <v>83.216249999999988</v>
      </c>
      <c r="DW229" s="5">
        <f t="shared" si="670"/>
        <v>12.016883721628892</v>
      </c>
      <c r="DX229" s="5">
        <f t="shared" si="671"/>
        <v>1.25</v>
      </c>
      <c r="DY229" s="5">
        <f t="shared" si="672"/>
        <v>10.766883721628892</v>
      </c>
      <c r="DZ229" s="5"/>
      <c r="EA229" s="150">
        <f t="shared" si="673"/>
        <v>0.10402031249999998</v>
      </c>
      <c r="EB229" s="150">
        <f t="shared" si="699"/>
        <v>11.095500000000001</v>
      </c>
      <c r="EC229" s="150">
        <f t="shared" si="700"/>
        <v>0.29865989583333336</v>
      </c>
      <c r="ED229" s="150">
        <f t="shared" si="701"/>
        <v>37.15095382672947</v>
      </c>
      <c r="EE229" s="144">
        <f t="shared" si="674"/>
        <v>4.7794117647058827E-2</v>
      </c>
      <c r="EF229" s="5">
        <f t="shared" si="675"/>
        <v>12.393131783749922</v>
      </c>
      <c r="EH229" s="150">
        <f t="shared" si="702"/>
        <v>2.4827739862232052</v>
      </c>
      <c r="EI229" s="150">
        <f t="shared" si="703"/>
        <v>0.36433189742524813</v>
      </c>
      <c r="EK229" s="456">
        <f t="shared" si="704"/>
        <v>2.095816666666666E-2</v>
      </c>
      <c r="EL229" s="456">
        <f t="shared" si="705"/>
        <v>0.82757340119999989</v>
      </c>
      <c r="EM229" s="456">
        <f t="shared" si="706"/>
        <v>1.9056521249999996E-2</v>
      </c>
      <c r="EN229" s="456">
        <f t="shared" si="707"/>
        <v>3.4313959731742026E-2</v>
      </c>
      <c r="EO229">
        <f t="shared" si="708"/>
        <v>7.1999999999999998E-3</v>
      </c>
      <c r="EP229" s="144">
        <f t="shared" si="709"/>
        <v>26.256521249999999</v>
      </c>
      <c r="EQ229" s="144"/>
      <c r="ER229" s="144">
        <f t="shared" si="710"/>
        <v>909.10204884840846</v>
      </c>
      <c r="ES229" s="456">
        <f t="shared" si="711"/>
        <v>0.16250000000000001</v>
      </c>
      <c r="EV229" s="144">
        <f t="shared" si="712"/>
        <v>162.5</v>
      </c>
      <c r="EW229" s="456">
        <f t="shared" si="713"/>
        <v>9.2462499999999975E-3</v>
      </c>
      <c r="EX229" s="456">
        <f t="shared" si="714"/>
        <v>2.6547546296296305E-2</v>
      </c>
      <c r="EY229" s="456">
        <f t="shared" si="715"/>
        <v>2.0503934165226405</v>
      </c>
      <c r="EZ229" s="456"/>
      <c r="FA229" s="456">
        <f t="shared" si="716"/>
        <v>1.4794000000000002E-2</v>
      </c>
      <c r="FB229" s="144">
        <f t="shared" si="717"/>
        <v>2100.9812128189369</v>
      </c>
      <c r="FC229" s="150">
        <f t="shared" si="718"/>
        <v>3.1725832616673455</v>
      </c>
      <c r="FD229" s="5">
        <f t="shared" si="719"/>
        <v>11.05</v>
      </c>
      <c r="FE229" s="150">
        <f t="shared" si="720"/>
        <v>0.77693340209031647</v>
      </c>
      <c r="FF229" s="5">
        <f t="shared" si="721"/>
        <v>77.693340209031646</v>
      </c>
      <c r="FI229" s="59">
        <f t="shared" si="676"/>
        <v>-50</v>
      </c>
      <c r="FJ229">
        <f t="shared" si="677"/>
        <v>-50</v>
      </c>
      <c r="FL229">
        <f t="shared" si="678"/>
        <v>0.19499999999999998</v>
      </c>
    </row>
    <row r="230" spans="5:168">
      <c r="E230" s="147">
        <v>14</v>
      </c>
      <c r="F230" s="188">
        <f t="shared" si="679"/>
        <v>7.0000000000000007E-2</v>
      </c>
      <c r="G230" s="188"/>
      <c r="H230" s="188">
        <f t="shared" si="603"/>
        <v>11.9</v>
      </c>
      <c r="I230" s="465">
        <f t="shared" si="604"/>
        <v>15.967400381246467</v>
      </c>
      <c r="J230" s="149">
        <f t="shared" si="605"/>
        <v>8.5383264917095438</v>
      </c>
      <c r="K230" s="149">
        <f t="shared" si="606"/>
        <v>24.505726872956011</v>
      </c>
      <c r="L230" s="379"/>
      <c r="M230" s="188">
        <f t="shared" si="607"/>
        <v>0.34842186048293716</v>
      </c>
      <c r="N230" s="149">
        <f t="shared" si="608"/>
        <v>186.33652087932737</v>
      </c>
      <c r="O230" s="149">
        <f t="shared" si="599"/>
        <v>11.9</v>
      </c>
      <c r="P230" s="188">
        <f t="shared" si="609"/>
        <v>1.0960971816431022</v>
      </c>
      <c r="Q230" s="188">
        <f t="shared" si="610"/>
        <v>170</v>
      </c>
      <c r="R230" s="188"/>
      <c r="S230" s="149">
        <f t="shared" si="611"/>
        <v>7284.2066693019588</v>
      </c>
      <c r="T230" s="149">
        <f t="shared" si="612"/>
        <v>170</v>
      </c>
      <c r="U230" s="188">
        <f t="shared" si="613"/>
        <v>4.2972589627934825</v>
      </c>
      <c r="V230" s="188">
        <f t="shared" si="614"/>
        <v>0.40369053761317641</v>
      </c>
      <c r="W230" s="188">
        <f t="shared" si="615"/>
        <v>0.75493581212301808</v>
      </c>
      <c r="X230" s="172">
        <f t="shared" si="616"/>
        <v>278.16942216349025</v>
      </c>
      <c r="Y230" s="379">
        <f t="shared" si="680"/>
        <v>350</v>
      </c>
      <c r="AA230" s="188">
        <f t="shared" si="617"/>
        <v>13.333333333333334</v>
      </c>
      <c r="AB230" s="150">
        <f t="shared" si="618"/>
        <v>2.3423793900853283</v>
      </c>
      <c r="AC230" s="150">
        <f t="shared" si="619"/>
        <v>0.21719277380923482</v>
      </c>
      <c r="AD230" s="150"/>
      <c r="AE230" s="150">
        <f t="shared" si="620"/>
        <v>2.3423793900853283</v>
      </c>
      <c r="AF230" s="314">
        <f t="shared" si="621"/>
        <v>89.652428162950187</v>
      </c>
      <c r="AG230" s="456">
        <f t="shared" si="622"/>
        <v>0.21719277380923488</v>
      </c>
      <c r="AI230" s="150">
        <f t="shared" si="623"/>
        <v>6.7481657722019222</v>
      </c>
      <c r="AJ230" s="150">
        <f t="shared" si="624"/>
        <v>13.333333333333334</v>
      </c>
      <c r="AK230" s="150">
        <f t="shared" si="625"/>
        <v>1.0512299589502572</v>
      </c>
      <c r="AM230" s="314">
        <f t="shared" si="626"/>
        <v>70</v>
      </c>
      <c r="AN230" s="144">
        <f t="shared" si="627"/>
        <v>89.652428162950187</v>
      </c>
      <c r="AP230">
        <f t="shared" si="628"/>
        <v>70</v>
      </c>
      <c r="AQ230">
        <f t="shared" si="629"/>
        <v>89.652428162950187</v>
      </c>
      <c r="AS230" s="5">
        <f t="shared" si="600"/>
        <v>11.154187571834898</v>
      </c>
      <c r="AT230" s="5">
        <f t="shared" si="630"/>
        <v>1.2525520449458871</v>
      </c>
      <c r="AU230" s="5">
        <f t="shared" si="478"/>
        <v>9.9016355268890113</v>
      </c>
      <c r="AV230" s="5"/>
      <c r="AW230" s="150">
        <f t="shared" si="479"/>
        <v>0.1122943322298675</v>
      </c>
      <c r="AX230" s="150">
        <f t="shared" si="631"/>
        <v>11.953657088393362</v>
      </c>
      <c r="AY230" s="150">
        <f t="shared" si="632"/>
        <v>0.29590188925671085</v>
      </c>
      <c r="AZ230" s="150">
        <f t="shared" si="633"/>
        <v>40.397366567750836</v>
      </c>
      <c r="BA230" s="144">
        <f t="shared" si="594"/>
        <v>5.1575672438948304E-2</v>
      </c>
      <c r="BB230" s="5">
        <f t="shared" si="595"/>
        <v>12.298961212284397</v>
      </c>
      <c r="BD230" s="150">
        <f t="shared" si="681"/>
        <v>2.5796276760329411</v>
      </c>
      <c r="BE230" s="150">
        <f t="shared" si="682"/>
        <v>0.36264576487360284</v>
      </c>
      <c r="BG230" s="456">
        <f t="shared" si="683"/>
        <v>2.2625228419647384E-2</v>
      </c>
      <c r="BH230" s="456">
        <f t="shared" si="634"/>
        <v>0.70157466850003558</v>
      </c>
      <c r="BI230" s="456">
        <f t="shared" si="635"/>
        <v>6.5563442675797307E-2</v>
      </c>
      <c r="BJ230" s="456">
        <f t="shared" si="684"/>
        <v>3.6879736180471419E-2</v>
      </c>
      <c r="BK230">
        <f t="shared" si="685"/>
        <v>7.1853301715609098E-3</v>
      </c>
      <c r="BL230" s="144">
        <f t="shared" si="686"/>
        <v>72.748772847358211</v>
      </c>
      <c r="BM230" s="456">
        <f t="shared" si="636"/>
        <v>0.77133495193686885</v>
      </c>
      <c r="BN230" s="144">
        <f t="shared" si="687"/>
        <v>771.33495193686883</v>
      </c>
      <c r="BO230" s="456">
        <f t="shared" si="637"/>
        <v>0.17500000000000002</v>
      </c>
      <c r="BR230" s="144">
        <f t="shared" si="688"/>
        <v>175.00000000000003</v>
      </c>
      <c r="BS230" s="456">
        <f t="shared" si="689"/>
        <v>9.9817184204326684E-3</v>
      </c>
      <c r="BT230" s="456">
        <f t="shared" si="690"/>
        <v>2.630239015615209E-2</v>
      </c>
      <c r="BU230" s="456">
        <f t="shared" si="691"/>
        <v>2.4701423822240445</v>
      </c>
      <c r="BV230" s="456"/>
      <c r="BW230" s="456">
        <f t="shared" si="692"/>
        <v>1.5938209451191149E-2</v>
      </c>
      <c r="BX230" s="144">
        <f t="shared" si="693"/>
        <v>2522.3647002518205</v>
      </c>
      <c r="BY230" s="150">
        <f t="shared" si="694"/>
        <v>3.5311931061993334</v>
      </c>
      <c r="BZ230" s="5">
        <f t="shared" si="695"/>
        <v>11.9</v>
      </c>
      <c r="CA230" s="150">
        <f t="shared" si="696"/>
        <v>0.77116525715819662</v>
      </c>
      <c r="CB230" s="5">
        <f t="shared" si="697"/>
        <v>77.116525715819662</v>
      </c>
      <c r="CE230" s="59">
        <f t="shared" si="638"/>
        <v>-50</v>
      </c>
      <c r="CF230">
        <f t="shared" si="639"/>
        <v>-50</v>
      </c>
      <c r="CG230" s="150">
        <f t="shared" si="640"/>
        <v>0.21043190878593984</v>
      </c>
      <c r="CI230" s="147">
        <v>14</v>
      </c>
      <c r="CJ230" s="188">
        <f t="shared" si="698"/>
        <v>7.0000000000000007E-2</v>
      </c>
      <c r="CK230" s="188"/>
      <c r="CL230" s="188">
        <f t="shared" si="641"/>
        <v>11.9</v>
      </c>
      <c r="CM230" s="465">
        <f t="shared" si="642"/>
        <v>16</v>
      </c>
      <c r="CN230" s="379">
        <f t="shared" si="643"/>
        <v>8.5350000000000001</v>
      </c>
      <c r="CO230" s="379">
        <f t="shared" si="644"/>
        <v>24.535</v>
      </c>
      <c r="CP230" s="379"/>
      <c r="CQ230" s="188">
        <f t="shared" si="645"/>
        <v>0.34787038923986141</v>
      </c>
      <c r="CR230" s="149">
        <f t="shared" si="646"/>
        <v>186.42142245771345</v>
      </c>
      <c r="CS230" s="149">
        <f t="shared" si="647"/>
        <v>11.9</v>
      </c>
      <c r="CT230" s="188">
        <f t="shared" si="648"/>
        <v>1.0965966026924321</v>
      </c>
      <c r="CU230" s="188">
        <f t="shared" si="649"/>
        <v>170</v>
      </c>
      <c r="CV230" s="188"/>
      <c r="CW230" s="149">
        <f t="shared" si="650"/>
        <v>7299.0783049110314</v>
      </c>
      <c r="CX230" s="149">
        <f t="shared" si="651"/>
        <v>170</v>
      </c>
      <c r="CY230" s="188">
        <f t="shared" si="652"/>
        <v>4.2760178676039837</v>
      </c>
      <c r="CZ230" s="188">
        <f t="shared" si="653"/>
        <v>0.4008766750878735</v>
      </c>
      <c r="DA230" s="188">
        <f t="shared" si="654"/>
        <v>0.75149698903409212</v>
      </c>
      <c r="DB230" s="172">
        <f t="shared" si="655"/>
        <v>278.29631139188916</v>
      </c>
      <c r="DC230" s="379">
        <f t="shared" si="656"/>
        <v>350</v>
      </c>
      <c r="DE230" s="188">
        <f t="shared" si="657"/>
        <v>13.333333333333332</v>
      </c>
      <c r="DF230" s="150">
        <f t="shared" si="658"/>
        <v>2.3432923257176332</v>
      </c>
      <c r="DG230" s="150">
        <f t="shared" si="659"/>
        <v>0.21737653692004619</v>
      </c>
      <c r="DH230" s="150"/>
      <c r="DI230" s="150">
        <f t="shared" si="660"/>
        <v>2.3432923257176337</v>
      </c>
      <c r="DJ230" s="314">
        <f t="shared" si="661"/>
        <v>89.617499999999978</v>
      </c>
      <c r="DK230" s="456">
        <f t="shared" si="662"/>
        <v>0.21737653692004627</v>
      </c>
      <c r="DM230" s="150">
        <f t="shared" si="663"/>
        <v>6.7468511173731995</v>
      </c>
      <c r="DN230" s="150">
        <f t="shared" si="664"/>
        <v>13.333333333333334</v>
      </c>
      <c r="DO230" s="150">
        <f t="shared" si="665"/>
        <v>1.05121</v>
      </c>
      <c r="DQ230" s="314">
        <f t="shared" si="666"/>
        <v>70</v>
      </c>
      <c r="DR230" s="144">
        <f t="shared" si="667"/>
        <v>89.617499999999978</v>
      </c>
      <c r="DT230">
        <f t="shared" si="668"/>
        <v>70</v>
      </c>
      <c r="DU230">
        <f t="shared" si="669"/>
        <v>89.617499999999978</v>
      </c>
      <c r="DW230" s="5">
        <f t="shared" si="670"/>
        <v>11.158534884369685</v>
      </c>
      <c r="DX230" s="5">
        <f t="shared" si="671"/>
        <v>1.25</v>
      </c>
      <c r="DY230" s="5">
        <f t="shared" si="672"/>
        <v>9.9085348843696845</v>
      </c>
      <c r="DZ230" s="5"/>
      <c r="EA230" s="150">
        <f t="shared" si="673"/>
        <v>0.11202187499999998</v>
      </c>
      <c r="EB230" s="150">
        <f t="shared" si="699"/>
        <v>11.949</v>
      </c>
      <c r="EC230" s="150">
        <f t="shared" si="700"/>
        <v>0.29599270833333341</v>
      </c>
      <c r="ED230" s="150">
        <f t="shared" si="701"/>
        <v>40.369237699408409</v>
      </c>
      <c r="EE230" s="144">
        <f t="shared" si="674"/>
        <v>5.1470588235294122E-2</v>
      </c>
      <c r="EF230" s="5">
        <f t="shared" si="675"/>
        <v>12.282454700416586</v>
      </c>
      <c r="EH230" s="150">
        <f t="shared" si="702"/>
        <v>2.5764963289966731</v>
      </c>
      <c r="EI230" s="150">
        <f t="shared" si="703"/>
        <v>0.36270141275547141</v>
      </c>
      <c r="EK230" s="456">
        <f t="shared" si="704"/>
        <v>2.2570333333333331E-2</v>
      </c>
      <c r="EL230" s="456">
        <f t="shared" si="705"/>
        <v>0.8912328935999998</v>
      </c>
      <c r="EM230" s="456">
        <f t="shared" si="706"/>
        <v>2.0522407499999996E-2</v>
      </c>
      <c r="EN230" s="456">
        <f t="shared" si="707"/>
        <v>3.6953495095722183E-2</v>
      </c>
      <c r="EO230">
        <f t="shared" si="708"/>
        <v>7.1999999999999998E-3</v>
      </c>
      <c r="EP230" s="144">
        <f t="shared" si="709"/>
        <v>27.722407499999996</v>
      </c>
      <c r="EQ230" s="144"/>
      <c r="ER230" s="144">
        <f t="shared" si="710"/>
        <v>978.4791295290554</v>
      </c>
      <c r="ES230" s="456">
        <f t="shared" si="711"/>
        <v>0.17500000000000002</v>
      </c>
      <c r="EV230" s="144">
        <f t="shared" si="712"/>
        <v>175.00000000000003</v>
      </c>
      <c r="EW230" s="456">
        <f t="shared" si="713"/>
        <v>9.9574999999999993E-3</v>
      </c>
      <c r="EX230" s="456">
        <f t="shared" si="714"/>
        <v>2.6310462962962966E-2</v>
      </c>
      <c r="EY230" s="456">
        <f t="shared" si="715"/>
        <v>2.4677371956314933</v>
      </c>
      <c r="EZ230" s="456"/>
      <c r="FA230" s="456">
        <f t="shared" si="716"/>
        <v>1.5931999999999998E-2</v>
      </c>
      <c r="FB230" s="144">
        <f t="shared" si="717"/>
        <v>2519.9371585944559</v>
      </c>
      <c r="FC230" s="150">
        <f t="shared" si="718"/>
        <v>3.6734162881235117</v>
      </c>
      <c r="FD230" s="5">
        <f t="shared" si="719"/>
        <v>11.9</v>
      </c>
      <c r="FE230" s="150">
        <f t="shared" si="720"/>
        <v>0.76412264206120872</v>
      </c>
      <c r="FF230" s="5">
        <f t="shared" si="721"/>
        <v>76.412264206120867</v>
      </c>
      <c r="FI230" s="59">
        <f t="shared" si="676"/>
        <v>-50</v>
      </c>
      <c r="FJ230">
        <f t="shared" si="677"/>
        <v>-50</v>
      </c>
      <c r="FL230">
        <f t="shared" si="678"/>
        <v>0.21</v>
      </c>
    </row>
    <row r="231" spans="5:168">
      <c r="E231" s="147">
        <v>15</v>
      </c>
      <c r="F231" s="188">
        <f t="shared" si="679"/>
        <v>7.4999999999999997E-2</v>
      </c>
      <c r="G231" s="188"/>
      <c r="H231" s="188">
        <f t="shared" si="603"/>
        <v>12.75</v>
      </c>
      <c r="I231" s="465">
        <f t="shared" si="604"/>
        <v>15.967400381246467</v>
      </c>
      <c r="J231" s="149">
        <f t="shared" si="605"/>
        <v>8.5383264917095438</v>
      </c>
      <c r="K231" s="149">
        <f t="shared" si="606"/>
        <v>24.505726872956011</v>
      </c>
      <c r="L231" s="379"/>
      <c r="M231" s="188">
        <f t="shared" si="607"/>
        <v>0.34842186048293716</v>
      </c>
      <c r="N231" s="149">
        <f t="shared" si="608"/>
        <v>186.33652087932737</v>
      </c>
      <c r="O231" s="149">
        <f t="shared" si="599"/>
        <v>12.75</v>
      </c>
      <c r="P231" s="188">
        <f t="shared" si="609"/>
        <v>1.0960971816431022</v>
      </c>
      <c r="Q231" s="188">
        <f t="shared" si="610"/>
        <v>170</v>
      </c>
      <c r="R231" s="188"/>
      <c r="S231" s="149">
        <f t="shared" si="611"/>
        <v>6777.3073647664078</v>
      </c>
      <c r="T231" s="149">
        <f t="shared" si="612"/>
        <v>170</v>
      </c>
      <c r="U231" s="188">
        <f t="shared" si="613"/>
        <v>4.6042060315644449</v>
      </c>
      <c r="V231" s="188">
        <f t="shared" si="614"/>
        <v>0.43252557601411751</v>
      </c>
      <c r="W231" s="188">
        <f t="shared" si="615"/>
        <v>0.80885979870323355</v>
      </c>
      <c r="X231" s="172">
        <f t="shared" si="616"/>
        <v>278.16942216349025</v>
      </c>
      <c r="Y231" s="379">
        <f t="shared" si="680"/>
        <v>350</v>
      </c>
      <c r="AA231" s="188">
        <f t="shared" si="617"/>
        <v>13.333333333333334</v>
      </c>
      <c r="AB231" s="150">
        <f t="shared" si="618"/>
        <v>2.3423793900853283</v>
      </c>
      <c r="AC231" s="150">
        <f t="shared" si="619"/>
        <v>0.21719277380923482</v>
      </c>
      <c r="AD231" s="150"/>
      <c r="AE231" s="150">
        <f t="shared" si="620"/>
        <v>2.3423793900853283</v>
      </c>
      <c r="AF231" s="314">
        <f t="shared" si="621"/>
        <v>96.056173031732342</v>
      </c>
      <c r="AG231" s="456">
        <f t="shared" si="622"/>
        <v>0.21719277380923488</v>
      </c>
      <c r="AI231" s="150">
        <f t="shared" si="623"/>
        <v>6.9850151821941742</v>
      </c>
      <c r="AJ231" s="150">
        <f t="shared" si="624"/>
        <v>13.333333333333334</v>
      </c>
      <c r="AK231" s="150">
        <f t="shared" si="625"/>
        <v>1.0548892417324185</v>
      </c>
      <c r="AM231" s="314">
        <f t="shared" si="626"/>
        <v>75</v>
      </c>
      <c r="AN231" s="144">
        <f t="shared" si="627"/>
        <v>96.056173031732342</v>
      </c>
      <c r="AP231">
        <f t="shared" si="628"/>
        <v>75</v>
      </c>
      <c r="AQ231">
        <f t="shared" si="629"/>
        <v>96.056173031732342</v>
      </c>
      <c r="AS231" s="5">
        <f t="shared" si="600"/>
        <v>10.410575067045905</v>
      </c>
      <c r="AT231" s="5">
        <f t="shared" si="630"/>
        <v>1.2525520449458871</v>
      </c>
      <c r="AU231" s="5">
        <f t="shared" si="478"/>
        <v>9.1580230221000178</v>
      </c>
      <c r="AV231" s="5"/>
      <c r="AW231" s="150">
        <f t="shared" si="479"/>
        <v>0.12031535596057233</v>
      </c>
      <c r="AX231" s="150">
        <f t="shared" si="631"/>
        <v>12.807489737564316</v>
      </c>
      <c r="AY231" s="150">
        <f t="shared" si="632"/>
        <v>0.29322821467980925</v>
      </c>
      <c r="AZ231" s="150">
        <f t="shared" si="633"/>
        <v>43.677549077429205</v>
      </c>
      <c r="BA231" s="144">
        <f t="shared" si="594"/>
        <v>5.5259649041730315E-2</v>
      </c>
      <c r="BB231" s="5">
        <f t="shared" si="595"/>
        <v>12.187831742992445</v>
      </c>
      <c r="BD231" s="150">
        <f t="shared" si="681"/>
        <v>2.6701683227350332</v>
      </c>
      <c r="BE231" s="150">
        <f t="shared" si="682"/>
        <v>0.36100367168327269</v>
      </c>
      <c r="BG231" s="456">
        <f t="shared" si="683"/>
        <v>2.424131616390791E-2</v>
      </c>
      <c r="BH231" s="456">
        <f t="shared" si="634"/>
        <v>0.7516871448214667</v>
      </c>
      <c r="BI231" s="456">
        <f t="shared" si="635"/>
        <v>7.0246545724068549E-2</v>
      </c>
      <c r="BJ231" s="456">
        <f t="shared" si="684"/>
        <v>3.9514003050505085E-2</v>
      </c>
      <c r="BK231">
        <f t="shared" si="685"/>
        <v>7.1853301715609098E-3</v>
      </c>
      <c r="BL231" s="144">
        <f t="shared" si="686"/>
        <v>77.43187589562946</v>
      </c>
      <c r="BM231" s="456">
        <f t="shared" si="636"/>
        <v>0.82674947873147564</v>
      </c>
      <c r="BN231" s="144">
        <f t="shared" si="687"/>
        <v>826.74947873147562</v>
      </c>
      <c r="BO231" s="456">
        <f t="shared" si="637"/>
        <v>0.1875</v>
      </c>
      <c r="BR231" s="144">
        <f t="shared" si="688"/>
        <v>187.5</v>
      </c>
      <c r="BS231" s="456">
        <f t="shared" si="689"/>
        <v>1.0694698307606431E-2</v>
      </c>
      <c r="BT231" s="456">
        <f t="shared" si="690"/>
        <v>2.6064730193760828E-2</v>
      </c>
      <c r="BU231" s="456">
        <f t="shared" si="691"/>
        <v>2.9351482771305273</v>
      </c>
      <c r="BV231" s="456"/>
      <c r="BW231" s="456">
        <f t="shared" si="692"/>
        <v>1.7076652983419087E-2</v>
      </c>
      <c r="BX231" s="144">
        <f t="shared" si="693"/>
        <v>2988.9843586153138</v>
      </c>
      <c r="BY231" s="150">
        <f t="shared" si="694"/>
        <v>4.0693586985468224</v>
      </c>
      <c r="BZ231" s="5">
        <f t="shared" si="695"/>
        <v>12.75</v>
      </c>
      <c r="CA231" s="150">
        <f t="shared" si="696"/>
        <v>0.75805506193893046</v>
      </c>
      <c r="CB231" s="5">
        <f t="shared" si="697"/>
        <v>75.805506193893052</v>
      </c>
      <c r="CE231" s="59">
        <f t="shared" si="638"/>
        <v>-50</v>
      </c>
      <c r="CF231">
        <f t="shared" si="639"/>
        <v>-50</v>
      </c>
      <c r="CG231" s="150">
        <f t="shared" si="640"/>
        <v>0.22546275941350696</v>
      </c>
      <c r="CI231" s="147">
        <v>15</v>
      </c>
      <c r="CJ231" s="188">
        <f t="shared" si="698"/>
        <v>7.4999999999999997E-2</v>
      </c>
      <c r="CK231" s="188"/>
      <c r="CL231" s="188">
        <f t="shared" si="641"/>
        <v>12.75</v>
      </c>
      <c r="CM231" s="465">
        <f t="shared" si="642"/>
        <v>16</v>
      </c>
      <c r="CN231" s="379">
        <f t="shared" si="643"/>
        <v>8.5350000000000001</v>
      </c>
      <c r="CO231" s="379">
        <f t="shared" si="644"/>
        <v>24.535</v>
      </c>
      <c r="CP231" s="379"/>
      <c r="CQ231" s="188">
        <f t="shared" si="645"/>
        <v>0.34787038923986141</v>
      </c>
      <c r="CR231" s="149">
        <f t="shared" si="646"/>
        <v>186.42142245771345</v>
      </c>
      <c r="CS231" s="149">
        <f t="shared" si="647"/>
        <v>12.75</v>
      </c>
      <c r="CT231" s="188">
        <f t="shared" si="648"/>
        <v>1.0965966026924321</v>
      </c>
      <c r="CU231" s="188">
        <f t="shared" si="649"/>
        <v>170</v>
      </c>
      <c r="CV231" s="188"/>
      <c r="CW231" s="149">
        <f t="shared" si="650"/>
        <v>6791.1440918446187</v>
      </c>
      <c r="CX231" s="149">
        <f t="shared" si="651"/>
        <v>170</v>
      </c>
      <c r="CY231" s="188">
        <f t="shared" si="652"/>
        <v>4.5814477152899826</v>
      </c>
      <c r="CZ231" s="188">
        <f t="shared" si="653"/>
        <v>0.42951072330843587</v>
      </c>
      <c r="DA231" s="188">
        <f t="shared" si="654"/>
        <v>0.80517534539367008</v>
      </c>
      <c r="DB231" s="172">
        <f t="shared" si="655"/>
        <v>278.29631139188916</v>
      </c>
      <c r="DC231" s="379">
        <f t="shared" si="656"/>
        <v>350</v>
      </c>
      <c r="DE231" s="188">
        <f t="shared" si="657"/>
        <v>13.333333333333332</v>
      </c>
      <c r="DF231" s="150">
        <f t="shared" si="658"/>
        <v>2.3432923257176332</v>
      </c>
      <c r="DG231" s="150">
        <f t="shared" si="659"/>
        <v>0.21737653692004619</v>
      </c>
      <c r="DH231" s="150"/>
      <c r="DI231" s="150">
        <f t="shared" si="660"/>
        <v>2.3432923257176337</v>
      </c>
      <c r="DJ231" s="314">
        <f t="shared" si="661"/>
        <v>96.018749999999969</v>
      </c>
      <c r="DK231" s="456">
        <f t="shared" si="662"/>
        <v>0.21737653692004627</v>
      </c>
      <c r="DM231" s="150">
        <f t="shared" si="663"/>
        <v>6.9836543851645869</v>
      </c>
      <c r="DN231" s="150">
        <f t="shared" si="664"/>
        <v>13.333333333333334</v>
      </c>
      <c r="DO231" s="150">
        <f t="shared" si="665"/>
        <v>1.0548678571428571</v>
      </c>
      <c r="DQ231" s="314">
        <f t="shared" si="666"/>
        <v>75</v>
      </c>
      <c r="DR231" s="144">
        <f t="shared" si="667"/>
        <v>96.018749999999969</v>
      </c>
      <c r="DT231">
        <f t="shared" si="668"/>
        <v>75</v>
      </c>
      <c r="DU231">
        <f t="shared" si="669"/>
        <v>96.018749999999969</v>
      </c>
      <c r="DW231" s="5">
        <f t="shared" si="670"/>
        <v>10.414632558745041</v>
      </c>
      <c r="DX231" s="5">
        <f t="shared" si="671"/>
        <v>1.25</v>
      </c>
      <c r="DY231" s="5">
        <f t="shared" si="672"/>
        <v>9.1646325587450406</v>
      </c>
      <c r="DZ231" s="5"/>
      <c r="EA231" s="150">
        <f t="shared" si="673"/>
        <v>0.12002343749999995</v>
      </c>
      <c r="EB231" s="150">
        <f t="shared" si="699"/>
        <v>12.8025</v>
      </c>
      <c r="EC231" s="150">
        <f t="shared" si="700"/>
        <v>0.29332552083333335</v>
      </c>
      <c r="ED231" s="150">
        <f t="shared" si="701"/>
        <v>43.646048811669345</v>
      </c>
      <c r="EE231" s="144">
        <f t="shared" si="674"/>
        <v>5.5147058823529417E-2</v>
      </c>
      <c r="EF231" s="5">
        <f t="shared" si="675"/>
        <v>12.171777617083254</v>
      </c>
      <c r="EH231" s="150">
        <f t="shared" si="702"/>
        <v>2.6669270706189168</v>
      </c>
      <c r="EI231" s="150">
        <f t="shared" si="703"/>
        <v>0.36106356524599403</v>
      </c>
      <c r="EK231" s="456">
        <f t="shared" si="704"/>
        <v>2.4182499999999985E-2</v>
      </c>
      <c r="EL231" s="456">
        <f t="shared" si="705"/>
        <v>0.9548923859999997</v>
      </c>
      <c r="EM231" s="456">
        <f t="shared" si="706"/>
        <v>2.1988293749999992E-2</v>
      </c>
      <c r="EN231" s="456">
        <f t="shared" si="707"/>
        <v>3.9593030459702333E-2</v>
      </c>
      <c r="EO231">
        <f t="shared" si="708"/>
        <v>7.1999999999999998E-3</v>
      </c>
      <c r="EP231" s="144">
        <f t="shared" si="709"/>
        <v>29.188293749999989</v>
      </c>
      <c r="EQ231" s="144"/>
      <c r="ER231" s="144">
        <f t="shared" si="710"/>
        <v>1047.8562102097019</v>
      </c>
      <c r="ES231" s="456">
        <f t="shared" si="711"/>
        <v>0.1875</v>
      </c>
      <c r="EV231" s="144">
        <f t="shared" si="712"/>
        <v>187.5</v>
      </c>
      <c r="EW231" s="456">
        <f t="shared" si="713"/>
        <v>1.0668749999999994E-2</v>
      </c>
      <c r="EX231" s="456">
        <f t="shared" si="714"/>
        <v>2.6073379629629641E-2</v>
      </c>
      <c r="EY231" s="456">
        <f t="shared" si="715"/>
        <v>2.9322903126123143</v>
      </c>
      <c r="EZ231" s="456"/>
      <c r="FA231" s="456">
        <f t="shared" si="716"/>
        <v>1.7069999999999998E-2</v>
      </c>
      <c r="FB231" s="144">
        <f t="shared" si="717"/>
        <v>2986.1024422419437</v>
      </c>
      <c r="FC231" s="150">
        <f t="shared" si="718"/>
        <v>4.2214586524516466</v>
      </c>
      <c r="FD231" s="5">
        <f t="shared" si="719"/>
        <v>12.75</v>
      </c>
      <c r="FE231" s="150">
        <f t="shared" si="720"/>
        <v>0.75126129468890257</v>
      </c>
      <c r="FF231" s="5">
        <f t="shared" si="721"/>
        <v>75.126129468890255</v>
      </c>
      <c r="FI231" s="59">
        <f t="shared" si="676"/>
        <v>-50</v>
      </c>
      <c r="FJ231">
        <f t="shared" si="677"/>
        <v>-50</v>
      </c>
      <c r="FL231">
        <f t="shared" si="678"/>
        <v>0.22499999999999995</v>
      </c>
    </row>
    <row r="232" spans="5:168">
      <c r="E232" s="147">
        <v>16</v>
      </c>
      <c r="F232" s="188">
        <f t="shared" si="679"/>
        <v>0.08</v>
      </c>
      <c r="G232" s="188"/>
      <c r="H232" s="188">
        <f t="shared" si="603"/>
        <v>13.6</v>
      </c>
      <c r="I232" s="465">
        <f t="shared" si="604"/>
        <v>15.967400381246467</v>
      </c>
      <c r="J232" s="149">
        <f t="shared" si="605"/>
        <v>8.5383264917095438</v>
      </c>
      <c r="K232" s="149">
        <f t="shared" si="606"/>
        <v>24.505726872956011</v>
      </c>
      <c r="L232" s="379"/>
      <c r="M232" s="188">
        <f t="shared" si="607"/>
        <v>0.34842186048293716</v>
      </c>
      <c r="N232" s="149">
        <f t="shared" si="608"/>
        <v>186.33652087932737</v>
      </c>
      <c r="O232" s="149">
        <f t="shared" si="599"/>
        <v>13.6</v>
      </c>
      <c r="P232" s="188">
        <f t="shared" si="609"/>
        <v>1.0960971816431022</v>
      </c>
      <c r="Q232" s="188">
        <f t="shared" si="610"/>
        <v>170</v>
      </c>
      <c r="R232" s="188"/>
      <c r="S232" s="149">
        <f t="shared" si="611"/>
        <v>6333.7707745818916</v>
      </c>
      <c r="T232" s="149">
        <f t="shared" si="612"/>
        <v>170</v>
      </c>
      <c r="U232" s="188">
        <f t="shared" si="613"/>
        <v>4.9111531003354081</v>
      </c>
      <c r="V232" s="188">
        <f t="shared" si="614"/>
        <v>0.46136061441505871</v>
      </c>
      <c r="W232" s="188">
        <f t="shared" si="615"/>
        <v>0.86278378528344901</v>
      </c>
      <c r="X232" s="172">
        <f t="shared" si="616"/>
        <v>278.16942216349025</v>
      </c>
      <c r="Y232" s="379">
        <f t="shared" si="680"/>
        <v>350</v>
      </c>
      <c r="AA232" s="188">
        <f t="shared" si="617"/>
        <v>13.333333333333334</v>
      </c>
      <c r="AB232" s="150">
        <f t="shared" si="618"/>
        <v>2.3423793900853283</v>
      </c>
      <c r="AC232" s="150">
        <f t="shared" si="619"/>
        <v>0.21719277380923482</v>
      </c>
      <c r="AD232" s="150"/>
      <c r="AE232" s="150">
        <f t="shared" si="620"/>
        <v>2.3423793900853283</v>
      </c>
      <c r="AF232" s="314">
        <f t="shared" si="621"/>
        <v>102.4599179005145</v>
      </c>
      <c r="AG232" s="456">
        <f t="shared" si="622"/>
        <v>0.21719277380923488</v>
      </c>
      <c r="AI232" s="150">
        <f t="shared" si="623"/>
        <v>7.2140926596384007</v>
      </c>
      <c r="AJ232" s="150">
        <f t="shared" si="624"/>
        <v>13.333333333333334</v>
      </c>
      <c r="AK232" s="150">
        <f t="shared" si="625"/>
        <v>1.0585485245145798</v>
      </c>
      <c r="AM232" s="314">
        <f t="shared" si="626"/>
        <v>80</v>
      </c>
      <c r="AN232" s="144">
        <f t="shared" si="627"/>
        <v>102.4599179005145</v>
      </c>
      <c r="AP232">
        <f t="shared" si="628"/>
        <v>80</v>
      </c>
      <c r="AQ232">
        <f t="shared" si="629"/>
        <v>102.4599179005145</v>
      </c>
      <c r="AS232" s="5">
        <f t="shared" si="600"/>
        <v>9.7599141253555359</v>
      </c>
      <c r="AT232" s="5">
        <f t="shared" si="630"/>
        <v>1.2525520449458871</v>
      </c>
      <c r="AU232" s="5">
        <f t="shared" si="478"/>
        <v>8.5073620804096493</v>
      </c>
      <c r="AV232" s="5"/>
      <c r="AW232" s="150">
        <f t="shared" si="479"/>
        <v>0.12833637969127715</v>
      </c>
      <c r="AX232" s="150">
        <f t="shared" si="631"/>
        <v>13.66132238673527</v>
      </c>
      <c r="AY232" s="150">
        <f t="shared" si="632"/>
        <v>0.29055454010290765</v>
      </c>
      <c r="AZ232" s="150">
        <f t="shared" si="633"/>
        <v>47.018099878586469</v>
      </c>
      <c r="BA232" s="144">
        <f t="shared" si="594"/>
        <v>5.8943625644512332E-2</v>
      </c>
      <c r="BB232" s="5">
        <f t="shared" si="595"/>
        <v>12.076702273700494</v>
      </c>
      <c r="BD232" s="150">
        <f t="shared" si="681"/>
        <v>2.7577379854728998</v>
      </c>
      <c r="BE232" s="150">
        <f t="shared" si="682"/>
        <v>0.35935407491337551</v>
      </c>
      <c r="BG232" s="456">
        <f t="shared" si="683"/>
        <v>2.5857403908168434E-2</v>
      </c>
      <c r="BH232" s="456">
        <f t="shared" si="634"/>
        <v>0.80179962114289782</v>
      </c>
      <c r="BI232" s="456">
        <f t="shared" si="635"/>
        <v>7.4929648772339777E-2</v>
      </c>
      <c r="BJ232" s="456">
        <f t="shared" si="684"/>
        <v>4.2148269920538765E-2</v>
      </c>
      <c r="BK232">
        <f t="shared" si="685"/>
        <v>7.1853301715609098E-3</v>
      </c>
      <c r="BL232" s="144">
        <f t="shared" si="686"/>
        <v>82.114978943900681</v>
      </c>
      <c r="BM232" s="456">
        <f t="shared" si="636"/>
        <v>0.88220682500826653</v>
      </c>
      <c r="BN232" s="144">
        <f t="shared" si="687"/>
        <v>882.20682500826649</v>
      </c>
      <c r="BO232" s="456">
        <f t="shared" si="637"/>
        <v>0.2</v>
      </c>
      <c r="BR232" s="144">
        <f t="shared" si="688"/>
        <v>200</v>
      </c>
      <c r="BS232" s="456">
        <f t="shared" si="689"/>
        <v>1.1407678194780193E-2</v>
      </c>
      <c r="BT232" s="456">
        <f t="shared" si="690"/>
        <v>2.5827070231369584E-2</v>
      </c>
      <c r="BU232" s="456">
        <f t="shared" si="691"/>
        <v>3.4490687779198055</v>
      </c>
      <c r="BV232" s="456"/>
      <c r="BW232" s="456">
        <f t="shared" si="692"/>
        <v>1.8215096515647025E-2</v>
      </c>
      <c r="BX232" s="144">
        <f t="shared" si="693"/>
        <v>3504.5186228616021</v>
      </c>
      <c r="BY232" s="150">
        <f t="shared" si="694"/>
        <v>4.6564388967771073</v>
      </c>
      <c r="BZ232" s="5">
        <f t="shared" si="695"/>
        <v>13.6</v>
      </c>
      <c r="CA232" s="150">
        <f t="shared" si="696"/>
        <v>0.74494265157050266</v>
      </c>
      <c r="CB232" s="5">
        <f t="shared" si="697"/>
        <v>74.494265157050265</v>
      </c>
      <c r="CE232" s="59">
        <f t="shared" si="638"/>
        <v>-50</v>
      </c>
      <c r="CF232">
        <f t="shared" si="639"/>
        <v>-50</v>
      </c>
      <c r="CG232" s="150">
        <f t="shared" si="640"/>
        <v>0.24049361004107409</v>
      </c>
      <c r="CI232" s="147">
        <v>16</v>
      </c>
      <c r="CJ232" s="188">
        <f t="shared" si="698"/>
        <v>0.08</v>
      </c>
      <c r="CK232" s="188"/>
      <c r="CL232" s="188">
        <f t="shared" si="641"/>
        <v>13.6</v>
      </c>
      <c r="CM232" s="465">
        <f t="shared" si="642"/>
        <v>16</v>
      </c>
      <c r="CN232" s="379">
        <f t="shared" si="643"/>
        <v>8.5350000000000001</v>
      </c>
      <c r="CO232" s="379">
        <f t="shared" si="644"/>
        <v>24.535</v>
      </c>
      <c r="CP232" s="379"/>
      <c r="CQ232" s="188">
        <f t="shared" si="645"/>
        <v>0.34787038923986141</v>
      </c>
      <c r="CR232" s="149">
        <f t="shared" si="646"/>
        <v>186.42142245771345</v>
      </c>
      <c r="CS232" s="149">
        <f t="shared" si="647"/>
        <v>13.6</v>
      </c>
      <c r="CT232" s="188">
        <f t="shared" si="648"/>
        <v>1.0965966026924321</v>
      </c>
      <c r="CU232" s="188">
        <f t="shared" si="649"/>
        <v>170</v>
      </c>
      <c r="CV232" s="188"/>
      <c r="CW232" s="149">
        <f t="shared" si="650"/>
        <v>6346.7019566958043</v>
      </c>
      <c r="CX232" s="149">
        <f t="shared" si="651"/>
        <v>170</v>
      </c>
      <c r="CY232" s="188">
        <f t="shared" si="652"/>
        <v>4.8868775629759815</v>
      </c>
      <c r="CZ232" s="188">
        <f t="shared" si="653"/>
        <v>0.4581447715289983</v>
      </c>
      <c r="DA232" s="188">
        <f t="shared" si="654"/>
        <v>0.85885370175324816</v>
      </c>
      <c r="DB232" s="172">
        <f t="shared" si="655"/>
        <v>278.29631139188916</v>
      </c>
      <c r="DC232" s="379">
        <f t="shared" si="656"/>
        <v>350</v>
      </c>
      <c r="DE232" s="188">
        <f t="shared" si="657"/>
        <v>13.333333333333332</v>
      </c>
      <c r="DF232" s="150">
        <f t="shared" si="658"/>
        <v>2.3432923257176332</v>
      </c>
      <c r="DG232" s="150">
        <f t="shared" si="659"/>
        <v>0.21737653692004619</v>
      </c>
      <c r="DH232" s="150"/>
      <c r="DI232" s="150">
        <f t="shared" si="660"/>
        <v>2.3432923257176337</v>
      </c>
      <c r="DJ232" s="314">
        <f t="shared" si="661"/>
        <v>102.41999999999997</v>
      </c>
      <c r="DK232" s="456">
        <f t="shared" si="662"/>
        <v>0.21737653692004627</v>
      </c>
      <c r="DM232" s="150">
        <f t="shared" si="663"/>
        <v>7.2126872345095583</v>
      </c>
      <c r="DN232" s="150">
        <f t="shared" si="664"/>
        <v>13.333333333333334</v>
      </c>
      <c r="DO232" s="150">
        <f t="shared" si="665"/>
        <v>1.0585257142857143</v>
      </c>
      <c r="DQ232" s="314">
        <f t="shared" si="666"/>
        <v>80</v>
      </c>
      <c r="DR232" s="144">
        <f t="shared" si="667"/>
        <v>102.41999999999997</v>
      </c>
      <c r="DT232">
        <f t="shared" si="668"/>
        <v>80</v>
      </c>
      <c r="DU232">
        <f t="shared" si="669"/>
        <v>102.41999999999997</v>
      </c>
      <c r="DW232" s="5">
        <f t="shared" si="670"/>
        <v>9.7637180238234738</v>
      </c>
      <c r="DX232" s="5">
        <f t="shared" si="671"/>
        <v>1.25</v>
      </c>
      <c r="DY232" s="5">
        <f t="shared" si="672"/>
        <v>8.5137180238234738</v>
      </c>
      <c r="DZ232" s="5"/>
      <c r="EA232" s="150">
        <f t="shared" si="673"/>
        <v>0.12802499999999997</v>
      </c>
      <c r="EB232" s="150">
        <f t="shared" si="699"/>
        <v>13.656000000000001</v>
      </c>
      <c r="EC232" s="150">
        <f t="shared" si="700"/>
        <v>0.29065833333333341</v>
      </c>
      <c r="ED232" s="150">
        <f t="shared" si="701"/>
        <v>46.982998365778826</v>
      </c>
      <c r="EE232" s="144">
        <f t="shared" si="674"/>
        <v>5.8823529411764705E-2</v>
      </c>
      <c r="EF232" s="5">
        <f t="shared" si="675"/>
        <v>12.061100533749919</v>
      </c>
      <c r="EH232" s="150">
        <f t="shared" si="702"/>
        <v>2.7543904346818127</v>
      </c>
      <c r="EI232" s="150">
        <f t="shared" si="703"/>
        <v>0.35941825424076829</v>
      </c>
      <c r="EK232" s="456">
        <f t="shared" si="704"/>
        <v>2.579466666666666E-2</v>
      </c>
      <c r="EL232" s="456">
        <f t="shared" si="705"/>
        <v>1.0185518783999998</v>
      </c>
      <c r="EM232" s="456">
        <f t="shared" si="706"/>
        <v>2.3454179999999995E-2</v>
      </c>
      <c r="EN232" s="456">
        <f t="shared" si="707"/>
        <v>4.223256582368249E-2</v>
      </c>
      <c r="EO232">
        <f t="shared" si="708"/>
        <v>7.1999999999999998E-3</v>
      </c>
      <c r="EP232" s="144">
        <f t="shared" si="709"/>
        <v>30.654179999999997</v>
      </c>
      <c r="EQ232" s="144"/>
      <c r="ER232" s="144">
        <f t="shared" si="710"/>
        <v>1117.2332908903491</v>
      </c>
      <c r="ES232" s="456">
        <f t="shared" si="711"/>
        <v>0.2</v>
      </c>
      <c r="EV232" s="144">
        <f t="shared" si="712"/>
        <v>200</v>
      </c>
      <c r="EW232" s="456">
        <f t="shared" si="713"/>
        <v>1.1379999999999998E-2</v>
      </c>
      <c r="EX232" s="456">
        <f t="shared" si="714"/>
        <v>2.5836296296296316E-2</v>
      </c>
      <c r="EY232" s="456">
        <f t="shared" si="715"/>
        <v>3.4457104071468629</v>
      </c>
      <c r="EZ232" s="456"/>
      <c r="FA232" s="456">
        <f t="shared" si="716"/>
        <v>1.8207999999999998E-2</v>
      </c>
      <c r="FB232" s="144">
        <f t="shared" si="717"/>
        <v>3501.1347034431592</v>
      </c>
      <c r="FC232" s="150">
        <f t="shared" si="718"/>
        <v>4.8183679943335083</v>
      </c>
      <c r="FD232" s="5">
        <f t="shared" si="719"/>
        <v>13.6</v>
      </c>
      <c r="FE232" s="150">
        <f t="shared" si="720"/>
        <v>0.73839332584646478</v>
      </c>
      <c r="FF232" s="5">
        <f t="shared" si="721"/>
        <v>73.839332584646485</v>
      </c>
      <c r="FI232" s="59">
        <f t="shared" si="676"/>
        <v>-50</v>
      </c>
      <c r="FJ232">
        <f t="shared" si="677"/>
        <v>-50</v>
      </c>
      <c r="FL232">
        <f t="shared" si="678"/>
        <v>0.23999999999999994</v>
      </c>
    </row>
    <row r="233" spans="5:168">
      <c r="E233" s="147">
        <v>17</v>
      </c>
      <c r="F233" s="188">
        <f t="shared" si="679"/>
        <v>8.5000000000000006E-2</v>
      </c>
      <c r="G233" s="188"/>
      <c r="H233" s="188">
        <f t="shared" si="603"/>
        <v>14.450000000000001</v>
      </c>
      <c r="I233" s="465">
        <f t="shared" si="604"/>
        <v>15.967400381246467</v>
      </c>
      <c r="J233" s="149">
        <f t="shared" si="605"/>
        <v>8.5383264917095438</v>
      </c>
      <c r="K233" s="149">
        <f t="shared" si="606"/>
        <v>24.505726872956011</v>
      </c>
      <c r="L233" s="379"/>
      <c r="M233" s="188">
        <f t="shared" si="607"/>
        <v>0.34842186048293716</v>
      </c>
      <c r="N233" s="149">
        <f t="shared" si="608"/>
        <v>186.33652087932737</v>
      </c>
      <c r="O233" s="149">
        <f t="shared" si="599"/>
        <v>14.450000000000001</v>
      </c>
      <c r="P233" s="188">
        <f t="shared" si="609"/>
        <v>1.0960971816431022</v>
      </c>
      <c r="Q233" s="188">
        <f t="shared" si="610"/>
        <v>170</v>
      </c>
      <c r="R233" s="188"/>
      <c r="S233" s="149">
        <f t="shared" si="611"/>
        <v>5942.4152459564812</v>
      </c>
      <c r="T233" s="149">
        <f t="shared" si="612"/>
        <v>170</v>
      </c>
      <c r="U233" s="188">
        <f t="shared" si="613"/>
        <v>5.2181001691063713</v>
      </c>
      <c r="V233" s="188">
        <f t="shared" si="614"/>
        <v>0.49019565281599986</v>
      </c>
      <c r="W233" s="188">
        <f t="shared" si="615"/>
        <v>0.9167077718636647</v>
      </c>
      <c r="X233" s="172">
        <f t="shared" si="616"/>
        <v>278.16942216349025</v>
      </c>
      <c r="Y233" s="379">
        <f t="shared" si="680"/>
        <v>350</v>
      </c>
      <c r="AA233" s="188">
        <f t="shared" si="617"/>
        <v>13.333333333333334</v>
      </c>
      <c r="AB233" s="150">
        <f t="shared" si="618"/>
        <v>2.3423793900853283</v>
      </c>
      <c r="AC233" s="150">
        <f t="shared" si="619"/>
        <v>0.21719277380923482</v>
      </c>
      <c r="AD233" s="150"/>
      <c r="AE233" s="150">
        <f t="shared" si="620"/>
        <v>2.3423793900853283</v>
      </c>
      <c r="AF233" s="314">
        <f t="shared" si="621"/>
        <v>108.86366276929665</v>
      </c>
      <c r="AG233" s="456">
        <f t="shared" si="622"/>
        <v>0.21719277380923488</v>
      </c>
      <c r="AI233" s="150">
        <f t="shared" si="623"/>
        <v>7.4361165071705404</v>
      </c>
      <c r="AJ233" s="150">
        <f t="shared" si="624"/>
        <v>13.333333333333334</v>
      </c>
      <c r="AK233" s="150">
        <f t="shared" si="625"/>
        <v>1.0622078072967409</v>
      </c>
      <c r="AM233" s="314">
        <f t="shared" si="626"/>
        <v>85</v>
      </c>
      <c r="AN233" s="144">
        <f t="shared" si="627"/>
        <v>108.86366276929665</v>
      </c>
      <c r="AP233">
        <f t="shared" si="628"/>
        <v>85</v>
      </c>
      <c r="AQ233">
        <f t="shared" si="629"/>
        <v>108.86366276929665</v>
      </c>
      <c r="AS233" s="5">
        <f t="shared" si="600"/>
        <v>9.1858015297463886</v>
      </c>
      <c r="AT233" s="5">
        <f t="shared" si="630"/>
        <v>1.2525520449458871</v>
      </c>
      <c r="AU233" s="5">
        <f t="shared" si="478"/>
        <v>7.933249484800502</v>
      </c>
      <c r="AV233" s="5"/>
      <c r="AW233" s="150">
        <f t="shared" si="479"/>
        <v>0.13635740342198194</v>
      </c>
      <c r="AX233" s="150">
        <f t="shared" si="631"/>
        <v>14.515155035906224</v>
      </c>
      <c r="AY233" s="150">
        <f t="shared" si="632"/>
        <v>0.28788086552600606</v>
      </c>
      <c r="AZ233" s="150">
        <f t="shared" si="633"/>
        <v>50.420700970815233</v>
      </c>
      <c r="BA233" s="144">
        <f t="shared" si="594"/>
        <v>6.2627602247294356E-2</v>
      </c>
      <c r="BB233" s="5">
        <f t="shared" si="595"/>
        <v>11.965572804408549</v>
      </c>
      <c r="BD233" s="150">
        <f t="shared" si="681"/>
        <v>2.8426112504707066</v>
      </c>
      <c r="BE233" s="150">
        <f t="shared" si="682"/>
        <v>0.357696870750768</v>
      </c>
      <c r="BG233" s="456">
        <f t="shared" si="683"/>
        <v>2.7473491652428957E-2</v>
      </c>
      <c r="BH233" s="456">
        <f t="shared" si="634"/>
        <v>0.85191209746432883</v>
      </c>
      <c r="BI233" s="456">
        <f t="shared" si="635"/>
        <v>7.9612751820611019E-2</v>
      </c>
      <c r="BJ233" s="456">
        <f t="shared" si="684"/>
        <v>4.4782536790572432E-2</v>
      </c>
      <c r="BK233">
        <f t="shared" si="685"/>
        <v>7.1853301715609098E-3</v>
      </c>
      <c r="BL233" s="144">
        <f t="shared" si="686"/>
        <v>86.79808199217193</v>
      </c>
      <c r="BM233" s="456">
        <f t="shared" si="636"/>
        <v>0.93770704041713016</v>
      </c>
      <c r="BN233" s="144">
        <f t="shared" si="687"/>
        <v>937.7070404171302</v>
      </c>
      <c r="BO233" s="456">
        <f t="shared" si="637"/>
        <v>0.21250000000000002</v>
      </c>
      <c r="BR233" s="144">
        <f t="shared" si="688"/>
        <v>212.50000000000003</v>
      </c>
      <c r="BS233" s="456">
        <f t="shared" si="689"/>
        <v>1.2120658081953952E-2</v>
      </c>
      <c r="BT233" s="456">
        <f t="shared" si="690"/>
        <v>2.5589410268978326E-2</v>
      </c>
      <c r="BU233" s="456">
        <f t="shared" si="691"/>
        <v>4.0135086335154222</v>
      </c>
      <c r="BV233" s="456"/>
      <c r="BW233" s="456">
        <f t="shared" si="692"/>
        <v>1.9353540047874967E-2</v>
      </c>
      <c r="BX233" s="144">
        <f t="shared" si="693"/>
        <v>4070.5722419142294</v>
      </c>
      <c r="BY233" s="150">
        <f t="shared" si="694"/>
        <v>5.2940384498137316</v>
      </c>
      <c r="BZ233" s="5">
        <f t="shared" si="695"/>
        <v>14.450000000000001</v>
      </c>
      <c r="CA233" s="150">
        <f t="shared" si="696"/>
        <v>0.73186648398855425</v>
      </c>
      <c r="CB233" s="5">
        <f t="shared" si="697"/>
        <v>73.186648398855425</v>
      </c>
      <c r="CE233" s="59">
        <f t="shared" si="638"/>
        <v>-50</v>
      </c>
      <c r="CF233">
        <f t="shared" si="639"/>
        <v>-50</v>
      </c>
      <c r="CG233" s="150">
        <f t="shared" si="640"/>
        <v>0.25552446066864126</v>
      </c>
      <c r="CI233" s="147">
        <v>17</v>
      </c>
      <c r="CJ233" s="188">
        <f t="shared" si="698"/>
        <v>8.5000000000000006E-2</v>
      </c>
      <c r="CK233" s="188"/>
      <c r="CL233" s="188">
        <f t="shared" si="641"/>
        <v>14.450000000000001</v>
      </c>
      <c r="CM233" s="465">
        <f t="shared" si="642"/>
        <v>16</v>
      </c>
      <c r="CN233" s="379">
        <f t="shared" si="643"/>
        <v>8.5350000000000001</v>
      </c>
      <c r="CO233" s="379">
        <f t="shared" si="644"/>
        <v>24.535</v>
      </c>
      <c r="CP233" s="379"/>
      <c r="CQ233" s="188">
        <f t="shared" si="645"/>
        <v>0.34787038923986141</v>
      </c>
      <c r="CR233" s="149">
        <f t="shared" si="646"/>
        <v>186.42142245771345</v>
      </c>
      <c r="CS233" s="149">
        <f t="shared" si="647"/>
        <v>14.450000000000001</v>
      </c>
      <c r="CT233" s="188">
        <f t="shared" si="648"/>
        <v>1.0965966026924321</v>
      </c>
      <c r="CU233" s="188">
        <f t="shared" si="649"/>
        <v>170</v>
      </c>
      <c r="CV233" s="188"/>
      <c r="CW233" s="149">
        <f t="shared" si="650"/>
        <v>5954.547417807993</v>
      </c>
      <c r="CX233" s="149">
        <f t="shared" si="651"/>
        <v>170</v>
      </c>
      <c r="CY233" s="188">
        <f t="shared" si="652"/>
        <v>5.1923074106619804</v>
      </c>
      <c r="CZ233" s="188">
        <f t="shared" si="653"/>
        <v>0.48677881974956072</v>
      </c>
      <c r="DA233" s="188">
        <f t="shared" si="654"/>
        <v>0.91253205811282612</v>
      </c>
      <c r="DB233" s="172">
        <f t="shared" si="655"/>
        <v>278.29631139188916</v>
      </c>
      <c r="DC233" s="379">
        <f t="shared" si="656"/>
        <v>350</v>
      </c>
      <c r="DE233" s="188">
        <f t="shared" si="657"/>
        <v>13.333333333333332</v>
      </c>
      <c r="DF233" s="150">
        <f t="shared" si="658"/>
        <v>2.3432923257176332</v>
      </c>
      <c r="DG233" s="150">
        <f t="shared" si="659"/>
        <v>0.21737653692004619</v>
      </c>
      <c r="DH233" s="150"/>
      <c r="DI233" s="150">
        <f t="shared" si="660"/>
        <v>2.3432923257176337</v>
      </c>
      <c r="DJ233" s="314">
        <f t="shared" si="661"/>
        <v>108.82124999999998</v>
      </c>
      <c r="DK233" s="456">
        <f t="shared" si="662"/>
        <v>0.21737653692004627</v>
      </c>
      <c r="DM233" s="150">
        <f t="shared" si="663"/>
        <v>7.4346678281067611</v>
      </c>
      <c r="DN233" s="150">
        <f t="shared" si="664"/>
        <v>13.333333333333334</v>
      </c>
      <c r="DO233" s="150">
        <f t="shared" si="665"/>
        <v>1.0621835714285714</v>
      </c>
      <c r="DQ233" s="314">
        <f t="shared" si="666"/>
        <v>85</v>
      </c>
      <c r="DR233" s="144">
        <f t="shared" si="667"/>
        <v>108.82124999999998</v>
      </c>
      <c r="DT233">
        <f t="shared" si="668"/>
        <v>85</v>
      </c>
      <c r="DU233">
        <f t="shared" si="669"/>
        <v>108.82124999999998</v>
      </c>
      <c r="DW233" s="5">
        <f t="shared" si="670"/>
        <v>9.1893816694809161</v>
      </c>
      <c r="DX233" s="5">
        <f t="shared" si="671"/>
        <v>1.25</v>
      </c>
      <c r="DY233" s="5">
        <f t="shared" si="672"/>
        <v>7.9393816694809161</v>
      </c>
      <c r="DZ233" s="5"/>
      <c r="EA233" s="150">
        <f t="shared" si="673"/>
        <v>0.13602656249999998</v>
      </c>
      <c r="EB233" s="150">
        <f t="shared" si="699"/>
        <v>14.509499999999999</v>
      </c>
      <c r="EC233" s="150">
        <f t="shared" si="700"/>
        <v>0.28799114583333335</v>
      </c>
      <c r="ED233" s="150">
        <f t="shared" si="701"/>
        <v>50.381757251651614</v>
      </c>
      <c r="EE233" s="144">
        <f t="shared" si="674"/>
        <v>6.25E-2</v>
      </c>
      <c r="EF233" s="5">
        <f t="shared" si="675"/>
        <v>11.950423450416586</v>
      </c>
      <c r="EH233" s="150">
        <f t="shared" si="702"/>
        <v>2.8391606740960142</v>
      </c>
      <c r="EI233" s="150">
        <f t="shared" si="703"/>
        <v>0.35776537676921005</v>
      </c>
      <c r="EK233" s="456">
        <f t="shared" si="704"/>
        <v>2.7406833333333339E-2</v>
      </c>
      <c r="EL233" s="456">
        <f t="shared" si="705"/>
        <v>1.0822113707999998</v>
      </c>
      <c r="EM233" s="456">
        <f t="shared" si="706"/>
        <v>2.4920066249999994E-2</v>
      </c>
      <c r="EN233" s="456">
        <f t="shared" si="707"/>
        <v>4.4872101187662647E-2</v>
      </c>
      <c r="EO233">
        <f t="shared" si="708"/>
        <v>7.1999999999999998E-3</v>
      </c>
      <c r="EP233" s="144">
        <f t="shared" si="709"/>
        <v>32.120066249999994</v>
      </c>
      <c r="EQ233" s="144"/>
      <c r="ER233" s="144">
        <f t="shared" si="710"/>
        <v>1186.610371570996</v>
      </c>
      <c r="ES233" s="456">
        <f t="shared" si="711"/>
        <v>0.21250000000000002</v>
      </c>
      <c r="EV233" s="144">
        <f t="shared" si="712"/>
        <v>212.50000000000003</v>
      </c>
      <c r="EW233" s="456">
        <f t="shared" si="713"/>
        <v>1.2091250000000003E-2</v>
      </c>
      <c r="EX233" s="456">
        <f t="shared" si="714"/>
        <v>2.5599212962962966E-2</v>
      </c>
      <c r="EY233" s="456">
        <f t="shared" si="715"/>
        <v>4.0096006656088399</v>
      </c>
      <c r="EZ233" s="456"/>
      <c r="FA233" s="456">
        <f t="shared" si="716"/>
        <v>1.9346000000000002E-2</v>
      </c>
      <c r="FB233" s="144">
        <f t="shared" si="717"/>
        <v>4066.6371285718024</v>
      </c>
      <c r="FC233" s="150">
        <f t="shared" si="718"/>
        <v>5.4657475001427986</v>
      </c>
      <c r="FD233" s="5">
        <f t="shared" si="719"/>
        <v>14.450000000000001</v>
      </c>
      <c r="FE233" s="150">
        <f t="shared" si="720"/>
        <v>0.72555649743482598</v>
      </c>
      <c r="FF233" s="5">
        <f t="shared" si="721"/>
        <v>72.555649743482604</v>
      </c>
      <c r="FI233" s="59">
        <f t="shared" si="676"/>
        <v>-50</v>
      </c>
      <c r="FJ233">
        <f t="shared" si="677"/>
        <v>-50</v>
      </c>
      <c r="FL233">
        <f t="shared" si="678"/>
        <v>0.25499999999999995</v>
      </c>
    </row>
    <row r="234" spans="5:168">
      <c r="E234" s="147">
        <v>18</v>
      </c>
      <c r="F234" s="188">
        <f t="shared" si="679"/>
        <v>0.09</v>
      </c>
      <c r="G234" s="188"/>
      <c r="H234" s="188">
        <f t="shared" si="603"/>
        <v>15.299999999999999</v>
      </c>
      <c r="I234" s="465">
        <f t="shared" si="604"/>
        <v>15.967400381246467</v>
      </c>
      <c r="J234" s="149">
        <f t="shared" si="605"/>
        <v>8.5383264917095438</v>
      </c>
      <c r="K234" s="149">
        <f t="shared" si="606"/>
        <v>24.505726872956011</v>
      </c>
      <c r="L234" s="379"/>
      <c r="M234" s="188">
        <f t="shared" si="607"/>
        <v>0.34842186048293716</v>
      </c>
      <c r="N234" s="149">
        <f t="shared" si="608"/>
        <v>186.33652087932737</v>
      </c>
      <c r="O234" s="149">
        <f t="shared" si="599"/>
        <v>15.299999999999999</v>
      </c>
      <c r="P234" s="188">
        <f t="shared" si="609"/>
        <v>1.0960971816431022</v>
      </c>
      <c r="Q234" s="188">
        <f t="shared" si="610"/>
        <v>170</v>
      </c>
      <c r="R234" s="188"/>
      <c r="S234" s="149">
        <f t="shared" si="611"/>
        <v>5594.5439378617457</v>
      </c>
      <c r="T234" s="149">
        <f t="shared" si="612"/>
        <v>170</v>
      </c>
      <c r="U234" s="188">
        <f t="shared" si="613"/>
        <v>5.5250472378773337</v>
      </c>
      <c r="V234" s="188">
        <f t="shared" si="614"/>
        <v>0.51903069121694101</v>
      </c>
      <c r="W234" s="188">
        <f t="shared" si="615"/>
        <v>0.97063175844388028</v>
      </c>
      <c r="X234" s="172">
        <f t="shared" si="616"/>
        <v>278.16942216349025</v>
      </c>
      <c r="Y234" s="379">
        <f t="shared" si="680"/>
        <v>350</v>
      </c>
      <c r="AA234" s="188">
        <f t="shared" si="617"/>
        <v>13.333333333333334</v>
      </c>
      <c r="AB234" s="150">
        <f t="shared" si="618"/>
        <v>2.3423793900853283</v>
      </c>
      <c r="AC234" s="150">
        <f t="shared" si="619"/>
        <v>0.21719277380923482</v>
      </c>
      <c r="AD234" s="150"/>
      <c r="AE234" s="150">
        <f t="shared" si="620"/>
        <v>2.3423793900853283</v>
      </c>
      <c r="AF234" s="314">
        <f t="shared" si="621"/>
        <v>115.26740763807881</v>
      </c>
      <c r="AG234" s="456">
        <f t="shared" si="622"/>
        <v>0.21719277380923488</v>
      </c>
      <c r="AI234" s="150">
        <f t="shared" si="623"/>
        <v>7.6517007596076132</v>
      </c>
      <c r="AJ234" s="150">
        <f t="shared" si="624"/>
        <v>13.333333333333334</v>
      </c>
      <c r="AK234" s="150">
        <f t="shared" si="625"/>
        <v>1.0658670900789022</v>
      </c>
      <c r="AM234" s="314">
        <f t="shared" si="626"/>
        <v>90</v>
      </c>
      <c r="AN234" s="144">
        <f t="shared" si="627"/>
        <v>115.26740763807881</v>
      </c>
      <c r="AP234">
        <f t="shared" si="628"/>
        <v>90</v>
      </c>
      <c r="AQ234">
        <f t="shared" si="629"/>
        <v>115.26740763807881</v>
      </c>
      <c r="AS234" s="5">
        <f t="shared" si="600"/>
        <v>8.6754792225382555</v>
      </c>
      <c r="AT234" s="5">
        <f t="shared" si="630"/>
        <v>1.2525520449458871</v>
      </c>
      <c r="AU234" s="5">
        <f t="shared" ref="AU234:AU297" si="722">AS234-AT234</f>
        <v>7.4229271775923689</v>
      </c>
      <c r="AV234" s="5"/>
      <c r="AW234" s="150">
        <f t="shared" ref="AW234:AW297" si="723">AT234/AS234</f>
        <v>0.14437842715268676</v>
      </c>
      <c r="AX234" s="150">
        <f t="shared" si="631"/>
        <v>15.368987685077178</v>
      </c>
      <c r="AY234" s="150">
        <f t="shared" si="632"/>
        <v>0.28520719094910446</v>
      </c>
      <c r="AZ234" s="150">
        <f t="shared" si="633"/>
        <v>53.887097425323297</v>
      </c>
      <c r="BA234" s="144">
        <f t="shared" si="594"/>
        <v>6.631157885007638E-2</v>
      </c>
      <c r="BB234" s="5">
        <f t="shared" si="595"/>
        <v>11.854443335116596</v>
      </c>
      <c r="BD234" s="150">
        <f t="shared" si="681"/>
        <v>2.9250228453954237</v>
      </c>
      <c r="BE234" s="150">
        <f t="shared" si="682"/>
        <v>0.35603195296621248</v>
      </c>
      <c r="BG234" s="456">
        <f t="shared" si="683"/>
        <v>2.9089579396689474E-2</v>
      </c>
      <c r="BH234" s="456">
        <f t="shared" si="634"/>
        <v>0.90202457378575995</v>
      </c>
      <c r="BI234" s="456">
        <f t="shared" si="635"/>
        <v>8.4295854868882261E-2</v>
      </c>
      <c r="BJ234" s="456">
        <f t="shared" si="684"/>
        <v>4.7416803660606112E-2</v>
      </c>
      <c r="BK234">
        <f t="shared" si="685"/>
        <v>7.1853301715609098E-3</v>
      </c>
      <c r="BL234" s="144">
        <f t="shared" si="686"/>
        <v>91.481185040443165</v>
      </c>
      <c r="BM234" s="456">
        <f t="shared" si="636"/>
        <v>0.99325017468474441</v>
      </c>
      <c r="BN234" s="144">
        <f t="shared" si="687"/>
        <v>993.25017468474437</v>
      </c>
      <c r="BO234" s="456">
        <f t="shared" si="637"/>
        <v>0.22499999999999998</v>
      </c>
      <c r="BR234" s="144">
        <f t="shared" si="688"/>
        <v>224.99999999999997</v>
      </c>
      <c r="BS234" s="456">
        <f t="shared" si="689"/>
        <v>1.2833637969127711E-2</v>
      </c>
      <c r="BT234" s="456">
        <f t="shared" si="690"/>
        <v>2.5351750306587068E-2</v>
      </c>
      <c r="BU234" s="456">
        <f t="shared" si="691"/>
        <v>4.6300231324996295</v>
      </c>
      <c r="BV234" s="456"/>
      <c r="BW234" s="456">
        <f t="shared" si="692"/>
        <v>2.0491983580102905E-2</v>
      </c>
      <c r="BX234" s="144">
        <f t="shared" si="693"/>
        <v>4688.7005043554473</v>
      </c>
      <c r="BY234" s="150">
        <f t="shared" si="694"/>
        <v>5.9837126462389456</v>
      </c>
      <c r="BZ234" s="5">
        <f t="shared" si="695"/>
        <v>15.299999999999999</v>
      </c>
      <c r="CA234" s="150">
        <f t="shared" si="696"/>
        <v>0.71885954552687814</v>
      </c>
      <c r="CB234" s="5">
        <f t="shared" si="697"/>
        <v>71.885954552687821</v>
      </c>
      <c r="CE234" s="59">
        <f t="shared" si="638"/>
        <v>-50</v>
      </c>
      <c r="CF234">
        <f t="shared" si="639"/>
        <v>-50</v>
      </c>
      <c r="CG234" s="150">
        <f t="shared" si="640"/>
        <v>0.27055531129620836</v>
      </c>
      <c r="CI234" s="147">
        <v>18</v>
      </c>
      <c r="CJ234" s="188">
        <f t="shared" si="698"/>
        <v>0.09</v>
      </c>
      <c r="CK234" s="188"/>
      <c r="CL234" s="188">
        <f t="shared" si="641"/>
        <v>15.299999999999999</v>
      </c>
      <c r="CM234" s="465">
        <f t="shared" si="642"/>
        <v>16</v>
      </c>
      <c r="CN234" s="379">
        <f t="shared" si="643"/>
        <v>8.5350000000000001</v>
      </c>
      <c r="CO234" s="379">
        <f t="shared" si="644"/>
        <v>24.535</v>
      </c>
      <c r="CP234" s="379"/>
      <c r="CQ234" s="188">
        <f t="shared" si="645"/>
        <v>0.34787038923986141</v>
      </c>
      <c r="CR234" s="149">
        <f t="shared" si="646"/>
        <v>186.42142245771345</v>
      </c>
      <c r="CS234" s="149">
        <f t="shared" si="647"/>
        <v>15.299999999999999</v>
      </c>
      <c r="CT234" s="188">
        <f t="shared" si="648"/>
        <v>1.0965966026924321</v>
      </c>
      <c r="CU234" s="188">
        <f t="shared" si="649"/>
        <v>170</v>
      </c>
      <c r="CV234" s="188"/>
      <c r="CW234" s="149">
        <f t="shared" si="650"/>
        <v>5605.9658783691193</v>
      </c>
      <c r="CX234" s="149">
        <f t="shared" si="651"/>
        <v>170</v>
      </c>
      <c r="CY234" s="188">
        <f t="shared" si="652"/>
        <v>5.4977372583479784</v>
      </c>
      <c r="CZ234" s="188">
        <f t="shared" si="653"/>
        <v>0.51541286797012298</v>
      </c>
      <c r="DA234" s="188">
        <f t="shared" si="654"/>
        <v>0.96621041447240386</v>
      </c>
      <c r="DB234" s="172">
        <f t="shared" si="655"/>
        <v>278.29631139188916</v>
      </c>
      <c r="DC234" s="379">
        <f t="shared" si="656"/>
        <v>350</v>
      </c>
      <c r="DE234" s="188">
        <f t="shared" si="657"/>
        <v>13.333333333333332</v>
      </c>
      <c r="DF234" s="150">
        <f t="shared" si="658"/>
        <v>2.3432923257176332</v>
      </c>
      <c r="DG234" s="150">
        <f t="shared" si="659"/>
        <v>0.21737653692004619</v>
      </c>
      <c r="DH234" s="150"/>
      <c r="DI234" s="150">
        <f t="shared" si="660"/>
        <v>2.3432923257176337</v>
      </c>
      <c r="DJ234" s="314">
        <f t="shared" si="661"/>
        <v>115.22249999999997</v>
      </c>
      <c r="DK234" s="456">
        <f t="shared" si="662"/>
        <v>0.21737653692004627</v>
      </c>
      <c r="DM234" s="150">
        <f t="shared" si="663"/>
        <v>7.6502100811490319</v>
      </c>
      <c r="DN234" s="150">
        <f t="shared" si="664"/>
        <v>13.333333333333334</v>
      </c>
      <c r="DO234" s="150">
        <f t="shared" si="665"/>
        <v>1.0658414285714286</v>
      </c>
      <c r="DQ234" s="314">
        <f t="shared" si="666"/>
        <v>90</v>
      </c>
      <c r="DR234" s="144">
        <f t="shared" si="667"/>
        <v>115.22249999999997</v>
      </c>
      <c r="DT234">
        <f t="shared" si="668"/>
        <v>90</v>
      </c>
      <c r="DU234">
        <f t="shared" si="669"/>
        <v>115.22249999999997</v>
      </c>
      <c r="DW234" s="5">
        <f t="shared" si="670"/>
        <v>8.6788604656208665</v>
      </c>
      <c r="DX234" s="5">
        <f t="shared" si="671"/>
        <v>1.25</v>
      </c>
      <c r="DY234" s="5">
        <f t="shared" si="672"/>
        <v>7.4288604656208665</v>
      </c>
      <c r="DZ234" s="5"/>
      <c r="EA234" s="150">
        <f t="shared" si="673"/>
        <v>0.14402812499999995</v>
      </c>
      <c r="EB234" s="150">
        <f t="shared" si="699"/>
        <v>15.363</v>
      </c>
      <c r="EC234" s="150">
        <f t="shared" si="700"/>
        <v>0.28532395833333341</v>
      </c>
      <c r="ED234" s="150">
        <f t="shared" si="701"/>
        <v>53.844058836629401</v>
      </c>
      <c r="EE234" s="144">
        <f t="shared" si="674"/>
        <v>6.6176470588235295E-2</v>
      </c>
      <c r="EF234" s="5">
        <f t="shared" si="675"/>
        <v>11.839746367083254</v>
      </c>
      <c r="EH234" s="150">
        <f t="shared" si="702"/>
        <v>2.9214722315983082</v>
      </c>
      <c r="EI234" s="150">
        <f t="shared" si="703"/>
        <v>0.35610482747099648</v>
      </c>
      <c r="EK234" s="456">
        <f t="shared" si="704"/>
        <v>2.9018999999999993E-2</v>
      </c>
      <c r="EL234" s="456">
        <f t="shared" si="705"/>
        <v>1.1458708631999999</v>
      </c>
      <c r="EM234" s="456">
        <f t="shared" si="706"/>
        <v>2.638595249999999E-2</v>
      </c>
      <c r="EN234" s="456">
        <f t="shared" si="707"/>
        <v>4.7511636551642797E-2</v>
      </c>
      <c r="EO234">
        <f t="shared" si="708"/>
        <v>7.1999999999999998E-3</v>
      </c>
      <c r="EP234" s="144">
        <f t="shared" si="709"/>
        <v>33.585952499999991</v>
      </c>
      <c r="EQ234" s="144"/>
      <c r="ER234" s="144">
        <f t="shared" si="710"/>
        <v>1255.9874522516427</v>
      </c>
      <c r="ES234" s="456">
        <f t="shared" si="711"/>
        <v>0.22499999999999998</v>
      </c>
      <c r="EV234" s="144">
        <f t="shared" si="712"/>
        <v>224.99999999999997</v>
      </c>
      <c r="EW234" s="456">
        <f t="shared" si="713"/>
        <v>1.2802499999999998E-2</v>
      </c>
      <c r="EX234" s="456">
        <f t="shared" si="714"/>
        <v>2.5362129629629634E-2</v>
      </c>
      <c r="EY234" s="456">
        <f t="shared" si="715"/>
        <v>4.625514862190335</v>
      </c>
      <c r="EZ234" s="456"/>
      <c r="FA234" s="456">
        <f t="shared" si="716"/>
        <v>2.0483999999999999E-2</v>
      </c>
      <c r="FB234" s="144">
        <f t="shared" si="717"/>
        <v>4684.1634918199643</v>
      </c>
      <c r="FC234" s="150">
        <f t="shared" si="718"/>
        <v>6.1651509440716072</v>
      </c>
      <c r="FD234" s="5">
        <f t="shared" si="719"/>
        <v>15.299999999999999</v>
      </c>
      <c r="FE234" s="150">
        <f t="shared" si="720"/>
        <v>0.71278324759349798</v>
      </c>
      <c r="FF234" s="5">
        <f t="shared" si="721"/>
        <v>71.2783247593498</v>
      </c>
      <c r="FI234" s="59">
        <f t="shared" si="676"/>
        <v>-50</v>
      </c>
      <c r="FJ234">
        <f t="shared" si="677"/>
        <v>-50</v>
      </c>
      <c r="FL234">
        <f t="shared" si="678"/>
        <v>0.26999999999999996</v>
      </c>
    </row>
    <row r="235" spans="5:168">
      <c r="E235" s="147">
        <v>19</v>
      </c>
      <c r="F235" s="188">
        <f t="shared" si="679"/>
        <v>9.5000000000000001E-2</v>
      </c>
      <c r="G235" s="188"/>
      <c r="H235" s="188">
        <f t="shared" si="603"/>
        <v>16.149999999999999</v>
      </c>
      <c r="I235" s="465">
        <f t="shared" si="604"/>
        <v>15.967400381246467</v>
      </c>
      <c r="J235" s="149">
        <f t="shared" si="605"/>
        <v>8.5383264917095438</v>
      </c>
      <c r="K235" s="149">
        <f t="shared" si="606"/>
        <v>24.505726872956011</v>
      </c>
      <c r="L235" s="379"/>
      <c r="M235" s="188">
        <f t="shared" si="607"/>
        <v>0.34842186048293716</v>
      </c>
      <c r="N235" s="149">
        <f t="shared" si="608"/>
        <v>186.33652087932737</v>
      </c>
      <c r="O235" s="149">
        <f t="shared" si="599"/>
        <v>16.149999999999999</v>
      </c>
      <c r="P235" s="188">
        <f t="shared" si="609"/>
        <v>1.0960971816431022</v>
      </c>
      <c r="Q235" s="188">
        <f t="shared" si="610"/>
        <v>170</v>
      </c>
      <c r="R235" s="188"/>
      <c r="S235" s="149">
        <f t="shared" si="611"/>
        <v>5283.2909232007314</v>
      </c>
      <c r="T235" s="149">
        <f t="shared" si="612"/>
        <v>170</v>
      </c>
      <c r="U235" s="188">
        <f t="shared" si="613"/>
        <v>5.8319943066482969</v>
      </c>
      <c r="V235" s="188">
        <f t="shared" si="614"/>
        <v>0.54786572961788216</v>
      </c>
      <c r="W235" s="188">
        <f t="shared" si="615"/>
        <v>1.0245557450240956</v>
      </c>
      <c r="X235" s="172">
        <f t="shared" si="616"/>
        <v>278.16942216349025</v>
      </c>
      <c r="Y235" s="379">
        <f t="shared" si="680"/>
        <v>350</v>
      </c>
      <c r="AA235" s="188">
        <f t="shared" si="617"/>
        <v>13.333333333333334</v>
      </c>
      <c r="AB235" s="150">
        <f t="shared" si="618"/>
        <v>2.3423793900853283</v>
      </c>
      <c r="AC235" s="150">
        <f t="shared" si="619"/>
        <v>0.21719277380923482</v>
      </c>
      <c r="AD235" s="150"/>
      <c r="AE235" s="150">
        <f t="shared" si="620"/>
        <v>2.3423793900853283</v>
      </c>
      <c r="AF235" s="314">
        <f t="shared" si="621"/>
        <v>121.67115250686096</v>
      </c>
      <c r="AG235" s="456">
        <f t="shared" si="622"/>
        <v>0.21719277380923488</v>
      </c>
      <c r="AI235" s="150">
        <f t="shared" si="623"/>
        <v>7.8613752181755876</v>
      </c>
      <c r="AJ235" s="150">
        <f t="shared" si="624"/>
        <v>13.333333333333334</v>
      </c>
      <c r="AK235" s="150">
        <f t="shared" si="625"/>
        <v>1.0695263728610633</v>
      </c>
      <c r="AM235" s="314">
        <f t="shared" si="626"/>
        <v>95</v>
      </c>
      <c r="AN235" s="144">
        <f t="shared" si="627"/>
        <v>121.67115250686096</v>
      </c>
      <c r="AP235">
        <f t="shared" si="628"/>
        <v>95</v>
      </c>
      <c r="AQ235">
        <f t="shared" si="629"/>
        <v>121.67115250686096</v>
      </c>
      <c r="AS235" s="5">
        <f t="shared" si="600"/>
        <v>8.2188750529309775</v>
      </c>
      <c r="AT235" s="5">
        <f t="shared" si="630"/>
        <v>1.2525520449458871</v>
      </c>
      <c r="AU235" s="5">
        <f t="shared" si="722"/>
        <v>6.9663230079850909</v>
      </c>
      <c r="AV235" s="5"/>
      <c r="AW235" s="150">
        <f t="shared" si="723"/>
        <v>0.1523994508833916</v>
      </c>
      <c r="AX235" s="150">
        <f t="shared" si="631"/>
        <v>16.22282033424813</v>
      </c>
      <c r="AY235" s="150">
        <f t="shared" si="632"/>
        <v>0.28253351637220286</v>
      </c>
      <c r="AZ235" s="150">
        <f t="shared" si="633"/>
        <v>57.419100369233988</v>
      </c>
      <c r="BA235" s="144">
        <f t="shared" si="594"/>
        <v>6.9995555452858405E-2</v>
      </c>
      <c r="BB235" s="5">
        <f t="shared" si="595"/>
        <v>11.743313865824643</v>
      </c>
      <c r="BD235" s="150">
        <f t="shared" si="681"/>
        <v>3.0051752978599517</v>
      </c>
      <c r="BE235" s="150">
        <f t="shared" si="682"/>
        <v>0.35435921283491284</v>
      </c>
      <c r="BG235" s="456">
        <f t="shared" si="683"/>
        <v>3.0705667140950004E-2</v>
      </c>
      <c r="BH235" s="456">
        <f t="shared" si="634"/>
        <v>0.95213705010719119</v>
      </c>
      <c r="BI235" s="456">
        <f t="shared" si="635"/>
        <v>8.8978957917153489E-2</v>
      </c>
      <c r="BJ235" s="456">
        <f t="shared" si="684"/>
        <v>5.0051070530639778E-2</v>
      </c>
      <c r="BK235">
        <f t="shared" si="685"/>
        <v>7.1853301715609098E-3</v>
      </c>
      <c r="BL235" s="144">
        <f t="shared" si="686"/>
        <v>96.1642880887144</v>
      </c>
      <c r="BM235" s="456">
        <f t="shared" si="636"/>
        <v>1.0488362776147253</v>
      </c>
      <c r="BN235" s="144">
        <f t="shared" si="687"/>
        <v>1048.8362776147253</v>
      </c>
      <c r="BO235" s="456">
        <f t="shared" si="637"/>
        <v>0.23749999999999999</v>
      </c>
      <c r="BR235" s="144">
        <f t="shared" si="688"/>
        <v>237.5</v>
      </c>
      <c r="BS235" s="456">
        <f t="shared" si="689"/>
        <v>1.3546617856301475E-2</v>
      </c>
      <c r="BT235" s="456">
        <f t="shared" si="690"/>
        <v>2.5114090344195813E-2</v>
      </c>
      <c r="BU235" s="456">
        <f t="shared" si="691"/>
        <v>5.3001224151082376</v>
      </c>
      <c r="BV235" s="456"/>
      <c r="BW235" s="456">
        <f t="shared" si="692"/>
        <v>2.1630427112330843E-2</v>
      </c>
      <c r="BX235" s="144">
        <f t="shared" si="693"/>
        <v>5360.4135504210653</v>
      </c>
      <c r="BY235" s="150">
        <f t="shared" si="694"/>
        <v>6.7269716262885604</v>
      </c>
      <c r="BZ235" s="5">
        <f t="shared" si="695"/>
        <v>16.149999999999999</v>
      </c>
      <c r="CA235" s="150">
        <f t="shared" si="696"/>
        <v>0.70595008219713784</v>
      </c>
      <c r="CB235" s="5">
        <f t="shared" si="697"/>
        <v>70.59500821971379</v>
      </c>
      <c r="CE235" s="59">
        <f t="shared" si="638"/>
        <v>-50</v>
      </c>
      <c r="CF235">
        <f t="shared" si="639"/>
        <v>-50</v>
      </c>
      <c r="CG235" s="150">
        <f t="shared" si="640"/>
        <v>0.28558616192377545</v>
      </c>
      <c r="CI235" s="147">
        <v>19</v>
      </c>
      <c r="CJ235" s="188">
        <f t="shared" si="698"/>
        <v>9.5000000000000001E-2</v>
      </c>
      <c r="CK235" s="188"/>
      <c r="CL235" s="188">
        <f t="shared" si="641"/>
        <v>16.149999999999999</v>
      </c>
      <c r="CM235" s="465">
        <f t="shared" si="642"/>
        <v>16</v>
      </c>
      <c r="CN235" s="379">
        <f t="shared" si="643"/>
        <v>8.5350000000000001</v>
      </c>
      <c r="CO235" s="379">
        <f t="shared" si="644"/>
        <v>24.535</v>
      </c>
      <c r="CP235" s="379"/>
      <c r="CQ235" s="188">
        <f t="shared" si="645"/>
        <v>0.34787038923986141</v>
      </c>
      <c r="CR235" s="149">
        <f t="shared" si="646"/>
        <v>186.42142245771345</v>
      </c>
      <c r="CS235" s="149">
        <f t="shared" si="647"/>
        <v>16.149999999999999</v>
      </c>
      <c r="CT235" s="188">
        <f t="shared" si="648"/>
        <v>1.0965966026924321</v>
      </c>
      <c r="CU235" s="188">
        <f t="shared" si="649"/>
        <v>170</v>
      </c>
      <c r="CV235" s="188"/>
      <c r="CW235" s="149">
        <f t="shared" si="650"/>
        <v>5294.0773935583074</v>
      </c>
      <c r="CX235" s="149">
        <f t="shared" si="651"/>
        <v>170</v>
      </c>
      <c r="CY235" s="188">
        <f t="shared" si="652"/>
        <v>5.8031671060339773</v>
      </c>
      <c r="CZ235" s="188">
        <f t="shared" si="653"/>
        <v>0.54404691619068535</v>
      </c>
      <c r="DA235" s="188">
        <f t="shared" si="654"/>
        <v>1.0198887708319819</v>
      </c>
      <c r="DB235" s="172">
        <f t="shared" si="655"/>
        <v>278.29631139188916</v>
      </c>
      <c r="DC235" s="379">
        <f t="shared" si="656"/>
        <v>350</v>
      </c>
      <c r="DE235" s="188">
        <f t="shared" si="657"/>
        <v>13.333333333333332</v>
      </c>
      <c r="DF235" s="150">
        <f t="shared" si="658"/>
        <v>2.3432923257176332</v>
      </c>
      <c r="DG235" s="150">
        <f t="shared" si="659"/>
        <v>0.21737653692004619</v>
      </c>
      <c r="DH235" s="150"/>
      <c r="DI235" s="150">
        <f t="shared" si="660"/>
        <v>2.3432923257176337</v>
      </c>
      <c r="DJ235" s="314">
        <f t="shared" si="661"/>
        <v>121.62374999999997</v>
      </c>
      <c r="DK235" s="456">
        <f t="shared" si="662"/>
        <v>0.21737653692004627</v>
      </c>
      <c r="DM235" s="150">
        <f t="shared" si="663"/>
        <v>7.8598436916482539</v>
      </c>
      <c r="DN235" s="150">
        <f t="shared" si="664"/>
        <v>13.333333333333334</v>
      </c>
      <c r="DO235" s="150">
        <f t="shared" si="665"/>
        <v>1.0694992857142858</v>
      </c>
      <c r="DQ235" s="314">
        <f t="shared" si="666"/>
        <v>95</v>
      </c>
      <c r="DR235" s="144">
        <f t="shared" si="667"/>
        <v>121.62374999999997</v>
      </c>
      <c r="DT235">
        <f t="shared" si="668"/>
        <v>95</v>
      </c>
      <c r="DU235">
        <f t="shared" si="669"/>
        <v>121.62374999999997</v>
      </c>
      <c r="DW235" s="5">
        <f t="shared" si="670"/>
        <v>8.2220783358513483</v>
      </c>
      <c r="DX235" s="5">
        <f t="shared" si="671"/>
        <v>1.25</v>
      </c>
      <c r="DY235" s="5">
        <f t="shared" si="672"/>
        <v>6.9720783358513483</v>
      </c>
      <c r="DZ235" s="5"/>
      <c r="EA235" s="150">
        <f t="shared" si="673"/>
        <v>0.15202968749999993</v>
      </c>
      <c r="EB235" s="150">
        <f t="shared" si="699"/>
        <v>16.216500000000003</v>
      </c>
      <c r="EC235" s="150">
        <f t="shared" si="700"/>
        <v>0.2826567708333334</v>
      </c>
      <c r="ED235" s="150">
        <f t="shared" si="701"/>
        <v>57.371701913208192</v>
      </c>
      <c r="EE235" s="144">
        <f t="shared" si="674"/>
        <v>6.985294117647059E-2</v>
      </c>
      <c r="EF235" s="5">
        <f t="shared" si="675"/>
        <v>11.729069283749922</v>
      </c>
      <c r="EH235" s="150">
        <f t="shared" si="702"/>
        <v>3.0015273889582721</v>
      </c>
      <c r="EI235" s="150">
        <f t="shared" si="703"/>
        <v>0.35443649851769149</v>
      </c>
      <c r="EK235" s="456">
        <f t="shared" si="704"/>
        <v>3.063116666666665E-2</v>
      </c>
      <c r="EL235" s="456">
        <f t="shared" si="705"/>
        <v>1.2095303555999999</v>
      </c>
      <c r="EM235" s="456">
        <f t="shared" si="706"/>
        <v>2.7851838749999993E-2</v>
      </c>
      <c r="EN235" s="456">
        <f t="shared" si="707"/>
        <v>5.0151171915622961E-2</v>
      </c>
      <c r="EO235">
        <f t="shared" si="708"/>
        <v>7.1999999999999998E-3</v>
      </c>
      <c r="EP235" s="144">
        <f t="shared" si="709"/>
        <v>35.051838749999995</v>
      </c>
      <c r="EQ235" s="144"/>
      <c r="ER235" s="144">
        <f t="shared" si="710"/>
        <v>1325.3645329322894</v>
      </c>
      <c r="ES235" s="456">
        <f t="shared" si="711"/>
        <v>0.23749999999999999</v>
      </c>
      <c r="EV235" s="144">
        <f t="shared" si="712"/>
        <v>237.5</v>
      </c>
      <c r="EW235" s="456">
        <f t="shared" si="713"/>
        <v>1.3513749999999993E-2</v>
      </c>
      <c r="EX235" s="456">
        <f t="shared" si="714"/>
        <v>2.5125046296296305E-2</v>
      </c>
      <c r="EY235" s="456">
        <f t="shared" si="715"/>
        <v>5.2949616666981534</v>
      </c>
      <c r="EZ235" s="456"/>
      <c r="FA235" s="456">
        <f t="shared" si="716"/>
        <v>2.1622000000000002E-2</v>
      </c>
      <c r="FB235" s="144">
        <f t="shared" si="717"/>
        <v>5355.2224629944494</v>
      </c>
      <c r="FC235" s="150">
        <f t="shared" si="718"/>
        <v>6.918086995926739</v>
      </c>
      <c r="FD235" s="5">
        <f t="shared" si="719"/>
        <v>16.149999999999999</v>
      </c>
      <c r="FE235" s="150">
        <f t="shared" si="720"/>
        <v>0.700101399949276</v>
      </c>
      <c r="FF235" s="5">
        <f t="shared" si="721"/>
        <v>70.010139994927599</v>
      </c>
      <c r="FI235" s="59">
        <f t="shared" si="676"/>
        <v>-50</v>
      </c>
      <c r="FJ235">
        <f t="shared" si="677"/>
        <v>-50</v>
      </c>
      <c r="FL235">
        <f t="shared" si="678"/>
        <v>0.28499999999999998</v>
      </c>
    </row>
    <row r="236" spans="5:168">
      <c r="E236" s="147">
        <v>20</v>
      </c>
      <c r="F236" s="188">
        <f t="shared" si="679"/>
        <v>0.1</v>
      </c>
      <c r="G236" s="188"/>
      <c r="H236" s="188">
        <f t="shared" si="603"/>
        <v>17</v>
      </c>
      <c r="I236" s="465">
        <f t="shared" si="604"/>
        <v>15.967400381246467</v>
      </c>
      <c r="J236" s="149">
        <f t="shared" si="605"/>
        <v>8.5383264917095438</v>
      </c>
      <c r="K236" s="149">
        <f t="shared" si="606"/>
        <v>24.505726872956011</v>
      </c>
      <c r="L236" s="379"/>
      <c r="M236" s="188">
        <f t="shared" si="607"/>
        <v>0.34842186048293716</v>
      </c>
      <c r="N236" s="149">
        <f t="shared" si="608"/>
        <v>186.33652087932737</v>
      </c>
      <c r="O236" s="149">
        <f t="shared" si="599"/>
        <v>17</v>
      </c>
      <c r="P236" s="188">
        <f t="shared" si="609"/>
        <v>1.0960971816431022</v>
      </c>
      <c r="Q236" s="188">
        <f t="shared" si="610"/>
        <v>170</v>
      </c>
      <c r="R236" s="188"/>
      <c r="S236" s="149">
        <f t="shared" si="611"/>
        <v>5003.1634603255598</v>
      </c>
      <c r="T236" s="149">
        <f t="shared" si="612"/>
        <v>170</v>
      </c>
      <c r="U236" s="188">
        <f t="shared" si="613"/>
        <v>6.1389413754192601</v>
      </c>
      <c r="V236" s="188">
        <f t="shared" si="614"/>
        <v>0.57670076801882331</v>
      </c>
      <c r="W236" s="188">
        <f t="shared" si="615"/>
        <v>1.0784797316043113</v>
      </c>
      <c r="X236" s="172">
        <f t="shared" si="616"/>
        <v>278.16942216349025</v>
      </c>
      <c r="Y236" s="379">
        <f t="shared" si="680"/>
        <v>350</v>
      </c>
      <c r="AA236" s="188">
        <f t="shared" si="617"/>
        <v>13.333333333333334</v>
      </c>
      <c r="AB236" s="150">
        <f t="shared" si="618"/>
        <v>2.3423793900853283</v>
      </c>
      <c r="AC236" s="150">
        <f t="shared" si="619"/>
        <v>0.21719277380923482</v>
      </c>
      <c r="AD236" s="150"/>
      <c r="AE236" s="150">
        <f t="shared" si="620"/>
        <v>2.3423793900853283</v>
      </c>
      <c r="AF236" s="314">
        <f t="shared" si="621"/>
        <v>128.07489737564313</v>
      </c>
      <c r="AG236" s="456">
        <f t="shared" si="622"/>
        <v>0.21719277380923488</v>
      </c>
      <c r="AI236" s="150">
        <f t="shared" si="623"/>
        <v>8.0656007914668582</v>
      </c>
      <c r="AJ236" s="150">
        <f t="shared" si="624"/>
        <v>13.333333333333334</v>
      </c>
      <c r="AK236" s="150">
        <f t="shared" si="625"/>
        <v>1.0731856556432247</v>
      </c>
      <c r="AM236" s="314">
        <f t="shared" si="626"/>
        <v>100</v>
      </c>
      <c r="AN236" s="144">
        <f t="shared" si="627"/>
        <v>128.07489737564313</v>
      </c>
      <c r="AP236">
        <f t="shared" si="628"/>
        <v>100</v>
      </c>
      <c r="AQ236">
        <f t="shared" si="629"/>
        <v>128.07489737564313</v>
      </c>
      <c r="AS236" s="5">
        <f t="shared" si="600"/>
        <v>7.8079313002844284</v>
      </c>
      <c r="AT236" s="5">
        <f t="shared" si="630"/>
        <v>1.2525520449458871</v>
      </c>
      <c r="AU236" s="5">
        <f t="shared" si="722"/>
        <v>6.5553792553385417</v>
      </c>
      <c r="AV236" s="5"/>
      <c r="AW236" s="150">
        <f t="shared" si="723"/>
        <v>0.16042047461409645</v>
      </c>
      <c r="AX236" s="150">
        <f t="shared" si="631"/>
        <v>17.076652983419088</v>
      </c>
      <c r="AY236" s="150">
        <f t="shared" si="632"/>
        <v>0.27985984179530121</v>
      </c>
      <c r="AZ236" s="150">
        <f t="shared" si="633"/>
        <v>61.018590140951765</v>
      </c>
      <c r="BA236" s="144">
        <f t="shared" si="594"/>
        <v>7.3679532055640415E-2</v>
      </c>
      <c r="BB236" s="5">
        <f t="shared" si="595"/>
        <v>11.632184396532693</v>
      </c>
      <c r="BD236" s="150">
        <f t="shared" si="681"/>
        <v>3.083244799825366</v>
      </c>
      <c r="BE236" s="150">
        <f t="shared" si="682"/>
        <v>0.35267853905365826</v>
      </c>
      <c r="BG236" s="456">
        <f t="shared" si="683"/>
        <v>3.2321754885210545E-2</v>
      </c>
      <c r="BH236" s="456">
        <f t="shared" si="634"/>
        <v>1.0022495264286222</v>
      </c>
      <c r="BI236" s="456">
        <f t="shared" si="635"/>
        <v>9.3662060965424732E-2</v>
      </c>
      <c r="BJ236" s="456">
        <f t="shared" si="684"/>
        <v>5.2685337400673458E-2</v>
      </c>
      <c r="BK236">
        <f t="shared" si="685"/>
        <v>7.1853301715609098E-3</v>
      </c>
      <c r="BL236" s="144">
        <f t="shared" si="686"/>
        <v>100.84739113698564</v>
      </c>
      <c r="BM236" s="456">
        <f t="shared" si="636"/>
        <v>1.1044653990877753</v>
      </c>
      <c r="BN236" s="144">
        <f t="shared" si="687"/>
        <v>1104.4653990877753</v>
      </c>
      <c r="BO236" s="456">
        <f t="shared" si="637"/>
        <v>0.25</v>
      </c>
      <c r="BR236" s="144">
        <f t="shared" si="688"/>
        <v>250</v>
      </c>
      <c r="BS236" s="456">
        <f t="shared" si="689"/>
        <v>1.4259597743475242E-2</v>
      </c>
      <c r="BT236" s="456">
        <f t="shared" si="690"/>
        <v>2.4876430381804551E-2</v>
      </c>
      <c r="BU236" s="456">
        <f t="shared" si="691"/>
        <v>6.0252751925787562</v>
      </c>
      <c r="BV236" s="456"/>
      <c r="BW236" s="456">
        <f t="shared" si="692"/>
        <v>2.2768870644558785E-2</v>
      </c>
      <c r="BX236" s="144">
        <f t="shared" si="693"/>
        <v>6087.1800913485949</v>
      </c>
      <c r="BY236" s="150">
        <f t="shared" si="694"/>
        <v>7.5252841012000866</v>
      </c>
      <c r="BZ236" s="5">
        <f t="shared" si="695"/>
        <v>17</v>
      </c>
      <c r="CA236" s="150">
        <f t="shared" si="696"/>
        <v>0.69316220476190715</v>
      </c>
      <c r="CB236" s="5">
        <f t="shared" si="697"/>
        <v>69.316220476190722</v>
      </c>
      <c r="CE236" s="59">
        <f t="shared" si="638"/>
        <v>-50</v>
      </c>
      <c r="CF236">
        <f t="shared" si="639"/>
        <v>-50</v>
      </c>
      <c r="CG236" s="150">
        <f t="shared" si="640"/>
        <v>0.3006170125513426</v>
      </c>
      <c r="CI236" s="147">
        <v>20</v>
      </c>
      <c r="CJ236" s="188">
        <f t="shared" si="698"/>
        <v>0.1</v>
      </c>
      <c r="CK236" s="188"/>
      <c r="CL236" s="188">
        <f t="shared" si="641"/>
        <v>17</v>
      </c>
      <c r="CM236" s="465">
        <f t="shared" si="642"/>
        <v>16</v>
      </c>
      <c r="CN236" s="379">
        <f t="shared" si="643"/>
        <v>8.5350000000000001</v>
      </c>
      <c r="CO236" s="379">
        <f t="shared" si="644"/>
        <v>24.535</v>
      </c>
      <c r="CP236" s="379"/>
      <c r="CQ236" s="188">
        <f t="shared" si="645"/>
        <v>0.34787038923986141</v>
      </c>
      <c r="CR236" s="149">
        <f t="shared" si="646"/>
        <v>186.42142245771345</v>
      </c>
      <c r="CS236" s="149">
        <f t="shared" si="647"/>
        <v>17</v>
      </c>
      <c r="CT236" s="188">
        <f t="shared" si="648"/>
        <v>1.0965966026924321</v>
      </c>
      <c r="CU236" s="188">
        <f t="shared" si="649"/>
        <v>170</v>
      </c>
      <c r="CV236" s="188"/>
      <c r="CW236" s="149">
        <f t="shared" si="650"/>
        <v>5013.3780075485456</v>
      </c>
      <c r="CX236" s="149">
        <f t="shared" si="651"/>
        <v>170</v>
      </c>
      <c r="CY236" s="188">
        <f t="shared" si="652"/>
        <v>6.1085969537199771</v>
      </c>
      <c r="CZ236" s="188">
        <f t="shared" si="653"/>
        <v>0.57268096441124783</v>
      </c>
      <c r="DA236" s="188">
        <f t="shared" si="654"/>
        <v>1.0735671271915601</v>
      </c>
      <c r="DB236" s="172">
        <f t="shared" si="655"/>
        <v>278.29631139188916</v>
      </c>
      <c r="DC236" s="379">
        <f t="shared" si="656"/>
        <v>350</v>
      </c>
      <c r="DE236" s="188">
        <f t="shared" si="657"/>
        <v>13.333333333333332</v>
      </c>
      <c r="DF236" s="150">
        <f t="shared" si="658"/>
        <v>2.3432923257176332</v>
      </c>
      <c r="DG236" s="150">
        <f t="shared" si="659"/>
        <v>0.21737653692004619</v>
      </c>
      <c r="DH236" s="150"/>
      <c r="DI236" s="150">
        <f t="shared" si="660"/>
        <v>2.3432923257176337</v>
      </c>
      <c r="DJ236" s="314">
        <f t="shared" si="661"/>
        <v>128.02499999999998</v>
      </c>
      <c r="DK236" s="456">
        <f t="shared" si="662"/>
        <v>0.21737653692004627</v>
      </c>
      <c r="DM236" s="150">
        <f t="shared" si="663"/>
        <v>8.0640294784041693</v>
      </c>
      <c r="DN236" s="150">
        <f t="shared" si="664"/>
        <v>13.333333333333334</v>
      </c>
      <c r="DO236" s="150">
        <f t="shared" si="665"/>
        <v>1.0731571428571429</v>
      </c>
      <c r="DQ236" s="314">
        <f t="shared" si="666"/>
        <v>100</v>
      </c>
      <c r="DR236" s="144">
        <f t="shared" si="667"/>
        <v>128.02499999999998</v>
      </c>
      <c r="DT236">
        <f t="shared" si="668"/>
        <v>100</v>
      </c>
      <c r="DU236">
        <f t="shared" si="669"/>
        <v>128.02499999999998</v>
      </c>
      <c r="DW236" s="5">
        <f t="shared" si="670"/>
        <v>7.8109744190587787</v>
      </c>
      <c r="DX236" s="5">
        <f t="shared" si="671"/>
        <v>1.25</v>
      </c>
      <c r="DY236" s="5">
        <f t="shared" si="672"/>
        <v>6.5609744190587787</v>
      </c>
      <c r="DZ236" s="5"/>
      <c r="EA236" s="150">
        <f t="shared" si="673"/>
        <v>0.16003124999999999</v>
      </c>
      <c r="EB236" s="150">
        <f t="shared" si="699"/>
        <v>17.07</v>
      </c>
      <c r="EC236" s="150">
        <f t="shared" si="700"/>
        <v>0.2799895833333334</v>
      </c>
      <c r="ED236" s="150">
        <f t="shared" si="701"/>
        <v>60.966553815246087</v>
      </c>
      <c r="EE236" s="144">
        <f t="shared" si="674"/>
        <v>7.3529411764705871E-2</v>
      </c>
      <c r="EF236" s="5">
        <f t="shared" si="675"/>
        <v>11.618392200416586</v>
      </c>
      <c r="EH236" s="150">
        <f t="shared" si="702"/>
        <v>3.0795021242618641</v>
      </c>
      <c r="EI236" s="150">
        <f t="shared" si="703"/>
        <v>0.35276027953103622</v>
      </c>
      <c r="EK236" s="456">
        <f t="shared" si="704"/>
        <v>3.2243333333333332E-2</v>
      </c>
      <c r="EL236" s="456">
        <f t="shared" si="705"/>
        <v>1.2731898479999997</v>
      </c>
      <c r="EM236" s="456">
        <f t="shared" si="706"/>
        <v>2.9317724999999992E-2</v>
      </c>
      <c r="EN236" s="456">
        <f t="shared" si="707"/>
        <v>5.2790707279603118E-2</v>
      </c>
      <c r="EO236">
        <f t="shared" si="708"/>
        <v>7.1999999999999998E-3</v>
      </c>
      <c r="EP236" s="144">
        <f t="shared" si="709"/>
        <v>36.517724999999992</v>
      </c>
      <c r="EQ236" s="144"/>
      <c r="ER236" s="144">
        <f t="shared" si="710"/>
        <v>1394.7416136129364</v>
      </c>
      <c r="ES236" s="456">
        <f t="shared" si="711"/>
        <v>0.25</v>
      </c>
      <c r="EV236" s="144">
        <f t="shared" si="712"/>
        <v>250</v>
      </c>
      <c r="EW236" s="456">
        <f t="shared" si="713"/>
        <v>1.4225000000000002E-2</v>
      </c>
      <c r="EX236" s="456">
        <f t="shared" si="714"/>
        <v>2.4887962962962962E-2</v>
      </c>
      <c r="EY236" s="456">
        <f t="shared" si="715"/>
        <v>6.0194083602803783</v>
      </c>
      <c r="EZ236" s="456"/>
      <c r="FA236" s="456">
        <f t="shared" si="716"/>
        <v>2.2760000000000002E-2</v>
      </c>
      <c r="FB236" s="144">
        <f t="shared" si="717"/>
        <v>6081.2813232433409</v>
      </c>
      <c r="FC236" s="150">
        <f t="shared" si="718"/>
        <v>7.7260229368562774</v>
      </c>
      <c r="FD236" s="5">
        <f t="shared" si="719"/>
        <v>17</v>
      </c>
      <c r="FE236" s="150">
        <f t="shared" si="720"/>
        <v>0.68753475006528564</v>
      </c>
      <c r="FF236" s="5">
        <f t="shared" si="721"/>
        <v>68.753475006528561</v>
      </c>
      <c r="FI236" s="59">
        <f t="shared" si="676"/>
        <v>-50</v>
      </c>
      <c r="FJ236">
        <f t="shared" si="677"/>
        <v>-50</v>
      </c>
      <c r="FL236">
        <f t="shared" si="678"/>
        <v>0.3</v>
      </c>
    </row>
    <row r="237" spans="5:168">
      <c r="E237" s="147">
        <v>21</v>
      </c>
      <c r="F237" s="188">
        <f t="shared" si="679"/>
        <v>0.105</v>
      </c>
      <c r="G237" s="188"/>
      <c r="H237" s="188">
        <f t="shared" si="603"/>
        <v>17.849999999999998</v>
      </c>
      <c r="I237" s="465">
        <f t="shared" si="604"/>
        <v>15.967400381246467</v>
      </c>
      <c r="J237" s="149">
        <f t="shared" si="605"/>
        <v>8.5383264917095438</v>
      </c>
      <c r="K237" s="149">
        <f t="shared" si="606"/>
        <v>24.505726872956011</v>
      </c>
      <c r="L237" s="379"/>
      <c r="M237" s="188">
        <f t="shared" si="607"/>
        <v>0.34842186048293716</v>
      </c>
      <c r="N237" s="149">
        <f t="shared" si="608"/>
        <v>186.33652087932737</v>
      </c>
      <c r="O237" s="149">
        <f t="shared" si="599"/>
        <v>17.849999999999998</v>
      </c>
      <c r="P237" s="188">
        <f t="shared" si="609"/>
        <v>1.0960971816431022</v>
      </c>
      <c r="Q237" s="188">
        <f t="shared" si="610"/>
        <v>170</v>
      </c>
      <c r="R237" s="188"/>
      <c r="S237" s="149">
        <f t="shared" si="611"/>
        <v>4749.7150441214253</v>
      </c>
      <c r="T237" s="149">
        <f t="shared" si="612"/>
        <v>170</v>
      </c>
      <c r="U237" s="188">
        <f t="shared" si="613"/>
        <v>6.4458884441902233</v>
      </c>
      <c r="V237" s="188">
        <f t="shared" si="614"/>
        <v>0.60553580641976457</v>
      </c>
      <c r="W237" s="188">
        <f t="shared" si="615"/>
        <v>1.132403718184527</v>
      </c>
      <c r="X237" s="172">
        <f t="shared" si="616"/>
        <v>278.16942216349025</v>
      </c>
      <c r="Y237" s="379">
        <f t="shared" si="680"/>
        <v>350</v>
      </c>
      <c r="AA237" s="188">
        <f t="shared" si="617"/>
        <v>13.333333333333334</v>
      </c>
      <c r="AB237" s="150">
        <f t="shared" si="618"/>
        <v>2.3423793900853283</v>
      </c>
      <c r="AC237" s="150">
        <f t="shared" si="619"/>
        <v>0.21719277380923482</v>
      </c>
      <c r="AD237" s="150"/>
      <c r="AE237" s="150">
        <f t="shared" si="620"/>
        <v>2.3423793900853283</v>
      </c>
      <c r="AF237" s="314">
        <f t="shared" si="621"/>
        <v>134.47864224442529</v>
      </c>
      <c r="AG237" s="456">
        <f t="shared" si="622"/>
        <v>0.21719277380923488</v>
      </c>
      <c r="AI237" s="150">
        <f t="shared" si="623"/>
        <v>8.2647814208045673</v>
      </c>
      <c r="AJ237" s="150">
        <f t="shared" si="624"/>
        <v>13.333333333333334</v>
      </c>
      <c r="AK237" s="150">
        <f t="shared" si="625"/>
        <v>1.076844938425386</v>
      </c>
      <c r="AM237" s="314">
        <f t="shared" si="626"/>
        <v>105</v>
      </c>
      <c r="AN237" s="144">
        <f t="shared" si="627"/>
        <v>134.47864224442529</v>
      </c>
      <c r="AP237">
        <f t="shared" si="628"/>
        <v>105</v>
      </c>
      <c r="AQ237">
        <f t="shared" si="629"/>
        <v>134.47864224442529</v>
      </c>
      <c r="AS237" s="5">
        <f t="shared" si="600"/>
        <v>7.4361250478899317</v>
      </c>
      <c r="AT237" s="5">
        <f t="shared" si="630"/>
        <v>1.2525520449458871</v>
      </c>
      <c r="AU237" s="5">
        <f t="shared" si="722"/>
        <v>6.1835730029440441</v>
      </c>
      <c r="AV237" s="5"/>
      <c r="AW237" s="150">
        <f t="shared" si="723"/>
        <v>0.16844149834480127</v>
      </c>
      <c r="AX237" s="150">
        <f t="shared" si="631"/>
        <v>17.930485632590042</v>
      </c>
      <c r="AY237" s="150">
        <f t="shared" si="632"/>
        <v>0.27718616721839962</v>
      </c>
      <c r="AZ237" s="150">
        <f t="shared" si="633"/>
        <v>64.68751962814332</v>
      </c>
      <c r="BA237" s="144">
        <f t="shared" si="594"/>
        <v>7.7363508658422439E-2</v>
      </c>
      <c r="BB237" s="5">
        <f t="shared" si="595"/>
        <v>11.521054927240739</v>
      </c>
      <c r="BD237" s="150">
        <f t="shared" si="681"/>
        <v>3.1593857663211482</v>
      </c>
      <c r="BE237" s="150">
        <f t="shared" si="682"/>
        <v>0.35098981765439652</v>
      </c>
      <c r="BG237" s="456">
        <f t="shared" si="683"/>
        <v>3.3937842629471075E-2</v>
      </c>
      <c r="BH237" s="456">
        <f t="shared" si="634"/>
        <v>1.0523620027500535</v>
      </c>
      <c r="BI237" s="456">
        <f t="shared" si="635"/>
        <v>9.8345164013695974E-2</v>
      </c>
      <c r="BJ237" s="456">
        <f t="shared" si="684"/>
        <v>5.5319604270707132E-2</v>
      </c>
      <c r="BK237">
        <f t="shared" si="685"/>
        <v>7.1853301715609098E-3</v>
      </c>
      <c r="BL237" s="144">
        <f t="shared" si="686"/>
        <v>105.53049418525688</v>
      </c>
      <c r="BM237" s="456">
        <f t="shared" si="636"/>
        <v>1.1601375890618337</v>
      </c>
      <c r="BN237" s="144">
        <f t="shared" si="687"/>
        <v>1160.1375890618338</v>
      </c>
      <c r="BO237" s="456">
        <f t="shared" si="637"/>
        <v>0.26250000000000001</v>
      </c>
      <c r="BR237" s="144">
        <f t="shared" si="688"/>
        <v>262.5</v>
      </c>
      <c r="BS237" s="456">
        <f t="shared" si="689"/>
        <v>1.4972577630649004E-2</v>
      </c>
      <c r="BT237" s="456">
        <f t="shared" si="690"/>
        <v>2.4638770419413304E-2</v>
      </c>
      <c r="BU237" s="456">
        <f t="shared" si="691"/>
        <v>6.8069119820307771</v>
      </c>
      <c r="BV237" s="456"/>
      <c r="BW237" s="456">
        <f t="shared" si="692"/>
        <v>2.3907314176786723E-2</v>
      </c>
      <c r="BX237" s="144">
        <f t="shared" si="693"/>
        <v>6870.4306442576262</v>
      </c>
      <c r="BY237" s="150">
        <f t="shared" si="694"/>
        <v>8.3800805880931151</v>
      </c>
      <c r="BZ237" s="5">
        <f t="shared" si="695"/>
        <v>17.849999999999998</v>
      </c>
      <c r="CA237" s="150">
        <f t="shared" si="696"/>
        <v>0.68051639948459897</v>
      </c>
      <c r="CB237" s="5">
        <f t="shared" si="697"/>
        <v>68.051639948459894</v>
      </c>
      <c r="CE237" s="59">
        <f t="shared" si="638"/>
        <v>-50</v>
      </c>
      <c r="CF237">
        <f t="shared" si="639"/>
        <v>-50</v>
      </c>
      <c r="CG237" s="150">
        <f t="shared" si="640"/>
        <v>0.31564786317890969</v>
      </c>
      <c r="CI237" s="147">
        <v>21</v>
      </c>
      <c r="CJ237" s="188">
        <f t="shared" si="698"/>
        <v>0.105</v>
      </c>
      <c r="CK237" s="188"/>
      <c r="CL237" s="188">
        <f t="shared" si="641"/>
        <v>17.849999999999998</v>
      </c>
      <c r="CM237" s="465">
        <f t="shared" si="642"/>
        <v>16</v>
      </c>
      <c r="CN237" s="379">
        <f t="shared" si="643"/>
        <v>8.5350000000000001</v>
      </c>
      <c r="CO237" s="379">
        <f t="shared" si="644"/>
        <v>24.535</v>
      </c>
      <c r="CP237" s="379"/>
      <c r="CQ237" s="188">
        <f t="shared" si="645"/>
        <v>0.34787038923986141</v>
      </c>
      <c r="CR237" s="149">
        <f t="shared" si="646"/>
        <v>186.42142245771345</v>
      </c>
      <c r="CS237" s="149">
        <f t="shared" si="647"/>
        <v>17.849999999999998</v>
      </c>
      <c r="CT237" s="188">
        <f t="shared" si="648"/>
        <v>1.0965966026924321</v>
      </c>
      <c r="CU237" s="188">
        <f t="shared" si="649"/>
        <v>170</v>
      </c>
      <c r="CV237" s="188"/>
      <c r="CW237" s="149">
        <f t="shared" si="650"/>
        <v>4759.412137080014</v>
      </c>
      <c r="CX237" s="149">
        <f t="shared" si="651"/>
        <v>170</v>
      </c>
      <c r="CY237" s="188">
        <f t="shared" si="652"/>
        <v>6.4140268014059751</v>
      </c>
      <c r="CZ237" s="188">
        <f t="shared" si="653"/>
        <v>0.60131501263181009</v>
      </c>
      <c r="DA237" s="188">
        <f t="shared" si="654"/>
        <v>1.1272454835511381</v>
      </c>
      <c r="DB237" s="172">
        <f t="shared" si="655"/>
        <v>278.29631139188916</v>
      </c>
      <c r="DC237" s="379">
        <f t="shared" si="656"/>
        <v>350</v>
      </c>
      <c r="DE237" s="188">
        <f t="shared" si="657"/>
        <v>13.333333333333332</v>
      </c>
      <c r="DF237" s="150">
        <f t="shared" si="658"/>
        <v>2.3432923257176332</v>
      </c>
      <c r="DG237" s="150">
        <f t="shared" si="659"/>
        <v>0.21737653692004619</v>
      </c>
      <c r="DH237" s="150"/>
      <c r="DI237" s="150">
        <f t="shared" si="660"/>
        <v>2.3432923257176337</v>
      </c>
      <c r="DJ237" s="314">
        <f t="shared" si="661"/>
        <v>134.42624999999998</v>
      </c>
      <c r="DK237" s="456">
        <f t="shared" si="662"/>
        <v>0.21737653692004627</v>
      </c>
      <c r="DM237" s="150">
        <f t="shared" si="663"/>
        <v>8.2631713040454375</v>
      </c>
      <c r="DN237" s="150">
        <f t="shared" si="664"/>
        <v>13.333333333333334</v>
      </c>
      <c r="DO237" s="150">
        <f t="shared" si="665"/>
        <v>1.0768150000000001</v>
      </c>
      <c r="DQ237" s="314">
        <f t="shared" si="666"/>
        <v>105</v>
      </c>
      <c r="DR237" s="144">
        <f t="shared" si="667"/>
        <v>134.42624999999998</v>
      </c>
      <c r="DT237">
        <f t="shared" si="668"/>
        <v>105</v>
      </c>
      <c r="DU237">
        <f t="shared" si="669"/>
        <v>134.42624999999998</v>
      </c>
      <c r="DW237" s="5">
        <f t="shared" si="670"/>
        <v>7.4390232562464558</v>
      </c>
      <c r="DX237" s="5">
        <f t="shared" si="671"/>
        <v>1.25</v>
      </c>
      <c r="DY237" s="5">
        <f t="shared" si="672"/>
        <v>6.1890232562464558</v>
      </c>
      <c r="DZ237" s="5"/>
      <c r="EA237" s="150">
        <f t="shared" si="673"/>
        <v>0.16803281249999999</v>
      </c>
      <c r="EB237" s="150">
        <f t="shared" si="699"/>
        <v>17.923500000000001</v>
      </c>
      <c r="EC237" s="150">
        <f t="shared" si="700"/>
        <v>0.27732239583333335</v>
      </c>
      <c r="ED237" s="150">
        <f t="shared" si="701"/>
        <v>64.630553713994885</v>
      </c>
      <c r="EE237" s="144">
        <f t="shared" si="674"/>
        <v>7.720588235294118E-2</v>
      </c>
      <c r="EF237" s="5">
        <f t="shared" si="675"/>
        <v>11.507715117083251</v>
      </c>
      <c r="EH237" s="150">
        <f t="shared" si="702"/>
        <v>3.1555506650979321</v>
      </c>
      <c r="EI237" s="150">
        <f t="shared" si="703"/>
        <v>0.35107605749772824</v>
      </c>
      <c r="EK237" s="456">
        <f t="shared" si="704"/>
        <v>3.3855500000000004E-2</v>
      </c>
      <c r="EL237" s="456">
        <f t="shared" si="705"/>
        <v>1.3368493403999999</v>
      </c>
      <c r="EM237" s="456">
        <f t="shared" si="706"/>
        <v>3.0783611249999995E-2</v>
      </c>
      <c r="EN237" s="456">
        <f t="shared" si="707"/>
        <v>5.5430242643583275E-2</v>
      </c>
      <c r="EO237">
        <f t="shared" si="708"/>
        <v>7.1999999999999998E-3</v>
      </c>
      <c r="EP237" s="144">
        <f t="shared" si="709"/>
        <v>37.983611249999996</v>
      </c>
      <c r="EQ237" s="144"/>
      <c r="ER237" s="144">
        <f t="shared" si="710"/>
        <v>1464.1186942935833</v>
      </c>
      <c r="ES237" s="456">
        <f t="shared" si="711"/>
        <v>0.26250000000000001</v>
      </c>
      <c r="EV237" s="144">
        <f t="shared" si="712"/>
        <v>262.5</v>
      </c>
      <c r="EW237" s="456">
        <f t="shared" si="713"/>
        <v>1.4936250000000002E-2</v>
      </c>
      <c r="EX237" s="456">
        <f t="shared" si="714"/>
        <v>2.4650879629629641E-2</v>
      </c>
      <c r="EY237" s="456">
        <f t="shared" si="715"/>
        <v>6.8002840671568388</v>
      </c>
      <c r="EZ237" s="456"/>
      <c r="FA237" s="456">
        <f t="shared" si="716"/>
        <v>2.3897999999999999E-2</v>
      </c>
      <c r="FB237" s="144">
        <f t="shared" si="717"/>
        <v>6863.7691967864685</v>
      </c>
      <c r="FC237" s="150">
        <f t="shared" si="718"/>
        <v>8.5903878910800522</v>
      </c>
      <c r="FD237" s="5">
        <f t="shared" si="719"/>
        <v>17.849999999999998</v>
      </c>
      <c r="FE237" s="150">
        <f t="shared" si="720"/>
        <v>0.67510356026289187</v>
      </c>
      <c r="FF237" s="5">
        <f t="shared" si="721"/>
        <v>67.510356026289188</v>
      </c>
      <c r="FI237" s="59">
        <f t="shared" si="676"/>
        <v>-50</v>
      </c>
      <c r="FJ237">
        <f t="shared" si="677"/>
        <v>-50</v>
      </c>
      <c r="FL237">
        <f t="shared" si="678"/>
        <v>0.315</v>
      </c>
    </row>
    <row r="238" spans="5:168">
      <c r="E238" s="147">
        <v>22</v>
      </c>
      <c r="F238" s="188">
        <f t="shared" si="679"/>
        <v>0.11</v>
      </c>
      <c r="G238" s="188"/>
      <c r="H238" s="188">
        <f t="shared" si="603"/>
        <v>18.7</v>
      </c>
      <c r="I238" s="465">
        <f t="shared" si="604"/>
        <v>15.967400381246467</v>
      </c>
      <c r="J238" s="149">
        <f t="shared" si="605"/>
        <v>8.5383264917095438</v>
      </c>
      <c r="K238" s="149">
        <f t="shared" si="606"/>
        <v>24.505726872956011</v>
      </c>
      <c r="L238" s="379"/>
      <c r="M238" s="188">
        <f t="shared" si="607"/>
        <v>0.34842186048293716</v>
      </c>
      <c r="N238" s="149">
        <f t="shared" si="608"/>
        <v>186.33652087932737</v>
      </c>
      <c r="O238" s="149">
        <f t="shared" si="599"/>
        <v>18.7</v>
      </c>
      <c r="P238" s="188">
        <f t="shared" si="609"/>
        <v>1.0960971816431022</v>
      </c>
      <c r="Q238" s="188">
        <f t="shared" si="610"/>
        <v>170</v>
      </c>
      <c r="R238" s="188"/>
      <c r="S238" s="149">
        <f t="shared" si="611"/>
        <v>4519.3076249767873</v>
      </c>
      <c r="T238" s="149">
        <f t="shared" si="612"/>
        <v>170</v>
      </c>
      <c r="U238" s="188">
        <f t="shared" si="613"/>
        <v>6.7528355129611866</v>
      </c>
      <c r="V238" s="188">
        <f t="shared" si="614"/>
        <v>0.63437084482070571</v>
      </c>
      <c r="W238" s="188">
        <f t="shared" si="615"/>
        <v>1.1863277047647425</v>
      </c>
      <c r="X238" s="172">
        <f t="shared" si="616"/>
        <v>278.16942216349025</v>
      </c>
      <c r="Y238" s="379">
        <f t="shared" si="680"/>
        <v>350</v>
      </c>
      <c r="AA238" s="188">
        <f t="shared" si="617"/>
        <v>13.333333333333334</v>
      </c>
      <c r="AB238" s="150">
        <f t="shared" si="618"/>
        <v>2.3423793900853283</v>
      </c>
      <c r="AC238" s="150">
        <f t="shared" si="619"/>
        <v>0.21719277380923482</v>
      </c>
      <c r="AD238" s="150"/>
      <c r="AE238" s="150">
        <f t="shared" si="620"/>
        <v>2.3423793900853283</v>
      </c>
      <c r="AF238" s="314">
        <f t="shared" si="621"/>
        <v>140.88238711320741</v>
      </c>
      <c r="AG238" s="456">
        <f t="shared" si="622"/>
        <v>0.21719277380923488</v>
      </c>
      <c r="AI238" s="150">
        <f t="shared" si="623"/>
        <v>8.4592734758986179</v>
      </c>
      <c r="AJ238" s="150">
        <f t="shared" si="624"/>
        <v>13.333333333333334</v>
      </c>
      <c r="AK238" s="150">
        <f t="shared" si="625"/>
        <v>1.0805042212075471</v>
      </c>
      <c r="AM238" s="314">
        <f t="shared" si="626"/>
        <v>110</v>
      </c>
      <c r="AN238" s="144">
        <f t="shared" si="627"/>
        <v>140.88238711320741</v>
      </c>
      <c r="AP238">
        <f t="shared" si="628"/>
        <v>110</v>
      </c>
      <c r="AQ238">
        <f t="shared" si="629"/>
        <v>140.88238711320741</v>
      </c>
      <c r="AS238" s="5">
        <f t="shared" si="600"/>
        <v>7.0981193638949369</v>
      </c>
      <c r="AT238" s="5">
        <f t="shared" si="630"/>
        <v>1.2525520449458871</v>
      </c>
      <c r="AU238" s="5">
        <f t="shared" si="722"/>
        <v>5.8455673189490494</v>
      </c>
      <c r="AV238" s="5"/>
      <c r="AW238" s="150">
        <f t="shared" si="723"/>
        <v>0.17646252207550603</v>
      </c>
      <c r="AX238" s="150">
        <f t="shared" si="631"/>
        <v>18.784318281760996</v>
      </c>
      <c r="AY238" s="150">
        <f t="shared" si="632"/>
        <v>0.27451249264149802</v>
      </c>
      <c r="AZ238" s="150">
        <f t="shared" si="633"/>
        <v>68.427917800784897</v>
      </c>
      <c r="BA238" s="144">
        <f t="shared" si="594"/>
        <v>8.1047485261204449E-2</v>
      </c>
      <c r="BB238" s="5">
        <f t="shared" si="595"/>
        <v>11.409925457948795</v>
      </c>
      <c r="BD238" s="150">
        <f t="shared" si="681"/>
        <v>3.2337344271314512</v>
      </c>
      <c r="BE238" s="150">
        <f t="shared" si="682"/>
        <v>0.34929293191404581</v>
      </c>
      <c r="BG238" s="456">
        <f t="shared" si="683"/>
        <v>3.5553930373731592E-2</v>
      </c>
      <c r="BH238" s="456">
        <f t="shared" si="634"/>
        <v>1.1024744790714842</v>
      </c>
      <c r="BI238" s="456">
        <f t="shared" si="635"/>
        <v>0.10302826706196719</v>
      </c>
      <c r="BJ238" s="456">
        <f t="shared" si="684"/>
        <v>5.7953871140740784E-2</v>
      </c>
      <c r="BK238">
        <f t="shared" si="685"/>
        <v>7.1853301715609098E-3</v>
      </c>
      <c r="BL238" s="144">
        <f t="shared" si="686"/>
        <v>110.21359723352809</v>
      </c>
      <c r="BM238" s="456">
        <f t="shared" si="636"/>
        <v>1.215852897572224</v>
      </c>
      <c r="BN238" s="144">
        <f t="shared" si="687"/>
        <v>1215.852897572224</v>
      </c>
      <c r="BO238" s="456">
        <f t="shared" si="637"/>
        <v>0.27500000000000002</v>
      </c>
      <c r="BR238" s="144">
        <f t="shared" si="688"/>
        <v>275</v>
      </c>
      <c r="BS238" s="456">
        <f t="shared" si="689"/>
        <v>1.5685557517822763E-2</v>
      </c>
      <c r="BT238" s="456">
        <f t="shared" si="690"/>
        <v>2.4401110457022049E-2</v>
      </c>
      <c r="BU238" s="456">
        <f t="shared" si="691"/>
        <v>7.6464279409104243</v>
      </c>
      <c r="BV238" s="456"/>
      <c r="BW238" s="456">
        <f t="shared" si="692"/>
        <v>2.5045757709014658E-2</v>
      </c>
      <c r="BX238" s="144">
        <f t="shared" si="693"/>
        <v>7711.5603665942845</v>
      </c>
      <c r="BY238" s="150">
        <f t="shared" si="694"/>
        <v>9.2927562444137681</v>
      </c>
      <c r="BZ238" s="5">
        <f t="shared" si="695"/>
        <v>18.7</v>
      </c>
      <c r="CA238" s="150">
        <f t="shared" si="696"/>
        <v>0.66802996592133612</v>
      </c>
      <c r="CB238" s="5">
        <f t="shared" si="697"/>
        <v>66.80299659213361</v>
      </c>
      <c r="CE238" s="59">
        <f t="shared" si="638"/>
        <v>-50</v>
      </c>
      <c r="CF238">
        <f t="shared" si="639"/>
        <v>-50</v>
      </c>
      <c r="CG238" s="150">
        <f t="shared" si="640"/>
        <v>0.33067871380647684</v>
      </c>
      <c r="CI238" s="147">
        <v>22</v>
      </c>
      <c r="CJ238" s="188">
        <f t="shared" si="698"/>
        <v>0.11</v>
      </c>
      <c r="CK238" s="188"/>
      <c r="CL238" s="188">
        <f t="shared" si="641"/>
        <v>18.7</v>
      </c>
      <c r="CM238" s="465">
        <f t="shared" si="642"/>
        <v>16</v>
      </c>
      <c r="CN238" s="379">
        <f t="shared" si="643"/>
        <v>8.5350000000000001</v>
      </c>
      <c r="CO238" s="379">
        <f t="shared" si="644"/>
        <v>24.535</v>
      </c>
      <c r="CP238" s="379"/>
      <c r="CQ238" s="188">
        <f t="shared" si="645"/>
        <v>0.34787038923986141</v>
      </c>
      <c r="CR238" s="149">
        <f t="shared" si="646"/>
        <v>186.42142245771345</v>
      </c>
      <c r="CS238" s="149">
        <f t="shared" si="647"/>
        <v>18.7</v>
      </c>
      <c r="CT238" s="188">
        <f t="shared" si="648"/>
        <v>1.0965966026924321</v>
      </c>
      <c r="CU238" s="188">
        <f t="shared" si="649"/>
        <v>170</v>
      </c>
      <c r="CV238" s="188"/>
      <c r="CW238" s="149">
        <f t="shared" si="650"/>
        <v>4528.5343049679805</v>
      </c>
      <c r="CX238" s="149">
        <f t="shared" si="651"/>
        <v>170</v>
      </c>
      <c r="CY238" s="188">
        <f t="shared" si="652"/>
        <v>6.719456649091974</v>
      </c>
      <c r="CZ238" s="188">
        <f t="shared" si="653"/>
        <v>0.62994906085237257</v>
      </c>
      <c r="DA238" s="188">
        <f t="shared" si="654"/>
        <v>1.180923839910716</v>
      </c>
      <c r="DB238" s="172">
        <f t="shared" si="655"/>
        <v>278.29631139188916</v>
      </c>
      <c r="DC238" s="379">
        <f t="shared" si="656"/>
        <v>350</v>
      </c>
      <c r="DE238" s="188">
        <f t="shared" si="657"/>
        <v>13.333333333333332</v>
      </c>
      <c r="DF238" s="150">
        <f t="shared" si="658"/>
        <v>2.3432923257176332</v>
      </c>
      <c r="DG238" s="150">
        <f t="shared" si="659"/>
        <v>0.21737653692004619</v>
      </c>
      <c r="DH238" s="150"/>
      <c r="DI238" s="150">
        <f t="shared" si="660"/>
        <v>2.3432923257176337</v>
      </c>
      <c r="DJ238" s="314">
        <f t="shared" si="661"/>
        <v>140.82749999999996</v>
      </c>
      <c r="DK238" s="456">
        <f t="shared" si="662"/>
        <v>0.21737653692004627</v>
      </c>
      <c r="DM238" s="150">
        <f t="shared" si="663"/>
        <v>8.457625468855225</v>
      </c>
      <c r="DN238" s="150">
        <f t="shared" si="664"/>
        <v>13.333333333333334</v>
      </c>
      <c r="DO238" s="150">
        <f t="shared" si="665"/>
        <v>1.080472857142857</v>
      </c>
      <c r="DQ238" s="314">
        <f t="shared" si="666"/>
        <v>110</v>
      </c>
      <c r="DR238" s="144">
        <f t="shared" si="667"/>
        <v>140.82749999999996</v>
      </c>
      <c r="DT238">
        <f t="shared" si="668"/>
        <v>110</v>
      </c>
      <c r="DU238">
        <f t="shared" si="669"/>
        <v>140.82749999999996</v>
      </c>
      <c r="DW238" s="5">
        <f t="shared" si="670"/>
        <v>7.1008858355079818</v>
      </c>
      <c r="DX238" s="5">
        <f t="shared" si="671"/>
        <v>1.25</v>
      </c>
      <c r="DY238" s="5">
        <f t="shared" si="672"/>
        <v>5.8508858355079818</v>
      </c>
      <c r="DZ238" s="5"/>
      <c r="EA238" s="150">
        <f t="shared" si="673"/>
        <v>0.17603437499999994</v>
      </c>
      <c r="EB238" s="150">
        <f t="shared" si="699"/>
        <v>18.776999999999997</v>
      </c>
      <c r="EC238" s="150">
        <f t="shared" si="700"/>
        <v>0.2746552083333334</v>
      </c>
      <c r="ED238" s="150">
        <f t="shared" si="701"/>
        <v>68.365716106178553</v>
      </c>
      <c r="EE238" s="144">
        <f t="shared" si="674"/>
        <v>8.0882352941176475E-2</v>
      </c>
      <c r="EF238" s="5">
        <f t="shared" si="675"/>
        <v>11.39703803374992</v>
      </c>
      <c r="EH238" s="150">
        <f t="shared" si="702"/>
        <v>3.2298090758846199</v>
      </c>
      <c r="EI238" s="150">
        <f t="shared" si="703"/>
        <v>0.34938371668050233</v>
      </c>
      <c r="EK238" s="456">
        <f t="shared" si="704"/>
        <v>3.5467666666666647E-2</v>
      </c>
      <c r="EL238" s="456">
        <f t="shared" si="705"/>
        <v>1.4005088327999995</v>
      </c>
      <c r="EM238" s="456">
        <f t="shared" si="706"/>
        <v>3.2249497499999995E-2</v>
      </c>
      <c r="EN238" s="456">
        <f t="shared" si="707"/>
        <v>5.8069778007563418E-2</v>
      </c>
      <c r="EO238">
        <f t="shared" si="708"/>
        <v>7.1999999999999998E-3</v>
      </c>
      <c r="EP238" s="144">
        <f t="shared" si="709"/>
        <v>39.449497499999993</v>
      </c>
      <c r="EQ238" s="144"/>
      <c r="ER238" s="144">
        <f t="shared" si="710"/>
        <v>1533.4957749742298</v>
      </c>
      <c r="ES238" s="456">
        <f t="shared" si="711"/>
        <v>0.27500000000000002</v>
      </c>
      <c r="EV238" s="144">
        <f t="shared" si="712"/>
        <v>275</v>
      </c>
      <c r="EW238" s="456">
        <f t="shared" si="713"/>
        <v>1.5647499999999991E-2</v>
      </c>
      <c r="EX238" s="456">
        <f t="shared" si="714"/>
        <v>2.4413796296296308E-2</v>
      </c>
      <c r="EY238" s="456">
        <f t="shared" si="715"/>
        <v>7.6389825863038494</v>
      </c>
      <c r="EZ238" s="456"/>
      <c r="FA238" s="456">
        <f t="shared" si="716"/>
        <v>2.5035999999999999E-2</v>
      </c>
      <c r="FB238" s="144">
        <f t="shared" si="717"/>
        <v>7704.0798826001455</v>
      </c>
      <c r="FC238" s="150">
        <f t="shared" si="718"/>
        <v>9.5125756575743754</v>
      </c>
      <c r="FD238" s="5">
        <f t="shared" si="719"/>
        <v>18.7</v>
      </c>
      <c r="FE238" s="150">
        <f t="shared" si="720"/>
        <v>0.66282498368700038</v>
      </c>
      <c r="FF238" s="5">
        <f t="shared" si="721"/>
        <v>66.282498368700033</v>
      </c>
      <c r="FI238" s="59">
        <f t="shared" si="676"/>
        <v>-50</v>
      </c>
      <c r="FJ238">
        <f t="shared" si="677"/>
        <v>-50</v>
      </c>
      <c r="FL238">
        <f t="shared" si="678"/>
        <v>0.32999999999999996</v>
      </c>
    </row>
    <row r="239" spans="5:168">
      <c r="E239" s="147">
        <v>23</v>
      </c>
      <c r="F239" s="188">
        <f t="shared" si="679"/>
        <v>0.115</v>
      </c>
      <c r="G239" s="188"/>
      <c r="H239" s="188">
        <f t="shared" si="603"/>
        <v>19.55</v>
      </c>
      <c r="I239" s="465">
        <f t="shared" si="604"/>
        <v>15.967400381246467</v>
      </c>
      <c r="J239" s="149">
        <f t="shared" si="605"/>
        <v>8.5383264917095438</v>
      </c>
      <c r="K239" s="149">
        <f t="shared" si="606"/>
        <v>24.505726872956011</v>
      </c>
      <c r="L239" s="379"/>
      <c r="M239" s="188">
        <f t="shared" si="607"/>
        <v>0.34842186048293716</v>
      </c>
      <c r="N239" s="149">
        <f t="shared" si="608"/>
        <v>186.33652087932737</v>
      </c>
      <c r="O239" s="149">
        <f t="shared" si="599"/>
        <v>19.55</v>
      </c>
      <c r="P239" s="188">
        <f t="shared" si="609"/>
        <v>1.0960971816431022</v>
      </c>
      <c r="Q239" s="188">
        <f t="shared" si="610"/>
        <v>170</v>
      </c>
      <c r="R239" s="188"/>
      <c r="S239" s="149">
        <f t="shared" si="611"/>
        <v>4308.9358575874412</v>
      </c>
      <c r="T239" s="149">
        <f t="shared" si="612"/>
        <v>170</v>
      </c>
      <c r="U239" s="188">
        <f t="shared" si="613"/>
        <v>7.0597825817321498</v>
      </c>
      <c r="V239" s="188">
        <f t="shared" si="614"/>
        <v>0.66320588322164697</v>
      </c>
      <c r="W239" s="188">
        <f t="shared" si="615"/>
        <v>1.2402516913449582</v>
      </c>
      <c r="X239" s="172">
        <f t="shared" si="616"/>
        <v>278.16942216349025</v>
      </c>
      <c r="Y239" s="379">
        <f t="shared" si="680"/>
        <v>350</v>
      </c>
      <c r="AA239" s="188">
        <f t="shared" si="617"/>
        <v>13.333333333333334</v>
      </c>
      <c r="AB239" s="150">
        <f t="shared" si="618"/>
        <v>2.3423793900853283</v>
      </c>
      <c r="AC239" s="150">
        <f t="shared" si="619"/>
        <v>0.21719277380923482</v>
      </c>
      <c r="AD239" s="150"/>
      <c r="AE239" s="150">
        <f t="shared" si="620"/>
        <v>2.3423793900853283</v>
      </c>
      <c r="AF239" s="314">
        <f t="shared" si="621"/>
        <v>147.2861319819896</v>
      </c>
      <c r="AG239" s="456">
        <f t="shared" si="622"/>
        <v>0.21719277380923488</v>
      </c>
      <c r="AI239" s="150">
        <f t="shared" si="623"/>
        <v>8.6493932472981854</v>
      </c>
      <c r="AJ239" s="150">
        <f t="shared" si="624"/>
        <v>13.333333333333334</v>
      </c>
      <c r="AK239" s="150">
        <f t="shared" si="625"/>
        <v>1.0841635039897084</v>
      </c>
      <c r="AM239" s="314">
        <f t="shared" si="626"/>
        <v>115</v>
      </c>
      <c r="AN239" s="144">
        <f t="shared" si="627"/>
        <v>147.2861319819896</v>
      </c>
      <c r="AP239">
        <f t="shared" si="628"/>
        <v>115</v>
      </c>
      <c r="AQ239">
        <f t="shared" si="629"/>
        <v>147.2861319819896</v>
      </c>
      <c r="AS239" s="5">
        <f t="shared" si="600"/>
        <v>6.7895054785081985</v>
      </c>
      <c r="AT239" s="5">
        <f t="shared" si="630"/>
        <v>1.2525520449458871</v>
      </c>
      <c r="AU239" s="5">
        <f t="shared" si="722"/>
        <v>5.5369534335623118</v>
      </c>
      <c r="AV239" s="5"/>
      <c r="AW239" s="150">
        <f t="shared" si="723"/>
        <v>0.1844835458062109</v>
      </c>
      <c r="AX239" s="150">
        <f t="shared" si="631"/>
        <v>19.63815093093195</v>
      </c>
      <c r="AY239" s="150">
        <f t="shared" si="632"/>
        <v>0.27183881806459642</v>
      </c>
      <c r="AZ239" s="150">
        <f t="shared" si="633"/>
        <v>72.241893452705426</v>
      </c>
      <c r="BA239" s="144">
        <f t="shared" si="594"/>
        <v>8.4731461863986487E-2</v>
      </c>
      <c r="BB239" s="5">
        <f t="shared" si="595"/>
        <v>11.298795988656842</v>
      </c>
      <c r="BD239" s="150">
        <f t="shared" si="681"/>
        <v>3.3064116909419621</v>
      </c>
      <c r="BE239" s="150">
        <f t="shared" si="682"/>
        <v>0.34758776226034477</v>
      </c>
      <c r="BG239" s="456">
        <f t="shared" si="683"/>
        <v>3.7170018117992129E-2</v>
      </c>
      <c r="BH239" s="456">
        <f t="shared" si="634"/>
        <v>1.1525869553929158</v>
      </c>
      <c r="BI239" s="456">
        <f t="shared" si="635"/>
        <v>0.10771137011023844</v>
      </c>
      <c r="BJ239" s="456">
        <f t="shared" si="684"/>
        <v>6.0588138010774478E-2</v>
      </c>
      <c r="BK239">
        <f t="shared" si="685"/>
        <v>7.1853301715609098E-3</v>
      </c>
      <c r="BL239" s="144">
        <f t="shared" si="686"/>
        <v>114.89670028179935</v>
      </c>
      <c r="BM239" s="456">
        <f t="shared" si="636"/>
        <v>1.2716113747318076</v>
      </c>
      <c r="BN239" s="144">
        <f t="shared" si="687"/>
        <v>1271.6113747318077</v>
      </c>
      <c r="BO239" s="456">
        <f t="shared" si="637"/>
        <v>0.28750000000000003</v>
      </c>
      <c r="BR239" s="144">
        <f t="shared" si="688"/>
        <v>287.50000000000006</v>
      </c>
      <c r="BS239" s="456">
        <f t="shared" si="689"/>
        <v>1.6398537404996527E-2</v>
      </c>
      <c r="BT239" s="456">
        <f t="shared" si="690"/>
        <v>2.4163450494630794E-2</v>
      </c>
      <c r="BU239" s="456">
        <f t="shared" si="691"/>
        <v>8.5451853671642279</v>
      </c>
      <c r="BV239" s="456"/>
      <c r="BW239" s="456">
        <f t="shared" si="692"/>
        <v>2.6184201241242603E-2</v>
      </c>
      <c r="BX239" s="144">
        <f t="shared" si="693"/>
        <v>8611.9315563050986</v>
      </c>
      <c r="BY239" s="150">
        <f t="shared" si="694"/>
        <v>10.26467336810858</v>
      </c>
      <c r="BZ239" s="5">
        <f t="shared" si="695"/>
        <v>19.55</v>
      </c>
      <c r="CA239" s="150">
        <f t="shared" si="696"/>
        <v>0.65571739655252304</v>
      </c>
      <c r="CB239" s="5">
        <f t="shared" si="697"/>
        <v>65.571739655252301</v>
      </c>
      <c r="CE239" s="59">
        <f t="shared" si="638"/>
        <v>-50</v>
      </c>
      <c r="CF239">
        <f t="shared" si="639"/>
        <v>-50</v>
      </c>
      <c r="CG239" s="150">
        <f t="shared" si="640"/>
        <v>0.34570956443404399</v>
      </c>
      <c r="CI239" s="147">
        <v>23</v>
      </c>
      <c r="CJ239" s="188">
        <f t="shared" si="698"/>
        <v>0.115</v>
      </c>
      <c r="CK239" s="188"/>
      <c r="CL239" s="188">
        <f t="shared" si="641"/>
        <v>19.55</v>
      </c>
      <c r="CM239" s="465">
        <f t="shared" si="642"/>
        <v>16</v>
      </c>
      <c r="CN239" s="379">
        <f t="shared" si="643"/>
        <v>8.5350000000000001</v>
      </c>
      <c r="CO239" s="379">
        <f t="shared" si="644"/>
        <v>24.535</v>
      </c>
      <c r="CP239" s="379"/>
      <c r="CQ239" s="188">
        <f t="shared" si="645"/>
        <v>0.34787038923986141</v>
      </c>
      <c r="CR239" s="149">
        <f t="shared" si="646"/>
        <v>186.42142245771345</v>
      </c>
      <c r="CS239" s="149">
        <f t="shared" si="647"/>
        <v>19.55</v>
      </c>
      <c r="CT239" s="188">
        <f t="shared" si="648"/>
        <v>1.0965966026924321</v>
      </c>
      <c r="CU239" s="188">
        <f t="shared" si="649"/>
        <v>170</v>
      </c>
      <c r="CV239" s="188"/>
      <c r="CW239" s="149">
        <f t="shared" si="650"/>
        <v>4317.7330300869053</v>
      </c>
      <c r="CX239" s="149">
        <f t="shared" si="651"/>
        <v>170</v>
      </c>
      <c r="CY239" s="188">
        <f t="shared" si="652"/>
        <v>7.0248864967779738</v>
      </c>
      <c r="CZ239" s="188">
        <f t="shared" si="653"/>
        <v>0.65858310907293516</v>
      </c>
      <c r="DA239" s="188">
        <f t="shared" si="654"/>
        <v>1.2346021962702942</v>
      </c>
      <c r="DB239" s="172">
        <f t="shared" si="655"/>
        <v>278.29631139188916</v>
      </c>
      <c r="DC239" s="379">
        <f t="shared" si="656"/>
        <v>350</v>
      </c>
      <c r="DE239" s="188">
        <f t="shared" si="657"/>
        <v>13.333333333333332</v>
      </c>
      <c r="DF239" s="150">
        <f t="shared" si="658"/>
        <v>2.3432923257176332</v>
      </c>
      <c r="DG239" s="150">
        <f t="shared" si="659"/>
        <v>0.21737653692004619</v>
      </c>
      <c r="DH239" s="150"/>
      <c r="DI239" s="150">
        <f t="shared" si="660"/>
        <v>2.3432923257176337</v>
      </c>
      <c r="DJ239" s="314">
        <f t="shared" si="661"/>
        <v>147.22874999999996</v>
      </c>
      <c r="DK239" s="456">
        <f t="shared" si="662"/>
        <v>0.21737653692004627</v>
      </c>
      <c r="DM239" s="150">
        <f t="shared" si="663"/>
        <v>8.6477082017640452</v>
      </c>
      <c r="DN239" s="150">
        <f t="shared" si="664"/>
        <v>13.333333333333334</v>
      </c>
      <c r="DO239" s="150">
        <f t="shared" si="665"/>
        <v>1.0841307142857142</v>
      </c>
      <c r="DQ239" s="314">
        <f t="shared" si="666"/>
        <v>115</v>
      </c>
      <c r="DR239" s="144">
        <f t="shared" si="667"/>
        <v>147.22874999999996</v>
      </c>
      <c r="DT239">
        <f t="shared" si="668"/>
        <v>115</v>
      </c>
      <c r="DU239">
        <f t="shared" si="669"/>
        <v>147.22874999999996</v>
      </c>
      <c r="DW239" s="5">
        <f t="shared" si="670"/>
        <v>6.7921516687467651</v>
      </c>
      <c r="DX239" s="5">
        <f t="shared" si="671"/>
        <v>1.25</v>
      </c>
      <c r="DY239" s="5">
        <f t="shared" si="672"/>
        <v>5.5421516687467651</v>
      </c>
      <c r="DZ239" s="5"/>
      <c r="EA239" s="150">
        <f t="shared" si="673"/>
        <v>0.18403593749999994</v>
      </c>
      <c r="EB239" s="150">
        <f t="shared" si="699"/>
        <v>19.630499999999998</v>
      </c>
      <c r="EC239" s="150">
        <f t="shared" si="700"/>
        <v>0.2719880208333334</v>
      </c>
      <c r="ED239" s="150">
        <f t="shared" si="701"/>
        <v>72.174134507302497</v>
      </c>
      <c r="EE239" s="144">
        <f t="shared" si="674"/>
        <v>8.4558823529411783E-2</v>
      </c>
      <c r="EF239" s="5">
        <f t="shared" si="675"/>
        <v>11.286360950416588</v>
      </c>
      <c r="EH239" s="150">
        <f t="shared" si="702"/>
        <v>3.3023981185395153</v>
      </c>
      <c r="EI239" s="150">
        <f t="shared" si="703"/>
        <v>0.34768313852531713</v>
      </c>
      <c r="EK239" s="456">
        <f t="shared" si="704"/>
        <v>3.7079833333333319E-2</v>
      </c>
      <c r="EL239" s="456">
        <f t="shared" si="705"/>
        <v>1.4641683251999995</v>
      </c>
      <c r="EM239" s="456">
        <f t="shared" si="706"/>
        <v>3.3715383749999987E-2</v>
      </c>
      <c r="EN239" s="456">
        <f t="shared" si="707"/>
        <v>6.0709313371543575E-2</v>
      </c>
      <c r="EO239">
        <f t="shared" si="708"/>
        <v>7.1999999999999998E-3</v>
      </c>
      <c r="EP239" s="144">
        <f t="shared" si="709"/>
        <v>40.915383749999982</v>
      </c>
      <c r="EQ239" s="144"/>
      <c r="ER239" s="144">
        <f t="shared" si="710"/>
        <v>1602.8728556548763</v>
      </c>
      <c r="ES239" s="456">
        <f t="shared" si="711"/>
        <v>0.28750000000000003</v>
      </c>
      <c r="EV239" s="144">
        <f t="shared" si="712"/>
        <v>287.50000000000006</v>
      </c>
      <c r="EW239" s="456">
        <f t="shared" si="713"/>
        <v>1.6358749999999995E-2</v>
      </c>
      <c r="EX239" s="456">
        <f t="shared" si="714"/>
        <v>2.4176712962962973E-2</v>
      </c>
      <c r="EY239" s="456">
        <f t="shared" si="715"/>
        <v>8.536864889193442</v>
      </c>
      <c r="EZ239" s="456"/>
      <c r="FA239" s="456">
        <f t="shared" si="716"/>
        <v>2.6173999999999999E-2</v>
      </c>
      <c r="FB239" s="144">
        <f t="shared" si="717"/>
        <v>8603.5743521564036</v>
      </c>
      <c r="FC239" s="150">
        <f t="shared" si="718"/>
        <v>10.49394720781128</v>
      </c>
      <c r="FD239" s="5">
        <f t="shared" si="719"/>
        <v>19.55</v>
      </c>
      <c r="FE239" s="150">
        <f t="shared" si="720"/>
        <v>0.65071343205253329</v>
      </c>
      <c r="FF239" s="5">
        <f t="shared" si="721"/>
        <v>65.071343205253328</v>
      </c>
      <c r="FI239" s="59">
        <f t="shared" si="676"/>
        <v>-50</v>
      </c>
      <c r="FJ239">
        <f t="shared" si="677"/>
        <v>-50</v>
      </c>
      <c r="FL239">
        <f t="shared" si="678"/>
        <v>0.34499999999999992</v>
      </c>
    </row>
    <row r="240" spans="5:168">
      <c r="E240" s="147">
        <v>24</v>
      </c>
      <c r="F240" s="188">
        <f t="shared" si="679"/>
        <v>0.12</v>
      </c>
      <c r="G240" s="188"/>
      <c r="H240" s="188">
        <f t="shared" si="603"/>
        <v>20.399999999999999</v>
      </c>
      <c r="I240" s="465">
        <f t="shared" si="604"/>
        <v>15.967400381246467</v>
      </c>
      <c r="J240" s="149">
        <f t="shared" si="605"/>
        <v>8.5383264917095438</v>
      </c>
      <c r="K240" s="149">
        <f t="shared" si="606"/>
        <v>24.505726872956011</v>
      </c>
      <c r="L240" s="379"/>
      <c r="M240" s="188">
        <f t="shared" si="607"/>
        <v>0.34842186048293716</v>
      </c>
      <c r="N240" s="149">
        <f t="shared" si="608"/>
        <v>186.33652087932737</v>
      </c>
      <c r="O240" s="149">
        <f t="shared" si="599"/>
        <v>20.399999999999999</v>
      </c>
      <c r="P240" s="188">
        <f t="shared" si="609"/>
        <v>1.0960971816431022</v>
      </c>
      <c r="Q240" s="188">
        <f t="shared" si="610"/>
        <v>170</v>
      </c>
      <c r="R240" s="188"/>
      <c r="S240" s="149">
        <f t="shared" si="611"/>
        <v>4116.095287559564</v>
      </c>
      <c r="T240" s="149">
        <f t="shared" si="612"/>
        <v>170</v>
      </c>
      <c r="U240" s="188">
        <f t="shared" si="613"/>
        <v>7.3667296505031121</v>
      </c>
      <c r="V240" s="188">
        <f t="shared" si="614"/>
        <v>0.69204092162258801</v>
      </c>
      <c r="W240" s="188">
        <f t="shared" si="615"/>
        <v>1.2941756779251736</v>
      </c>
      <c r="X240" s="172">
        <f t="shared" si="616"/>
        <v>278.16942216349025</v>
      </c>
      <c r="Y240" s="379">
        <f t="shared" si="680"/>
        <v>350</v>
      </c>
      <c r="AA240" s="188">
        <f t="shared" si="617"/>
        <v>13.333333333333334</v>
      </c>
      <c r="AB240" s="150">
        <f t="shared" si="618"/>
        <v>2.3423793900853283</v>
      </c>
      <c r="AC240" s="150">
        <f t="shared" si="619"/>
        <v>0.21719277380923482</v>
      </c>
      <c r="AD240" s="150"/>
      <c r="AE240" s="150">
        <f t="shared" si="620"/>
        <v>2.3423793900853283</v>
      </c>
      <c r="AF240" s="314">
        <f t="shared" si="621"/>
        <v>153.68987685077175</v>
      </c>
      <c r="AG240" s="456">
        <f t="shared" si="622"/>
        <v>0.21719277380923488</v>
      </c>
      <c r="AI240" s="150">
        <f t="shared" si="623"/>
        <v>8.8354229866358391</v>
      </c>
      <c r="AJ240" s="150">
        <f t="shared" si="624"/>
        <v>13.333333333333334</v>
      </c>
      <c r="AK240" s="150">
        <f t="shared" si="625"/>
        <v>1.0878227867718695</v>
      </c>
      <c r="AM240" s="314">
        <f t="shared" si="626"/>
        <v>120</v>
      </c>
      <c r="AN240" s="144">
        <f t="shared" si="627"/>
        <v>153.68987685077175</v>
      </c>
      <c r="AP240">
        <f t="shared" si="628"/>
        <v>120</v>
      </c>
      <c r="AQ240">
        <f t="shared" si="629"/>
        <v>153.68987685077175</v>
      </c>
      <c r="AS240" s="5">
        <f t="shared" si="600"/>
        <v>6.5066094169036903</v>
      </c>
      <c r="AT240" s="5">
        <f t="shared" si="630"/>
        <v>1.2525520449458871</v>
      </c>
      <c r="AU240" s="5">
        <f t="shared" si="722"/>
        <v>5.2540573719578028</v>
      </c>
      <c r="AV240" s="5"/>
      <c r="AW240" s="150">
        <f t="shared" si="723"/>
        <v>0.19250456953691572</v>
      </c>
      <c r="AX240" s="150">
        <f t="shared" si="631"/>
        <v>20.491983580102904</v>
      </c>
      <c r="AY240" s="150">
        <f t="shared" si="632"/>
        <v>0.26916514348769477</v>
      </c>
      <c r="AZ240" s="150">
        <f t="shared" si="633"/>
        <v>76.131639166123009</v>
      </c>
      <c r="BA240" s="144">
        <f t="shared" si="594"/>
        <v>8.8415438466768512E-2</v>
      </c>
      <c r="BB240" s="5">
        <f t="shared" si="595"/>
        <v>11.187666519364889</v>
      </c>
      <c r="BD240" s="150">
        <f t="shared" si="681"/>
        <v>3.3775254543497066</v>
      </c>
      <c r="BE240" s="150">
        <f t="shared" si="682"/>
        <v>0.34587418617352422</v>
      </c>
      <c r="BG240" s="456">
        <f t="shared" si="683"/>
        <v>3.8786105862252652E-2</v>
      </c>
      <c r="BH240" s="456">
        <f t="shared" si="634"/>
        <v>1.2026994317143469</v>
      </c>
      <c r="BI240" s="456">
        <f t="shared" si="635"/>
        <v>0.11239447315850969</v>
      </c>
      <c r="BJ240" s="456">
        <f t="shared" si="684"/>
        <v>6.3222404880808145E-2</v>
      </c>
      <c r="BK240">
        <f t="shared" si="685"/>
        <v>7.1853301715609098E-3</v>
      </c>
      <c r="BL240" s="144">
        <f t="shared" si="686"/>
        <v>119.57980333007059</v>
      </c>
      <c r="BM240" s="456">
        <f t="shared" si="636"/>
        <v>1.3274130707311294</v>
      </c>
      <c r="BN240" s="144">
        <f t="shared" si="687"/>
        <v>1327.4130707311294</v>
      </c>
      <c r="BO240" s="456">
        <f t="shared" si="637"/>
        <v>0.3</v>
      </c>
      <c r="BR240" s="144">
        <f t="shared" si="688"/>
        <v>300</v>
      </c>
      <c r="BS240" s="456">
        <f t="shared" si="689"/>
        <v>1.7111517292170288E-2</v>
      </c>
      <c r="BT240" s="456">
        <f t="shared" si="690"/>
        <v>2.3925790532239539E-2</v>
      </c>
      <c r="BU240" s="456">
        <f t="shared" si="691"/>
        <v>9.5045159178768106</v>
      </c>
      <c r="BV240" s="456"/>
      <c r="BW240" s="456">
        <f t="shared" si="692"/>
        <v>2.7322644773470541E-2</v>
      </c>
      <c r="BX240" s="144">
        <f t="shared" si="693"/>
        <v>9572.8758704746906</v>
      </c>
      <c r="BY240" s="150">
        <f t="shared" si="694"/>
        <v>11.29716361626217</v>
      </c>
      <c r="BZ240" s="5">
        <f t="shared" si="695"/>
        <v>20.399999999999999</v>
      </c>
      <c r="CA240" s="150">
        <f t="shared" si="696"/>
        <v>0.64359070883975933</v>
      </c>
      <c r="CB240" s="5">
        <f t="shared" si="697"/>
        <v>64.359070883975932</v>
      </c>
      <c r="CE240" s="59">
        <f t="shared" si="638"/>
        <v>-50</v>
      </c>
      <c r="CF240">
        <f t="shared" si="639"/>
        <v>-50</v>
      </c>
      <c r="CG240" s="150">
        <f t="shared" si="640"/>
        <v>0.36074041506161109</v>
      </c>
      <c r="CI240" s="147">
        <v>24</v>
      </c>
      <c r="CJ240" s="188">
        <f t="shared" si="698"/>
        <v>0.12</v>
      </c>
      <c r="CK240" s="188"/>
      <c r="CL240" s="188">
        <f t="shared" si="641"/>
        <v>20.399999999999999</v>
      </c>
      <c r="CM240" s="465">
        <f t="shared" si="642"/>
        <v>16</v>
      </c>
      <c r="CN240" s="379">
        <f t="shared" si="643"/>
        <v>8.5350000000000001</v>
      </c>
      <c r="CO240" s="379">
        <f t="shared" si="644"/>
        <v>24.535</v>
      </c>
      <c r="CP240" s="379"/>
      <c r="CQ240" s="188">
        <f t="shared" si="645"/>
        <v>0.34787038923986141</v>
      </c>
      <c r="CR240" s="149">
        <f t="shared" si="646"/>
        <v>186.42142245771345</v>
      </c>
      <c r="CS240" s="149">
        <f t="shared" si="647"/>
        <v>20.399999999999999</v>
      </c>
      <c r="CT240" s="188">
        <f t="shared" si="648"/>
        <v>1.0965966026924321</v>
      </c>
      <c r="CU240" s="188">
        <f t="shared" si="649"/>
        <v>170</v>
      </c>
      <c r="CV240" s="188"/>
      <c r="CW240" s="149">
        <f t="shared" si="650"/>
        <v>4124.4987448585225</v>
      </c>
      <c r="CX240" s="149">
        <f t="shared" si="651"/>
        <v>170</v>
      </c>
      <c r="CY240" s="188">
        <f t="shared" si="652"/>
        <v>7.3303163444639718</v>
      </c>
      <c r="CZ240" s="188">
        <f t="shared" si="653"/>
        <v>0.68721715729349742</v>
      </c>
      <c r="DA240" s="188">
        <f t="shared" si="654"/>
        <v>1.2882805526298722</v>
      </c>
      <c r="DB240" s="172">
        <f t="shared" si="655"/>
        <v>278.29631139188916</v>
      </c>
      <c r="DC240" s="379">
        <f t="shared" si="656"/>
        <v>350</v>
      </c>
      <c r="DE240" s="188">
        <f t="shared" si="657"/>
        <v>13.333333333333332</v>
      </c>
      <c r="DF240" s="150">
        <f t="shared" si="658"/>
        <v>2.3432923257176332</v>
      </c>
      <c r="DG240" s="150">
        <f t="shared" si="659"/>
        <v>0.21737653692004619</v>
      </c>
      <c r="DH240" s="150"/>
      <c r="DI240" s="150">
        <f t="shared" si="660"/>
        <v>2.3432923257176337</v>
      </c>
      <c r="DJ240" s="314">
        <f t="shared" si="661"/>
        <v>153.62999999999994</v>
      </c>
      <c r="DK240" s="456">
        <f t="shared" si="662"/>
        <v>0.21737653692004627</v>
      </c>
      <c r="DM240" s="150">
        <f t="shared" si="663"/>
        <v>8.8337016994171638</v>
      </c>
      <c r="DN240" s="150">
        <f t="shared" si="664"/>
        <v>13.333333333333334</v>
      </c>
      <c r="DO240" s="150">
        <f t="shared" si="665"/>
        <v>1.0877885714285713</v>
      </c>
      <c r="DQ240" s="314">
        <f t="shared" si="666"/>
        <v>120</v>
      </c>
      <c r="DR240" s="144">
        <f t="shared" si="667"/>
        <v>153.62999999999994</v>
      </c>
      <c r="DT240">
        <f t="shared" si="668"/>
        <v>120</v>
      </c>
      <c r="DU240">
        <f t="shared" si="669"/>
        <v>153.62999999999994</v>
      </c>
      <c r="DW240" s="5">
        <f t="shared" si="670"/>
        <v>6.5091453492156504</v>
      </c>
      <c r="DX240" s="5">
        <f t="shared" si="671"/>
        <v>1.25</v>
      </c>
      <c r="DY240" s="5">
        <f t="shared" si="672"/>
        <v>5.2591453492156504</v>
      </c>
      <c r="DZ240" s="5"/>
      <c r="EA240" s="150">
        <f t="shared" si="673"/>
        <v>0.19203749999999992</v>
      </c>
      <c r="EB240" s="150">
        <f t="shared" si="699"/>
        <v>20.483999999999995</v>
      </c>
      <c r="EC240" s="150">
        <f t="shared" si="700"/>
        <v>0.2693208333333334</v>
      </c>
      <c r="ED240" s="150">
        <f t="shared" si="701"/>
        <v>76.057985364419721</v>
      </c>
      <c r="EE240" s="144">
        <f t="shared" si="674"/>
        <v>8.8235294117647051E-2</v>
      </c>
      <c r="EF240" s="5">
        <f t="shared" si="675"/>
        <v>11.175683867083254</v>
      </c>
      <c r="EH240" s="150">
        <f t="shared" si="702"/>
        <v>3.3734255586865998</v>
      </c>
      <c r="EI240" s="150">
        <f t="shared" si="703"/>
        <v>0.34597420156443487</v>
      </c>
      <c r="EK240" s="456">
        <f t="shared" si="704"/>
        <v>3.869199999999999E-2</v>
      </c>
      <c r="EL240" s="456">
        <f t="shared" si="705"/>
        <v>1.5278278175999993</v>
      </c>
      <c r="EM240" s="456">
        <f t="shared" si="706"/>
        <v>3.5181269999999987E-2</v>
      </c>
      <c r="EN240" s="456">
        <f t="shared" si="707"/>
        <v>6.3348848735523725E-2</v>
      </c>
      <c r="EO240">
        <f t="shared" si="708"/>
        <v>7.1999999999999998E-3</v>
      </c>
      <c r="EP240" s="144">
        <f t="shared" si="709"/>
        <v>42.381269999999986</v>
      </c>
      <c r="EQ240" s="144"/>
      <c r="ER240" s="144">
        <f t="shared" si="710"/>
        <v>1672.2499363355232</v>
      </c>
      <c r="ES240" s="456">
        <f t="shared" si="711"/>
        <v>0.3</v>
      </c>
      <c r="EV240" s="144">
        <f t="shared" si="712"/>
        <v>300</v>
      </c>
      <c r="EW240" s="456">
        <f t="shared" si="713"/>
        <v>1.7069999999999995E-2</v>
      </c>
      <c r="EX240" s="456">
        <f t="shared" si="714"/>
        <v>2.3939629629629644E-2</v>
      </c>
      <c r="EY240" s="456">
        <f t="shared" si="715"/>
        <v>9.495261336270941</v>
      </c>
      <c r="EZ240" s="456"/>
      <c r="FA240" s="456">
        <f t="shared" si="716"/>
        <v>2.7311999999999996E-2</v>
      </c>
      <c r="FB240" s="144">
        <f t="shared" si="717"/>
        <v>9563.5829659005703</v>
      </c>
      <c r="FC240" s="150">
        <f t="shared" si="718"/>
        <v>11.535832902236093</v>
      </c>
      <c r="FD240" s="5">
        <f t="shared" si="719"/>
        <v>20.399999999999999</v>
      </c>
      <c r="FE240" s="150">
        <f t="shared" si="720"/>
        <v>0.63878089738413002</v>
      </c>
      <c r="FF240" s="5">
        <f t="shared" si="721"/>
        <v>63.878089738413003</v>
      </c>
      <c r="FI240" s="59">
        <f t="shared" si="676"/>
        <v>-50</v>
      </c>
      <c r="FJ240">
        <f t="shared" si="677"/>
        <v>-50</v>
      </c>
      <c r="FL240">
        <f t="shared" si="678"/>
        <v>0.35999999999999988</v>
      </c>
    </row>
    <row r="241" spans="5:168">
      <c r="E241" s="147">
        <v>25</v>
      </c>
      <c r="F241" s="188">
        <f t="shared" si="679"/>
        <v>0.125</v>
      </c>
      <c r="G241" s="188"/>
      <c r="H241" s="188">
        <f t="shared" si="603"/>
        <v>21.25</v>
      </c>
      <c r="I241" s="465">
        <f t="shared" si="604"/>
        <v>15.967400381246467</v>
      </c>
      <c r="J241" s="149">
        <f t="shared" si="605"/>
        <v>8.5383264917095438</v>
      </c>
      <c r="K241" s="149">
        <f t="shared" si="606"/>
        <v>24.505726872956011</v>
      </c>
      <c r="L241" s="379"/>
      <c r="M241" s="188">
        <f t="shared" si="607"/>
        <v>0.34842186048293716</v>
      </c>
      <c r="N241" s="149">
        <f t="shared" si="608"/>
        <v>186.33652087932737</v>
      </c>
      <c r="O241" s="149">
        <f t="shared" si="599"/>
        <v>21.25</v>
      </c>
      <c r="P241" s="188">
        <f t="shared" si="609"/>
        <v>1.0960971816431022</v>
      </c>
      <c r="Q241" s="188">
        <f t="shared" si="610"/>
        <v>170</v>
      </c>
      <c r="R241" s="188"/>
      <c r="S241" s="149">
        <f t="shared" si="611"/>
        <v>3938.6821732280496</v>
      </c>
      <c r="T241" s="149">
        <f t="shared" si="612"/>
        <v>170</v>
      </c>
      <c r="U241" s="188">
        <f t="shared" si="613"/>
        <v>7.6736767192740754</v>
      </c>
      <c r="V241" s="188">
        <f t="shared" si="614"/>
        <v>0.72087596002352916</v>
      </c>
      <c r="W241" s="188">
        <f t="shared" si="615"/>
        <v>1.3480996645053891</v>
      </c>
      <c r="X241" s="172">
        <f t="shared" si="616"/>
        <v>278.16942216349025</v>
      </c>
      <c r="Y241" s="379">
        <f t="shared" si="680"/>
        <v>350</v>
      </c>
      <c r="AA241" s="188">
        <f t="shared" si="617"/>
        <v>13.333333333333334</v>
      </c>
      <c r="AB241" s="150">
        <f t="shared" si="618"/>
        <v>2.3423793900853283</v>
      </c>
      <c r="AC241" s="150">
        <f t="shared" si="619"/>
        <v>0.21719277380923482</v>
      </c>
      <c r="AD241" s="150"/>
      <c r="AE241" s="150">
        <f t="shared" si="620"/>
        <v>2.3423793900853283</v>
      </c>
      <c r="AF241" s="314">
        <f t="shared" si="621"/>
        <v>160.09362171955388</v>
      </c>
      <c r="AG241" s="456">
        <f t="shared" si="622"/>
        <v>0.21719277380923488</v>
      </c>
      <c r="AI241" s="150">
        <f t="shared" si="623"/>
        <v>9.0176158245480007</v>
      </c>
      <c r="AJ241" s="150">
        <f t="shared" si="624"/>
        <v>13.333333333333334</v>
      </c>
      <c r="AK241" s="150">
        <f t="shared" si="625"/>
        <v>1.0914820695540308</v>
      </c>
      <c r="AM241" s="314">
        <f t="shared" si="626"/>
        <v>125</v>
      </c>
      <c r="AN241" s="144">
        <f t="shared" si="627"/>
        <v>160.09362171955388</v>
      </c>
      <c r="AP241">
        <f t="shared" si="628"/>
        <v>125</v>
      </c>
      <c r="AQ241">
        <f t="shared" si="629"/>
        <v>160.09362171955388</v>
      </c>
      <c r="AS241" s="5">
        <f t="shared" si="600"/>
        <v>6.2463450402275438</v>
      </c>
      <c r="AT241" s="5">
        <f t="shared" si="630"/>
        <v>1.2525520449458871</v>
      </c>
      <c r="AU241" s="5">
        <f t="shared" si="722"/>
        <v>4.9937929952816571</v>
      </c>
      <c r="AV241" s="5"/>
      <c r="AW241" s="150">
        <f t="shared" si="723"/>
        <v>0.20052559326762051</v>
      </c>
      <c r="AX241" s="150">
        <f t="shared" si="631"/>
        <v>21.345816229273858</v>
      </c>
      <c r="AY241" s="150">
        <f t="shared" si="632"/>
        <v>0.26649146891079317</v>
      </c>
      <c r="AZ241" s="150">
        <f t="shared" si="633"/>
        <v>80.099435514835463</v>
      </c>
      <c r="BA241" s="144">
        <f t="shared" si="594"/>
        <v>9.2099415069550522E-2</v>
      </c>
      <c r="BB241" s="5">
        <f t="shared" si="595"/>
        <v>11.076537050072943</v>
      </c>
      <c r="BD241" s="150">
        <f t="shared" si="681"/>
        <v>3.4471724818411249</v>
      </c>
      <c r="BE241" s="150">
        <f t="shared" si="682"/>
        <v>0.34415207808357257</v>
      </c>
      <c r="BG241" s="456">
        <f t="shared" si="683"/>
        <v>4.0402193606513176E-2</v>
      </c>
      <c r="BH241" s="456">
        <f t="shared" si="634"/>
        <v>1.2528119080357776</v>
      </c>
      <c r="BI241" s="456">
        <f t="shared" si="635"/>
        <v>0.1170775762067809</v>
      </c>
      <c r="BJ241" s="456">
        <f t="shared" si="684"/>
        <v>6.5856671750841797E-2</v>
      </c>
      <c r="BK241">
        <f t="shared" si="685"/>
        <v>7.1853301715609098E-3</v>
      </c>
      <c r="BL241" s="144">
        <f t="shared" si="686"/>
        <v>124.26290637834181</v>
      </c>
      <c r="BM241" s="456">
        <f t="shared" si="636"/>
        <v>1.3832580358385707</v>
      </c>
      <c r="BN241" s="144">
        <f t="shared" si="687"/>
        <v>1383.2580358385705</v>
      </c>
      <c r="BO241" s="456">
        <f t="shared" si="637"/>
        <v>0.3125</v>
      </c>
      <c r="BR241" s="144">
        <f t="shared" si="688"/>
        <v>312.5</v>
      </c>
      <c r="BS241" s="456">
        <f t="shared" si="689"/>
        <v>1.7824497179344052E-2</v>
      </c>
      <c r="BT241" s="456">
        <f t="shared" si="690"/>
        <v>2.3688130569848288E-2</v>
      </c>
      <c r="BU241" s="456">
        <f t="shared" si="691"/>
        <v>10.525722588866582</v>
      </c>
      <c r="BV241" s="456"/>
      <c r="BW241" s="456">
        <f t="shared" si="692"/>
        <v>2.8461088305698476E-2</v>
      </c>
      <c r="BX241" s="144">
        <f t="shared" si="693"/>
        <v>10595.696304921474</v>
      </c>
      <c r="BY241" s="150">
        <f t="shared" si="694"/>
        <v>12.391529984692948</v>
      </c>
      <c r="BZ241" s="5">
        <f t="shared" si="695"/>
        <v>21.25</v>
      </c>
      <c r="CA241" s="150">
        <f t="shared" si="696"/>
        <v>0.63165973752290239</v>
      </c>
      <c r="CB241" s="5">
        <f t="shared" si="697"/>
        <v>63.165973752290242</v>
      </c>
      <c r="CE241" s="59">
        <f t="shared" si="638"/>
        <v>-50</v>
      </c>
      <c r="CF241">
        <f t="shared" si="639"/>
        <v>-50</v>
      </c>
      <c r="CG241" s="150">
        <f t="shared" si="640"/>
        <v>0.37577126568917824</v>
      </c>
      <c r="CI241" s="147">
        <v>25</v>
      </c>
      <c r="CJ241" s="188">
        <f t="shared" si="698"/>
        <v>0.125</v>
      </c>
      <c r="CK241" s="188"/>
      <c r="CL241" s="188">
        <f t="shared" si="641"/>
        <v>21.25</v>
      </c>
      <c r="CM241" s="465">
        <f t="shared" si="642"/>
        <v>16</v>
      </c>
      <c r="CN241" s="379">
        <f t="shared" si="643"/>
        <v>8.5350000000000001</v>
      </c>
      <c r="CO241" s="379">
        <f t="shared" si="644"/>
        <v>24.535</v>
      </c>
      <c r="CP241" s="379"/>
      <c r="CQ241" s="188">
        <f t="shared" si="645"/>
        <v>0.34787038923986141</v>
      </c>
      <c r="CR241" s="149">
        <f t="shared" si="646"/>
        <v>186.42142245771345</v>
      </c>
      <c r="CS241" s="149">
        <f t="shared" si="647"/>
        <v>21.25</v>
      </c>
      <c r="CT241" s="188">
        <f t="shared" si="648"/>
        <v>1.0965966026924321</v>
      </c>
      <c r="CU241" s="188">
        <f t="shared" si="649"/>
        <v>170</v>
      </c>
      <c r="CV241" s="188"/>
      <c r="CW241" s="149">
        <f t="shared" si="650"/>
        <v>3946.7234125427976</v>
      </c>
      <c r="CX241" s="149">
        <f t="shared" si="651"/>
        <v>170</v>
      </c>
      <c r="CY241" s="188">
        <f t="shared" si="652"/>
        <v>7.6357461921499707</v>
      </c>
      <c r="CZ241" s="188">
        <f t="shared" si="653"/>
        <v>0.71585120551405979</v>
      </c>
      <c r="DA241" s="188">
        <f t="shared" si="654"/>
        <v>1.3419589089894501</v>
      </c>
      <c r="DB241" s="172">
        <f t="shared" si="655"/>
        <v>278.29631139188916</v>
      </c>
      <c r="DC241" s="379">
        <f t="shared" si="656"/>
        <v>350</v>
      </c>
      <c r="DE241" s="188">
        <f t="shared" si="657"/>
        <v>13.333333333333332</v>
      </c>
      <c r="DF241" s="150">
        <f t="shared" si="658"/>
        <v>2.3432923257176332</v>
      </c>
      <c r="DG241" s="150">
        <f t="shared" si="659"/>
        <v>0.21737653692004619</v>
      </c>
      <c r="DH241" s="150"/>
      <c r="DI241" s="150">
        <f t="shared" si="660"/>
        <v>2.3432923257176337</v>
      </c>
      <c r="DJ241" s="314">
        <f t="shared" si="661"/>
        <v>160.03124999999994</v>
      </c>
      <c r="DK241" s="456">
        <f t="shared" si="662"/>
        <v>0.21737653692004627</v>
      </c>
      <c r="DM241" s="150">
        <f t="shared" si="663"/>
        <v>9.0158590431369472</v>
      </c>
      <c r="DN241" s="150">
        <f t="shared" si="664"/>
        <v>13.333333333333334</v>
      </c>
      <c r="DO241" s="150">
        <f t="shared" si="665"/>
        <v>1.0914464285714285</v>
      </c>
      <c r="DQ241" s="314">
        <f t="shared" si="666"/>
        <v>125</v>
      </c>
      <c r="DR241" s="144">
        <f t="shared" si="667"/>
        <v>160.03124999999994</v>
      </c>
      <c r="DT241">
        <f t="shared" si="668"/>
        <v>125</v>
      </c>
      <c r="DU241">
        <f t="shared" si="669"/>
        <v>160.03124999999994</v>
      </c>
      <c r="DW241" s="5">
        <f t="shared" si="670"/>
        <v>6.2487795352470243</v>
      </c>
      <c r="DX241" s="5">
        <f t="shared" si="671"/>
        <v>1.25</v>
      </c>
      <c r="DY241" s="5">
        <f t="shared" si="672"/>
        <v>4.9987795352470243</v>
      </c>
      <c r="DZ241" s="5"/>
      <c r="EA241" s="150">
        <f t="shared" si="673"/>
        <v>0.20003906249999992</v>
      </c>
      <c r="EB241" s="150">
        <f t="shared" si="699"/>
        <v>21.337499999999999</v>
      </c>
      <c r="EC241" s="150">
        <f t="shared" si="700"/>
        <v>0.2666536458333334</v>
      </c>
      <c r="ED241" s="150">
        <f t="shared" si="701"/>
        <v>80.019532203720857</v>
      </c>
      <c r="EE241" s="144">
        <f t="shared" si="674"/>
        <v>9.1911764705882346E-2</v>
      </c>
      <c r="EF241" s="5">
        <f t="shared" si="675"/>
        <v>11.065006783749922</v>
      </c>
      <c r="EH241" s="150">
        <f t="shared" si="702"/>
        <v>3.4429880433522659</v>
      </c>
      <c r="EI241" s="150">
        <f t="shared" si="703"/>
        <v>0.34425678131517107</v>
      </c>
      <c r="EK241" s="456">
        <f t="shared" si="704"/>
        <v>4.0304166666666655E-2</v>
      </c>
      <c r="EL241" s="456">
        <f t="shared" si="705"/>
        <v>1.5914873099999993</v>
      </c>
      <c r="EM241" s="456">
        <f t="shared" si="706"/>
        <v>3.6647156249999986E-2</v>
      </c>
      <c r="EN241" s="456">
        <f t="shared" si="707"/>
        <v>6.5988384099503875E-2</v>
      </c>
      <c r="EO241">
        <f t="shared" si="708"/>
        <v>7.1999999999999998E-3</v>
      </c>
      <c r="EP241" s="144">
        <f t="shared" si="709"/>
        <v>43.847156249999983</v>
      </c>
      <c r="EQ241" s="144"/>
      <c r="ER241" s="144">
        <f t="shared" si="710"/>
        <v>1741.6270170161699</v>
      </c>
      <c r="ES241" s="456">
        <f t="shared" si="711"/>
        <v>0.3125</v>
      </c>
      <c r="EV241" s="144">
        <f t="shared" si="712"/>
        <v>312.5</v>
      </c>
      <c r="EW241" s="456">
        <f t="shared" si="713"/>
        <v>1.7781249999999998E-2</v>
      </c>
      <c r="EX241" s="456">
        <f t="shared" si="714"/>
        <v>2.3702546296296305E-2</v>
      </c>
      <c r="EY241" s="456">
        <f t="shared" si="715"/>
        <v>10.515473654622999</v>
      </c>
      <c r="EZ241" s="456"/>
      <c r="FA241" s="456">
        <f t="shared" si="716"/>
        <v>2.8449999999999996E-2</v>
      </c>
      <c r="FB241" s="144">
        <f t="shared" si="717"/>
        <v>10585.407450919294</v>
      </c>
      <c r="FC241" s="150">
        <f t="shared" si="718"/>
        <v>12.639534467935466</v>
      </c>
      <c r="FD241" s="5">
        <f t="shared" si="719"/>
        <v>21.25</v>
      </c>
      <c r="FE241" s="150">
        <f t="shared" si="720"/>
        <v>0.62703723534785227</v>
      </c>
      <c r="FF241" s="5">
        <f t="shared" si="721"/>
        <v>62.703723534785226</v>
      </c>
      <c r="FI241" s="59">
        <f t="shared" si="676"/>
        <v>-50</v>
      </c>
      <c r="FJ241">
        <f t="shared" si="677"/>
        <v>-50</v>
      </c>
      <c r="FL241">
        <f t="shared" si="678"/>
        <v>0.37499999999999989</v>
      </c>
    </row>
    <row r="242" spans="5:168">
      <c r="E242" s="147">
        <v>26</v>
      </c>
      <c r="F242" s="188">
        <f t="shared" si="679"/>
        <v>0.13</v>
      </c>
      <c r="G242" s="188"/>
      <c r="H242" s="188">
        <f t="shared" si="603"/>
        <v>22.1</v>
      </c>
      <c r="I242" s="465">
        <f t="shared" si="604"/>
        <v>15.967400381246467</v>
      </c>
      <c r="J242" s="149">
        <f t="shared" si="605"/>
        <v>8.5383264917095438</v>
      </c>
      <c r="K242" s="149">
        <f t="shared" si="606"/>
        <v>24.505726872956011</v>
      </c>
      <c r="L242" s="379"/>
      <c r="M242" s="188">
        <f t="shared" si="607"/>
        <v>0.34842186048293716</v>
      </c>
      <c r="N242" s="149">
        <f t="shared" si="608"/>
        <v>186.33652087932737</v>
      </c>
      <c r="O242" s="149">
        <f t="shared" si="599"/>
        <v>22.1</v>
      </c>
      <c r="P242" s="188">
        <f t="shared" si="609"/>
        <v>1.0960971816431022</v>
      </c>
      <c r="Q242" s="188">
        <f t="shared" si="610"/>
        <v>170</v>
      </c>
      <c r="R242" s="188"/>
      <c r="S242" s="149">
        <f t="shared" si="611"/>
        <v>3774.9164255167693</v>
      </c>
      <c r="T242" s="149">
        <f t="shared" si="612"/>
        <v>170</v>
      </c>
      <c r="U242" s="188">
        <f t="shared" si="613"/>
        <v>7.9806237880450386</v>
      </c>
      <c r="V242" s="188">
        <f t="shared" si="614"/>
        <v>0.74971099842447042</v>
      </c>
      <c r="W242" s="188">
        <f t="shared" si="615"/>
        <v>1.4020236510856048</v>
      </c>
      <c r="X242" s="172">
        <f t="shared" si="616"/>
        <v>278.16942216349025</v>
      </c>
      <c r="Y242" s="379">
        <f t="shared" si="680"/>
        <v>350</v>
      </c>
      <c r="AA242" s="188">
        <f t="shared" si="617"/>
        <v>13.333333333333334</v>
      </c>
      <c r="AB242" s="150">
        <f t="shared" si="618"/>
        <v>2.3423793900853283</v>
      </c>
      <c r="AC242" s="150">
        <f t="shared" si="619"/>
        <v>0.21719277380923482</v>
      </c>
      <c r="AD242" s="150"/>
      <c r="AE242" s="150">
        <f t="shared" si="620"/>
        <v>2.3423793900853283</v>
      </c>
      <c r="AF242" s="314">
        <f t="shared" si="621"/>
        <v>166.49736658833606</v>
      </c>
      <c r="AG242" s="456">
        <f t="shared" si="622"/>
        <v>0.21719277380923488</v>
      </c>
      <c r="AI242" s="150">
        <f t="shared" si="623"/>
        <v>9.1961998110906684</v>
      </c>
      <c r="AJ242" s="150">
        <f t="shared" si="624"/>
        <v>13.333333333333334</v>
      </c>
      <c r="AK242" s="150">
        <f t="shared" si="625"/>
        <v>1.0951413523361921</v>
      </c>
      <c r="AM242" s="314">
        <f t="shared" si="626"/>
        <v>130</v>
      </c>
      <c r="AN242" s="144">
        <f t="shared" si="627"/>
        <v>166.49736658833606</v>
      </c>
      <c r="AP242">
        <f t="shared" si="628"/>
        <v>130</v>
      </c>
      <c r="AQ242">
        <f t="shared" si="629"/>
        <v>166.49736658833606</v>
      </c>
      <c r="AS242" s="5">
        <f t="shared" si="600"/>
        <v>6.0061010002187913</v>
      </c>
      <c r="AT242" s="5">
        <f t="shared" si="630"/>
        <v>1.2525520449458871</v>
      </c>
      <c r="AU242" s="5">
        <f t="shared" si="722"/>
        <v>4.7535489552729047</v>
      </c>
      <c r="AV242" s="5"/>
      <c r="AW242" s="150">
        <f t="shared" si="723"/>
        <v>0.20854661699832536</v>
      </c>
      <c r="AX242" s="150">
        <f t="shared" si="631"/>
        <v>22.199648878444815</v>
      </c>
      <c r="AY242" s="150">
        <f t="shared" si="632"/>
        <v>0.26381779433389158</v>
      </c>
      <c r="AZ242" s="150">
        <f t="shared" si="633"/>
        <v>84.14765552299562</v>
      </c>
      <c r="BA242" s="144">
        <f t="shared" si="594"/>
        <v>9.5783391672332546E-2</v>
      </c>
      <c r="BB242" s="5">
        <f t="shared" si="595"/>
        <v>10.965407580780992</v>
      </c>
      <c r="BD242" s="150">
        <f t="shared" si="681"/>
        <v>3.5154399503255926</v>
      </c>
      <c r="BE242" s="150">
        <f t="shared" si="682"/>
        <v>0.34242130926285114</v>
      </c>
      <c r="BG242" s="456">
        <f t="shared" si="683"/>
        <v>4.2018281350773699E-2</v>
      </c>
      <c r="BH242" s="456">
        <f t="shared" si="634"/>
        <v>1.3029243843572089</v>
      </c>
      <c r="BI242" s="456">
        <f t="shared" si="635"/>
        <v>0.12176067925505214</v>
      </c>
      <c r="BJ242" s="456">
        <f t="shared" si="684"/>
        <v>6.8490938620875491E-2</v>
      </c>
      <c r="BK242">
        <f t="shared" si="685"/>
        <v>7.1853301715609098E-3</v>
      </c>
      <c r="BL242" s="144">
        <f t="shared" si="686"/>
        <v>128.94600942661305</v>
      </c>
      <c r="BM242" s="456">
        <f t="shared" si="636"/>
        <v>1.4391463204005022</v>
      </c>
      <c r="BN242" s="144">
        <f t="shared" si="687"/>
        <v>1439.1463204005022</v>
      </c>
      <c r="BO242" s="456">
        <f t="shared" si="637"/>
        <v>0.32500000000000001</v>
      </c>
      <c r="BR242" s="144">
        <f t="shared" si="688"/>
        <v>325</v>
      </c>
      <c r="BS242" s="456">
        <f t="shared" si="689"/>
        <v>1.8537477066517809E-2</v>
      </c>
      <c r="BT242" s="456">
        <f t="shared" si="690"/>
        <v>2.345047060745703E-2</v>
      </c>
      <c r="BU242" s="456">
        <f t="shared" si="691"/>
        <v>11.610081489823854</v>
      </c>
      <c r="BV242" s="456"/>
      <c r="BW242" s="456">
        <f t="shared" si="692"/>
        <v>2.9599531837926418E-2</v>
      </c>
      <c r="BX242" s="144">
        <f t="shared" si="693"/>
        <v>11681.668969335755</v>
      </c>
      <c r="BY242" s="150">
        <f t="shared" si="694"/>
        <v>13.549048583091226</v>
      </c>
      <c r="BZ242" s="5">
        <f t="shared" si="695"/>
        <v>22.1</v>
      </c>
      <c r="CA242" s="150">
        <f t="shared" si="696"/>
        <v>0.61993239310409809</v>
      </c>
      <c r="CB242" s="5">
        <f t="shared" si="697"/>
        <v>61.993239310409805</v>
      </c>
      <c r="CE242" s="59">
        <f t="shared" si="638"/>
        <v>-50</v>
      </c>
      <c r="CF242">
        <f t="shared" si="639"/>
        <v>-50</v>
      </c>
      <c r="CG242" s="150">
        <f t="shared" si="640"/>
        <v>0.39080211631674538</v>
      </c>
      <c r="CI242" s="147">
        <v>26</v>
      </c>
      <c r="CJ242" s="188">
        <f t="shared" si="698"/>
        <v>0.13</v>
      </c>
      <c r="CK242" s="188"/>
      <c r="CL242" s="188">
        <f t="shared" si="641"/>
        <v>22.1</v>
      </c>
      <c r="CM242" s="465">
        <f t="shared" si="642"/>
        <v>16</v>
      </c>
      <c r="CN242" s="379">
        <f t="shared" si="643"/>
        <v>8.5350000000000001</v>
      </c>
      <c r="CO242" s="379">
        <f t="shared" si="644"/>
        <v>24.535</v>
      </c>
      <c r="CP242" s="379"/>
      <c r="CQ242" s="188">
        <f t="shared" si="645"/>
        <v>0.34787038923986141</v>
      </c>
      <c r="CR242" s="149">
        <f t="shared" si="646"/>
        <v>186.42142245771345</v>
      </c>
      <c r="CS242" s="149">
        <f t="shared" si="647"/>
        <v>22.1</v>
      </c>
      <c r="CT242" s="188">
        <f t="shared" si="648"/>
        <v>1.0965966026924321</v>
      </c>
      <c r="CU242" s="188">
        <f t="shared" si="649"/>
        <v>170</v>
      </c>
      <c r="CV242" s="188"/>
      <c r="CW242" s="149">
        <f t="shared" si="650"/>
        <v>3782.6233097694253</v>
      </c>
      <c r="CX242" s="149">
        <f t="shared" si="651"/>
        <v>170</v>
      </c>
      <c r="CY242" s="188">
        <f t="shared" si="652"/>
        <v>7.9411760398359705</v>
      </c>
      <c r="CZ242" s="188">
        <f t="shared" si="653"/>
        <v>0.74448525373462227</v>
      </c>
      <c r="DA242" s="188">
        <f t="shared" si="654"/>
        <v>1.3956372653490281</v>
      </c>
      <c r="DB242" s="172">
        <f t="shared" si="655"/>
        <v>278.29631139188916</v>
      </c>
      <c r="DC242" s="379">
        <f t="shared" si="656"/>
        <v>350</v>
      </c>
      <c r="DE242" s="188">
        <f t="shared" si="657"/>
        <v>13.333333333333332</v>
      </c>
      <c r="DF242" s="150">
        <f t="shared" si="658"/>
        <v>2.3432923257176332</v>
      </c>
      <c r="DG242" s="150">
        <f t="shared" si="659"/>
        <v>0.21737653692004619</v>
      </c>
      <c r="DH242" s="150"/>
      <c r="DI242" s="150">
        <f t="shared" si="660"/>
        <v>2.3432923257176337</v>
      </c>
      <c r="DJ242" s="314">
        <f t="shared" si="661"/>
        <v>166.43249999999998</v>
      </c>
      <c r="DK242" s="456">
        <f t="shared" si="662"/>
        <v>0.21737653692004627</v>
      </c>
      <c r="DM242" s="150">
        <f t="shared" si="663"/>
        <v>9.1944082385514534</v>
      </c>
      <c r="DN242" s="150">
        <f t="shared" si="664"/>
        <v>13.333333333333334</v>
      </c>
      <c r="DO242" s="150">
        <f t="shared" si="665"/>
        <v>1.0951042857142856</v>
      </c>
      <c r="DQ242" s="314">
        <f t="shared" si="666"/>
        <v>130</v>
      </c>
      <c r="DR242" s="144">
        <f t="shared" si="667"/>
        <v>166.43249999999998</v>
      </c>
      <c r="DT242">
        <f t="shared" si="668"/>
        <v>130</v>
      </c>
      <c r="DU242">
        <f t="shared" si="669"/>
        <v>166.43249999999998</v>
      </c>
      <c r="DW242" s="5">
        <f t="shared" si="670"/>
        <v>6.0084418608144459</v>
      </c>
      <c r="DX242" s="5">
        <f t="shared" si="671"/>
        <v>1.25</v>
      </c>
      <c r="DY242" s="5">
        <f t="shared" si="672"/>
        <v>4.7584418608144459</v>
      </c>
      <c r="DZ242" s="5"/>
      <c r="EA242" s="150">
        <f t="shared" si="673"/>
        <v>0.20804062499999995</v>
      </c>
      <c r="EB242" s="150">
        <f t="shared" si="699"/>
        <v>22.191000000000003</v>
      </c>
      <c r="EC242" s="150">
        <f t="shared" si="700"/>
        <v>0.2639864583333334</v>
      </c>
      <c r="ED242" s="150">
        <f t="shared" si="701"/>
        <v>84.061130029554846</v>
      </c>
      <c r="EE242" s="144">
        <f t="shared" si="674"/>
        <v>9.5588235294117654E-2</v>
      </c>
      <c r="EF242" s="5">
        <f t="shared" si="675"/>
        <v>10.954329700416588</v>
      </c>
      <c r="EH242" s="150">
        <f t="shared" si="702"/>
        <v>3.5111726436239694</v>
      </c>
      <c r="EI242" s="150">
        <f t="shared" si="703"/>
        <v>0.34253075017407542</v>
      </c>
      <c r="EK242" s="456">
        <f t="shared" si="704"/>
        <v>4.1916333333333333E-2</v>
      </c>
      <c r="EL242" s="456">
        <f t="shared" si="705"/>
        <v>1.6551468023999998</v>
      </c>
      <c r="EM242" s="456">
        <f t="shared" si="706"/>
        <v>3.8113042499999993E-2</v>
      </c>
      <c r="EN242" s="456">
        <f t="shared" si="707"/>
        <v>6.8627919463484052E-2</v>
      </c>
      <c r="EO242">
        <f t="shared" si="708"/>
        <v>7.1999999999999998E-3</v>
      </c>
      <c r="EP242" s="144">
        <f t="shared" si="709"/>
        <v>45.313042499999987</v>
      </c>
      <c r="EQ242" s="144"/>
      <c r="ER242" s="144">
        <f t="shared" si="710"/>
        <v>1811.0040976968171</v>
      </c>
      <c r="ES242" s="456">
        <f t="shared" si="711"/>
        <v>0.32500000000000001</v>
      </c>
      <c r="EV242" s="144">
        <f t="shared" si="712"/>
        <v>325</v>
      </c>
      <c r="EW242" s="456">
        <f t="shared" si="713"/>
        <v>1.8492500000000002E-2</v>
      </c>
      <c r="EX242" s="456">
        <f t="shared" si="714"/>
        <v>2.3465462962962976E-2</v>
      </c>
      <c r="EY242" s="456">
        <f t="shared" si="715"/>
        <v>11.598776711387272</v>
      </c>
      <c r="EZ242" s="456"/>
      <c r="FA242" s="456">
        <f t="shared" si="716"/>
        <v>2.9588000000000003E-2</v>
      </c>
      <c r="FB242" s="144">
        <f t="shared" si="717"/>
        <v>11670.322674350235</v>
      </c>
      <c r="FC242" s="150">
        <f t="shared" si="718"/>
        <v>13.806326772047052</v>
      </c>
      <c r="FD242" s="5">
        <f t="shared" si="719"/>
        <v>22.1</v>
      </c>
      <c r="FE242" s="150">
        <f t="shared" si="720"/>
        <v>0.61549041594543652</v>
      </c>
      <c r="FF242" s="5">
        <f t="shared" si="721"/>
        <v>61.549041594543652</v>
      </c>
      <c r="FI242" s="59">
        <f t="shared" si="676"/>
        <v>-50</v>
      </c>
      <c r="FJ242">
        <f t="shared" si="677"/>
        <v>-50</v>
      </c>
      <c r="FL242">
        <f t="shared" si="678"/>
        <v>0.38999999999999996</v>
      </c>
    </row>
    <row r="243" spans="5:168">
      <c r="E243" s="147">
        <v>27</v>
      </c>
      <c r="F243" s="188">
        <f t="shared" si="679"/>
        <v>0.13500000000000001</v>
      </c>
      <c r="G243" s="188"/>
      <c r="H243" s="188">
        <f t="shared" si="603"/>
        <v>22.950000000000003</v>
      </c>
      <c r="I243" s="465">
        <f t="shared" si="604"/>
        <v>15.967400381246467</v>
      </c>
      <c r="J243" s="149">
        <f t="shared" si="605"/>
        <v>8.5383264917095438</v>
      </c>
      <c r="K243" s="149">
        <f t="shared" si="606"/>
        <v>24.505726872956011</v>
      </c>
      <c r="L243" s="379"/>
      <c r="M243" s="188">
        <f t="shared" si="607"/>
        <v>0.34842186048293716</v>
      </c>
      <c r="N243" s="149">
        <f t="shared" si="608"/>
        <v>186.33652087932737</v>
      </c>
      <c r="O243" s="149">
        <f t="shared" si="599"/>
        <v>22.950000000000003</v>
      </c>
      <c r="P243" s="188">
        <f t="shared" si="609"/>
        <v>1.0960971816431022</v>
      </c>
      <c r="Q243" s="188">
        <f t="shared" si="610"/>
        <v>170</v>
      </c>
      <c r="R243" s="188"/>
      <c r="S243" s="149">
        <f t="shared" si="611"/>
        <v>3623.2816722743364</v>
      </c>
      <c r="T243" s="149">
        <f t="shared" si="612"/>
        <v>170</v>
      </c>
      <c r="U243" s="188">
        <f t="shared" si="613"/>
        <v>8.2875708568160018</v>
      </c>
      <c r="V243" s="188">
        <f t="shared" si="614"/>
        <v>0.77854603682541168</v>
      </c>
      <c r="W243" s="188">
        <f t="shared" si="615"/>
        <v>1.4559476376658207</v>
      </c>
      <c r="X243" s="172">
        <f t="shared" si="616"/>
        <v>278.16942216349025</v>
      </c>
      <c r="Y243" s="379">
        <f t="shared" si="680"/>
        <v>350</v>
      </c>
      <c r="AA243" s="188">
        <f t="shared" si="617"/>
        <v>13.333333333333334</v>
      </c>
      <c r="AB243" s="150">
        <f t="shared" si="618"/>
        <v>2.3423793900853283</v>
      </c>
      <c r="AC243" s="150">
        <f t="shared" si="619"/>
        <v>0.21719277380923482</v>
      </c>
      <c r="AD243" s="150"/>
      <c r="AE243" s="150">
        <f t="shared" si="620"/>
        <v>2.3423793900853283</v>
      </c>
      <c r="AF243" s="314">
        <f t="shared" si="621"/>
        <v>172.90111145711822</v>
      </c>
      <c r="AG243" s="456">
        <f t="shared" si="622"/>
        <v>0.21719277380923488</v>
      </c>
      <c r="AI243" s="150">
        <f t="shared" si="623"/>
        <v>9.3713812627525517</v>
      </c>
      <c r="AJ243" s="150">
        <f t="shared" si="624"/>
        <v>13.333333333333334</v>
      </c>
      <c r="AK243" s="150">
        <f t="shared" si="625"/>
        <v>1.0988006351183532</v>
      </c>
      <c r="AM243" s="314">
        <f t="shared" si="626"/>
        <v>135</v>
      </c>
      <c r="AN243" s="144">
        <f t="shared" si="627"/>
        <v>172.90111145711822</v>
      </c>
      <c r="AP243">
        <f t="shared" si="628"/>
        <v>135</v>
      </c>
      <c r="AQ243">
        <f t="shared" si="629"/>
        <v>172.90111145711822</v>
      </c>
      <c r="AS243" s="5">
        <f t="shared" si="600"/>
        <v>5.7836528150255031</v>
      </c>
      <c r="AT243" s="5">
        <f t="shared" si="630"/>
        <v>1.2525520449458871</v>
      </c>
      <c r="AU243" s="5">
        <f t="shared" si="722"/>
        <v>4.5311007700796164</v>
      </c>
      <c r="AV243" s="5"/>
      <c r="AW243" s="150">
        <f t="shared" si="723"/>
        <v>0.21656764072903018</v>
      </c>
      <c r="AX243" s="150">
        <f t="shared" si="631"/>
        <v>23.053481527615769</v>
      </c>
      <c r="AY243" s="150">
        <f t="shared" si="632"/>
        <v>0.26114411975698998</v>
      </c>
      <c r="AZ243" s="150">
        <f t="shared" si="633"/>
        <v>88.278769397788452</v>
      </c>
      <c r="BA243" s="144">
        <f t="shared" si="594"/>
        <v>9.9467368275114557E-2</v>
      </c>
      <c r="BB243" s="5">
        <f t="shared" si="595"/>
        <v>10.854278111489041</v>
      </c>
      <c r="BD243" s="150">
        <f t="shared" si="681"/>
        <v>3.5824067286012791</v>
      </c>
      <c r="BE243" s="150">
        <f t="shared" si="682"/>
        <v>0.34068174771379944</v>
      </c>
      <c r="BG243" s="456">
        <f t="shared" si="683"/>
        <v>4.3634369095034237E-2</v>
      </c>
      <c r="BH243" s="456">
        <f t="shared" si="634"/>
        <v>1.35303686067864</v>
      </c>
      <c r="BI243" s="456">
        <f t="shared" si="635"/>
        <v>0.1264437823033234</v>
      </c>
      <c r="BJ243" s="456">
        <f t="shared" si="684"/>
        <v>7.1125205490909171E-2</v>
      </c>
      <c r="BK243">
        <f t="shared" si="685"/>
        <v>7.1853301715609098E-3</v>
      </c>
      <c r="BL243" s="144">
        <f t="shared" si="686"/>
        <v>133.62911247488432</v>
      </c>
      <c r="BM243" s="456">
        <f t="shared" si="636"/>
        <v>1.4950779748414313</v>
      </c>
      <c r="BN243" s="144">
        <f t="shared" si="687"/>
        <v>1495.0779748414313</v>
      </c>
      <c r="BO243" s="456">
        <f t="shared" si="637"/>
        <v>0.33750000000000002</v>
      </c>
      <c r="BR243" s="144">
        <f t="shared" si="688"/>
        <v>337.5</v>
      </c>
      <c r="BS243" s="456">
        <f t="shared" si="689"/>
        <v>1.9250456953691576E-2</v>
      </c>
      <c r="BT243" s="456">
        <f t="shared" si="690"/>
        <v>2.3212810645065779E-2</v>
      </c>
      <c r="BU243" s="456">
        <f t="shared" si="691"/>
        <v>12.758843443394996</v>
      </c>
      <c r="BV243" s="456"/>
      <c r="BW243" s="456">
        <f t="shared" si="692"/>
        <v>3.0737975370154356E-2</v>
      </c>
      <c r="BX243" s="144">
        <f t="shared" si="693"/>
        <v>12832.044686363908</v>
      </c>
      <c r="BY243" s="150">
        <f t="shared" si="694"/>
        <v>14.770970234103375</v>
      </c>
      <c r="BZ243" s="5">
        <f t="shared" si="695"/>
        <v>22.950000000000003</v>
      </c>
      <c r="CA243" s="150">
        <f t="shared" si="696"/>
        <v>0.60841489117506853</v>
      </c>
      <c r="CB243" s="5">
        <f t="shared" si="697"/>
        <v>60.841489117506853</v>
      </c>
      <c r="CE243" s="59">
        <f t="shared" si="638"/>
        <v>-50</v>
      </c>
      <c r="CF243">
        <f t="shared" si="639"/>
        <v>-50</v>
      </c>
      <c r="CG243" s="150">
        <f t="shared" si="640"/>
        <v>0.40583296694431253</v>
      </c>
      <c r="CI243" s="147">
        <v>27</v>
      </c>
      <c r="CJ243" s="188">
        <f t="shared" si="698"/>
        <v>0.13500000000000001</v>
      </c>
      <c r="CK243" s="188"/>
      <c r="CL243" s="188">
        <f t="shared" si="641"/>
        <v>22.950000000000003</v>
      </c>
      <c r="CM243" s="465">
        <f t="shared" si="642"/>
        <v>16</v>
      </c>
      <c r="CN243" s="379">
        <f t="shared" si="643"/>
        <v>8.5350000000000001</v>
      </c>
      <c r="CO243" s="379">
        <f t="shared" si="644"/>
        <v>24.535</v>
      </c>
      <c r="CP243" s="379"/>
      <c r="CQ243" s="188">
        <f t="shared" si="645"/>
        <v>0.34787038923986141</v>
      </c>
      <c r="CR243" s="149">
        <f t="shared" si="646"/>
        <v>186.42142245771345</v>
      </c>
      <c r="CS243" s="149">
        <f t="shared" si="647"/>
        <v>22.950000000000003</v>
      </c>
      <c r="CT243" s="188">
        <f t="shared" si="648"/>
        <v>1.0965966026924321</v>
      </c>
      <c r="CU243" s="188">
        <f t="shared" si="649"/>
        <v>170</v>
      </c>
      <c r="CV243" s="188"/>
      <c r="CW243" s="149">
        <f t="shared" si="650"/>
        <v>3630.6789685067993</v>
      </c>
      <c r="CX243" s="149">
        <f t="shared" si="651"/>
        <v>170</v>
      </c>
      <c r="CY243" s="188">
        <f t="shared" si="652"/>
        <v>8.2466058875219694</v>
      </c>
      <c r="CZ243" s="188">
        <f t="shared" si="653"/>
        <v>0.77311930195518463</v>
      </c>
      <c r="DA243" s="188">
        <f t="shared" si="654"/>
        <v>1.4493156217086063</v>
      </c>
      <c r="DB243" s="172">
        <f t="shared" si="655"/>
        <v>278.29631139188916</v>
      </c>
      <c r="DC243" s="379">
        <f t="shared" si="656"/>
        <v>350</v>
      </c>
      <c r="DE243" s="188">
        <f t="shared" si="657"/>
        <v>13.333333333333332</v>
      </c>
      <c r="DF243" s="150">
        <f t="shared" si="658"/>
        <v>2.3432923257176332</v>
      </c>
      <c r="DG243" s="150">
        <f t="shared" si="659"/>
        <v>0.21737653692004619</v>
      </c>
      <c r="DH243" s="150"/>
      <c r="DI243" s="150">
        <f t="shared" si="660"/>
        <v>2.3432923257176337</v>
      </c>
      <c r="DJ243" s="314">
        <f t="shared" si="661"/>
        <v>172.83374999999998</v>
      </c>
      <c r="DK243" s="456">
        <f t="shared" si="662"/>
        <v>0.21737653692004627</v>
      </c>
      <c r="DM243" s="150">
        <f t="shared" si="663"/>
        <v>9.3695555619555098</v>
      </c>
      <c r="DN243" s="150">
        <f t="shared" si="664"/>
        <v>13.333333333333334</v>
      </c>
      <c r="DO243" s="150">
        <f t="shared" si="665"/>
        <v>1.0987621428571428</v>
      </c>
      <c r="DQ243" s="314">
        <f t="shared" si="666"/>
        <v>135</v>
      </c>
      <c r="DR243" s="144">
        <f t="shared" si="667"/>
        <v>172.83374999999998</v>
      </c>
      <c r="DT243">
        <f t="shared" si="668"/>
        <v>135</v>
      </c>
      <c r="DU243">
        <f t="shared" si="669"/>
        <v>172.83374999999998</v>
      </c>
      <c r="DW243" s="5">
        <f t="shared" si="670"/>
        <v>5.7859069770805762</v>
      </c>
      <c r="DX243" s="5">
        <f t="shared" si="671"/>
        <v>1.25</v>
      </c>
      <c r="DY243" s="5">
        <f t="shared" si="672"/>
        <v>4.5359069770805762</v>
      </c>
      <c r="DZ243" s="5"/>
      <c r="EA243" s="150">
        <f t="shared" si="673"/>
        <v>0.21604218749999998</v>
      </c>
      <c r="EB243" s="150">
        <f t="shared" si="699"/>
        <v>23.044500000000003</v>
      </c>
      <c r="EC243" s="150">
        <f t="shared" si="700"/>
        <v>0.26131927083333334</v>
      </c>
      <c r="ED243" s="150">
        <f t="shared" si="701"/>
        <v>88.18522999284481</v>
      </c>
      <c r="EE243" s="144">
        <f t="shared" si="674"/>
        <v>9.9264705882352949E-2</v>
      </c>
      <c r="EF243" s="5">
        <f t="shared" si="675"/>
        <v>10.843652617083253</v>
      </c>
      <c r="EH243" s="150">
        <f t="shared" si="702"/>
        <v>3.5780581325629686</v>
      </c>
      <c r="EI243" s="150">
        <f t="shared" si="703"/>
        <v>0.34079597730628836</v>
      </c>
      <c r="EK243" s="456">
        <f t="shared" si="704"/>
        <v>4.3528499999999991E-2</v>
      </c>
      <c r="EL243" s="456">
        <f t="shared" si="705"/>
        <v>1.7188062947999998</v>
      </c>
      <c r="EM243" s="456">
        <f t="shared" si="706"/>
        <v>3.9578928749999992E-2</v>
      </c>
      <c r="EN243" s="456">
        <f t="shared" si="707"/>
        <v>7.1267454827464202E-2</v>
      </c>
      <c r="EO243">
        <f t="shared" si="708"/>
        <v>7.1999999999999998E-3</v>
      </c>
      <c r="EP243" s="144">
        <f t="shared" si="709"/>
        <v>46.778928749999992</v>
      </c>
      <c r="EQ243" s="144"/>
      <c r="ER243" s="144">
        <f t="shared" si="710"/>
        <v>1880.381178377464</v>
      </c>
      <c r="ES243" s="456">
        <f t="shared" si="711"/>
        <v>0.33750000000000002</v>
      </c>
      <c r="EV243" s="144">
        <f t="shared" si="712"/>
        <v>337.5</v>
      </c>
      <c r="EW243" s="456">
        <f t="shared" si="713"/>
        <v>1.9203749999999999E-2</v>
      </c>
      <c r="EX243" s="456">
        <f t="shared" si="714"/>
        <v>2.3228379629629644E-2</v>
      </c>
      <c r="EY243" s="456">
        <f t="shared" si="715"/>
        <v>12.746420111279669</v>
      </c>
      <c r="EZ243" s="456"/>
      <c r="FA243" s="456">
        <f t="shared" si="716"/>
        <v>3.0726000000000003E-2</v>
      </c>
      <c r="FB243" s="144">
        <f t="shared" si="717"/>
        <v>12819.578240909297</v>
      </c>
      <c r="FC243" s="150">
        <f t="shared" si="718"/>
        <v>15.037459419286762</v>
      </c>
      <c r="FD243" s="5">
        <f t="shared" si="719"/>
        <v>22.950000000000003</v>
      </c>
      <c r="FE243" s="150">
        <f t="shared" si="720"/>
        <v>0.60414674607978569</v>
      </c>
      <c r="FF243" s="5">
        <f t="shared" si="721"/>
        <v>60.414674607978569</v>
      </c>
      <c r="FI243" s="59">
        <f t="shared" si="676"/>
        <v>-50</v>
      </c>
      <c r="FJ243">
        <f t="shared" si="677"/>
        <v>-50</v>
      </c>
      <c r="FL243">
        <f t="shared" si="678"/>
        <v>0.40499999999999997</v>
      </c>
    </row>
    <row r="244" spans="5:168">
      <c r="E244" s="147">
        <v>28</v>
      </c>
      <c r="F244" s="188">
        <f t="shared" si="679"/>
        <v>0.14000000000000001</v>
      </c>
      <c r="G244" s="188"/>
      <c r="H244" s="188">
        <f t="shared" si="603"/>
        <v>23.8</v>
      </c>
      <c r="I244" s="465">
        <f t="shared" si="604"/>
        <v>15.967400381246467</v>
      </c>
      <c r="J244" s="149">
        <f t="shared" si="605"/>
        <v>8.5383264917095438</v>
      </c>
      <c r="K244" s="149">
        <f t="shared" si="606"/>
        <v>24.505726872956011</v>
      </c>
      <c r="L244" s="379"/>
      <c r="M244" s="188">
        <f t="shared" si="607"/>
        <v>0.34842186048293716</v>
      </c>
      <c r="N244" s="149">
        <f t="shared" si="608"/>
        <v>186.33652087932737</v>
      </c>
      <c r="O244" s="149">
        <f t="shared" si="599"/>
        <v>23.8</v>
      </c>
      <c r="P244" s="188">
        <f t="shared" si="609"/>
        <v>1.0960971816431022</v>
      </c>
      <c r="Q244" s="188">
        <f t="shared" si="610"/>
        <v>170</v>
      </c>
      <c r="R244" s="188"/>
      <c r="S244" s="149">
        <f t="shared" si="611"/>
        <v>3482.4781659665023</v>
      </c>
      <c r="T244" s="149">
        <f t="shared" si="612"/>
        <v>170</v>
      </c>
      <c r="U244" s="188">
        <f t="shared" si="613"/>
        <v>8.594517925586965</v>
      </c>
      <c r="V244" s="188">
        <f t="shared" si="614"/>
        <v>0.80738107522635283</v>
      </c>
      <c r="W244" s="188">
        <f t="shared" si="615"/>
        <v>1.5098716242460362</v>
      </c>
      <c r="X244" s="172">
        <f t="shared" si="616"/>
        <v>278.16942216349025</v>
      </c>
      <c r="Y244" s="379">
        <f t="shared" si="680"/>
        <v>350</v>
      </c>
      <c r="AA244" s="188">
        <f t="shared" si="617"/>
        <v>13.333333333333334</v>
      </c>
      <c r="AB244" s="150">
        <f t="shared" si="618"/>
        <v>2.3423793900853283</v>
      </c>
      <c r="AC244" s="150">
        <f t="shared" si="619"/>
        <v>0.21719277380923482</v>
      </c>
      <c r="AD244" s="150"/>
      <c r="AE244" s="150">
        <f t="shared" si="620"/>
        <v>2.3423793900853283</v>
      </c>
      <c r="AF244" s="314">
        <f t="shared" si="621"/>
        <v>179.30485632590037</v>
      </c>
      <c r="AG244" s="456">
        <f t="shared" si="622"/>
        <v>0.21719277380923488</v>
      </c>
      <c r="AI244" s="150">
        <f t="shared" si="623"/>
        <v>9.5433475561898682</v>
      </c>
      <c r="AJ244" s="150">
        <f t="shared" si="624"/>
        <v>13.333333333333334</v>
      </c>
      <c r="AK244" s="150">
        <f t="shared" si="625"/>
        <v>1.1024599179005146</v>
      </c>
      <c r="AM244" s="314">
        <f t="shared" si="626"/>
        <v>140</v>
      </c>
      <c r="AN244" s="144">
        <f t="shared" si="627"/>
        <v>179.30485632590037</v>
      </c>
      <c r="AP244">
        <f t="shared" si="628"/>
        <v>140</v>
      </c>
      <c r="AQ244">
        <f t="shared" si="629"/>
        <v>179.30485632590037</v>
      </c>
      <c r="AS244" s="5">
        <f t="shared" si="600"/>
        <v>5.577093785917449</v>
      </c>
      <c r="AT244" s="5">
        <f t="shared" si="630"/>
        <v>1.2525520449458871</v>
      </c>
      <c r="AU244" s="5">
        <f t="shared" si="722"/>
        <v>4.3245417409715614</v>
      </c>
      <c r="AV244" s="5"/>
      <c r="AW244" s="150">
        <f t="shared" si="723"/>
        <v>0.22458866445973499</v>
      </c>
      <c r="AX244" s="150">
        <f t="shared" si="631"/>
        <v>23.907314176786723</v>
      </c>
      <c r="AY244" s="150">
        <f t="shared" si="632"/>
        <v>0.25847044518008838</v>
      </c>
      <c r="AZ244" s="150">
        <f t="shared" si="633"/>
        <v>92.495349555843362</v>
      </c>
      <c r="BA244" s="144">
        <f t="shared" si="594"/>
        <v>0.10315134487789661</v>
      </c>
      <c r="BB244" s="5">
        <f t="shared" si="595"/>
        <v>10.743148642197088</v>
      </c>
      <c r="BD244" s="150">
        <f t="shared" si="681"/>
        <v>3.6481444453187737</v>
      </c>
      <c r="BE244" s="150">
        <f t="shared" si="682"/>
        <v>0.33893325805145269</v>
      </c>
      <c r="BG244" s="456">
        <f t="shared" si="683"/>
        <v>4.525045683929476E-2</v>
      </c>
      <c r="BH244" s="456">
        <f t="shared" si="634"/>
        <v>1.4031493370000712</v>
      </c>
      <c r="BI244" s="456">
        <f t="shared" si="635"/>
        <v>0.13112688535159461</v>
      </c>
      <c r="BJ244" s="456">
        <f t="shared" si="684"/>
        <v>7.3759472360942838E-2</v>
      </c>
      <c r="BK244">
        <f t="shared" si="685"/>
        <v>7.1853301715609098E-3</v>
      </c>
      <c r="BL244" s="144">
        <f t="shared" si="686"/>
        <v>138.31221552315554</v>
      </c>
      <c r="BM244" s="456">
        <f t="shared" si="636"/>
        <v>1.5510530496641564</v>
      </c>
      <c r="BN244" s="144">
        <f t="shared" si="687"/>
        <v>1551.0530496641563</v>
      </c>
      <c r="BO244" s="456">
        <f t="shared" si="637"/>
        <v>0.35000000000000003</v>
      </c>
      <c r="BR244" s="144">
        <f t="shared" si="688"/>
        <v>350.00000000000006</v>
      </c>
      <c r="BS244" s="456">
        <f t="shared" si="689"/>
        <v>1.9963436840865337E-2</v>
      </c>
      <c r="BT244" s="456">
        <f t="shared" si="690"/>
        <v>2.2975150682674528E-2</v>
      </c>
      <c r="BU244" s="456">
        <f t="shared" si="691"/>
        <v>13.973235431735306</v>
      </c>
      <c r="BV244" s="456"/>
      <c r="BW244" s="456">
        <f t="shared" si="692"/>
        <v>3.1876418902382297E-2</v>
      </c>
      <c r="BX244" s="144">
        <f t="shared" si="693"/>
        <v>14048.050438161228</v>
      </c>
      <c r="BY244" s="150">
        <f t="shared" si="694"/>
        <v>16.058521919884694</v>
      </c>
      <c r="BZ244" s="5">
        <f t="shared" si="695"/>
        <v>23.8</v>
      </c>
      <c r="CA244" s="150">
        <f t="shared" si="696"/>
        <v>0.59711195632988623</v>
      </c>
      <c r="CB244" s="5">
        <f t="shared" si="697"/>
        <v>59.71119563298862</v>
      </c>
      <c r="CE244" s="59">
        <f t="shared" si="638"/>
        <v>-50</v>
      </c>
      <c r="CF244">
        <f t="shared" si="639"/>
        <v>-50</v>
      </c>
      <c r="CG244" s="150">
        <f t="shared" si="640"/>
        <v>0.42086381757187968</v>
      </c>
      <c r="CI244" s="147">
        <v>28</v>
      </c>
      <c r="CJ244" s="188">
        <f t="shared" si="698"/>
        <v>0.14000000000000001</v>
      </c>
      <c r="CK244" s="188"/>
      <c r="CL244" s="188">
        <f t="shared" si="641"/>
        <v>23.8</v>
      </c>
      <c r="CM244" s="465">
        <f t="shared" si="642"/>
        <v>16</v>
      </c>
      <c r="CN244" s="379">
        <f t="shared" si="643"/>
        <v>8.5350000000000001</v>
      </c>
      <c r="CO244" s="379">
        <f t="shared" si="644"/>
        <v>24.535</v>
      </c>
      <c r="CP244" s="379"/>
      <c r="CQ244" s="188">
        <f t="shared" si="645"/>
        <v>0.34787038923986141</v>
      </c>
      <c r="CR244" s="149">
        <f t="shared" si="646"/>
        <v>186.42142245771345</v>
      </c>
      <c r="CS244" s="149">
        <f t="shared" si="647"/>
        <v>23.8</v>
      </c>
      <c r="CT244" s="188">
        <f t="shared" si="648"/>
        <v>1.0965966026924321</v>
      </c>
      <c r="CU244" s="188">
        <f t="shared" si="649"/>
        <v>170</v>
      </c>
      <c r="CV244" s="188"/>
      <c r="CW244" s="149">
        <f t="shared" si="650"/>
        <v>3489.5879876090557</v>
      </c>
      <c r="CX244" s="149">
        <f t="shared" si="651"/>
        <v>170</v>
      </c>
      <c r="CY244" s="188">
        <f t="shared" si="652"/>
        <v>8.5520357352079674</v>
      </c>
      <c r="CZ244" s="188">
        <f t="shared" si="653"/>
        <v>0.801753350175747</v>
      </c>
      <c r="DA244" s="188">
        <f t="shared" si="654"/>
        <v>1.5029939780681842</v>
      </c>
      <c r="DB244" s="172">
        <f t="shared" si="655"/>
        <v>278.29631139188916</v>
      </c>
      <c r="DC244" s="379">
        <f t="shared" si="656"/>
        <v>350</v>
      </c>
      <c r="DE244" s="188">
        <f t="shared" si="657"/>
        <v>13.333333333333332</v>
      </c>
      <c r="DF244" s="150">
        <f t="shared" si="658"/>
        <v>2.3432923257176332</v>
      </c>
      <c r="DG244" s="150">
        <f t="shared" si="659"/>
        <v>0.21737653692004619</v>
      </c>
      <c r="DH244" s="150"/>
      <c r="DI244" s="150">
        <f t="shared" si="660"/>
        <v>2.3432923257176337</v>
      </c>
      <c r="DJ244" s="314">
        <f t="shared" si="661"/>
        <v>179.23499999999996</v>
      </c>
      <c r="DK244" s="456">
        <f t="shared" si="662"/>
        <v>0.21737653692004627</v>
      </c>
      <c r="DM244" s="150">
        <f t="shared" si="663"/>
        <v>9.5414883535012507</v>
      </c>
      <c r="DN244" s="150">
        <f t="shared" si="664"/>
        <v>13.333333333333334</v>
      </c>
      <c r="DO244" s="150">
        <f t="shared" si="665"/>
        <v>1.10242</v>
      </c>
      <c r="DQ244" s="314">
        <f t="shared" si="666"/>
        <v>140</v>
      </c>
      <c r="DR244" s="144">
        <f t="shared" si="667"/>
        <v>179.23499999999996</v>
      </c>
      <c r="DT244">
        <f t="shared" si="668"/>
        <v>140</v>
      </c>
      <c r="DU244">
        <f t="shared" si="669"/>
        <v>179.23499999999996</v>
      </c>
      <c r="DW244" s="5">
        <f t="shared" si="670"/>
        <v>5.5792674421848423</v>
      </c>
      <c r="DX244" s="5">
        <f t="shared" si="671"/>
        <v>1.25</v>
      </c>
      <c r="DY244" s="5">
        <f t="shared" si="672"/>
        <v>4.3292674421848423</v>
      </c>
      <c r="DZ244" s="5"/>
      <c r="EA244" s="150">
        <f t="shared" si="673"/>
        <v>0.22404374999999996</v>
      </c>
      <c r="EB244" s="150">
        <f t="shared" si="699"/>
        <v>23.898</v>
      </c>
      <c r="EC244" s="150">
        <f t="shared" si="700"/>
        <v>0.25865208333333339</v>
      </c>
      <c r="ED244" s="150">
        <f t="shared" si="701"/>
        <v>92.39438434834436</v>
      </c>
      <c r="EE244" s="144">
        <f t="shared" si="674"/>
        <v>0.10294117647058824</v>
      </c>
      <c r="EF244" s="5">
        <f t="shared" si="675"/>
        <v>10.73297553374992</v>
      </c>
      <c r="EH244" s="150">
        <f t="shared" si="702"/>
        <v>3.643716051871587</v>
      </c>
      <c r="EI244" s="150">
        <f t="shared" si="703"/>
        <v>0.3390523285298031</v>
      </c>
      <c r="EK244" s="456">
        <f t="shared" si="704"/>
        <v>4.5140666666666662E-2</v>
      </c>
      <c r="EL244" s="456">
        <f t="shared" si="705"/>
        <v>1.7824657871999996</v>
      </c>
      <c r="EM244" s="456">
        <f t="shared" si="706"/>
        <v>4.1044814999999991E-2</v>
      </c>
      <c r="EN244" s="456">
        <f t="shared" si="707"/>
        <v>7.3906990191444366E-2</v>
      </c>
      <c r="EO244">
        <f t="shared" si="708"/>
        <v>7.1999999999999998E-3</v>
      </c>
      <c r="EP244" s="144">
        <f t="shared" si="709"/>
        <v>48.244814999999988</v>
      </c>
      <c r="EQ244" s="144"/>
      <c r="ER244" s="144">
        <f t="shared" si="710"/>
        <v>1949.7582590581108</v>
      </c>
      <c r="ES244" s="456">
        <f t="shared" si="711"/>
        <v>0.35000000000000003</v>
      </c>
      <c r="EV244" s="144">
        <f t="shared" si="712"/>
        <v>350.00000000000006</v>
      </c>
      <c r="EW244" s="456">
        <f t="shared" si="713"/>
        <v>1.9914999999999999E-2</v>
      </c>
      <c r="EX244" s="456">
        <f t="shared" si="714"/>
        <v>2.2991296296296308E-2</v>
      </c>
      <c r="EY244" s="456">
        <f t="shared" si="715"/>
        <v>13.959629641738415</v>
      </c>
      <c r="EZ244" s="456"/>
      <c r="FA244" s="456">
        <f t="shared" si="716"/>
        <v>3.1863999999999996E-2</v>
      </c>
      <c r="FB244" s="144">
        <f t="shared" si="717"/>
        <v>14034.399938034712</v>
      </c>
      <c r="FC244" s="150">
        <f t="shared" si="718"/>
        <v>16.334158197092819</v>
      </c>
      <c r="FD244" s="5">
        <f t="shared" si="719"/>
        <v>23.8</v>
      </c>
      <c r="FE244" s="150">
        <f t="shared" si="720"/>
        <v>0.59301106760784117</v>
      </c>
      <c r="FF244" s="5">
        <f t="shared" si="721"/>
        <v>59.301106760784116</v>
      </c>
      <c r="FI244" s="59">
        <f t="shared" si="676"/>
        <v>-50</v>
      </c>
      <c r="FJ244">
        <f t="shared" si="677"/>
        <v>-50</v>
      </c>
      <c r="FL244">
        <f t="shared" si="678"/>
        <v>0.42</v>
      </c>
    </row>
    <row r="245" spans="5:168">
      <c r="E245" s="147">
        <v>29</v>
      </c>
      <c r="F245" s="188">
        <f t="shared" si="679"/>
        <v>0.14499999999999999</v>
      </c>
      <c r="G245" s="188"/>
      <c r="H245" s="188">
        <f t="shared" si="603"/>
        <v>24.65</v>
      </c>
      <c r="I245" s="465">
        <f t="shared" si="604"/>
        <v>15.967400381246467</v>
      </c>
      <c r="J245" s="149">
        <f t="shared" si="605"/>
        <v>8.5383264917095438</v>
      </c>
      <c r="K245" s="149">
        <f t="shared" si="606"/>
        <v>24.505726872956011</v>
      </c>
      <c r="L245" s="379"/>
      <c r="M245" s="188">
        <f t="shared" si="607"/>
        <v>0.34842186048293716</v>
      </c>
      <c r="N245" s="149">
        <f t="shared" si="608"/>
        <v>186.33652087932737</v>
      </c>
      <c r="O245" s="149">
        <f t="shared" si="599"/>
        <v>24.65</v>
      </c>
      <c r="P245" s="188">
        <f t="shared" si="609"/>
        <v>1.0960971816431022</v>
      </c>
      <c r="Q245" s="188">
        <f t="shared" si="610"/>
        <v>170</v>
      </c>
      <c r="R245" s="188"/>
      <c r="S245" s="149">
        <f t="shared" si="611"/>
        <v>3351.3854346046164</v>
      </c>
      <c r="T245" s="149">
        <f t="shared" si="612"/>
        <v>170</v>
      </c>
      <c r="U245" s="188">
        <f t="shared" si="613"/>
        <v>8.9014649943579265</v>
      </c>
      <c r="V245" s="188">
        <f t="shared" si="614"/>
        <v>0.83621611362729376</v>
      </c>
      <c r="W245" s="188">
        <f t="shared" si="615"/>
        <v>1.5637956108262514</v>
      </c>
      <c r="X245" s="172">
        <f t="shared" si="616"/>
        <v>278.16942216349025</v>
      </c>
      <c r="Y245" s="379">
        <f t="shared" si="680"/>
        <v>350</v>
      </c>
      <c r="AA245" s="188">
        <f t="shared" si="617"/>
        <v>13.333333333333334</v>
      </c>
      <c r="AB245" s="150">
        <f t="shared" si="618"/>
        <v>2.3423793900853283</v>
      </c>
      <c r="AC245" s="150">
        <f t="shared" si="619"/>
        <v>0.21719277380923482</v>
      </c>
      <c r="AD245" s="150"/>
      <c r="AE245" s="150">
        <f t="shared" si="620"/>
        <v>2.3423793900853283</v>
      </c>
      <c r="AF245" s="314">
        <f t="shared" si="621"/>
        <v>185.7086011946825</v>
      </c>
      <c r="AG245" s="456">
        <f t="shared" si="622"/>
        <v>0.21719277380923488</v>
      </c>
      <c r="AI245" s="150">
        <f t="shared" si="623"/>
        <v>9.7122694765230158</v>
      </c>
      <c r="AJ245" s="150">
        <f t="shared" si="624"/>
        <v>13.333333333333334</v>
      </c>
      <c r="AK245" s="150">
        <f t="shared" si="625"/>
        <v>1.1061192006826757</v>
      </c>
      <c r="AM245" s="314">
        <f t="shared" si="626"/>
        <v>145</v>
      </c>
      <c r="AN245" s="144">
        <f t="shared" si="627"/>
        <v>185.7086011946825</v>
      </c>
      <c r="AP245">
        <f t="shared" si="628"/>
        <v>145</v>
      </c>
      <c r="AQ245">
        <f t="shared" si="629"/>
        <v>185.7086011946825</v>
      </c>
      <c r="AS245" s="5">
        <f t="shared" si="600"/>
        <v>5.3847802070927102</v>
      </c>
      <c r="AT245" s="5">
        <f t="shared" si="630"/>
        <v>1.2525520449458871</v>
      </c>
      <c r="AU245" s="5">
        <f t="shared" si="722"/>
        <v>4.1322281621468235</v>
      </c>
      <c r="AV245" s="5"/>
      <c r="AW245" s="150">
        <f t="shared" si="723"/>
        <v>0.23260968819043978</v>
      </c>
      <c r="AX245" s="150">
        <f t="shared" si="631"/>
        <v>24.76114682595767</v>
      </c>
      <c r="AY245" s="150">
        <f t="shared" si="632"/>
        <v>0.25579677060318678</v>
      </c>
      <c r="AZ245" s="150">
        <f t="shared" si="633"/>
        <v>96.800075964872988</v>
      </c>
      <c r="BA245" s="144">
        <f t="shared" ref="BA245:BA308" si="724">F245*AT245/Vout_ripple*1000</f>
        <v>0.10683532148067861</v>
      </c>
      <c r="BB245" s="5">
        <f t="shared" ref="BB245:BB308" si="725">H245/Efficiency/I245*AU245/Vinripple1</f>
        <v>10.632019172905141</v>
      </c>
      <c r="BD245" s="150">
        <f t="shared" si="681"/>
        <v>3.7127183866666655</v>
      </c>
      <c r="BE245" s="150">
        <f t="shared" si="682"/>
        <v>0.33717570138047664</v>
      </c>
      <c r="BG245" s="456">
        <f t="shared" si="683"/>
        <v>4.686654458355527E-2</v>
      </c>
      <c r="BH245" s="456">
        <f t="shared" si="634"/>
        <v>1.4532618133215023</v>
      </c>
      <c r="BI245" s="456">
        <f t="shared" si="635"/>
        <v>0.13580998839986583</v>
      </c>
      <c r="BJ245" s="456">
        <f t="shared" si="684"/>
        <v>7.639373923097649E-2</v>
      </c>
      <c r="BK245">
        <f t="shared" si="685"/>
        <v>7.1853301715609098E-3</v>
      </c>
      <c r="BL245" s="144">
        <f t="shared" si="686"/>
        <v>142.99531857142674</v>
      </c>
      <c r="BM245" s="456">
        <f t="shared" si="636"/>
        <v>1.6070715954499177</v>
      </c>
      <c r="BN245" s="144">
        <f t="shared" si="687"/>
        <v>1607.0715954499178</v>
      </c>
      <c r="BO245" s="456">
        <f t="shared" si="637"/>
        <v>0.36249999999999999</v>
      </c>
      <c r="BR245" s="144">
        <f t="shared" si="688"/>
        <v>362.5</v>
      </c>
      <c r="BS245" s="456">
        <f t="shared" si="689"/>
        <v>2.067641672803909E-2</v>
      </c>
      <c r="BT245" s="456">
        <f t="shared" si="690"/>
        <v>2.2737490720283273E-2</v>
      </c>
      <c r="BU245" s="456">
        <f t="shared" si="691"/>
        <v>15.254461910158177</v>
      </c>
      <c r="BV245" s="456"/>
      <c r="BW245" s="456">
        <f t="shared" si="692"/>
        <v>3.3014862434610229E-2</v>
      </c>
      <c r="BX245" s="144">
        <f t="shared" si="693"/>
        <v>15330.89068004111</v>
      </c>
      <c r="BY245" s="150">
        <f t="shared" si="694"/>
        <v>17.41290809574857</v>
      </c>
      <c r="BZ245" s="5">
        <f t="shared" si="695"/>
        <v>24.65</v>
      </c>
      <c r="CA245" s="150">
        <f t="shared" si="696"/>
        <v>0.5860270037413664</v>
      </c>
      <c r="CB245" s="5">
        <f t="shared" si="697"/>
        <v>58.602700374136639</v>
      </c>
      <c r="CE245" s="59">
        <f t="shared" si="638"/>
        <v>-50</v>
      </c>
      <c r="CF245">
        <f t="shared" si="639"/>
        <v>-50</v>
      </c>
      <c r="CG245" s="150">
        <f t="shared" si="640"/>
        <v>0.43589466819944678</v>
      </c>
      <c r="CI245" s="147">
        <v>29</v>
      </c>
      <c r="CJ245" s="188">
        <f t="shared" si="698"/>
        <v>0.14499999999999999</v>
      </c>
      <c r="CK245" s="188"/>
      <c r="CL245" s="188">
        <f t="shared" si="641"/>
        <v>24.65</v>
      </c>
      <c r="CM245" s="465">
        <f t="shared" si="642"/>
        <v>16</v>
      </c>
      <c r="CN245" s="379">
        <f t="shared" si="643"/>
        <v>8.5350000000000001</v>
      </c>
      <c r="CO245" s="379">
        <f t="shared" si="644"/>
        <v>24.535</v>
      </c>
      <c r="CP245" s="379"/>
      <c r="CQ245" s="188">
        <f t="shared" si="645"/>
        <v>0.34787038923986141</v>
      </c>
      <c r="CR245" s="149">
        <f t="shared" si="646"/>
        <v>186.42142245771345</v>
      </c>
      <c r="CS245" s="149">
        <f t="shared" si="647"/>
        <v>24.65</v>
      </c>
      <c r="CT245" s="188">
        <f t="shared" si="648"/>
        <v>1.0965966026924321</v>
      </c>
      <c r="CU245" s="188">
        <f t="shared" si="649"/>
        <v>170</v>
      </c>
      <c r="CV245" s="188"/>
      <c r="CW245" s="149">
        <f t="shared" si="650"/>
        <v>3358.2276074913198</v>
      </c>
      <c r="CX245" s="149">
        <f t="shared" si="651"/>
        <v>170</v>
      </c>
      <c r="CY245" s="188">
        <f t="shared" si="652"/>
        <v>8.8574655828939655</v>
      </c>
      <c r="CZ245" s="188">
        <f t="shared" si="653"/>
        <v>0.83038739839630926</v>
      </c>
      <c r="DA245" s="188">
        <f t="shared" si="654"/>
        <v>1.556672334427762</v>
      </c>
      <c r="DB245" s="172">
        <f t="shared" si="655"/>
        <v>278.29631139188916</v>
      </c>
      <c r="DC245" s="379">
        <f t="shared" si="656"/>
        <v>350</v>
      </c>
      <c r="DE245" s="188">
        <f t="shared" si="657"/>
        <v>13.333333333333332</v>
      </c>
      <c r="DF245" s="150">
        <f t="shared" si="658"/>
        <v>2.3432923257176332</v>
      </c>
      <c r="DG245" s="150">
        <f t="shared" si="659"/>
        <v>0.21737653692004619</v>
      </c>
      <c r="DH245" s="150"/>
      <c r="DI245" s="150">
        <f t="shared" si="660"/>
        <v>2.3432923257176337</v>
      </c>
      <c r="DJ245" s="314">
        <f t="shared" si="661"/>
        <v>185.63624999999993</v>
      </c>
      <c r="DK245" s="456">
        <f t="shared" si="662"/>
        <v>0.21737653692004627</v>
      </c>
      <c r="DM245" s="150">
        <f t="shared" si="663"/>
        <v>9.7103773650372904</v>
      </c>
      <c r="DN245" s="150">
        <f t="shared" si="664"/>
        <v>13.333333333333334</v>
      </c>
      <c r="DO245" s="150">
        <f t="shared" si="665"/>
        <v>1.1060778571428571</v>
      </c>
      <c r="DQ245" s="314">
        <f t="shared" si="666"/>
        <v>145</v>
      </c>
      <c r="DR245" s="144">
        <f t="shared" si="667"/>
        <v>185.63624999999993</v>
      </c>
      <c r="DT245">
        <f t="shared" si="668"/>
        <v>145</v>
      </c>
      <c r="DU245">
        <f t="shared" si="669"/>
        <v>185.63624999999993</v>
      </c>
      <c r="DW245" s="5">
        <f t="shared" si="670"/>
        <v>5.3868789096957101</v>
      </c>
      <c r="DX245" s="5">
        <f t="shared" si="671"/>
        <v>1.25</v>
      </c>
      <c r="DY245" s="5">
        <f t="shared" si="672"/>
        <v>4.1368789096957101</v>
      </c>
      <c r="DZ245" s="5"/>
      <c r="EA245" s="150">
        <f t="shared" si="673"/>
        <v>0.23204531249999993</v>
      </c>
      <c r="EB245" s="150">
        <f t="shared" si="699"/>
        <v>24.751499999999997</v>
      </c>
      <c r="EC245" s="150">
        <f t="shared" si="700"/>
        <v>0.25598489583333339</v>
      </c>
      <c r="ED245" s="150">
        <f t="shared" si="701"/>
        <v>96.691251721801578</v>
      </c>
      <c r="EE245" s="144">
        <f t="shared" si="674"/>
        <v>0.10661764705882353</v>
      </c>
      <c r="EF245" s="5">
        <f t="shared" si="675"/>
        <v>10.622298450416586</v>
      </c>
      <c r="EH245" s="150">
        <f t="shared" si="702"/>
        <v>3.7082116084891021</v>
      </c>
      <c r="EI245" s="150">
        <f t="shared" si="703"/>
        <v>0.33729966619434248</v>
      </c>
      <c r="EK245" s="456">
        <f t="shared" si="704"/>
        <v>4.6752833333333334E-2</v>
      </c>
      <c r="EL245" s="456">
        <f t="shared" si="705"/>
        <v>1.8461252795999994</v>
      </c>
      <c r="EM245" s="456">
        <f t="shared" si="706"/>
        <v>4.2510701249999991E-2</v>
      </c>
      <c r="EN245" s="456">
        <f t="shared" si="707"/>
        <v>7.6546525555424502E-2</v>
      </c>
      <c r="EO245">
        <f t="shared" si="708"/>
        <v>7.1999999999999998E-3</v>
      </c>
      <c r="EP245" s="144">
        <f t="shared" si="709"/>
        <v>49.710701249999985</v>
      </c>
      <c r="EQ245" s="144"/>
      <c r="ER245" s="144">
        <f t="shared" si="710"/>
        <v>2019.135339738757</v>
      </c>
      <c r="ES245" s="456">
        <f t="shared" si="711"/>
        <v>0.36249999999999999</v>
      </c>
      <c r="EV245" s="144">
        <f t="shared" si="712"/>
        <v>362.5</v>
      </c>
      <c r="EW245" s="456">
        <f t="shared" si="713"/>
        <v>2.0626250000000002E-2</v>
      </c>
      <c r="EX245" s="456">
        <f t="shared" si="714"/>
        <v>2.2754212962962973E-2</v>
      </c>
      <c r="EY245" s="456">
        <f t="shared" si="715"/>
        <v>15.239608585294372</v>
      </c>
      <c r="EZ245" s="456"/>
      <c r="FA245" s="456">
        <f t="shared" si="716"/>
        <v>3.3001999999999997E-2</v>
      </c>
      <c r="FB245" s="144">
        <f t="shared" si="717"/>
        <v>15315.991048257334</v>
      </c>
      <c r="FC245" s="150">
        <f t="shared" si="718"/>
        <v>17.697626387996092</v>
      </c>
      <c r="FD245" s="5">
        <f t="shared" si="719"/>
        <v>24.65</v>
      </c>
      <c r="FE245" s="150">
        <f t="shared" si="720"/>
        <v>0.58208693384966959</v>
      </c>
      <c r="FF245" s="5">
        <f t="shared" si="721"/>
        <v>58.208693384966956</v>
      </c>
      <c r="FI245" s="59">
        <f t="shared" si="676"/>
        <v>-50</v>
      </c>
      <c r="FJ245">
        <f t="shared" si="677"/>
        <v>-50</v>
      </c>
      <c r="FL245">
        <f t="shared" si="678"/>
        <v>0.43499999999999989</v>
      </c>
    </row>
    <row r="246" spans="5:168">
      <c r="E246" s="147">
        <v>30</v>
      </c>
      <c r="F246" s="188">
        <f t="shared" si="679"/>
        <v>0.15</v>
      </c>
      <c r="G246" s="188"/>
      <c r="H246" s="188">
        <f t="shared" si="603"/>
        <v>25.5</v>
      </c>
      <c r="I246" s="465">
        <f t="shared" si="604"/>
        <v>15.967400381246467</v>
      </c>
      <c r="J246" s="149">
        <f t="shared" si="605"/>
        <v>8.5383264917095438</v>
      </c>
      <c r="K246" s="149">
        <f t="shared" si="606"/>
        <v>24.505726872956011</v>
      </c>
      <c r="L246" s="379"/>
      <c r="M246" s="188">
        <f t="shared" si="607"/>
        <v>0.34842186048293716</v>
      </c>
      <c r="N246" s="149">
        <f t="shared" si="608"/>
        <v>186.33652087932737</v>
      </c>
      <c r="O246" s="149">
        <f t="shared" si="599"/>
        <v>25.5</v>
      </c>
      <c r="P246" s="188">
        <f t="shared" si="609"/>
        <v>1.0960971816431022</v>
      </c>
      <c r="Q246" s="188">
        <f t="shared" si="610"/>
        <v>170</v>
      </c>
      <c r="R246" s="188"/>
      <c r="S246" s="149">
        <f t="shared" si="611"/>
        <v>3229.0324024883957</v>
      </c>
      <c r="T246" s="149">
        <f t="shared" si="612"/>
        <v>170</v>
      </c>
      <c r="U246" s="188">
        <f t="shared" si="613"/>
        <v>9.2084120631288897</v>
      </c>
      <c r="V246" s="188">
        <f t="shared" si="614"/>
        <v>0.86505115202823502</v>
      </c>
      <c r="W246" s="188">
        <f t="shared" si="615"/>
        <v>1.6177195974064671</v>
      </c>
      <c r="X246" s="172">
        <f t="shared" si="616"/>
        <v>278.16942216349025</v>
      </c>
      <c r="Y246" s="379">
        <f t="shared" si="680"/>
        <v>350</v>
      </c>
      <c r="AA246" s="188">
        <f t="shared" si="617"/>
        <v>13.333333333333334</v>
      </c>
      <c r="AB246" s="150">
        <f t="shared" si="618"/>
        <v>2.3423793900853283</v>
      </c>
      <c r="AC246" s="150">
        <f t="shared" si="619"/>
        <v>0.21719277380923482</v>
      </c>
      <c r="AD246" s="150"/>
      <c r="AE246" s="150">
        <f t="shared" si="620"/>
        <v>2.3423793900853283</v>
      </c>
      <c r="AF246" s="314">
        <f t="shared" si="621"/>
        <v>192.11234606346468</v>
      </c>
      <c r="AG246" s="456">
        <f t="shared" si="622"/>
        <v>0.21719277380923488</v>
      </c>
      <c r="AI246" s="150">
        <f t="shared" si="623"/>
        <v>9.8783032040409768</v>
      </c>
      <c r="AJ246" s="150">
        <f t="shared" si="624"/>
        <v>13.333333333333334</v>
      </c>
      <c r="AK246" s="150">
        <f t="shared" si="625"/>
        <v>1.109778483464837</v>
      </c>
      <c r="AM246" s="314">
        <f t="shared" si="626"/>
        <v>150</v>
      </c>
      <c r="AN246" s="144">
        <f t="shared" si="627"/>
        <v>192.11234606346468</v>
      </c>
      <c r="AP246">
        <f t="shared" si="628"/>
        <v>150</v>
      </c>
      <c r="AQ246">
        <f t="shared" si="629"/>
        <v>192.11234606346468</v>
      </c>
      <c r="AS246" s="5">
        <f t="shared" si="600"/>
        <v>5.2052875335229523</v>
      </c>
      <c r="AT246" s="5">
        <f t="shared" si="630"/>
        <v>1.2525520449458871</v>
      </c>
      <c r="AU246" s="5">
        <f t="shared" si="722"/>
        <v>3.9527354885770651</v>
      </c>
      <c r="AV246" s="5"/>
      <c r="AW246" s="150">
        <f t="shared" si="723"/>
        <v>0.24063071192114466</v>
      </c>
      <c r="AX246" s="150">
        <f t="shared" si="631"/>
        <v>25.614979475128631</v>
      </c>
      <c r="AY246" s="150">
        <f t="shared" si="632"/>
        <v>0.25312309602628519</v>
      </c>
      <c r="AZ246" s="150">
        <f t="shared" si="633"/>
        <v>101.19574182384638</v>
      </c>
      <c r="BA246" s="144">
        <f t="shared" si="724"/>
        <v>0.11051929808346063</v>
      </c>
      <c r="BB246" s="5">
        <f t="shared" si="725"/>
        <v>10.520889703613188</v>
      </c>
      <c r="BD246" s="150">
        <f t="shared" si="681"/>
        <v>3.7761882558309035</v>
      </c>
      <c r="BE246" s="150">
        <f t="shared" si="682"/>
        <v>0.33540893516640263</v>
      </c>
      <c r="BG246" s="456">
        <f t="shared" si="683"/>
        <v>4.8482632327815814E-2</v>
      </c>
      <c r="BH246" s="456">
        <f t="shared" si="634"/>
        <v>1.5033742896429334</v>
      </c>
      <c r="BI246" s="456">
        <f t="shared" si="635"/>
        <v>0.1404930914481371</v>
      </c>
      <c r="BJ246" s="456">
        <f t="shared" si="684"/>
        <v>7.902800610101017E-2</v>
      </c>
      <c r="BK246">
        <f t="shared" si="685"/>
        <v>7.1853301715609098E-3</v>
      </c>
      <c r="BL246" s="144">
        <f t="shared" si="686"/>
        <v>147.67842161969801</v>
      </c>
      <c r="BM246" s="456">
        <f t="shared" si="636"/>
        <v>1.66313366285855</v>
      </c>
      <c r="BN246" s="144">
        <f t="shared" si="687"/>
        <v>1663.13366285855</v>
      </c>
      <c r="BO246" s="456">
        <f t="shared" si="637"/>
        <v>0.375</v>
      </c>
      <c r="BR246" s="144">
        <f t="shared" si="688"/>
        <v>375</v>
      </c>
      <c r="BS246" s="456">
        <f t="shared" si="689"/>
        <v>2.1389396615212861E-2</v>
      </c>
      <c r="BT246" s="456">
        <f t="shared" si="690"/>
        <v>2.2499830757892018E-2</v>
      </c>
      <c r="BU246" s="456">
        <f t="shared" si="691"/>
        <v>16.60370600437605</v>
      </c>
      <c r="BV246" s="456"/>
      <c r="BW246" s="456">
        <f t="shared" si="692"/>
        <v>3.4153305966838174E-2</v>
      </c>
      <c r="BX246" s="144">
        <f t="shared" si="693"/>
        <v>16681.748537715994</v>
      </c>
      <c r="BY246" s="150">
        <f t="shared" si="694"/>
        <v>18.835311887407453</v>
      </c>
      <c r="BZ246" s="5">
        <f t="shared" si="695"/>
        <v>25.5</v>
      </c>
      <c r="CA246" s="150">
        <f t="shared" si="696"/>
        <v>0.57516230098389709</v>
      </c>
      <c r="CB246" s="5">
        <f t="shared" si="697"/>
        <v>57.516230098389713</v>
      </c>
      <c r="CE246" s="59">
        <f t="shared" si="638"/>
        <v>-50</v>
      </c>
      <c r="CF246">
        <f t="shared" si="639"/>
        <v>-50</v>
      </c>
      <c r="CG246" s="150">
        <f t="shared" si="640"/>
        <v>0.45092551882701393</v>
      </c>
      <c r="CI246" s="147">
        <v>30</v>
      </c>
      <c r="CJ246" s="188">
        <f t="shared" si="698"/>
        <v>0.15</v>
      </c>
      <c r="CK246" s="188"/>
      <c r="CL246" s="188">
        <f t="shared" si="641"/>
        <v>25.5</v>
      </c>
      <c r="CM246" s="465">
        <f t="shared" si="642"/>
        <v>16</v>
      </c>
      <c r="CN246" s="379">
        <f t="shared" si="643"/>
        <v>8.5350000000000001</v>
      </c>
      <c r="CO246" s="379">
        <f t="shared" si="644"/>
        <v>24.535</v>
      </c>
      <c r="CP246" s="379"/>
      <c r="CQ246" s="188">
        <f t="shared" si="645"/>
        <v>0.34787038923986141</v>
      </c>
      <c r="CR246" s="149">
        <f t="shared" si="646"/>
        <v>186.42142245771345</v>
      </c>
      <c r="CS246" s="149">
        <f t="shared" si="647"/>
        <v>25.5</v>
      </c>
      <c r="CT246" s="188">
        <f t="shared" si="648"/>
        <v>1.0965966026924321</v>
      </c>
      <c r="CU246" s="188">
        <f t="shared" si="649"/>
        <v>170</v>
      </c>
      <c r="CV246" s="188"/>
      <c r="CW246" s="149">
        <f t="shared" si="650"/>
        <v>3235.624769869919</v>
      </c>
      <c r="CX246" s="149">
        <f t="shared" si="651"/>
        <v>170</v>
      </c>
      <c r="CY246" s="188">
        <f t="shared" si="652"/>
        <v>9.1628954305799653</v>
      </c>
      <c r="CZ246" s="188">
        <f t="shared" si="653"/>
        <v>0.85902144661687174</v>
      </c>
      <c r="DA246" s="188">
        <f t="shared" si="654"/>
        <v>1.6103506907873402</v>
      </c>
      <c r="DB246" s="172">
        <f t="shared" si="655"/>
        <v>278.29631139188916</v>
      </c>
      <c r="DC246" s="379">
        <f t="shared" si="656"/>
        <v>350</v>
      </c>
      <c r="DE246" s="188">
        <f t="shared" si="657"/>
        <v>13.333333333333332</v>
      </c>
      <c r="DF246" s="150">
        <f t="shared" si="658"/>
        <v>2.3432923257176332</v>
      </c>
      <c r="DG246" s="150">
        <f t="shared" si="659"/>
        <v>0.21737653692004619</v>
      </c>
      <c r="DH246" s="150"/>
      <c r="DI246" s="150">
        <f t="shared" si="660"/>
        <v>2.3432923257176337</v>
      </c>
      <c r="DJ246" s="314">
        <f t="shared" si="661"/>
        <v>192.03749999999994</v>
      </c>
      <c r="DK246" s="456">
        <f t="shared" si="662"/>
        <v>0.21737653692004627</v>
      </c>
      <c r="DM246" s="150">
        <f t="shared" si="663"/>
        <v>9.8763787464260968</v>
      </c>
      <c r="DN246" s="150">
        <f t="shared" si="664"/>
        <v>13.333333333333334</v>
      </c>
      <c r="DO246" s="150">
        <f t="shared" si="665"/>
        <v>1.1097357142857143</v>
      </c>
      <c r="DQ246" s="314">
        <f t="shared" si="666"/>
        <v>150</v>
      </c>
      <c r="DR246" s="144">
        <f t="shared" si="667"/>
        <v>192.03749999999994</v>
      </c>
      <c r="DT246">
        <f t="shared" si="668"/>
        <v>150</v>
      </c>
      <c r="DU246">
        <f t="shared" si="669"/>
        <v>192.03749999999994</v>
      </c>
      <c r="DW246" s="5">
        <f t="shared" si="670"/>
        <v>5.2073162793725203</v>
      </c>
      <c r="DX246" s="5">
        <f t="shared" si="671"/>
        <v>1.25</v>
      </c>
      <c r="DY246" s="5">
        <f t="shared" si="672"/>
        <v>3.9573162793725203</v>
      </c>
      <c r="DZ246" s="5"/>
      <c r="EA246" s="150">
        <f t="shared" si="673"/>
        <v>0.24004687499999991</v>
      </c>
      <c r="EB246" s="150">
        <f t="shared" si="699"/>
        <v>25.605</v>
      </c>
      <c r="EC246" s="150">
        <f t="shared" si="700"/>
        <v>0.25331770833333339</v>
      </c>
      <c r="ED246" s="150">
        <f t="shared" si="701"/>
        <v>101.07860270987106</v>
      </c>
      <c r="EE246" s="144">
        <f t="shared" si="674"/>
        <v>0.11029411764705883</v>
      </c>
      <c r="EF246" s="5">
        <f t="shared" si="675"/>
        <v>10.511621367083256</v>
      </c>
      <c r="EH246" s="150">
        <f t="shared" si="702"/>
        <v>3.7716044331292209</v>
      </c>
      <c r="EI246" s="150">
        <f t="shared" si="703"/>
        <v>0.33553784905454137</v>
      </c>
      <c r="EK246" s="456">
        <f t="shared" si="704"/>
        <v>4.8364999999999971E-2</v>
      </c>
      <c r="EL246" s="456">
        <f t="shared" si="705"/>
        <v>1.9097847719999994</v>
      </c>
      <c r="EM246" s="456">
        <f t="shared" si="706"/>
        <v>4.3976587499999983E-2</v>
      </c>
      <c r="EN246" s="456">
        <f t="shared" si="707"/>
        <v>7.9186060919404666E-2</v>
      </c>
      <c r="EO246">
        <f t="shared" si="708"/>
        <v>7.1999999999999998E-3</v>
      </c>
      <c r="EP246" s="144">
        <f t="shared" si="709"/>
        <v>51.176587499999982</v>
      </c>
      <c r="EQ246" s="144"/>
      <c r="ER246" s="144">
        <f t="shared" si="710"/>
        <v>2088.512420419404</v>
      </c>
      <c r="ES246" s="456">
        <f t="shared" si="711"/>
        <v>0.375</v>
      </c>
      <c r="EV246" s="144">
        <f t="shared" si="712"/>
        <v>375</v>
      </c>
      <c r="EW246" s="456">
        <f t="shared" si="713"/>
        <v>2.1337499999999988E-2</v>
      </c>
      <c r="EX246" s="456">
        <f t="shared" si="714"/>
        <v>2.2517129629629637E-2</v>
      </c>
      <c r="EY246" s="456">
        <f t="shared" si="715"/>
        <v>16.587538915646327</v>
      </c>
      <c r="EZ246" s="456"/>
      <c r="FA246" s="456">
        <f t="shared" si="716"/>
        <v>3.4139999999999997E-2</v>
      </c>
      <c r="FB246" s="144">
        <f t="shared" si="717"/>
        <v>16665.533545275957</v>
      </c>
      <c r="FC246" s="150">
        <f t="shared" si="718"/>
        <v>19.129045965695362</v>
      </c>
      <c r="FD246" s="5">
        <f t="shared" si="719"/>
        <v>25.5</v>
      </c>
      <c r="FE246" s="150">
        <f t="shared" si="720"/>
        <v>0.57137676704092832</v>
      </c>
      <c r="FF246" s="5">
        <f t="shared" si="721"/>
        <v>57.137676704092833</v>
      </c>
      <c r="FI246" s="59">
        <f t="shared" si="676"/>
        <v>-50</v>
      </c>
      <c r="FJ246">
        <f t="shared" si="677"/>
        <v>-50</v>
      </c>
      <c r="FL246">
        <f t="shared" si="678"/>
        <v>0.4499999999999999</v>
      </c>
    </row>
    <row r="247" spans="5:168">
      <c r="E247" s="147">
        <v>31</v>
      </c>
      <c r="F247" s="188">
        <f t="shared" si="679"/>
        <v>0.155</v>
      </c>
      <c r="G247" s="188"/>
      <c r="H247" s="188">
        <f t="shared" si="603"/>
        <v>26.35</v>
      </c>
      <c r="I247" s="465">
        <f t="shared" si="604"/>
        <v>15.967400381246467</v>
      </c>
      <c r="J247" s="149">
        <f t="shared" si="605"/>
        <v>8.5383264917095438</v>
      </c>
      <c r="K247" s="149">
        <f t="shared" si="606"/>
        <v>24.505726872956011</v>
      </c>
      <c r="L247" s="379"/>
      <c r="M247" s="188">
        <f t="shared" si="607"/>
        <v>0.34842186048293716</v>
      </c>
      <c r="N247" s="149">
        <f t="shared" si="608"/>
        <v>186.33652087932737</v>
      </c>
      <c r="O247" s="149">
        <f t="shared" si="599"/>
        <v>26.35</v>
      </c>
      <c r="P247" s="188">
        <f t="shared" si="609"/>
        <v>1.0960971816431022</v>
      </c>
      <c r="Q247" s="188">
        <f t="shared" si="610"/>
        <v>170</v>
      </c>
      <c r="R247" s="188"/>
      <c r="S247" s="149">
        <f t="shared" si="611"/>
        <v>3114.5732940307544</v>
      </c>
      <c r="T247" s="149">
        <f t="shared" si="612"/>
        <v>170</v>
      </c>
      <c r="U247" s="188">
        <f t="shared" si="613"/>
        <v>9.5153591318998529</v>
      </c>
      <c r="V247" s="188">
        <f t="shared" si="614"/>
        <v>0.89388619042917627</v>
      </c>
      <c r="W247" s="188">
        <f t="shared" si="615"/>
        <v>1.6716435839866826</v>
      </c>
      <c r="X247" s="172">
        <f t="shared" si="616"/>
        <v>278.16942216349025</v>
      </c>
      <c r="Y247" s="379">
        <f t="shared" si="680"/>
        <v>350</v>
      </c>
      <c r="AA247" s="188">
        <f t="shared" si="617"/>
        <v>13.333333333333334</v>
      </c>
      <c r="AB247" s="150">
        <f t="shared" si="618"/>
        <v>2.3423793900853283</v>
      </c>
      <c r="AC247" s="150">
        <f t="shared" si="619"/>
        <v>0.21719277380923482</v>
      </c>
      <c r="AD247" s="150"/>
      <c r="AE247" s="150">
        <f t="shared" si="620"/>
        <v>2.3423793900853283</v>
      </c>
      <c r="AF247" s="314">
        <f t="shared" si="621"/>
        <v>198.51609093224681</v>
      </c>
      <c r="AG247" s="456">
        <f t="shared" si="622"/>
        <v>0.21719277380923488</v>
      </c>
      <c r="AI247" s="150">
        <f t="shared" si="623"/>
        <v>10.041592005122084</v>
      </c>
      <c r="AJ247" s="150">
        <f t="shared" si="624"/>
        <v>13.333333333333334</v>
      </c>
      <c r="AK247" s="150">
        <f t="shared" si="625"/>
        <v>1.1134377662469981</v>
      </c>
      <c r="AM247" s="314">
        <f t="shared" si="626"/>
        <v>155</v>
      </c>
      <c r="AN247" s="144">
        <f t="shared" si="627"/>
        <v>198.51609093224681</v>
      </c>
      <c r="AP247">
        <f t="shared" si="628"/>
        <v>155</v>
      </c>
      <c r="AQ247">
        <f t="shared" si="629"/>
        <v>198.51609093224681</v>
      </c>
      <c r="AS247" s="5">
        <f t="shared" si="600"/>
        <v>5.0373750324415676</v>
      </c>
      <c r="AT247" s="5">
        <f t="shared" si="630"/>
        <v>1.2525520449458871</v>
      </c>
      <c r="AU247" s="5">
        <f t="shared" si="722"/>
        <v>3.7848229874956805</v>
      </c>
      <c r="AV247" s="5"/>
      <c r="AW247" s="150">
        <f t="shared" si="723"/>
        <v>0.24865173565184942</v>
      </c>
      <c r="AX247" s="150">
        <f t="shared" si="631"/>
        <v>26.468812124299582</v>
      </c>
      <c r="AY247" s="150">
        <f t="shared" si="632"/>
        <v>0.25044942144938359</v>
      </c>
      <c r="AZ247" s="150">
        <f t="shared" si="633"/>
        <v>105.68525960699411</v>
      </c>
      <c r="BA247" s="144">
        <f t="shared" si="724"/>
        <v>0.11420327468624265</v>
      </c>
      <c r="BB247" s="5">
        <f t="shared" si="725"/>
        <v>10.40976023432124</v>
      </c>
      <c r="BD247" s="150">
        <f t="shared" si="681"/>
        <v>3.8386088193846666</v>
      </c>
      <c r="BE247" s="150">
        <f t="shared" si="682"/>
        <v>0.33363281310072573</v>
      </c>
      <c r="BG247" s="456">
        <f t="shared" si="683"/>
        <v>5.0098720072076323E-2</v>
      </c>
      <c r="BH247" s="456">
        <f t="shared" si="634"/>
        <v>1.5534867659643643</v>
      </c>
      <c r="BI247" s="456">
        <f t="shared" si="635"/>
        <v>0.14517619449640831</v>
      </c>
      <c r="BJ247" s="456">
        <f t="shared" si="684"/>
        <v>8.1662272971043851E-2</v>
      </c>
      <c r="BK247">
        <f t="shared" si="685"/>
        <v>7.1853301715609098E-3</v>
      </c>
      <c r="BL247" s="144">
        <f t="shared" si="686"/>
        <v>152.36152466796923</v>
      </c>
      <c r="BM247" s="456">
        <f t="shared" si="636"/>
        <v>1.7192393026286357</v>
      </c>
      <c r="BN247" s="144">
        <f t="shared" si="687"/>
        <v>1719.2393026286356</v>
      </c>
      <c r="BO247" s="456">
        <f t="shared" si="637"/>
        <v>0.38750000000000001</v>
      </c>
      <c r="BR247" s="144">
        <f t="shared" si="688"/>
        <v>387.5</v>
      </c>
      <c r="BS247" s="456">
        <f t="shared" si="689"/>
        <v>2.2102376502386615E-2</v>
      </c>
      <c r="BT247" s="456">
        <f t="shared" si="690"/>
        <v>2.226217079550076E-2</v>
      </c>
      <c r="BU247" s="456">
        <f t="shared" si="691"/>
        <v>18.022130605285305</v>
      </c>
      <c r="BV247" s="456"/>
      <c r="BW247" s="456">
        <f t="shared" si="692"/>
        <v>3.5291749499066105E-2</v>
      </c>
      <c r="BX247" s="144">
        <f t="shared" si="693"/>
        <v>18101.786902082262</v>
      </c>
      <c r="BY247" s="150">
        <f t="shared" si="694"/>
        <v>20.326896185757711</v>
      </c>
      <c r="BZ247" s="5">
        <f t="shared" si="695"/>
        <v>26.35</v>
      </c>
      <c r="CA247" s="150">
        <f t="shared" si="696"/>
        <v>0.56451911230635865</v>
      </c>
      <c r="CB247" s="5">
        <f t="shared" si="697"/>
        <v>56.451911230635865</v>
      </c>
      <c r="CE247" s="59">
        <f t="shared" si="638"/>
        <v>-50</v>
      </c>
      <c r="CF247">
        <f t="shared" si="639"/>
        <v>-50</v>
      </c>
      <c r="CG247" s="150">
        <f t="shared" si="640"/>
        <v>0.46595636945458108</v>
      </c>
      <c r="CI247" s="147">
        <v>31</v>
      </c>
      <c r="CJ247" s="188">
        <f t="shared" si="698"/>
        <v>0.155</v>
      </c>
      <c r="CK247" s="188"/>
      <c r="CL247" s="188">
        <f t="shared" si="641"/>
        <v>26.35</v>
      </c>
      <c r="CM247" s="465">
        <f t="shared" si="642"/>
        <v>16</v>
      </c>
      <c r="CN247" s="379">
        <f t="shared" si="643"/>
        <v>8.5350000000000001</v>
      </c>
      <c r="CO247" s="379">
        <f t="shared" si="644"/>
        <v>24.535</v>
      </c>
      <c r="CP247" s="379"/>
      <c r="CQ247" s="188">
        <f t="shared" si="645"/>
        <v>0.34787038923986141</v>
      </c>
      <c r="CR247" s="149">
        <f t="shared" si="646"/>
        <v>186.42142245771345</v>
      </c>
      <c r="CS247" s="149">
        <f t="shared" si="647"/>
        <v>26.35</v>
      </c>
      <c r="CT247" s="188">
        <f t="shared" si="648"/>
        <v>1.0965966026924321</v>
      </c>
      <c r="CU247" s="188">
        <f t="shared" si="649"/>
        <v>170</v>
      </c>
      <c r="CV247" s="188"/>
      <c r="CW247" s="149">
        <f t="shared" si="650"/>
        <v>3120.9319723915864</v>
      </c>
      <c r="CX247" s="149">
        <f t="shared" si="651"/>
        <v>170</v>
      </c>
      <c r="CY247" s="188">
        <f t="shared" si="652"/>
        <v>9.468325278265965</v>
      </c>
      <c r="CZ247" s="188">
        <f t="shared" si="653"/>
        <v>0.88765549483743422</v>
      </c>
      <c r="DA247" s="188">
        <f t="shared" si="654"/>
        <v>1.6640290471469183</v>
      </c>
      <c r="DB247" s="172">
        <f t="shared" si="655"/>
        <v>278.29631139188916</v>
      </c>
      <c r="DC247" s="379">
        <f t="shared" si="656"/>
        <v>350</v>
      </c>
      <c r="DE247" s="188">
        <f t="shared" si="657"/>
        <v>13.333333333333332</v>
      </c>
      <c r="DF247" s="150">
        <f t="shared" si="658"/>
        <v>2.3432923257176332</v>
      </c>
      <c r="DG247" s="150">
        <f t="shared" si="659"/>
        <v>0.21737653692004619</v>
      </c>
      <c r="DH247" s="150"/>
      <c r="DI247" s="150">
        <f t="shared" si="660"/>
        <v>2.3432923257176337</v>
      </c>
      <c r="DJ247" s="314">
        <f t="shared" si="661"/>
        <v>198.43874999999994</v>
      </c>
      <c r="DK247" s="456">
        <f t="shared" si="662"/>
        <v>0.21737653692004627</v>
      </c>
      <c r="DM247" s="150">
        <f t="shared" si="663"/>
        <v>10.039635736135336</v>
      </c>
      <c r="DN247" s="150">
        <f t="shared" si="664"/>
        <v>13.333333333333334</v>
      </c>
      <c r="DO247" s="150">
        <f t="shared" si="665"/>
        <v>1.1133935714285714</v>
      </c>
      <c r="DQ247" s="314">
        <f t="shared" si="666"/>
        <v>155</v>
      </c>
      <c r="DR247" s="144">
        <f t="shared" si="667"/>
        <v>198.43874999999994</v>
      </c>
      <c r="DT247">
        <f t="shared" si="668"/>
        <v>155</v>
      </c>
      <c r="DU247">
        <f t="shared" si="669"/>
        <v>198.43874999999994</v>
      </c>
      <c r="DW247" s="5">
        <f t="shared" si="670"/>
        <v>5.0393383348766321</v>
      </c>
      <c r="DX247" s="5">
        <f t="shared" si="671"/>
        <v>1.25</v>
      </c>
      <c r="DY247" s="5">
        <f t="shared" si="672"/>
        <v>3.7893383348766321</v>
      </c>
      <c r="DZ247" s="5"/>
      <c r="EA247" s="150">
        <f t="shared" si="673"/>
        <v>0.24804843749999994</v>
      </c>
      <c r="EB247" s="150">
        <f t="shared" si="699"/>
        <v>26.458500000000001</v>
      </c>
      <c r="EC247" s="150">
        <f t="shared" si="700"/>
        <v>0.25065052083333339</v>
      </c>
      <c r="ED247" s="150">
        <f t="shared" si="701"/>
        <v>105.55932583756017</v>
      </c>
      <c r="EE247" s="144">
        <f t="shared" si="674"/>
        <v>0.11397058823529412</v>
      </c>
      <c r="EF247" s="5">
        <f t="shared" si="675"/>
        <v>10.400944283749922</v>
      </c>
      <c r="EH247" s="150">
        <f t="shared" si="702"/>
        <v>3.8339492258853225</v>
      </c>
      <c r="EI247" s="150">
        <f t="shared" si="703"/>
        <v>0.33376673213710423</v>
      </c>
      <c r="EK247" s="456">
        <f t="shared" si="704"/>
        <v>4.9977166666666649E-2</v>
      </c>
      <c r="EL247" s="456">
        <f t="shared" si="705"/>
        <v>1.9734442643999994</v>
      </c>
      <c r="EM247" s="456">
        <f t="shared" si="706"/>
        <v>4.544247374999999E-2</v>
      </c>
      <c r="EN247" s="456">
        <f t="shared" si="707"/>
        <v>8.1825596283384816E-2</v>
      </c>
      <c r="EO247">
        <f t="shared" si="708"/>
        <v>7.1999999999999998E-3</v>
      </c>
      <c r="EP247" s="144">
        <f t="shared" si="709"/>
        <v>52.642473749999986</v>
      </c>
      <c r="EQ247" s="144"/>
      <c r="ER247" s="144">
        <f t="shared" si="710"/>
        <v>2157.8895011000513</v>
      </c>
      <c r="ES247" s="456">
        <f t="shared" si="711"/>
        <v>0.38750000000000001</v>
      </c>
      <c r="EV247" s="144">
        <f t="shared" si="712"/>
        <v>387.5</v>
      </c>
      <c r="EW247" s="456">
        <f t="shared" si="713"/>
        <v>2.2048749999999995E-2</v>
      </c>
      <c r="EX247" s="456">
        <f t="shared" si="714"/>
        <v>2.2280046296296298E-2</v>
      </c>
      <c r="EY247" s="456">
        <f t="shared" si="715"/>
        <v>18.004582391379511</v>
      </c>
      <c r="EZ247" s="456"/>
      <c r="FA247" s="456">
        <f t="shared" si="716"/>
        <v>3.5277999999999997E-2</v>
      </c>
      <c r="FB247" s="144">
        <f t="shared" si="717"/>
        <v>18084.189187675809</v>
      </c>
      <c r="FC247" s="150">
        <f t="shared" si="718"/>
        <v>20.629578688775862</v>
      </c>
      <c r="FD247" s="5">
        <f t="shared" si="719"/>
        <v>26.35</v>
      </c>
      <c r="FE247" s="150">
        <f t="shared" si="720"/>
        <v>0.56088199884805312</v>
      </c>
      <c r="FF247" s="5">
        <f t="shared" si="721"/>
        <v>56.088199884805313</v>
      </c>
      <c r="FI247" s="59">
        <f t="shared" si="676"/>
        <v>-50</v>
      </c>
      <c r="FJ247">
        <f t="shared" si="677"/>
        <v>-50</v>
      </c>
      <c r="FL247">
        <f t="shared" si="678"/>
        <v>0.46499999999999986</v>
      </c>
    </row>
    <row r="248" spans="5:168">
      <c r="E248" s="147">
        <v>32</v>
      </c>
      <c r="F248" s="188">
        <f t="shared" si="679"/>
        <v>0.16</v>
      </c>
      <c r="G248" s="188"/>
      <c r="H248" s="188">
        <f t="shared" ref="H248:H279" si="726">F248*Vout</f>
        <v>27.2</v>
      </c>
      <c r="I248" s="465">
        <f t="shared" ref="I248:I279" si="727">VIN_max-F248*(Rdcr_pri+RON/1000)/CG248/Nps</f>
        <v>15.967400381246467</v>
      </c>
      <c r="J248" s="149">
        <f t="shared" ref="J248:J279" si="728">(T248+Vfwd1+F248/CG248*Rdcr_sec)*Nps</f>
        <v>8.5383264917095438</v>
      </c>
      <c r="K248" s="149">
        <f t="shared" ref="K248:K279" si="729">(Vout+Vfwd1+F248/CG248*Rdcr_sec)*Nps+I248</f>
        <v>24.505726872956011</v>
      </c>
      <c r="L248" s="379"/>
      <c r="M248" s="188">
        <f t="shared" ref="M248:M279" si="730">(Vout+Vfwd1+F248/FL248*Rdcr_sec)*Nps/((Vout+Vfwd1+F248/FL248*Rdcr_sec)*Nps+I248)</f>
        <v>0.34842186048293716</v>
      </c>
      <c r="N248" s="149">
        <f t="shared" ref="N248:N279" si="731">M248*I248*(Isw_max+VIN_max/Lmag*ILIM_delay)*0.5*Efficiency</f>
        <v>186.33652087932737</v>
      </c>
      <c r="O248" s="149">
        <f t="shared" si="599"/>
        <v>27.2</v>
      </c>
      <c r="P248" s="188">
        <f t="shared" ref="P248:P279" si="732">N248/Vout</f>
        <v>1.0960971816431022</v>
      </c>
      <c r="Q248" s="188">
        <f t="shared" ref="Q248:Q279" si="733">MIN(Vout,N248/F248)</f>
        <v>170</v>
      </c>
      <c r="R248" s="188"/>
      <c r="S248" s="149">
        <f t="shared" ref="S248:S279" si="734">(SQRT(Isw_max^2*Nps^2*I248^2+4*Isw_max*F248/Efficiency*(Nps^2*Vfwd1*I248-Nps*I248^2)+4*(F248/Efficiency)^2*Nps^2*Vfwd1^2+8*(F248/Efficiency)^2*Nps*Vfwd1*I248+4*(F248/Efficiency)^2*I248^2)-2*F248/Efficiency*I248-2*F248/Efficiency*Nps*Vfwd1+Isw_max*Nps*I248)/(4*F248/Efficiency*Nps)</f>
        <v>3007.2680556154764</v>
      </c>
      <c r="T248" s="149">
        <f t="shared" ref="T248:T279" si="735">MIN(Vout, S248)</f>
        <v>170</v>
      </c>
      <c r="U248" s="188">
        <f t="shared" ref="U248:U279" si="736">MIN(2*(Vout+Vfwd1+F248/FL248*Rdcr_sec)*F248/(I248*M248), Isw_max)</f>
        <v>9.8223062006708162</v>
      </c>
      <c r="V248" s="188">
        <f t="shared" ref="V248:V279" si="737">L*U248/I248*1000000</f>
        <v>0.92272122883011742</v>
      </c>
      <c r="W248" s="188">
        <f t="shared" ref="W248:W279" si="738">L*U248/J248*1000000</f>
        <v>1.725567570566898</v>
      </c>
      <c r="X248" s="172">
        <f t="shared" ref="X248:X279" si="739">IF(1/((350000*L)*(1/I248+1/J248))&gt;Isw_min, 350, 0.001/((Isw_min*L)*(1/I248+1/J248)))</f>
        <v>278.16942216349025</v>
      </c>
      <c r="Y248" s="379">
        <f t="shared" si="680"/>
        <v>350</v>
      </c>
      <c r="AA248" s="188">
        <f t="shared" ref="AA248:AA279" si="740">1/((X248*1000*L)*(1/I248+1/J248))</f>
        <v>13.333333333333334</v>
      </c>
      <c r="AB248" s="150">
        <f t="shared" ref="AB248:AB279" si="741">L*AA248/J248*1000000</f>
        <v>2.3423793900853283</v>
      </c>
      <c r="AC248" s="150">
        <f t="shared" ref="AC248:AC279" si="742">0.5*AB248*AA248*Nps*X248/1000</f>
        <v>0.21719277380923482</v>
      </c>
      <c r="AD248" s="150"/>
      <c r="AE248" s="150">
        <f t="shared" ref="AE248:AE279" si="743">L*Isw_min/J248*1000000</f>
        <v>2.3423793900853283</v>
      </c>
      <c r="AF248" s="314">
        <f t="shared" ref="AF248:AF279" si="744">MAX(12000,F248/(0.5*AE248/1000000*Isw_min*Nps))/1000</f>
        <v>204.919835801029</v>
      </c>
      <c r="AG248" s="456">
        <f t="shared" ref="AG248:AG279" si="745">0.5*AE248/1000000*Isw_min*Nps*X248*1000</f>
        <v>0.21719277380923488</v>
      </c>
      <c r="AI248" s="150">
        <f t="shared" ref="AI248:AI279" si="746">SQRT(F248/(0.5*L/J248*Fsw_DCM*Nps))</f>
        <v>10.202267679476819</v>
      </c>
      <c r="AJ248" s="150">
        <f t="shared" ref="AJ248:AJ279" si="747">MAX(IF(F248&gt;AC248,U248,AI248),Isw_min)</f>
        <v>13.333333333333334</v>
      </c>
      <c r="AK248" s="150">
        <f t="shared" ref="AK248:AK279" si="748">IF(F248&gt;AG248, (AJ248-Isw_min)/1.08*0.8+1.2, AF248*0.2/350+1)</f>
        <v>1.1170970490291594</v>
      </c>
      <c r="AM248" s="314">
        <f t="shared" ref="AM248:AM279" si="749">F248*1000</f>
        <v>160</v>
      </c>
      <c r="AN248" s="144">
        <f t="shared" ref="AN248:AN279" si="750">IF(F248&gt;AG248, Y248, AF248)</f>
        <v>204.919835801029</v>
      </c>
      <c r="AP248">
        <f t="shared" ref="AP248:AP279" si="751">IF(H248&gt;N248, "",AM248)</f>
        <v>160</v>
      </c>
      <c r="AQ248">
        <f t="shared" ref="AQ248:AQ279" si="752">IF(H248&gt;N248, "",AN248)</f>
        <v>204.919835801029</v>
      </c>
      <c r="AS248" s="5">
        <f t="shared" si="600"/>
        <v>4.879957062677768</v>
      </c>
      <c r="AT248" s="5">
        <f t="shared" ref="AT248:AT279" si="753">L*AJ248/I248*1000000</f>
        <v>1.2525520449458871</v>
      </c>
      <c r="AU248" s="5">
        <f t="shared" si="722"/>
        <v>3.6274050177318808</v>
      </c>
      <c r="AV248" s="5"/>
      <c r="AW248" s="150">
        <f t="shared" si="723"/>
        <v>0.25667275938255429</v>
      </c>
      <c r="AX248" s="150">
        <f t="shared" si="631"/>
        <v>27.32264477347054</v>
      </c>
      <c r="AY248" s="150">
        <f t="shared" si="632"/>
        <v>0.24777574687248194</v>
      </c>
      <c r="AZ248" s="150">
        <f t="shared" si="633"/>
        <v>110.27166749912843</v>
      </c>
      <c r="BA248" s="144">
        <f t="shared" si="724"/>
        <v>0.11788725128902466</v>
      </c>
      <c r="BB248" s="5">
        <f t="shared" si="725"/>
        <v>10.298630765029287</v>
      </c>
      <c r="BD248" s="150">
        <f t="shared" si="681"/>
        <v>3.9000304605272325</v>
      </c>
      <c r="BE248" s="150">
        <f t="shared" si="682"/>
        <v>0.33184718495950444</v>
      </c>
      <c r="BG248" s="456">
        <f t="shared" si="683"/>
        <v>5.1714807816336868E-2</v>
      </c>
      <c r="BH248" s="456">
        <f t="shared" ref="BH248:BH279" si="754">0.5*K248*AJ248*AN248*1000*Tfall</f>
        <v>1.6035992422857956</v>
      </c>
      <c r="BI248" s="456">
        <f t="shared" ref="BI248:BI279" si="755">Qg*Vdd*AN248*1000*0+Qg*I248*AN248*1000</f>
        <v>0.14985929754467955</v>
      </c>
      <c r="BJ248" s="456">
        <f t="shared" si="684"/>
        <v>8.4296539841077531E-2</v>
      </c>
      <c r="BK248">
        <f t="shared" si="685"/>
        <v>7.1853301715609098E-3</v>
      </c>
      <c r="BL248" s="144">
        <f t="shared" si="686"/>
        <v>157.04462771624048</v>
      </c>
      <c r="BM248" s="456">
        <f t="shared" ref="BM248:BM279" si="756">(BH248+BI248*0+BJ248+BK248*0+BG248*(1+RdsonTC*(Ta-25)))/(1-BG248*RdsonTC*ThetaJA)</f>
        <v>1.7753885655776582</v>
      </c>
      <c r="BN248" s="144">
        <f t="shared" si="687"/>
        <v>1775.3885655776583</v>
      </c>
      <c r="BO248" s="456">
        <f t="shared" si="637"/>
        <v>0.4</v>
      </c>
      <c r="BR248" s="144">
        <f t="shared" si="688"/>
        <v>400</v>
      </c>
      <c r="BS248" s="456">
        <f t="shared" si="689"/>
        <v>2.2815356389560386E-2</v>
      </c>
      <c r="BT248" s="456">
        <f t="shared" si="690"/>
        <v>2.2024510833109509E-2</v>
      </c>
      <c r="BU248" s="456">
        <f t="shared" si="691"/>
        <v>19.510879373167128</v>
      </c>
      <c r="BV248" s="456"/>
      <c r="BW248" s="456">
        <f t="shared" si="692"/>
        <v>3.643019303129405E-2</v>
      </c>
      <c r="BX248" s="144">
        <f t="shared" si="693"/>
        <v>19592.149433421091</v>
      </c>
      <c r="BY248" s="150">
        <f t="shared" si="694"/>
        <v>21.888804651080541</v>
      </c>
      <c r="BZ248" s="5">
        <f t="shared" si="695"/>
        <v>27.2</v>
      </c>
      <c r="CA248" s="150">
        <f t="shared" si="696"/>
        <v>0.55409782726093082</v>
      </c>
      <c r="CB248" s="5">
        <f t="shared" si="697"/>
        <v>55.409782726093084</v>
      </c>
      <c r="CE248" s="59">
        <f t="shared" ref="CE248:CE279" si="757">IF(ABS(F248-Ioutmax_Vinmax)&lt;Iout/200, AN248, -50)</f>
        <v>-50</v>
      </c>
      <c r="CF248">
        <f t="shared" ref="CF248:CF279" si="758">IF(ABS(F248-Ioutmax_Vinmin)&lt;Iout/200, N248*CA248, -50)</f>
        <v>-50</v>
      </c>
      <c r="CG248" s="150">
        <f t="shared" ref="CG248:CG279" si="759">MIN(SQRT(2*DU248*1000*Ls1_*CL248)/CU248,1-EA248-0.00000005*DU248*1000)</f>
        <v>0.48098722008214817</v>
      </c>
      <c r="CI248" s="147">
        <v>32</v>
      </c>
      <c r="CJ248" s="188">
        <f t="shared" si="698"/>
        <v>0.16</v>
      </c>
      <c r="CK248" s="188"/>
      <c r="CL248" s="188">
        <f t="shared" si="641"/>
        <v>27.2</v>
      </c>
      <c r="CM248" s="465">
        <f t="shared" si="642"/>
        <v>16</v>
      </c>
      <c r="CN248" s="379">
        <f t="shared" si="643"/>
        <v>8.5350000000000001</v>
      </c>
      <c r="CO248" s="379">
        <f t="shared" si="644"/>
        <v>24.535</v>
      </c>
      <c r="CP248" s="379"/>
      <c r="CQ248" s="188">
        <f t="shared" si="645"/>
        <v>0.34787038923986141</v>
      </c>
      <c r="CR248" s="149">
        <f t="shared" si="646"/>
        <v>186.42142245771345</v>
      </c>
      <c r="CS248" s="149">
        <f t="shared" si="647"/>
        <v>27.2</v>
      </c>
      <c r="CT248" s="188">
        <f t="shared" si="648"/>
        <v>1.0965966026924321</v>
      </c>
      <c r="CU248" s="188">
        <f t="shared" si="649"/>
        <v>170</v>
      </c>
      <c r="CV248" s="188"/>
      <c r="CW248" s="149">
        <f t="shared" si="650"/>
        <v>3013.4076505197027</v>
      </c>
      <c r="CX248" s="149">
        <f t="shared" si="651"/>
        <v>170</v>
      </c>
      <c r="CY248" s="188">
        <f t="shared" si="652"/>
        <v>9.7737551259519631</v>
      </c>
      <c r="CZ248" s="188">
        <f t="shared" si="653"/>
        <v>0.91628954305799659</v>
      </c>
      <c r="DA248" s="188">
        <f t="shared" si="654"/>
        <v>1.7177074035064963</v>
      </c>
      <c r="DB248" s="172">
        <f t="shared" si="655"/>
        <v>278.29631139188916</v>
      </c>
      <c r="DC248" s="379">
        <f t="shared" si="656"/>
        <v>350</v>
      </c>
      <c r="DE248" s="188">
        <f t="shared" si="657"/>
        <v>13.333333333333332</v>
      </c>
      <c r="DF248" s="150">
        <f t="shared" si="658"/>
        <v>2.3432923257176332</v>
      </c>
      <c r="DG248" s="150">
        <f t="shared" si="659"/>
        <v>0.21737653692004619</v>
      </c>
      <c r="DH248" s="150"/>
      <c r="DI248" s="150">
        <f t="shared" si="660"/>
        <v>2.3432923257176337</v>
      </c>
      <c r="DJ248" s="314">
        <f t="shared" si="661"/>
        <v>204.83999999999995</v>
      </c>
      <c r="DK248" s="456">
        <f t="shared" si="662"/>
        <v>0.21737653692004627</v>
      </c>
      <c r="DM248" s="150">
        <f t="shared" si="663"/>
        <v>10.20028010819871</v>
      </c>
      <c r="DN248" s="150">
        <f t="shared" si="664"/>
        <v>13.333333333333334</v>
      </c>
      <c r="DO248" s="150">
        <f t="shared" si="665"/>
        <v>1.1170514285714286</v>
      </c>
      <c r="DQ248" s="314">
        <f t="shared" si="666"/>
        <v>160</v>
      </c>
      <c r="DR248" s="144">
        <f t="shared" si="667"/>
        <v>204.83999999999995</v>
      </c>
      <c r="DT248">
        <f t="shared" si="668"/>
        <v>160</v>
      </c>
      <c r="DU248">
        <f t="shared" si="669"/>
        <v>204.83999999999995</v>
      </c>
      <c r="DW248" s="5">
        <f t="shared" si="670"/>
        <v>4.8818590119117369</v>
      </c>
      <c r="DX248" s="5">
        <f t="shared" si="671"/>
        <v>1.25</v>
      </c>
      <c r="DY248" s="5">
        <f t="shared" si="672"/>
        <v>3.6318590119117369</v>
      </c>
      <c r="DZ248" s="5"/>
      <c r="EA248" s="150">
        <f t="shared" si="673"/>
        <v>0.25604999999999994</v>
      </c>
      <c r="EB248" s="150">
        <f t="shared" si="699"/>
        <v>27.312000000000001</v>
      </c>
      <c r="EC248" s="150">
        <f t="shared" si="700"/>
        <v>0.24798333333333339</v>
      </c>
      <c r="ED248" s="150">
        <f t="shared" si="701"/>
        <v>110.13643390012767</v>
      </c>
      <c r="EE248" s="144">
        <f t="shared" si="674"/>
        <v>0.11764705882352941</v>
      </c>
      <c r="EF248" s="5">
        <f t="shared" si="675"/>
        <v>10.290267200416586</v>
      </c>
      <c r="EH248" s="150">
        <f t="shared" si="702"/>
        <v>3.8952963087977444</v>
      </c>
      <c r="EI248" s="150">
        <f t="shared" si="703"/>
        <v>0.33198616660158425</v>
      </c>
      <c r="EK248" s="456">
        <f t="shared" si="704"/>
        <v>5.1589333333333327E-2</v>
      </c>
      <c r="EL248" s="456">
        <f t="shared" si="705"/>
        <v>2.0371037567999997</v>
      </c>
      <c r="EM248" s="456">
        <f t="shared" si="706"/>
        <v>4.6908359999999989E-2</v>
      </c>
      <c r="EN248" s="456">
        <f t="shared" si="707"/>
        <v>8.446513164736498E-2</v>
      </c>
      <c r="EO248">
        <f t="shared" si="708"/>
        <v>7.1999999999999998E-3</v>
      </c>
      <c r="EP248" s="144">
        <f t="shared" si="709"/>
        <v>54.10835999999999</v>
      </c>
      <c r="EQ248" s="144"/>
      <c r="ER248" s="144">
        <f t="shared" si="710"/>
        <v>2227.2665817806978</v>
      </c>
      <c r="ES248" s="456">
        <f t="shared" si="711"/>
        <v>0.4</v>
      </c>
      <c r="EV248" s="144">
        <f t="shared" si="712"/>
        <v>400</v>
      </c>
      <c r="EW248" s="456">
        <f t="shared" si="713"/>
        <v>2.2759999999999999E-2</v>
      </c>
      <c r="EX248" s="456">
        <f t="shared" si="714"/>
        <v>2.2042962962962973E-2</v>
      </c>
      <c r="EY248" s="456">
        <f t="shared" si="715"/>
        <v>19.491881559188865</v>
      </c>
      <c r="EZ248" s="456"/>
      <c r="FA248" s="456">
        <f t="shared" si="716"/>
        <v>3.6415999999999997E-2</v>
      </c>
      <c r="FB248" s="144">
        <f t="shared" si="717"/>
        <v>19573.100522151824</v>
      </c>
      <c r="FC248" s="150">
        <f t="shared" si="718"/>
        <v>22.200367103932525</v>
      </c>
      <c r="FD248" s="5">
        <f t="shared" si="719"/>
        <v>27.2</v>
      </c>
      <c r="FE248" s="150">
        <f t="shared" si="720"/>
        <v>0.55060319577735972</v>
      </c>
      <c r="FF248" s="5">
        <f t="shared" si="721"/>
        <v>55.060319577735974</v>
      </c>
      <c r="FI248" s="59">
        <f t="shared" si="676"/>
        <v>-50</v>
      </c>
      <c r="FJ248">
        <f t="shared" si="677"/>
        <v>-50</v>
      </c>
      <c r="FL248">
        <f t="shared" ref="FL248:FL279" si="760">MIN(SQRT(2*L*DR248*1000*CJ248*(CX248+Vfwd1))/(Nps*(CX248+Vfwd1)), 1-EA248)</f>
        <v>0.47999999999999987</v>
      </c>
    </row>
    <row r="249" spans="5:168">
      <c r="E249" s="147">
        <v>33</v>
      </c>
      <c r="F249" s="188">
        <f t="shared" ref="F249:F280" si="761">IF(PLOT_TYPE=1, E249/100*Iout_max, min_I*EXP(N249*rr/100))</f>
        <v>0.16500000000000001</v>
      </c>
      <c r="G249" s="188"/>
      <c r="H249" s="188">
        <f t="shared" si="726"/>
        <v>28.05</v>
      </c>
      <c r="I249" s="465">
        <f t="shared" si="727"/>
        <v>15.967400381246467</v>
      </c>
      <c r="J249" s="149">
        <f t="shared" si="728"/>
        <v>8.5383264917095438</v>
      </c>
      <c r="K249" s="149">
        <f t="shared" si="729"/>
        <v>24.505726872956011</v>
      </c>
      <c r="L249" s="379"/>
      <c r="M249" s="188">
        <f t="shared" si="730"/>
        <v>0.34842186048293716</v>
      </c>
      <c r="N249" s="149">
        <f t="shared" si="731"/>
        <v>186.33652087932737</v>
      </c>
      <c r="O249" s="149">
        <f t="shared" si="599"/>
        <v>28.05</v>
      </c>
      <c r="P249" s="188">
        <f t="shared" si="732"/>
        <v>1.0960971816431022</v>
      </c>
      <c r="Q249" s="188">
        <f t="shared" si="733"/>
        <v>170</v>
      </c>
      <c r="R249" s="188"/>
      <c r="S249" s="149">
        <f t="shared" si="734"/>
        <v>2906.4663371171464</v>
      </c>
      <c r="T249" s="149">
        <f t="shared" si="735"/>
        <v>170</v>
      </c>
      <c r="U249" s="188">
        <f t="shared" si="736"/>
        <v>10.129253269441779</v>
      </c>
      <c r="V249" s="188">
        <f t="shared" si="737"/>
        <v>0.95155626723105857</v>
      </c>
      <c r="W249" s="188">
        <f t="shared" si="738"/>
        <v>1.7794915571471137</v>
      </c>
      <c r="X249" s="172">
        <f t="shared" si="739"/>
        <v>278.16942216349025</v>
      </c>
      <c r="Y249" s="379">
        <f t="shared" si="680"/>
        <v>341.17491761232247</v>
      </c>
      <c r="AA249" s="188">
        <f t="shared" si="740"/>
        <v>13.333333333333334</v>
      </c>
      <c r="AB249" s="150">
        <f t="shared" si="741"/>
        <v>2.3423793900853283</v>
      </c>
      <c r="AC249" s="150">
        <f t="shared" si="742"/>
        <v>0.21719277380923482</v>
      </c>
      <c r="AD249" s="150"/>
      <c r="AE249" s="150">
        <f t="shared" si="743"/>
        <v>2.3423793900853283</v>
      </c>
      <c r="AF249" s="314">
        <f t="shared" si="744"/>
        <v>211.32358066981118</v>
      </c>
      <c r="AG249" s="456">
        <f t="shared" si="745"/>
        <v>0.21719277380923488</v>
      </c>
      <c r="AI249" s="150">
        <f t="shared" si="746"/>
        <v>10.360451805305734</v>
      </c>
      <c r="AJ249" s="150">
        <f t="shared" si="747"/>
        <v>13.333333333333334</v>
      </c>
      <c r="AK249" s="150">
        <f t="shared" si="748"/>
        <v>1.1207563318113207</v>
      </c>
      <c r="AM249" s="314">
        <f t="shared" si="749"/>
        <v>165</v>
      </c>
      <c r="AN249" s="144">
        <f t="shared" si="750"/>
        <v>211.32358066981118</v>
      </c>
      <c r="AP249">
        <f t="shared" si="751"/>
        <v>165</v>
      </c>
      <c r="AQ249">
        <f t="shared" si="752"/>
        <v>211.32358066981118</v>
      </c>
      <c r="AS249" s="5">
        <f t="shared" si="600"/>
        <v>4.7320795759299568</v>
      </c>
      <c r="AT249" s="5">
        <f t="shared" si="753"/>
        <v>1.2525520449458871</v>
      </c>
      <c r="AU249" s="5">
        <f t="shared" si="722"/>
        <v>3.4795275309840696</v>
      </c>
      <c r="AV249" s="5"/>
      <c r="AW249" s="150">
        <f t="shared" si="723"/>
        <v>0.26469378311325908</v>
      </c>
      <c r="AX249" s="150">
        <f t="shared" si="631"/>
        <v>28.176477422641497</v>
      </c>
      <c r="AY249" s="150">
        <f t="shared" si="632"/>
        <v>0.24510207229558034</v>
      </c>
      <c r="AZ249" s="150">
        <f t="shared" si="633"/>
        <v>114.95813625215756</v>
      </c>
      <c r="BA249" s="144">
        <f t="shared" si="724"/>
        <v>0.1215712278918067</v>
      </c>
      <c r="BB249" s="5">
        <f t="shared" si="725"/>
        <v>10.187501295737336</v>
      </c>
      <c r="BD249" s="150">
        <f t="shared" si="681"/>
        <v>3.9604996550716631</v>
      </c>
      <c r="BE249" s="150">
        <f t="shared" si="682"/>
        <v>0.3300518964550746</v>
      </c>
      <c r="BG249" s="456">
        <f t="shared" si="683"/>
        <v>5.3330895560597384E-2</v>
      </c>
      <c r="BH249" s="456">
        <f t="shared" si="754"/>
        <v>1.6537117186072268</v>
      </c>
      <c r="BI249" s="456">
        <f t="shared" si="755"/>
        <v>0.15454240059295082</v>
      </c>
      <c r="BJ249" s="456">
        <f t="shared" si="684"/>
        <v>8.6930806711111211E-2</v>
      </c>
      <c r="BK249">
        <f t="shared" si="685"/>
        <v>7.1853301715609098E-3</v>
      </c>
      <c r="BL249" s="144">
        <f t="shared" si="686"/>
        <v>161.72773076451173</v>
      </c>
      <c r="BM249" s="456">
        <f t="shared" si="756"/>
        <v>1.8315815026021536</v>
      </c>
      <c r="BN249" s="144">
        <f t="shared" si="687"/>
        <v>1831.5815026021535</v>
      </c>
      <c r="BO249" s="456">
        <f t="shared" si="637"/>
        <v>0.41250000000000003</v>
      </c>
      <c r="BR249" s="144">
        <f t="shared" si="688"/>
        <v>412.50000000000006</v>
      </c>
      <c r="BS249" s="456">
        <f t="shared" si="689"/>
        <v>2.3528336276734143E-2</v>
      </c>
      <c r="BT249" s="456">
        <f t="shared" si="690"/>
        <v>2.1786850870718258E-2</v>
      </c>
      <c r="BU249" s="456">
        <f t="shared" si="691"/>
        <v>21.071077661464631</v>
      </c>
      <c r="BV249" s="456"/>
      <c r="BW249" s="456">
        <f t="shared" si="692"/>
        <v>3.7568636563521995E-2</v>
      </c>
      <c r="BX249" s="144">
        <f t="shared" si="693"/>
        <v>21153.961485175605</v>
      </c>
      <c r="BY249" s="150">
        <f t="shared" si="694"/>
        <v>23.522162636819051</v>
      </c>
      <c r="BZ249" s="5">
        <f t="shared" si="695"/>
        <v>28.05</v>
      </c>
      <c r="CA249" s="150">
        <f t="shared" si="696"/>
        <v>0.54389807535381873</v>
      </c>
      <c r="CB249" s="5">
        <f t="shared" si="697"/>
        <v>54.389807535381877</v>
      </c>
      <c r="CE249" s="59">
        <f t="shared" si="757"/>
        <v>-50</v>
      </c>
      <c r="CF249">
        <f t="shared" si="758"/>
        <v>-50</v>
      </c>
      <c r="CG249" s="150">
        <f t="shared" si="759"/>
        <v>0.49601807070971532</v>
      </c>
      <c r="CI249" s="147">
        <v>33</v>
      </c>
      <c r="CJ249" s="188">
        <f t="shared" si="698"/>
        <v>0.16500000000000001</v>
      </c>
      <c r="CK249" s="188"/>
      <c r="CL249" s="188">
        <f t="shared" si="641"/>
        <v>28.05</v>
      </c>
      <c r="CM249" s="465">
        <f t="shared" si="642"/>
        <v>16</v>
      </c>
      <c r="CN249" s="379">
        <f t="shared" si="643"/>
        <v>8.5350000000000001</v>
      </c>
      <c r="CO249" s="379">
        <f t="shared" si="644"/>
        <v>24.535</v>
      </c>
      <c r="CP249" s="379"/>
      <c r="CQ249" s="188">
        <f t="shared" si="645"/>
        <v>0.34787038923986141</v>
      </c>
      <c r="CR249" s="149">
        <f t="shared" si="646"/>
        <v>186.42142245771345</v>
      </c>
      <c r="CS249" s="149">
        <f t="shared" si="647"/>
        <v>28.05</v>
      </c>
      <c r="CT249" s="188">
        <f t="shared" si="648"/>
        <v>1.0965966026924321</v>
      </c>
      <c r="CU249" s="188">
        <f t="shared" si="649"/>
        <v>170</v>
      </c>
      <c r="CV249" s="188"/>
      <c r="CW249" s="149">
        <f t="shared" si="650"/>
        <v>2912.4001263503119</v>
      </c>
      <c r="CX249" s="149">
        <f t="shared" si="651"/>
        <v>170</v>
      </c>
      <c r="CY249" s="188">
        <f t="shared" si="652"/>
        <v>10.079184973637961</v>
      </c>
      <c r="CZ249" s="188">
        <f t="shared" si="653"/>
        <v>0.94492359127855885</v>
      </c>
      <c r="DA249" s="188">
        <f t="shared" si="654"/>
        <v>1.7713857598660738</v>
      </c>
      <c r="DB249" s="172">
        <f t="shared" si="655"/>
        <v>278.29631139188916</v>
      </c>
      <c r="DC249" s="379">
        <f t="shared" si="656"/>
        <v>350</v>
      </c>
      <c r="DE249" s="188">
        <f t="shared" si="657"/>
        <v>13.333333333333332</v>
      </c>
      <c r="DF249" s="150">
        <f t="shared" si="658"/>
        <v>2.3432923257176332</v>
      </c>
      <c r="DG249" s="150">
        <f t="shared" si="659"/>
        <v>0.21737653692004619</v>
      </c>
      <c r="DH249" s="150"/>
      <c r="DI249" s="150">
        <f t="shared" si="660"/>
        <v>2.3432923257176337</v>
      </c>
      <c r="DJ249" s="314">
        <f t="shared" si="661"/>
        <v>211.24124999999995</v>
      </c>
      <c r="DK249" s="456">
        <f t="shared" si="662"/>
        <v>0.21737653692004627</v>
      </c>
      <c r="DM249" s="150">
        <f t="shared" si="663"/>
        <v>10.358433417131321</v>
      </c>
      <c r="DN249" s="150">
        <f t="shared" si="664"/>
        <v>13.333333333333334</v>
      </c>
      <c r="DO249" s="150">
        <f t="shared" si="665"/>
        <v>1.1207092857142857</v>
      </c>
      <c r="DQ249" s="314">
        <f t="shared" si="666"/>
        <v>165</v>
      </c>
      <c r="DR249" s="144">
        <f t="shared" si="667"/>
        <v>211.24124999999995</v>
      </c>
      <c r="DT249">
        <f t="shared" si="668"/>
        <v>165</v>
      </c>
      <c r="DU249">
        <f t="shared" si="669"/>
        <v>211.24124999999995</v>
      </c>
      <c r="DW249" s="5">
        <f t="shared" si="670"/>
        <v>4.7339238903386542</v>
      </c>
      <c r="DX249" s="5">
        <f t="shared" si="671"/>
        <v>1.25</v>
      </c>
      <c r="DY249" s="5">
        <f t="shared" si="672"/>
        <v>3.4839238903386542</v>
      </c>
      <c r="DZ249" s="5"/>
      <c r="EA249" s="150">
        <f t="shared" si="673"/>
        <v>0.26405156249999995</v>
      </c>
      <c r="EB249" s="150">
        <f t="shared" si="699"/>
        <v>28.165499999999998</v>
      </c>
      <c r="EC249" s="150">
        <f t="shared" si="700"/>
        <v>0.24531614583333339</v>
      </c>
      <c r="ED249" s="150">
        <f t="shared" si="701"/>
        <v>114.81307071869416</v>
      </c>
      <c r="EE249" s="144">
        <f t="shared" si="674"/>
        <v>0.12132352941176472</v>
      </c>
      <c r="EF249" s="5">
        <f t="shared" si="675"/>
        <v>10.179590117083254</v>
      </c>
      <c r="EH249" s="150">
        <f t="shared" si="702"/>
        <v>3.9556921012636965</v>
      </c>
      <c r="EI249" s="150">
        <f t="shared" si="703"/>
        <v>0.33019599959440482</v>
      </c>
      <c r="EK249" s="456">
        <f t="shared" si="704"/>
        <v>5.3201499999999992E-2</v>
      </c>
      <c r="EL249" s="456">
        <f t="shared" si="705"/>
        <v>2.1007632491999995</v>
      </c>
      <c r="EM249" s="456">
        <f t="shared" si="706"/>
        <v>4.8374246249999989E-2</v>
      </c>
      <c r="EN249" s="456">
        <f t="shared" si="707"/>
        <v>8.710466701134513E-2</v>
      </c>
      <c r="EO249">
        <f t="shared" si="708"/>
        <v>7.1999999999999998E-3</v>
      </c>
      <c r="EP249" s="144">
        <f t="shared" si="709"/>
        <v>55.574246249999987</v>
      </c>
      <c r="EQ249" s="144"/>
      <c r="ER249" s="144">
        <f t="shared" si="710"/>
        <v>2296.6436624613448</v>
      </c>
      <c r="ES249" s="456">
        <f t="shared" si="711"/>
        <v>0.41250000000000003</v>
      </c>
      <c r="EV249" s="144">
        <f t="shared" si="712"/>
        <v>412.50000000000006</v>
      </c>
      <c r="EW249" s="456">
        <f t="shared" si="713"/>
        <v>2.3471249999999999E-2</v>
      </c>
      <c r="EX249" s="456">
        <f t="shared" si="714"/>
        <v>2.180587962962964E-2</v>
      </c>
      <c r="EY249" s="456">
        <f t="shared" si="715"/>
        <v>21.050560676756881</v>
      </c>
      <c r="EZ249" s="456"/>
      <c r="FA249" s="456">
        <f t="shared" si="716"/>
        <v>3.7553999999999997E-2</v>
      </c>
      <c r="FB249" s="144">
        <f t="shared" si="717"/>
        <v>21133.391806386509</v>
      </c>
      <c r="FC249" s="150">
        <f t="shared" si="718"/>
        <v>23.842535468847856</v>
      </c>
      <c r="FD249" s="5">
        <f t="shared" si="719"/>
        <v>28.05</v>
      </c>
      <c r="FE249" s="150">
        <f t="shared" si="720"/>
        <v>0.5405401710779576</v>
      </c>
      <c r="FF249" s="5">
        <f t="shared" si="721"/>
        <v>54.054017107795758</v>
      </c>
      <c r="FI249" s="59">
        <f t="shared" si="676"/>
        <v>-50</v>
      </c>
      <c r="FJ249">
        <f t="shared" si="677"/>
        <v>-50</v>
      </c>
      <c r="FL249">
        <f t="shared" si="760"/>
        <v>0.49499999999999988</v>
      </c>
    </row>
    <row r="250" spans="5:168">
      <c r="E250" s="147">
        <v>34</v>
      </c>
      <c r="F250" s="188">
        <f t="shared" si="761"/>
        <v>0.17</v>
      </c>
      <c r="G250" s="188"/>
      <c r="H250" s="188">
        <f t="shared" si="726"/>
        <v>28.900000000000002</v>
      </c>
      <c r="I250" s="465">
        <f t="shared" si="727"/>
        <v>15.967400381246467</v>
      </c>
      <c r="J250" s="149">
        <f t="shared" si="728"/>
        <v>8.5383264917095438</v>
      </c>
      <c r="K250" s="149">
        <f t="shared" si="729"/>
        <v>24.505726872956011</v>
      </c>
      <c r="L250" s="379"/>
      <c r="M250" s="188">
        <f t="shared" si="730"/>
        <v>0.34842186048293716</v>
      </c>
      <c r="N250" s="149">
        <f t="shared" si="731"/>
        <v>186.33652087932737</v>
      </c>
      <c r="O250" s="149">
        <f t="shared" si="599"/>
        <v>28.900000000000002</v>
      </c>
      <c r="P250" s="188">
        <f t="shared" si="732"/>
        <v>1.0960971816431022</v>
      </c>
      <c r="Q250" s="188">
        <f t="shared" si="733"/>
        <v>170</v>
      </c>
      <c r="R250" s="188"/>
      <c r="S250" s="149">
        <f t="shared" si="734"/>
        <v>2811.5943002116746</v>
      </c>
      <c r="T250" s="149">
        <f t="shared" si="735"/>
        <v>170</v>
      </c>
      <c r="U250" s="188">
        <f t="shared" si="736"/>
        <v>10.436200338212743</v>
      </c>
      <c r="V250" s="188">
        <f t="shared" si="737"/>
        <v>0.98039130563199972</v>
      </c>
      <c r="W250" s="188">
        <f t="shared" si="738"/>
        <v>1.8334155437273294</v>
      </c>
      <c r="X250" s="172">
        <f t="shared" si="739"/>
        <v>278.16942216349025</v>
      </c>
      <c r="Y250" s="379">
        <f t="shared" si="680"/>
        <v>331.80626695190455</v>
      </c>
      <c r="AA250" s="188">
        <f t="shared" si="740"/>
        <v>13.333333333333334</v>
      </c>
      <c r="AB250" s="150">
        <f t="shared" si="741"/>
        <v>2.3423793900853283</v>
      </c>
      <c r="AC250" s="150">
        <f t="shared" si="742"/>
        <v>0.21719277380923482</v>
      </c>
      <c r="AD250" s="150"/>
      <c r="AE250" s="150">
        <f t="shared" si="743"/>
        <v>2.3423793900853283</v>
      </c>
      <c r="AF250" s="314">
        <f t="shared" si="744"/>
        <v>217.72732553859331</v>
      </c>
      <c r="AG250" s="456">
        <f t="shared" si="745"/>
        <v>0.21719277380923488</v>
      </c>
      <c r="AI250" s="150">
        <f t="shared" si="746"/>
        <v>10.516256815827026</v>
      </c>
      <c r="AJ250" s="150">
        <f t="shared" si="747"/>
        <v>13.333333333333334</v>
      </c>
      <c r="AK250" s="150">
        <f t="shared" si="748"/>
        <v>1.1244156145934818</v>
      </c>
      <c r="AM250" s="314">
        <f t="shared" si="749"/>
        <v>170</v>
      </c>
      <c r="AN250" s="144">
        <f t="shared" si="750"/>
        <v>217.72732553859331</v>
      </c>
      <c r="AP250">
        <f t="shared" si="751"/>
        <v>170</v>
      </c>
      <c r="AQ250">
        <f t="shared" si="752"/>
        <v>217.72732553859331</v>
      </c>
      <c r="AS250" s="5">
        <f t="shared" si="600"/>
        <v>4.5929007648731943</v>
      </c>
      <c r="AT250" s="5">
        <f t="shared" si="753"/>
        <v>1.2525520449458871</v>
      </c>
      <c r="AU250" s="5">
        <f t="shared" si="722"/>
        <v>3.3403487199273072</v>
      </c>
      <c r="AV250" s="5"/>
      <c r="AW250" s="150">
        <f t="shared" si="723"/>
        <v>0.27271480684396388</v>
      </c>
      <c r="AX250" s="150">
        <f t="shared" si="631"/>
        <v>29.030310071812448</v>
      </c>
      <c r="AY250" s="150">
        <f t="shared" si="632"/>
        <v>0.24242839771867875</v>
      </c>
      <c r="AZ250" s="150">
        <f t="shared" si="633"/>
        <v>119.74797649531182</v>
      </c>
      <c r="BA250" s="144">
        <f t="shared" si="724"/>
        <v>0.12525520449458871</v>
      </c>
      <c r="BB250" s="5">
        <f t="shared" si="725"/>
        <v>10.07637182644539</v>
      </c>
      <c r="BD250" s="150">
        <f t="shared" si="681"/>
        <v>4.0200593829700164</v>
      </c>
      <c r="BE250" s="150">
        <f t="shared" si="682"/>
        <v>0.32824678908046462</v>
      </c>
      <c r="BG250" s="456">
        <f t="shared" si="683"/>
        <v>5.4946983304857915E-2</v>
      </c>
      <c r="BH250" s="456">
        <f t="shared" si="754"/>
        <v>1.7038241949286577</v>
      </c>
      <c r="BI250" s="456">
        <f t="shared" si="755"/>
        <v>0.15922550364122204</v>
      </c>
      <c r="BJ250" s="456">
        <f t="shared" si="684"/>
        <v>8.9565073581144863E-2</v>
      </c>
      <c r="BK250">
        <f t="shared" si="685"/>
        <v>7.1853301715609098E-3</v>
      </c>
      <c r="BL250" s="144">
        <f t="shared" si="686"/>
        <v>166.41083381278295</v>
      </c>
      <c r="BM250" s="456">
        <f t="shared" si="756"/>
        <v>1.887818164677866</v>
      </c>
      <c r="BN250" s="144">
        <f t="shared" si="687"/>
        <v>1887.818164677866</v>
      </c>
      <c r="BO250" s="456">
        <f t="shared" si="637"/>
        <v>0.42500000000000004</v>
      </c>
      <c r="BR250" s="144">
        <f t="shared" si="688"/>
        <v>425.00000000000006</v>
      </c>
      <c r="BS250" s="456">
        <f t="shared" si="689"/>
        <v>2.4241316163907903E-2</v>
      </c>
      <c r="BT250" s="456">
        <f t="shared" si="690"/>
        <v>2.1549190908327007E-2</v>
      </c>
      <c r="BU250" s="456">
        <f t="shared" si="691"/>
        <v>22.703833368876058</v>
      </c>
      <c r="BV250" s="456"/>
      <c r="BW250" s="456">
        <f t="shared" si="692"/>
        <v>3.8707080095749934E-2</v>
      </c>
      <c r="BX250" s="144">
        <f t="shared" si="693"/>
        <v>22788.330956044043</v>
      </c>
      <c r="BY250" s="150">
        <f t="shared" si="694"/>
        <v>25.228078041671488</v>
      </c>
      <c r="BZ250" s="5">
        <f t="shared" si="695"/>
        <v>28.900000000000002</v>
      </c>
      <c r="CA250" s="150">
        <f t="shared" si="696"/>
        <v>0.53391882818656167</v>
      </c>
      <c r="CB250" s="5">
        <f t="shared" si="697"/>
        <v>53.391882818656164</v>
      </c>
      <c r="CE250" s="59">
        <f t="shared" si="757"/>
        <v>-50</v>
      </c>
      <c r="CF250">
        <f t="shared" si="758"/>
        <v>-50</v>
      </c>
      <c r="CG250" s="150">
        <f t="shared" si="759"/>
        <v>0.51104892133728252</v>
      </c>
      <c r="CI250" s="147">
        <v>34</v>
      </c>
      <c r="CJ250" s="188">
        <f t="shared" si="698"/>
        <v>0.17</v>
      </c>
      <c r="CK250" s="188"/>
      <c r="CL250" s="188">
        <f t="shared" si="641"/>
        <v>28.900000000000002</v>
      </c>
      <c r="CM250" s="465">
        <f t="shared" si="642"/>
        <v>16</v>
      </c>
      <c r="CN250" s="379">
        <f t="shared" si="643"/>
        <v>8.5350000000000001</v>
      </c>
      <c r="CO250" s="379">
        <f t="shared" si="644"/>
        <v>24.535</v>
      </c>
      <c r="CP250" s="379"/>
      <c r="CQ250" s="188">
        <f t="shared" si="645"/>
        <v>0.34787038923986141</v>
      </c>
      <c r="CR250" s="149">
        <f t="shared" si="646"/>
        <v>186.42142245771345</v>
      </c>
      <c r="CS250" s="149">
        <f t="shared" si="647"/>
        <v>28.900000000000002</v>
      </c>
      <c r="CT250" s="188">
        <f t="shared" si="648"/>
        <v>1.0965966026924321</v>
      </c>
      <c r="CU250" s="188">
        <f t="shared" si="649"/>
        <v>170</v>
      </c>
      <c r="CV250" s="188"/>
      <c r="CW250" s="149">
        <f t="shared" si="650"/>
        <v>2817.3343899900278</v>
      </c>
      <c r="CX250" s="149">
        <f t="shared" si="651"/>
        <v>170</v>
      </c>
      <c r="CY250" s="188">
        <f t="shared" si="652"/>
        <v>10.384614821323961</v>
      </c>
      <c r="CZ250" s="188">
        <f t="shared" si="653"/>
        <v>0.97355763949912144</v>
      </c>
      <c r="DA250" s="188">
        <f t="shared" si="654"/>
        <v>1.8250641162256522</v>
      </c>
      <c r="DB250" s="172">
        <f t="shared" si="655"/>
        <v>278.29631139188916</v>
      </c>
      <c r="DC250" s="379">
        <f t="shared" si="656"/>
        <v>350</v>
      </c>
      <c r="DE250" s="188">
        <f t="shared" si="657"/>
        <v>13.333333333333332</v>
      </c>
      <c r="DF250" s="150">
        <f t="shared" si="658"/>
        <v>2.3432923257176332</v>
      </c>
      <c r="DG250" s="150">
        <f t="shared" si="659"/>
        <v>0.21737653692004619</v>
      </c>
      <c r="DH250" s="150"/>
      <c r="DI250" s="150">
        <f t="shared" si="660"/>
        <v>2.3432923257176337</v>
      </c>
      <c r="DJ250" s="314">
        <f t="shared" si="661"/>
        <v>217.64249999999996</v>
      </c>
      <c r="DK250" s="456">
        <f t="shared" si="662"/>
        <v>0.21737653692004627</v>
      </c>
      <c r="DM250" s="150">
        <f t="shared" si="663"/>
        <v>10.514208074247504</v>
      </c>
      <c r="DN250" s="150">
        <f t="shared" si="664"/>
        <v>13.333333333333334</v>
      </c>
      <c r="DO250" s="150">
        <f t="shared" si="665"/>
        <v>1.1243671428571429</v>
      </c>
      <c r="DQ250" s="314">
        <f t="shared" si="666"/>
        <v>170</v>
      </c>
      <c r="DR250" s="144">
        <f t="shared" si="667"/>
        <v>217.64249999999996</v>
      </c>
      <c r="DT250">
        <f t="shared" si="668"/>
        <v>170</v>
      </c>
      <c r="DU250">
        <f t="shared" si="669"/>
        <v>217.64249999999996</v>
      </c>
      <c r="DW250" s="5">
        <f t="shared" si="670"/>
        <v>4.594690834740458</v>
      </c>
      <c r="DX250" s="5">
        <f t="shared" si="671"/>
        <v>1.25</v>
      </c>
      <c r="DY250" s="5">
        <f t="shared" si="672"/>
        <v>3.344690834740458</v>
      </c>
      <c r="DZ250" s="5"/>
      <c r="EA250" s="150">
        <f t="shared" si="673"/>
        <v>0.27205312499999995</v>
      </c>
      <c r="EB250" s="150">
        <f t="shared" si="699"/>
        <v>29.018999999999998</v>
      </c>
      <c r="EC250" s="150">
        <f t="shared" si="700"/>
        <v>0.24264895833333336</v>
      </c>
      <c r="ED250" s="150">
        <f t="shared" si="701"/>
        <v>119.5925183413968</v>
      </c>
      <c r="EE250" s="144">
        <f t="shared" si="674"/>
        <v>0.125</v>
      </c>
      <c r="EF250" s="5">
        <f t="shared" si="675"/>
        <v>10.068913033749919</v>
      </c>
      <c r="EH250" s="150">
        <f t="shared" si="702"/>
        <v>4.0151795310629215</v>
      </c>
      <c r="EI250" s="150">
        <f t="shared" si="703"/>
        <v>0.32839607409571986</v>
      </c>
      <c r="EK250" s="456">
        <f t="shared" si="704"/>
        <v>5.4813666666666649E-2</v>
      </c>
      <c r="EL250" s="456">
        <f t="shared" si="705"/>
        <v>2.1644227415999997</v>
      </c>
      <c r="EM250" s="456">
        <f t="shared" si="706"/>
        <v>4.9840132499999988E-2</v>
      </c>
      <c r="EN250" s="456">
        <f t="shared" si="707"/>
        <v>8.9744202375325294E-2</v>
      </c>
      <c r="EO250">
        <f t="shared" si="708"/>
        <v>7.1999999999999998E-3</v>
      </c>
      <c r="EP250" s="144">
        <f t="shared" si="709"/>
        <v>57.040132499999984</v>
      </c>
      <c r="EQ250" s="144"/>
      <c r="ER250" s="144">
        <f t="shared" si="710"/>
        <v>2366.0207431419917</v>
      </c>
      <c r="ES250" s="456">
        <f t="shared" si="711"/>
        <v>0.42500000000000004</v>
      </c>
      <c r="EV250" s="144">
        <f t="shared" si="712"/>
        <v>425.00000000000006</v>
      </c>
      <c r="EW250" s="456">
        <f t="shared" si="713"/>
        <v>2.4182499999999996E-2</v>
      </c>
      <c r="EX250" s="456">
        <f t="shared" si="714"/>
        <v>2.1568796296296308E-2</v>
      </c>
      <c r="EY250" s="456">
        <f t="shared" si="715"/>
        <v>22.68172656401687</v>
      </c>
      <c r="EZ250" s="456"/>
      <c r="FA250" s="456">
        <f t="shared" si="716"/>
        <v>3.8692000000000004E-2</v>
      </c>
      <c r="FB250" s="144">
        <f t="shared" si="717"/>
        <v>22766.169860313166</v>
      </c>
      <c r="FC250" s="150">
        <f t="shared" si="718"/>
        <v>25.557190603455158</v>
      </c>
      <c r="FD250" s="5">
        <f t="shared" si="719"/>
        <v>28.900000000000002</v>
      </c>
      <c r="FE250" s="150">
        <f t="shared" si="720"/>
        <v>0.53069208454845218</v>
      </c>
      <c r="FF250" s="5">
        <f t="shared" si="721"/>
        <v>53.069208454845217</v>
      </c>
      <c r="FI250" s="59">
        <f t="shared" si="676"/>
        <v>-50</v>
      </c>
      <c r="FJ250">
        <f t="shared" si="677"/>
        <v>-50</v>
      </c>
      <c r="FL250">
        <f t="shared" si="760"/>
        <v>0.5099999999999999</v>
      </c>
    </row>
    <row r="251" spans="5:168">
      <c r="E251" s="147">
        <v>35</v>
      </c>
      <c r="F251" s="188">
        <f t="shared" si="761"/>
        <v>0.17499999999999999</v>
      </c>
      <c r="G251" s="188"/>
      <c r="H251" s="188">
        <f t="shared" si="726"/>
        <v>29.749999999999996</v>
      </c>
      <c r="I251" s="465">
        <f t="shared" si="727"/>
        <v>15.967400381246467</v>
      </c>
      <c r="J251" s="149">
        <f t="shared" si="728"/>
        <v>8.5383264917095438</v>
      </c>
      <c r="K251" s="149">
        <f t="shared" si="729"/>
        <v>24.505726872956011</v>
      </c>
      <c r="L251" s="379"/>
      <c r="M251" s="188">
        <f t="shared" si="730"/>
        <v>0.34842186048293716</v>
      </c>
      <c r="N251" s="149">
        <f t="shared" si="731"/>
        <v>186.33652087932737</v>
      </c>
      <c r="O251" s="149">
        <f t="shared" si="599"/>
        <v>29.749999999999996</v>
      </c>
      <c r="P251" s="188">
        <f t="shared" si="732"/>
        <v>1.0960971816431022</v>
      </c>
      <c r="Q251" s="188">
        <f t="shared" si="733"/>
        <v>170</v>
      </c>
      <c r="R251" s="188"/>
      <c r="S251" s="149">
        <f t="shared" si="734"/>
        <v>2722.1436881193254</v>
      </c>
      <c r="T251" s="149">
        <f t="shared" si="735"/>
        <v>170</v>
      </c>
      <c r="U251" s="188">
        <f t="shared" si="736"/>
        <v>10.743147406983704</v>
      </c>
      <c r="V251" s="188">
        <f t="shared" si="737"/>
        <v>1.0092263440329408</v>
      </c>
      <c r="W251" s="188">
        <f t="shared" si="738"/>
        <v>1.8873395303075446</v>
      </c>
      <c r="X251" s="172">
        <f t="shared" si="739"/>
        <v>278.16942216349025</v>
      </c>
      <c r="Y251" s="379">
        <f t="shared" si="680"/>
        <v>322.93839064960395</v>
      </c>
      <c r="AA251" s="188">
        <f t="shared" si="740"/>
        <v>13.333333333333334</v>
      </c>
      <c r="AB251" s="150">
        <f t="shared" si="741"/>
        <v>2.3423793900853283</v>
      </c>
      <c r="AC251" s="150">
        <f t="shared" si="742"/>
        <v>0.21719277380923482</v>
      </c>
      <c r="AD251" s="150"/>
      <c r="AE251" s="150">
        <f t="shared" si="743"/>
        <v>2.3423793900853283</v>
      </c>
      <c r="AF251" s="314">
        <f t="shared" si="744"/>
        <v>224.13107040737546</v>
      </c>
      <c r="AG251" s="456">
        <f t="shared" si="745"/>
        <v>0.21719277380923488</v>
      </c>
      <c r="AI251" s="150">
        <f t="shared" si="746"/>
        <v>10.669786934273519</v>
      </c>
      <c r="AJ251" s="150">
        <f t="shared" si="747"/>
        <v>13.333333333333334</v>
      </c>
      <c r="AK251" s="150">
        <f t="shared" si="748"/>
        <v>1.1280748973756431</v>
      </c>
      <c r="AM251" s="314">
        <f t="shared" si="749"/>
        <v>175</v>
      </c>
      <c r="AN251" s="144">
        <f t="shared" si="750"/>
        <v>224.13107040737546</v>
      </c>
      <c r="AP251">
        <f t="shared" si="751"/>
        <v>175</v>
      </c>
      <c r="AQ251">
        <f t="shared" si="752"/>
        <v>224.13107040737546</v>
      </c>
      <c r="AS251" s="5">
        <f t="shared" si="600"/>
        <v>4.4616750287339597</v>
      </c>
      <c r="AT251" s="5">
        <f t="shared" si="753"/>
        <v>1.2525520449458871</v>
      </c>
      <c r="AU251" s="5">
        <f t="shared" si="722"/>
        <v>3.2091229837880726</v>
      </c>
      <c r="AV251" s="5"/>
      <c r="AW251" s="150">
        <f t="shared" si="723"/>
        <v>0.28073583057466872</v>
      </c>
      <c r="AX251" s="150">
        <f t="shared" si="631"/>
        <v>29.884142720983405</v>
      </c>
      <c r="AY251" s="150">
        <f t="shared" si="632"/>
        <v>0.23975472314177709</v>
      </c>
      <c r="AZ251" s="150">
        <f t="shared" si="633"/>
        <v>124.64464653449872</v>
      </c>
      <c r="BA251" s="144">
        <f t="shared" si="724"/>
        <v>0.12893918109737071</v>
      </c>
      <c r="BB251" s="5">
        <f t="shared" si="725"/>
        <v>9.9652423571534374</v>
      </c>
      <c r="BD251" s="150">
        <f t="shared" si="681"/>
        <v>4.0787494857355213</v>
      </c>
      <c r="BE251" s="150">
        <f t="shared" si="682"/>
        <v>0.32643169994606641</v>
      </c>
      <c r="BG251" s="456">
        <f t="shared" si="683"/>
        <v>5.6563071049118452E-2</v>
      </c>
      <c r="BH251" s="456">
        <f t="shared" si="754"/>
        <v>1.753936671250089</v>
      </c>
      <c r="BI251" s="456">
        <f t="shared" si="755"/>
        <v>0.16390860668949328</v>
      </c>
      <c r="BJ251" s="456">
        <f t="shared" si="684"/>
        <v>9.219934045117853E-2</v>
      </c>
      <c r="BK251">
        <f t="shared" si="685"/>
        <v>7.1853301715609098E-3</v>
      </c>
      <c r="BL251" s="144">
        <f t="shared" si="686"/>
        <v>171.0939368610542</v>
      </c>
      <c r="BM251" s="456">
        <f t="shared" si="756"/>
        <v>1.9440986028599014</v>
      </c>
      <c r="BN251" s="144">
        <f t="shared" si="687"/>
        <v>1944.0986028599013</v>
      </c>
      <c r="BO251" s="456">
        <f t="shared" si="637"/>
        <v>0.4375</v>
      </c>
      <c r="BR251" s="144">
        <f t="shared" si="688"/>
        <v>437.5</v>
      </c>
      <c r="BS251" s="456">
        <f t="shared" si="689"/>
        <v>2.4954296051081671E-2</v>
      </c>
      <c r="BT251" s="456">
        <f t="shared" si="690"/>
        <v>2.1311530945935749E-2</v>
      </c>
      <c r="BU251" s="456">
        <f t="shared" si="691"/>
        <v>24.410237727319341</v>
      </c>
      <c r="BV251" s="456"/>
      <c r="BW251" s="456">
        <f t="shared" si="692"/>
        <v>3.9845523627977865E-2</v>
      </c>
      <c r="BX251" s="144">
        <f t="shared" si="693"/>
        <v>24496.349077944338</v>
      </c>
      <c r="BY251" s="150">
        <f t="shared" si="694"/>
        <v>27.007642097555777</v>
      </c>
      <c r="BZ251" s="5">
        <f t="shared" si="695"/>
        <v>29.749999999999996</v>
      </c>
      <c r="CA251" s="150">
        <f t="shared" si="696"/>
        <v>0.5241584903908677</v>
      </c>
      <c r="CB251" s="5">
        <f t="shared" si="697"/>
        <v>52.415849039086773</v>
      </c>
      <c r="CE251" s="59">
        <f t="shared" si="757"/>
        <v>-50</v>
      </c>
      <c r="CF251">
        <f t="shared" si="758"/>
        <v>-50</v>
      </c>
      <c r="CG251" s="150">
        <f t="shared" si="759"/>
        <v>0.52607977196484945</v>
      </c>
      <c r="CI251" s="147">
        <v>35</v>
      </c>
      <c r="CJ251" s="188">
        <f t="shared" si="698"/>
        <v>0.17499999999999999</v>
      </c>
      <c r="CK251" s="188"/>
      <c r="CL251" s="188">
        <f t="shared" si="641"/>
        <v>29.749999999999996</v>
      </c>
      <c r="CM251" s="465">
        <f t="shared" si="642"/>
        <v>16</v>
      </c>
      <c r="CN251" s="379">
        <f t="shared" si="643"/>
        <v>8.5350000000000001</v>
      </c>
      <c r="CO251" s="379">
        <f t="shared" si="644"/>
        <v>24.535</v>
      </c>
      <c r="CP251" s="379"/>
      <c r="CQ251" s="188">
        <f t="shared" si="645"/>
        <v>0.34787038923986141</v>
      </c>
      <c r="CR251" s="149">
        <f t="shared" si="646"/>
        <v>186.42142245771345</v>
      </c>
      <c r="CS251" s="149">
        <f t="shared" si="647"/>
        <v>29.749999999999996</v>
      </c>
      <c r="CT251" s="188">
        <f t="shared" si="648"/>
        <v>1.0965966026924321</v>
      </c>
      <c r="CU251" s="188">
        <f t="shared" si="649"/>
        <v>170</v>
      </c>
      <c r="CV251" s="188"/>
      <c r="CW251" s="149">
        <f t="shared" si="650"/>
        <v>2727.7011469834501</v>
      </c>
      <c r="CX251" s="149">
        <f t="shared" si="651"/>
        <v>170</v>
      </c>
      <c r="CY251" s="188">
        <f t="shared" si="652"/>
        <v>10.690044669009959</v>
      </c>
      <c r="CZ251" s="188">
        <f t="shared" si="653"/>
        <v>1.0021916877196837</v>
      </c>
      <c r="DA251" s="188">
        <f t="shared" si="654"/>
        <v>1.87874247258523</v>
      </c>
      <c r="DB251" s="172">
        <f t="shared" si="655"/>
        <v>278.29631139188916</v>
      </c>
      <c r="DC251" s="379">
        <f t="shared" si="656"/>
        <v>347.10963331913194</v>
      </c>
      <c r="DE251" s="188">
        <f t="shared" si="657"/>
        <v>13.333333333333332</v>
      </c>
      <c r="DF251" s="150">
        <f t="shared" si="658"/>
        <v>2.3432923257176332</v>
      </c>
      <c r="DG251" s="150">
        <f t="shared" si="659"/>
        <v>0.21737653692004619</v>
      </c>
      <c r="DH251" s="150"/>
      <c r="DI251" s="150">
        <f t="shared" si="660"/>
        <v>2.3432923257176337</v>
      </c>
      <c r="DJ251" s="314">
        <f t="shared" si="661"/>
        <v>224.0437499999999</v>
      </c>
      <c r="DK251" s="456">
        <f t="shared" si="662"/>
        <v>0.21737653692004627</v>
      </c>
      <c r="DM251" s="150">
        <f t="shared" si="663"/>
        <v>10.667708282475669</v>
      </c>
      <c r="DN251" s="150">
        <f t="shared" si="664"/>
        <v>13.333333333333334</v>
      </c>
      <c r="DO251" s="150">
        <f t="shared" si="665"/>
        <v>1.1280250000000001</v>
      </c>
      <c r="DQ251" s="314">
        <f t="shared" si="666"/>
        <v>175</v>
      </c>
      <c r="DR251" s="144">
        <f t="shared" si="667"/>
        <v>224.0437499999999</v>
      </c>
      <c r="DT251">
        <f t="shared" si="668"/>
        <v>175</v>
      </c>
      <c r="DU251">
        <f t="shared" si="669"/>
        <v>224.0437499999999</v>
      </c>
      <c r="DW251" s="5">
        <f t="shared" si="670"/>
        <v>4.4634139537478754</v>
      </c>
      <c r="DX251" s="5">
        <f t="shared" si="671"/>
        <v>1.25</v>
      </c>
      <c r="DY251" s="5">
        <f t="shared" si="672"/>
        <v>3.2134139537478754</v>
      </c>
      <c r="DZ251" s="5"/>
      <c r="EA251" s="150">
        <f t="shared" si="673"/>
        <v>0.28005468749999984</v>
      </c>
      <c r="EB251" s="150">
        <f t="shared" si="699"/>
        <v>29.872499999999995</v>
      </c>
      <c r="EC251" s="150">
        <f t="shared" si="700"/>
        <v>0.23998177083333341</v>
      </c>
      <c r="ED251" s="150">
        <f t="shared" si="701"/>
        <v>124.47820472475117</v>
      </c>
      <c r="EE251" s="144">
        <f t="shared" si="674"/>
        <v>0.12867647058823531</v>
      </c>
      <c r="EF251" s="5">
        <f t="shared" si="675"/>
        <v>9.95823595041659</v>
      </c>
      <c r="EH251" s="150">
        <f t="shared" si="702"/>
        <v>4.0737983913460081</v>
      </c>
      <c r="EI251" s="150">
        <f t="shared" si="703"/>
        <v>0.32658622875867693</v>
      </c>
      <c r="EK251" s="456">
        <f t="shared" si="704"/>
        <v>5.64258333333333E-2</v>
      </c>
      <c r="EL251" s="456">
        <f t="shared" si="705"/>
        <v>2.2280822339999991</v>
      </c>
      <c r="EM251" s="456">
        <f t="shared" si="706"/>
        <v>5.1306018749999981E-2</v>
      </c>
      <c r="EN251" s="456">
        <f t="shared" si="707"/>
        <v>9.238373773930543E-2</v>
      </c>
      <c r="EO251">
        <f t="shared" si="708"/>
        <v>7.1999999999999998E-3</v>
      </c>
      <c r="EP251" s="144">
        <f t="shared" si="709"/>
        <v>58.506018749999981</v>
      </c>
      <c r="EQ251" s="144"/>
      <c r="ER251" s="144">
        <f t="shared" si="710"/>
        <v>2435.3978238226382</v>
      </c>
      <c r="ES251" s="456">
        <f t="shared" si="711"/>
        <v>0.4375</v>
      </c>
      <c r="EV251" s="144">
        <f t="shared" si="712"/>
        <v>437.5</v>
      </c>
      <c r="EW251" s="456">
        <f t="shared" si="713"/>
        <v>2.4893749999999985E-2</v>
      </c>
      <c r="EX251" s="456">
        <f t="shared" si="714"/>
        <v>2.1331712962962976E-2</v>
      </c>
      <c r="EY251" s="456">
        <f t="shared" si="715"/>
        <v>24.38646939035004</v>
      </c>
      <c r="EZ251" s="456"/>
      <c r="FA251" s="456">
        <f t="shared" si="716"/>
        <v>3.982999999999999E-2</v>
      </c>
      <c r="FB251" s="144">
        <f t="shared" si="717"/>
        <v>24472.524853313</v>
      </c>
      <c r="FC251" s="150">
        <f t="shared" si="718"/>
        <v>27.345422677135641</v>
      </c>
      <c r="FD251" s="5">
        <f t="shared" si="719"/>
        <v>29.749999999999996</v>
      </c>
      <c r="FE251" s="150">
        <f t="shared" si="720"/>
        <v>0.5210575314982937</v>
      </c>
      <c r="FF251" s="5">
        <f t="shared" si="721"/>
        <v>52.105753149829368</v>
      </c>
      <c r="FI251" s="59">
        <f t="shared" si="676"/>
        <v>-50</v>
      </c>
      <c r="FJ251">
        <f t="shared" si="677"/>
        <v>-50</v>
      </c>
      <c r="FL251">
        <f t="shared" si="760"/>
        <v>0.52499999999999991</v>
      </c>
    </row>
    <row r="252" spans="5:168">
      <c r="E252" s="147">
        <v>36</v>
      </c>
      <c r="F252" s="188">
        <f t="shared" si="761"/>
        <v>0.18</v>
      </c>
      <c r="G252" s="188"/>
      <c r="H252" s="188">
        <f t="shared" si="726"/>
        <v>30.599999999999998</v>
      </c>
      <c r="I252" s="465">
        <f t="shared" si="727"/>
        <v>15.967400381246467</v>
      </c>
      <c r="J252" s="149">
        <f t="shared" si="728"/>
        <v>8.5383264917095438</v>
      </c>
      <c r="K252" s="149">
        <f t="shared" si="729"/>
        <v>24.505726872956011</v>
      </c>
      <c r="L252" s="379"/>
      <c r="M252" s="188">
        <f t="shared" si="730"/>
        <v>0.34842186048293716</v>
      </c>
      <c r="N252" s="149">
        <f t="shared" si="731"/>
        <v>186.33652087932737</v>
      </c>
      <c r="O252" s="149">
        <f t="shared" si="599"/>
        <v>30.599999999999998</v>
      </c>
      <c r="P252" s="188">
        <f t="shared" si="732"/>
        <v>1.0960971816431022</v>
      </c>
      <c r="Q252" s="188">
        <f t="shared" si="733"/>
        <v>170</v>
      </c>
      <c r="R252" s="188"/>
      <c r="S252" s="149">
        <f t="shared" si="734"/>
        <v>2637.6627170572328</v>
      </c>
      <c r="T252" s="149">
        <f t="shared" si="735"/>
        <v>170</v>
      </c>
      <c r="U252" s="188">
        <f t="shared" si="736"/>
        <v>11.050094475754667</v>
      </c>
      <c r="V252" s="188">
        <f t="shared" si="737"/>
        <v>1.038061382433882</v>
      </c>
      <c r="W252" s="188">
        <f t="shared" si="738"/>
        <v>1.9412635168877606</v>
      </c>
      <c r="X252" s="172">
        <f t="shared" si="739"/>
        <v>278.16942216349025</v>
      </c>
      <c r="Y252" s="379">
        <f t="shared" si="680"/>
        <v>314.53218266977535</v>
      </c>
      <c r="AA252" s="188">
        <f t="shared" si="740"/>
        <v>13.333333333333334</v>
      </c>
      <c r="AB252" s="150">
        <f t="shared" si="741"/>
        <v>2.3423793900853283</v>
      </c>
      <c r="AC252" s="150">
        <f t="shared" si="742"/>
        <v>0.21719277380923482</v>
      </c>
      <c r="AD252" s="150"/>
      <c r="AE252" s="150">
        <f t="shared" si="743"/>
        <v>2.3423793900853283</v>
      </c>
      <c r="AF252" s="314">
        <f t="shared" si="744"/>
        <v>230.53481527615762</v>
      </c>
      <c r="AG252" s="456">
        <f t="shared" si="745"/>
        <v>0.21719277380923488</v>
      </c>
      <c r="AI252" s="150">
        <f t="shared" si="746"/>
        <v>10.8211389894576</v>
      </c>
      <c r="AJ252" s="150">
        <f t="shared" si="747"/>
        <v>13.333333333333334</v>
      </c>
      <c r="AK252" s="150">
        <f t="shared" si="748"/>
        <v>1.1317341801578045</v>
      </c>
      <c r="AM252" s="314">
        <f t="shared" si="749"/>
        <v>180</v>
      </c>
      <c r="AN252" s="144">
        <f t="shared" si="750"/>
        <v>230.53481527615762</v>
      </c>
      <c r="AP252">
        <f t="shared" si="751"/>
        <v>180</v>
      </c>
      <c r="AQ252">
        <f t="shared" si="752"/>
        <v>230.53481527615762</v>
      </c>
      <c r="AS252" s="5">
        <f t="shared" si="600"/>
        <v>4.3377396112691278</v>
      </c>
      <c r="AT252" s="5">
        <f t="shared" si="753"/>
        <v>1.2525520449458871</v>
      </c>
      <c r="AU252" s="5">
        <f t="shared" si="722"/>
        <v>3.0851875663232406</v>
      </c>
      <c r="AV252" s="5"/>
      <c r="AW252" s="150">
        <f t="shared" si="723"/>
        <v>0.28875685430537351</v>
      </c>
      <c r="AX252" s="150">
        <f t="shared" si="631"/>
        <v>30.737975370154356</v>
      </c>
      <c r="AY252" s="150">
        <f t="shared" si="632"/>
        <v>0.2370810485648755</v>
      </c>
      <c r="AZ252" s="150">
        <f t="shared" si="633"/>
        <v>129.65176067939962</v>
      </c>
      <c r="BA252" s="144">
        <f t="shared" si="724"/>
        <v>0.13262315770015276</v>
      </c>
      <c r="BB252" s="5">
        <f t="shared" si="725"/>
        <v>9.8541128878614881</v>
      </c>
      <c r="BD252" s="150">
        <f t="shared" si="681"/>
        <v>4.1366069782093486</v>
      </c>
      <c r="BE252" s="150">
        <f t="shared" si="682"/>
        <v>0.32460646160808698</v>
      </c>
      <c r="BG252" s="456">
        <f t="shared" si="683"/>
        <v>5.8179158793378948E-2</v>
      </c>
      <c r="BH252" s="456">
        <f t="shared" si="754"/>
        <v>1.8040491475715199</v>
      </c>
      <c r="BI252" s="456">
        <f t="shared" si="755"/>
        <v>0.16859170973776452</v>
      </c>
      <c r="BJ252" s="456">
        <f t="shared" si="684"/>
        <v>9.4833607321212224E-2</v>
      </c>
      <c r="BK252">
        <f t="shared" si="685"/>
        <v>7.1853301715609098E-3</v>
      </c>
      <c r="BL252" s="144">
        <f t="shared" si="686"/>
        <v>175.77703990932545</v>
      </c>
      <c r="BM252" s="456">
        <f t="shared" si="756"/>
        <v>2.0004228682828815</v>
      </c>
      <c r="BN252" s="144">
        <f t="shared" si="687"/>
        <v>2000.4228682828816</v>
      </c>
      <c r="BO252" s="456">
        <f t="shared" si="637"/>
        <v>0.44999999999999996</v>
      </c>
      <c r="BR252" s="144">
        <f t="shared" si="688"/>
        <v>449.99999999999994</v>
      </c>
      <c r="BS252" s="456">
        <f t="shared" si="689"/>
        <v>2.5667275938255421E-2</v>
      </c>
      <c r="BT252" s="456">
        <f t="shared" si="690"/>
        <v>2.107387098354449E-2</v>
      </c>
      <c r="BU252" s="456">
        <f t="shared" si="691"/>
        <v>26.191366032328531</v>
      </c>
      <c r="BV252" s="456"/>
      <c r="BW252" s="456">
        <f t="shared" si="692"/>
        <v>4.098396716020581E-2</v>
      </c>
      <c r="BX252" s="144">
        <f t="shared" si="693"/>
        <v>26279.091146410537</v>
      </c>
      <c r="BY252" s="150">
        <f t="shared" si="694"/>
        <v>28.861930100005974</v>
      </c>
      <c r="BZ252" s="5">
        <f t="shared" si="695"/>
        <v>30.599999999999998</v>
      </c>
      <c r="CA252" s="150">
        <f t="shared" si="696"/>
        <v>0.5146149805183825</v>
      </c>
      <c r="CB252" s="5">
        <f t="shared" si="697"/>
        <v>51.461498051838248</v>
      </c>
      <c r="CE252" s="59">
        <f t="shared" si="757"/>
        <v>-50</v>
      </c>
      <c r="CF252">
        <f t="shared" si="758"/>
        <v>-50</v>
      </c>
      <c r="CG252" s="150">
        <f t="shared" si="759"/>
        <v>0.54111062259241671</v>
      </c>
      <c r="CI252" s="147">
        <v>36</v>
      </c>
      <c r="CJ252" s="188">
        <f t="shared" si="698"/>
        <v>0.18</v>
      </c>
      <c r="CK252" s="188"/>
      <c r="CL252" s="188">
        <f t="shared" si="641"/>
        <v>30.599999999999998</v>
      </c>
      <c r="CM252" s="465">
        <f t="shared" si="642"/>
        <v>16</v>
      </c>
      <c r="CN252" s="379">
        <f t="shared" si="643"/>
        <v>8.5350000000000001</v>
      </c>
      <c r="CO252" s="379">
        <f t="shared" si="644"/>
        <v>24.535</v>
      </c>
      <c r="CP252" s="379"/>
      <c r="CQ252" s="188">
        <f t="shared" si="645"/>
        <v>0.34787038923986141</v>
      </c>
      <c r="CR252" s="149">
        <f t="shared" si="646"/>
        <v>186.42142245771345</v>
      </c>
      <c r="CS252" s="149">
        <f t="shared" si="647"/>
        <v>30.599999999999998</v>
      </c>
      <c r="CT252" s="188">
        <f t="shared" si="648"/>
        <v>1.0965966026924321</v>
      </c>
      <c r="CU252" s="188">
        <f t="shared" si="649"/>
        <v>170</v>
      </c>
      <c r="CV252" s="188"/>
      <c r="CW252" s="149">
        <f t="shared" si="650"/>
        <v>2643.0476911693463</v>
      </c>
      <c r="CX252" s="149">
        <f t="shared" si="651"/>
        <v>170</v>
      </c>
      <c r="CY252" s="188">
        <f t="shared" si="652"/>
        <v>10.995474516695957</v>
      </c>
      <c r="CZ252" s="188">
        <f t="shared" si="653"/>
        <v>1.030825735940246</v>
      </c>
      <c r="DA252" s="188">
        <f t="shared" si="654"/>
        <v>1.9324208289448077</v>
      </c>
      <c r="DB252" s="172">
        <f t="shared" si="655"/>
        <v>278.29631139188916</v>
      </c>
      <c r="DC252" s="379">
        <f t="shared" si="656"/>
        <v>337.46769906026725</v>
      </c>
      <c r="DE252" s="188">
        <f t="shared" si="657"/>
        <v>13.333333333333332</v>
      </c>
      <c r="DF252" s="150">
        <f t="shared" si="658"/>
        <v>2.3432923257176332</v>
      </c>
      <c r="DG252" s="150">
        <f t="shared" si="659"/>
        <v>0.21737653692004619</v>
      </c>
      <c r="DH252" s="150"/>
      <c r="DI252" s="150">
        <f t="shared" si="660"/>
        <v>2.3432923257176337</v>
      </c>
      <c r="DJ252" s="314">
        <f t="shared" si="661"/>
        <v>230.44499999999994</v>
      </c>
      <c r="DK252" s="456">
        <f t="shared" si="662"/>
        <v>0.21737653692004627</v>
      </c>
      <c r="DM252" s="150">
        <f t="shared" si="663"/>
        <v>10.819030851764337</v>
      </c>
      <c r="DN252" s="150">
        <f t="shared" si="664"/>
        <v>13.333333333333334</v>
      </c>
      <c r="DO252" s="150">
        <f t="shared" si="665"/>
        <v>1.1316828571428572</v>
      </c>
      <c r="DQ252" s="314">
        <f t="shared" si="666"/>
        <v>180</v>
      </c>
      <c r="DR252" s="144">
        <f t="shared" si="667"/>
        <v>230.44499999999994</v>
      </c>
      <c r="DT252">
        <f t="shared" si="668"/>
        <v>180</v>
      </c>
      <c r="DU252">
        <f t="shared" si="669"/>
        <v>230.44499999999994</v>
      </c>
      <c r="DW252" s="5">
        <f t="shared" si="670"/>
        <v>4.3394302328104333</v>
      </c>
      <c r="DX252" s="5">
        <f t="shared" si="671"/>
        <v>1.25</v>
      </c>
      <c r="DY252" s="5">
        <f t="shared" si="672"/>
        <v>3.0894302328104333</v>
      </c>
      <c r="DZ252" s="5"/>
      <c r="EA252" s="150">
        <f t="shared" si="673"/>
        <v>0.2880562499999999</v>
      </c>
      <c r="EB252" s="150">
        <f t="shared" si="699"/>
        <v>30.725999999999999</v>
      </c>
      <c r="EC252" s="150">
        <f t="shared" si="700"/>
        <v>0.23731458333333338</v>
      </c>
      <c r="ED252" s="150">
        <f t="shared" si="701"/>
        <v>129.47371193300029</v>
      </c>
      <c r="EE252" s="144">
        <f t="shared" si="674"/>
        <v>0.13235294117647059</v>
      </c>
      <c r="EF252" s="5">
        <f t="shared" si="675"/>
        <v>9.8475588670832543</v>
      </c>
      <c r="EH252" s="150">
        <f t="shared" si="702"/>
        <v>4.1315856520227188</v>
      </c>
      <c r="EI252" s="150">
        <f t="shared" si="703"/>
        <v>0.32476629774061866</v>
      </c>
      <c r="EK252" s="456">
        <f t="shared" si="704"/>
        <v>5.8037999999999972E-2</v>
      </c>
      <c r="EL252" s="456">
        <f t="shared" si="705"/>
        <v>2.2917417263999997</v>
      </c>
      <c r="EM252" s="456">
        <f t="shared" si="706"/>
        <v>5.277190499999998E-2</v>
      </c>
      <c r="EN252" s="456">
        <f t="shared" si="707"/>
        <v>9.5023273103285594E-2</v>
      </c>
      <c r="EO252">
        <f t="shared" si="708"/>
        <v>7.1999999999999998E-3</v>
      </c>
      <c r="EP252" s="144">
        <f t="shared" si="709"/>
        <v>59.971904999999978</v>
      </c>
      <c r="EQ252" s="144"/>
      <c r="ER252" s="144">
        <f t="shared" si="710"/>
        <v>2504.7749045032856</v>
      </c>
      <c r="ES252" s="456">
        <f t="shared" si="711"/>
        <v>0.44999999999999996</v>
      </c>
      <c r="EV252" s="144">
        <f t="shared" si="712"/>
        <v>449.99999999999994</v>
      </c>
      <c r="EW252" s="456">
        <f t="shared" si="713"/>
        <v>2.5604999999999989E-2</v>
      </c>
      <c r="EX252" s="456">
        <f t="shared" si="714"/>
        <v>2.1094629629629633E-2</v>
      </c>
      <c r="EY252" s="456">
        <f t="shared" si="715"/>
        <v>26.165863404271541</v>
      </c>
      <c r="EZ252" s="456"/>
      <c r="FA252" s="456">
        <f t="shared" si="716"/>
        <v>4.0967999999999997E-2</v>
      </c>
      <c r="FB252" s="144">
        <f t="shared" si="717"/>
        <v>26253.53103390117</v>
      </c>
      <c r="FC252" s="150">
        <f t="shared" si="718"/>
        <v>29.208305938404454</v>
      </c>
      <c r="FD252" s="5">
        <f t="shared" si="719"/>
        <v>30.599999999999998</v>
      </c>
      <c r="FE252" s="150">
        <f t="shared" si="720"/>
        <v>0.51163462197900089</v>
      </c>
      <c r="FF252" s="5">
        <f t="shared" si="721"/>
        <v>51.163462197900088</v>
      </c>
      <c r="FI252" s="59">
        <f t="shared" si="676"/>
        <v>-50</v>
      </c>
      <c r="FJ252">
        <f t="shared" si="677"/>
        <v>-50</v>
      </c>
      <c r="FL252">
        <f t="shared" si="760"/>
        <v>0.53999999999999992</v>
      </c>
    </row>
    <row r="253" spans="5:168">
      <c r="E253" s="147">
        <v>37</v>
      </c>
      <c r="F253" s="188">
        <f t="shared" si="761"/>
        <v>0.185</v>
      </c>
      <c r="G253" s="188"/>
      <c r="H253" s="188">
        <f t="shared" si="726"/>
        <v>31.45</v>
      </c>
      <c r="I253" s="465">
        <f t="shared" si="727"/>
        <v>15.967400381246467</v>
      </c>
      <c r="J253" s="149">
        <f t="shared" si="728"/>
        <v>8.5383264917095438</v>
      </c>
      <c r="K253" s="149">
        <f t="shared" si="729"/>
        <v>24.505726872956011</v>
      </c>
      <c r="L253" s="379"/>
      <c r="M253" s="188">
        <f t="shared" si="730"/>
        <v>0.34842186048293716</v>
      </c>
      <c r="N253" s="149">
        <f t="shared" si="731"/>
        <v>186.33652087932737</v>
      </c>
      <c r="O253" s="149">
        <f t="shared" si="599"/>
        <v>31.45</v>
      </c>
      <c r="P253" s="188">
        <f t="shared" si="732"/>
        <v>1.0960971816431022</v>
      </c>
      <c r="Q253" s="188">
        <f t="shared" si="733"/>
        <v>170</v>
      </c>
      <c r="R253" s="188"/>
      <c r="S253" s="149">
        <f t="shared" si="734"/>
        <v>2557.7484447536904</v>
      </c>
      <c r="T253" s="149">
        <f t="shared" si="735"/>
        <v>170</v>
      </c>
      <c r="U253" s="188">
        <f t="shared" si="736"/>
        <v>11.357041544525631</v>
      </c>
      <c r="V253" s="188">
        <f t="shared" si="737"/>
        <v>1.0668964208348231</v>
      </c>
      <c r="W253" s="188">
        <f t="shared" si="738"/>
        <v>1.9951875034679756</v>
      </c>
      <c r="X253" s="172">
        <f t="shared" si="739"/>
        <v>278.16942216349025</v>
      </c>
      <c r="Y253" s="379">
        <f t="shared" si="680"/>
        <v>306.55250545515275</v>
      </c>
      <c r="AA253" s="188">
        <f t="shared" si="740"/>
        <v>13.333333333333334</v>
      </c>
      <c r="AB253" s="150">
        <f t="shared" si="741"/>
        <v>2.3423793900853283</v>
      </c>
      <c r="AC253" s="150">
        <f t="shared" si="742"/>
        <v>0.21719277380923482</v>
      </c>
      <c r="AD253" s="150"/>
      <c r="AE253" s="150">
        <f t="shared" si="743"/>
        <v>2.3423793900853283</v>
      </c>
      <c r="AF253" s="314">
        <f t="shared" si="744"/>
        <v>236.93856014493977</v>
      </c>
      <c r="AG253" s="456">
        <f t="shared" si="745"/>
        <v>0.21719277380923488</v>
      </c>
      <c r="AI253" s="150">
        <f t="shared" si="746"/>
        <v>10.970403130036972</v>
      </c>
      <c r="AJ253" s="150">
        <f t="shared" si="747"/>
        <v>13.333333333333334</v>
      </c>
      <c r="AK253" s="150">
        <f t="shared" si="748"/>
        <v>1.1353934629399656</v>
      </c>
      <c r="AM253" s="314">
        <f t="shared" si="749"/>
        <v>185</v>
      </c>
      <c r="AN253" s="144">
        <f t="shared" si="750"/>
        <v>236.93856014493977</v>
      </c>
      <c r="AP253">
        <f t="shared" si="751"/>
        <v>185</v>
      </c>
      <c r="AQ253">
        <f t="shared" si="752"/>
        <v>236.93856014493977</v>
      </c>
      <c r="AS253" s="5">
        <f t="shared" si="600"/>
        <v>4.2205034055591506</v>
      </c>
      <c r="AT253" s="5">
        <f t="shared" si="753"/>
        <v>1.2525520449458871</v>
      </c>
      <c r="AU253" s="5">
        <f t="shared" si="722"/>
        <v>2.9679513606132635</v>
      </c>
      <c r="AV253" s="5"/>
      <c r="AW253" s="150">
        <f t="shared" si="723"/>
        <v>0.29677787803607841</v>
      </c>
      <c r="AX253" s="150">
        <f t="shared" si="631"/>
        <v>31.59180801932531</v>
      </c>
      <c r="AY253" s="150">
        <f t="shared" si="632"/>
        <v>0.2344073739879739</v>
      </c>
      <c r="AZ253" s="150">
        <f t="shared" si="633"/>
        <v>134.77309814044546</v>
      </c>
      <c r="BA253" s="144">
        <f t="shared" si="724"/>
        <v>0.13630713430293478</v>
      </c>
      <c r="BB253" s="5">
        <f t="shared" si="725"/>
        <v>9.7429834185695352</v>
      </c>
      <c r="BD253" s="150">
        <f t="shared" si="681"/>
        <v>4.1936663216036631</v>
      </c>
      <c r="BE253" s="150">
        <f t="shared" si="682"/>
        <v>0.3227709018882684</v>
      </c>
      <c r="BG253" s="456">
        <f t="shared" si="683"/>
        <v>5.9795246537639513E-2</v>
      </c>
      <c r="BH253" s="456">
        <f t="shared" si="754"/>
        <v>1.8541616238929515</v>
      </c>
      <c r="BI253" s="456">
        <f t="shared" si="755"/>
        <v>0.17327481278603574</v>
      </c>
      <c r="BJ253" s="456">
        <f t="shared" si="684"/>
        <v>9.746787419124589E-2</v>
      </c>
      <c r="BK253">
        <f t="shared" si="685"/>
        <v>7.1853301715609098E-3</v>
      </c>
      <c r="BL253" s="144">
        <f t="shared" si="686"/>
        <v>180.46014295759664</v>
      </c>
      <c r="BM253" s="456">
        <f t="shared" si="756"/>
        <v>2.0567910121611006</v>
      </c>
      <c r="BN253" s="144">
        <f t="shared" si="687"/>
        <v>2056.7910121611008</v>
      </c>
      <c r="BO253" s="456">
        <f t="shared" si="637"/>
        <v>0.46250000000000002</v>
      </c>
      <c r="BR253" s="144">
        <f t="shared" si="688"/>
        <v>462.5</v>
      </c>
      <c r="BS253" s="456">
        <f t="shared" si="689"/>
        <v>2.6380255825429199E-2</v>
      </c>
      <c r="BT253" s="456">
        <f t="shared" si="690"/>
        <v>2.0836211021153239E-2</v>
      </c>
      <c r="BU253" s="456">
        <f t="shared" si="691"/>
        <v>28.048278321605068</v>
      </c>
      <c r="BV253" s="456"/>
      <c r="BW253" s="456">
        <f t="shared" si="692"/>
        <v>4.2122410692433741E-2</v>
      </c>
      <c r="BX253" s="144">
        <f t="shared" si="693"/>
        <v>28137.617199144082</v>
      </c>
      <c r="BY253" s="150">
        <f t="shared" si="694"/>
        <v>30.792002086723517</v>
      </c>
      <c r="BZ253" s="5">
        <f t="shared" si="695"/>
        <v>31.45</v>
      </c>
      <c r="CA253" s="150">
        <f t="shared" si="696"/>
        <v>0.50528580292420278</v>
      </c>
      <c r="CB253" s="5">
        <f t="shared" si="697"/>
        <v>50.52858029242028</v>
      </c>
      <c r="CE253" s="59">
        <f t="shared" si="757"/>
        <v>-50</v>
      </c>
      <c r="CF253">
        <f t="shared" si="758"/>
        <v>-50</v>
      </c>
      <c r="CG253" s="150">
        <f t="shared" si="759"/>
        <v>0.55614147321998386</v>
      </c>
      <c r="CI253" s="147">
        <v>37</v>
      </c>
      <c r="CJ253" s="188">
        <f t="shared" si="698"/>
        <v>0.185</v>
      </c>
      <c r="CK253" s="188"/>
      <c r="CL253" s="188">
        <f t="shared" si="641"/>
        <v>31.45</v>
      </c>
      <c r="CM253" s="465">
        <f t="shared" si="642"/>
        <v>16</v>
      </c>
      <c r="CN253" s="379">
        <f t="shared" si="643"/>
        <v>8.5350000000000001</v>
      </c>
      <c r="CO253" s="379">
        <f t="shared" si="644"/>
        <v>24.535</v>
      </c>
      <c r="CP253" s="379"/>
      <c r="CQ253" s="188">
        <f t="shared" si="645"/>
        <v>0.34787038923986141</v>
      </c>
      <c r="CR253" s="149">
        <f t="shared" si="646"/>
        <v>186.42142245771345</v>
      </c>
      <c r="CS253" s="149">
        <f t="shared" si="647"/>
        <v>31.45</v>
      </c>
      <c r="CT253" s="188">
        <f t="shared" si="648"/>
        <v>1.0965966026924321</v>
      </c>
      <c r="CU253" s="188">
        <f t="shared" si="649"/>
        <v>170</v>
      </c>
      <c r="CV253" s="188"/>
      <c r="CW253" s="149">
        <f t="shared" si="650"/>
        <v>2562.9702576142226</v>
      </c>
      <c r="CX253" s="149">
        <f t="shared" si="651"/>
        <v>170</v>
      </c>
      <c r="CY253" s="188">
        <f t="shared" si="652"/>
        <v>11.300904364381957</v>
      </c>
      <c r="CZ253" s="188">
        <f t="shared" si="653"/>
        <v>1.0594597841608087</v>
      </c>
      <c r="DA253" s="188">
        <f t="shared" si="654"/>
        <v>1.9860991853043861</v>
      </c>
      <c r="DB253" s="172">
        <f t="shared" si="655"/>
        <v>278.29631139188916</v>
      </c>
      <c r="DC253" s="379">
        <f t="shared" si="656"/>
        <v>328.34695043701669</v>
      </c>
      <c r="DE253" s="188">
        <f t="shared" si="657"/>
        <v>13.333333333333332</v>
      </c>
      <c r="DF253" s="150">
        <f t="shared" si="658"/>
        <v>2.3432923257176332</v>
      </c>
      <c r="DG253" s="150">
        <f t="shared" si="659"/>
        <v>0.21737653692004619</v>
      </c>
      <c r="DH253" s="150"/>
      <c r="DI253" s="150">
        <f t="shared" si="660"/>
        <v>2.3432923257176337</v>
      </c>
      <c r="DJ253" s="314">
        <f t="shared" si="661"/>
        <v>236.84624999999994</v>
      </c>
      <c r="DK253" s="456">
        <f t="shared" si="662"/>
        <v>0.21737653692004627</v>
      </c>
      <c r="DM253" s="150">
        <f t="shared" si="663"/>
        <v>10.968265913208757</v>
      </c>
      <c r="DN253" s="150">
        <f t="shared" si="664"/>
        <v>13.333333333333334</v>
      </c>
      <c r="DO253" s="150">
        <f t="shared" si="665"/>
        <v>1.1353407142857144</v>
      </c>
      <c r="DQ253" s="314">
        <f t="shared" si="666"/>
        <v>185</v>
      </c>
      <c r="DR253" s="144">
        <f t="shared" si="667"/>
        <v>236.84624999999994</v>
      </c>
      <c r="DT253">
        <f t="shared" si="668"/>
        <v>185</v>
      </c>
      <c r="DU253">
        <f t="shared" si="669"/>
        <v>236.84624999999994</v>
      </c>
      <c r="DW253" s="5">
        <f t="shared" si="670"/>
        <v>4.2221483346263673</v>
      </c>
      <c r="DX253" s="5">
        <f t="shared" si="671"/>
        <v>1.25</v>
      </c>
      <c r="DY253" s="5">
        <f t="shared" si="672"/>
        <v>2.9721483346263673</v>
      </c>
      <c r="DZ253" s="5"/>
      <c r="EA253" s="150">
        <f t="shared" si="673"/>
        <v>0.29605781249999991</v>
      </c>
      <c r="EB253" s="150">
        <f t="shared" si="699"/>
        <v>31.579500000000003</v>
      </c>
      <c r="EC253" s="150">
        <f t="shared" si="700"/>
        <v>0.23464739583333338</v>
      </c>
      <c r="ED253" s="150">
        <f t="shared" si="701"/>
        <v>134.58278489666452</v>
      </c>
      <c r="EE253" s="144">
        <f t="shared" si="674"/>
        <v>0.13602941176470587</v>
      </c>
      <c r="EF253" s="5">
        <f t="shared" si="675"/>
        <v>9.7368817837499204</v>
      </c>
      <c r="EH253" s="150">
        <f t="shared" si="702"/>
        <v>4.1885757324735886</v>
      </c>
      <c r="EI253" s="150">
        <f t="shared" si="703"/>
        <v>0.3229361105257223</v>
      </c>
      <c r="EK253" s="456">
        <f t="shared" si="704"/>
        <v>5.9650166666666636E-2</v>
      </c>
      <c r="EL253" s="456">
        <f t="shared" si="705"/>
        <v>2.3554012187999995</v>
      </c>
      <c r="EM253" s="456">
        <f t="shared" si="706"/>
        <v>5.4237791249999986E-2</v>
      </c>
      <c r="EN253" s="456">
        <f t="shared" si="707"/>
        <v>9.7662808467265758E-2</v>
      </c>
      <c r="EO253">
        <f t="shared" si="708"/>
        <v>7.1999999999999998E-3</v>
      </c>
      <c r="EP253" s="144">
        <f t="shared" si="709"/>
        <v>61.437791249999982</v>
      </c>
      <c r="EQ253" s="144"/>
      <c r="ER253" s="144">
        <f t="shared" si="710"/>
        <v>2574.1519851839316</v>
      </c>
      <c r="ES253" s="456">
        <f t="shared" si="711"/>
        <v>0.46250000000000002</v>
      </c>
      <c r="EV253" s="144">
        <f t="shared" si="712"/>
        <v>462.5</v>
      </c>
      <c r="EW253" s="456">
        <f t="shared" si="713"/>
        <v>2.6316249999999989E-2</v>
      </c>
      <c r="EX253" s="456">
        <f t="shared" si="714"/>
        <v>2.0857546296296308E-2</v>
      </c>
      <c r="EY253" s="456">
        <f t="shared" si="715"/>
        <v>28.020967611320113</v>
      </c>
      <c r="EZ253" s="456"/>
      <c r="FA253" s="456">
        <f t="shared" si="716"/>
        <v>4.2105999999999998E-2</v>
      </c>
      <c r="FB253" s="144">
        <f t="shared" si="717"/>
        <v>28110.247407616411</v>
      </c>
      <c r="FC253" s="150">
        <f t="shared" si="718"/>
        <v>31.146899392800343</v>
      </c>
      <c r="FD253" s="5">
        <f t="shared" si="719"/>
        <v>31.45</v>
      </c>
      <c r="FE253" s="150">
        <f t="shared" si="720"/>
        <v>0.5024210512832088</v>
      </c>
      <c r="FF253" s="5">
        <f t="shared" si="721"/>
        <v>50.24210512832088</v>
      </c>
      <c r="FI253" s="59">
        <f t="shared" si="676"/>
        <v>-50</v>
      </c>
      <c r="FJ253">
        <f t="shared" si="677"/>
        <v>-50</v>
      </c>
      <c r="FL253">
        <f t="shared" si="760"/>
        <v>0.55499999999999994</v>
      </c>
    </row>
    <row r="254" spans="5:168">
      <c r="E254" s="147">
        <v>38</v>
      </c>
      <c r="F254" s="188">
        <f t="shared" si="761"/>
        <v>0.19</v>
      </c>
      <c r="G254" s="188"/>
      <c r="H254" s="188">
        <f t="shared" si="726"/>
        <v>32.299999999999997</v>
      </c>
      <c r="I254" s="465">
        <f t="shared" si="727"/>
        <v>15.967400381246467</v>
      </c>
      <c r="J254" s="149">
        <f t="shared" si="728"/>
        <v>8.5383264917095438</v>
      </c>
      <c r="K254" s="149">
        <f t="shared" si="729"/>
        <v>24.505726872956011</v>
      </c>
      <c r="L254" s="379"/>
      <c r="M254" s="188">
        <f t="shared" si="730"/>
        <v>0.34842186048293716</v>
      </c>
      <c r="N254" s="149">
        <f t="shared" si="731"/>
        <v>186.33652087932737</v>
      </c>
      <c r="O254" s="149">
        <f t="shared" si="599"/>
        <v>32.299999999999997</v>
      </c>
      <c r="P254" s="188">
        <f t="shared" si="732"/>
        <v>1.0960971816431022</v>
      </c>
      <c r="Q254" s="188">
        <f t="shared" si="733"/>
        <v>170</v>
      </c>
      <c r="R254" s="188"/>
      <c r="S254" s="149">
        <f t="shared" si="734"/>
        <v>2482.0403439338652</v>
      </c>
      <c r="T254" s="149">
        <f t="shared" si="735"/>
        <v>170</v>
      </c>
      <c r="U254" s="188">
        <f t="shared" si="736"/>
        <v>11.663988613296594</v>
      </c>
      <c r="V254" s="188">
        <f t="shared" si="737"/>
        <v>1.0957314592357643</v>
      </c>
      <c r="W254" s="188">
        <f t="shared" si="738"/>
        <v>2.0491114900481913</v>
      </c>
      <c r="X254" s="172">
        <f t="shared" si="739"/>
        <v>278.16942216349025</v>
      </c>
      <c r="Y254" s="379">
        <f t="shared" si="680"/>
        <v>298.96769898092646</v>
      </c>
      <c r="AA254" s="188">
        <f t="shared" si="740"/>
        <v>13.333333333333334</v>
      </c>
      <c r="AB254" s="150">
        <f t="shared" si="741"/>
        <v>2.3423793900853283</v>
      </c>
      <c r="AC254" s="150">
        <f t="shared" si="742"/>
        <v>0.21719277380923482</v>
      </c>
      <c r="AD254" s="150"/>
      <c r="AE254" s="150">
        <f t="shared" si="743"/>
        <v>2.3423793900853283</v>
      </c>
      <c r="AF254" s="314">
        <f t="shared" si="744"/>
        <v>243.34230501372193</v>
      </c>
      <c r="AG254" s="456">
        <f t="shared" si="745"/>
        <v>0.21719277380923488</v>
      </c>
      <c r="AI254" s="150">
        <f t="shared" si="746"/>
        <v>11.117663452447665</v>
      </c>
      <c r="AJ254" s="150">
        <f t="shared" si="747"/>
        <v>13.333333333333334</v>
      </c>
      <c r="AK254" s="150">
        <f t="shared" si="748"/>
        <v>1.1390527457221269</v>
      </c>
      <c r="AM254" s="314">
        <f t="shared" si="749"/>
        <v>190</v>
      </c>
      <c r="AN254" s="144">
        <f t="shared" si="750"/>
        <v>243.34230501372193</v>
      </c>
      <c r="AP254">
        <f t="shared" si="751"/>
        <v>190</v>
      </c>
      <c r="AQ254">
        <f t="shared" si="752"/>
        <v>243.34230501372193</v>
      </c>
      <c r="AS254" s="5">
        <f t="shared" si="600"/>
        <v>4.1094375264654888</v>
      </c>
      <c r="AT254" s="5">
        <f t="shared" si="753"/>
        <v>1.2525520449458871</v>
      </c>
      <c r="AU254" s="5">
        <f t="shared" si="722"/>
        <v>2.8568854815196016</v>
      </c>
      <c r="AV254" s="5"/>
      <c r="AW254" s="150">
        <f t="shared" si="723"/>
        <v>0.3047989017667832</v>
      </c>
      <c r="AX254" s="150">
        <f t="shared" si="631"/>
        <v>32.44564066849626</v>
      </c>
      <c r="AY254" s="150">
        <f t="shared" si="632"/>
        <v>0.2317336994110723</v>
      </c>
      <c r="AZ254" s="150">
        <f t="shared" si="633"/>
        <v>140.01261254169577</v>
      </c>
      <c r="BA254" s="144">
        <f t="shared" si="724"/>
        <v>0.13999111090571681</v>
      </c>
      <c r="BB254" s="5">
        <f t="shared" si="725"/>
        <v>9.6318539492775841</v>
      </c>
      <c r="BD254" s="150">
        <f t="shared" si="681"/>
        <v>4.2499596635421497</v>
      </c>
      <c r="BE254" s="150">
        <f t="shared" si="682"/>
        <v>0.32092484368432733</v>
      </c>
      <c r="BG254" s="456">
        <f t="shared" si="683"/>
        <v>6.1411334281900022E-2</v>
      </c>
      <c r="BH254" s="456">
        <f t="shared" si="754"/>
        <v>1.9042741002143824</v>
      </c>
      <c r="BI254" s="456">
        <f t="shared" si="755"/>
        <v>0.17795791583430698</v>
      </c>
      <c r="BJ254" s="456">
        <f t="shared" si="684"/>
        <v>0.10010214106127956</v>
      </c>
      <c r="BK254">
        <f t="shared" si="685"/>
        <v>7.1853301715609098E-3</v>
      </c>
      <c r="BL254" s="144">
        <f t="shared" si="686"/>
        <v>185.14324600586789</v>
      </c>
      <c r="BM254" s="456">
        <f t="shared" si="756"/>
        <v>2.113203085788677</v>
      </c>
      <c r="BN254" s="144">
        <f t="shared" si="687"/>
        <v>2113.2030857886771</v>
      </c>
      <c r="BO254" s="456">
        <f t="shared" si="637"/>
        <v>0.47499999999999998</v>
      </c>
      <c r="BR254" s="144">
        <f t="shared" si="688"/>
        <v>475</v>
      </c>
      <c r="BS254" s="456">
        <f t="shared" si="689"/>
        <v>2.7093235712602953E-2</v>
      </c>
      <c r="BT254" s="456">
        <f t="shared" si="690"/>
        <v>2.0598551058761988E-2</v>
      </c>
      <c r="BU254" s="456">
        <f t="shared" si="691"/>
        <v>29.982020006734828</v>
      </c>
      <c r="BV254" s="456"/>
      <c r="BW254" s="456">
        <f t="shared" si="692"/>
        <v>4.3260854224661686E-2</v>
      </c>
      <c r="BX254" s="144">
        <f t="shared" si="693"/>
        <v>30072.972647730858</v>
      </c>
      <c r="BY254" s="150">
        <f t="shared" si="694"/>
        <v>32.798903469294288</v>
      </c>
      <c r="BZ254" s="5">
        <f t="shared" si="695"/>
        <v>32.299999999999997</v>
      </c>
      <c r="CA254" s="150">
        <f t="shared" si="696"/>
        <v>0.49616811157556889</v>
      </c>
      <c r="CB254" s="5">
        <f t="shared" si="697"/>
        <v>49.616811157556889</v>
      </c>
      <c r="CE254" s="59">
        <f t="shared" si="757"/>
        <v>-50</v>
      </c>
      <c r="CF254">
        <f t="shared" si="758"/>
        <v>-50</v>
      </c>
      <c r="CG254" s="150">
        <f t="shared" si="759"/>
        <v>0.5711723238475509</v>
      </c>
      <c r="CI254" s="147">
        <v>38</v>
      </c>
      <c r="CJ254" s="188">
        <f t="shared" si="698"/>
        <v>0.19</v>
      </c>
      <c r="CK254" s="188"/>
      <c r="CL254" s="188">
        <f t="shared" si="641"/>
        <v>32.299999999999997</v>
      </c>
      <c r="CM254" s="465">
        <f t="shared" si="642"/>
        <v>16</v>
      </c>
      <c r="CN254" s="379">
        <f t="shared" si="643"/>
        <v>8.5350000000000001</v>
      </c>
      <c r="CO254" s="379">
        <f t="shared" si="644"/>
        <v>24.535</v>
      </c>
      <c r="CP254" s="379"/>
      <c r="CQ254" s="188">
        <f t="shared" si="645"/>
        <v>0.34787038923986141</v>
      </c>
      <c r="CR254" s="149">
        <f t="shared" si="646"/>
        <v>186.42142245771345</v>
      </c>
      <c r="CS254" s="149">
        <f t="shared" si="647"/>
        <v>32.299999999999997</v>
      </c>
      <c r="CT254" s="188">
        <f t="shared" si="648"/>
        <v>1.0965966026924321</v>
      </c>
      <c r="CU254" s="188">
        <f t="shared" si="649"/>
        <v>170</v>
      </c>
      <c r="CV254" s="188"/>
      <c r="CW254" s="149">
        <f t="shared" si="650"/>
        <v>2487.1075829774386</v>
      </c>
      <c r="CX254" s="149">
        <f t="shared" si="651"/>
        <v>170</v>
      </c>
      <c r="CY254" s="188">
        <f t="shared" si="652"/>
        <v>11.606334212067955</v>
      </c>
      <c r="CZ254" s="188">
        <f t="shared" si="653"/>
        <v>1.0880938323813707</v>
      </c>
      <c r="DA254" s="188">
        <f t="shared" si="654"/>
        <v>2.0397775416639639</v>
      </c>
      <c r="DB254" s="172">
        <f t="shared" si="655"/>
        <v>278.29631139188916</v>
      </c>
      <c r="DC254" s="379">
        <f t="shared" si="656"/>
        <v>319.70624121499003</v>
      </c>
      <c r="DE254" s="188">
        <f t="shared" si="657"/>
        <v>13.333333333333332</v>
      </c>
      <c r="DF254" s="150">
        <f t="shared" si="658"/>
        <v>2.3432923257176332</v>
      </c>
      <c r="DG254" s="150">
        <f t="shared" si="659"/>
        <v>0.21737653692004619</v>
      </c>
      <c r="DH254" s="150"/>
      <c r="DI254" s="150">
        <f t="shared" si="660"/>
        <v>2.3432923257176337</v>
      </c>
      <c r="DJ254" s="314">
        <f t="shared" si="661"/>
        <v>243.24749999999995</v>
      </c>
      <c r="DK254" s="456">
        <f t="shared" si="662"/>
        <v>0.21737653692004627</v>
      </c>
      <c r="DM254" s="150">
        <f t="shared" si="663"/>
        <v>11.115497546861576</v>
      </c>
      <c r="DN254" s="150">
        <f t="shared" si="664"/>
        <v>13.333333333333334</v>
      </c>
      <c r="DO254" s="150">
        <f t="shared" si="665"/>
        <v>1.1389985714285713</v>
      </c>
      <c r="DQ254" s="314">
        <f t="shared" si="666"/>
        <v>190</v>
      </c>
      <c r="DR254" s="144">
        <f t="shared" si="667"/>
        <v>243.24749999999995</v>
      </c>
      <c r="DT254">
        <f t="shared" si="668"/>
        <v>190</v>
      </c>
      <c r="DU254">
        <f t="shared" si="669"/>
        <v>243.24749999999995</v>
      </c>
      <c r="DW254" s="5">
        <f t="shared" si="670"/>
        <v>4.1110391679256741</v>
      </c>
      <c r="DX254" s="5">
        <f t="shared" si="671"/>
        <v>1.25</v>
      </c>
      <c r="DY254" s="5">
        <f t="shared" si="672"/>
        <v>2.8610391679256741</v>
      </c>
      <c r="DZ254" s="5"/>
      <c r="EA254" s="150">
        <f t="shared" si="673"/>
        <v>0.30405937499999985</v>
      </c>
      <c r="EB254" s="150">
        <f t="shared" si="699"/>
        <v>32.433000000000007</v>
      </c>
      <c r="EC254" s="150">
        <f t="shared" si="700"/>
        <v>0.23198020833333344</v>
      </c>
      <c r="ED254" s="150">
        <f t="shared" si="701"/>
        <v>139.80934077529957</v>
      </c>
      <c r="EE254" s="144">
        <f t="shared" si="674"/>
        <v>0.13970588235294118</v>
      </c>
      <c r="EF254" s="5">
        <f t="shared" si="675"/>
        <v>9.6262047004165883</v>
      </c>
      <c r="EH254" s="150">
        <f t="shared" si="702"/>
        <v>4.244800741299092</v>
      </c>
      <c r="EI254" s="150">
        <f t="shared" si="703"/>
        <v>0.32109549173854007</v>
      </c>
      <c r="EK254" s="456">
        <f t="shared" si="704"/>
        <v>6.1262333333333287E-2</v>
      </c>
      <c r="EL254" s="456">
        <f t="shared" si="705"/>
        <v>2.4190607111999998</v>
      </c>
      <c r="EM254" s="456">
        <f t="shared" si="706"/>
        <v>5.5703677499999986E-2</v>
      </c>
      <c r="EN254" s="456">
        <f t="shared" si="707"/>
        <v>0.10030234383124592</v>
      </c>
      <c r="EO254">
        <f t="shared" si="708"/>
        <v>7.1999999999999998E-3</v>
      </c>
      <c r="EP254" s="144">
        <f t="shared" si="709"/>
        <v>62.903677499999993</v>
      </c>
      <c r="EQ254" s="144"/>
      <c r="ER254" s="144">
        <f t="shared" si="710"/>
        <v>2643.5290658645786</v>
      </c>
      <c r="ES254" s="456">
        <f t="shared" si="711"/>
        <v>0.47499999999999998</v>
      </c>
      <c r="EV254" s="144">
        <f t="shared" si="712"/>
        <v>475</v>
      </c>
      <c r="EW254" s="456">
        <f t="shared" si="713"/>
        <v>2.7027499999999982E-2</v>
      </c>
      <c r="EX254" s="456">
        <f t="shared" si="714"/>
        <v>2.0620462962962972E-2</v>
      </c>
      <c r="EY254" s="456">
        <f t="shared" si="715"/>
        <v>29.952826405160735</v>
      </c>
      <c r="EZ254" s="456"/>
      <c r="FA254" s="456">
        <f t="shared" si="716"/>
        <v>4.3244000000000005E-2</v>
      </c>
      <c r="FB254" s="144">
        <f t="shared" si="717"/>
        <v>30043.7183681237</v>
      </c>
      <c r="FC254" s="150">
        <f t="shared" si="718"/>
        <v>33.162247433988277</v>
      </c>
      <c r="FD254" s="5">
        <f t="shared" si="719"/>
        <v>32.299999999999997</v>
      </c>
      <c r="FE254" s="150">
        <f t="shared" si="720"/>
        <v>0.49341416260679288</v>
      </c>
      <c r="FF254" s="5">
        <f t="shared" si="721"/>
        <v>49.341416260679289</v>
      </c>
      <c r="FI254" s="59">
        <f t="shared" si="676"/>
        <v>-50</v>
      </c>
      <c r="FJ254">
        <f t="shared" si="677"/>
        <v>-50</v>
      </c>
      <c r="FL254">
        <f t="shared" si="760"/>
        <v>0.56999999999999995</v>
      </c>
    </row>
    <row r="255" spans="5:168">
      <c r="E255" s="147">
        <v>39</v>
      </c>
      <c r="F255" s="188">
        <f t="shared" si="761"/>
        <v>0.19500000000000001</v>
      </c>
      <c r="G255" s="188"/>
      <c r="H255" s="188">
        <f t="shared" si="726"/>
        <v>33.15</v>
      </c>
      <c r="I255" s="465">
        <f t="shared" si="727"/>
        <v>15.967400381246467</v>
      </c>
      <c r="J255" s="149">
        <f t="shared" si="728"/>
        <v>8.5383264917095438</v>
      </c>
      <c r="K255" s="149">
        <f t="shared" si="729"/>
        <v>24.505726872956011</v>
      </c>
      <c r="L255" s="379"/>
      <c r="M255" s="188">
        <f t="shared" si="730"/>
        <v>0.34842186048293716</v>
      </c>
      <c r="N255" s="149">
        <f t="shared" si="731"/>
        <v>186.33652087932737</v>
      </c>
      <c r="O255" s="149">
        <f t="shared" si="599"/>
        <v>33.15</v>
      </c>
      <c r="P255" s="188">
        <f t="shared" si="732"/>
        <v>1.0960971816431022</v>
      </c>
      <c r="Q255" s="188">
        <f t="shared" si="733"/>
        <v>170</v>
      </c>
      <c r="R255" s="188"/>
      <c r="S255" s="149">
        <f t="shared" si="734"/>
        <v>2410.2148645000334</v>
      </c>
      <c r="T255" s="149">
        <f t="shared" si="735"/>
        <v>170</v>
      </c>
      <c r="U255" s="188">
        <f t="shared" si="736"/>
        <v>11.970935682067557</v>
      </c>
      <c r="V255" s="188">
        <f t="shared" si="737"/>
        <v>1.1245664976367056</v>
      </c>
      <c r="W255" s="188">
        <f t="shared" si="738"/>
        <v>2.1030354766284067</v>
      </c>
      <c r="X255" s="172">
        <f t="shared" si="739"/>
        <v>278.16942216349025</v>
      </c>
      <c r="Y255" s="379">
        <f t="shared" si="680"/>
        <v>291.74916093179195</v>
      </c>
      <c r="AA255" s="188">
        <f t="shared" si="740"/>
        <v>13.333333333333334</v>
      </c>
      <c r="AB255" s="150">
        <f t="shared" si="741"/>
        <v>2.3423793900853283</v>
      </c>
      <c r="AC255" s="150">
        <f t="shared" si="742"/>
        <v>0.21719277380923482</v>
      </c>
      <c r="AD255" s="150"/>
      <c r="AE255" s="150">
        <f t="shared" si="743"/>
        <v>2.3423793900853283</v>
      </c>
      <c r="AF255" s="314">
        <f t="shared" si="744"/>
        <v>249.74604988250411</v>
      </c>
      <c r="AG255" s="456">
        <f t="shared" si="745"/>
        <v>0.21719277380923488</v>
      </c>
      <c r="AI255" s="150">
        <f t="shared" si="746"/>
        <v>11.262998554925597</v>
      </c>
      <c r="AJ255" s="150">
        <f t="shared" si="747"/>
        <v>13.333333333333334</v>
      </c>
      <c r="AK255" s="150">
        <f t="shared" si="748"/>
        <v>1.142712028504288</v>
      </c>
      <c r="AM255" s="314">
        <f t="shared" si="749"/>
        <v>195</v>
      </c>
      <c r="AN255" s="144">
        <f t="shared" si="750"/>
        <v>249.74604988250411</v>
      </c>
      <c r="AP255">
        <f t="shared" si="751"/>
        <v>195</v>
      </c>
      <c r="AQ255">
        <f t="shared" si="752"/>
        <v>249.74604988250411</v>
      </c>
      <c r="AS255" s="5">
        <f t="shared" si="600"/>
        <v>4.0040673334791936</v>
      </c>
      <c r="AT255" s="5">
        <f t="shared" si="753"/>
        <v>1.2525520449458871</v>
      </c>
      <c r="AU255" s="5">
        <f t="shared" si="722"/>
        <v>2.7515152885333065</v>
      </c>
      <c r="AV255" s="5"/>
      <c r="AW255" s="150">
        <f t="shared" si="723"/>
        <v>0.3128199254974881</v>
      </c>
      <c r="AX255" s="150">
        <f t="shared" si="631"/>
        <v>33.299473317667221</v>
      </c>
      <c r="AY255" s="150">
        <f t="shared" si="632"/>
        <v>0.22906002483417065</v>
      </c>
      <c r="AZ255" s="150">
        <f t="shared" si="633"/>
        <v>145.3744420999455</v>
      </c>
      <c r="BA255" s="144">
        <f t="shared" si="724"/>
        <v>0.14367508750849883</v>
      </c>
      <c r="BB255" s="5">
        <f t="shared" si="725"/>
        <v>9.520724479985633</v>
      </c>
      <c r="BD255" s="150">
        <f t="shared" si="681"/>
        <v>4.3055170498463733</v>
      </c>
      <c r="BE255" s="150">
        <f t="shared" si="682"/>
        <v>0.31906810477052333</v>
      </c>
      <c r="BG255" s="456">
        <f t="shared" si="683"/>
        <v>6.3027422026160573E-2</v>
      </c>
      <c r="BH255" s="456">
        <f t="shared" si="754"/>
        <v>1.9543865765358135</v>
      </c>
      <c r="BI255" s="456">
        <f t="shared" si="755"/>
        <v>0.18264101888257825</v>
      </c>
      <c r="BJ255" s="456">
        <f t="shared" si="684"/>
        <v>0.10273640793131324</v>
      </c>
      <c r="BK255">
        <f t="shared" si="685"/>
        <v>7.1853301715609098E-3</v>
      </c>
      <c r="BL255" s="144">
        <f t="shared" si="686"/>
        <v>189.82634905413917</v>
      </c>
      <c r="BM255" s="456">
        <f t="shared" si="756"/>
        <v>2.169659140539713</v>
      </c>
      <c r="BN255" s="144">
        <f t="shared" si="687"/>
        <v>2169.659140539713</v>
      </c>
      <c r="BO255" s="456">
        <f t="shared" si="637"/>
        <v>0.48750000000000004</v>
      </c>
      <c r="BR255" s="144">
        <f t="shared" si="688"/>
        <v>487.50000000000006</v>
      </c>
      <c r="BS255" s="456">
        <f t="shared" si="689"/>
        <v>2.7806215599776724E-2</v>
      </c>
      <c r="BT255" s="456">
        <f t="shared" si="690"/>
        <v>2.0360891096370733E-2</v>
      </c>
      <c r="BU255" s="456">
        <f t="shared" si="691"/>
        <v>31.993622462475418</v>
      </c>
      <c r="BV255" s="456"/>
      <c r="BW255" s="456">
        <f t="shared" si="692"/>
        <v>4.4399297756889625E-2</v>
      </c>
      <c r="BX255" s="144">
        <f t="shared" si="693"/>
        <v>32086.188866928453</v>
      </c>
      <c r="BY255" s="150">
        <f t="shared" si="694"/>
        <v>34.883665622475881</v>
      </c>
      <c r="BZ255" s="5">
        <f t="shared" si="695"/>
        <v>33.15</v>
      </c>
      <c r="CA255" s="150">
        <f t="shared" si="696"/>
        <v>0.48725876662227691</v>
      </c>
      <c r="CB255" s="5">
        <f t="shared" si="697"/>
        <v>48.725876662227691</v>
      </c>
      <c r="CE255" s="59">
        <f t="shared" si="757"/>
        <v>-50</v>
      </c>
      <c r="CF255">
        <f t="shared" si="758"/>
        <v>-50</v>
      </c>
      <c r="CG255" s="150">
        <f t="shared" si="759"/>
        <v>0.58620317447511816</v>
      </c>
      <c r="CI255" s="147">
        <v>39</v>
      </c>
      <c r="CJ255" s="188">
        <f t="shared" si="698"/>
        <v>0.19500000000000001</v>
      </c>
      <c r="CK255" s="188"/>
      <c r="CL255" s="188">
        <f t="shared" si="641"/>
        <v>33.15</v>
      </c>
      <c r="CM255" s="465">
        <f t="shared" si="642"/>
        <v>16</v>
      </c>
      <c r="CN255" s="379">
        <f t="shared" si="643"/>
        <v>8.5350000000000001</v>
      </c>
      <c r="CO255" s="379">
        <f t="shared" si="644"/>
        <v>24.535</v>
      </c>
      <c r="CP255" s="379"/>
      <c r="CQ255" s="188">
        <f t="shared" si="645"/>
        <v>0.34787038923986141</v>
      </c>
      <c r="CR255" s="149">
        <f t="shared" si="646"/>
        <v>186.42142245771345</v>
      </c>
      <c r="CS255" s="149">
        <f t="shared" si="647"/>
        <v>33.15</v>
      </c>
      <c r="CT255" s="188">
        <f t="shared" si="648"/>
        <v>1.0965966026924321</v>
      </c>
      <c r="CU255" s="188">
        <f t="shared" si="649"/>
        <v>170</v>
      </c>
      <c r="CV255" s="188"/>
      <c r="CW255" s="149">
        <f t="shared" si="650"/>
        <v>2415.1354565893907</v>
      </c>
      <c r="CX255" s="149">
        <f t="shared" si="651"/>
        <v>170</v>
      </c>
      <c r="CY255" s="188">
        <f t="shared" si="652"/>
        <v>11.911764059753954</v>
      </c>
      <c r="CZ255" s="188">
        <f t="shared" si="653"/>
        <v>1.1167278806019334</v>
      </c>
      <c r="DA255" s="188">
        <f t="shared" si="654"/>
        <v>2.0934558980235423</v>
      </c>
      <c r="DB255" s="172">
        <f t="shared" si="655"/>
        <v>278.29631139188916</v>
      </c>
      <c r="DC255" s="379">
        <f t="shared" si="656"/>
        <v>311.50864528640045</v>
      </c>
      <c r="DE255" s="188">
        <f t="shared" si="657"/>
        <v>13.333333333333332</v>
      </c>
      <c r="DF255" s="150">
        <f t="shared" si="658"/>
        <v>2.3432923257176332</v>
      </c>
      <c r="DG255" s="150">
        <f t="shared" si="659"/>
        <v>0.21737653692004619</v>
      </c>
      <c r="DH255" s="150"/>
      <c r="DI255" s="150">
        <f t="shared" si="660"/>
        <v>2.3432923257176337</v>
      </c>
      <c r="DJ255" s="314">
        <f t="shared" si="661"/>
        <v>249.64874999999995</v>
      </c>
      <c r="DK255" s="456">
        <f t="shared" si="662"/>
        <v>0.21737653692004627</v>
      </c>
      <c r="DM255" s="150">
        <f t="shared" si="663"/>
        <v>11.260804335646467</v>
      </c>
      <c r="DN255" s="150">
        <f t="shared" si="664"/>
        <v>13.333333333333334</v>
      </c>
      <c r="DO255" s="150">
        <f t="shared" si="665"/>
        <v>1.1426564285714285</v>
      </c>
      <c r="DQ255" s="314">
        <f t="shared" si="666"/>
        <v>195</v>
      </c>
      <c r="DR255" s="144">
        <f t="shared" si="667"/>
        <v>249.64874999999995</v>
      </c>
      <c r="DT255">
        <f t="shared" si="668"/>
        <v>195</v>
      </c>
      <c r="DU255">
        <f t="shared" si="669"/>
        <v>249.64874999999995</v>
      </c>
      <c r="DW255" s="5">
        <f t="shared" si="670"/>
        <v>4.0056279072096306</v>
      </c>
      <c r="DX255" s="5">
        <f t="shared" si="671"/>
        <v>1.25</v>
      </c>
      <c r="DY255" s="5">
        <f t="shared" si="672"/>
        <v>2.7556279072096306</v>
      </c>
      <c r="DZ255" s="5"/>
      <c r="EA255" s="150">
        <f t="shared" si="673"/>
        <v>0.31206093749999991</v>
      </c>
      <c r="EB255" s="150">
        <f t="shared" si="699"/>
        <v>33.286500000000004</v>
      </c>
      <c r="EC255" s="150">
        <f t="shared" si="700"/>
        <v>0.22931302083333341</v>
      </c>
      <c r="ED255" s="150">
        <f t="shared" si="701"/>
        <v>145.15747897365543</v>
      </c>
      <c r="EE255" s="144">
        <f t="shared" si="674"/>
        <v>0.14338235294117649</v>
      </c>
      <c r="EF255" s="5">
        <f t="shared" si="675"/>
        <v>9.5155276170832543</v>
      </c>
      <c r="EH255" s="150">
        <f t="shared" si="702"/>
        <v>4.3002906878489036</v>
      </c>
      <c r="EI255" s="150">
        <f t="shared" si="703"/>
        <v>0.31924426094786446</v>
      </c>
      <c r="EK255" s="456">
        <f t="shared" si="704"/>
        <v>6.2874499999999986E-2</v>
      </c>
      <c r="EL255" s="456">
        <f t="shared" si="705"/>
        <v>2.4827202035999996</v>
      </c>
      <c r="EM255" s="456">
        <f t="shared" si="706"/>
        <v>5.7169563749999992E-2</v>
      </c>
      <c r="EN255" s="456">
        <f t="shared" si="707"/>
        <v>0.10294187919522609</v>
      </c>
      <c r="EO255">
        <f t="shared" si="708"/>
        <v>7.1999999999999998E-3</v>
      </c>
      <c r="EP255" s="144">
        <f t="shared" si="709"/>
        <v>64.369563749999998</v>
      </c>
      <c r="EQ255" s="144"/>
      <c r="ER255" s="144">
        <f t="shared" si="710"/>
        <v>2712.9061465452255</v>
      </c>
      <c r="ES255" s="456">
        <f t="shared" si="711"/>
        <v>0.48750000000000004</v>
      </c>
      <c r="EV255" s="144">
        <f t="shared" si="712"/>
        <v>487.50000000000006</v>
      </c>
      <c r="EW255" s="456">
        <f t="shared" si="713"/>
        <v>2.7738749999999996E-2</v>
      </c>
      <c r="EX255" s="456">
        <f t="shared" si="714"/>
        <v>2.0383379629629637E-2</v>
      </c>
      <c r="EY255" s="456">
        <f t="shared" si="715"/>
        <v>31.96247015629752</v>
      </c>
      <c r="EZ255" s="456"/>
      <c r="FA255" s="456">
        <f t="shared" si="716"/>
        <v>4.4382000000000005E-2</v>
      </c>
      <c r="FB255" s="144">
        <f t="shared" si="717"/>
        <v>32054.97428592715</v>
      </c>
      <c r="FC255" s="150">
        <f t="shared" si="718"/>
        <v>35.255380432472379</v>
      </c>
      <c r="FD255" s="5">
        <f t="shared" si="719"/>
        <v>33.15</v>
      </c>
      <c r="FE255" s="150">
        <f t="shared" si="720"/>
        <v>0.48461100267872387</v>
      </c>
      <c r="FF255" s="5">
        <f t="shared" si="721"/>
        <v>48.461100267872389</v>
      </c>
      <c r="FI255" s="59">
        <f t="shared" si="676"/>
        <v>-50</v>
      </c>
      <c r="FJ255">
        <f t="shared" si="677"/>
        <v>-50</v>
      </c>
      <c r="FL255">
        <f t="shared" si="760"/>
        <v>0.58499999999999996</v>
      </c>
    </row>
    <row r="256" spans="5:168">
      <c r="E256" s="147">
        <v>40</v>
      </c>
      <c r="F256" s="188">
        <f t="shared" si="761"/>
        <v>0.2</v>
      </c>
      <c r="G256" s="188"/>
      <c r="H256" s="188">
        <f t="shared" si="726"/>
        <v>34</v>
      </c>
      <c r="I256" s="465">
        <f t="shared" si="727"/>
        <v>15.967400381246467</v>
      </c>
      <c r="J256" s="149">
        <f t="shared" si="728"/>
        <v>8.5383264917095438</v>
      </c>
      <c r="K256" s="149">
        <f t="shared" si="729"/>
        <v>24.505726872956011</v>
      </c>
      <c r="L256" s="379"/>
      <c r="M256" s="188">
        <f t="shared" si="730"/>
        <v>0.34842186048293716</v>
      </c>
      <c r="N256" s="149">
        <f t="shared" si="731"/>
        <v>186.33652087932737</v>
      </c>
      <c r="O256" s="149">
        <f t="shared" si="599"/>
        <v>34</v>
      </c>
      <c r="P256" s="188">
        <f t="shared" si="732"/>
        <v>1.0960971816431022</v>
      </c>
      <c r="Q256" s="188">
        <f t="shared" si="733"/>
        <v>170</v>
      </c>
      <c r="R256" s="188"/>
      <c r="S256" s="149">
        <f t="shared" si="734"/>
        <v>2341.9808113847771</v>
      </c>
      <c r="T256" s="149">
        <f t="shared" si="735"/>
        <v>170</v>
      </c>
      <c r="U256" s="188">
        <f t="shared" si="736"/>
        <v>12.27788275083852</v>
      </c>
      <c r="V256" s="188">
        <f t="shared" si="737"/>
        <v>1.1534015360376466</v>
      </c>
      <c r="W256" s="188">
        <f t="shared" si="738"/>
        <v>2.1569594632086226</v>
      </c>
      <c r="X256" s="172">
        <f t="shared" si="739"/>
        <v>278.16942216349025</v>
      </c>
      <c r="Y256" s="379">
        <f t="shared" si="680"/>
        <v>284.87098626457964</v>
      </c>
      <c r="AA256" s="188">
        <f t="shared" si="740"/>
        <v>13.333333333333334</v>
      </c>
      <c r="AB256" s="150">
        <f t="shared" si="741"/>
        <v>2.3423793900853283</v>
      </c>
      <c r="AC256" s="150">
        <f t="shared" si="742"/>
        <v>0.21719277380923482</v>
      </c>
      <c r="AD256" s="150"/>
      <c r="AE256" s="150">
        <f t="shared" si="743"/>
        <v>2.3423793900853283</v>
      </c>
      <c r="AF256" s="314">
        <f t="shared" si="744"/>
        <v>256.14979475128627</v>
      </c>
      <c r="AG256" s="456">
        <f t="shared" si="745"/>
        <v>0.21719277380923488</v>
      </c>
      <c r="AI256" s="150">
        <f t="shared" si="746"/>
        <v>11.406482027979601</v>
      </c>
      <c r="AJ256" s="150">
        <f t="shared" si="747"/>
        <v>13.333333333333334</v>
      </c>
      <c r="AK256" s="150">
        <f t="shared" si="748"/>
        <v>1.1463713112864493</v>
      </c>
      <c r="AM256" s="314">
        <f t="shared" si="749"/>
        <v>200</v>
      </c>
      <c r="AN256" s="144">
        <f t="shared" si="750"/>
        <v>256.14979475128627</v>
      </c>
      <c r="AP256">
        <f t="shared" si="751"/>
        <v>200</v>
      </c>
      <c r="AQ256">
        <f t="shared" si="752"/>
        <v>256.14979475128627</v>
      </c>
      <c r="AS256" s="5">
        <f t="shared" si="600"/>
        <v>3.9039656501422142</v>
      </c>
      <c r="AT256" s="5">
        <f t="shared" si="753"/>
        <v>1.2525520449458871</v>
      </c>
      <c r="AU256" s="5">
        <f t="shared" si="722"/>
        <v>2.6514136051963271</v>
      </c>
      <c r="AV256" s="5"/>
      <c r="AW256" s="150">
        <f t="shared" si="723"/>
        <v>0.3208409492281929</v>
      </c>
      <c r="AX256" s="150">
        <f t="shared" si="631"/>
        <v>34.153305966838175</v>
      </c>
      <c r="AY256" s="150">
        <f t="shared" si="632"/>
        <v>0.22638635025726905</v>
      </c>
      <c r="AZ256" s="150">
        <f t="shared" si="633"/>
        <v>150.86292052513684</v>
      </c>
      <c r="BA256" s="144">
        <f t="shared" si="724"/>
        <v>0.14735906411128083</v>
      </c>
      <c r="BB256" s="5">
        <f t="shared" si="725"/>
        <v>9.4095950106936836</v>
      </c>
      <c r="BD256" s="150">
        <f t="shared" si="681"/>
        <v>4.3603666120293507</v>
      </c>
      <c r="BE256" s="150">
        <f t="shared" si="682"/>
        <v>0.31720049758772034</v>
      </c>
      <c r="BG256" s="456">
        <f t="shared" si="683"/>
        <v>6.464350977042109E-2</v>
      </c>
      <c r="BH256" s="456">
        <f t="shared" si="754"/>
        <v>2.0044990528572444</v>
      </c>
      <c r="BI256" s="456">
        <f t="shared" si="755"/>
        <v>0.18732412193084946</v>
      </c>
      <c r="BJ256" s="456">
        <f t="shared" si="684"/>
        <v>0.10537067480134692</v>
      </c>
      <c r="BK256">
        <f t="shared" si="685"/>
        <v>7.1853301715609098E-3</v>
      </c>
      <c r="BL256" s="144">
        <f t="shared" si="686"/>
        <v>194.50945210241039</v>
      </c>
      <c r="BM256" s="456">
        <f t="shared" si="756"/>
        <v>2.2261592278684472</v>
      </c>
      <c r="BN256" s="144">
        <f t="shared" si="687"/>
        <v>2226.159227868447</v>
      </c>
      <c r="BO256" s="456">
        <f t="shared" si="637"/>
        <v>0.5</v>
      </c>
      <c r="BR256" s="144">
        <f t="shared" si="688"/>
        <v>500</v>
      </c>
      <c r="BS256" s="456">
        <f t="shared" si="689"/>
        <v>2.8519195486950481E-2</v>
      </c>
      <c r="BT256" s="456">
        <f t="shared" si="690"/>
        <v>2.0123231133979475E-2</v>
      </c>
      <c r="BU256" s="456">
        <f t="shared" si="691"/>
        <v>34.084103577500187</v>
      </c>
      <c r="BV256" s="456"/>
      <c r="BW256" s="456">
        <f t="shared" si="692"/>
        <v>4.553774128911757E-2</v>
      </c>
      <c r="BX256" s="144">
        <f t="shared" si="693"/>
        <v>34178.283745410234</v>
      </c>
      <c r="BY256" s="150">
        <f t="shared" si="694"/>
        <v>37.047306434941653</v>
      </c>
      <c r="BZ256" s="5">
        <f t="shared" si="695"/>
        <v>34</v>
      </c>
      <c r="CA256" s="150">
        <f t="shared" si="696"/>
        <v>0.47855438448090865</v>
      </c>
      <c r="CB256" s="5">
        <f t="shared" si="697"/>
        <v>47.855438448090865</v>
      </c>
      <c r="CE256" s="59">
        <f t="shared" si="757"/>
        <v>-50</v>
      </c>
      <c r="CF256">
        <f t="shared" si="758"/>
        <v>-50</v>
      </c>
      <c r="CG256" s="150">
        <f t="shared" si="759"/>
        <v>0.6012340251026852</v>
      </c>
      <c r="CI256" s="147">
        <v>40</v>
      </c>
      <c r="CJ256" s="188">
        <f t="shared" si="698"/>
        <v>0.2</v>
      </c>
      <c r="CK256" s="188"/>
      <c r="CL256" s="188">
        <f t="shared" si="641"/>
        <v>34</v>
      </c>
      <c r="CM256" s="465">
        <f t="shared" si="642"/>
        <v>16</v>
      </c>
      <c r="CN256" s="379">
        <f t="shared" si="643"/>
        <v>8.5350000000000001</v>
      </c>
      <c r="CO256" s="379">
        <f t="shared" si="644"/>
        <v>24.535</v>
      </c>
      <c r="CP256" s="379"/>
      <c r="CQ256" s="188">
        <f t="shared" si="645"/>
        <v>0.34787038923986141</v>
      </c>
      <c r="CR256" s="149">
        <f t="shared" si="646"/>
        <v>186.42142245771345</v>
      </c>
      <c r="CS256" s="149">
        <f t="shared" si="647"/>
        <v>34</v>
      </c>
      <c r="CT256" s="188">
        <f t="shared" si="648"/>
        <v>1.0965966026924321</v>
      </c>
      <c r="CU256" s="188">
        <f t="shared" si="649"/>
        <v>170</v>
      </c>
      <c r="CV256" s="188"/>
      <c r="CW256" s="149">
        <f t="shared" si="650"/>
        <v>2346.7620888679717</v>
      </c>
      <c r="CX256" s="149">
        <f t="shared" si="651"/>
        <v>170</v>
      </c>
      <c r="CY256" s="188">
        <f t="shared" si="652"/>
        <v>12.217193907439954</v>
      </c>
      <c r="CZ256" s="188">
        <f t="shared" si="653"/>
        <v>1.1453619288224957</v>
      </c>
      <c r="DA256" s="188">
        <f t="shared" si="654"/>
        <v>2.1471342543831202</v>
      </c>
      <c r="DB256" s="172">
        <f t="shared" si="655"/>
        <v>278.29631139188916</v>
      </c>
      <c r="DC256" s="379">
        <f t="shared" si="656"/>
        <v>303.72092915424048</v>
      </c>
      <c r="DE256" s="188">
        <f t="shared" si="657"/>
        <v>13.333333333333332</v>
      </c>
      <c r="DF256" s="150">
        <f t="shared" si="658"/>
        <v>2.3432923257176332</v>
      </c>
      <c r="DG256" s="150">
        <f t="shared" si="659"/>
        <v>0.21737653692004619</v>
      </c>
      <c r="DH256" s="150"/>
      <c r="DI256" s="150">
        <f t="shared" si="660"/>
        <v>2.3432923257176337</v>
      </c>
      <c r="DJ256" s="314">
        <f t="shared" si="661"/>
        <v>256.04999999999995</v>
      </c>
      <c r="DK256" s="456">
        <f t="shared" si="662"/>
        <v>0.21737653692004627</v>
      </c>
      <c r="DM256" s="150">
        <f t="shared" si="663"/>
        <v>11.404259855735612</v>
      </c>
      <c r="DN256" s="150">
        <f t="shared" si="664"/>
        <v>13.333333333333334</v>
      </c>
      <c r="DO256" s="150">
        <f t="shared" si="665"/>
        <v>1.1463142857142856</v>
      </c>
      <c r="DQ256" s="314">
        <f t="shared" si="666"/>
        <v>200</v>
      </c>
      <c r="DR256" s="144">
        <f t="shared" si="667"/>
        <v>256.04999999999995</v>
      </c>
      <c r="DT256">
        <f t="shared" si="668"/>
        <v>200</v>
      </c>
      <c r="DU256">
        <f t="shared" si="669"/>
        <v>256.04999999999995</v>
      </c>
      <c r="DW256" s="5">
        <f t="shared" si="670"/>
        <v>3.9054872095293893</v>
      </c>
      <c r="DX256" s="5">
        <f t="shared" si="671"/>
        <v>1.25</v>
      </c>
      <c r="DY256" s="5">
        <f t="shared" si="672"/>
        <v>2.6554872095293893</v>
      </c>
      <c r="DZ256" s="5"/>
      <c r="EA256" s="150">
        <f t="shared" si="673"/>
        <v>0.32006249999999997</v>
      </c>
      <c r="EB256" s="150">
        <f t="shared" si="699"/>
        <v>34.14</v>
      </c>
      <c r="EC256" s="150">
        <f t="shared" si="700"/>
        <v>0.22664583333333338</v>
      </c>
      <c r="ED256" s="150">
        <f t="shared" si="701"/>
        <v>150.63149186506109</v>
      </c>
      <c r="EE256" s="144">
        <f t="shared" si="674"/>
        <v>0.14705882352941174</v>
      </c>
      <c r="EF256" s="5">
        <f t="shared" si="675"/>
        <v>9.4048505337499186</v>
      </c>
      <c r="EH256" s="150">
        <f t="shared" si="702"/>
        <v>4.3550736694878847</v>
      </c>
      <c r="EI256" s="150">
        <f t="shared" si="703"/>
        <v>0.31738223246029623</v>
      </c>
      <c r="EK256" s="456">
        <f t="shared" si="704"/>
        <v>6.4486666666666664E-2</v>
      </c>
      <c r="EL256" s="456">
        <f t="shared" si="705"/>
        <v>2.5463796959999994</v>
      </c>
      <c r="EM256" s="456">
        <f t="shared" si="706"/>
        <v>5.8635449999999985E-2</v>
      </c>
      <c r="EN256" s="456">
        <f t="shared" si="707"/>
        <v>0.10558141455920624</v>
      </c>
      <c r="EO256">
        <f t="shared" si="708"/>
        <v>7.1999999999999998E-3</v>
      </c>
      <c r="EP256" s="144">
        <f t="shared" si="709"/>
        <v>65.835449999999994</v>
      </c>
      <c r="EQ256" s="144"/>
      <c r="ER256" s="144">
        <f t="shared" si="710"/>
        <v>2782.2832272258729</v>
      </c>
      <c r="ES256" s="456">
        <f t="shared" si="711"/>
        <v>0.5</v>
      </c>
      <c r="EV256" s="144">
        <f t="shared" si="712"/>
        <v>500</v>
      </c>
      <c r="EW256" s="456">
        <f t="shared" si="713"/>
        <v>2.8450000000000003E-2</v>
      </c>
      <c r="EX256" s="456">
        <f t="shared" si="714"/>
        <v>2.0146296296296305E-2</v>
      </c>
      <c r="EY256" s="456">
        <f t="shared" si="715"/>
        <v>34.050915762281996</v>
      </c>
      <c r="EZ256" s="456"/>
      <c r="FA256" s="456">
        <f t="shared" si="716"/>
        <v>4.5520000000000005E-2</v>
      </c>
      <c r="FB256" s="144">
        <f t="shared" si="717"/>
        <v>34145.032058578297</v>
      </c>
      <c r="FC256" s="150">
        <f t="shared" si="718"/>
        <v>37.42731528580417</v>
      </c>
      <c r="FD256" s="5">
        <f t="shared" si="719"/>
        <v>34</v>
      </c>
      <c r="FE256" s="150">
        <f t="shared" si="720"/>
        <v>0.47600837108261485</v>
      </c>
      <c r="FF256" s="5">
        <f t="shared" si="721"/>
        <v>47.600837108261487</v>
      </c>
      <c r="FI256" s="59">
        <f t="shared" si="676"/>
        <v>-50</v>
      </c>
      <c r="FJ256">
        <f t="shared" si="677"/>
        <v>-50</v>
      </c>
      <c r="FL256">
        <f t="shared" si="760"/>
        <v>0.6</v>
      </c>
    </row>
    <row r="257" spans="5:168">
      <c r="E257" s="147">
        <v>41</v>
      </c>
      <c r="F257" s="188">
        <f t="shared" si="761"/>
        <v>0.20499999999999999</v>
      </c>
      <c r="G257" s="188"/>
      <c r="H257" s="188">
        <f t="shared" si="726"/>
        <v>34.85</v>
      </c>
      <c r="I257" s="465">
        <f t="shared" si="727"/>
        <v>15.967400381246467</v>
      </c>
      <c r="J257" s="149">
        <f t="shared" si="728"/>
        <v>8.5383264917095438</v>
      </c>
      <c r="K257" s="149">
        <f t="shared" si="729"/>
        <v>24.505726872956011</v>
      </c>
      <c r="L257" s="379"/>
      <c r="M257" s="188">
        <f t="shared" si="730"/>
        <v>0.34842186048293716</v>
      </c>
      <c r="N257" s="149">
        <f t="shared" si="731"/>
        <v>186.33652087932737</v>
      </c>
      <c r="O257" s="149">
        <f t="shared" si="599"/>
        <v>34.85</v>
      </c>
      <c r="P257" s="188">
        <f t="shared" si="732"/>
        <v>1.0960971816431022</v>
      </c>
      <c r="Q257" s="188">
        <f t="shared" si="733"/>
        <v>170</v>
      </c>
      <c r="R257" s="188"/>
      <c r="S257" s="149">
        <f t="shared" si="734"/>
        <v>2277.0753988159263</v>
      </c>
      <c r="T257" s="149">
        <f t="shared" si="735"/>
        <v>170</v>
      </c>
      <c r="U257" s="188">
        <f t="shared" si="736"/>
        <v>12.584829819609483</v>
      </c>
      <c r="V257" s="188">
        <f t="shared" si="737"/>
        <v>1.1822365744385879</v>
      </c>
      <c r="W257" s="188">
        <f t="shared" si="738"/>
        <v>2.2108834497888381</v>
      </c>
      <c r="X257" s="172">
        <f t="shared" si="739"/>
        <v>278.16942216349025</v>
      </c>
      <c r="Y257" s="379">
        <f t="shared" si="680"/>
        <v>278.30965658182117</v>
      </c>
      <c r="AA257" s="188">
        <f t="shared" si="740"/>
        <v>13.333333333333334</v>
      </c>
      <c r="AB257" s="150">
        <f t="shared" si="741"/>
        <v>2.3423793900853283</v>
      </c>
      <c r="AC257" s="150">
        <f t="shared" si="742"/>
        <v>0.21719277380923482</v>
      </c>
      <c r="AD257" s="150"/>
      <c r="AE257" s="150">
        <f t="shared" si="743"/>
        <v>2.3423793900853283</v>
      </c>
      <c r="AF257" s="314">
        <f t="shared" si="744"/>
        <v>262.55353962006836</v>
      </c>
      <c r="AG257" s="456">
        <f t="shared" si="745"/>
        <v>0.21719277380923488</v>
      </c>
      <c r="AI257" s="150">
        <f t="shared" si="746"/>
        <v>11.548182890004261</v>
      </c>
      <c r="AJ257" s="150">
        <f t="shared" si="747"/>
        <v>13.333333333333334</v>
      </c>
      <c r="AK257" s="150">
        <f t="shared" si="748"/>
        <v>1.1500305940686104</v>
      </c>
      <c r="AM257" s="314">
        <f t="shared" si="749"/>
        <v>205</v>
      </c>
      <c r="AN257" s="144">
        <f t="shared" si="750"/>
        <v>262.55353962006836</v>
      </c>
      <c r="AP257">
        <f t="shared" si="751"/>
        <v>205</v>
      </c>
      <c r="AQ257">
        <f t="shared" si="752"/>
        <v>262.55353962006836</v>
      </c>
      <c r="AS257" s="5">
        <f t="shared" si="600"/>
        <v>3.8087469757485022</v>
      </c>
      <c r="AT257" s="5">
        <f t="shared" si="753"/>
        <v>1.2525520449458871</v>
      </c>
      <c r="AU257" s="5">
        <f t="shared" si="722"/>
        <v>2.5561949308026151</v>
      </c>
      <c r="AV257" s="5"/>
      <c r="AW257" s="150">
        <f t="shared" si="723"/>
        <v>0.32886197295889763</v>
      </c>
      <c r="AX257" s="150">
        <f t="shared" si="631"/>
        <v>35.007138616009129</v>
      </c>
      <c r="AY257" s="150">
        <f t="shared" si="632"/>
        <v>0.22371267568036748</v>
      </c>
      <c r="AZ257" s="150">
        <f t="shared" si="633"/>
        <v>156.48258870242137</v>
      </c>
      <c r="BA257" s="144">
        <f t="shared" si="724"/>
        <v>0.15104304071406285</v>
      </c>
      <c r="BB257" s="5">
        <f t="shared" si="725"/>
        <v>9.2984655414017361</v>
      </c>
      <c r="BD257" s="150">
        <f t="shared" si="681"/>
        <v>4.4145347338176899</v>
      </c>
      <c r="BE257" s="150">
        <f t="shared" si="682"/>
        <v>0.31532182902225642</v>
      </c>
      <c r="BG257" s="456">
        <f t="shared" si="683"/>
        <v>6.6259597514681592E-2</v>
      </c>
      <c r="BH257" s="456">
        <f t="shared" si="754"/>
        <v>2.0546115291786755</v>
      </c>
      <c r="BI257" s="456">
        <f t="shared" si="755"/>
        <v>0.19200722497912068</v>
      </c>
      <c r="BJ257" s="456">
        <f t="shared" si="684"/>
        <v>0.10800494167138057</v>
      </c>
      <c r="BK257">
        <f t="shared" si="685"/>
        <v>7.1853301715609098E-3</v>
      </c>
      <c r="BL257" s="144">
        <f t="shared" si="686"/>
        <v>199.19255515068161</v>
      </c>
      <c r="BM257" s="456">
        <f t="shared" si="756"/>
        <v>2.2827033993094141</v>
      </c>
      <c r="BN257" s="144">
        <f t="shared" si="687"/>
        <v>2282.7033993094142</v>
      </c>
      <c r="BO257" s="456">
        <f t="shared" si="637"/>
        <v>0.51249999999999996</v>
      </c>
      <c r="BR257" s="144">
        <f t="shared" si="688"/>
        <v>512.5</v>
      </c>
      <c r="BS257" s="456">
        <f t="shared" si="689"/>
        <v>2.9232175374124238E-2</v>
      </c>
      <c r="BT257" s="456">
        <f t="shared" si="690"/>
        <v>1.9885571171588221E-2</v>
      </c>
      <c r="BU257" s="456">
        <f t="shared" si="691"/>
        <v>36.254468270039155</v>
      </c>
      <c r="BV257" s="456"/>
      <c r="BW257" s="456">
        <f t="shared" si="692"/>
        <v>4.6676184821345494E-2</v>
      </c>
      <c r="BX257" s="144">
        <f t="shared" si="693"/>
        <v>36350.262201406207</v>
      </c>
      <c r="BY257" s="150">
        <f t="shared" si="694"/>
        <v>39.290830824921628</v>
      </c>
      <c r="BZ257" s="5">
        <f t="shared" si="695"/>
        <v>34.85</v>
      </c>
      <c r="CA257" s="150">
        <f t="shared" si="696"/>
        <v>0.47005138210948605</v>
      </c>
      <c r="CB257" s="5">
        <f t="shared" si="697"/>
        <v>47.005138210948601</v>
      </c>
      <c r="CE257" s="59">
        <f t="shared" si="757"/>
        <v>-50</v>
      </c>
      <c r="CF257">
        <f t="shared" si="758"/>
        <v>-50</v>
      </c>
      <c r="CG257" s="150">
        <f t="shared" si="759"/>
        <v>0.61626487573025235</v>
      </c>
      <c r="CI257" s="147">
        <v>41</v>
      </c>
      <c r="CJ257" s="188">
        <f t="shared" si="698"/>
        <v>0.20499999999999999</v>
      </c>
      <c r="CK257" s="188"/>
      <c r="CL257" s="188">
        <f t="shared" si="641"/>
        <v>34.85</v>
      </c>
      <c r="CM257" s="465">
        <f t="shared" si="642"/>
        <v>16</v>
      </c>
      <c r="CN257" s="379">
        <f t="shared" si="643"/>
        <v>8.5350000000000001</v>
      </c>
      <c r="CO257" s="379">
        <f t="shared" si="644"/>
        <v>24.535</v>
      </c>
      <c r="CP257" s="379"/>
      <c r="CQ257" s="188">
        <f t="shared" si="645"/>
        <v>0.34787038923986141</v>
      </c>
      <c r="CR257" s="149">
        <f t="shared" si="646"/>
        <v>186.42142245771345</v>
      </c>
      <c r="CS257" s="149">
        <f t="shared" si="647"/>
        <v>34.85</v>
      </c>
      <c r="CT257" s="188">
        <f t="shared" si="648"/>
        <v>1.0965966026924321</v>
      </c>
      <c r="CU257" s="188">
        <f t="shared" si="649"/>
        <v>170</v>
      </c>
      <c r="CV257" s="188"/>
      <c r="CW257" s="149">
        <f t="shared" si="650"/>
        <v>2281.724157527754</v>
      </c>
      <c r="CX257" s="149">
        <f t="shared" si="651"/>
        <v>170</v>
      </c>
      <c r="CY257" s="188">
        <f t="shared" si="652"/>
        <v>12.522623755125952</v>
      </c>
      <c r="CZ257" s="188">
        <f t="shared" si="653"/>
        <v>1.1739959770430581</v>
      </c>
      <c r="DA257" s="188">
        <f t="shared" si="654"/>
        <v>2.2008126107426982</v>
      </c>
      <c r="DB257" s="172">
        <f t="shared" si="655"/>
        <v>278.29631139188916</v>
      </c>
      <c r="DC257" s="379">
        <f t="shared" si="656"/>
        <v>296.31310161389314</v>
      </c>
      <c r="DE257" s="188">
        <f t="shared" si="657"/>
        <v>13.333333333333332</v>
      </c>
      <c r="DF257" s="150">
        <f t="shared" si="658"/>
        <v>2.3432923257176332</v>
      </c>
      <c r="DG257" s="150">
        <f t="shared" si="659"/>
        <v>0.21737653692004619</v>
      </c>
      <c r="DH257" s="150"/>
      <c r="DI257" s="150">
        <f t="shared" si="660"/>
        <v>2.3432923257176337</v>
      </c>
      <c r="DJ257" s="314">
        <f t="shared" si="661"/>
        <v>262.4512499999999</v>
      </c>
      <c r="DK257" s="456">
        <f t="shared" si="662"/>
        <v>0.21737653692004627</v>
      </c>
      <c r="DM257" s="150">
        <f t="shared" si="663"/>
        <v>11.545933112077664</v>
      </c>
      <c r="DN257" s="150">
        <f t="shared" si="664"/>
        <v>13.333333333333334</v>
      </c>
      <c r="DO257" s="150">
        <f t="shared" si="665"/>
        <v>1.1499721428571428</v>
      </c>
      <c r="DQ257" s="314">
        <f t="shared" si="666"/>
        <v>205</v>
      </c>
      <c r="DR257" s="144">
        <f t="shared" si="667"/>
        <v>262.4512499999999</v>
      </c>
      <c r="DT257">
        <f t="shared" si="668"/>
        <v>205</v>
      </c>
      <c r="DU257">
        <f t="shared" si="669"/>
        <v>262.4512499999999</v>
      </c>
      <c r="DW257" s="5">
        <f t="shared" si="670"/>
        <v>3.8102314239311124</v>
      </c>
      <c r="DX257" s="5">
        <f t="shared" si="671"/>
        <v>1.25</v>
      </c>
      <c r="DY257" s="5">
        <f t="shared" si="672"/>
        <v>2.5602314239311124</v>
      </c>
      <c r="DZ257" s="5"/>
      <c r="EA257" s="150">
        <f t="shared" si="673"/>
        <v>0.32806406249999986</v>
      </c>
      <c r="EB257" s="150">
        <f t="shared" si="699"/>
        <v>34.993499999999997</v>
      </c>
      <c r="EC257" s="150">
        <f t="shared" si="700"/>
        <v>0.22397864583333341</v>
      </c>
      <c r="ED257" s="150">
        <f t="shared" si="701"/>
        <v>156.23587628098841</v>
      </c>
      <c r="EE257" s="144">
        <f t="shared" si="674"/>
        <v>0.15073529411764705</v>
      </c>
      <c r="EF257" s="5">
        <f t="shared" si="675"/>
        <v>9.2941734504165883</v>
      </c>
      <c r="EH257" s="150">
        <f t="shared" si="702"/>
        <v>4.4091760379160787</v>
      </c>
      <c r="EI257" s="150">
        <f t="shared" si="703"/>
        <v>0.31550921510284746</v>
      </c>
      <c r="EK257" s="456">
        <f t="shared" si="704"/>
        <v>6.6098833333333315E-2</v>
      </c>
      <c r="EL257" s="456">
        <f t="shared" si="705"/>
        <v>2.6100391883999992</v>
      </c>
      <c r="EM257" s="456">
        <f t="shared" si="706"/>
        <v>6.0101336249999977E-2</v>
      </c>
      <c r="EN257" s="456">
        <f t="shared" si="707"/>
        <v>0.10822094992318637</v>
      </c>
      <c r="EO257">
        <f t="shared" si="708"/>
        <v>7.1999999999999998E-3</v>
      </c>
      <c r="EP257" s="144">
        <f t="shared" si="709"/>
        <v>67.301336249999977</v>
      </c>
      <c r="EQ257" s="144"/>
      <c r="ER257" s="144">
        <f t="shared" si="710"/>
        <v>2851.6603079065189</v>
      </c>
      <c r="ES257" s="456">
        <f t="shared" si="711"/>
        <v>0.51249999999999996</v>
      </c>
      <c r="EV257" s="144">
        <f t="shared" si="712"/>
        <v>512.5</v>
      </c>
      <c r="EW257" s="456">
        <f t="shared" si="713"/>
        <v>2.9161249999999996E-2</v>
      </c>
      <c r="EX257" s="456">
        <f t="shared" si="714"/>
        <v>1.9909212962962976E-2</v>
      </c>
      <c r="EY257" s="456">
        <f t="shared" si="715"/>
        <v>36.219167162851626</v>
      </c>
      <c r="EZ257" s="456"/>
      <c r="FA257" s="456">
        <f t="shared" si="716"/>
        <v>4.6657999999999991E-2</v>
      </c>
      <c r="FB257" s="144">
        <f t="shared" si="717"/>
        <v>36314.895625814592</v>
      </c>
      <c r="FC257" s="150">
        <f t="shared" si="718"/>
        <v>39.679055933721109</v>
      </c>
      <c r="FD257" s="5">
        <f t="shared" si="719"/>
        <v>34.85</v>
      </c>
      <c r="FE257" s="150">
        <f t="shared" si="720"/>
        <v>0.46760286392185352</v>
      </c>
      <c r="FF257" s="5">
        <f t="shared" si="721"/>
        <v>46.76028639218535</v>
      </c>
      <c r="FI257" s="59">
        <f t="shared" si="676"/>
        <v>-50</v>
      </c>
      <c r="FJ257">
        <f t="shared" si="677"/>
        <v>-50</v>
      </c>
      <c r="FL257">
        <f t="shared" si="760"/>
        <v>0.61499999999999988</v>
      </c>
    </row>
    <row r="258" spans="5:168">
      <c r="E258" s="147">
        <v>42</v>
      </c>
      <c r="F258" s="188">
        <f t="shared" si="761"/>
        <v>0.21</v>
      </c>
      <c r="G258" s="188"/>
      <c r="H258" s="188">
        <f t="shared" si="726"/>
        <v>35.699999999999996</v>
      </c>
      <c r="I258" s="465">
        <f t="shared" si="727"/>
        <v>15.967400381246467</v>
      </c>
      <c r="J258" s="149">
        <f t="shared" si="728"/>
        <v>8.5383264917095438</v>
      </c>
      <c r="K258" s="149">
        <f t="shared" si="729"/>
        <v>24.505726872956011</v>
      </c>
      <c r="L258" s="379"/>
      <c r="M258" s="188">
        <f t="shared" si="730"/>
        <v>0.34842186048293716</v>
      </c>
      <c r="N258" s="149">
        <f t="shared" si="731"/>
        <v>186.33652087932737</v>
      </c>
      <c r="O258" s="149">
        <f t="shared" si="599"/>
        <v>35.699999999999996</v>
      </c>
      <c r="P258" s="188">
        <f t="shared" si="732"/>
        <v>1.0960971816431022</v>
      </c>
      <c r="Q258" s="188">
        <f t="shared" si="733"/>
        <v>170</v>
      </c>
      <c r="R258" s="188"/>
      <c r="S258" s="149">
        <f t="shared" si="734"/>
        <v>2215.260868257933</v>
      </c>
      <c r="T258" s="149">
        <f t="shared" si="735"/>
        <v>170</v>
      </c>
      <c r="U258" s="188">
        <f t="shared" si="736"/>
        <v>12.891776888380447</v>
      </c>
      <c r="V258" s="188">
        <f t="shared" si="737"/>
        <v>1.2110716128395291</v>
      </c>
      <c r="W258" s="188">
        <f t="shared" si="738"/>
        <v>2.264807436369054</v>
      </c>
      <c r="X258" s="172">
        <f t="shared" si="739"/>
        <v>278.16942216349025</v>
      </c>
      <c r="Y258" s="379">
        <f t="shared" si="680"/>
        <v>272.04377146612046</v>
      </c>
      <c r="AA258" s="188">
        <f t="shared" si="740"/>
        <v>13.333333333333334</v>
      </c>
      <c r="AB258" s="150">
        <f t="shared" si="741"/>
        <v>2.3423793900853283</v>
      </c>
      <c r="AC258" s="150">
        <f t="shared" si="742"/>
        <v>0.21719277380923482</v>
      </c>
      <c r="AD258" s="150"/>
      <c r="AE258" s="150">
        <f t="shared" si="743"/>
        <v>2.3423793900853283</v>
      </c>
      <c r="AF258" s="314">
        <f t="shared" si="744"/>
        <v>268.95728448885058</v>
      </c>
      <c r="AG258" s="456">
        <f t="shared" si="745"/>
        <v>0.21719277380923488</v>
      </c>
      <c r="AI258" s="150">
        <f t="shared" si="746"/>
        <v>11.688165975350996</v>
      </c>
      <c r="AJ258" s="150">
        <f t="shared" si="747"/>
        <v>13.333333333333334</v>
      </c>
      <c r="AK258" s="150">
        <f t="shared" si="748"/>
        <v>1.1536898768507717</v>
      </c>
      <c r="AM258" s="314">
        <f t="shared" si="749"/>
        <v>210</v>
      </c>
      <c r="AN258" s="144">
        <f t="shared" si="750"/>
        <v>268.95728448885058</v>
      </c>
      <c r="AP258">
        <f t="shared" si="751"/>
        <v>210</v>
      </c>
      <c r="AQ258">
        <f t="shared" si="752"/>
        <v>268.95728448885058</v>
      </c>
      <c r="AS258" s="5">
        <f t="shared" si="600"/>
        <v>3.7180625239449658</v>
      </c>
      <c r="AT258" s="5">
        <f t="shared" si="753"/>
        <v>1.2525520449458871</v>
      </c>
      <c r="AU258" s="5">
        <f t="shared" si="722"/>
        <v>2.4655104789990787</v>
      </c>
      <c r="AV258" s="5"/>
      <c r="AW258" s="150">
        <f t="shared" si="723"/>
        <v>0.33688299668960253</v>
      </c>
      <c r="AX258" s="150">
        <f t="shared" si="631"/>
        <v>35.860971265180083</v>
      </c>
      <c r="AY258" s="150">
        <f t="shared" si="632"/>
        <v>0.22103900110346586</v>
      </c>
      <c r="AZ258" s="150">
        <f t="shared" si="633"/>
        <v>162.23820722205474</v>
      </c>
      <c r="BA258" s="144">
        <f t="shared" si="724"/>
        <v>0.15472701731684488</v>
      </c>
      <c r="BB258" s="5">
        <f t="shared" si="725"/>
        <v>9.1873360721097814</v>
      </c>
      <c r="BD258" s="150">
        <f t="shared" si="681"/>
        <v>4.4680461994998817</v>
      </c>
      <c r="BE258" s="150">
        <f t="shared" si="682"/>
        <v>0.31343190017288419</v>
      </c>
      <c r="BG258" s="456">
        <f t="shared" si="683"/>
        <v>6.7875685258942151E-2</v>
      </c>
      <c r="BH258" s="456">
        <f t="shared" si="754"/>
        <v>2.1047240055001071</v>
      </c>
      <c r="BI258" s="456">
        <f t="shared" si="755"/>
        <v>0.19669032802739195</v>
      </c>
      <c r="BJ258" s="456">
        <f t="shared" si="684"/>
        <v>0.11063920854141426</v>
      </c>
      <c r="BK258">
        <f t="shared" si="685"/>
        <v>7.1853301715609098E-3</v>
      </c>
      <c r="BL258" s="144">
        <f t="shared" si="686"/>
        <v>203.87565819895286</v>
      </c>
      <c r="BM258" s="456">
        <f t="shared" si="756"/>
        <v>2.3392917064775975</v>
      </c>
      <c r="BN258" s="144">
        <f t="shared" si="687"/>
        <v>2339.2917064775975</v>
      </c>
      <c r="BO258" s="456">
        <f t="shared" si="637"/>
        <v>0.52500000000000002</v>
      </c>
      <c r="BR258" s="144">
        <f t="shared" si="688"/>
        <v>525</v>
      </c>
      <c r="BS258" s="456">
        <f t="shared" si="689"/>
        <v>2.9945155261298009E-2</v>
      </c>
      <c r="BT258" s="456">
        <f t="shared" si="690"/>
        <v>1.9647911209196969E-2</v>
      </c>
      <c r="BU258" s="456">
        <f t="shared" si="691"/>
        <v>38.505708971471442</v>
      </c>
      <c r="BV258" s="456"/>
      <c r="BW258" s="456">
        <f t="shared" si="692"/>
        <v>4.7814628353573446E-2</v>
      </c>
      <c r="BX258" s="144">
        <f t="shared" si="693"/>
        <v>38603.116666295507</v>
      </c>
      <c r="BY258" s="150">
        <f t="shared" si="694"/>
        <v>41.615231223794922</v>
      </c>
      <c r="BZ258" s="5">
        <f t="shared" si="695"/>
        <v>35.699999999999996</v>
      </c>
      <c r="CA258" s="150">
        <f t="shared" si="696"/>
        <v>0.46174601608140559</v>
      </c>
      <c r="CB258" s="5">
        <f t="shared" si="697"/>
        <v>46.174601608140556</v>
      </c>
      <c r="CE258" s="59">
        <f t="shared" si="757"/>
        <v>-50</v>
      </c>
      <c r="CF258">
        <f t="shared" si="758"/>
        <v>-50</v>
      </c>
      <c r="CG258" s="150">
        <f t="shared" si="759"/>
        <v>0.63129572635781939</v>
      </c>
      <c r="CI258" s="147">
        <v>42</v>
      </c>
      <c r="CJ258" s="188">
        <f t="shared" si="698"/>
        <v>0.21</v>
      </c>
      <c r="CK258" s="188"/>
      <c r="CL258" s="188">
        <f t="shared" si="641"/>
        <v>35.699999999999996</v>
      </c>
      <c r="CM258" s="465">
        <f t="shared" si="642"/>
        <v>16</v>
      </c>
      <c r="CN258" s="379">
        <f t="shared" si="643"/>
        <v>8.5350000000000001</v>
      </c>
      <c r="CO258" s="379">
        <f t="shared" si="644"/>
        <v>24.535</v>
      </c>
      <c r="CP258" s="379"/>
      <c r="CQ258" s="188">
        <f t="shared" si="645"/>
        <v>0.34787038923986141</v>
      </c>
      <c r="CR258" s="149">
        <f t="shared" si="646"/>
        <v>186.42142245771345</v>
      </c>
      <c r="CS258" s="149">
        <f t="shared" si="647"/>
        <v>35.699999999999996</v>
      </c>
      <c r="CT258" s="188">
        <f t="shared" si="648"/>
        <v>1.0965966026924321</v>
      </c>
      <c r="CU258" s="188">
        <f t="shared" si="649"/>
        <v>170</v>
      </c>
      <c r="CV258" s="188"/>
      <c r="CW258" s="149">
        <f t="shared" si="650"/>
        <v>2219.7834186164346</v>
      </c>
      <c r="CX258" s="149">
        <f t="shared" si="651"/>
        <v>170</v>
      </c>
      <c r="CY258" s="188">
        <f t="shared" si="652"/>
        <v>12.82805360281195</v>
      </c>
      <c r="CZ258" s="188">
        <f t="shared" si="653"/>
        <v>1.2026300252636202</v>
      </c>
      <c r="DA258" s="188">
        <f t="shared" si="654"/>
        <v>2.2544909671022761</v>
      </c>
      <c r="DB258" s="172">
        <f t="shared" si="655"/>
        <v>278.29631139188916</v>
      </c>
      <c r="DC258" s="379">
        <f t="shared" si="656"/>
        <v>289.25802776594332</v>
      </c>
      <c r="DE258" s="188">
        <f t="shared" si="657"/>
        <v>13.333333333333332</v>
      </c>
      <c r="DF258" s="150">
        <f t="shared" si="658"/>
        <v>2.3432923257176332</v>
      </c>
      <c r="DG258" s="150">
        <f t="shared" si="659"/>
        <v>0.21737653692004619</v>
      </c>
      <c r="DH258" s="150"/>
      <c r="DI258" s="150">
        <f t="shared" si="660"/>
        <v>2.3432923257176337</v>
      </c>
      <c r="DJ258" s="314">
        <f t="shared" si="661"/>
        <v>268.85249999999996</v>
      </c>
      <c r="DK258" s="456">
        <f t="shared" si="662"/>
        <v>0.21737653692004627</v>
      </c>
      <c r="DM258" s="150">
        <f t="shared" si="663"/>
        <v>11.685888926393233</v>
      </c>
      <c r="DN258" s="150">
        <f t="shared" si="664"/>
        <v>13.333333333333334</v>
      </c>
      <c r="DO258" s="150">
        <f t="shared" si="665"/>
        <v>1.1536299999999999</v>
      </c>
      <c r="DQ258" s="314">
        <f t="shared" si="666"/>
        <v>210</v>
      </c>
      <c r="DR258" s="144">
        <f t="shared" si="667"/>
        <v>268.85249999999996</v>
      </c>
      <c r="DT258">
        <f t="shared" si="668"/>
        <v>210</v>
      </c>
      <c r="DU258">
        <f t="shared" si="669"/>
        <v>268.85249999999996</v>
      </c>
      <c r="DW258" s="5">
        <f t="shared" si="670"/>
        <v>3.7195116281232279</v>
      </c>
      <c r="DX258" s="5">
        <f t="shared" si="671"/>
        <v>1.25</v>
      </c>
      <c r="DY258" s="5">
        <f t="shared" si="672"/>
        <v>2.4695116281232279</v>
      </c>
      <c r="DZ258" s="5"/>
      <c r="EA258" s="150">
        <f t="shared" si="673"/>
        <v>0.33606562499999998</v>
      </c>
      <c r="EB258" s="150">
        <f t="shared" si="699"/>
        <v>35.847000000000001</v>
      </c>
      <c r="EC258" s="150">
        <f t="shared" si="700"/>
        <v>0.22131145833333335</v>
      </c>
      <c r="ED258" s="150">
        <f t="shared" si="701"/>
        <v>161.97534583143101</v>
      </c>
      <c r="EE258" s="144">
        <f t="shared" si="674"/>
        <v>0.15441176470588236</v>
      </c>
      <c r="EF258" s="5">
        <f t="shared" si="675"/>
        <v>9.1834963670832508</v>
      </c>
      <c r="EH258" s="150">
        <f t="shared" si="702"/>
        <v>4.4626225473369354</v>
      </c>
      <c r="EI258" s="150">
        <f t="shared" si="703"/>
        <v>0.31362501199385895</v>
      </c>
      <c r="EK258" s="456">
        <f t="shared" si="704"/>
        <v>6.7710999999999993E-2</v>
      </c>
      <c r="EL258" s="456">
        <f t="shared" si="705"/>
        <v>2.6736986807999998</v>
      </c>
      <c r="EM258" s="456">
        <f t="shared" si="706"/>
        <v>6.1567222499999991E-2</v>
      </c>
      <c r="EN258" s="456">
        <f t="shared" si="707"/>
        <v>0.11086048528716655</v>
      </c>
      <c r="EO258">
        <f t="shared" si="708"/>
        <v>7.1999999999999998E-3</v>
      </c>
      <c r="EP258" s="144">
        <f t="shared" si="709"/>
        <v>68.767222499999988</v>
      </c>
      <c r="EQ258" s="144"/>
      <c r="ER258" s="144">
        <f t="shared" si="710"/>
        <v>2921.0373885871663</v>
      </c>
      <c r="ES258" s="456">
        <f t="shared" si="711"/>
        <v>0.52500000000000002</v>
      </c>
      <c r="EV258" s="144">
        <f t="shared" si="712"/>
        <v>525</v>
      </c>
      <c r="EW258" s="456">
        <f t="shared" si="713"/>
        <v>2.98725E-2</v>
      </c>
      <c r="EX258" s="456">
        <f t="shared" si="714"/>
        <v>1.9672129629629637E-2</v>
      </c>
      <c r="EY258" s="456">
        <f t="shared" si="715"/>
        <v>38.468215823051473</v>
      </c>
      <c r="EZ258" s="456"/>
      <c r="FA258" s="456">
        <f t="shared" si="716"/>
        <v>4.7795999999999998E-2</v>
      </c>
      <c r="FB258" s="144">
        <f t="shared" si="717"/>
        <v>38565.556452681099</v>
      </c>
      <c r="FC258" s="150">
        <f t="shared" si="718"/>
        <v>42.011593841268265</v>
      </c>
      <c r="FD258" s="5">
        <f t="shared" si="719"/>
        <v>35.699999999999996</v>
      </c>
      <c r="FE258" s="150">
        <f t="shared" si="720"/>
        <v>0.45939091241546159</v>
      </c>
      <c r="FF258" s="5">
        <f t="shared" si="721"/>
        <v>45.939091241546159</v>
      </c>
      <c r="FI258" s="59">
        <f t="shared" si="676"/>
        <v>-50</v>
      </c>
      <c r="FJ258">
        <f t="shared" si="677"/>
        <v>-50</v>
      </c>
      <c r="FL258">
        <f t="shared" si="760"/>
        <v>0.63</v>
      </c>
    </row>
    <row r="259" spans="5:168">
      <c r="E259" s="147">
        <v>43</v>
      </c>
      <c r="F259" s="188">
        <f t="shared" si="761"/>
        <v>0.215</v>
      </c>
      <c r="G259" s="188"/>
      <c r="H259" s="188">
        <f t="shared" si="726"/>
        <v>36.549999999999997</v>
      </c>
      <c r="I259" s="465">
        <f t="shared" si="727"/>
        <v>15.967189379917043</v>
      </c>
      <c r="J259" s="149">
        <f t="shared" si="728"/>
        <v>8.5383480224574448</v>
      </c>
      <c r="K259" s="149">
        <f t="shared" si="729"/>
        <v>24.505537402374486</v>
      </c>
      <c r="L259" s="379"/>
      <c r="M259" s="188">
        <f t="shared" si="730"/>
        <v>0.34842486051997462</v>
      </c>
      <c r="N259" s="149">
        <f t="shared" si="731"/>
        <v>186.33566293700218</v>
      </c>
      <c r="O259" s="149">
        <f t="shared" si="599"/>
        <v>36.549999999999997</v>
      </c>
      <c r="P259" s="188">
        <f t="shared" si="732"/>
        <v>1.0960921349235422</v>
      </c>
      <c r="Q259" s="188">
        <f t="shared" si="733"/>
        <v>170</v>
      </c>
      <c r="R259" s="188"/>
      <c r="S259" s="149">
        <f t="shared" si="734"/>
        <v>2156.2930849100921</v>
      </c>
      <c r="T259" s="149">
        <f t="shared" si="735"/>
        <v>170</v>
      </c>
      <c r="U259" s="188">
        <f t="shared" si="736"/>
        <v>13.198784727825917</v>
      </c>
      <c r="V259" s="188">
        <f t="shared" si="737"/>
        <v>1.2399287451704124</v>
      </c>
      <c r="W259" s="188">
        <f t="shared" si="738"/>
        <v>2.318736251985277</v>
      </c>
      <c r="X259" s="172">
        <f t="shared" si="739"/>
        <v>278.16859844299523</v>
      </c>
      <c r="Y259" s="379">
        <f t="shared" si="680"/>
        <v>266.05190958937129</v>
      </c>
      <c r="AA259" s="188">
        <f t="shared" si="740"/>
        <v>13.333333333333334</v>
      </c>
      <c r="AB259" s="150">
        <f t="shared" si="741"/>
        <v>2.3423734834181364</v>
      </c>
      <c r="AC259" s="150">
        <f t="shared" si="742"/>
        <v>0.21719158297081989</v>
      </c>
      <c r="AD259" s="150"/>
      <c r="AE259" s="150">
        <f t="shared" si="743"/>
        <v>2.3423734834181364</v>
      </c>
      <c r="AF259" s="314">
        <f t="shared" si="744"/>
        <v>275.3617237242525</v>
      </c>
      <c r="AG259" s="456">
        <f t="shared" si="745"/>
        <v>0.21719158297081992</v>
      </c>
      <c r="AI259" s="150">
        <f t="shared" si="746"/>
        <v>11.82650719223027</v>
      </c>
      <c r="AJ259" s="150">
        <f t="shared" si="747"/>
        <v>13.333333333333334</v>
      </c>
      <c r="AK259" s="150">
        <f t="shared" si="748"/>
        <v>1.1573495564138585</v>
      </c>
      <c r="AM259" s="314">
        <f t="shared" si="749"/>
        <v>215</v>
      </c>
      <c r="AN259" s="144">
        <f t="shared" si="750"/>
        <v>275.3617237242525</v>
      </c>
      <c r="AP259">
        <f t="shared" si="751"/>
        <v>215</v>
      </c>
      <c r="AQ259">
        <f t="shared" si="752"/>
        <v>275.3617237242525</v>
      </c>
      <c r="AS259" s="5">
        <f t="shared" si="600"/>
        <v>3.6315867959971118</v>
      </c>
      <c r="AT259" s="5">
        <f t="shared" si="753"/>
        <v>1.2525685970227975</v>
      </c>
      <c r="AU259" s="5">
        <f t="shared" si="722"/>
        <v>2.3790181989743142</v>
      </c>
      <c r="AV259" s="5"/>
      <c r="AW259" s="150">
        <f t="shared" si="723"/>
        <v>0.34490944795906614</v>
      </c>
      <c r="AX259" s="150">
        <f t="shared" si="631"/>
        <v>36.714896496567007</v>
      </c>
      <c r="AY259" s="150">
        <f t="shared" si="632"/>
        <v>0.21836351734697795</v>
      </c>
      <c r="AZ259" s="150">
        <f t="shared" si="633"/>
        <v>168.13658683756827</v>
      </c>
      <c r="BA259" s="144">
        <f t="shared" si="724"/>
        <v>0.15841308727053027</v>
      </c>
      <c r="BB259" s="5">
        <f t="shared" si="725"/>
        <v>9.0762284565328351</v>
      </c>
      <c r="BD259" s="150">
        <f t="shared" si="681"/>
        <v>4.5209598978064705</v>
      </c>
      <c r="BE259" s="150">
        <f t="shared" si="682"/>
        <v>0.31152921557088742</v>
      </c>
      <c r="BG259" s="456">
        <f t="shared" si="683"/>
        <v>6.9492866551752588E-2</v>
      </c>
      <c r="BH259" s="456">
        <f t="shared" si="754"/>
        <v>2.1548252550236291</v>
      </c>
      <c r="BI259" s="456">
        <f t="shared" si="755"/>
        <v>0.20137127781339753</v>
      </c>
      <c r="BJ259" s="456">
        <f t="shared" si="684"/>
        <v>0.11327200946102954</v>
      </c>
      <c r="BK259">
        <f t="shared" si="685"/>
        <v>7.1852352209626691E-3</v>
      </c>
      <c r="BL259" s="144">
        <f t="shared" si="686"/>
        <v>208.55651303436022</v>
      </c>
      <c r="BM259" s="456">
        <f t="shared" si="756"/>
        <v>2.3959133403258339</v>
      </c>
      <c r="BN259" s="144">
        <f t="shared" si="687"/>
        <v>2395.9133403258338</v>
      </c>
      <c r="BO259" s="456">
        <f t="shared" si="637"/>
        <v>0.53749999999999998</v>
      </c>
      <c r="BR259" s="144">
        <f t="shared" si="688"/>
        <v>537.5</v>
      </c>
      <c r="BS259" s="456">
        <f t="shared" si="689"/>
        <v>3.0658617596361439E-2</v>
      </c>
      <c r="BT259" s="456">
        <f t="shared" si="690"/>
        <v>1.9410090430842492E-2</v>
      </c>
      <c r="BU259" s="456">
        <f t="shared" si="691"/>
        <v>40.839063534935661</v>
      </c>
      <c r="BV259" s="456"/>
      <c r="BW259" s="456">
        <f t="shared" si="692"/>
        <v>4.8953195328756006E-2</v>
      </c>
      <c r="BX259" s="144">
        <f t="shared" si="693"/>
        <v>40938.085438291622</v>
      </c>
      <c r="BY259" s="150">
        <f t="shared" si="694"/>
        <v>44.021732082362391</v>
      </c>
      <c r="BZ259" s="5">
        <f t="shared" si="695"/>
        <v>36.549999999999997</v>
      </c>
      <c r="CA259" s="150">
        <f t="shared" si="696"/>
        <v>0.4536330429465969</v>
      </c>
      <c r="CB259" s="5">
        <f t="shared" si="697"/>
        <v>45.363304294659692</v>
      </c>
      <c r="CE259" s="59">
        <f t="shared" si="757"/>
        <v>-50</v>
      </c>
      <c r="CF259">
        <f t="shared" si="758"/>
        <v>-50</v>
      </c>
      <c r="CG259" s="150">
        <f t="shared" si="759"/>
        <v>0.64217012500000004</v>
      </c>
      <c r="CI259" s="147">
        <v>43</v>
      </c>
      <c r="CJ259" s="188">
        <f t="shared" si="698"/>
        <v>0.215</v>
      </c>
      <c r="CK259" s="188"/>
      <c r="CL259" s="188">
        <f t="shared" si="641"/>
        <v>36.549999999999997</v>
      </c>
      <c r="CM259" s="465">
        <f t="shared" si="642"/>
        <v>16</v>
      </c>
      <c r="CN259" s="379">
        <f t="shared" si="643"/>
        <v>8.5350000000000001</v>
      </c>
      <c r="CO259" s="379">
        <f t="shared" si="644"/>
        <v>24.535</v>
      </c>
      <c r="CP259" s="379"/>
      <c r="CQ259" s="188">
        <f t="shared" si="645"/>
        <v>0.34787038923986141</v>
      </c>
      <c r="CR259" s="149">
        <f t="shared" si="646"/>
        <v>186.42142245771345</v>
      </c>
      <c r="CS259" s="149">
        <f t="shared" si="647"/>
        <v>36.549999999999997</v>
      </c>
      <c r="CT259" s="188">
        <f t="shared" si="648"/>
        <v>1.0965966026924321</v>
      </c>
      <c r="CU259" s="188">
        <f t="shared" si="649"/>
        <v>170</v>
      </c>
      <c r="CV259" s="188"/>
      <c r="CW259" s="149">
        <f t="shared" si="650"/>
        <v>2160.7237904299277</v>
      </c>
      <c r="CX259" s="149">
        <f t="shared" si="651"/>
        <v>170</v>
      </c>
      <c r="CY259" s="188">
        <f t="shared" si="652"/>
        <v>13.133483450497948</v>
      </c>
      <c r="CZ259" s="188">
        <f t="shared" si="653"/>
        <v>1.2312640734841827</v>
      </c>
      <c r="DA259" s="188">
        <f t="shared" si="654"/>
        <v>2.3081693234618537</v>
      </c>
      <c r="DB259" s="172">
        <f t="shared" si="655"/>
        <v>278.29631139188916</v>
      </c>
      <c r="DC259" s="379">
        <f t="shared" si="656"/>
        <v>282.53109688766557</v>
      </c>
      <c r="DE259" s="188">
        <f t="shared" si="657"/>
        <v>13.333333333333332</v>
      </c>
      <c r="DF259" s="150">
        <f t="shared" si="658"/>
        <v>2.3432923257176332</v>
      </c>
      <c r="DG259" s="150">
        <f t="shared" si="659"/>
        <v>0.21737653692004619</v>
      </c>
      <c r="DH259" s="150"/>
      <c r="DI259" s="150">
        <f t="shared" si="660"/>
        <v>2.3432923257176337</v>
      </c>
      <c r="DJ259" s="314">
        <f t="shared" si="661"/>
        <v>275.25374999999997</v>
      </c>
      <c r="DK259" s="456">
        <f t="shared" si="662"/>
        <v>0.21737653692004627</v>
      </c>
      <c r="DM259" s="150">
        <f t="shared" si="663"/>
        <v>11.824188283828558</v>
      </c>
      <c r="DN259" s="150">
        <f t="shared" si="664"/>
        <v>13.333333333333334</v>
      </c>
      <c r="DO259" s="150">
        <f t="shared" si="665"/>
        <v>1.1572878571428571</v>
      </c>
      <c r="DQ259" s="314">
        <f t="shared" si="666"/>
        <v>215</v>
      </c>
      <c r="DR259" s="144">
        <f t="shared" si="667"/>
        <v>275.25374999999997</v>
      </c>
      <c r="DT259">
        <f t="shared" si="668"/>
        <v>215</v>
      </c>
      <c r="DU259">
        <f t="shared" si="669"/>
        <v>275.25374999999997</v>
      </c>
      <c r="DW259" s="5">
        <f t="shared" si="670"/>
        <v>3.6330113577017573</v>
      </c>
      <c r="DX259" s="5">
        <f t="shared" si="671"/>
        <v>1.25</v>
      </c>
      <c r="DY259" s="5">
        <f t="shared" si="672"/>
        <v>2.3830113577017573</v>
      </c>
      <c r="DZ259" s="5"/>
      <c r="EA259" s="150">
        <f t="shared" si="673"/>
        <v>0.34406718749999998</v>
      </c>
      <c r="EB259" s="150">
        <f t="shared" si="699"/>
        <v>36.700500000000005</v>
      </c>
      <c r="EC259" s="150">
        <f t="shared" si="700"/>
        <v>0.21864427083333338</v>
      </c>
      <c r="ED259" s="150">
        <f t="shared" si="701"/>
        <v>167.85484412704236</v>
      </c>
      <c r="EE259" s="144">
        <f t="shared" si="674"/>
        <v>0.15808823529411764</v>
      </c>
      <c r="EF259" s="5">
        <f t="shared" si="675"/>
        <v>9.0728192837499186</v>
      </c>
      <c r="EH259" s="150">
        <f t="shared" si="702"/>
        <v>4.5154364868378636</v>
      </c>
      <c r="EI259" s="150">
        <f t="shared" si="703"/>
        <v>0.31172942030145551</v>
      </c>
      <c r="EK259" s="456">
        <f t="shared" si="704"/>
        <v>6.9323166666666672E-2</v>
      </c>
      <c r="EL259" s="456">
        <f t="shared" si="705"/>
        <v>2.7373581731999996</v>
      </c>
      <c r="EM259" s="456">
        <f t="shared" si="706"/>
        <v>6.3033108749999983E-2</v>
      </c>
      <c r="EN259" s="456">
        <f t="shared" si="707"/>
        <v>0.11350002065114671</v>
      </c>
      <c r="EO259">
        <f t="shared" si="708"/>
        <v>7.1999999999999998E-3</v>
      </c>
      <c r="EP259" s="144">
        <f t="shared" si="709"/>
        <v>70.233108749999985</v>
      </c>
      <c r="EQ259" s="144"/>
      <c r="ER259" s="144">
        <f t="shared" si="710"/>
        <v>2990.4144692678128</v>
      </c>
      <c r="ES259" s="456">
        <f t="shared" si="711"/>
        <v>0.53749999999999998</v>
      </c>
      <c r="EV259" s="144">
        <f t="shared" si="712"/>
        <v>537.5</v>
      </c>
      <c r="EW259" s="456">
        <f t="shared" si="713"/>
        <v>3.0583750000000003E-2</v>
      </c>
      <c r="EX259" s="456">
        <f t="shared" si="714"/>
        <v>1.9435046296296301E-2</v>
      </c>
      <c r="EY259" s="456">
        <f t="shared" si="715"/>
        <v>40.799041187057696</v>
      </c>
      <c r="EZ259" s="456"/>
      <c r="FA259" s="456">
        <f t="shared" si="716"/>
        <v>4.8934000000000005E-2</v>
      </c>
      <c r="FB259" s="144">
        <f t="shared" si="717"/>
        <v>40897.993983353997</v>
      </c>
      <c r="FC259" s="150">
        <f t="shared" si="718"/>
        <v>44.425908452621812</v>
      </c>
      <c r="FD259" s="5">
        <f t="shared" si="719"/>
        <v>36.549999999999997</v>
      </c>
      <c r="FE259" s="150">
        <f t="shared" si="720"/>
        <v>0.45136881695356385</v>
      </c>
      <c r="FF259" s="5">
        <f t="shared" si="721"/>
        <v>45.136881695356387</v>
      </c>
      <c r="FI259" s="59">
        <f t="shared" si="676"/>
        <v>-50</v>
      </c>
      <c r="FJ259">
        <f t="shared" si="677"/>
        <v>-50</v>
      </c>
      <c r="FL259">
        <f t="shared" si="760"/>
        <v>0.64499999999999991</v>
      </c>
    </row>
    <row r="260" spans="5:168">
      <c r="E260" s="147">
        <v>44</v>
      </c>
      <c r="F260" s="188">
        <f t="shared" si="761"/>
        <v>0.22</v>
      </c>
      <c r="G260" s="188"/>
      <c r="H260" s="188">
        <f t="shared" si="726"/>
        <v>37.4</v>
      </c>
      <c r="I260" s="465">
        <f t="shared" si="727"/>
        <v>15.966224055260017</v>
      </c>
      <c r="J260" s="149">
        <f t="shared" si="728"/>
        <v>8.5384465249734678</v>
      </c>
      <c r="K260" s="149">
        <f t="shared" si="729"/>
        <v>24.504670580233487</v>
      </c>
      <c r="L260" s="379"/>
      <c r="M260" s="188">
        <f t="shared" si="730"/>
        <v>0.34843965592447457</v>
      </c>
      <c r="N260" s="149">
        <f t="shared" si="731"/>
        <v>186.33230970619209</v>
      </c>
      <c r="O260" s="149">
        <f t="shared" si="599"/>
        <v>37.4</v>
      </c>
      <c r="P260" s="188">
        <f t="shared" si="732"/>
        <v>1.0960724100364241</v>
      </c>
      <c r="Q260" s="188">
        <f t="shared" si="733"/>
        <v>170</v>
      </c>
      <c r="R260" s="188"/>
      <c r="S260" s="149">
        <f t="shared" si="734"/>
        <v>2099.9067864991257</v>
      </c>
      <c r="T260" s="149">
        <f t="shared" si="735"/>
        <v>170</v>
      </c>
      <c r="U260" s="188">
        <f t="shared" si="736"/>
        <v>13.506039893336345</v>
      </c>
      <c r="V260" s="188">
        <f t="shared" si="737"/>
        <v>1.2688698198075354</v>
      </c>
      <c r="W260" s="188">
        <f t="shared" si="738"/>
        <v>2.3726868559462542</v>
      </c>
      <c r="X260" s="172">
        <f t="shared" si="739"/>
        <v>278.1648295479427</v>
      </c>
      <c r="Y260" s="379">
        <f t="shared" si="680"/>
        <v>260.31114061431367</v>
      </c>
      <c r="AA260" s="188">
        <f t="shared" si="740"/>
        <v>13.333333333333334</v>
      </c>
      <c r="AB260" s="150">
        <f t="shared" si="741"/>
        <v>2.3423464609754818</v>
      </c>
      <c r="AC260" s="150">
        <f t="shared" si="742"/>
        <v>0.21718613468649059</v>
      </c>
      <c r="AD260" s="150"/>
      <c r="AE260" s="150">
        <f t="shared" si="743"/>
        <v>2.3423464609754818</v>
      </c>
      <c r="AF260" s="314">
        <f t="shared" si="744"/>
        <v>281.76873532412441</v>
      </c>
      <c r="AG260" s="456">
        <f t="shared" si="745"/>
        <v>0.21718613468649056</v>
      </c>
      <c r="AI260" s="150">
        <f t="shared" si="746"/>
        <v>11.963303367641478</v>
      </c>
      <c r="AJ260" s="150">
        <f t="shared" si="747"/>
        <v>13.506039893336345</v>
      </c>
      <c r="AK260" s="150">
        <f t="shared" si="748"/>
        <v>1.3279307851874154</v>
      </c>
      <c r="AM260" s="314">
        <f t="shared" si="749"/>
        <v>220</v>
      </c>
      <c r="AN260" s="144">
        <f t="shared" si="750"/>
        <v>260.31114061431367</v>
      </c>
      <c r="AP260">
        <f t="shared" si="751"/>
        <v>220</v>
      </c>
      <c r="AQ260">
        <f t="shared" si="752"/>
        <v>260.31114061431367</v>
      </c>
      <c r="AS260" s="5">
        <f t="shared" si="600"/>
        <v>3.8415566757537891</v>
      </c>
      <c r="AT260" s="5">
        <f t="shared" si="753"/>
        <v>1.2688698198075354</v>
      </c>
      <c r="AU260" s="5">
        <f t="shared" si="722"/>
        <v>2.5726868559462535</v>
      </c>
      <c r="AV260" s="5"/>
      <c r="AW260" s="150">
        <f t="shared" si="723"/>
        <v>0.33030095008517824</v>
      </c>
      <c r="AX260" s="150">
        <f t="shared" si="631"/>
        <v>35.613124248244972</v>
      </c>
      <c r="AY260" s="150">
        <f t="shared" si="632"/>
        <v>0.2261245521169758</v>
      </c>
      <c r="AZ260" s="150">
        <f t="shared" si="633"/>
        <v>157.49339872576977</v>
      </c>
      <c r="BA260" s="144">
        <f t="shared" si="724"/>
        <v>0.16420668256332813</v>
      </c>
      <c r="BB260" s="5">
        <f t="shared" si="725"/>
        <v>10.043961978671575</v>
      </c>
      <c r="BD260" s="150">
        <f t="shared" si="681"/>
        <v>4.4814887678912134</v>
      </c>
      <c r="BE260" s="150">
        <f t="shared" si="682"/>
        <v>0.31906358936501922</v>
      </c>
      <c r="BG260" s="456">
        <f t="shared" si="683"/>
        <v>6.8284721360899359E-2</v>
      </c>
      <c r="BH260" s="456">
        <f t="shared" si="754"/>
        <v>2.0633607723191929</v>
      </c>
      <c r="BI260" s="456">
        <f t="shared" si="755"/>
        <v>0.19035331857688201</v>
      </c>
      <c r="BJ260" s="456">
        <f t="shared" si="684"/>
        <v>0.10707326942863218</v>
      </c>
      <c r="BK260">
        <f t="shared" si="685"/>
        <v>7.1848008248670079E-3</v>
      </c>
      <c r="BL260" s="144">
        <f t="shared" si="686"/>
        <v>197.53811940174901</v>
      </c>
      <c r="BM260" s="456">
        <f t="shared" si="756"/>
        <v>2.2943807023935707</v>
      </c>
      <c r="BN260" s="144">
        <f t="shared" si="687"/>
        <v>2294.3807023935706</v>
      </c>
      <c r="BO260" s="456">
        <f t="shared" si="637"/>
        <v>0.55000000000000004</v>
      </c>
      <c r="BR260" s="144">
        <f t="shared" si="688"/>
        <v>550</v>
      </c>
      <c r="BS260" s="456">
        <f t="shared" si="689"/>
        <v>3.0125612365102663E-2</v>
      </c>
      <c r="BT260" s="456">
        <f t="shared" si="690"/>
        <v>2.0360314811697922E-2</v>
      </c>
      <c r="BU260" s="456">
        <f t="shared" si="691"/>
        <v>36.645610616752698</v>
      </c>
      <c r="BV260" s="456"/>
      <c r="BW260" s="456">
        <f t="shared" si="692"/>
        <v>4.748416566432663E-2</v>
      </c>
      <c r="BX260" s="144">
        <f t="shared" si="693"/>
        <v>36743.580709593829</v>
      </c>
      <c r="BY260" s="150">
        <f t="shared" si="694"/>
        <v>39.729837592104303</v>
      </c>
      <c r="BZ260" s="5">
        <f t="shared" si="695"/>
        <v>37.4</v>
      </c>
      <c r="CA260" s="150">
        <f t="shared" si="696"/>
        <v>0.48489665177032076</v>
      </c>
      <c r="CB260" s="5">
        <f t="shared" si="697"/>
        <v>48.489665177032073</v>
      </c>
      <c r="CE260" s="59">
        <f t="shared" si="757"/>
        <v>-50</v>
      </c>
      <c r="CF260">
        <f t="shared" si="758"/>
        <v>-50</v>
      </c>
      <c r="CG260" s="150">
        <f t="shared" si="759"/>
        <v>0.63832411398040034</v>
      </c>
      <c r="CI260" s="147">
        <v>44</v>
      </c>
      <c r="CJ260" s="188">
        <f t="shared" si="698"/>
        <v>0.22</v>
      </c>
      <c r="CK260" s="188"/>
      <c r="CL260" s="188">
        <f t="shared" si="641"/>
        <v>37.4</v>
      </c>
      <c r="CM260" s="465">
        <f t="shared" si="642"/>
        <v>16</v>
      </c>
      <c r="CN260" s="379">
        <f t="shared" si="643"/>
        <v>8.5350000000000001</v>
      </c>
      <c r="CO260" s="379">
        <f t="shared" si="644"/>
        <v>24.535</v>
      </c>
      <c r="CP260" s="379"/>
      <c r="CQ260" s="188">
        <f t="shared" si="645"/>
        <v>0.34787038923986141</v>
      </c>
      <c r="CR260" s="149">
        <f t="shared" si="646"/>
        <v>186.42142245771345</v>
      </c>
      <c r="CS260" s="149">
        <f t="shared" si="647"/>
        <v>37.4</v>
      </c>
      <c r="CT260" s="188">
        <f t="shared" si="648"/>
        <v>1.0965966026924321</v>
      </c>
      <c r="CU260" s="188">
        <f t="shared" si="649"/>
        <v>170</v>
      </c>
      <c r="CV260" s="188"/>
      <c r="CW260" s="149">
        <f t="shared" si="650"/>
        <v>2104.3488350754028</v>
      </c>
      <c r="CX260" s="149">
        <f t="shared" si="651"/>
        <v>170</v>
      </c>
      <c r="CY260" s="188">
        <f t="shared" si="652"/>
        <v>13.438913298183948</v>
      </c>
      <c r="CZ260" s="188">
        <f t="shared" si="653"/>
        <v>1.2598981217047451</v>
      </c>
      <c r="DA260" s="188">
        <f t="shared" si="654"/>
        <v>2.3618476798214321</v>
      </c>
      <c r="DB260" s="172">
        <f t="shared" si="655"/>
        <v>278.29631139188916</v>
      </c>
      <c r="DC260" s="379">
        <f t="shared" si="656"/>
        <v>276.10993559476412</v>
      </c>
      <c r="DE260" s="188">
        <f t="shared" si="657"/>
        <v>13.333333333333332</v>
      </c>
      <c r="DF260" s="150">
        <f t="shared" si="658"/>
        <v>2.3432923257176332</v>
      </c>
      <c r="DG260" s="150">
        <f t="shared" si="659"/>
        <v>0.21737653692004619</v>
      </c>
      <c r="DH260" s="150"/>
      <c r="DI260" s="150">
        <f t="shared" si="660"/>
        <v>2.3432923257176337</v>
      </c>
      <c r="DJ260" s="314">
        <f t="shared" si="661"/>
        <v>281.65499999999992</v>
      </c>
      <c r="DK260" s="456">
        <f t="shared" si="662"/>
        <v>0.21737653692004627</v>
      </c>
      <c r="DM260" s="150">
        <f t="shared" si="663"/>
        <v>11.960888643527166</v>
      </c>
      <c r="DN260" s="150">
        <f t="shared" si="664"/>
        <v>13.438913298183948</v>
      </c>
      <c r="DO260" s="150">
        <f t="shared" si="665"/>
        <v>1.2782073813708252</v>
      </c>
      <c r="DQ260" s="314">
        <f t="shared" si="666"/>
        <v>220</v>
      </c>
      <c r="DR260" s="144">
        <f t="shared" si="667"/>
        <v>276.10993559476412</v>
      </c>
      <c r="DT260">
        <f t="shared" si="668"/>
        <v>220</v>
      </c>
      <c r="DU260">
        <f t="shared" si="669"/>
        <v>276.10993559476412</v>
      </c>
      <c r="DW260" s="5">
        <f t="shared" si="670"/>
        <v>3.6217458015261768</v>
      </c>
      <c r="DX260" s="5">
        <f t="shared" si="671"/>
        <v>1.2598981217047451</v>
      </c>
      <c r="DY260" s="5">
        <f t="shared" si="672"/>
        <v>2.3618476798214316</v>
      </c>
      <c r="DZ260" s="5"/>
      <c r="EA260" s="150">
        <f t="shared" si="673"/>
        <v>0.34787038923986147</v>
      </c>
      <c r="EB260" s="150">
        <f t="shared" si="699"/>
        <v>37.400000000000006</v>
      </c>
      <c r="EC260" s="150">
        <f t="shared" si="700"/>
        <v>0.21909783245459871</v>
      </c>
      <c r="ED260" s="150">
        <f t="shared" si="701"/>
        <v>170.70000000000002</v>
      </c>
      <c r="EE260" s="144">
        <f t="shared" si="674"/>
        <v>0.1630456392794376</v>
      </c>
      <c r="EF260" s="5">
        <f t="shared" si="675"/>
        <v>9.201364919304325</v>
      </c>
      <c r="EH260" s="150">
        <f t="shared" si="702"/>
        <v>4.576276494742932</v>
      </c>
      <c r="EI260" s="150">
        <f t="shared" si="703"/>
        <v>0.31328564038681939</v>
      </c>
      <c r="EK260" s="456">
        <f t="shared" si="704"/>
        <v>7.1203842291544625E-2</v>
      </c>
      <c r="EL260" s="456">
        <f t="shared" si="705"/>
        <v>2.7676160000000007</v>
      </c>
      <c r="EM260" s="456">
        <f t="shared" si="706"/>
        <v>6.3229175251200989E-2</v>
      </c>
      <c r="EN260" s="456">
        <f t="shared" si="707"/>
        <v>0.1138530660962567</v>
      </c>
      <c r="EO260">
        <f t="shared" si="708"/>
        <v>7.1999999999999998E-3</v>
      </c>
      <c r="EP260" s="144">
        <f t="shared" si="709"/>
        <v>70.429175251200988</v>
      </c>
      <c r="EQ260" s="144"/>
      <c r="ER260" s="144">
        <f t="shared" si="710"/>
        <v>3023.102083639003</v>
      </c>
      <c r="ES260" s="456">
        <f t="shared" si="711"/>
        <v>0.55000000000000004</v>
      </c>
      <c r="EV260" s="144">
        <f t="shared" si="712"/>
        <v>550</v>
      </c>
      <c r="EW260" s="456">
        <f t="shared" si="713"/>
        <v>3.1413459834504984E-2</v>
      </c>
      <c r="EX260" s="456">
        <f t="shared" si="714"/>
        <v>1.9629578494515906E-2</v>
      </c>
      <c r="EY260" s="456">
        <f t="shared" si="715"/>
        <v>41.935852026837864</v>
      </c>
      <c r="EZ260" s="456"/>
      <c r="FA260" s="456">
        <f t="shared" si="716"/>
        <v>4.9866666666666677E-2</v>
      </c>
      <c r="FB260" s="144">
        <f t="shared" si="717"/>
        <v>42036.761731833547</v>
      </c>
      <c r="FC260" s="150">
        <f t="shared" si="718"/>
        <v>45.609863815472558</v>
      </c>
      <c r="FD260" s="5">
        <f t="shared" si="719"/>
        <v>37.4</v>
      </c>
      <c r="FE260" s="150">
        <f t="shared" si="720"/>
        <v>0.45054886589307785</v>
      </c>
      <c r="FF260" s="5">
        <f t="shared" si="721"/>
        <v>45.054886589307785</v>
      </c>
      <c r="FI260" s="59">
        <f t="shared" si="676"/>
        <v>-50</v>
      </c>
      <c r="FJ260">
        <f t="shared" si="677"/>
        <v>-50</v>
      </c>
      <c r="FL260">
        <f t="shared" si="760"/>
        <v>0.65212961076013853</v>
      </c>
    </row>
    <row r="261" spans="5:168">
      <c r="E261" s="147">
        <v>45</v>
      </c>
      <c r="F261" s="188">
        <f t="shared" si="761"/>
        <v>0.22500000000000001</v>
      </c>
      <c r="G261" s="188"/>
      <c r="H261" s="188">
        <f t="shared" si="726"/>
        <v>38.25</v>
      </c>
      <c r="I261" s="465">
        <f t="shared" si="727"/>
        <v>15.965473014375904</v>
      </c>
      <c r="J261" s="149">
        <f t="shared" si="728"/>
        <v>8.538523161798377</v>
      </c>
      <c r="K261" s="149">
        <f t="shared" si="729"/>
        <v>24.503996176174283</v>
      </c>
      <c r="L261" s="379"/>
      <c r="M261" s="188">
        <f t="shared" si="730"/>
        <v>0.34845237424624448</v>
      </c>
      <c r="N261" s="149">
        <f t="shared" si="731"/>
        <v>186.33034571057274</v>
      </c>
      <c r="O261" s="149">
        <f t="shared" si="599"/>
        <v>38.25</v>
      </c>
      <c r="P261" s="188">
        <f t="shared" si="732"/>
        <v>1.0960608571210162</v>
      </c>
      <c r="Q261" s="188">
        <f t="shared" si="733"/>
        <v>170</v>
      </c>
      <c r="R261" s="188"/>
      <c r="S261" s="149">
        <f t="shared" si="734"/>
        <v>2046.0550064638935</v>
      </c>
      <c r="T261" s="149">
        <f t="shared" si="735"/>
        <v>170</v>
      </c>
      <c r="U261" s="188">
        <f t="shared" si="736"/>
        <v>13.813264977503641</v>
      </c>
      <c r="V261" s="188">
        <f t="shared" si="737"/>
        <v>1.2977941491366085</v>
      </c>
      <c r="W261" s="188">
        <f t="shared" si="738"/>
        <v>2.4266371448117559</v>
      </c>
      <c r="X261" s="172">
        <f t="shared" si="739"/>
        <v>278.1618968233102</v>
      </c>
      <c r="Y261" s="379">
        <f t="shared" si="680"/>
        <v>254.81399089392681</v>
      </c>
      <c r="AA261" s="188">
        <f t="shared" si="740"/>
        <v>13.333333333333336</v>
      </c>
      <c r="AB261" s="150">
        <f t="shared" si="741"/>
        <v>2.3423254374340332</v>
      </c>
      <c r="AC261" s="150">
        <f t="shared" si="742"/>
        <v>0.21718189555138021</v>
      </c>
      <c r="AD261" s="150"/>
      <c r="AE261" s="150">
        <f t="shared" si="743"/>
        <v>2.3423254374340328</v>
      </c>
      <c r="AF261" s="314">
        <f t="shared" si="744"/>
        <v>288.17515671069521</v>
      </c>
      <c r="AG261" s="456">
        <f t="shared" si="745"/>
        <v>0.21718189555138012</v>
      </c>
      <c r="AI261" s="150">
        <f t="shared" si="746"/>
        <v>12.098540522463296</v>
      </c>
      <c r="AJ261" s="150">
        <f t="shared" si="747"/>
        <v>13.813264977503641</v>
      </c>
      <c r="AK261" s="150">
        <f t="shared" si="748"/>
        <v>1.5555049216076346</v>
      </c>
      <c r="AM261" s="314">
        <f t="shared" si="749"/>
        <v>225</v>
      </c>
      <c r="AN261" s="144">
        <f t="shared" si="750"/>
        <v>254.81399089392681</v>
      </c>
      <c r="AP261">
        <f t="shared" si="751"/>
        <v>225</v>
      </c>
      <c r="AQ261">
        <f t="shared" si="752"/>
        <v>254.81399089392681</v>
      </c>
      <c r="AS261" s="5">
        <f t="shared" si="600"/>
        <v>3.9244312939483645</v>
      </c>
      <c r="AT261" s="5">
        <f t="shared" si="753"/>
        <v>1.2977941491366085</v>
      </c>
      <c r="AU261" s="5">
        <f t="shared" si="722"/>
        <v>2.626637144811756</v>
      </c>
      <c r="AV261" s="5"/>
      <c r="AW261" s="150">
        <f t="shared" si="723"/>
        <v>0.33069610650028725</v>
      </c>
      <c r="AX261" s="150">
        <f t="shared" si="631"/>
        <v>36.465084055547081</v>
      </c>
      <c r="AY261" s="150">
        <f t="shared" si="632"/>
        <v>0.23113180078466022</v>
      </c>
      <c r="AZ261" s="150">
        <f t="shared" si="633"/>
        <v>157.76748994189984</v>
      </c>
      <c r="BA261" s="144">
        <f t="shared" si="724"/>
        <v>0.17176687267984525</v>
      </c>
      <c r="BB261" s="5">
        <f t="shared" si="725"/>
        <v>10.488140115295858</v>
      </c>
      <c r="BD261" s="150">
        <f t="shared" si="681"/>
        <v>4.586171132876343</v>
      </c>
      <c r="BE261" s="150">
        <f t="shared" si="682"/>
        <v>0.32622511700593587</v>
      </c>
      <c r="BG261" s="456">
        <f t="shared" si="683"/>
        <v>7.1512083244096136E-2</v>
      </c>
      <c r="BH261" s="456">
        <f t="shared" si="754"/>
        <v>2.0656752522162396</v>
      </c>
      <c r="BI261" s="456">
        <f t="shared" si="755"/>
        <v>0.18632474600485063</v>
      </c>
      <c r="BJ261" s="456">
        <f t="shared" si="684"/>
        <v>0.10480636856264886</v>
      </c>
      <c r="BK261">
        <f t="shared" si="685"/>
        <v>7.1844628564691568E-3</v>
      </c>
      <c r="BL261" s="144">
        <f t="shared" si="686"/>
        <v>193.50920886131979</v>
      </c>
      <c r="BM261" s="456">
        <f t="shared" si="756"/>
        <v>2.3003884907008962</v>
      </c>
      <c r="BN261" s="144">
        <f t="shared" si="687"/>
        <v>2300.3884907008965</v>
      </c>
      <c r="BO261" s="456">
        <f t="shared" si="637"/>
        <v>0.5625</v>
      </c>
      <c r="BR261" s="144">
        <f t="shared" si="688"/>
        <v>562.5</v>
      </c>
      <c r="BS261" s="456">
        <f t="shared" si="689"/>
        <v>3.1549448490042417E-2</v>
      </c>
      <c r="BT261" s="456">
        <f t="shared" si="690"/>
        <v>2.1284565393107312E-2</v>
      </c>
      <c r="BU261" s="456">
        <f t="shared" si="691"/>
        <v>36.750989448968454</v>
      </c>
      <c r="BV261" s="456"/>
      <c r="BW261" s="456">
        <f t="shared" si="692"/>
        <v>4.8620112074062777E-2</v>
      </c>
      <c r="BX261" s="144">
        <f t="shared" si="693"/>
        <v>36852.443574925666</v>
      </c>
      <c r="BY261" s="150">
        <f t="shared" si="694"/>
        <v>39.850446487809968</v>
      </c>
      <c r="BZ261" s="5">
        <f t="shared" si="695"/>
        <v>38.25</v>
      </c>
      <c r="CA261" s="150">
        <f t="shared" si="696"/>
        <v>0.48975392228993364</v>
      </c>
      <c r="CB261" s="5">
        <f t="shared" si="697"/>
        <v>48.975392228993364</v>
      </c>
      <c r="CE261" s="59">
        <f t="shared" si="757"/>
        <v>-50</v>
      </c>
      <c r="CF261">
        <f t="shared" si="758"/>
        <v>-50</v>
      </c>
      <c r="CG261" s="150">
        <f t="shared" si="759"/>
        <v>0.63863090279772794</v>
      </c>
      <c r="CI261" s="147">
        <v>45</v>
      </c>
      <c r="CJ261" s="188">
        <f t="shared" si="698"/>
        <v>0.22500000000000001</v>
      </c>
      <c r="CK261" s="188"/>
      <c r="CL261" s="188">
        <f t="shared" si="641"/>
        <v>38.25</v>
      </c>
      <c r="CM261" s="465">
        <f t="shared" si="642"/>
        <v>16</v>
      </c>
      <c r="CN261" s="379">
        <f t="shared" si="643"/>
        <v>8.5350000000000001</v>
      </c>
      <c r="CO261" s="379">
        <f t="shared" si="644"/>
        <v>24.535</v>
      </c>
      <c r="CP261" s="379"/>
      <c r="CQ261" s="188">
        <f t="shared" si="645"/>
        <v>0.34787038923986141</v>
      </c>
      <c r="CR261" s="149">
        <f t="shared" si="646"/>
        <v>186.42142245771345</v>
      </c>
      <c r="CS261" s="149">
        <f t="shared" si="647"/>
        <v>38.25</v>
      </c>
      <c r="CT261" s="188">
        <f t="shared" si="648"/>
        <v>1.0965966026924321</v>
      </c>
      <c r="CU261" s="188">
        <f t="shared" si="649"/>
        <v>170</v>
      </c>
      <c r="CV261" s="188"/>
      <c r="CW261" s="149">
        <f t="shared" si="650"/>
        <v>2050.4795758259243</v>
      </c>
      <c r="CX261" s="149">
        <f t="shared" si="651"/>
        <v>170</v>
      </c>
      <c r="CY261" s="188">
        <f t="shared" si="652"/>
        <v>13.744343145869948</v>
      </c>
      <c r="CZ261" s="188">
        <f t="shared" si="653"/>
        <v>1.2885321699253076</v>
      </c>
      <c r="DA261" s="188">
        <f t="shared" si="654"/>
        <v>2.41552603618101</v>
      </c>
      <c r="DB261" s="172">
        <f t="shared" si="655"/>
        <v>278.29631139188916</v>
      </c>
      <c r="DC261" s="379">
        <f t="shared" si="656"/>
        <v>269.97415924821377</v>
      </c>
      <c r="DE261" s="188">
        <f t="shared" si="657"/>
        <v>13.333333333333332</v>
      </c>
      <c r="DF261" s="150">
        <f t="shared" si="658"/>
        <v>2.3432923257176332</v>
      </c>
      <c r="DG261" s="150">
        <f t="shared" si="659"/>
        <v>0.21737653692004619</v>
      </c>
      <c r="DH261" s="150"/>
      <c r="DI261" s="150">
        <f t="shared" si="660"/>
        <v>2.3432923257176337</v>
      </c>
      <c r="DJ261" s="314">
        <f t="shared" si="661"/>
        <v>288.05624999999992</v>
      </c>
      <c r="DK261" s="456">
        <f t="shared" si="662"/>
        <v>0.21737653692004627</v>
      </c>
      <c r="DM261" s="150">
        <f t="shared" si="663"/>
        <v>12.096044217606254</v>
      </c>
      <c r="DN261" s="150">
        <f t="shared" si="664"/>
        <v>13.744343145869948</v>
      </c>
      <c r="DO261" s="150">
        <f t="shared" si="665"/>
        <v>1.5044517129900843</v>
      </c>
      <c r="DQ261" s="314">
        <f t="shared" si="666"/>
        <v>225</v>
      </c>
      <c r="DR261" s="144">
        <f t="shared" si="667"/>
        <v>269.97415924821377</v>
      </c>
      <c r="DT261">
        <f t="shared" si="668"/>
        <v>225</v>
      </c>
      <c r="DU261">
        <f t="shared" si="669"/>
        <v>269.97415924821377</v>
      </c>
      <c r="DW261" s="5">
        <f t="shared" si="670"/>
        <v>3.7040582061063176</v>
      </c>
      <c r="DX261" s="5">
        <f t="shared" si="671"/>
        <v>1.2885321699253076</v>
      </c>
      <c r="DY261" s="5">
        <f t="shared" si="672"/>
        <v>2.41552603618101</v>
      </c>
      <c r="DZ261" s="5"/>
      <c r="EA261" s="150">
        <f t="shared" si="673"/>
        <v>0.34787038923986141</v>
      </c>
      <c r="EB261" s="150">
        <f t="shared" si="699"/>
        <v>38.250000000000007</v>
      </c>
      <c r="EC261" s="150">
        <f t="shared" si="700"/>
        <v>0.22407732864674873</v>
      </c>
      <c r="ED261" s="150">
        <f t="shared" si="701"/>
        <v>170.7</v>
      </c>
      <c r="EE261" s="144">
        <f t="shared" si="674"/>
        <v>0.17054102249011427</v>
      </c>
      <c r="EF261" s="5">
        <f t="shared" si="675"/>
        <v>9.624361550408711</v>
      </c>
      <c r="EH261" s="150">
        <f t="shared" si="702"/>
        <v>4.6802827787143615</v>
      </c>
      <c r="EI261" s="150">
        <f t="shared" si="703"/>
        <v>0.32040576857742897</v>
      </c>
      <c r="EK261" s="456">
        <f t="shared" si="704"/>
        <v>7.4477159421682759E-2</v>
      </c>
      <c r="EL261" s="456">
        <f t="shared" si="705"/>
        <v>2.7676160000000003</v>
      </c>
      <c r="EM261" s="456">
        <f t="shared" si="706"/>
        <v>6.1824082467840956E-2</v>
      </c>
      <c r="EN261" s="456">
        <f t="shared" si="707"/>
        <v>0.11132299796078431</v>
      </c>
      <c r="EO261">
        <f t="shared" si="708"/>
        <v>7.1999999999999998E-3</v>
      </c>
      <c r="EP261" s="144">
        <f t="shared" si="709"/>
        <v>69.024082467840955</v>
      </c>
      <c r="EQ261" s="144"/>
      <c r="ER261" s="144">
        <f t="shared" si="710"/>
        <v>3022.4402398503084</v>
      </c>
      <c r="ES261" s="456">
        <f t="shared" si="711"/>
        <v>0.5625</v>
      </c>
      <c r="EV261" s="144">
        <f t="shared" si="712"/>
        <v>562.5</v>
      </c>
      <c r="EW261" s="456">
        <f t="shared" si="713"/>
        <v>3.2857570333095339E-2</v>
      </c>
      <c r="EX261" s="456">
        <f t="shared" si="714"/>
        <v>2.0531971307538595E-2</v>
      </c>
      <c r="EY261" s="456">
        <f t="shared" si="715"/>
        <v>41.935852026837786</v>
      </c>
      <c r="EZ261" s="456"/>
      <c r="FA261" s="456">
        <f t="shared" si="716"/>
        <v>5.1000000000000004E-2</v>
      </c>
      <c r="FB261" s="144">
        <f t="shared" si="717"/>
        <v>42040.241568478421</v>
      </c>
      <c r="FC261" s="150">
        <f t="shared" si="718"/>
        <v>45.625181808328733</v>
      </c>
      <c r="FD261" s="5">
        <f t="shared" si="719"/>
        <v>38.25</v>
      </c>
      <c r="FE261" s="150">
        <f t="shared" si="720"/>
        <v>0.45603477900541262</v>
      </c>
      <c r="FF261" s="5">
        <f t="shared" si="721"/>
        <v>45.603477900541264</v>
      </c>
      <c r="FI261" s="59">
        <f t="shared" si="676"/>
        <v>-50</v>
      </c>
      <c r="FJ261">
        <f t="shared" si="677"/>
        <v>-50</v>
      </c>
      <c r="FL261">
        <f t="shared" si="760"/>
        <v>0.65212961076013864</v>
      </c>
    </row>
    <row r="262" spans="5:168">
      <c r="E262" s="147">
        <v>46</v>
      </c>
      <c r="F262" s="188">
        <f t="shared" si="761"/>
        <v>0.23</v>
      </c>
      <c r="G262" s="188"/>
      <c r="H262" s="188">
        <f t="shared" si="726"/>
        <v>39.1</v>
      </c>
      <c r="I262" s="465">
        <f t="shared" si="727"/>
        <v>15.964721958248742</v>
      </c>
      <c r="J262" s="149">
        <f t="shared" si="728"/>
        <v>8.5385998001786998</v>
      </c>
      <c r="K262" s="149">
        <f t="shared" si="729"/>
        <v>24.50332175842744</v>
      </c>
      <c r="L262" s="379"/>
      <c r="M262" s="188">
        <f t="shared" si="730"/>
        <v>0.34846509348484594</v>
      </c>
      <c r="N262" s="149">
        <f t="shared" si="731"/>
        <v>186.32838138743321</v>
      </c>
      <c r="O262" s="149">
        <f t="shared" ref="O262:O316" si="762">T262*F262</f>
        <v>39.1</v>
      </c>
      <c r="P262" s="188">
        <f t="shared" si="732"/>
        <v>1.096049302279019</v>
      </c>
      <c r="Q262" s="188">
        <f t="shared" si="733"/>
        <v>170</v>
      </c>
      <c r="R262" s="188"/>
      <c r="S262" s="149">
        <f t="shared" si="734"/>
        <v>1994.545400228388</v>
      </c>
      <c r="T262" s="149">
        <f t="shared" si="735"/>
        <v>170</v>
      </c>
      <c r="U262" s="188">
        <f t="shared" si="736"/>
        <v>14.120502075948281</v>
      </c>
      <c r="V262" s="188">
        <f t="shared" si="737"/>
        <v>1.3267223299794852</v>
      </c>
      <c r="W262" s="188">
        <f t="shared" si="738"/>
        <v>2.4805885753632744</v>
      </c>
      <c r="X262" s="172">
        <f t="shared" si="739"/>
        <v>278.15896364281275</v>
      </c>
      <c r="Y262" s="379">
        <f t="shared" si="680"/>
        <v>249.54390203833373</v>
      </c>
      <c r="AA262" s="188">
        <f t="shared" si="740"/>
        <v>13.333333333333334</v>
      </c>
      <c r="AB262" s="150">
        <f t="shared" si="741"/>
        <v>2.3423044138432898</v>
      </c>
      <c r="AC262" s="150">
        <f t="shared" si="742"/>
        <v>0.2171776560968785</v>
      </c>
      <c r="AD262" s="150"/>
      <c r="AE262" s="150">
        <f t="shared" si="743"/>
        <v>2.3423044138432898</v>
      </c>
      <c r="AF262" s="314">
        <f t="shared" si="744"/>
        <v>294.58169310616518</v>
      </c>
      <c r="AG262" s="456">
        <f t="shared" si="745"/>
        <v>0.2171776560968785</v>
      </c>
      <c r="AI262" s="150">
        <f t="shared" si="746"/>
        <v>12.232285007240863</v>
      </c>
      <c r="AJ262" s="150">
        <f t="shared" si="747"/>
        <v>14.120502075948281</v>
      </c>
      <c r="AK262" s="150">
        <f t="shared" si="748"/>
        <v>1.7830879574925529</v>
      </c>
      <c r="AM262" s="314">
        <f t="shared" si="749"/>
        <v>230</v>
      </c>
      <c r="AN262" s="144">
        <f t="shared" si="750"/>
        <v>249.54390203833373</v>
      </c>
      <c r="AP262">
        <f t="shared" si="751"/>
        <v>230</v>
      </c>
      <c r="AQ262">
        <f t="shared" si="752"/>
        <v>249.54390203833373</v>
      </c>
      <c r="AS262" s="5">
        <f t="shared" si="600"/>
        <v>4.0073109053427594</v>
      </c>
      <c r="AT262" s="5">
        <f t="shared" si="753"/>
        <v>1.3267223299794852</v>
      </c>
      <c r="AU262" s="5">
        <f t="shared" si="722"/>
        <v>2.6805885753632741</v>
      </c>
      <c r="AV262" s="5"/>
      <c r="AW262" s="150">
        <f t="shared" si="723"/>
        <v>0.33107546714447056</v>
      </c>
      <c r="AX262" s="150">
        <f t="shared" si="631"/>
        <v>37.317152996107247</v>
      </c>
      <c r="AY262" s="150">
        <f t="shared" si="632"/>
        <v>0.23613875637098097</v>
      </c>
      <c r="AZ262" s="150">
        <f t="shared" si="633"/>
        <v>158.03061542968786</v>
      </c>
      <c r="BA262" s="144">
        <f t="shared" si="724"/>
        <v>0.17949772699722447</v>
      </c>
      <c r="BB262" s="5">
        <f t="shared" si="725"/>
        <v>10.941939522530559</v>
      </c>
      <c r="BD262" s="150">
        <f t="shared" si="681"/>
        <v>4.690865836741601</v>
      </c>
      <c r="BE262" s="150">
        <f t="shared" si="682"/>
        <v>0.33338655239567788</v>
      </c>
      <c r="BG262" s="456">
        <f t="shared" si="683"/>
        <v>7.481435581425222E-2</v>
      </c>
      <c r="BH262" s="456">
        <f t="shared" si="754"/>
        <v>2.0678907061700555</v>
      </c>
      <c r="BI262" s="456">
        <f t="shared" si="755"/>
        <v>0.18246257476876543</v>
      </c>
      <c r="BJ262" s="456">
        <f t="shared" si="684"/>
        <v>0.1026331028699613</v>
      </c>
      <c r="BK262">
        <f t="shared" si="685"/>
        <v>7.1841248812119334E-3</v>
      </c>
      <c r="BL262" s="144">
        <f t="shared" si="686"/>
        <v>189.64669964997736</v>
      </c>
      <c r="BM262" s="456">
        <f t="shared" si="756"/>
        <v>2.3065388235029642</v>
      </c>
      <c r="BN262" s="144">
        <f t="shared" si="687"/>
        <v>2306.5388235029641</v>
      </c>
      <c r="BO262" s="456">
        <f t="shared" si="637"/>
        <v>0.57500000000000007</v>
      </c>
      <c r="BR262" s="144">
        <f t="shared" si="688"/>
        <v>575.00000000000011</v>
      </c>
      <c r="BS262" s="456">
        <f t="shared" si="689"/>
        <v>3.3006333447464217E-2</v>
      </c>
      <c r="BT262" s="456">
        <f t="shared" si="690"/>
        <v>2.2229318663655215E-2</v>
      </c>
      <c r="BU262" s="456">
        <f t="shared" si="691"/>
        <v>36.852143713826266</v>
      </c>
      <c r="BV262" s="456"/>
      <c r="BW262" s="456">
        <f t="shared" si="692"/>
        <v>4.9756203994809664E-2</v>
      </c>
      <c r="BX262" s="144">
        <f t="shared" si="693"/>
        <v>36957.135569932201</v>
      </c>
      <c r="BY262" s="150">
        <f t="shared" si="694"/>
        <v>39.967120434436445</v>
      </c>
      <c r="BZ262" s="5">
        <f t="shared" si="695"/>
        <v>39.1</v>
      </c>
      <c r="CA262" s="150">
        <f t="shared" si="696"/>
        <v>0.49451655486078139</v>
      </c>
      <c r="CB262" s="5">
        <f t="shared" si="697"/>
        <v>49.451655486078138</v>
      </c>
      <c r="CE262" s="59">
        <f t="shared" si="757"/>
        <v>-50</v>
      </c>
      <c r="CF262">
        <f t="shared" si="758"/>
        <v>-50</v>
      </c>
      <c r="CG262" s="150">
        <f t="shared" si="759"/>
        <v>0.63892435297082362</v>
      </c>
      <c r="CI262" s="147">
        <v>46</v>
      </c>
      <c r="CJ262" s="188">
        <f t="shared" si="698"/>
        <v>0.23</v>
      </c>
      <c r="CK262" s="188"/>
      <c r="CL262" s="188">
        <f t="shared" si="641"/>
        <v>39.1</v>
      </c>
      <c r="CM262" s="465">
        <f t="shared" si="642"/>
        <v>16</v>
      </c>
      <c r="CN262" s="379">
        <f t="shared" si="643"/>
        <v>8.5350000000000001</v>
      </c>
      <c r="CO262" s="379">
        <f t="shared" si="644"/>
        <v>24.535</v>
      </c>
      <c r="CP262" s="379"/>
      <c r="CQ262" s="188">
        <f t="shared" si="645"/>
        <v>0.34787038923986141</v>
      </c>
      <c r="CR262" s="149">
        <f t="shared" si="646"/>
        <v>186.42142245771345</v>
      </c>
      <c r="CS262" s="149">
        <f t="shared" si="647"/>
        <v>39.1</v>
      </c>
      <c r="CT262" s="188">
        <f t="shared" si="648"/>
        <v>1.0965966026924321</v>
      </c>
      <c r="CU262" s="188">
        <f t="shared" si="649"/>
        <v>170</v>
      </c>
      <c r="CV262" s="188"/>
      <c r="CW262" s="149">
        <f t="shared" si="650"/>
        <v>1998.9525991679714</v>
      </c>
      <c r="CX262" s="149">
        <f t="shared" si="651"/>
        <v>170</v>
      </c>
      <c r="CY262" s="188">
        <f t="shared" si="652"/>
        <v>14.049772993555948</v>
      </c>
      <c r="CZ262" s="188">
        <f t="shared" si="653"/>
        <v>1.3171662181458703</v>
      </c>
      <c r="DA262" s="188">
        <f t="shared" si="654"/>
        <v>2.4692043925405884</v>
      </c>
      <c r="DB262" s="172">
        <f t="shared" si="655"/>
        <v>278.29631139188916</v>
      </c>
      <c r="DC262" s="379">
        <f t="shared" si="656"/>
        <v>264.10515578629605</v>
      </c>
      <c r="DE262" s="188">
        <f t="shared" si="657"/>
        <v>13.333333333333332</v>
      </c>
      <c r="DF262" s="150">
        <f t="shared" si="658"/>
        <v>2.3432923257176332</v>
      </c>
      <c r="DG262" s="150">
        <f t="shared" si="659"/>
        <v>0.21737653692004619</v>
      </c>
      <c r="DH262" s="150"/>
      <c r="DI262" s="150">
        <f t="shared" si="660"/>
        <v>2.3432923257176337</v>
      </c>
      <c r="DJ262" s="314">
        <f t="shared" si="661"/>
        <v>294.45749999999992</v>
      </c>
      <c r="DK262" s="456">
        <f t="shared" si="662"/>
        <v>0.21737653692004627</v>
      </c>
      <c r="DM262" s="150">
        <f t="shared" si="663"/>
        <v>12.229706222379763</v>
      </c>
      <c r="DN262" s="150">
        <f t="shared" si="664"/>
        <v>14.049772993555948</v>
      </c>
      <c r="DO262" s="150">
        <f t="shared" si="665"/>
        <v>1.7306960446093433</v>
      </c>
      <c r="DQ262" s="314">
        <f t="shared" si="666"/>
        <v>230</v>
      </c>
      <c r="DR262" s="144">
        <f t="shared" si="667"/>
        <v>264.10515578629605</v>
      </c>
      <c r="DT262">
        <f t="shared" si="668"/>
        <v>230</v>
      </c>
      <c r="DU262">
        <f t="shared" si="669"/>
        <v>264.10515578629605</v>
      </c>
      <c r="DW262" s="5">
        <f t="shared" si="670"/>
        <v>3.7863706106864581</v>
      </c>
      <c r="DX262" s="5">
        <f t="shared" si="671"/>
        <v>1.3171662181458703</v>
      </c>
      <c r="DY262" s="5">
        <f t="shared" si="672"/>
        <v>2.469204392540588</v>
      </c>
      <c r="DZ262" s="5"/>
      <c r="EA262" s="150">
        <f t="shared" si="673"/>
        <v>0.34787038923986152</v>
      </c>
      <c r="EB262" s="150">
        <f t="shared" si="699"/>
        <v>39.100000000000009</v>
      </c>
      <c r="EC262" s="150">
        <f t="shared" si="700"/>
        <v>0.22905682483889864</v>
      </c>
      <c r="ED262" s="150">
        <f t="shared" si="701"/>
        <v>170.70000000000005</v>
      </c>
      <c r="EE262" s="144">
        <f t="shared" si="674"/>
        <v>0.17820484127855893</v>
      </c>
      <c r="EF262" s="5">
        <f t="shared" si="675"/>
        <v>10.056863723785103</v>
      </c>
      <c r="EH262" s="150">
        <f t="shared" si="702"/>
        <v>4.7842890626857928</v>
      </c>
      <c r="EI262" s="150">
        <f t="shared" si="703"/>
        <v>0.32752589676803845</v>
      </c>
      <c r="EK262" s="456">
        <f t="shared" si="704"/>
        <v>7.7824034240138659E-2</v>
      </c>
      <c r="EL262" s="456">
        <f t="shared" si="705"/>
        <v>2.7676160000000007</v>
      </c>
      <c r="EM262" s="456">
        <f t="shared" si="706"/>
        <v>6.0480080675061797E-2</v>
      </c>
      <c r="EN262" s="456">
        <f t="shared" si="707"/>
        <v>0.10890293278772378</v>
      </c>
      <c r="EO262">
        <f t="shared" si="708"/>
        <v>7.1999999999999998E-3</v>
      </c>
      <c r="EP262" s="144">
        <f t="shared" si="709"/>
        <v>67.680080675061802</v>
      </c>
      <c r="EQ262" s="144"/>
      <c r="ER262" s="144">
        <f t="shared" si="710"/>
        <v>3022.0230477029249</v>
      </c>
      <c r="ES262" s="456">
        <f t="shared" si="711"/>
        <v>0.57500000000000007</v>
      </c>
      <c r="EV262" s="144">
        <f t="shared" si="712"/>
        <v>575.00000000000011</v>
      </c>
      <c r="EW262" s="456">
        <f t="shared" si="713"/>
        <v>3.4334132753002351E-2</v>
      </c>
      <c r="EX262" s="456">
        <f t="shared" si="714"/>
        <v>2.1454642610741557E-2</v>
      </c>
      <c r="EY262" s="456">
        <f t="shared" si="715"/>
        <v>41.935852026837786</v>
      </c>
      <c r="EZ262" s="456"/>
      <c r="FA262" s="456">
        <f t="shared" si="716"/>
        <v>5.2133333333333344E-2</v>
      </c>
      <c r="FB262" s="144">
        <f t="shared" si="717"/>
        <v>42043.774135534863</v>
      </c>
      <c r="FC262" s="150">
        <f t="shared" si="718"/>
        <v>45.640797183237787</v>
      </c>
      <c r="FD262" s="5">
        <f t="shared" si="719"/>
        <v>39.1</v>
      </c>
      <c r="FE262" s="150">
        <f t="shared" si="720"/>
        <v>0.46140703533214111</v>
      </c>
      <c r="FF262" s="5">
        <f t="shared" si="721"/>
        <v>46.140703533214108</v>
      </c>
      <c r="FI262" s="59">
        <f t="shared" si="676"/>
        <v>-50</v>
      </c>
      <c r="FJ262">
        <f t="shared" si="677"/>
        <v>-50</v>
      </c>
      <c r="FL262">
        <f t="shared" si="760"/>
        <v>0.65212961076013842</v>
      </c>
    </row>
    <row r="263" spans="5:168">
      <c r="E263" s="147">
        <v>47</v>
      </c>
      <c r="F263" s="188">
        <f t="shared" si="761"/>
        <v>0.23499999999999999</v>
      </c>
      <c r="G263" s="188"/>
      <c r="H263" s="188">
        <f t="shared" si="726"/>
        <v>39.949999999999996</v>
      </c>
      <c r="I263" s="465">
        <f t="shared" si="727"/>
        <v>15.963970887871163</v>
      </c>
      <c r="J263" s="149">
        <f t="shared" si="728"/>
        <v>8.5386764400131465</v>
      </c>
      <c r="K263" s="149">
        <f t="shared" si="729"/>
        <v>24.502647327884311</v>
      </c>
      <c r="L263" s="379"/>
      <c r="M263" s="188">
        <f t="shared" si="730"/>
        <v>0.34847781362626135</v>
      </c>
      <c r="N263" s="149">
        <f t="shared" si="731"/>
        <v>186.32641674077541</v>
      </c>
      <c r="O263" s="149">
        <f t="shared" si="762"/>
        <v>39.949999999999996</v>
      </c>
      <c r="P263" s="188">
        <f t="shared" si="732"/>
        <v>1.0960377455339729</v>
      </c>
      <c r="Q263" s="188">
        <f t="shared" si="733"/>
        <v>170</v>
      </c>
      <c r="R263" s="188"/>
      <c r="S263" s="149">
        <f t="shared" si="734"/>
        <v>1945.2284689163566</v>
      </c>
      <c r="T263" s="149">
        <f t="shared" si="735"/>
        <v>170</v>
      </c>
      <c r="U263" s="188">
        <f t="shared" si="736"/>
        <v>14.427751190360523</v>
      </c>
      <c r="V263" s="188">
        <f t="shared" si="737"/>
        <v>1.3556543630371625</v>
      </c>
      <c r="W263" s="188">
        <f t="shared" si="738"/>
        <v>2.5345411478675803</v>
      </c>
      <c r="X263" s="172">
        <f t="shared" si="739"/>
        <v>278.15603001027051</v>
      </c>
      <c r="Y263" s="379">
        <f t="shared" si="680"/>
        <v>244.48709049089001</v>
      </c>
      <c r="AA263" s="188">
        <f t="shared" si="740"/>
        <v>13.333333333333334</v>
      </c>
      <c r="AB263" s="150">
        <f t="shared" si="741"/>
        <v>2.342283390231052</v>
      </c>
      <c r="AC263" s="150">
        <f t="shared" si="742"/>
        <v>0.21717341632855558</v>
      </c>
      <c r="AD263" s="150"/>
      <c r="AE263" s="150">
        <f t="shared" si="743"/>
        <v>2.342283390231052</v>
      </c>
      <c r="AF263" s="314">
        <f t="shared" si="744"/>
        <v>300.98834451046332</v>
      </c>
      <c r="AG263" s="456">
        <f t="shared" si="745"/>
        <v>0.21717341632855558</v>
      </c>
      <c r="AI263" s="150">
        <f t="shared" si="746"/>
        <v>12.364585259531973</v>
      </c>
      <c r="AJ263" s="150">
        <f t="shared" si="747"/>
        <v>14.427751190360523</v>
      </c>
      <c r="AK263" s="150">
        <f t="shared" si="748"/>
        <v>2.0106798940942139</v>
      </c>
      <c r="AM263" s="314">
        <f t="shared" si="749"/>
        <v>235</v>
      </c>
      <c r="AN263" s="144">
        <f t="shared" si="750"/>
        <v>244.48709049089001</v>
      </c>
      <c r="AP263">
        <f t="shared" si="751"/>
        <v>235</v>
      </c>
      <c r="AQ263">
        <f t="shared" si="752"/>
        <v>244.48709049089001</v>
      </c>
      <c r="AS263" s="5">
        <f t="shared" ref="AS263:AS316" si="763">1/AN263*1000</f>
        <v>4.090195510904743</v>
      </c>
      <c r="AT263" s="5">
        <f t="shared" si="753"/>
        <v>1.3556543630371625</v>
      </c>
      <c r="AU263" s="5">
        <f t="shared" si="722"/>
        <v>2.7345411478675805</v>
      </c>
      <c r="AV263" s="5"/>
      <c r="AW263" s="150">
        <f t="shared" si="723"/>
        <v>0.33143999093023657</v>
      </c>
      <c r="AX263" s="150">
        <f t="shared" si="631"/>
        <v>38.169325376252907</v>
      </c>
      <c r="AY263" s="150">
        <f t="shared" si="632"/>
        <v>0.24114543666709304</v>
      </c>
      <c r="AZ263" s="150">
        <f t="shared" si="633"/>
        <v>158.28342391129948</v>
      </c>
      <c r="BA263" s="144">
        <f t="shared" si="724"/>
        <v>0.18739927959631364</v>
      </c>
      <c r="BB263" s="5">
        <f t="shared" si="725"/>
        <v>11.40536186397814</v>
      </c>
      <c r="BD263" s="150">
        <f t="shared" si="681"/>
        <v>4.7955726100228153</v>
      </c>
      <c r="BE263" s="150">
        <f t="shared" si="682"/>
        <v>0.34054790954791564</v>
      </c>
      <c r="BG263" s="456">
        <f t="shared" si="683"/>
        <v>7.8191556637203521E-2</v>
      </c>
      <c r="BH263" s="456">
        <f t="shared" si="754"/>
        <v>2.0700131453653627</v>
      </c>
      <c r="BI263" s="456">
        <f t="shared" si="755"/>
        <v>0.1787567036136056</v>
      </c>
      <c r="BJ263" s="456">
        <f t="shared" si="684"/>
        <v>0.10054778830613485</v>
      </c>
      <c r="BK263">
        <f t="shared" si="685"/>
        <v>7.1837868995420235E-3</v>
      </c>
      <c r="BL263" s="144">
        <f t="shared" si="686"/>
        <v>185.94049051314761</v>
      </c>
      <c r="BM263" s="456">
        <f t="shared" si="756"/>
        <v>2.3128327432027111</v>
      </c>
      <c r="BN263" s="144">
        <f t="shared" si="687"/>
        <v>2312.8327432027113</v>
      </c>
      <c r="BO263" s="456">
        <f t="shared" si="637"/>
        <v>0.58749999999999991</v>
      </c>
      <c r="BR263" s="144">
        <f t="shared" si="688"/>
        <v>587.49999999999989</v>
      </c>
      <c r="BS263" s="456">
        <f t="shared" si="689"/>
        <v>3.4496274987001557E-2</v>
      </c>
      <c r="BT263" s="456">
        <f t="shared" si="690"/>
        <v>2.3194575739491068E-2</v>
      </c>
      <c r="BU263" s="456">
        <f t="shared" si="691"/>
        <v>36.949319600181234</v>
      </c>
      <c r="BV263" s="456"/>
      <c r="BW263" s="456">
        <f t="shared" si="692"/>
        <v>5.0892433835003872E-2</v>
      </c>
      <c r="BX263" s="144">
        <f t="shared" si="693"/>
        <v>37057.902884742733</v>
      </c>
      <c r="BY263" s="150">
        <f t="shared" si="694"/>
        <v>40.08009586556458</v>
      </c>
      <c r="BZ263" s="5">
        <f t="shared" si="695"/>
        <v>39.949999999999996</v>
      </c>
      <c r="CA263" s="150">
        <f t="shared" si="696"/>
        <v>0.49918720661172816</v>
      </c>
      <c r="CB263" s="5">
        <f t="shared" si="697"/>
        <v>49.918720661172813</v>
      </c>
      <c r="CE263" s="59">
        <f t="shared" si="757"/>
        <v>-50</v>
      </c>
      <c r="CF263">
        <f t="shared" si="758"/>
        <v>-50</v>
      </c>
      <c r="CG263" s="150">
        <f t="shared" si="759"/>
        <v>0.6392053159025114</v>
      </c>
      <c r="CI263" s="147">
        <v>47</v>
      </c>
      <c r="CJ263" s="188">
        <f t="shared" si="698"/>
        <v>0.23499999999999999</v>
      </c>
      <c r="CK263" s="188"/>
      <c r="CL263" s="188">
        <f t="shared" si="641"/>
        <v>39.949999999999996</v>
      </c>
      <c r="CM263" s="465">
        <f t="shared" si="642"/>
        <v>16</v>
      </c>
      <c r="CN263" s="379">
        <f t="shared" si="643"/>
        <v>8.5350000000000001</v>
      </c>
      <c r="CO263" s="379">
        <f t="shared" si="644"/>
        <v>24.535</v>
      </c>
      <c r="CP263" s="379"/>
      <c r="CQ263" s="188">
        <f t="shared" si="645"/>
        <v>0.34787038923986141</v>
      </c>
      <c r="CR263" s="149">
        <f t="shared" si="646"/>
        <v>186.42142245771345</v>
      </c>
      <c r="CS263" s="149">
        <f t="shared" si="647"/>
        <v>39.949999999999996</v>
      </c>
      <c r="CT263" s="188">
        <f t="shared" si="648"/>
        <v>1.0965966026924321</v>
      </c>
      <c r="CU263" s="188">
        <f t="shared" si="649"/>
        <v>170</v>
      </c>
      <c r="CV263" s="188"/>
      <c r="CW263" s="149">
        <f t="shared" si="650"/>
        <v>1949.6183991407736</v>
      </c>
      <c r="CX263" s="149">
        <f t="shared" si="651"/>
        <v>170</v>
      </c>
      <c r="CY263" s="188">
        <f t="shared" si="652"/>
        <v>14.355202841241944</v>
      </c>
      <c r="CZ263" s="188">
        <f t="shared" si="653"/>
        <v>1.3458002663664321</v>
      </c>
      <c r="DA263" s="188">
        <f t="shared" si="654"/>
        <v>2.522882748900166</v>
      </c>
      <c r="DB263" s="172">
        <f t="shared" si="655"/>
        <v>278.29631139188916</v>
      </c>
      <c r="DC263" s="379">
        <f t="shared" si="656"/>
        <v>258.48589715254514</v>
      </c>
      <c r="DE263" s="188">
        <f t="shared" si="657"/>
        <v>13.333333333333332</v>
      </c>
      <c r="DF263" s="150">
        <f t="shared" si="658"/>
        <v>2.3432923257176332</v>
      </c>
      <c r="DG263" s="150">
        <f t="shared" si="659"/>
        <v>0.21737653692004619</v>
      </c>
      <c r="DH263" s="150"/>
      <c r="DI263" s="150">
        <f t="shared" si="660"/>
        <v>2.3432923257176337</v>
      </c>
      <c r="DJ263" s="314">
        <f t="shared" si="661"/>
        <v>300.85874999999987</v>
      </c>
      <c r="DK263" s="456">
        <f t="shared" si="662"/>
        <v>0.21737653692004627</v>
      </c>
      <c r="DM263" s="150">
        <f t="shared" si="663"/>
        <v>12.361923105129835</v>
      </c>
      <c r="DN263" s="150">
        <f t="shared" si="664"/>
        <v>14.355202841241944</v>
      </c>
      <c r="DO263" s="150">
        <f t="shared" si="665"/>
        <v>1.9569403762286</v>
      </c>
      <c r="DQ263" s="314">
        <f t="shared" si="666"/>
        <v>235</v>
      </c>
      <c r="DR263" s="144">
        <f t="shared" si="667"/>
        <v>258.48589715254514</v>
      </c>
      <c r="DT263">
        <f t="shared" si="668"/>
        <v>235</v>
      </c>
      <c r="DU263">
        <f t="shared" si="669"/>
        <v>258.48589715254514</v>
      </c>
      <c r="DW263" s="5">
        <f t="shared" si="670"/>
        <v>3.8686830152665976</v>
      </c>
      <c r="DX263" s="5">
        <f t="shared" si="671"/>
        <v>1.3458002663664321</v>
      </c>
      <c r="DY263" s="5">
        <f t="shared" si="672"/>
        <v>2.5228827489001655</v>
      </c>
      <c r="DZ263" s="5"/>
      <c r="EA263" s="150">
        <f t="shared" si="673"/>
        <v>0.34787038923986141</v>
      </c>
      <c r="EB263" s="150">
        <f t="shared" si="699"/>
        <v>39.950000000000003</v>
      </c>
      <c r="EC263" s="150">
        <f t="shared" si="700"/>
        <v>0.23403632103104866</v>
      </c>
      <c r="ED263" s="150">
        <f t="shared" si="701"/>
        <v>170.7</v>
      </c>
      <c r="EE263" s="144">
        <f t="shared" si="674"/>
        <v>0.1860370956447715</v>
      </c>
      <c r="EF263" s="5">
        <f t="shared" si="675"/>
        <v>10.498871439433499</v>
      </c>
      <c r="EH263" s="150">
        <f t="shared" si="702"/>
        <v>4.8882953466572214</v>
      </c>
      <c r="EI263" s="150">
        <f t="shared" si="703"/>
        <v>0.33464602495864798</v>
      </c>
      <c r="EK263" s="456">
        <f t="shared" si="704"/>
        <v>8.1244466746912186E-2</v>
      </c>
      <c r="EL263" s="456">
        <f t="shared" si="705"/>
        <v>2.7676160000000003</v>
      </c>
      <c r="EM263" s="456">
        <f t="shared" si="706"/>
        <v>5.9193270447932836E-2</v>
      </c>
      <c r="EN263" s="456">
        <f t="shared" si="707"/>
        <v>0.10658584911138926</v>
      </c>
      <c r="EO263">
        <f t="shared" si="708"/>
        <v>7.1999999999999998E-3</v>
      </c>
      <c r="EP263" s="144">
        <f t="shared" si="709"/>
        <v>66.393270447932835</v>
      </c>
      <c r="EQ263" s="144"/>
      <c r="ER263" s="144">
        <f t="shared" si="710"/>
        <v>3021.8395863062347</v>
      </c>
      <c r="ES263" s="456">
        <f t="shared" si="711"/>
        <v>0.58749999999999991</v>
      </c>
      <c r="EV263" s="144">
        <f t="shared" si="712"/>
        <v>587.49999999999989</v>
      </c>
      <c r="EW263" s="456">
        <f t="shared" si="713"/>
        <v>3.5843147094225966E-2</v>
      </c>
      <c r="EX263" s="456">
        <f t="shared" si="714"/>
        <v>2.2397592404124811E-2</v>
      </c>
      <c r="EY263" s="456">
        <f t="shared" si="715"/>
        <v>41.935852026837743</v>
      </c>
      <c r="EZ263" s="456"/>
      <c r="FA263" s="456">
        <f t="shared" si="716"/>
        <v>5.326666666666667E-2</v>
      </c>
      <c r="FB263" s="144">
        <f t="shared" si="717"/>
        <v>42047.359433002763</v>
      </c>
      <c r="FC263" s="150">
        <f t="shared" si="718"/>
        <v>45.656699019308995</v>
      </c>
      <c r="FD263" s="5">
        <f t="shared" si="719"/>
        <v>39.949999999999996</v>
      </c>
      <c r="FE263" s="150">
        <f t="shared" si="720"/>
        <v>0.46666908615398295</v>
      </c>
      <c r="FF263" s="5">
        <f t="shared" si="721"/>
        <v>46.666908615398292</v>
      </c>
      <c r="FI263" s="59">
        <f t="shared" si="676"/>
        <v>-50</v>
      </c>
      <c r="FJ263">
        <f t="shared" si="677"/>
        <v>-50</v>
      </c>
      <c r="FL263">
        <f t="shared" si="760"/>
        <v>0.65212961076013864</v>
      </c>
    </row>
    <row r="264" spans="5:168">
      <c r="E264" s="147">
        <v>48</v>
      </c>
      <c r="F264" s="188">
        <f t="shared" si="761"/>
        <v>0.24</v>
      </c>
      <c r="G264" s="188"/>
      <c r="H264" s="188">
        <f t="shared" si="726"/>
        <v>40.799999999999997</v>
      </c>
      <c r="I264" s="465">
        <f t="shared" si="727"/>
        <v>15.963219804151445</v>
      </c>
      <c r="J264" s="149">
        <f t="shared" si="728"/>
        <v>8.5387530812090358</v>
      </c>
      <c r="K264" s="149">
        <f t="shared" si="729"/>
        <v>24.50197288536048</v>
      </c>
      <c r="L264" s="379"/>
      <c r="M264" s="188">
        <f t="shared" si="730"/>
        <v>0.34849053465766877</v>
      </c>
      <c r="N264" s="149">
        <f t="shared" si="731"/>
        <v>186.32445177425916</v>
      </c>
      <c r="O264" s="149">
        <f t="shared" si="762"/>
        <v>40.799999999999997</v>
      </c>
      <c r="P264" s="188">
        <f t="shared" si="732"/>
        <v>1.0960261869074068</v>
      </c>
      <c r="Q264" s="188">
        <f t="shared" si="733"/>
        <v>170</v>
      </c>
      <c r="R264" s="188"/>
      <c r="S264" s="149">
        <f t="shared" si="734"/>
        <v>1897.967171899154</v>
      </c>
      <c r="T264" s="149">
        <f t="shared" si="735"/>
        <v>170</v>
      </c>
      <c r="U264" s="188">
        <f t="shared" si="736"/>
        <v>14.735012322431484</v>
      </c>
      <c r="V264" s="188">
        <f t="shared" si="737"/>
        <v>1.3845902490109907</v>
      </c>
      <c r="W264" s="188">
        <f t="shared" si="738"/>
        <v>2.5884948625915349</v>
      </c>
      <c r="X264" s="172">
        <f t="shared" si="739"/>
        <v>278.1530959291768</v>
      </c>
      <c r="Y264" s="379">
        <f t="shared" si="680"/>
        <v>239.6308661952944</v>
      </c>
      <c r="AA264" s="188">
        <f t="shared" si="740"/>
        <v>13.333333333333334</v>
      </c>
      <c r="AB264" s="150">
        <f t="shared" si="741"/>
        <v>2.3422623666227529</v>
      </c>
      <c r="AC264" s="150">
        <f t="shared" si="742"/>
        <v>0.21716917625150645</v>
      </c>
      <c r="AD264" s="150"/>
      <c r="AE264" s="150">
        <f t="shared" si="743"/>
        <v>2.3422623666227529</v>
      </c>
      <c r="AF264" s="314">
        <f t="shared" si="744"/>
        <v>307.39511092352524</v>
      </c>
      <c r="AG264" s="456">
        <f t="shared" si="745"/>
        <v>0.21716917625150645</v>
      </c>
      <c r="AI264" s="150">
        <f t="shared" si="746"/>
        <v>12.495487153338637</v>
      </c>
      <c r="AJ264" s="150">
        <f t="shared" si="747"/>
        <v>14.735012322431484</v>
      </c>
      <c r="AK264" s="150">
        <f t="shared" si="748"/>
        <v>2.238280732665296</v>
      </c>
      <c r="AM264" s="314">
        <f t="shared" si="749"/>
        <v>240</v>
      </c>
      <c r="AN264" s="144">
        <f t="shared" si="750"/>
        <v>239.6308661952944</v>
      </c>
      <c r="AP264">
        <f t="shared" si="751"/>
        <v>240</v>
      </c>
      <c r="AQ264">
        <f t="shared" si="752"/>
        <v>239.6308661952944</v>
      </c>
      <c r="AS264" s="5">
        <f t="shared" si="763"/>
        <v>4.1730851116025258</v>
      </c>
      <c r="AT264" s="5">
        <f t="shared" si="753"/>
        <v>1.3845902490109907</v>
      </c>
      <c r="AU264" s="5">
        <f t="shared" si="722"/>
        <v>2.7884948625915351</v>
      </c>
      <c r="AV264" s="5"/>
      <c r="AW264" s="150">
        <f t="shared" si="723"/>
        <v>0.33179056069606205</v>
      </c>
      <c r="AX264" s="150">
        <f t="shared" si="631"/>
        <v>39.021595954011737</v>
      </c>
      <c r="AY264" s="150">
        <f t="shared" si="632"/>
        <v>0.24615185805271397</v>
      </c>
      <c r="AZ264" s="150">
        <f t="shared" si="633"/>
        <v>158.52651392806132</v>
      </c>
      <c r="BA264" s="144">
        <f t="shared" si="724"/>
        <v>0.1954715645662575</v>
      </c>
      <c r="BB264" s="5">
        <f t="shared" si="725"/>
        <v>11.878408803649489</v>
      </c>
      <c r="BD264" s="150">
        <f t="shared" si="681"/>
        <v>4.9002912048966323</v>
      </c>
      <c r="BE264" s="150">
        <f t="shared" si="682"/>
        <v>0.34770920137360695</v>
      </c>
      <c r="BG264" s="456">
        <f t="shared" si="683"/>
        <v>8.1643703235476775E-2</v>
      </c>
      <c r="BH264" s="456">
        <f t="shared" si="754"/>
        <v>2.0720481040972718</v>
      </c>
      <c r="BI264" s="456">
        <f t="shared" si="755"/>
        <v>0.17519783265320873</v>
      </c>
      <c r="BJ264" s="456">
        <f t="shared" si="684"/>
        <v>9.854519176231534E-2</v>
      </c>
      <c r="BK264">
        <f t="shared" si="685"/>
        <v>7.1834489118681498E-3</v>
      </c>
      <c r="BL264" s="144">
        <f t="shared" si="686"/>
        <v>182.38128156507688</v>
      </c>
      <c r="BM264" s="456">
        <f t="shared" si="756"/>
        <v>2.3192712847762915</v>
      </c>
      <c r="BN264" s="144">
        <f t="shared" si="687"/>
        <v>2319.2712847762914</v>
      </c>
      <c r="BO264" s="456">
        <f t="shared" si="637"/>
        <v>0.6</v>
      </c>
      <c r="BR264" s="144">
        <f t="shared" si="688"/>
        <v>600</v>
      </c>
      <c r="BS264" s="456">
        <f t="shared" si="689"/>
        <v>3.6019280839180934E-2</v>
      </c>
      <c r="BT264" s="456">
        <f t="shared" si="690"/>
        <v>2.4180337743974309E-2</v>
      </c>
      <c r="BU264" s="456">
        <f t="shared" si="691"/>
        <v>37.042744556218899</v>
      </c>
      <c r="BV264" s="456"/>
      <c r="BW264" s="456">
        <f t="shared" si="692"/>
        <v>5.2028794605348989E-2</v>
      </c>
      <c r="BX264" s="144">
        <f t="shared" si="693"/>
        <v>37154.972969407405</v>
      </c>
      <c r="BY264" s="150">
        <f t="shared" si="694"/>
        <v>40.189591250067544</v>
      </c>
      <c r="BZ264" s="5">
        <f t="shared" si="695"/>
        <v>40.799999999999997</v>
      </c>
      <c r="CA264" s="150">
        <f t="shared" si="696"/>
        <v>0.50376843950260053</v>
      </c>
      <c r="CB264" s="5">
        <f t="shared" si="697"/>
        <v>50.376843950260053</v>
      </c>
      <c r="CE264" s="59">
        <f t="shared" si="757"/>
        <v>-50</v>
      </c>
      <c r="CF264">
        <f t="shared" si="758"/>
        <v>-50</v>
      </c>
      <c r="CG264" s="150">
        <f t="shared" si="759"/>
        <v>0.63947457204537861</v>
      </c>
      <c r="CI264" s="147">
        <v>48</v>
      </c>
      <c r="CJ264" s="188">
        <f t="shared" si="698"/>
        <v>0.24</v>
      </c>
      <c r="CK264" s="188"/>
      <c r="CL264" s="188">
        <f t="shared" si="641"/>
        <v>40.799999999999997</v>
      </c>
      <c r="CM264" s="465">
        <f t="shared" si="642"/>
        <v>16</v>
      </c>
      <c r="CN264" s="379">
        <f t="shared" si="643"/>
        <v>8.5350000000000001</v>
      </c>
      <c r="CO264" s="379">
        <f t="shared" si="644"/>
        <v>24.535</v>
      </c>
      <c r="CP264" s="379"/>
      <c r="CQ264" s="188">
        <f t="shared" si="645"/>
        <v>0.34787038923986141</v>
      </c>
      <c r="CR264" s="149">
        <f t="shared" si="646"/>
        <v>186.42142245771345</v>
      </c>
      <c r="CS264" s="149">
        <f t="shared" si="647"/>
        <v>40.799999999999997</v>
      </c>
      <c r="CT264" s="188">
        <f t="shared" si="648"/>
        <v>1.0965966026924321</v>
      </c>
      <c r="CU264" s="188">
        <f t="shared" si="649"/>
        <v>170</v>
      </c>
      <c r="CV264" s="188"/>
      <c r="CW264" s="149">
        <f t="shared" si="650"/>
        <v>1902.3399286332285</v>
      </c>
      <c r="CX264" s="149">
        <f t="shared" si="651"/>
        <v>170</v>
      </c>
      <c r="CY264" s="188">
        <f t="shared" si="652"/>
        <v>14.660632688927944</v>
      </c>
      <c r="CZ264" s="188">
        <f t="shared" si="653"/>
        <v>1.3744343145869948</v>
      </c>
      <c r="DA264" s="188">
        <f t="shared" si="654"/>
        <v>2.5765611052597444</v>
      </c>
      <c r="DB264" s="172">
        <f t="shared" si="655"/>
        <v>278.29631139188916</v>
      </c>
      <c r="DC264" s="379">
        <f t="shared" si="656"/>
        <v>253.10077429520038</v>
      </c>
      <c r="DE264" s="188">
        <f t="shared" si="657"/>
        <v>13.333333333333332</v>
      </c>
      <c r="DF264" s="150">
        <f t="shared" si="658"/>
        <v>2.3432923257176332</v>
      </c>
      <c r="DG264" s="150">
        <f t="shared" si="659"/>
        <v>0.21737653692004619</v>
      </c>
      <c r="DH264" s="150"/>
      <c r="DI264" s="150">
        <f t="shared" si="660"/>
        <v>2.3432923257176337</v>
      </c>
      <c r="DJ264" s="314">
        <f t="shared" si="661"/>
        <v>307.25999999999988</v>
      </c>
      <c r="DK264" s="456">
        <f t="shared" si="662"/>
        <v>0.21737653692004627</v>
      </c>
      <c r="DM264" s="150">
        <f t="shared" si="663"/>
        <v>12.492740749274011</v>
      </c>
      <c r="DN264" s="150">
        <f t="shared" si="664"/>
        <v>14.660632688927944</v>
      </c>
      <c r="DO264" s="150">
        <f t="shared" si="665"/>
        <v>2.1831847078478592</v>
      </c>
      <c r="DQ264" s="314">
        <f t="shared" si="666"/>
        <v>240</v>
      </c>
      <c r="DR264" s="144">
        <f t="shared" si="667"/>
        <v>253.10077429520038</v>
      </c>
      <c r="DT264">
        <f t="shared" si="668"/>
        <v>240</v>
      </c>
      <c r="DU264">
        <f t="shared" si="669"/>
        <v>253.10077429520038</v>
      </c>
      <c r="DW264" s="5">
        <f t="shared" si="670"/>
        <v>3.9509954198467394</v>
      </c>
      <c r="DX264" s="5">
        <f t="shared" si="671"/>
        <v>1.3744343145869948</v>
      </c>
      <c r="DY264" s="5">
        <f t="shared" si="672"/>
        <v>2.5765611052597448</v>
      </c>
      <c r="DZ264" s="5"/>
      <c r="EA264" s="150">
        <f t="shared" si="673"/>
        <v>0.34787038923986141</v>
      </c>
      <c r="EB264" s="150">
        <f t="shared" si="699"/>
        <v>40.799999999999997</v>
      </c>
      <c r="EC264" s="150">
        <f t="shared" si="700"/>
        <v>0.23901581722319862</v>
      </c>
      <c r="ED264" s="150">
        <f t="shared" si="701"/>
        <v>170.69999999999996</v>
      </c>
      <c r="EE264" s="144">
        <f t="shared" si="674"/>
        <v>0.19403778558875218</v>
      </c>
      <c r="EF264" s="5">
        <f t="shared" si="675"/>
        <v>10.950384697353913</v>
      </c>
      <c r="EH264" s="150">
        <f t="shared" si="702"/>
        <v>4.9923016306286527</v>
      </c>
      <c r="EI264" s="150">
        <f t="shared" si="703"/>
        <v>0.34176615314925751</v>
      </c>
      <c r="EK264" s="456">
        <f t="shared" si="704"/>
        <v>8.4738456942003521E-2</v>
      </c>
      <c r="EL264" s="456">
        <f t="shared" si="705"/>
        <v>2.7676159999999994</v>
      </c>
      <c r="EM264" s="456">
        <f t="shared" si="706"/>
        <v>5.7960077313600887E-2</v>
      </c>
      <c r="EN264" s="456">
        <f t="shared" si="707"/>
        <v>0.10436531058823528</v>
      </c>
      <c r="EO264">
        <f t="shared" si="708"/>
        <v>7.1999999999999998E-3</v>
      </c>
      <c r="EP264" s="144">
        <f t="shared" si="709"/>
        <v>65.160077313600894</v>
      </c>
      <c r="EQ264" s="144"/>
      <c r="ER264" s="144">
        <f t="shared" si="710"/>
        <v>3021.8798448438392</v>
      </c>
      <c r="ES264" s="456">
        <f t="shared" si="711"/>
        <v>0.6</v>
      </c>
      <c r="EV264" s="144">
        <f t="shared" si="712"/>
        <v>600</v>
      </c>
      <c r="EW264" s="456">
        <f t="shared" si="713"/>
        <v>3.7384613356766259E-2</v>
      </c>
      <c r="EX264" s="456">
        <f t="shared" si="714"/>
        <v>2.3360820687688348E-2</v>
      </c>
      <c r="EY264" s="456">
        <f t="shared" si="715"/>
        <v>41.935852026837786</v>
      </c>
      <c r="EZ264" s="456"/>
      <c r="FA264" s="456">
        <f t="shared" si="716"/>
        <v>5.4399999999999997E-2</v>
      </c>
      <c r="FB264" s="144">
        <f t="shared" si="717"/>
        <v>42050.997460882245</v>
      </c>
      <c r="FC264" s="150">
        <f t="shared" si="718"/>
        <v>45.672877305726082</v>
      </c>
      <c r="FD264" s="5">
        <f t="shared" si="719"/>
        <v>40.799999999999997</v>
      </c>
      <c r="FE264" s="150">
        <f t="shared" si="720"/>
        <v>0.47182424444778237</v>
      </c>
      <c r="FF264" s="5">
        <f t="shared" si="721"/>
        <v>47.182424444778235</v>
      </c>
      <c r="FI264" s="59">
        <f t="shared" si="676"/>
        <v>-50</v>
      </c>
      <c r="FJ264">
        <f t="shared" si="677"/>
        <v>-50</v>
      </c>
      <c r="FL264">
        <f t="shared" si="760"/>
        <v>0.65212961076013864</v>
      </c>
    </row>
    <row r="265" spans="5:168">
      <c r="E265" s="147">
        <v>49</v>
      </c>
      <c r="F265" s="188">
        <f t="shared" si="761"/>
        <v>0.245</v>
      </c>
      <c r="G265" s="188"/>
      <c r="H265" s="188">
        <f t="shared" si="726"/>
        <v>41.65</v>
      </c>
      <c r="I265" s="465">
        <f t="shared" si="727"/>
        <v>15.962468707922282</v>
      </c>
      <c r="J265" s="149">
        <f t="shared" si="728"/>
        <v>8.5388297236814008</v>
      </c>
      <c r="K265" s="149">
        <f t="shared" si="729"/>
        <v>24.501298431603683</v>
      </c>
      <c r="L265" s="379"/>
      <c r="M265" s="188">
        <f t="shared" si="730"/>
        <v>0.34850325656731834</v>
      </c>
      <c r="N265" s="149">
        <f t="shared" si="731"/>
        <v>186.32248649123804</v>
      </c>
      <c r="O265" s="149">
        <f t="shared" si="762"/>
        <v>41.65</v>
      </c>
      <c r="P265" s="188">
        <f t="shared" si="732"/>
        <v>1.0960146264190473</v>
      </c>
      <c r="Q265" s="188">
        <f t="shared" si="733"/>
        <v>170</v>
      </c>
      <c r="R265" s="188"/>
      <c r="S265" s="149">
        <f t="shared" si="734"/>
        <v>1852.6356555475149</v>
      </c>
      <c r="T265" s="149">
        <f t="shared" si="735"/>
        <v>170</v>
      </c>
      <c r="U265" s="188">
        <f t="shared" si="736"/>
        <v>15.04228547385306</v>
      </c>
      <c r="V265" s="188">
        <f t="shared" si="737"/>
        <v>1.4135299886026531</v>
      </c>
      <c r="W265" s="188">
        <f t="shared" si="738"/>
        <v>2.6424497198020802</v>
      </c>
      <c r="X265" s="172">
        <f t="shared" si="739"/>
        <v>278.15016140273127</v>
      </c>
      <c r="Y265" s="379">
        <f t="shared" si="680"/>
        <v>234.96352626522028</v>
      </c>
      <c r="AA265" s="188">
        <f t="shared" si="740"/>
        <v>13.333333333333336</v>
      </c>
      <c r="AB265" s="150">
        <f t="shared" si="741"/>
        <v>2.3422413430417106</v>
      </c>
      <c r="AC265" s="150">
        <f t="shared" si="742"/>
        <v>0.21716493587040067</v>
      </c>
      <c r="AD265" s="150"/>
      <c r="AE265" s="150">
        <f t="shared" si="743"/>
        <v>2.3422413430417102</v>
      </c>
      <c r="AF265" s="314">
        <f t="shared" si="744"/>
        <v>313.80199234529147</v>
      </c>
      <c r="AG265" s="456">
        <f t="shared" si="745"/>
        <v>0.21716493587040059</v>
      </c>
      <c r="AI265" s="150">
        <f t="shared" si="746"/>
        <v>12.625034185117526</v>
      </c>
      <c r="AJ265" s="150">
        <f t="shared" si="747"/>
        <v>15.04228547385306</v>
      </c>
      <c r="AK265" s="150">
        <f t="shared" si="748"/>
        <v>2.465890474459056</v>
      </c>
      <c r="AM265" s="314">
        <f t="shared" si="749"/>
        <v>245</v>
      </c>
      <c r="AN265" s="144">
        <f t="shared" si="750"/>
        <v>234.96352626522028</v>
      </c>
      <c r="AP265">
        <f t="shared" si="751"/>
        <v>245</v>
      </c>
      <c r="AQ265">
        <f t="shared" si="752"/>
        <v>234.96352626522028</v>
      </c>
      <c r="AS265" s="5">
        <f t="shared" si="763"/>
        <v>4.2559797084047322</v>
      </c>
      <c r="AT265" s="5">
        <f t="shared" si="753"/>
        <v>1.4135299886026531</v>
      </c>
      <c r="AU265" s="5">
        <f t="shared" si="722"/>
        <v>2.8424497198020791</v>
      </c>
      <c r="AV265" s="5"/>
      <c r="AW265" s="150">
        <f t="shared" si="723"/>
        <v>0.33212799060371606</v>
      </c>
      <c r="AX265" s="150">
        <f t="shared" si="631"/>
        <v>39.873959895188904</v>
      </c>
      <c r="AY265" s="150">
        <f t="shared" si="632"/>
        <v>0.25115803563336947</v>
      </c>
      <c r="AZ265" s="150">
        <f t="shared" si="633"/>
        <v>158.76043860048071</v>
      </c>
      <c r="BA265" s="144">
        <f t="shared" si="724"/>
        <v>0.20371461600449997</v>
      </c>
      <c r="BB265" s="5">
        <f t="shared" si="725"/>
        <v>12.361082005963963</v>
      </c>
      <c r="BD265" s="150">
        <f t="shared" si="681"/>
        <v>5.0050213930584659</v>
      </c>
      <c r="BE265" s="150">
        <f t="shared" si="682"/>
        <v>0.35487043978750432</v>
      </c>
      <c r="BG265" s="456">
        <f t="shared" si="683"/>
        <v>8.5170813092907874E-2</v>
      </c>
      <c r="BH265" s="456">
        <f t="shared" si="754"/>
        <v>2.074000686143354</v>
      </c>
      <c r="BI265" s="456">
        <f t="shared" si="755"/>
        <v>0.17177738544643373</v>
      </c>
      <c r="BJ265" s="456">
        <f t="shared" si="684"/>
        <v>9.6620487216977691E-2</v>
      </c>
      <c r="BK265">
        <f t="shared" si="685"/>
        <v>7.1831109185650265E-3</v>
      </c>
      <c r="BL265" s="144">
        <f t="shared" si="686"/>
        <v>178.96049636499876</v>
      </c>
      <c r="BM265" s="456">
        <f t="shared" si="756"/>
        <v>2.3258554785210794</v>
      </c>
      <c r="BN265" s="144">
        <f t="shared" si="687"/>
        <v>2325.8554785210795</v>
      </c>
      <c r="BO265" s="456">
        <f t="shared" si="637"/>
        <v>0.61250000000000004</v>
      </c>
      <c r="BR265" s="144">
        <f t="shared" si="688"/>
        <v>612.5</v>
      </c>
      <c r="BS265" s="456">
        <f t="shared" si="689"/>
        <v>3.7575358717459359E-2</v>
      </c>
      <c r="BT265" s="456">
        <f t="shared" si="690"/>
        <v>2.5186605806995346E-2</v>
      </c>
      <c r="BU265" s="456">
        <f t="shared" si="691"/>
        <v>37.132629037048993</v>
      </c>
      <c r="BV265" s="456"/>
      <c r="BW265" s="456">
        <f t="shared" si="692"/>
        <v>5.3165279860251873E-2</v>
      </c>
      <c r="BX265" s="144">
        <f t="shared" si="693"/>
        <v>37248.556281433703</v>
      </c>
      <c r="BY265" s="150">
        <f t="shared" si="694"/>
        <v>40.295808764251937</v>
      </c>
      <c r="BZ265" s="5">
        <f t="shared" si="695"/>
        <v>41.65</v>
      </c>
      <c r="CA265" s="150">
        <f t="shared" si="696"/>
        <v>0.50826272420865293</v>
      </c>
      <c r="CB265" s="5">
        <f t="shared" si="697"/>
        <v>50.826272420865294</v>
      </c>
      <c r="CE265" s="59">
        <f t="shared" si="757"/>
        <v>-50</v>
      </c>
      <c r="CF265">
        <f t="shared" si="758"/>
        <v>-50</v>
      </c>
      <c r="CG265" s="150">
        <f t="shared" si="759"/>
        <v>0.6397328381415982</v>
      </c>
      <c r="CI265" s="147">
        <v>49</v>
      </c>
      <c r="CJ265" s="188">
        <f t="shared" si="698"/>
        <v>0.245</v>
      </c>
      <c r="CK265" s="188"/>
      <c r="CL265" s="188">
        <f t="shared" si="641"/>
        <v>41.65</v>
      </c>
      <c r="CM265" s="465">
        <f t="shared" si="642"/>
        <v>16</v>
      </c>
      <c r="CN265" s="379">
        <f t="shared" si="643"/>
        <v>8.5350000000000001</v>
      </c>
      <c r="CO265" s="379">
        <f t="shared" si="644"/>
        <v>24.535</v>
      </c>
      <c r="CP265" s="379"/>
      <c r="CQ265" s="188">
        <f t="shared" si="645"/>
        <v>0.34787038923986141</v>
      </c>
      <c r="CR265" s="149">
        <f t="shared" si="646"/>
        <v>186.42142245771345</v>
      </c>
      <c r="CS265" s="149">
        <f t="shared" si="647"/>
        <v>41.65</v>
      </c>
      <c r="CT265" s="188">
        <f t="shared" si="648"/>
        <v>1.0965966026924321</v>
      </c>
      <c r="CU265" s="188">
        <f t="shared" si="649"/>
        <v>170</v>
      </c>
      <c r="CV265" s="188"/>
      <c r="CW265" s="149">
        <f t="shared" si="650"/>
        <v>1856.9913280730505</v>
      </c>
      <c r="CX265" s="149">
        <f t="shared" si="651"/>
        <v>170</v>
      </c>
      <c r="CY265" s="188">
        <f t="shared" si="652"/>
        <v>14.966062536613942</v>
      </c>
      <c r="CZ265" s="188">
        <f t="shared" si="653"/>
        <v>1.4030683628075571</v>
      </c>
      <c r="DA265" s="188">
        <f t="shared" si="654"/>
        <v>2.6302394616193223</v>
      </c>
      <c r="DB265" s="172">
        <f t="shared" si="655"/>
        <v>278.29631139188916</v>
      </c>
      <c r="DC265" s="379">
        <f t="shared" si="656"/>
        <v>247.93545237080855</v>
      </c>
      <c r="DE265" s="188">
        <f t="shared" si="657"/>
        <v>13.333333333333332</v>
      </c>
      <c r="DF265" s="150">
        <f t="shared" si="658"/>
        <v>2.3432923257176332</v>
      </c>
      <c r="DG265" s="150">
        <f t="shared" si="659"/>
        <v>0.21737653692004619</v>
      </c>
      <c r="DH265" s="150"/>
      <c r="DI265" s="150">
        <f t="shared" si="660"/>
        <v>2.3432923257176337</v>
      </c>
      <c r="DJ265" s="314">
        <f t="shared" si="661"/>
        <v>313.66124999999988</v>
      </c>
      <c r="DK265" s="456">
        <f t="shared" si="662"/>
        <v>0.21737653692004627</v>
      </c>
      <c r="DM265" s="150">
        <f t="shared" si="663"/>
        <v>12.622202660391727</v>
      </c>
      <c r="DN265" s="150">
        <f t="shared" si="664"/>
        <v>14.966062536613942</v>
      </c>
      <c r="DO265" s="150">
        <f t="shared" si="665"/>
        <v>2.409429039467117</v>
      </c>
      <c r="DQ265" s="314">
        <f t="shared" si="666"/>
        <v>245</v>
      </c>
      <c r="DR265" s="144">
        <f t="shared" si="667"/>
        <v>247.93545237080855</v>
      </c>
      <c r="DT265">
        <f t="shared" si="668"/>
        <v>245</v>
      </c>
      <c r="DU265">
        <f t="shared" si="669"/>
        <v>247.93545237080855</v>
      </c>
      <c r="DW265" s="5">
        <f t="shared" si="670"/>
        <v>4.0333078244268794</v>
      </c>
      <c r="DX265" s="5">
        <f t="shared" si="671"/>
        <v>1.4030683628075571</v>
      </c>
      <c r="DY265" s="5">
        <f t="shared" si="672"/>
        <v>2.6302394616193223</v>
      </c>
      <c r="DZ265" s="5"/>
      <c r="EA265" s="150">
        <f t="shared" si="673"/>
        <v>0.34787038923986141</v>
      </c>
      <c r="EB265" s="150">
        <f t="shared" si="699"/>
        <v>41.649999999999984</v>
      </c>
      <c r="EC265" s="150">
        <f t="shared" si="700"/>
        <v>0.24399531341534858</v>
      </c>
      <c r="ED265" s="150">
        <f t="shared" si="701"/>
        <v>170.69999999999993</v>
      </c>
      <c r="EE265" s="144">
        <f t="shared" si="674"/>
        <v>0.20220691111050088</v>
      </c>
      <c r="EF265" s="5">
        <f t="shared" si="675"/>
        <v>11.411403497546328</v>
      </c>
      <c r="EH265" s="150">
        <f t="shared" si="702"/>
        <v>5.0963079146000823</v>
      </c>
      <c r="EI265" s="150">
        <f t="shared" si="703"/>
        <v>0.34888628133986704</v>
      </c>
      <c r="EK265" s="456">
        <f t="shared" si="704"/>
        <v>8.8306004825412496E-2</v>
      </c>
      <c r="EL265" s="456">
        <f t="shared" si="705"/>
        <v>2.7676159999999994</v>
      </c>
      <c r="EM265" s="456">
        <f t="shared" si="706"/>
        <v>5.6777218592915159E-2</v>
      </c>
      <c r="EN265" s="456">
        <f t="shared" si="707"/>
        <v>0.10223540629051621</v>
      </c>
      <c r="EO265">
        <f t="shared" si="708"/>
        <v>7.1999999999999998E-3</v>
      </c>
      <c r="EP265" s="144">
        <f t="shared" si="709"/>
        <v>63.977218592915165</v>
      </c>
      <c r="EQ265" s="144"/>
      <c r="ER265" s="144">
        <f t="shared" si="710"/>
        <v>3022.134629708843</v>
      </c>
      <c r="ES265" s="456">
        <f t="shared" si="711"/>
        <v>0.61250000000000004</v>
      </c>
      <c r="EV265" s="144">
        <f t="shared" si="712"/>
        <v>612.5</v>
      </c>
      <c r="EW265" s="456">
        <f t="shared" si="713"/>
        <v>3.8958531540623162E-2</v>
      </c>
      <c r="EX265" s="456">
        <f t="shared" si="714"/>
        <v>2.4344327461432173E-2</v>
      </c>
      <c r="EY265" s="456">
        <f t="shared" si="715"/>
        <v>41.935852026837821</v>
      </c>
      <c r="EZ265" s="456"/>
      <c r="FA265" s="456">
        <f t="shared" si="716"/>
        <v>5.5533333333333317E-2</v>
      </c>
      <c r="FB265" s="144">
        <f t="shared" si="717"/>
        <v>42054.688219173215</v>
      </c>
      <c r="FC265" s="150">
        <f t="shared" si="718"/>
        <v>45.689322848882057</v>
      </c>
      <c r="FD265" s="5">
        <f t="shared" si="719"/>
        <v>41.65</v>
      </c>
      <c r="FE265" s="150">
        <f t="shared" si="720"/>
        <v>0.47687569174384908</v>
      </c>
      <c r="FF265" s="5">
        <f t="shared" si="721"/>
        <v>47.687569174384912</v>
      </c>
      <c r="FI265" s="59">
        <f t="shared" si="676"/>
        <v>-50</v>
      </c>
      <c r="FJ265">
        <f t="shared" si="677"/>
        <v>-50</v>
      </c>
      <c r="FL265">
        <f t="shared" si="760"/>
        <v>0.65212961076013864</v>
      </c>
    </row>
    <row r="266" spans="5:168">
      <c r="E266" s="147">
        <v>50</v>
      </c>
      <c r="F266" s="188">
        <f t="shared" si="761"/>
        <v>0.25</v>
      </c>
      <c r="G266" s="188"/>
      <c r="H266" s="188">
        <f t="shared" si="726"/>
        <v>42.5</v>
      </c>
      <c r="I266" s="465">
        <f t="shared" si="727"/>
        <v>15.961717599948489</v>
      </c>
      <c r="J266" s="149">
        <f t="shared" si="728"/>
        <v>8.5389063673521957</v>
      </c>
      <c r="K266" s="149">
        <f t="shared" si="729"/>
        <v>24.500623967300683</v>
      </c>
      <c r="L266" s="379"/>
      <c r="M266" s="188">
        <f t="shared" si="730"/>
        <v>0.34851597934442291</v>
      </c>
      <c r="N266" s="149">
        <f t="shared" si="731"/>
        <v>186.32052089479041</v>
      </c>
      <c r="O266" s="149">
        <f t="shared" si="762"/>
        <v>42.5</v>
      </c>
      <c r="P266" s="188">
        <f t="shared" si="732"/>
        <v>1.0960030640870024</v>
      </c>
      <c r="Q266" s="188">
        <f t="shared" si="733"/>
        <v>170</v>
      </c>
      <c r="R266" s="188"/>
      <c r="S266" s="149">
        <f t="shared" si="734"/>
        <v>1809.1181345329715</v>
      </c>
      <c r="T266" s="149">
        <f t="shared" si="735"/>
        <v>170</v>
      </c>
      <c r="U266" s="188">
        <f t="shared" si="736"/>
        <v>15.349570646317886</v>
      </c>
      <c r="V266" s="188">
        <f t="shared" si="737"/>
        <v>1.4424735825141484</v>
      </c>
      <c r="W266" s="188">
        <f t="shared" si="738"/>
        <v>2.6964057197662408</v>
      </c>
      <c r="X266" s="172">
        <f t="shared" si="739"/>
        <v>278.14722643387006</v>
      </c>
      <c r="Y266" s="379">
        <f t="shared" si="680"/>
        <v>230.47426082454723</v>
      </c>
      <c r="AA266" s="188">
        <f t="shared" si="740"/>
        <v>13.333333333333334</v>
      </c>
      <c r="AB266" s="150">
        <f t="shared" si="741"/>
        <v>2.3422203195093405</v>
      </c>
      <c r="AC266" s="150">
        <f t="shared" si="742"/>
        <v>0.21716069518952538</v>
      </c>
      <c r="AD266" s="150"/>
      <c r="AE266" s="150">
        <f t="shared" si="743"/>
        <v>2.3422203195093405</v>
      </c>
      <c r="AF266" s="314">
        <f t="shared" si="744"/>
        <v>320.20898877570733</v>
      </c>
      <c r="AG266" s="456">
        <f t="shared" si="745"/>
        <v>0.21716069518952533</v>
      </c>
      <c r="AI266" s="150">
        <f t="shared" si="746"/>
        <v>12.75326764278917</v>
      </c>
      <c r="AJ266" s="150">
        <f t="shared" si="747"/>
        <v>15.349570646317886</v>
      </c>
      <c r="AK266" s="150">
        <f t="shared" si="748"/>
        <v>2.6935091207292983</v>
      </c>
      <c r="AM266" s="314">
        <f t="shared" si="749"/>
        <v>250</v>
      </c>
      <c r="AN266" s="144">
        <f t="shared" si="750"/>
        <v>230.47426082454723</v>
      </c>
      <c r="AP266">
        <f t="shared" si="751"/>
        <v>250</v>
      </c>
      <c r="AQ266">
        <f t="shared" si="752"/>
        <v>230.47426082454723</v>
      </c>
      <c r="AS266" s="5">
        <f t="shared" si="763"/>
        <v>4.3388793022803895</v>
      </c>
      <c r="AT266" s="5">
        <f t="shared" si="753"/>
        <v>1.4424735825141484</v>
      </c>
      <c r="AU266" s="5">
        <f t="shared" si="722"/>
        <v>2.8964057197662409</v>
      </c>
      <c r="AV266" s="5"/>
      <c r="AW266" s="150">
        <f t="shared" si="723"/>
        <v>0.33245303268888488</v>
      </c>
      <c r="AX266" s="150">
        <f t="shared" si="631"/>
        <v>40.726412734471708</v>
      </c>
      <c r="AY266" s="150">
        <f t="shared" si="632"/>
        <v>0.25616398336193047</v>
      </c>
      <c r="AZ266" s="150">
        <f t="shared" si="633"/>
        <v>158.98570985652552</v>
      </c>
      <c r="BA266" s="144">
        <f t="shared" si="724"/>
        <v>0.21212846801678653</v>
      </c>
      <c r="BB266" s="5">
        <f t="shared" si="725"/>
        <v>12.853383135749594</v>
      </c>
      <c r="BD266" s="150">
        <f t="shared" si="681"/>
        <v>5.1097629638453759</v>
      </c>
      <c r="BE266" s="150">
        <f t="shared" si="682"/>
        <v>0.3620316358025521</v>
      </c>
      <c r="BG266" s="456">
        <f t="shared" si="683"/>
        <v>8.8772903658731986E-2</v>
      </c>
      <c r="BH266" s="456">
        <f t="shared" si="754"/>
        <v>2.0758756058279317</v>
      </c>
      <c r="BI266" s="456">
        <f t="shared" si="755"/>
        <v>0.16848743999249388</v>
      </c>
      <c r="BJ266" s="456">
        <f t="shared" si="684"/>
        <v>9.4769216906548034E-2</v>
      </c>
      <c r="BK266">
        <f t="shared" si="685"/>
        <v>7.18277291997682E-3</v>
      </c>
      <c r="BL266" s="144">
        <f t="shared" si="686"/>
        <v>175.6702129124707</v>
      </c>
      <c r="BM266" s="456">
        <f t="shared" si="756"/>
        <v>2.3325863525200594</v>
      </c>
      <c r="BN266" s="144">
        <f t="shared" si="687"/>
        <v>2332.5863525200593</v>
      </c>
      <c r="BO266" s="456">
        <f t="shared" si="637"/>
        <v>0.625</v>
      </c>
      <c r="BR266" s="144">
        <f t="shared" si="688"/>
        <v>625</v>
      </c>
      <c r="BS266" s="456">
        <f t="shared" si="689"/>
        <v>3.9164516320028819E-2</v>
      </c>
      <c r="BT266" s="456">
        <f t="shared" si="690"/>
        <v>2.6213381064374347E-2</v>
      </c>
      <c r="BU266" s="456">
        <f t="shared" si="691"/>
        <v>37.219168060588459</v>
      </c>
      <c r="BV266" s="456"/>
      <c r="BW266" s="456">
        <f t="shared" si="692"/>
        <v>5.4301883645962279E-2</v>
      </c>
      <c r="BX266" s="144">
        <f t="shared" si="693"/>
        <v>37338.847841618823</v>
      </c>
      <c r="BY266" s="150">
        <f t="shared" si="694"/>
        <v>40.398935780924504</v>
      </c>
      <c r="BZ266" s="5">
        <f t="shared" si="695"/>
        <v>42.5</v>
      </c>
      <c r="CA266" s="150">
        <f t="shared" si="696"/>
        <v>0.51267244385759025</v>
      </c>
      <c r="CB266" s="5">
        <f t="shared" si="697"/>
        <v>51.267244385759028</v>
      </c>
      <c r="CE266" s="59">
        <f t="shared" si="757"/>
        <v>-50</v>
      </c>
      <c r="CF266">
        <f t="shared" si="758"/>
        <v>-50</v>
      </c>
      <c r="CG266" s="150">
        <f t="shared" si="759"/>
        <v>0.63998077359396888</v>
      </c>
      <c r="CI266" s="147">
        <v>50</v>
      </c>
      <c r="CJ266" s="188">
        <f t="shared" si="698"/>
        <v>0.25</v>
      </c>
      <c r="CK266" s="188"/>
      <c r="CL266" s="188">
        <f t="shared" si="641"/>
        <v>42.5</v>
      </c>
      <c r="CM266" s="465">
        <f t="shared" si="642"/>
        <v>16</v>
      </c>
      <c r="CN266" s="379">
        <f t="shared" si="643"/>
        <v>8.5350000000000001</v>
      </c>
      <c r="CO266" s="379">
        <f t="shared" si="644"/>
        <v>24.535</v>
      </c>
      <c r="CP266" s="379"/>
      <c r="CQ266" s="188">
        <f t="shared" si="645"/>
        <v>0.34787038923986141</v>
      </c>
      <c r="CR266" s="149">
        <f t="shared" si="646"/>
        <v>186.42142245771345</v>
      </c>
      <c r="CS266" s="149">
        <f t="shared" si="647"/>
        <v>42.5</v>
      </c>
      <c r="CT266" s="188">
        <f t="shared" si="648"/>
        <v>1.0965966026924321</v>
      </c>
      <c r="CU266" s="188">
        <f t="shared" si="649"/>
        <v>170</v>
      </c>
      <c r="CV266" s="188"/>
      <c r="CW266" s="149">
        <f t="shared" si="650"/>
        <v>1813.4568066732213</v>
      </c>
      <c r="CX266" s="149">
        <f t="shared" si="651"/>
        <v>170</v>
      </c>
      <c r="CY266" s="188">
        <f t="shared" si="652"/>
        <v>15.271492384299941</v>
      </c>
      <c r="CZ266" s="188">
        <f t="shared" si="653"/>
        <v>1.4317024110281196</v>
      </c>
      <c r="DA266" s="188">
        <f t="shared" si="654"/>
        <v>2.6839178179789003</v>
      </c>
      <c r="DB266" s="172">
        <f t="shared" si="655"/>
        <v>278.29631139188916</v>
      </c>
      <c r="DC266" s="379">
        <f t="shared" si="656"/>
        <v>242.97674332339238</v>
      </c>
      <c r="DE266" s="188">
        <f t="shared" si="657"/>
        <v>13.333333333333332</v>
      </c>
      <c r="DF266" s="150">
        <f t="shared" si="658"/>
        <v>2.3432923257176332</v>
      </c>
      <c r="DG266" s="150">
        <f t="shared" si="659"/>
        <v>0.21737653692004619</v>
      </c>
      <c r="DH266" s="150"/>
      <c r="DI266" s="150">
        <f t="shared" si="660"/>
        <v>2.3432923257176337</v>
      </c>
      <c r="DJ266" s="314">
        <f t="shared" si="661"/>
        <v>320.06249999999989</v>
      </c>
      <c r="DK266" s="456">
        <f t="shared" si="662"/>
        <v>0.21737653692004627</v>
      </c>
      <c r="DM266" s="150">
        <f t="shared" si="663"/>
        <v>12.750350135248388</v>
      </c>
      <c r="DN266" s="150">
        <f t="shared" si="664"/>
        <v>15.271492384299941</v>
      </c>
      <c r="DO266" s="150">
        <f t="shared" si="665"/>
        <v>2.635673371086376</v>
      </c>
      <c r="DQ266" s="314">
        <f t="shared" si="666"/>
        <v>250</v>
      </c>
      <c r="DR266" s="144">
        <f t="shared" si="667"/>
        <v>242.97674332339238</v>
      </c>
      <c r="DT266">
        <f t="shared" si="668"/>
        <v>250</v>
      </c>
      <c r="DU266">
        <f t="shared" si="669"/>
        <v>242.97674332339238</v>
      </c>
      <c r="DW266" s="5">
        <f t="shared" si="670"/>
        <v>4.1156202290070194</v>
      </c>
      <c r="DX266" s="5">
        <f t="shared" si="671"/>
        <v>1.4317024110281196</v>
      </c>
      <c r="DY266" s="5">
        <f t="shared" si="672"/>
        <v>2.6839178179788998</v>
      </c>
      <c r="DZ266" s="5"/>
      <c r="EA266" s="150">
        <f t="shared" si="673"/>
        <v>0.34787038923986147</v>
      </c>
      <c r="EB266" s="150">
        <f t="shared" si="699"/>
        <v>42.5</v>
      </c>
      <c r="EC266" s="150">
        <f t="shared" si="700"/>
        <v>0.24897480960749854</v>
      </c>
      <c r="ED266" s="150">
        <f t="shared" si="701"/>
        <v>170.7</v>
      </c>
      <c r="EE266" s="144">
        <f t="shared" si="674"/>
        <v>0.21054447221001757</v>
      </c>
      <c r="EF266" s="5">
        <f t="shared" si="675"/>
        <v>11.881927840010752</v>
      </c>
      <c r="EH266" s="150">
        <f t="shared" si="702"/>
        <v>5.2003141985715136</v>
      </c>
      <c r="EI266" s="150">
        <f t="shared" si="703"/>
        <v>0.35600640953047658</v>
      </c>
      <c r="EK266" s="456">
        <f t="shared" si="704"/>
        <v>9.1947110397139237E-2</v>
      </c>
      <c r="EL266" s="456">
        <f t="shared" si="705"/>
        <v>2.7676160000000003</v>
      </c>
      <c r="EM266" s="456">
        <f t="shared" si="706"/>
        <v>5.5641674221056855E-2</v>
      </c>
      <c r="EN266" s="456">
        <f t="shared" si="707"/>
        <v>0.10019069816470588</v>
      </c>
      <c r="EO266">
        <f t="shared" si="708"/>
        <v>7.1999999999999998E-3</v>
      </c>
      <c r="EP266" s="144">
        <f t="shared" si="709"/>
        <v>62.841674221056856</v>
      </c>
      <c r="EQ266" s="144"/>
      <c r="ER266" s="144">
        <f t="shared" si="710"/>
        <v>3022.5954827829023</v>
      </c>
      <c r="ES266" s="456">
        <f t="shared" si="711"/>
        <v>0.625</v>
      </c>
      <c r="EV266" s="144">
        <f t="shared" si="712"/>
        <v>625</v>
      </c>
      <c r="EW266" s="456">
        <f t="shared" si="713"/>
        <v>4.0564901645796729E-2</v>
      </c>
      <c r="EX266" s="456">
        <f t="shared" si="714"/>
        <v>2.5348112725356281E-2</v>
      </c>
      <c r="EY266" s="456">
        <f t="shared" si="715"/>
        <v>41.935852026837821</v>
      </c>
      <c r="EZ266" s="456"/>
      <c r="FA266" s="456">
        <f t="shared" si="716"/>
        <v>5.6666666666666671E-2</v>
      </c>
      <c r="FB266" s="144">
        <f t="shared" si="717"/>
        <v>42058.431707875643</v>
      </c>
      <c r="FC266" s="150">
        <f t="shared" si="718"/>
        <v>45.706027190658538</v>
      </c>
      <c r="FD266" s="5">
        <f t="shared" si="719"/>
        <v>42.5</v>
      </c>
      <c r="FE266" s="150">
        <f t="shared" si="720"/>
        <v>0.48182648457951366</v>
      </c>
      <c r="FF266" s="5">
        <f t="shared" si="721"/>
        <v>48.182648457951366</v>
      </c>
      <c r="FI266" s="59">
        <f t="shared" si="676"/>
        <v>-50</v>
      </c>
      <c r="FJ266">
        <f t="shared" si="677"/>
        <v>-50</v>
      </c>
      <c r="FL266">
        <f t="shared" si="760"/>
        <v>0.65212961076013853</v>
      </c>
    </row>
    <row r="267" spans="5:168">
      <c r="E267" s="147">
        <v>51</v>
      </c>
      <c r="F267" s="188">
        <f t="shared" si="761"/>
        <v>0.255</v>
      </c>
      <c r="G267" s="188"/>
      <c r="H267" s="188">
        <f t="shared" si="726"/>
        <v>43.35</v>
      </c>
      <c r="I267" s="465">
        <f t="shared" si="727"/>
        <v>15.960966480933779</v>
      </c>
      <c r="J267" s="149">
        <f t="shared" si="728"/>
        <v>8.5389830121496129</v>
      </c>
      <c r="K267" s="149">
        <f t="shared" si="729"/>
        <v>24.499949493083392</v>
      </c>
      <c r="L267" s="379"/>
      <c r="M267" s="188">
        <f t="shared" si="730"/>
        <v>0.34852870297906147</v>
      </c>
      <c r="N267" s="149">
        <f t="shared" si="731"/>
        <v>186.31855498774692</v>
      </c>
      <c r="O267" s="149">
        <f t="shared" si="762"/>
        <v>43.35</v>
      </c>
      <c r="P267" s="188">
        <f t="shared" si="732"/>
        <v>1.095991499927923</v>
      </c>
      <c r="Q267" s="188">
        <f t="shared" si="733"/>
        <v>170</v>
      </c>
      <c r="R267" s="188"/>
      <c r="S267" s="149">
        <f t="shared" si="734"/>
        <v>1767.30790474076</v>
      </c>
      <c r="T267" s="149">
        <f t="shared" si="735"/>
        <v>170</v>
      </c>
      <c r="U267" s="188">
        <f t="shared" si="736"/>
        <v>15.656867841519299</v>
      </c>
      <c r="V267" s="188">
        <f t="shared" si="737"/>
        <v>1.4714210314477751</v>
      </c>
      <c r="W267" s="188">
        <f t="shared" si="738"/>
        <v>2.750362862751115</v>
      </c>
      <c r="X267" s="172">
        <f t="shared" si="739"/>
        <v>278.14429102529215</v>
      </c>
      <c r="Y267" s="379">
        <f t="shared" si="680"/>
        <v>226.1530694233924</v>
      </c>
      <c r="AA267" s="188">
        <f t="shared" si="740"/>
        <v>13.333333333333334</v>
      </c>
      <c r="AB267" s="150">
        <f t="shared" si="741"/>
        <v>2.3421992960453473</v>
      </c>
      <c r="AC267" s="150">
        <f t="shared" si="742"/>
        <v>0.21715645421282384</v>
      </c>
      <c r="AD267" s="150"/>
      <c r="AE267" s="150">
        <f t="shared" si="743"/>
        <v>2.3421992960453473</v>
      </c>
      <c r="AF267" s="314">
        <f t="shared" si="744"/>
        <v>326.61610021472262</v>
      </c>
      <c r="AG267" s="456">
        <f t="shared" si="745"/>
        <v>0.21715645421282384</v>
      </c>
      <c r="AI267" s="150">
        <f t="shared" si="746"/>
        <v>12.880226759607408</v>
      </c>
      <c r="AJ267" s="150">
        <f t="shared" si="747"/>
        <v>15.656867841519299</v>
      </c>
      <c r="AK267" s="150">
        <f t="shared" si="748"/>
        <v>2.9211366727303441</v>
      </c>
      <c r="AM267" s="314">
        <f t="shared" si="749"/>
        <v>255</v>
      </c>
      <c r="AN267" s="144">
        <f t="shared" si="750"/>
        <v>226.1530694233924</v>
      </c>
      <c r="AP267">
        <f t="shared" si="751"/>
        <v>255</v>
      </c>
      <c r="AQ267">
        <f t="shared" si="752"/>
        <v>226.1530694233924</v>
      </c>
      <c r="AS267" s="5">
        <f t="shared" si="763"/>
        <v>4.4217838941988905</v>
      </c>
      <c r="AT267" s="5">
        <f t="shared" si="753"/>
        <v>1.4714210314477751</v>
      </c>
      <c r="AU267" s="5">
        <f t="shared" si="722"/>
        <v>2.9503628627511151</v>
      </c>
      <c r="AV267" s="5"/>
      <c r="AW267" s="150">
        <f t="shared" si="723"/>
        <v>0.3327663826760483</v>
      </c>
      <c r="AX267" s="150">
        <f t="shared" si="631"/>
        <v>41.57895034090312</v>
      </c>
      <c r="AY267" s="150">
        <f t="shared" si="632"/>
        <v>0.26116971414649937</v>
      </c>
      <c r="AZ267" s="150">
        <f t="shared" si="633"/>
        <v>159.20280219619957</v>
      </c>
      <c r="BA267" s="144">
        <f t="shared" si="724"/>
        <v>0.22071315471716627</v>
      </c>
      <c r="BB267" s="5">
        <f t="shared" si="725"/>
        <v>13.355313858243074</v>
      </c>
      <c r="BD267" s="150">
        <f t="shared" si="681"/>
        <v>5.2145157225715169</v>
      </c>
      <c r="BE267" s="150">
        <f t="shared" si="682"/>
        <v>0.36919279961374807</v>
      </c>
      <c r="BG267" s="456">
        <f t="shared" si="683"/>
        <v>9.2449992351214857E-2</v>
      </c>
      <c r="BH267" s="456">
        <f t="shared" si="754"/>
        <v>2.0776772244741504</v>
      </c>
      <c r="BI267" s="456">
        <f t="shared" si="755"/>
        <v>0.16532066747671917</v>
      </c>
      <c r="BJ267" s="456">
        <f t="shared" si="684"/>
        <v>9.2987256857242781E-2</v>
      </c>
      <c r="BK267">
        <f t="shared" si="685"/>
        <v>7.1824349164202007E-3</v>
      </c>
      <c r="BL267" s="144">
        <f t="shared" si="686"/>
        <v>172.50310239313939</v>
      </c>
      <c r="BM267" s="456">
        <f t="shared" si="756"/>
        <v>2.3394649348607497</v>
      </c>
      <c r="BN267" s="144">
        <f t="shared" si="687"/>
        <v>2339.4649348607495</v>
      </c>
      <c r="BO267" s="456">
        <f t="shared" si="637"/>
        <v>0.63749999999999996</v>
      </c>
      <c r="BR267" s="144">
        <f t="shared" si="688"/>
        <v>637.5</v>
      </c>
      <c r="BS267" s="456">
        <f t="shared" si="689"/>
        <v>4.0786761331418321E-2</v>
      </c>
      <c r="BT267" s="456">
        <f t="shared" si="690"/>
        <v>2.7260664657327429E-2</v>
      </c>
      <c r="BU267" s="456">
        <f t="shared" si="691"/>
        <v>37.302542595792509</v>
      </c>
      <c r="BV267" s="456"/>
      <c r="BW267" s="456">
        <f t="shared" si="692"/>
        <v>5.5438600454537502E-2</v>
      </c>
      <c r="BX267" s="144">
        <f t="shared" si="693"/>
        <v>37426.02862223579</v>
      </c>
      <c r="BY267" s="150">
        <f t="shared" si="694"/>
        <v>40.499146198311536</v>
      </c>
      <c r="BZ267" s="5">
        <f t="shared" si="695"/>
        <v>43.35</v>
      </c>
      <c r="CA267" s="150">
        <f t="shared" si="696"/>
        <v>0.51699989761938614</v>
      </c>
      <c r="CB267" s="5">
        <f t="shared" si="697"/>
        <v>51.69998976193861</v>
      </c>
      <c r="CE267" s="59">
        <f t="shared" si="757"/>
        <v>-50</v>
      </c>
      <c r="CF267">
        <f t="shared" si="758"/>
        <v>-50</v>
      </c>
      <c r="CG267" s="150">
        <f t="shared" si="759"/>
        <v>0.64021898608742334</v>
      </c>
      <c r="CI267" s="147">
        <v>51</v>
      </c>
      <c r="CJ267" s="188">
        <f t="shared" si="698"/>
        <v>0.255</v>
      </c>
      <c r="CK267" s="188"/>
      <c r="CL267" s="188">
        <f t="shared" si="641"/>
        <v>43.35</v>
      </c>
      <c r="CM267" s="465">
        <f t="shared" si="642"/>
        <v>16</v>
      </c>
      <c r="CN267" s="379">
        <f t="shared" si="643"/>
        <v>8.5350000000000001</v>
      </c>
      <c r="CO267" s="379">
        <f t="shared" si="644"/>
        <v>24.535</v>
      </c>
      <c r="CP267" s="379"/>
      <c r="CQ267" s="188">
        <f t="shared" si="645"/>
        <v>0.34787038923986141</v>
      </c>
      <c r="CR267" s="149">
        <f t="shared" si="646"/>
        <v>186.42142245771345</v>
      </c>
      <c r="CS267" s="149">
        <f t="shared" si="647"/>
        <v>43.35</v>
      </c>
      <c r="CT267" s="188">
        <f t="shared" si="648"/>
        <v>1.0965966026924321</v>
      </c>
      <c r="CU267" s="188">
        <f t="shared" si="649"/>
        <v>170</v>
      </c>
      <c r="CV267" s="188"/>
      <c r="CW267" s="149">
        <f t="shared" si="650"/>
        <v>1771.6296552965146</v>
      </c>
      <c r="CX267" s="149">
        <f t="shared" si="651"/>
        <v>170</v>
      </c>
      <c r="CY267" s="188">
        <f t="shared" si="652"/>
        <v>15.576922231985941</v>
      </c>
      <c r="CZ267" s="188">
        <f t="shared" si="653"/>
        <v>1.4603364592486821</v>
      </c>
      <c r="DA267" s="188">
        <f t="shared" si="654"/>
        <v>2.7375961743384782</v>
      </c>
      <c r="DB267" s="172">
        <f t="shared" si="655"/>
        <v>278.29631139188916</v>
      </c>
      <c r="DC267" s="379">
        <f t="shared" si="656"/>
        <v>238.21249345430627</v>
      </c>
      <c r="DE267" s="188">
        <f t="shared" si="657"/>
        <v>13.333333333333332</v>
      </c>
      <c r="DF267" s="150">
        <f t="shared" si="658"/>
        <v>2.3432923257176332</v>
      </c>
      <c r="DG267" s="150">
        <f t="shared" si="659"/>
        <v>0.21737653692004619</v>
      </c>
      <c r="DH267" s="150"/>
      <c r="DI267" s="150">
        <f t="shared" si="660"/>
        <v>2.3432923257176337</v>
      </c>
      <c r="DJ267" s="314">
        <f t="shared" si="661"/>
        <v>326.46374999999995</v>
      </c>
      <c r="DK267" s="456">
        <f t="shared" si="662"/>
        <v>0.21737653692004627</v>
      </c>
      <c r="DM267" s="150">
        <f t="shared" si="663"/>
        <v>12.877222415678666</v>
      </c>
      <c r="DN267" s="150">
        <f t="shared" si="664"/>
        <v>15.576922231985941</v>
      </c>
      <c r="DO267" s="150">
        <f t="shared" si="665"/>
        <v>2.8619177027056351</v>
      </c>
      <c r="DQ267" s="314">
        <f t="shared" si="666"/>
        <v>255</v>
      </c>
      <c r="DR267" s="144">
        <f t="shared" si="667"/>
        <v>238.21249345430627</v>
      </c>
      <c r="DT267">
        <f t="shared" si="668"/>
        <v>255</v>
      </c>
      <c r="DU267">
        <f t="shared" si="669"/>
        <v>238.21249345430627</v>
      </c>
      <c r="DW267" s="5">
        <f t="shared" si="670"/>
        <v>4.1979326335871603</v>
      </c>
      <c r="DX267" s="5">
        <f t="shared" si="671"/>
        <v>1.4603364592486821</v>
      </c>
      <c r="DY267" s="5">
        <f t="shared" si="672"/>
        <v>2.7375961743384782</v>
      </c>
      <c r="DZ267" s="5"/>
      <c r="EA267" s="150">
        <f t="shared" si="673"/>
        <v>0.34787038923986141</v>
      </c>
      <c r="EB267" s="150">
        <f t="shared" si="699"/>
        <v>43.350000000000016</v>
      </c>
      <c r="EC267" s="150">
        <f t="shared" si="700"/>
        <v>0.25395430579964856</v>
      </c>
      <c r="ED267" s="150">
        <f t="shared" si="701"/>
        <v>170.70000000000002</v>
      </c>
      <c r="EE267" s="144">
        <f t="shared" si="674"/>
        <v>0.21905046888730229</v>
      </c>
      <c r="EF267" s="5">
        <f t="shared" si="675"/>
        <v>12.361957724747189</v>
      </c>
      <c r="EH267" s="150">
        <f t="shared" si="702"/>
        <v>5.304320482542944</v>
      </c>
      <c r="EI267" s="150">
        <f t="shared" si="703"/>
        <v>0.36312653772108616</v>
      </c>
      <c r="EK267" s="456">
        <f t="shared" si="704"/>
        <v>9.566177365718366E-2</v>
      </c>
      <c r="EL267" s="456">
        <f t="shared" si="705"/>
        <v>2.7676160000000003</v>
      </c>
      <c r="EM267" s="456">
        <f t="shared" si="706"/>
        <v>5.4550661001036137E-2</v>
      </c>
      <c r="EN267" s="456">
        <f t="shared" si="707"/>
        <v>9.8226174671280281E-2</v>
      </c>
      <c r="EO267">
        <f t="shared" si="708"/>
        <v>7.1999999999999998E-3</v>
      </c>
      <c r="EP267" s="144">
        <f t="shared" si="709"/>
        <v>61.750661001036136</v>
      </c>
      <c r="EQ267" s="144"/>
      <c r="ER267" s="144">
        <f t="shared" si="710"/>
        <v>3023.2546093295009</v>
      </c>
      <c r="ES267" s="456">
        <f t="shared" si="711"/>
        <v>0.63749999999999996</v>
      </c>
      <c r="EV267" s="144">
        <f t="shared" si="712"/>
        <v>637.5</v>
      </c>
      <c r="EW267" s="456">
        <f t="shared" si="713"/>
        <v>4.2203723672286912E-2</v>
      </c>
      <c r="EX267" s="456">
        <f t="shared" si="714"/>
        <v>2.6372176479460687E-2</v>
      </c>
      <c r="EY267" s="456">
        <f t="shared" si="715"/>
        <v>41.935852026837821</v>
      </c>
      <c r="EZ267" s="456"/>
      <c r="FA267" s="456">
        <f t="shared" si="716"/>
        <v>5.7800000000000018E-2</v>
      </c>
      <c r="FB267" s="144">
        <f t="shared" si="717"/>
        <v>42062.227926989573</v>
      </c>
      <c r="FC267" s="150">
        <f t="shared" si="718"/>
        <v>45.722982536319073</v>
      </c>
      <c r="FD267" s="5">
        <f t="shared" si="719"/>
        <v>43.35</v>
      </c>
      <c r="FE267" s="150">
        <f t="shared" si="720"/>
        <v>0.48667956057634254</v>
      </c>
      <c r="FF267" s="5">
        <f t="shared" si="721"/>
        <v>48.667956057634257</v>
      </c>
      <c r="FI267" s="59">
        <f t="shared" si="676"/>
        <v>-50</v>
      </c>
      <c r="FJ267">
        <f t="shared" si="677"/>
        <v>-50</v>
      </c>
      <c r="FL267">
        <f t="shared" si="760"/>
        <v>0.65212961076013864</v>
      </c>
    </row>
    <row r="268" spans="5:168">
      <c r="E268" s="147">
        <v>52</v>
      </c>
      <c r="F268" s="188">
        <f t="shared" si="761"/>
        <v>0.26</v>
      </c>
      <c r="G268" s="188"/>
      <c r="H268" s="188">
        <f t="shared" si="726"/>
        <v>44.2</v>
      </c>
      <c r="I268" s="465">
        <f t="shared" si="727"/>
        <v>15.960215351526747</v>
      </c>
      <c r="J268" s="149">
        <f t="shared" si="728"/>
        <v>8.5390596580074742</v>
      </c>
      <c r="K268" s="149">
        <f t="shared" si="729"/>
        <v>24.499275009534223</v>
      </c>
      <c r="L268" s="379"/>
      <c r="M268" s="188">
        <f t="shared" si="730"/>
        <v>0.34854142746209466</v>
      </c>
      <c r="N268" s="149">
        <f t="shared" si="731"/>
        <v>186.31658877271477</v>
      </c>
      <c r="O268" s="149">
        <f t="shared" si="762"/>
        <v>44.2</v>
      </c>
      <c r="P268" s="188">
        <f t="shared" si="732"/>
        <v>1.0959799339571457</v>
      </c>
      <c r="Q268" s="188">
        <f t="shared" si="733"/>
        <v>170</v>
      </c>
      <c r="R268" s="188"/>
      <c r="S268" s="149">
        <f t="shared" si="734"/>
        <v>1727.106470077294</v>
      </c>
      <c r="T268" s="149">
        <f t="shared" si="735"/>
        <v>170</v>
      </c>
      <c r="U268" s="188">
        <f t="shared" si="736"/>
        <v>15.964177061151302</v>
      </c>
      <c r="V268" s="188">
        <f t="shared" si="737"/>
        <v>1.5003723361061205</v>
      </c>
      <c r="W268" s="188">
        <f t="shared" si="738"/>
        <v>2.8043211490238771</v>
      </c>
      <c r="X268" s="172">
        <f t="shared" si="739"/>
        <v>278.14135517948262</v>
      </c>
      <c r="Y268" s="379">
        <f t="shared" si="680"/>
        <v>221.99068666958183</v>
      </c>
      <c r="AA268" s="188">
        <f t="shared" si="740"/>
        <v>13.333333333333334</v>
      </c>
      <c r="AB268" s="150">
        <f t="shared" si="741"/>
        <v>2.3421782726678892</v>
      </c>
      <c r="AC268" s="150">
        <f t="shared" si="742"/>
        <v>0.21715221294392886</v>
      </c>
      <c r="AD268" s="150"/>
      <c r="AE268" s="150">
        <f t="shared" si="743"/>
        <v>2.3421782726678892</v>
      </c>
      <c r="AF268" s="314">
        <f t="shared" si="744"/>
        <v>333.02332666229137</v>
      </c>
      <c r="AG268" s="456">
        <f t="shared" si="745"/>
        <v>0.21715221294392886</v>
      </c>
      <c r="AI268" s="150">
        <f t="shared" si="746"/>
        <v>13.005948854514356</v>
      </c>
      <c r="AJ268" s="150">
        <f t="shared" si="747"/>
        <v>15.964177061151302</v>
      </c>
      <c r="AK268" s="150">
        <f t="shared" si="748"/>
        <v>3.1487731317170136</v>
      </c>
      <c r="AM268" s="314">
        <f t="shared" si="749"/>
        <v>260</v>
      </c>
      <c r="AN268" s="144">
        <f t="shared" si="750"/>
        <v>221.99068666958183</v>
      </c>
      <c r="AP268">
        <f t="shared" si="751"/>
        <v>260</v>
      </c>
      <c r="AQ268">
        <f t="shared" si="752"/>
        <v>221.99068666958183</v>
      </c>
      <c r="AS268" s="5">
        <f t="shared" si="763"/>
        <v>4.504693485129998</v>
      </c>
      <c r="AT268" s="5">
        <f t="shared" si="753"/>
        <v>1.5003723361061205</v>
      </c>
      <c r="AU268" s="5">
        <f t="shared" si="722"/>
        <v>3.0043211490238777</v>
      </c>
      <c r="AV268" s="5"/>
      <c r="AW268" s="150">
        <f t="shared" si="723"/>
        <v>0.33306868515224231</v>
      </c>
      <c r="AX268" s="150">
        <f t="shared" si="631"/>
        <v>42.43156888716171</v>
      </c>
      <c r="AY268" s="150">
        <f t="shared" si="632"/>
        <v>0.2661752399464013</v>
      </c>
      <c r="AZ268" s="150">
        <f t="shared" si="633"/>
        <v>159.41215605067546</v>
      </c>
      <c r="BA268" s="144">
        <f t="shared" si="724"/>
        <v>0.22946871022799492</v>
      </c>
      <c r="BB268" s="5">
        <f t="shared" si="725"/>
        <v>13.866875839089962</v>
      </c>
      <c r="BD268" s="150">
        <f t="shared" si="681"/>
        <v>5.3192794890485597</v>
      </c>
      <c r="BE268" s="150">
        <f t="shared" si="682"/>
        <v>0.37635394067281858</v>
      </c>
      <c r="BG268" s="456">
        <f t="shared" si="683"/>
        <v>9.6202096560883202E-2</v>
      </c>
      <c r="BH268" s="456">
        <f t="shared" si="754"/>
        <v>2.0794095828370494</v>
      </c>
      <c r="BI268" s="456">
        <f t="shared" si="755"/>
        <v>0.16227027776981595</v>
      </c>
      <c r="BJ268" s="456">
        <f t="shared" si="684"/>
        <v>9.1270786217143671E-2</v>
      </c>
      <c r="BK268">
        <f t="shared" si="685"/>
        <v>7.1820969081870358E-3</v>
      </c>
      <c r="BL268" s="144">
        <f t="shared" si="686"/>
        <v>169.45237467800297</v>
      </c>
      <c r="BM268" s="456">
        <f t="shared" si="756"/>
        <v>2.3464922556411518</v>
      </c>
      <c r="BN268" s="144">
        <f t="shared" si="687"/>
        <v>2346.492255641152</v>
      </c>
      <c r="BO268" s="456">
        <f t="shared" si="637"/>
        <v>0.65</v>
      </c>
      <c r="BR268" s="144">
        <f t="shared" si="688"/>
        <v>650</v>
      </c>
      <c r="BS268" s="456">
        <f t="shared" si="689"/>
        <v>4.2442101423919062E-2</v>
      </c>
      <c r="BT268" s="456">
        <f t="shared" si="690"/>
        <v>2.8328457731991892E-2</v>
      </c>
      <c r="BU268" s="456">
        <f t="shared" si="691"/>
        <v>37.38292080391048</v>
      </c>
      <c r="BV268" s="456"/>
      <c r="BW268" s="456">
        <f t="shared" si="692"/>
        <v>5.6575425182882284E-2</v>
      </c>
      <c r="BX268" s="144">
        <f t="shared" si="693"/>
        <v>37510.266788249275</v>
      </c>
      <c r="BY268" s="150">
        <f t="shared" si="694"/>
        <v>40.596601628542352</v>
      </c>
      <c r="BZ268" s="5">
        <f t="shared" si="695"/>
        <v>44.2</v>
      </c>
      <c r="CA268" s="150">
        <f t="shared" si="696"/>
        <v>0.52124730415048115</v>
      </c>
      <c r="CB268" s="5">
        <f t="shared" si="697"/>
        <v>52.124730415048113</v>
      </c>
      <c r="CE268" s="59">
        <f t="shared" si="757"/>
        <v>-50</v>
      </c>
      <c r="CF268">
        <f t="shared" si="758"/>
        <v>-50</v>
      </c>
      <c r="CG268" s="150">
        <f t="shared" si="759"/>
        <v>0.64044803656189864</v>
      </c>
      <c r="CI268" s="147">
        <v>52</v>
      </c>
      <c r="CJ268" s="188">
        <f t="shared" si="698"/>
        <v>0.26</v>
      </c>
      <c r="CK268" s="188"/>
      <c r="CL268" s="188">
        <f t="shared" si="641"/>
        <v>44.2</v>
      </c>
      <c r="CM268" s="465">
        <f t="shared" si="642"/>
        <v>16</v>
      </c>
      <c r="CN268" s="379">
        <f t="shared" si="643"/>
        <v>8.5350000000000001</v>
      </c>
      <c r="CO268" s="379">
        <f t="shared" si="644"/>
        <v>24.535</v>
      </c>
      <c r="CP268" s="379"/>
      <c r="CQ268" s="188">
        <f t="shared" si="645"/>
        <v>0.34787038923986141</v>
      </c>
      <c r="CR268" s="149">
        <f t="shared" si="646"/>
        <v>186.42142245771345</v>
      </c>
      <c r="CS268" s="149">
        <f t="shared" si="647"/>
        <v>44.2</v>
      </c>
      <c r="CT268" s="188">
        <f t="shared" si="648"/>
        <v>1.0965966026924321</v>
      </c>
      <c r="CU268" s="188">
        <f t="shared" si="649"/>
        <v>170</v>
      </c>
      <c r="CV268" s="188"/>
      <c r="CW268" s="149">
        <f t="shared" si="650"/>
        <v>1731.4113732202727</v>
      </c>
      <c r="CX268" s="149">
        <f t="shared" si="651"/>
        <v>170</v>
      </c>
      <c r="CY268" s="188">
        <f t="shared" si="652"/>
        <v>15.882352079671941</v>
      </c>
      <c r="CZ268" s="188">
        <f t="shared" si="653"/>
        <v>1.4889705074692445</v>
      </c>
      <c r="DA268" s="188">
        <f t="shared" si="654"/>
        <v>2.7912745306980562</v>
      </c>
      <c r="DB268" s="172">
        <f t="shared" si="655"/>
        <v>278.29631139188916</v>
      </c>
      <c r="DC268" s="379">
        <f t="shared" si="656"/>
        <v>233.63148396480031</v>
      </c>
      <c r="DE268" s="188">
        <f t="shared" si="657"/>
        <v>13.333333333333332</v>
      </c>
      <c r="DF268" s="150">
        <f t="shared" si="658"/>
        <v>2.3432923257176332</v>
      </c>
      <c r="DG268" s="150">
        <f t="shared" si="659"/>
        <v>0.21737653692004619</v>
      </c>
      <c r="DH268" s="150"/>
      <c r="DI268" s="150">
        <f t="shared" si="660"/>
        <v>2.3432923257176337</v>
      </c>
      <c r="DJ268" s="314">
        <f t="shared" si="661"/>
        <v>332.86499999999995</v>
      </c>
      <c r="DK268" s="456">
        <f t="shared" si="662"/>
        <v>0.21737653692004627</v>
      </c>
      <c r="DM268" s="150">
        <f t="shared" si="663"/>
        <v>13.002856828954386</v>
      </c>
      <c r="DN268" s="150">
        <f t="shared" si="664"/>
        <v>15.882352079671941</v>
      </c>
      <c r="DO268" s="150">
        <f t="shared" si="665"/>
        <v>3.0881620343248941</v>
      </c>
      <c r="DQ268" s="314">
        <f t="shared" si="666"/>
        <v>260</v>
      </c>
      <c r="DR268" s="144">
        <f t="shared" si="667"/>
        <v>233.63148396480031</v>
      </c>
      <c r="DT268">
        <f t="shared" si="668"/>
        <v>260</v>
      </c>
      <c r="DU268">
        <f t="shared" si="669"/>
        <v>233.63148396480031</v>
      </c>
      <c r="DW268" s="5">
        <f t="shared" si="670"/>
        <v>4.2802450381673012</v>
      </c>
      <c r="DX268" s="5">
        <f t="shared" si="671"/>
        <v>1.4889705074692445</v>
      </c>
      <c r="DY268" s="5">
        <f t="shared" si="672"/>
        <v>2.7912745306980566</v>
      </c>
      <c r="DZ268" s="5"/>
      <c r="EA268" s="150">
        <f t="shared" si="673"/>
        <v>0.34787038923986141</v>
      </c>
      <c r="EB268" s="150">
        <f t="shared" si="699"/>
        <v>44.2</v>
      </c>
      <c r="EC268" s="150">
        <f t="shared" si="700"/>
        <v>0.25893380199179855</v>
      </c>
      <c r="ED268" s="150">
        <f t="shared" si="701"/>
        <v>170.69999999999996</v>
      </c>
      <c r="EE268" s="144">
        <f t="shared" si="674"/>
        <v>0.22772490114235505</v>
      </c>
      <c r="EF268" s="5">
        <f t="shared" si="675"/>
        <v>12.851493151755635</v>
      </c>
      <c r="EH268" s="150">
        <f t="shared" si="702"/>
        <v>5.4083267665143744</v>
      </c>
      <c r="EI268" s="150">
        <f t="shared" si="703"/>
        <v>0.37024666591169575</v>
      </c>
      <c r="EK268" s="456">
        <f t="shared" si="704"/>
        <v>9.9449994605545808E-2</v>
      </c>
      <c r="EL268" s="456">
        <f t="shared" si="705"/>
        <v>2.7676159999999994</v>
      </c>
      <c r="EM268" s="456">
        <f t="shared" si="706"/>
        <v>5.3501609827939271E-2</v>
      </c>
      <c r="EN268" s="456">
        <f t="shared" si="707"/>
        <v>9.6337209773755622E-2</v>
      </c>
      <c r="EO268">
        <f t="shared" si="708"/>
        <v>7.1999999999999998E-3</v>
      </c>
      <c r="EP268" s="144">
        <f t="shared" si="709"/>
        <v>60.701609827939272</v>
      </c>
      <c r="EQ268" s="144"/>
      <c r="ER268" s="144">
        <f t="shared" si="710"/>
        <v>3024.10481420724</v>
      </c>
      <c r="ES268" s="456">
        <f t="shared" si="711"/>
        <v>0.65</v>
      </c>
      <c r="EV268" s="144">
        <f t="shared" si="712"/>
        <v>650</v>
      </c>
      <c r="EW268" s="456">
        <f t="shared" si="713"/>
        <v>4.3874997620093746E-2</v>
      </c>
      <c r="EX268" s="456">
        <f t="shared" si="714"/>
        <v>2.741651872374537E-2</v>
      </c>
      <c r="EY268" s="456">
        <f t="shared" si="715"/>
        <v>41.935852026837779</v>
      </c>
      <c r="EZ268" s="456"/>
      <c r="FA268" s="456">
        <f t="shared" si="716"/>
        <v>5.8933333333333338E-2</v>
      </c>
      <c r="FB268" s="144">
        <f t="shared" si="717"/>
        <v>42066.076876514955</v>
      </c>
      <c r="FC268" s="150">
        <f t="shared" si="718"/>
        <v>45.740181690722196</v>
      </c>
      <c r="FD268" s="5">
        <f t="shared" si="719"/>
        <v>44.2</v>
      </c>
      <c r="FE268" s="150">
        <f t="shared" si="720"/>
        <v>0.49143774416634811</v>
      </c>
      <c r="FF268" s="5">
        <f t="shared" si="721"/>
        <v>49.143774416634812</v>
      </c>
      <c r="FI268" s="59">
        <f t="shared" si="676"/>
        <v>-50</v>
      </c>
      <c r="FJ268">
        <f t="shared" si="677"/>
        <v>-50</v>
      </c>
      <c r="FL268">
        <f t="shared" si="760"/>
        <v>0.65212961076013864</v>
      </c>
    </row>
    <row r="269" spans="5:168">
      <c r="E269" s="147">
        <v>53</v>
      </c>
      <c r="F269" s="188">
        <f t="shared" si="761"/>
        <v>0.26500000000000001</v>
      </c>
      <c r="G269" s="188"/>
      <c r="H269" s="188">
        <f t="shared" si="726"/>
        <v>45.050000000000004</v>
      </c>
      <c r="I269" s="465">
        <f t="shared" si="727"/>
        <v>15.959464212326161</v>
      </c>
      <c r="J269" s="149">
        <f t="shared" si="728"/>
        <v>8.5391363048646767</v>
      </c>
      <c r="K269" s="149">
        <f t="shared" si="729"/>
        <v>24.498600517190837</v>
      </c>
      <c r="L269" s="379"/>
      <c r="M269" s="188">
        <f t="shared" si="730"/>
        <v>0.34855415278508978</v>
      </c>
      <c r="N269" s="149">
        <f t="shared" si="731"/>
        <v>186.31462225209918</v>
      </c>
      <c r="O269" s="149">
        <f t="shared" si="762"/>
        <v>45.050000000000004</v>
      </c>
      <c r="P269" s="188">
        <f t="shared" si="732"/>
        <v>1.0959683661888187</v>
      </c>
      <c r="Q269" s="188">
        <f t="shared" si="733"/>
        <v>170</v>
      </c>
      <c r="R269" s="188"/>
      <c r="S269" s="149">
        <f t="shared" si="734"/>
        <v>1688.422768129544</v>
      </c>
      <c r="T269" s="149">
        <f t="shared" si="735"/>
        <v>170</v>
      </c>
      <c r="U269" s="188">
        <f t="shared" si="736"/>
        <v>16.271498306908523</v>
      </c>
      <c r="V269" s="188">
        <f t="shared" si="737"/>
        <v>1.5293274971920452</v>
      </c>
      <c r="W269" s="188">
        <f t="shared" si="738"/>
        <v>2.8582805788517716</v>
      </c>
      <c r="X269" s="172">
        <f t="shared" si="739"/>
        <v>278.13841889873299</v>
      </c>
      <c r="Y269" s="379">
        <f t="shared" si="680"/>
        <v>217.9785159115778</v>
      </c>
      <c r="AA269" s="188">
        <f t="shared" si="740"/>
        <v>13.333333333333334</v>
      </c>
      <c r="AB269" s="150">
        <f t="shared" si="741"/>
        <v>2.3421572493937313</v>
      </c>
      <c r="AC269" s="150">
        <f t="shared" si="742"/>
        <v>0.21714797138619263</v>
      </c>
      <c r="AD269" s="150"/>
      <c r="AE269" s="150">
        <f t="shared" si="743"/>
        <v>2.3421572493937313</v>
      </c>
      <c r="AF269" s="314">
        <f t="shared" si="744"/>
        <v>339.43066811837082</v>
      </c>
      <c r="AG269" s="456">
        <f t="shared" si="745"/>
        <v>0.21714797138619268</v>
      </c>
      <c r="AI269" s="150">
        <f t="shared" si="746"/>
        <v>13.13046946040396</v>
      </c>
      <c r="AJ269" s="150">
        <f t="shared" si="747"/>
        <v>16.271498306908523</v>
      </c>
      <c r="AK269" s="150">
        <f t="shared" si="748"/>
        <v>3.3764184989445845</v>
      </c>
      <c r="AM269" s="314">
        <f t="shared" si="749"/>
        <v>265</v>
      </c>
      <c r="AN269" s="144">
        <f t="shared" si="750"/>
        <v>217.9785159115778</v>
      </c>
      <c r="AP269">
        <f t="shared" si="751"/>
        <v>265</v>
      </c>
      <c r="AQ269">
        <f t="shared" si="752"/>
        <v>217.9785159115778</v>
      </c>
      <c r="AS269" s="5">
        <f t="shared" si="763"/>
        <v>4.5876080760438169</v>
      </c>
      <c r="AT269" s="5">
        <f t="shared" si="753"/>
        <v>1.5293274971920452</v>
      </c>
      <c r="AU269" s="5">
        <f t="shared" si="722"/>
        <v>3.0582805788517717</v>
      </c>
      <c r="AV269" s="5"/>
      <c r="AW269" s="150">
        <f t="shared" si="723"/>
        <v>0.33336053818068967</v>
      </c>
      <c r="AX269" s="150">
        <f t="shared" si="631"/>
        <v>43.284264822167557</v>
      </c>
      <c r="AY269" s="150">
        <f t="shared" si="632"/>
        <v>0.27118057185778294</v>
      </c>
      <c r="AZ269" s="150">
        <f t="shared" si="633"/>
        <v>159.61418078603145</v>
      </c>
      <c r="BA269" s="144">
        <f t="shared" si="724"/>
        <v>0.23839516867993646</v>
      </c>
      <c r="BB269" s="5">
        <f t="shared" si="725"/>
        <v>14.388070744344759</v>
      </c>
      <c r="BD269" s="150">
        <f t="shared" si="681"/>
        <v>5.4240540962675672</v>
      </c>
      <c r="BE269" s="150">
        <f t="shared" si="682"/>
        <v>0.383515067754858</v>
      </c>
      <c r="BG269" s="456">
        <f t="shared" si="683"/>
        <v>0.10002923365340571</v>
      </c>
      <c r="BH269" s="456">
        <f t="shared" si="754"/>
        <v>2.0810764300253037</v>
      </c>
      <c r="BI269" s="456">
        <f t="shared" si="755"/>
        <v>0.15932997082760317</v>
      </c>
      <c r="BJ269" s="456">
        <f t="shared" si="684"/>
        <v>8.961625990850923E-2</v>
      </c>
      <c r="BK269">
        <f t="shared" si="685"/>
        <v>7.181758895546772E-3</v>
      </c>
      <c r="BL269" s="144">
        <f t="shared" si="686"/>
        <v>166.51172972314993</v>
      </c>
      <c r="BM269" s="456">
        <f t="shared" si="756"/>
        <v>2.3536693487906075</v>
      </c>
      <c r="BN269" s="144">
        <f t="shared" si="687"/>
        <v>2353.6693487906077</v>
      </c>
      <c r="BO269" s="456">
        <f t="shared" si="637"/>
        <v>0.66250000000000009</v>
      </c>
      <c r="BR269" s="144">
        <f t="shared" si="688"/>
        <v>662.50000000000011</v>
      </c>
      <c r="BS269" s="456">
        <f t="shared" si="689"/>
        <v>4.4130544258855466E-2</v>
      </c>
      <c r="BT269" s="456">
        <f t="shared" si="690"/>
        <v>2.9416761439002667E-2</v>
      </c>
      <c r="BU269" s="456">
        <f t="shared" si="691"/>
        <v>37.460459150582977</v>
      </c>
      <c r="BV269" s="456"/>
      <c r="BW269" s="456">
        <f t="shared" si="692"/>
        <v>5.7712353096223412E-2</v>
      </c>
      <c r="BX269" s="144">
        <f t="shared" si="693"/>
        <v>37591.718809377053</v>
      </c>
      <c r="BY269" s="150">
        <f t="shared" si="694"/>
        <v>40.691452462687423</v>
      </c>
      <c r="BZ269" s="5">
        <f t="shared" si="695"/>
        <v>45.050000000000004</v>
      </c>
      <c r="CA269" s="150">
        <f t="shared" si="696"/>
        <v>0.52541680489497955</v>
      </c>
      <c r="CB269" s="5">
        <f t="shared" si="697"/>
        <v>52.541680489497956</v>
      </c>
      <c r="CE269" s="59">
        <f t="shared" si="757"/>
        <v>-50</v>
      </c>
      <c r="CF269">
        <f t="shared" si="758"/>
        <v>-50</v>
      </c>
      <c r="CG269" s="150">
        <f t="shared" si="759"/>
        <v>0.64066844362224262</v>
      </c>
      <c r="CI269" s="147">
        <v>53</v>
      </c>
      <c r="CJ269" s="188">
        <f t="shared" si="698"/>
        <v>0.26500000000000001</v>
      </c>
      <c r="CK269" s="188"/>
      <c r="CL269" s="188">
        <f t="shared" si="641"/>
        <v>45.050000000000004</v>
      </c>
      <c r="CM269" s="465">
        <f t="shared" si="642"/>
        <v>16</v>
      </c>
      <c r="CN269" s="379">
        <f t="shared" si="643"/>
        <v>8.5350000000000001</v>
      </c>
      <c r="CO269" s="379">
        <f t="shared" si="644"/>
        <v>24.535</v>
      </c>
      <c r="CP269" s="379"/>
      <c r="CQ269" s="188">
        <f t="shared" si="645"/>
        <v>0.34787038923986141</v>
      </c>
      <c r="CR269" s="149">
        <f t="shared" si="646"/>
        <v>186.42142245771345</v>
      </c>
      <c r="CS269" s="149">
        <f t="shared" si="647"/>
        <v>45.050000000000004</v>
      </c>
      <c r="CT269" s="188">
        <f t="shared" si="648"/>
        <v>1.0965966026924321</v>
      </c>
      <c r="CU269" s="188">
        <f t="shared" si="649"/>
        <v>170</v>
      </c>
      <c r="CV269" s="188"/>
      <c r="CW269" s="149">
        <f t="shared" si="650"/>
        <v>1692.7108937580133</v>
      </c>
      <c r="CX269" s="149">
        <f t="shared" si="651"/>
        <v>170</v>
      </c>
      <c r="CY269" s="188">
        <f t="shared" si="652"/>
        <v>16.187781927357939</v>
      </c>
      <c r="CZ269" s="188">
        <f t="shared" si="653"/>
        <v>1.5176045556898068</v>
      </c>
      <c r="DA269" s="188">
        <f t="shared" si="654"/>
        <v>2.8449528870576346</v>
      </c>
      <c r="DB269" s="172">
        <f t="shared" si="655"/>
        <v>278.29631139188916</v>
      </c>
      <c r="DC269" s="379">
        <f t="shared" si="656"/>
        <v>229.22334275791735</v>
      </c>
      <c r="DE269" s="188">
        <f t="shared" si="657"/>
        <v>13.333333333333332</v>
      </c>
      <c r="DF269" s="150">
        <f t="shared" si="658"/>
        <v>2.3432923257176332</v>
      </c>
      <c r="DG269" s="150">
        <f t="shared" si="659"/>
        <v>0.21737653692004619</v>
      </c>
      <c r="DH269" s="150"/>
      <c r="DI269" s="150">
        <f t="shared" si="660"/>
        <v>2.3432923257176337</v>
      </c>
      <c r="DJ269" s="314">
        <f t="shared" si="661"/>
        <v>339.26624999999996</v>
      </c>
      <c r="DK269" s="456">
        <f t="shared" si="662"/>
        <v>0.21737653692004627</v>
      </c>
      <c r="DM269" s="150">
        <f t="shared" si="663"/>
        <v>13.127288916060097</v>
      </c>
      <c r="DN269" s="150">
        <f t="shared" si="664"/>
        <v>16.187781927357939</v>
      </c>
      <c r="DO269" s="150">
        <f t="shared" si="665"/>
        <v>3.3144063659441514</v>
      </c>
      <c r="DQ269" s="314">
        <f t="shared" si="666"/>
        <v>265</v>
      </c>
      <c r="DR269" s="144">
        <f t="shared" si="667"/>
        <v>229.22334275791735</v>
      </c>
      <c r="DT269">
        <f t="shared" si="668"/>
        <v>265</v>
      </c>
      <c r="DU269">
        <f t="shared" si="669"/>
        <v>229.22334275791735</v>
      </c>
      <c r="DW269" s="5">
        <f t="shared" si="670"/>
        <v>4.3625574427474403</v>
      </c>
      <c r="DX269" s="5">
        <f t="shared" si="671"/>
        <v>1.5176045556898068</v>
      </c>
      <c r="DY269" s="5">
        <f t="shared" si="672"/>
        <v>2.8449528870576337</v>
      </c>
      <c r="DZ269" s="5"/>
      <c r="EA269" s="150">
        <f t="shared" si="673"/>
        <v>0.34787038923986147</v>
      </c>
      <c r="EB269" s="150">
        <f t="shared" si="699"/>
        <v>45.050000000000011</v>
      </c>
      <c r="EC269" s="150">
        <f t="shared" si="700"/>
        <v>0.26391329818394849</v>
      </c>
      <c r="ED269" s="150">
        <f t="shared" si="701"/>
        <v>170.70000000000002</v>
      </c>
      <c r="EE269" s="144">
        <f t="shared" si="674"/>
        <v>0.23656776897517579</v>
      </c>
      <c r="EF269" s="5">
        <f t="shared" si="675"/>
        <v>13.350534121036082</v>
      </c>
      <c r="EH269" s="150">
        <f t="shared" si="702"/>
        <v>5.5123330504858048</v>
      </c>
      <c r="EI269" s="150">
        <f t="shared" si="703"/>
        <v>0.37736679410230523</v>
      </c>
      <c r="EK269" s="456">
        <f t="shared" si="704"/>
        <v>0.10331177324222567</v>
      </c>
      <c r="EL269" s="456">
        <f t="shared" si="705"/>
        <v>2.7676160000000007</v>
      </c>
      <c r="EM269" s="456">
        <f t="shared" si="706"/>
        <v>5.2492145491563072E-2</v>
      </c>
      <c r="EN269" s="456">
        <f t="shared" si="707"/>
        <v>9.4519526570477255E-2</v>
      </c>
      <c r="EO269">
        <f t="shared" si="708"/>
        <v>7.1999999999999998E-3</v>
      </c>
      <c r="EP269" s="144">
        <f t="shared" si="709"/>
        <v>59.692145491563068</v>
      </c>
      <c r="EQ269" s="144"/>
      <c r="ER269" s="144">
        <f t="shared" si="710"/>
        <v>3025.1394453042672</v>
      </c>
      <c r="ES269" s="456">
        <f t="shared" si="711"/>
        <v>0.66250000000000009</v>
      </c>
      <c r="EV269" s="144">
        <f t="shared" si="712"/>
        <v>662.50000000000011</v>
      </c>
      <c r="EW269" s="456">
        <f t="shared" si="713"/>
        <v>4.5578723489217203E-2</v>
      </c>
      <c r="EX269" s="456">
        <f t="shared" si="714"/>
        <v>2.8481139458210326E-2</v>
      </c>
      <c r="EY269" s="456">
        <f t="shared" si="715"/>
        <v>41.935852026837821</v>
      </c>
      <c r="EZ269" s="456"/>
      <c r="FA269" s="456">
        <f t="shared" si="716"/>
        <v>6.0066666666666678E-2</v>
      </c>
      <c r="FB269" s="144">
        <f t="shared" si="717"/>
        <v>42069.978556451912</v>
      </c>
      <c r="FC269" s="150">
        <f t="shared" si="718"/>
        <v>45.757618001756178</v>
      </c>
      <c r="FD269" s="5">
        <f t="shared" si="719"/>
        <v>45.050000000000004</v>
      </c>
      <c r="FE269" s="150">
        <f t="shared" si="720"/>
        <v>0.4961037519905957</v>
      </c>
      <c r="FF269" s="5">
        <f t="shared" si="721"/>
        <v>49.610375199059568</v>
      </c>
      <c r="FI269" s="59">
        <f t="shared" si="676"/>
        <v>-50</v>
      </c>
      <c r="FJ269">
        <f t="shared" si="677"/>
        <v>-50</v>
      </c>
      <c r="FL269">
        <f t="shared" si="760"/>
        <v>0.65212961076013853</v>
      </c>
    </row>
    <row r="270" spans="5:168">
      <c r="E270" s="147">
        <v>54</v>
      </c>
      <c r="F270" s="188">
        <f t="shared" si="761"/>
        <v>0.27</v>
      </c>
      <c r="G270" s="188"/>
      <c r="H270" s="188">
        <f t="shared" si="726"/>
        <v>45.900000000000006</v>
      </c>
      <c r="I270" s="465">
        <f t="shared" si="727"/>
        <v>15.958713063885657</v>
      </c>
      <c r="J270" s="149">
        <f t="shared" si="728"/>
        <v>8.5392129526647285</v>
      </c>
      <c r="K270" s="149">
        <f t="shared" si="729"/>
        <v>24.497926016550387</v>
      </c>
      <c r="L270" s="379"/>
      <c r="M270" s="188">
        <f t="shared" si="730"/>
        <v>0.34856687894025407</v>
      </c>
      <c r="N270" s="149">
        <f t="shared" si="731"/>
        <v>186.3126554281225</v>
      </c>
      <c r="O270" s="149">
        <f t="shared" si="762"/>
        <v>45.900000000000006</v>
      </c>
      <c r="P270" s="188">
        <f t="shared" si="732"/>
        <v>1.0959567966360146</v>
      </c>
      <c r="Q270" s="188">
        <f t="shared" si="733"/>
        <v>170</v>
      </c>
      <c r="R270" s="188"/>
      <c r="S270" s="149">
        <f t="shared" si="734"/>
        <v>1651.172481862196</v>
      </c>
      <c r="T270" s="149">
        <f t="shared" si="735"/>
        <v>170</v>
      </c>
      <c r="U270" s="188">
        <f t="shared" si="736"/>
        <v>16.578831580486195</v>
      </c>
      <c r="V270" s="188">
        <f t="shared" si="737"/>
        <v>1.5582865154086758</v>
      </c>
      <c r="W270" s="188">
        <f t="shared" si="738"/>
        <v>2.9122411525021121</v>
      </c>
      <c r="X270" s="172">
        <f t="shared" si="739"/>
        <v>278.13548218515967</v>
      </c>
      <c r="Y270" s="379">
        <f t="shared" si="680"/>
        <v>214.10856997391863</v>
      </c>
      <c r="AA270" s="188">
        <f t="shared" si="740"/>
        <v>13.333333333333334</v>
      </c>
      <c r="AB270" s="150">
        <f t="shared" si="741"/>
        <v>2.3421362262383734</v>
      </c>
      <c r="AC270" s="150">
        <f t="shared" si="742"/>
        <v>0.21714372954271344</v>
      </c>
      <c r="AD270" s="150"/>
      <c r="AE270" s="150">
        <f t="shared" si="743"/>
        <v>2.3421362262383734</v>
      </c>
      <c r="AF270" s="314">
        <f t="shared" si="744"/>
        <v>345.83812458292147</v>
      </c>
      <c r="AG270" s="456">
        <f t="shared" si="745"/>
        <v>0.21714372954271338</v>
      </c>
      <c r="AI270" s="150">
        <f t="shared" si="746"/>
        <v>13.253822441543425</v>
      </c>
      <c r="AJ270" s="150">
        <f t="shared" si="747"/>
        <v>16.578831580486195</v>
      </c>
      <c r="AK270" s="150">
        <f t="shared" si="748"/>
        <v>3.6040727756687865</v>
      </c>
      <c r="AM270" s="314">
        <f t="shared" si="749"/>
        <v>270</v>
      </c>
      <c r="AN270" s="144">
        <f t="shared" si="750"/>
        <v>214.10856997391863</v>
      </c>
      <c r="AP270">
        <f t="shared" si="751"/>
        <v>270</v>
      </c>
      <c r="AQ270">
        <f t="shared" si="752"/>
        <v>214.10856997391863</v>
      </c>
      <c r="AS270" s="5">
        <f t="shared" si="763"/>
        <v>4.6705276679107879</v>
      </c>
      <c r="AT270" s="5">
        <f t="shared" si="753"/>
        <v>1.5582865154086758</v>
      </c>
      <c r="AU270" s="5">
        <f t="shared" si="722"/>
        <v>3.1122411525021123</v>
      </c>
      <c r="AV270" s="5"/>
      <c r="AW270" s="150">
        <f t="shared" si="723"/>
        <v>0.33364249742379232</v>
      </c>
      <c r="AX270" s="150">
        <f t="shared" si="631"/>
        <v>44.13703484660148</v>
      </c>
      <c r="AY270" s="150">
        <f t="shared" si="632"/>
        <v>0.27618572019010856</v>
      </c>
      <c r="AZ270" s="150">
        <f t="shared" si="633"/>
        <v>159.80925739469939</v>
      </c>
      <c r="BA270" s="144">
        <f t="shared" si="724"/>
        <v>0.24749256421196619</v>
      </c>
      <c r="BB270" s="5">
        <f t="shared" si="725"/>
        <v>14.918900240471009</v>
      </c>
      <c r="BD270" s="150">
        <f t="shared" si="681"/>
        <v>5.5288393892221341</v>
      </c>
      <c r="BE270" s="150">
        <f t="shared" si="682"/>
        <v>0.3906761890179255</v>
      </c>
      <c r="BG270" s="456">
        <f t="shared" si="683"/>
        <v>0.10393142097216822</v>
      </c>
      <c r="BH270" s="456">
        <f t="shared" si="754"/>
        <v>2.0826812493472668</v>
      </c>
      <c r="BI270" s="456">
        <f t="shared" si="755"/>
        <v>0.15649389325915541</v>
      </c>
      <c r="BJ270" s="456">
        <f t="shared" si="684"/>
        <v>8.8020384188382511E-2</v>
      </c>
      <c r="BK270">
        <f t="shared" si="685"/>
        <v>7.1814208787485453E-3</v>
      </c>
      <c r="BL270" s="144">
        <f t="shared" si="686"/>
        <v>163.67531413790397</v>
      </c>
      <c r="BM270" s="456">
        <f t="shared" si="756"/>
        <v>2.3609972537294817</v>
      </c>
      <c r="BN270" s="144">
        <f t="shared" si="687"/>
        <v>2360.9972537294816</v>
      </c>
      <c r="BO270" s="456">
        <f t="shared" si="637"/>
        <v>0.67500000000000004</v>
      </c>
      <c r="BR270" s="144">
        <f t="shared" si="688"/>
        <v>675</v>
      </c>
      <c r="BS270" s="456">
        <f t="shared" si="689"/>
        <v>4.5852097487721274E-2</v>
      </c>
      <c r="BT270" s="456">
        <f t="shared" si="690"/>
        <v>3.052557693311397E-2</v>
      </c>
      <c r="BU270" s="456">
        <f t="shared" si="691"/>
        <v>37.535303404171678</v>
      </c>
      <c r="BV270" s="456"/>
      <c r="BW270" s="456">
        <f t="shared" si="692"/>
        <v>5.884937979546865E-2</v>
      </c>
      <c r="BX270" s="144">
        <f t="shared" si="693"/>
        <v>37670.530458387977</v>
      </c>
      <c r="BY270" s="150">
        <f t="shared" si="694"/>
        <v>40.783838827033705</v>
      </c>
      <c r="BZ270" s="5">
        <f t="shared" si="695"/>
        <v>45.900000000000006</v>
      </c>
      <c r="CA270" s="150">
        <f t="shared" si="696"/>
        <v>0.52951046724623563</v>
      </c>
      <c r="CB270" s="5">
        <f t="shared" si="697"/>
        <v>52.951046724623566</v>
      </c>
      <c r="CE270" s="59">
        <f t="shared" si="757"/>
        <v>-50</v>
      </c>
      <c r="CF270">
        <f t="shared" si="758"/>
        <v>-50</v>
      </c>
      <c r="CG270" s="150">
        <f t="shared" si="759"/>
        <v>0.64088068745812976</v>
      </c>
      <c r="CI270" s="147">
        <v>54</v>
      </c>
      <c r="CJ270" s="188">
        <f t="shared" si="698"/>
        <v>0.27</v>
      </c>
      <c r="CK270" s="188"/>
      <c r="CL270" s="188">
        <f t="shared" si="641"/>
        <v>45.900000000000006</v>
      </c>
      <c r="CM270" s="465">
        <f t="shared" si="642"/>
        <v>16</v>
      </c>
      <c r="CN270" s="379">
        <f t="shared" si="643"/>
        <v>8.5350000000000001</v>
      </c>
      <c r="CO270" s="379">
        <f t="shared" si="644"/>
        <v>24.535</v>
      </c>
      <c r="CP270" s="379"/>
      <c r="CQ270" s="188">
        <f t="shared" si="645"/>
        <v>0.34787038923986141</v>
      </c>
      <c r="CR270" s="149">
        <f t="shared" si="646"/>
        <v>186.42142245771345</v>
      </c>
      <c r="CS270" s="149">
        <f t="shared" si="647"/>
        <v>45.900000000000006</v>
      </c>
      <c r="CT270" s="188">
        <f t="shared" si="648"/>
        <v>1.0965966026924321</v>
      </c>
      <c r="CU270" s="188">
        <f t="shared" si="649"/>
        <v>170</v>
      </c>
      <c r="CV270" s="188"/>
      <c r="CW270" s="149">
        <f t="shared" si="650"/>
        <v>1655.4438959230795</v>
      </c>
      <c r="CX270" s="149">
        <f t="shared" si="651"/>
        <v>170</v>
      </c>
      <c r="CY270" s="188">
        <f t="shared" si="652"/>
        <v>16.493211775043939</v>
      </c>
      <c r="CZ270" s="188">
        <f t="shared" si="653"/>
        <v>1.5462386039103693</v>
      </c>
      <c r="DA270" s="188">
        <f t="shared" si="654"/>
        <v>2.8986312434172126</v>
      </c>
      <c r="DB270" s="172">
        <f t="shared" si="655"/>
        <v>278.29631139188916</v>
      </c>
      <c r="DC270" s="379">
        <f t="shared" si="656"/>
        <v>224.97846604017809</v>
      </c>
      <c r="DE270" s="188">
        <f t="shared" si="657"/>
        <v>13.333333333333332</v>
      </c>
      <c r="DF270" s="150">
        <f t="shared" si="658"/>
        <v>2.3432923257176332</v>
      </c>
      <c r="DG270" s="150">
        <f t="shared" si="659"/>
        <v>0.21737653692004619</v>
      </c>
      <c r="DH270" s="150"/>
      <c r="DI270" s="150">
        <f t="shared" si="660"/>
        <v>2.3432923257176337</v>
      </c>
      <c r="DJ270" s="314">
        <f t="shared" si="661"/>
        <v>345.66749999999996</v>
      </c>
      <c r="DK270" s="456">
        <f t="shared" si="662"/>
        <v>0.21737653692004627</v>
      </c>
      <c r="DM270" s="150">
        <f t="shared" si="663"/>
        <v>13.250552549125748</v>
      </c>
      <c r="DN270" s="150">
        <f t="shared" si="664"/>
        <v>16.493211775043939</v>
      </c>
      <c r="DO270" s="150">
        <f t="shared" si="665"/>
        <v>3.5406506975634109</v>
      </c>
      <c r="DQ270" s="314">
        <f t="shared" si="666"/>
        <v>270</v>
      </c>
      <c r="DR270" s="144">
        <f t="shared" si="667"/>
        <v>224.97846604017809</v>
      </c>
      <c r="DT270">
        <f t="shared" si="668"/>
        <v>270</v>
      </c>
      <c r="DU270">
        <f t="shared" si="669"/>
        <v>224.97846604017809</v>
      </c>
      <c r="DW270" s="5">
        <f t="shared" si="670"/>
        <v>4.4448698473275821</v>
      </c>
      <c r="DX270" s="5">
        <f t="shared" si="671"/>
        <v>1.5462386039103693</v>
      </c>
      <c r="DY270" s="5">
        <f t="shared" si="672"/>
        <v>2.8986312434172126</v>
      </c>
      <c r="DZ270" s="5"/>
      <c r="EA270" s="150">
        <f t="shared" si="673"/>
        <v>0.34787038923986141</v>
      </c>
      <c r="EB270" s="150">
        <f t="shared" si="699"/>
        <v>45.900000000000006</v>
      </c>
      <c r="EC270" s="150">
        <f t="shared" si="700"/>
        <v>0.26889279437609848</v>
      </c>
      <c r="ED270" s="150">
        <f t="shared" si="701"/>
        <v>170.7</v>
      </c>
      <c r="EE270" s="144">
        <f t="shared" si="674"/>
        <v>0.24557907238576454</v>
      </c>
      <c r="EF270" s="5">
        <f t="shared" si="675"/>
        <v>13.859080632588549</v>
      </c>
      <c r="EH270" s="150">
        <f t="shared" si="702"/>
        <v>5.6163393344572343</v>
      </c>
      <c r="EI270" s="150">
        <f t="shared" si="703"/>
        <v>0.38448692229291476</v>
      </c>
      <c r="EK270" s="456">
        <f t="shared" si="704"/>
        <v>0.10724710956722319</v>
      </c>
      <c r="EL270" s="456">
        <f t="shared" si="705"/>
        <v>2.7676159999999994</v>
      </c>
      <c r="EM270" s="456">
        <f t="shared" si="706"/>
        <v>5.1520068723200786E-2</v>
      </c>
      <c r="EN270" s="456">
        <f t="shared" si="707"/>
        <v>9.2769164967320253E-2</v>
      </c>
      <c r="EO270">
        <f t="shared" si="708"/>
        <v>7.1999999999999998E-3</v>
      </c>
      <c r="EP270" s="144">
        <f t="shared" si="709"/>
        <v>58.720068723200782</v>
      </c>
      <c r="EQ270" s="144"/>
      <c r="ER270" s="144">
        <f t="shared" si="710"/>
        <v>3026.352343257744</v>
      </c>
      <c r="ES270" s="456">
        <f t="shared" si="711"/>
        <v>0.67500000000000004</v>
      </c>
      <c r="EV270" s="144">
        <f t="shared" si="712"/>
        <v>675</v>
      </c>
      <c r="EW270" s="456">
        <f t="shared" si="713"/>
        <v>4.7314901279657297E-2</v>
      </c>
      <c r="EX270" s="456">
        <f t="shared" si="714"/>
        <v>2.9566038682855574E-2</v>
      </c>
      <c r="EY270" s="456">
        <f t="shared" si="715"/>
        <v>41.935852026837786</v>
      </c>
      <c r="EZ270" s="456"/>
      <c r="FA270" s="456">
        <f t="shared" si="716"/>
        <v>6.1200000000000011E-2</v>
      </c>
      <c r="FB270" s="144">
        <f t="shared" si="717"/>
        <v>42073.932966800297</v>
      </c>
      <c r="FC270" s="150">
        <f t="shared" si="718"/>
        <v>45.775285310058045</v>
      </c>
      <c r="FD270" s="5">
        <f t="shared" si="719"/>
        <v>45.900000000000006</v>
      </c>
      <c r="FE270" s="150">
        <f t="shared" si="720"/>
        <v>0.5006801979918587</v>
      </c>
      <c r="FF270" s="5">
        <f t="shared" si="721"/>
        <v>50.068019799185869</v>
      </c>
      <c r="FI270" s="59">
        <f t="shared" si="676"/>
        <v>-50</v>
      </c>
      <c r="FJ270">
        <f t="shared" si="677"/>
        <v>-50</v>
      </c>
      <c r="FL270">
        <f t="shared" si="760"/>
        <v>0.65212961076013864</v>
      </c>
    </row>
    <row r="271" spans="5:168">
      <c r="E271" s="147">
        <v>55</v>
      </c>
      <c r="F271" s="188">
        <f t="shared" si="761"/>
        <v>0.27500000000000002</v>
      </c>
      <c r="G271" s="188"/>
      <c r="H271" s="188">
        <f t="shared" si="726"/>
        <v>46.750000000000007</v>
      </c>
      <c r="I271" s="465">
        <f t="shared" si="727"/>
        <v>15.957961906717912</v>
      </c>
      <c r="J271" s="149">
        <f t="shared" si="728"/>
        <v>8.5392896013553141</v>
      </c>
      <c r="K271" s="149">
        <f t="shared" si="729"/>
        <v>24.497251508073226</v>
      </c>
      <c r="L271" s="379"/>
      <c r="M271" s="188">
        <f t="shared" si="730"/>
        <v>0.34857960592037562</v>
      </c>
      <c r="N271" s="149">
        <f t="shared" si="731"/>
        <v>186.31068830284099</v>
      </c>
      <c r="O271" s="149">
        <f t="shared" si="762"/>
        <v>46.750000000000007</v>
      </c>
      <c r="P271" s="188">
        <f t="shared" si="732"/>
        <v>1.0959452253108293</v>
      </c>
      <c r="Q271" s="188">
        <f t="shared" si="733"/>
        <v>170</v>
      </c>
      <c r="R271" s="188"/>
      <c r="S271" s="149">
        <f t="shared" si="734"/>
        <v>1615.2774264023408</v>
      </c>
      <c r="T271" s="149">
        <f t="shared" si="735"/>
        <v>170</v>
      </c>
      <c r="U271" s="188">
        <f t="shared" si="736"/>
        <v>16.886176883580113</v>
      </c>
      <c r="V271" s="188">
        <f t="shared" si="737"/>
        <v>1.5872493914593924</v>
      </c>
      <c r="W271" s="188">
        <f t="shared" si="738"/>
        <v>2.9662028702422778</v>
      </c>
      <c r="X271" s="172">
        <f t="shared" si="739"/>
        <v>278.13254504072012</v>
      </c>
      <c r="Y271" s="379">
        <f t="shared" si="680"/>
        <v>210.37341808540933</v>
      </c>
      <c r="AA271" s="188">
        <f t="shared" si="740"/>
        <v>13.333333333333332</v>
      </c>
      <c r="AB271" s="150">
        <f t="shared" si="741"/>
        <v>2.3421152032161663</v>
      </c>
      <c r="AC271" s="150">
        <f t="shared" si="742"/>
        <v>0.21713948741635858</v>
      </c>
      <c r="AD271" s="150"/>
      <c r="AE271" s="150">
        <f t="shared" si="743"/>
        <v>2.3421152032161667</v>
      </c>
      <c r="AF271" s="314">
        <f t="shared" si="744"/>
        <v>352.24569605590665</v>
      </c>
      <c r="AG271" s="456">
        <f t="shared" si="745"/>
        <v>0.21713948741635863</v>
      </c>
      <c r="AI271" s="150">
        <f t="shared" si="746"/>
        <v>13.376040101252009</v>
      </c>
      <c r="AJ271" s="150">
        <f t="shared" si="747"/>
        <v>16.886176883580113</v>
      </c>
      <c r="AK271" s="150">
        <f t="shared" si="748"/>
        <v>3.8317359631457624</v>
      </c>
      <c r="AM271" s="314">
        <f t="shared" si="749"/>
        <v>275</v>
      </c>
      <c r="AN271" s="144">
        <f t="shared" si="750"/>
        <v>210.37341808540933</v>
      </c>
      <c r="AP271">
        <f t="shared" si="751"/>
        <v>275</v>
      </c>
      <c r="AQ271">
        <f t="shared" si="752"/>
        <v>210.37341808540933</v>
      </c>
      <c r="AS271" s="5">
        <f t="shared" si="763"/>
        <v>4.7534522617016703</v>
      </c>
      <c r="AT271" s="5">
        <f t="shared" si="753"/>
        <v>1.5872493914593924</v>
      </c>
      <c r="AU271" s="5">
        <f t="shared" si="722"/>
        <v>3.166202870242278</v>
      </c>
      <c r="AV271" s="5"/>
      <c r="AW271" s="150">
        <f t="shared" si="723"/>
        <v>0.33391507983529828</v>
      </c>
      <c r="AX271" s="150">
        <f t="shared" si="631"/>
        <v>44.989875890982155</v>
      </c>
      <c r="AY271" s="150">
        <f t="shared" si="632"/>
        <v>0.28119069453466228</v>
      </c>
      <c r="AZ271" s="150">
        <f t="shared" si="633"/>
        <v>159.99774091185748</v>
      </c>
      <c r="BA271" s="144">
        <f t="shared" si="724"/>
        <v>0.25676093097137231</v>
      </c>
      <c r="BB271" s="5">
        <f t="shared" si="725"/>
        <v>15.459365994341432</v>
      </c>
      <c r="BD271" s="150">
        <f t="shared" si="681"/>
        <v>5.6336352238554142</v>
      </c>
      <c r="BE271" s="150">
        <f t="shared" si="682"/>
        <v>0.39783731205645068</v>
      </c>
      <c r="BG271" s="456">
        <f t="shared" si="683"/>
        <v>0.10790867584057909</v>
      </c>
      <c r="BH271" s="456">
        <f t="shared" si="754"/>
        <v>2.084227281456271</v>
      </c>
      <c r="BI271" s="456">
        <f t="shared" si="755"/>
        <v>0.15375659943327952</v>
      </c>
      <c r="BJ271" s="456">
        <f t="shared" si="684"/>
        <v>8.6480094762948059E-2</v>
      </c>
      <c r="BK271">
        <f t="shared" si="685"/>
        <v>7.1810828580230607E-3</v>
      </c>
      <c r="BL271" s="144">
        <f t="shared" si="686"/>
        <v>160.93768229130256</v>
      </c>
      <c r="BM271" s="456">
        <f t="shared" si="756"/>
        <v>2.3684770168882938</v>
      </c>
      <c r="BN271" s="144">
        <f t="shared" si="687"/>
        <v>2368.4770168882937</v>
      </c>
      <c r="BO271" s="456">
        <f t="shared" si="637"/>
        <v>0.6875</v>
      </c>
      <c r="BR271" s="144">
        <f t="shared" si="688"/>
        <v>687.5</v>
      </c>
      <c r="BS271" s="456">
        <f t="shared" si="689"/>
        <v>4.7606768753196665E-2</v>
      </c>
      <c r="BT271" s="456">
        <f t="shared" si="690"/>
        <v>3.1654905372860344E-2</v>
      </c>
      <c r="BU271" s="456">
        <f t="shared" si="691"/>
        <v>37.607589533657588</v>
      </c>
      <c r="BV271" s="456"/>
      <c r="BW271" s="456">
        <f t="shared" si="692"/>
        <v>5.9986501187976209E-2</v>
      </c>
      <c r="BX271" s="144">
        <f t="shared" si="693"/>
        <v>37746.837708971623</v>
      </c>
      <c r="BY271" s="150">
        <f t="shared" si="694"/>
        <v>40.873891443322727</v>
      </c>
      <c r="BZ271" s="5">
        <f t="shared" si="695"/>
        <v>46.750000000000007</v>
      </c>
      <c r="CA271" s="150">
        <f t="shared" si="696"/>
        <v>0.53353028757275689</v>
      </c>
      <c r="CB271" s="5">
        <f t="shared" si="697"/>
        <v>53.353028757275688</v>
      </c>
      <c r="CE271" s="59">
        <f t="shared" si="757"/>
        <v>-50</v>
      </c>
      <c r="CF271">
        <f t="shared" si="758"/>
        <v>-50</v>
      </c>
      <c r="CG271" s="150">
        <f t="shared" si="759"/>
        <v>0.64108521333634805</v>
      </c>
      <c r="CI271" s="147">
        <v>55</v>
      </c>
      <c r="CJ271" s="188">
        <f t="shared" si="698"/>
        <v>0.27500000000000002</v>
      </c>
      <c r="CK271" s="188"/>
      <c r="CL271" s="188">
        <f t="shared" si="641"/>
        <v>46.750000000000007</v>
      </c>
      <c r="CM271" s="465">
        <f t="shared" si="642"/>
        <v>16</v>
      </c>
      <c r="CN271" s="379">
        <f t="shared" si="643"/>
        <v>8.5350000000000001</v>
      </c>
      <c r="CO271" s="379">
        <f t="shared" si="644"/>
        <v>24.535</v>
      </c>
      <c r="CP271" s="379"/>
      <c r="CQ271" s="188">
        <f t="shared" si="645"/>
        <v>0.34787038923986141</v>
      </c>
      <c r="CR271" s="149">
        <f t="shared" si="646"/>
        <v>186.42142245771345</v>
      </c>
      <c r="CS271" s="149">
        <f t="shared" si="647"/>
        <v>46.750000000000007</v>
      </c>
      <c r="CT271" s="188">
        <f t="shared" si="648"/>
        <v>1.0965966026924321</v>
      </c>
      <c r="CU271" s="188">
        <f t="shared" si="649"/>
        <v>170</v>
      </c>
      <c r="CV271" s="188"/>
      <c r="CW271" s="149">
        <f t="shared" si="650"/>
        <v>1619.5321911835406</v>
      </c>
      <c r="CX271" s="149">
        <f t="shared" si="651"/>
        <v>170</v>
      </c>
      <c r="CY271" s="188">
        <f t="shared" si="652"/>
        <v>16.798641622729939</v>
      </c>
      <c r="CZ271" s="188">
        <f t="shared" si="653"/>
        <v>1.574872652130932</v>
      </c>
      <c r="DA271" s="188">
        <f t="shared" si="654"/>
        <v>2.952309599776791</v>
      </c>
      <c r="DB271" s="172">
        <f t="shared" si="655"/>
        <v>278.29631139188916</v>
      </c>
      <c r="DC271" s="379">
        <f t="shared" si="656"/>
        <v>220.88794847581119</v>
      </c>
      <c r="DE271" s="188">
        <f t="shared" si="657"/>
        <v>13.333333333333332</v>
      </c>
      <c r="DF271" s="150">
        <f t="shared" si="658"/>
        <v>2.3432923257176332</v>
      </c>
      <c r="DG271" s="150">
        <f t="shared" si="659"/>
        <v>0.21737653692004619</v>
      </c>
      <c r="DH271" s="150"/>
      <c r="DI271" s="150">
        <f t="shared" si="660"/>
        <v>2.3432923257176337</v>
      </c>
      <c r="DJ271" s="314">
        <f t="shared" si="661"/>
        <v>352.06874999999997</v>
      </c>
      <c r="DK271" s="456">
        <f t="shared" si="662"/>
        <v>0.21737653692004627</v>
      </c>
      <c r="DM271" s="150">
        <f t="shared" si="663"/>
        <v>13.372680039115997</v>
      </c>
      <c r="DN271" s="150">
        <f t="shared" si="664"/>
        <v>16.798641622729939</v>
      </c>
      <c r="DO271" s="150">
        <f t="shared" si="665"/>
        <v>3.7668950291826704</v>
      </c>
      <c r="DQ271" s="314">
        <f t="shared" si="666"/>
        <v>275</v>
      </c>
      <c r="DR271" s="144">
        <f t="shared" si="667"/>
        <v>220.88794847581119</v>
      </c>
      <c r="DT271">
        <f t="shared" si="668"/>
        <v>275</v>
      </c>
      <c r="DU271">
        <f t="shared" si="669"/>
        <v>220.88794847581119</v>
      </c>
      <c r="DW271" s="5">
        <f t="shared" si="670"/>
        <v>4.5271822519077229</v>
      </c>
      <c r="DX271" s="5">
        <f t="shared" si="671"/>
        <v>1.574872652130932</v>
      </c>
      <c r="DY271" s="5">
        <f t="shared" si="672"/>
        <v>2.952309599776791</v>
      </c>
      <c r="DZ271" s="5"/>
      <c r="EA271" s="150">
        <f t="shared" si="673"/>
        <v>0.34787038923986141</v>
      </c>
      <c r="EB271" s="150">
        <f t="shared" si="699"/>
        <v>46.750000000000007</v>
      </c>
      <c r="EC271" s="150">
        <f t="shared" si="700"/>
        <v>0.27387229056824847</v>
      </c>
      <c r="ED271" s="150">
        <f t="shared" si="701"/>
        <v>170.7</v>
      </c>
      <c r="EE271" s="144">
        <f t="shared" si="674"/>
        <v>0.25475881137412137</v>
      </c>
      <c r="EF271" s="5">
        <f t="shared" si="675"/>
        <v>14.377132686413017</v>
      </c>
      <c r="EH271" s="150">
        <f t="shared" si="702"/>
        <v>5.7203456184286656</v>
      </c>
      <c r="EI271" s="150">
        <f t="shared" si="703"/>
        <v>0.39160705048352434</v>
      </c>
      <c r="EK271" s="456">
        <f t="shared" si="704"/>
        <v>0.11125600358053851</v>
      </c>
      <c r="EL271" s="456">
        <f t="shared" si="705"/>
        <v>2.7676159999999994</v>
      </c>
      <c r="EM271" s="456">
        <f t="shared" si="706"/>
        <v>5.0583340200960759E-2</v>
      </c>
      <c r="EN271" s="456">
        <f t="shared" si="707"/>
        <v>9.108245287700531E-2</v>
      </c>
      <c r="EO271">
        <f t="shared" si="708"/>
        <v>7.1999999999999998E-3</v>
      </c>
      <c r="EP271" s="144">
        <f t="shared" si="709"/>
        <v>57.783340200960758</v>
      </c>
      <c r="EQ271" s="144"/>
      <c r="ER271" s="144">
        <f t="shared" si="710"/>
        <v>3027.7377966585041</v>
      </c>
      <c r="ES271" s="456">
        <f t="shared" si="711"/>
        <v>0.6875</v>
      </c>
      <c r="EV271" s="144">
        <f t="shared" si="712"/>
        <v>687.5</v>
      </c>
      <c r="EW271" s="456">
        <f t="shared" si="713"/>
        <v>4.9083530991414055E-2</v>
      </c>
      <c r="EX271" s="456">
        <f t="shared" si="714"/>
        <v>3.0671216397681118E-2</v>
      </c>
      <c r="EY271" s="456">
        <f t="shared" si="715"/>
        <v>41.935852026837743</v>
      </c>
      <c r="EZ271" s="456"/>
      <c r="FA271" s="456">
        <f t="shared" si="716"/>
        <v>6.2333333333333338E-2</v>
      </c>
      <c r="FB271" s="144">
        <f t="shared" si="717"/>
        <v>42077.940107560171</v>
      </c>
      <c r="FC271" s="150">
        <f t="shared" si="718"/>
        <v>45.79317790421868</v>
      </c>
      <c r="FD271" s="5">
        <f t="shared" si="719"/>
        <v>46.750000000000007</v>
      </c>
      <c r="FE271" s="150">
        <f t="shared" si="720"/>
        <v>0.50516959822133856</v>
      </c>
      <c r="FF271" s="5">
        <f t="shared" si="721"/>
        <v>50.516959822133856</v>
      </c>
      <c r="FI271" s="59">
        <f t="shared" si="676"/>
        <v>-50</v>
      </c>
      <c r="FJ271">
        <f t="shared" si="677"/>
        <v>-50</v>
      </c>
      <c r="FL271">
        <f t="shared" si="760"/>
        <v>0.65212961076013864</v>
      </c>
    </row>
    <row r="272" spans="5:168">
      <c r="E272" s="147">
        <v>56</v>
      </c>
      <c r="F272" s="188">
        <f t="shared" si="761"/>
        <v>0.28000000000000003</v>
      </c>
      <c r="G272" s="188"/>
      <c r="H272" s="188">
        <f t="shared" si="726"/>
        <v>47.6</v>
      </c>
      <c r="I272" s="465">
        <f t="shared" si="727"/>
        <v>15.957210741298368</v>
      </c>
      <c r="J272" s="149">
        <f t="shared" si="728"/>
        <v>8.5393662508879213</v>
      </c>
      <c r="K272" s="149">
        <f t="shared" si="729"/>
        <v>24.496576992186291</v>
      </c>
      <c r="L272" s="379"/>
      <c r="M272" s="188">
        <f t="shared" si="730"/>
        <v>0.34859233371877052</v>
      </c>
      <c r="N272" s="149">
        <f t="shared" si="731"/>
        <v>186.3087208781599</v>
      </c>
      <c r="O272" s="149">
        <f t="shared" si="762"/>
        <v>47.6</v>
      </c>
      <c r="P272" s="188">
        <f t="shared" si="732"/>
        <v>1.09593365222447</v>
      </c>
      <c r="Q272" s="188">
        <f t="shared" si="733"/>
        <v>170</v>
      </c>
      <c r="R272" s="188"/>
      <c r="S272" s="149">
        <f t="shared" si="734"/>
        <v>1580.6650015257485</v>
      </c>
      <c r="T272" s="149">
        <f t="shared" si="735"/>
        <v>170</v>
      </c>
      <c r="U272" s="188">
        <f t="shared" si="736"/>
        <v>17.19353421788664</v>
      </c>
      <c r="V272" s="188">
        <f t="shared" si="737"/>
        <v>1.6162161260478232</v>
      </c>
      <c r="W272" s="188">
        <f t="shared" si="738"/>
        <v>3.0201657323397146</v>
      </c>
      <c r="X272" s="172">
        <f t="shared" si="739"/>
        <v>278.12960746722695</v>
      </c>
      <c r="Y272" s="379">
        <f t="shared" si="680"/>
        <v>206.76613825803295</v>
      </c>
      <c r="AA272" s="188">
        <f t="shared" si="740"/>
        <v>13.333333333333332</v>
      </c>
      <c r="AB272" s="150">
        <f t="shared" si="741"/>
        <v>2.3420941803404207</v>
      </c>
      <c r="AC272" s="150">
        <f t="shared" si="742"/>
        <v>0.21713524500978593</v>
      </c>
      <c r="AD272" s="150"/>
      <c r="AE272" s="150">
        <f t="shared" si="743"/>
        <v>2.3420941803404212</v>
      </c>
      <c r="AF272" s="314">
        <f t="shared" si="744"/>
        <v>358.65338253729266</v>
      </c>
      <c r="AG272" s="456">
        <f t="shared" si="745"/>
        <v>0.21713524500978601</v>
      </c>
      <c r="AI272" s="150">
        <f t="shared" si="746"/>
        <v>13.497153280807364</v>
      </c>
      <c r="AJ272" s="150">
        <f t="shared" si="747"/>
        <v>17.19353421788664</v>
      </c>
      <c r="AK272" s="150">
        <f t="shared" si="748"/>
        <v>4.0594080626320785</v>
      </c>
      <c r="AM272" s="314">
        <f t="shared" si="749"/>
        <v>280</v>
      </c>
      <c r="AN272" s="144">
        <f t="shared" si="750"/>
        <v>206.76613825803295</v>
      </c>
      <c r="AP272">
        <f t="shared" si="751"/>
        <v>280</v>
      </c>
      <c r="AQ272">
        <f t="shared" si="752"/>
        <v>206.76613825803295</v>
      </c>
      <c r="AS272" s="5">
        <f t="shared" si="763"/>
        <v>4.8363818583875382</v>
      </c>
      <c r="AT272" s="5">
        <f t="shared" si="753"/>
        <v>1.6162161260478232</v>
      </c>
      <c r="AU272" s="5">
        <f t="shared" si="722"/>
        <v>3.2201657323397148</v>
      </c>
      <c r="AV272" s="5"/>
      <c r="AW272" s="150">
        <f t="shared" si="723"/>
        <v>0.33417876697326659</v>
      </c>
      <c r="AX272" s="150">
        <f t="shared" si="631"/>
        <v>45.842785095995055</v>
      </c>
      <c r="AY272" s="150">
        <f t="shared" si="632"/>
        <v>0.28619550382601544</v>
      </c>
      <c r="AZ272" s="150">
        <f t="shared" si="633"/>
        <v>160.1799625890136</v>
      </c>
      <c r="BA272" s="144">
        <f t="shared" si="724"/>
        <v>0.26620030311375908</v>
      </c>
      <c r="BB272" s="5">
        <f t="shared" si="725"/>
        <v>16.009469673238009</v>
      </c>
      <c r="BD272" s="150">
        <f t="shared" si="681"/>
        <v>5.7384414661161163</v>
      </c>
      <c r="BE272" s="150">
        <f t="shared" si="682"/>
        <v>0.40499844394918783</v>
      </c>
      <c r="BG272" s="456">
        <f t="shared" si="683"/>
        <v>0.11196101556413898</v>
      </c>
      <c r="BH272" s="456">
        <f t="shared" si="754"/>
        <v>2.0857175451188046</v>
      </c>
      <c r="BI272" s="456">
        <f t="shared" si="755"/>
        <v>0.15111301657953233</v>
      </c>
      <c r="BJ272" s="456">
        <f t="shared" si="684"/>
        <v>8.4992537149643749E-2</v>
      </c>
      <c r="BK272">
        <f t="shared" si="685"/>
        <v>7.1807448335842652E-3</v>
      </c>
      <c r="BL272" s="144">
        <f t="shared" si="686"/>
        <v>158.29376141311661</v>
      </c>
      <c r="BM272" s="456">
        <f t="shared" si="756"/>
        <v>2.3761096931041243</v>
      </c>
      <c r="BN272" s="144">
        <f t="shared" si="687"/>
        <v>2376.1096931041243</v>
      </c>
      <c r="BO272" s="456">
        <f t="shared" si="637"/>
        <v>0.70000000000000007</v>
      </c>
      <c r="BR272" s="144">
        <f t="shared" si="688"/>
        <v>700.00000000000011</v>
      </c>
      <c r="BS272" s="456">
        <f t="shared" si="689"/>
        <v>4.9394565690061322E-2</v>
      </c>
      <c r="BT272" s="456">
        <f t="shared" si="690"/>
        <v>3.2804747920252689E-2</v>
      </c>
      <c r="BU272" s="456">
        <f t="shared" si="691"/>
        <v>37.677444517686901</v>
      </c>
      <c r="BV272" s="456"/>
      <c r="BW272" s="456">
        <f t="shared" si="692"/>
        <v>6.1123713461326737E-2</v>
      </c>
      <c r="BX272" s="144">
        <f t="shared" si="693"/>
        <v>37820.767544758542</v>
      </c>
      <c r="BY272" s="150">
        <f t="shared" si="694"/>
        <v>40.961732404004245</v>
      </c>
      <c r="BZ272" s="5">
        <f t="shared" si="695"/>
        <v>47.6</v>
      </c>
      <c r="CA272" s="150">
        <f t="shared" si="696"/>
        <v>0.53747819411274078</v>
      </c>
      <c r="CB272" s="5">
        <f t="shared" si="697"/>
        <v>53.747819411274079</v>
      </c>
      <c r="CE272" s="59">
        <f t="shared" si="757"/>
        <v>-50</v>
      </c>
      <c r="CF272">
        <f t="shared" si="758"/>
        <v>-50</v>
      </c>
      <c r="CG272" s="150">
        <f t="shared" si="759"/>
        <v>0.64128243471891577</v>
      </c>
      <c r="CI272" s="147">
        <v>56</v>
      </c>
      <c r="CJ272" s="188">
        <f t="shared" si="698"/>
        <v>0.28000000000000003</v>
      </c>
      <c r="CK272" s="188"/>
      <c r="CL272" s="188">
        <f t="shared" si="641"/>
        <v>47.6</v>
      </c>
      <c r="CM272" s="465">
        <f t="shared" si="642"/>
        <v>16</v>
      </c>
      <c r="CN272" s="379">
        <f t="shared" si="643"/>
        <v>8.5350000000000001</v>
      </c>
      <c r="CO272" s="379">
        <f t="shared" si="644"/>
        <v>24.535</v>
      </c>
      <c r="CP272" s="379"/>
      <c r="CQ272" s="188">
        <f t="shared" si="645"/>
        <v>0.34787038923986141</v>
      </c>
      <c r="CR272" s="149">
        <f t="shared" si="646"/>
        <v>186.42142245771345</v>
      </c>
      <c r="CS272" s="149">
        <f t="shared" si="647"/>
        <v>47.6</v>
      </c>
      <c r="CT272" s="188">
        <f t="shared" si="648"/>
        <v>1.0965966026924321</v>
      </c>
      <c r="CU272" s="188">
        <f t="shared" si="649"/>
        <v>170</v>
      </c>
      <c r="CV272" s="188"/>
      <c r="CW272" s="149">
        <f t="shared" si="650"/>
        <v>1584.9031759219288</v>
      </c>
      <c r="CX272" s="149">
        <f t="shared" si="651"/>
        <v>170</v>
      </c>
      <c r="CY272" s="188">
        <f t="shared" si="652"/>
        <v>17.104071470415935</v>
      </c>
      <c r="CZ272" s="188">
        <f t="shared" si="653"/>
        <v>1.603506700351494</v>
      </c>
      <c r="DA272" s="188">
        <f t="shared" si="654"/>
        <v>3.0059879561363685</v>
      </c>
      <c r="DB272" s="172">
        <f t="shared" si="655"/>
        <v>278.29631139188916</v>
      </c>
      <c r="DC272" s="379">
        <f t="shared" si="656"/>
        <v>216.94352082445744</v>
      </c>
      <c r="DE272" s="188">
        <f t="shared" si="657"/>
        <v>13.333333333333332</v>
      </c>
      <c r="DF272" s="150">
        <f t="shared" si="658"/>
        <v>2.3432923257176332</v>
      </c>
      <c r="DG272" s="150">
        <f t="shared" si="659"/>
        <v>0.21737653692004619</v>
      </c>
      <c r="DH272" s="150"/>
      <c r="DI272" s="150">
        <f t="shared" si="660"/>
        <v>2.3432923257176337</v>
      </c>
      <c r="DJ272" s="314">
        <f t="shared" si="661"/>
        <v>358.46999999999991</v>
      </c>
      <c r="DK272" s="456">
        <f t="shared" si="662"/>
        <v>0.21737653692004627</v>
      </c>
      <c r="DM272" s="150">
        <f t="shared" si="663"/>
        <v>13.493702234746399</v>
      </c>
      <c r="DN272" s="150">
        <f t="shared" si="664"/>
        <v>17.104071470415935</v>
      </c>
      <c r="DO272" s="150">
        <f t="shared" si="665"/>
        <v>3.9931393608019263</v>
      </c>
      <c r="DQ272" s="314">
        <f t="shared" si="666"/>
        <v>280</v>
      </c>
      <c r="DR272" s="144">
        <f t="shared" si="667"/>
        <v>216.94352082445744</v>
      </c>
      <c r="DT272">
        <f t="shared" si="668"/>
        <v>280</v>
      </c>
      <c r="DU272">
        <f t="shared" si="669"/>
        <v>216.94352082445744</v>
      </c>
      <c r="DW272" s="5">
        <f t="shared" si="670"/>
        <v>4.6094946564878629</v>
      </c>
      <c r="DX272" s="5">
        <f t="shared" si="671"/>
        <v>1.603506700351494</v>
      </c>
      <c r="DY272" s="5">
        <f t="shared" si="672"/>
        <v>3.0059879561363689</v>
      </c>
      <c r="DZ272" s="5"/>
      <c r="EA272" s="150">
        <f t="shared" si="673"/>
        <v>0.34787038923986136</v>
      </c>
      <c r="EB272" s="150">
        <f t="shared" si="699"/>
        <v>47.599999999999987</v>
      </c>
      <c r="EC272" s="150">
        <f t="shared" si="700"/>
        <v>0.2788517867603984</v>
      </c>
      <c r="ED272" s="150">
        <f t="shared" si="701"/>
        <v>170.69999999999993</v>
      </c>
      <c r="EE272" s="144">
        <f t="shared" si="674"/>
        <v>0.26410698594024612</v>
      </c>
      <c r="EF272" s="5">
        <f t="shared" si="675"/>
        <v>14.904690282509495</v>
      </c>
      <c r="EH272" s="150">
        <f t="shared" si="702"/>
        <v>5.8243519024000943</v>
      </c>
      <c r="EI272" s="150">
        <f t="shared" si="703"/>
        <v>0.39872717867413382</v>
      </c>
      <c r="EK272" s="456">
        <f t="shared" si="704"/>
        <v>0.11533845528217142</v>
      </c>
      <c r="EL272" s="456">
        <f t="shared" si="705"/>
        <v>2.7676159999999994</v>
      </c>
      <c r="EM272" s="456">
        <f t="shared" si="706"/>
        <v>4.9680066268800754E-2</v>
      </c>
      <c r="EN272" s="456">
        <f t="shared" si="707"/>
        <v>8.9455980504201671E-2</v>
      </c>
      <c r="EO272">
        <f t="shared" si="708"/>
        <v>7.1999999999999998E-3</v>
      </c>
      <c r="EP272" s="144">
        <f t="shared" si="709"/>
        <v>56.880066268800753</v>
      </c>
      <c r="EQ272" s="144"/>
      <c r="ER272" s="144">
        <f t="shared" si="710"/>
        <v>3029.290502055173</v>
      </c>
      <c r="ES272" s="456">
        <f t="shared" si="711"/>
        <v>0.70000000000000007</v>
      </c>
      <c r="EV272" s="144">
        <f t="shared" si="712"/>
        <v>700.00000000000011</v>
      </c>
      <c r="EW272" s="456">
        <f t="shared" si="713"/>
        <v>5.0884612624487395E-2</v>
      </c>
      <c r="EX272" s="456">
        <f t="shared" si="714"/>
        <v>3.1796672602686926E-2</v>
      </c>
      <c r="EY272" s="456">
        <f t="shared" si="715"/>
        <v>41.935852026837786</v>
      </c>
      <c r="EZ272" s="456"/>
      <c r="FA272" s="456">
        <f t="shared" si="716"/>
        <v>6.3466666666666657E-2</v>
      </c>
      <c r="FB272" s="144">
        <f t="shared" si="717"/>
        <v>42081.999978731626</v>
      </c>
      <c r="FC272" s="150">
        <f t="shared" si="718"/>
        <v>45.811290480786795</v>
      </c>
      <c r="FD272" s="5">
        <f t="shared" si="719"/>
        <v>47.6</v>
      </c>
      <c r="FE272" s="150">
        <f t="shared" si="720"/>
        <v>0.50957437537800165</v>
      </c>
      <c r="FF272" s="5">
        <f t="shared" si="721"/>
        <v>50.957437537800168</v>
      </c>
      <c r="FI272" s="59">
        <f t="shared" si="676"/>
        <v>-50</v>
      </c>
      <c r="FJ272">
        <f t="shared" si="677"/>
        <v>-50</v>
      </c>
      <c r="FL272">
        <f t="shared" si="760"/>
        <v>0.65212961076013864</v>
      </c>
    </row>
    <row r="273" spans="5:168">
      <c r="E273" s="147">
        <v>57</v>
      </c>
      <c r="F273" s="188">
        <f t="shared" si="761"/>
        <v>0.28499999999999998</v>
      </c>
      <c r="G273" s="188"/>
      <c r="H273" s="188">
        <f t="shared" si="726"/>
        <v>48.449999999999996</v>
      </c>
      <c r="I273" s="465">
        <f t="shared" si="727"/>
        <v>15.956459568068542</v>
      </c>
      <c r="J273" s="149">
        <f t="shared" si="728"/>
        <v>8.5394429012174964</v>
      </c>
      <c r="K273" s="149">
        <f t="shared" si="729"/>
        <v>24.495902469286037</v>
      </c>
      <c r="L273" s="379"/>
      <c r="M273" s="188">
        <f t="shared" si="730"/>
        <v>0.34860506232923583</v>
      </c>
      <c r="N273" s="149">
        <f t="shared" si="731"/>
        <v>186.30675315584708</v>
      </c>
      <c r="O273" s="149">
        <f t="shared" si="762"/>
        <v>48.449999999999996</v>
      </c>
      <c r="P273" s="188">
        <f t="shared" si="732"/>
        <v>1.0959220773873357</v>
      </c>
      <c r="Q273" s="188">
        <f t="shared" si="733"/>
        <v>170</v>
      </c>
      <c r="R273" s="188"/>
      <c r="S273" s="149">
        <f t="shared" si="734"/>
        <v>1547.2677017761362</v>
      </c>
      <c r="T273" s="149">
        <f t="shared" si="735"/>
        <v>170</v>
      </c>
      <c r="U273" s="188">
        <f t="shared" si="736"/>
        <v>17.500903585102655</v>
      </c>
      <c r="V273" s="188">
        <f t="shared" si="737"/>
        <v>1.6451867198778352</v>
      </c>
      <c r="W273" s="188">
        <f t="shared" si="738"/>
        <v>3.0741297390619291</v>
      </c>
      <c r="X273" s="172">
        <f t="shared" si="739"/>
        <v>278.12666946636148</v>
      </c>
      <c r="Y273" s="379">
        <f t="shared" si="680"/>
        <v>203.28027447445919</v>
      </c>
      <c r="AA273" s="188">
        <f t="shared" si="740"/>
        <v>13.333333333333334</v>
      </c>
      <c r="AB273" s="150">
        <f t="shared" si="741"/>
        <v>2.3420731576234948</v>
      </c>
      <c r="AC273" s="150">
        <f t="shared" si="742"/>
        <v>0.21713100232546245</v>
      </c>
      <c r="AD273" s="150"/>
      <c r="AE273" s="150">
        <f t="shared" si="743"/>
        <v>2.3420731576234948</v>
      </c>
      <c r="AF273" s="314">
        <f t="shared" si="744"/>
        <v>365.06118402704783</v>
      </c>
      <c r="AG273" s="456">
        <f t="shared" si="745"/>
        <v>0.21713100232546248</v>
      </c>
      <c r="AI273" s="150">
        <f t="shared" si="746"/>
        <v>13.617191450437407</v>
      </c>
      <c r="AJ273" s="150">
        <f t="shared" si="747"/>
        <v>17.500903585102655</v>
      </c>
      <c r="AK273" s="150">
        <f t="shared" si="748"/>
        <v>4.2870890753846824</v>
      </c>
      <c r="AM273" s="314">
        <f t="shared" si="749"/>
        <v>285</v>
      </c>
      <c r="AN273" s="144">
        <f t="shared" si="750"/>
        <v>203.28027447445919</v>
      </c>
      <c r="AP273">
        <f t="shared" si="751"/>
        <v>285</v>
      </c>
      <c r="AQ273">
        <f t="shared" si="752"/>
        <v>203.28027447445919</v>
      </c>
      <c r="AS273" s="5">
        <f t="shared" si="763"/>
        <v>4.9193164589397647</v>
      </c>
      <c r="AT273" s="5">
        <f t="shared" si="753"/>
        <v>1.6451867198778352</v>
      </c>
      <c r="AU273" s="5">
        <f t="shared" si="722"/>
        <v>3.2741297390619293</v>
      </c>
      <c r="AV273" s="5"/>
      <c r="AW273" s="150">
        <f t="shared" si="723"/>
        <v>0.33443400797850154</v>
      </c>
      <c r="AX273" s="150">
        <f t="shared" si="631"/>
        <v>46.695759794807493</v>
      </c>
      <c r="AY273" s="150">
        <f t="shared" si="632"/>
        <v>0.29120015639728619</v>
      </c>
      <c r="AZ273" s="150">
        <f t="shared" si="633"/>
        <v>160.35623185277475</v>
      </c>
      <c r="BA273" s="144">
        <f t="shared" si="724"/>
        <v>0.27581071480304881</v>
      </c>
      <c r="BB273" s="5">
        <f t="shared" si="725"/>
        <v>16.569212944852115</v>
      </c>
      <c r="BD273" s="150">
        <f t="shared" si="681"/>
        <v>5.8432579911105007</v>
      </c>
      <c r="BE273" s="150">
        <f t="shared" si="682"/>
        <v>0.41215959130235463</v>
      </c>
      <c r="BG273" s="456">
        <f t="shared" si="683"/>
        <v>0.11608845743230085</v>
      </c>
      <c r="BH273" s="456">
        <f t="shared" si="754"/>
        <v>2.0871548558855868</v>
      </c>
      <c r="BI273" s="456">
        <f t="shared" si="755"/>
        <v>0.14855841341320133</v>
      </c>
      <c r="BJ273" s="456">
        <f t="shared" si="684"/>
        <v>8.3555049022229003E-2</v>
      </c>
      <c r="BK273">
        <f t="shared" si="685"/>
        <v>7.1804068056308436E-3</v>
      </c>
      <c r="BL273" s="144">
        <f t="shared" si="686"/>
        <v>155.73882021883219</v>
      </c>
      <c r="BM273" s="456">
        <f t="shared" si="756"/>
        <v>2.3838963469097183</v>
      </c>
      <c r="BN273" s="144">
        <f t="shared" si="687"/>
        <v>2383.8963469097184</v>
      </c>
      <c r="BO273" s="456">
        <f t="shared" si="637"/>
        <v>0.71249999999999991</v>
      </c>
      <c r="BR273" s="144">
        <f t="shared" si="688"/>
        <v>712.49999999999989</v>
      </c>
      <c r="BS273" s="456">
        <f t="shared" si="689"/>
        <v>5.1215495926015091E-2</v>
      </c>
      <c r="BT273" s="456">
        <f t="shared" si="690"/>
        <v>3.3975105740504802E-2</v>
      </c>
      <c r="BU273" s="456">
        <f t="shared" si="691"/>
        <v>37.744987074844929</v>
      </c>
      <c r="BV273" s="456"/>
      <c r="BW273" s="456">
        <f t="shared" si="692"/>
        <v>6.2261013059743332E-2</v>
      </c>
      <c r="BX273" s="144">
        <f t="shared" si="693"/>
        <v>37892.438689571194</v>
      </c>
      <c r="BY273" s="150">
        <f t="shared" si="694"/>
        <v>41.047475872130143</v>
      </c>
      <c r="BZ273" s="5">
        <f t="shared" si="695"/>
        <v>48.449999999999996</v>
      </c>
      <c r="CA273" s="150">
        <f t="shared" si="696"/>
        <v>0.5413560497418175</v>
      </c>
      <c r="CB273" s="5">
        <f t="shared" si="697"/>
        <v>54.135604974181753</v>
      </c>
      <c r="CE273" s="59">
        <f t="shared" si="757"/>
        <v>-50</v>
      </c>
      <c r="CF273">
        <f t="shared" si="758"/>
        <v>-50</v>
      </c>
      <c r="CG273" s="150">
        <f t="shared" si="759"/>
        <v>0.64147273605297206</v>
      </c>
      <c r="CI273" s="147">
        <v>57</v>
      </c>
      <c r="CJ273" s="188">
        <f t="shared" si="698"/>
        <v>0.28499999999999998</v>
      </c>
      <c r="CK273" s="188"/>
      <c r="CL273" s="188">
        <f t="shared" si="641"/>
        <v>48.449999999999996</v>
      </c>
      <c r="CM273" s="465">
        <f t="shared" si="642"/>
        <v>16</v>
      </c>
      <c r="CN273" s="379">
        <f t="shared" si="643"/>
        <v>8.5350000000000001</v>
      </c>
      <c r="CO273" s="379">
        <f t="shared" si="644"/>
        <v>24.535</v>
      </c>
      <c r="CP273" s="379"/>
      <c r="CQ273" s="188">
        <f t="shared" si="645"/>
        <v>0.34787038923986141</v>
      </c>
      <c r="CR273" s="149">
        <f t="shared" si="646"/>
        <v>186.42142245771345</v>
      </c>
      <c r="CS273" s="149">
        <f t="shared" si="647"/>
        <v>48.449999999999996</v>
      </c>
      <c r="CT273" s="188">
        <f t="shared" si="648"/>
        <v>1.0965966026924321</v>
      </c>
      <c r="CU273" s="188">
        <f t="shared" si="649"/>
        <v>170</v>
      </c>
      <c r="CV273" s="188"/>
      <c r="CW273" s="149">
        <f t="shared" si="650"/>
        <v>1551.489341530804</v>
      </c>
      <c r="CX273" s="149">
        <f t="shared" si="651"/>
        <v>170</v>
      </c>
      <c r="CY273" s="188">
        <f t="shared" si="652"/>
        <v>17.409501318101931</v>
      </c>
      <c r="CZ273" s="188">
        <f t="shared" si="653"/>
        <v>1.632140748572056</v>
      </c>
      <c r="DA273" s="188">
        <f t="shared" si="654"/>
        <v>3.0596663124959456</v>
      </c>
      <c r="DB273" s="172">
        <f t="shared" si="655"/>
        <v>278.29631139188916</v>
      </c>
      <c r="DC273" s="379">
        <f t="shared" si="656"/>
        <v>213.13749414332673</v>
      </c>
      <c r="DE273" s="188">
        <f t="shared" si="657"/>
        <v>13.333333333333332</v>
      </c>
      <c r="DF273" s="150">
        <f t="shared" si="658"/>
        <v>2.3432923257176332</v>
      </c>
      <c r="DG273" s="150">
        <f t="shared" si="659"/>
        <v>0.21737653692004619</v>
      </c>
      <c r="DH273" s="150"/>
      <c r="DI273" s="150">
        <f t="shared" si="660"/>
        <v>2.3432923257176337</v>
      </c>
      <c r="DJ273" s="314">
        <f t="shared" si="661"/>
        <v>364.87124999999986</v>
      </c>
      <c r="DK273" s="456">
        <f t="shared" si="662"/>
        <v>0.21737653692004627</v>
      </c>
      <c r="DM273" s="150">
        <f t="shared" si="663"/>
        <v>13.613648613484504</v>
      </c>
      <c r="DN273" s="150">
        <f t="shared" si="664"/>
        <v>17.409501318101931</v>
      </c>
      <c r="DO273" s="150">
        <f t="shared" si="665"/>
        <v>4.2193836924211832</v>
      </c>
      <c r="DQ273" s="314">
        <f t="shared" si="666"/>
        <v>285</v>
      </c>
      <c r="DR273" s="144">
        <f t="shared" si="667"/>
        <v>213.13749414332673</v>
      </c>
      <c r="DT273">
        <f t="shared" si="668"/>
        <v>285</v>
      </c>
      <c r="DU273">
        <f t="shared" si="669"/>
        <v>213.13749414332673</v>
      </c>
      <c r="DW273" s="5">
        <f t="shared" si="670"/>
        <v>4.6918070610680003</v>
      </c>
      <c r="DX273" s="5">
        <f t="shared" si="671"/>
        <v>1.632140748572056</v>
      </c>
      <c r="DY273" s="5">
        <f t="shared" si="672"/>
        <v>3.0596663124959442</v>
      </c>
      <c r="DZ273" s="5"/>
      <c r="EA273" s="150">
        <f t="shared" si="673"/>
        <v>0.34787038923986152</v>
      </c>
      <c r="EB273" s="150">
        <f t="shared" si="699"/>
        <v>48.450000000000017</v>
      </c>
      <c r="EC273" s="150">
        <f t="shared" si="700"/>
        <v>0.28383128295254823</v>
      </c>
      <c r="ED273" s="150">
        <f t="shared" si="701"/>
        <v>170.70000000000013</v>
      </c>
      <c r="EE273" s="144">
        <f t="shared" si="674"/>
        <v>0.27362359608413878</v>
      </c>
      <c r="EF273" s="5">
        <f t="shared" si="675"/>
        <v>15.441753420877964</v>
      </c>
      <c r="EH273" s="150">
        <f t="shared" si="702"/>
        <v>5.9283581863715247</v>
      </c>
      <c r="EI273" s="150">
        <f t="shared" si="703"/>
        <v>0.40584730686474318</v>
      </c>
      <c r="EK273" s="456">
        <f t="shared" si="704"/>
        <v>0.11949446467212212</v>
      </c>
      <c r="EL273" s="456">
        <f t="shared" si="705"/>
        <v>2.7676160000000012</v>
      </c>
      <c r="EM273" s="456">
        <f t="shared" si="706"/>
        <v>4.8808486158821822E-2</v>
      </c>
      <c r="EN273" s="456">
        <f t="shared" si="707"/>
        <v>8.788657733746133E-2</v>
      </c>
      <c r="EO273">
        <f t="shared" si="708"/>
        <v>7.1999999999999998E-3</v>
      </c>
      <c r="EP273" s="144">
        <f t="shared" si="709"/>
        <v>56.008486158821817</v>
      </c>
      <c r="EQ273" s="144"/>
      <c r="ER273" s="144">
        <f t="shared" si="710"/>
        <v>3031.0055281684067</v>
      </c>
      <c r="ES273" s="456">
        <f t="shared" si="711"/>
        <v>0.71249999999999991</v>
      </c>
      <c r="EV273" s="144">
        <f t="shared" si="712"/>
        <v>712.49999999999989</v>
      </c>
      <c r="EW273" s="456">
        <f t="shared" si="713"/>
        <v>5.2718146178877406E-2</v>
      </c>
      <c r="EX273" s="456">
        <f t="shared" si="714"/>
        <v>3.2942407297873004E-2</v>
      </c>
      <c r="EY273" s="456">
        <f t="shared" si="715"/>
        <v>41.935852026837857</v>
      </c>
      <c r="EZ273" s="456"/>
      <c r="FA273" s="456">
        <f t="shared" si="716"/>
        <v>6.4600000000000019E-2</v>
      </c>
      <c r="FB273" s="144">
        <f t="shared" si="717"/>
        <v>42086.112580314606</v>
      </c>
      <c r="FC273" s="150">
        <f t="shared" si="718"/>
        <v>45.829618108483011</v>
      </c>
      <c r="FD273" s="5">
        <f t="shared" si="719"/>
        <v>48.449999999999996</v>
      </c>
      <c r="FE273" s="150">
        <f t="shared" si="720"/>
        <v>0.51389686309771554</v>
      </c>
      <c r="FF273" s="5">
        <f t="shared" si="721"/>
        <v>51.389686309771555</v>
      </c>
      <c r="FI273" s="59">
        <f t="shared" si="676"/>
        <v>-50</v>
      </c>
      <c r="FJ273">
        <f t="shared" si="677"/>
        <v>-50</v>
      </c>
      <c r="FL273">
        <f t="shared" si="760"/>
        <v>0.65212961076013842</v>
      </c>
    </row>
    <row r="274" spans="5:168">
      <c r="E274" s="147">
        <v>58</v>
      </c>
      <c r="F274" s="188">
        <f t="shared" si="761"/>
        <v>0.28999999999999998</v>
      </c>
      <c r="G274" s="188"/>
      <c r="H274" s="188">
        <f t="shared" si="726"/>
        <v>49.3</v>
      </c>
      <c r="I274" s="465">
        <f t="shared" si="727"/>
        <v>15.95570838743901</v>
      </c>
      <c r="J274" s="149">
        <f t="shared" si="728"/>
        <v>8.5395195523021421</v>
      </c>
      <c r="K274" s="149">
        <f t="shared" si="729"/>
        <v>24.495227939741152</v>
      </c>
      <c r="L274" s="379"/>
      <c r="M274" s="188">
        <f t="shared" si="730"/>
        <v>0.34861779174600743</v>
      </c>
      <c r="N274" s="149">
        <f t="shared" si="731"/>
        <v>186.3047851375448</v>
      </c>
      <c r="O274" s="149">
        <f t="shared" si="762"/>
        <v>49.3</v>
      </c>
      <c r="P274" s="188">
        <f t="shared" si="732"/>
        <v>1.095910500809087</v>
      </c>
      <c r="Q274" s="188">
        <f t="shared" si="733"/>
        <v>170</v>
      </c>
      <c r="R274" s="188"/>
      <c r="S274" s="149">
        <f t="shared" si="734"/>
        <v>1515.0226772617143</v>
      </c>
      <c r="T274" s="149">
        <f t="shared" si="735"/>
        <v>170</v>
      </c>
      <c r="U274" s="188">
        <f t="shared" si="736"/>
        <v>17.808284986925571</v>
      </c>
      <c r="V274" s="188">
        <f t="shared" si="737"/>
        <v>1.6741611736535296</v>
      </c>
      <c r="W274" s="188">
        <f t="shared" si="738"/>
        <v>3.1280948906764947</v>
      </c>
      <c r="X274" s="172">
        <f t="shared" si="739"/>
        <v>278.12373103968457</v>
      </c>
      <c r="Y274" s="379">
        <f t="shared" si="680"/>
        <v>199.90979812704464</v>
      </c>
      <c r="AA274" s="188">
        <f t="shared" si="740"/>
        <v>13.333333333333334</v>
      </c>
      <c r="AB274" s="150">
        <f t="shared" si="741"/>
        <v>2.342052135076881</v>
      </c>
      <c r="AC274" s="150">
        <f t="shared" si="742"/>
        <v>0.21712675936568052</v>
      </c>
      <c r="AD274" s="150"/>
      <c r="AE274" s="150">
        <f t="shared" si="743"/>
        <v>2.342052135076881</v>
      </c>
      <c r="AF274" s="314">
        <f t="shared" si="744"/>
        <v>371.46910052514301</v>
      </c>
      <c r="AG274" s="456">
        <f t="shared" si="745"/>
        <v>0.21712675936568052</v>
      </c>
      <c r="AI274" s="150">
        <f t="shared" si="746"/>
        <v>13.736182793158251</v>
      </c>
      <c r="AJ274" s="150">
        <f t="shared" si="747"/>
        <v>17.808284986925571</v>
      </c>
      <c r="AK274" s="150">
        <f t="shared" si="748"/>
        <v>4.5147790026609167</v>
      </c>
      <c r="AM274" s="314">
        <f t="shared" si="749"/>
        <v>290</v>
      </c>
      <c r="AN274" s="144">
        <f t="shared" si="750"/>
        <v>199.90979812704464</v>
      </c>
      <c r="AP274">
        <f t="shared" si="751"/>
        <v>290</v>
      </c>
      <c r="AQ274">
        <f t="shared" si="752"/>
        <v>199.90979812704464</v>
      </c>
      <c r="AS274" s="5">
        <f t="shared" si="763"/>
        <v>5.002256064330024</v>
      </c>
      <c r="AT274" s="5">
        <f t="shared" si="753"/>
        <v>1.6741611736535296</v>
      </c>
      <c r="AU274" s="5">
        <f t="shared" si="722"/>
        <v>3.3280948906764944</v>
      </c>
      <c r="AV274" s="5"/>
      <c r="AW274" s="150">
        <f t="shared" si="723"/>
        <v>0.33468122225721325</v>
      </c>
      <c r="AX274" s="150">
        <f t="shared" si="631"/>
        <v>47.548797497140036</v>
      </c>
      <c r="AY274" s="150">
        <f t="shared" si="632"/>
        <v>0.29620466002991347</v>
      </c>
      <c r="AZ274" s="150">
        <f t="shared" si="633"/>
        <v>160.52683807316913</v>
      </c>
      <c r="BA274" s="144">
        <f t="shared" si="724"/>
        <v>0.2855922002114844</v>
      </c>
      <c r="BB274" s="5">
        <f t="shared" si="725"/>
        <v>17.138597477284659</v>
      </c>
      <c r="BD274" s="150">
        <f t="shared" si="681"/>
        <v>5.9480846823391991</v>
      </c>
      <c r="BE274" s="150">
        <f t="shared" si="682"/>
        <v>0.41932076028851312</v>
      </c>
      <c r="BG274" s="456">
        <f t="shared" si="683"/>
        <v>0.1202910187201459</v>
      </c>
      <c r="BH274" s="456">
        <f t="shared" si="754"/>
        <v>2.0885418429085219</v>
      </c>
      <c r="BI274" s="456">
        <f t="shared" si="755"/>
        <v>0.1460883718759772</v>
      </c>
      <c r="BJ274" s="456">
        <f t="shared" si="684"/>
        <v>8.216514430907354E-2</v>
      </c>
      <c r="BK274">
        <f t="shared" si="685"/>
        <v>7.1800687743475543E-3</v>
      </c>
      <c r="BL274" s="144">
        <f t="shared" si="686"/>
        <v>153.26844065032475</v>
      </c>
      <c r="BM274" s="456">
        <f t="shared" si="756"/>
        <v>2.3918380537287423</v>
      </c>
      <c r="BN274" s="144">
        <f t="shared" si="687"/>
        <v>2391.8380537287421</v>
      </c>
      <c r="BO274" s="456">
        <f t="shared" si="637"/>
        <v>0.72499999999999998</v>
      </c>
      <c r="BR274" s="144">
        <f t="shared" si="688"/>
        <v>725</v>
      </c>
      <c r="BS274" s="456">
        <f t="shared" si="689"/>
        <v>5.3069567082417314E-2</v>
      </c>
      <c r="BT274" s="456">
        <f t="shared" si="690"/>
        <v>3.5165980001787334E-2</v>
      </c>
      <c r="BU274" s="456">
        <f t="shared" si="691"/>
        <v>37.810328323953563</v>
      </c>
      <c r="BV274" s="456"/>
      <c r="BW274" s="456">
        <f t="shared" si="692"/>
        <v>6.3398396662853379E-2</v>
      </c>
      <c r="BX274" s="144">
        <f t="shared" si="693"/>
        <v>37961.962267700619</v>
      </c>
      <c r="BY274" s="150">
        <f t="shared" si="694"/>
        <v>41.131228714288689</v>
      </c>
      <c r="BZ274" s="5">
        <f t="shared" si="695"/>
        <v>49.3</v>
      </c>
      <c r="CA274" s="150">
        <f t="shared" si="696"/>
        <v>0.54516565461871569</v>
      </c>
      <c r="CB274" s="5">
        <f t="shared" si="697"/>
        <v>54.516565461871572</v>
      </c>
      <c r="CE274" s="59">
        <f t="shared" si="757"/>
        <v>-50</v>
      </c>
      <c r="CF274">
        <f t="shared" si="758"/>
        <v>-50</v>
      </c>
      <c r="CG274" s="150">
        <f t="shared" si="759"/>
        <v>0.64165647527206138</v>
      </c>
      <c r="CI274" s="147">
        <v>58</v>
      </c>
      <c r="CJ274" s="188">
        <f t="shared" si="698"/>
        <v>0.28999999999999998</v>
      </c>
      <c r="CK274" s="188"/>
      <c r="CL274" s="188">
        <f t="shared" si="641"/>
        <v>49.3</v>
      </c>
      <c r="CM274" s="465">
        <f t="shared" si="642"/>
        <v>16</v>
      </c>
      <c r="CN274" s="379">
        <f t="shared" si="643"/>
        <v>8.5350000000000001</v>
      </c>
      <c r="CO274" s="379">
        <f t="shared" si="644"/>
        <v>24.535</v>
      </c>
      <c r="CP274" s="379"/>
      <c r="CQ274" s="188">
        <f t="shared" si="645"/>
        <v>0.34787038923986141</v>
      </c>
      <c r="CR274" s="149">
        <f t="shared" si="646"/>
        <v>186.42142245771345</v>
      </c>
      <c r="CS274" s="149">
        <f t="shared" si="647"/>
        <v>49.3</v>
      </c>
      <c r="CT274" s="188">
        <f t="shared" si="648"/>
        <v>1.0965966026924321</v>
      </c>
      <c r="CU274" s="188">
        <f t="shared" si="649"/>
        <v>170</v>
      </c>
      <c r="CV274" s="188"/>
      <c r="CW274" s="149">
        <f t="shared" si="650"/>
        <v>1519.2278351880886</v>
      </c>
      <c r="CX274" s="149">
        <f t="shared" si="651"/>
        <v>170</v>
      </c>
      <c r="CY274" s="188">
        <f t="shared" si="652"/>
        <v>17.714931165787931</v>
      </c>
      <c r="CZ274" s="188">
        <f t="shared" si="653"/>
        <v>1.6607747967926185</v>
      </c>
      <c r="DA274" s="188">
        <f t="shared" si="654"/>
        <v>3.113344668855524</v>
      </c>
      <c r="DB274" s="172">
        <f t="shared" si="655"/>
        <v>278.29631139188916</v>
      </c>
      <c r="DC274" s="379">
        <f t="shared" si="656"/>
        <v>209.46270976154517</v>
      </c>
      <c r="DE274" s="188">
        <f t="shared" si="657"/>
        <v>13.333333333333332</v>
      </c>
      <c r="DF274" s="150">
        <f t="shared" si="658"/>
        <v>2.3432923257176332</v>
      </c>
      <c r="DG274" s="150">
        <f t="shared" si="659"/>
        <v>0.21737653692004619</v>
      </c>
      <c r="DH274" s="150"/>
      <c r="DI274" s="150">
        <f t="shared" si="660"/>
        <v>2.3432923257176337</v>
      </c>
      <c r="DJ274" s="314">
        <f t="shared" si="661"/>
        <v>371.27249999999987</v>
      </c>
      <c r="DK274" s="456">
        <f t="shared" si="662"/>
        <v>0.21737653692004627</v>
      </c>
      <c r="DM274" s="150">
        <f t="shared" si="663"/>
        <v>13.732547365396455</v>
      </c>
      <c r="DN274" s="150">
        <f t="shared" si="664"/>
        <v>17.714931165787931</v>
      </c>
      <c r="DO274" s="150">
        <f t="shared" si="665"/>
        <v>4.4456280240404418</v>
      </c>
      <c r="DQ274" s="314">
        <f t="shared" si="666"/>
        <v>290</v>
      </c>
      <c r="DR274" s="144">
        <f t="shared" si="667"/>
        <v>209.46270976154517</v>
      </c>
      <c r="DT274">
        <f t="shared" si="668"/>
        <v>290</v>
      </c>
      <c r="DU274">
        <f t="shared" si="669"/>
        <v>209.46270976154517</v>
      </c>
      <c r="DW274" s="5">
        <f t="shared" si="670"/>
        <v>4.7741194656481429</v>
      </c>
      <c r="DX274" s="5">
        <f t="shared" si="671"/>
        <v>1.6607747967926185</v>
      </c>
      <c r="DY274" s="5">
        <f t="shared" si="672"/>
        <v>3.1133446688555244</v>
      </c>
      <c r="DZ274" s="5"/>
      <c r="EA274" s="150">
        <f t="shared" si="673"/>
        <v>0.34787038923986141</v>
      </c>
      <c r="EB274" s="150">
        <f t="shared" si="699"/>
        <v>49.3</v>
      </c>
      <c r="EC274" s="150">
        <f t="shared" si="700"/>
        <v>0.28881077914469833</v>
      </c>
      <c r="ED274" s="150">
        <f t="shared" si="701"/>
        <v>170.7</v>
      </c>
      <c r="EE274" s="144">
        <f t="shared" si="674"/>
        <v>0.28330864180579962</v>
      </c>
      <c r="EF274" s="5">
        <f t="shared" si="675"/>
        <v>15.988322101518472</v>
      </c>
      <c r="EH274" s="150">
        <f t="shared" si="702"/>
        <v>6.0323644703429542</v>
      </c>
      <c r="EI274" s="150">
        <f t="shared" si="703"/>
        <v>0.41296743505535288</v>
      </c>
      <c r="EK274" s="456">
        <f t="shared" si="704"/>
        <v>0.1237240317503905</v>
      </c>
      <c r="EL274" s="456">
        <f t="shared" si="705"/>
        <v>2.7676160000000003</v>
      </c>
      <c r="EM274" s="456">
        <f t="shared" si="706"/>
        <v>4.7966960535393843E-2</v>
      </c>
      <c r="EN274" s="456">
        <f t="shared" si="707"/>
        <v>8.6371291521298174E-2</v>
      </c>
      <c r="EO274">
        <f t="shared" si="708"/>
        <v>7.1999999999999998E-3</v>
      </c>
      <c r="EP274" s="144">
        <f t="shared" si="709"/>
        <v>55.166960535393841</v>
      </c>
      <c r="EQ274" s="144"/>
      <c r="ER274" s="144">
        <f t="shared" si="710"/>
        <v>3032.8782838070824</v>
      </c>
      <c r="ES274" s="456">
        <f t="shared" si="711"/>
        <v>0.72499999999999998</v>
      </c>
      <c r="EV274" s="144">
        <f t="shared" si="712"/>
        <v>725</v>
      </c>
      <c r="EW274" s="456">
        <f t="shared" si="713"/>
        <v>5.4584131654584048E-2</v>
      </c>
      <c r="EX274" s="456">
        <f t="shared" si="714"/>
        <v>3.4108420483239421E-2</v>
      </c>
      <c r="EY274" s="456">
        <f t="shared" si="715"/>
        <v>41.935852026837821</v>
      </c>
      <c r="EZ274" s="456"/>
      <c r="FA274" s="456">
        <f t="shared" si="716"/>
        <v>6.5733333333333324E-2</v>
      </c>
      <c r="FB274" s="144">
        <f t="shared" si="717"/>
        <v>42090.277912308979</v>
      </c>
      <c r="FC274" s="150">
        <f t="shared" si="718"/>
        <v>45.848156196116058</v>
      </c>
      <c r="FD274" s="5">
        <f t="shared" si="719"/>
        <v>49.3</v>
      </c>
      <c r="FE274" s="150">
        <f t="shared" si="720"/>
        <v>0.51813931000811575</v>
      </c>
      <c r="FF274" s="5">
        <f t="shared" si="721"/>
        <v>51.813931000811579</v>
      </c>
      <c r="FI274" s="59">
        <f t="shared" si="676"/>
        <v>-50</v>
      </c>
      <c r="FJ274">
        <f t="shared" si="677"/>
        <v>-50</v>
      </c>
      <c r="FL274">
        <f t="shared" si="760"/>
        <v>0.65212961076013864</v>
      </c>
    </row>
    <row r="275" spans="5:168">
      <c r="E275" s="147">
        <v>59</v>
      </c>
      <c r="F275" s="188">
        <f t="shared" si="761"/>
        <v>0.29499999999999998</v>
      </c>
      <c r="G275" s="188"/>
      <c r="H275" s="188">
        <f t="shared" si="726"/>
        <v>50.15</v>
      </c>
      <c r="I275" s="465">
        <f t="shared" si="727"/>
        <v>15.954957199792064</v>
      </c>
      <c r="J275" s="149">
        <f t="shared" si="728"/>
        <v>8.5395962041028497</v>
      </c>
      <c r="K275" s="149">
        <f t="shared" si="729"/>
        <v>24.494553403894912</v>
      </c>
      <c r="L275" s="379"/>
      <c r="M275" s="188">
        <f t="shared" si="730"/>
        <v>0.34863052196372246</v>
      </c>
      <c r="N275" s="149">
        <f t="shared" si="731"/>
        <v>186.30281682478088</v>
      </c>
      <c r="O275" s="149">
        <f t="shared" si="762"/>
        <v>50.15</v>
      </c>
      <c r="P275" s="188">
        <f t="shared" si="732"/>
        <v>1.095898922498711</v>
      </c>
      <c r="Q275" s="188">
        <f t="shared" si="733"/>
        <v>170</v>
      </c>
      <c r="R275" s="188"/>
      <c r="S275" s="149">
        <f t="shared" si="734"/>
        <v>1483.8713391164654</v>
      </c>
      <c r="T275" s="149">
        <f t="shared" si="735"/>
        <v>170</v>
      </c>
      <c r="U275" s="188">
        <f t="shared" si="736"/>
        <v>18.115678425053261</v>
      </c>
      <c r="V275" s="188">
        <f t="shared" si="737"/>
        <v>1.7031394880792308</v>
      </c>
      <c r="W275" s="188">
        <f t="shared" si="738"/>
        <v>3.1820611874510383</v>
      </c>
      <c r="X275" s="172">
        <f t="shared" si="739"/>
        <v>278.12079218864756</v>
      </c>
      <c r="Y275" s="379">
        <f t="shared" si="680"/>
        <v>196.64907322378639</v>
      </c>
      <c r="AA275" s="188">
        <f t="shared" si="740"/>
        <v>13.333333333333334</v>
      </c>
      <c r="AB275" s="150">
        <f t="shared" si="741"/>
        <v>2.3420311127112776</v>
      </c>
      <c r="AC275" s="150">
        <f t="shared" si="742"/>
        <v>0.21712251613257341</v>
      </c>
      <c r="AD275" s="150"/>
      <c r="AE275" s="150">
        <f t="shared" si="743"/>
        <v>2.3420311127112776</v>
      </c>
      <c r="AF275" s="314">
        <f t="shared" si="744"/>
        <v>377.87713203155101</v>
      </c>
      <c r="AG275" s="456">
        <f t="shared" si="745"/>
        <v>0.21712251613257347</v>
      </c>
      <c r="AI275" s="150">
        <f t="shared" si="746"/>
        <v>13.854154282133889</v>
      </c>
      <c r="AJ275" s="150">
        <f t="shared" si="747"/>
        <v>18.115678425053261</v>
      </c>
      <c r="AK275" s="150">
        <f t="shared" si="748"/>
        <v>4.7424778457184642</v>
      </c>
      <c r="AM275" s="314">
        <f t="shared" si="749"/>
        <v>295</v>
      </c>
      <c r="AN275" s="144">
        <f t="shared" si="750"/>
        <v>196.64907322378639</v>
      </c>
      <c r="AP275">
        <f t="shared" si="751"/>
        <v>295</v>
      </c>
      <c r="AQ275">
        <f t="shared" si="752"/>
        <v>196.64907322378639</v>
      </c>
      <c r="AS275" s="5">
        <f t="shared" si="763"/>
        <v>5.0852006755302694</v>
      </c>
      <c r="AT275" s="5">
        <f t="shared" si="753"/>
        <v>1.7031394880792308</v>
      </c>
      <c r="AU275" s="5">
        <f t="shared" si="722"/>
        <v>3.3820611874510389</v>
      </c>
      <c r="AV275" s="5"/>
      <c r="AW275" s="150">
        <f t="shared" si="723"/>
        <v>0.33492080190161472</v>
      </c>
      <c r="AX275" s="150">
        <f t="shared" si="631"/>
        <v>48.401895874893683</v>
      </c>
      <c r="AY275" s="150">
        <f t="shared" si="632"/>
        <v>0.30120902199856603</v>
      </c>
      <c r="AZ275" s="150">
        <f t="shared" si="633"/>
        <v>160.69205216278053</v>
      </c>
      <c r="BA275" s="144">
        <f t="shared" si="724"/>
        <v>0.2955447935196312</v>
      </c>
      <c r="BB275" s="5">
        <f t="shared" si="725"/>
        <v>17.717624939046114</v>
      </c>
      <c r="BD275" s="150">
        <f t="shared" si="681"/>
        <v>6.0529214310090946</v>
      </c>
      <c r="BE275" s="150">
        <f t="shared" si="682"/>
        <v>0.4264819566816716</v>
      </c>
      <c r="BG275" s="456">
        <f t="shared" si="683"/>
        <v>0.12456871668989523</v>
      </c>
      <c r="BH275" s="456">
        <f t="shared" si="754"/>
        <v>2.0898809641148297</v>
      </c>
      <c r="BI275" s="456">
        <f t="shared" si="755"/>
        <v>0.14369876163722436</v>
      </c>
      <c r="BJ275" s="456">
        <f t="shared" si="684"/>
        <v>8.0820498844852651E-2</v>
      </c>
      <c r="BK275">
        <f t="shared" si="685"/>
        <v>7.1797307399064283E-3</v>
      </c>
      <c r="BL275" s="144">
        <f t="shared" si="686"/>
        <v>150.87849237713081</v>
      </c>
      <c r="BM275" s="456">
        <f t="shared" si="756"/>
        <v>2.3999359009888774</v>
      </c>
      <c r="BN275" s="144">
        <f t="shared" si="687"/>
        <v>2399.9359009888776</v>
      </c>
      <c r="BO275" s="456">
        <f t="shared" si="637"/>
        <v>0.73749999999999993</v>
      </c>
      <c r="BR275" s="144">
        <f t="shared" si="688"/>
        <v>737.49999999999989</v>
      </c>
      <c r="BS275" s="456">
        <f t="shared" si="689"/>
        <v>5.4956786774953782E-2</v>
      </c>
      <c r="BT275" s="456">
        <f t="shared" si="690"/>
        <v>3.6377371875005442E-2</v>
      </c>
      <c r="BU275" s="456">
        <f t="shared" si="691"/>
        <v>37.873572382084447</v>
      </c>
      <c r="BV275" s="456"/>
      <c r="BW275" s="456">
        <f t="shared" si="692"/>
        <v>6.4535861166524919E-2</v>
      </c>
      <c r="BX275" s="144">
        <f t="shared" si="693"/>
        <v>38029.442401900931</v>
      </c>
      <c r="BY275" s="150">
        <f t="shared" si="694"/>
        <v>41.213091073927643</v>
      </c>
      <c r="BZ275" s="5">
        <f t="shared" si="695"/>
        <v>50.15</v>
      </c>
      <c r="CA275" s="150">
        <f t="shared" si="696"/>
        <v>0.54890874871364048</v>
      </c>
      <c r="CB275" s="5">
        <f t="shared" si="697"/>
        <v>54.890874871364048</v>
      </c>
      <c r="CE275" s="59">
        <f t="shared" si="757"/>
        <v>-50</v>
      </c>
      <c r="CF275">
        <f t="shared" si="758"/>
        <v>-50</v>
      </c>
      <c r="CG275" s="150">
        <f t="shared" si="759"/>
        <v>0.64183398604304576</v>
      </c>
      <c r="CI275" s="147">
        <v>59</v>
      </c>
      <c r="CJ275" s="188">
        <f t="shared" si="698"/>
        <v>0.29499999999999998</v>
      </c>
      <c r="CK275" s="188"/>
      <c r="CL275" s="188">
        <f t="shared" si="641"/>
        <v>50.15</v>
      </c>
      <c r="CM275" s="465">
        <f t="shared" si="642"/>
        <v>16</v>
      </c>
      <c r="CN275" s="379">
        <f t="shared" si="643"/>
        <v>8.5350000000000001</v>
      </c>
      <c r="CO275" s="379">
        <f t="shared" si="644"/>
        <v>24.535</v>
      </c>
      <c r="CP275" s="379"/>
      <c r="CQ275" s="188">
        <f t="shared" si="645"/>
        <v>0.34787038923986141</v>
      </c>
      <c r="CR275" s="149">
        <f t="shared" si="646"/>
        <v>186.42142245771345</v>
      </c>
      <c r="CS275" s="149">
        <f t="shared" si="647"/>
        <v>50.15</v>
      </c>
      <c r="CT275" s="188">
        <f t="shared" si="648"/>
        <v>1.0965966026924321</v>
      </c>
      <c r="CU275" s="188">
        <f t="shared" si="649"/>
        <v>170</v>
      </c>
      <c r="CV275" s="188"/>
      <c r="CW275" s="149">
        <f t="shared" si="650"/>
        <v>1488.0600652993326</v>
      </c>
      <c r="CX275" s="149">
        <f t="shared" si="651"/>
        <v>170</v>
      </c>
      <c r="CY275" s="188">
        <f t="shared" si="652"/>
        <v>18.020361013473931</v>
      </c>
      <c r="CZ275" s="188">
        <f t="shared" si="653"/>
        <v>1.689408845013181</v>
      </c>
      <c r="DA275" s="188">
        <f t="shared" si="654"/>
        <v>3.1670230252151019</v>
      </c>
      <c r="DB275" s="172">
        <f t="shared" si="655"/>
        <v>278.29631139188916</v>
      </c>
      <c r="DC275" s="379">
        <f t="shared" si="656"/>
        <v>205.91249434185795</v>
      </c>
      <c r="DE275" s="188">
        <f t="shared" si="657"/>
        <v>13.333333333333332</v>
      </c>
      <c r="DF275" s="150">
        <f t="shared" si="658"/>
        <v>2.3432923257176332</v>
      </c>
      <c r="DG275" s="150">
        <f t="shared" si="659"/>
        <v>0.21737653692004619</v>
      </c>
      <c r="DH275" s="150"/>
      <c r="DI275" s="150">
        <f t="shared" si="660"/>
        <v>2.3432923257176337</v>
      </c>
      <c r="DJ275" s="314">
        <f t="shared" si="661"/>
        <v>377.67374999999987</v>
      </c>
      <c r="DK275" s="456">
        <f t="shared" si="662"/>
        <v>0.21737653692004627</v>
      </c>
      <c r="DM275" s="150">
        <f t="shared" si="663"/>
        <v>13.85042547051482</v>
      </c>
      <c r="DN275" s="150">
        <f t="shared" si="664"/>
        <v>18.020361013473931</v>
      </c>
      <c r="DO275" s="150">
        <f t="shared" si="665"/>
        <v>4.6718723556597013</v>
      </c>
      <c r="DQ275" s="314">
        <f t="shared" si="666"/>
        <v>295</v>
      </c>
      <c r="DR275" s="144">
        <f t="shared" si="667"/>
        <v>205.91249434185795</v>
      </c>
      <c r="DT275">
        <f t="shared" si="668"/>
        <v>295</v>
      </c>
      <c r="DU275">
        <f t="shared" si="669"/>
        <v>205.91249434185795</v>
      </c>
      <c r="DW275" s="5">
        <f t="shared" si="670"/>
        <v>4.8564318702282829</v>
      </c>
      <c r="DX275" s="5">
        <f t="shared" si="671"/>
        <v>1.689408845013181</v>
      </c>
      <c r="DY275" s="5">
        <f t="shared" si="672"/>
        <v>3.1670230252151019</v>
      </c>
      <c r="DZ275" s="5"/>
      <c r="EA275" s="150">
        <f t="shared" si="673"/>
        <v>0.34787038923986141</v>
      </c>
      <c r="EB275" s="150">
        <f t="shared" si="699"/>
        <v>50.15</v>
      </c>
      <c r="EC275" s="150">
        <f t="shared" si="700"/>
        <v>0.29379027533684832</v>
      </c>
      <c r="ED275" s="150">
        <f t="shared" si="701"/>
        <v>170.69999999999996</v>
      </c>
      <c r="EE275" s="144">
        <f t="shared" si="674"/>
        <v>0.29316212310522843</v>
      </c>
      <c r="EF275" s="5">
        <f t="shared" si="675"/>
        <v>16.544396324430974</v>
      </c>
      <c r="EH275" s="150">
        <f t="shared" si="702"/>
        <v>6.1363707543143855</v>
      </c>
      <c r="EI275" s="150">
        <f t="shared" si="703"/>
        <v>0.42008756324596241</v>
      </c>
      <c r="EK275" s="456">
        <f t="shared" si="704"/>
        <v>0.12802715651697663</v>
      </c>
      <c r="EL275" s="456">
        <f t="shared" si="705"/>
        <v>2.7676160000000003</v>
      </c>
      <c r="EM275" s="456">
        <f t="shared" si="706"/>
        <v>4.7153961204285472E-2</v>
      </c>
      <c r="EN275" s="456">
        <f t="shared" si="707"/>
        <v>8.4907371326021941E-2</v>
      </c>
      <c r="EO275">
        <f t="shared" si="708"/>
        <v>7.1999999999999998E-3</v>
      </c>
      <c r="EP275" s="144">
        <f t="shared" si="709"/>
        <v>54.353961204285469</v>
      </c>
      <c r="EQ275" s="144"/>
      <c r="ER275" s="144">
        <f t="shared" si="710"/>
        <v>3034.9044890472842</v>
      </c>
      <c r="ES275" s="456">
        <f t="shared" si="711"/>
        <v>0.73749999999999993</v>
      </c>
      <c r="EV275" s="144">
        <f t="shared" si="712"/>
        <v>737.49999999999989</v>
      </c>
      <c r="EW275" s="456">
        <f t="shared" si="713"/>
        <v>5.6482569051607347E-2</v>
      </c>
      <c r="EX275" s="456">
        <f t="shared" si="714"/>
        <v>3.5294712158786094E-2</v>
      </c>
      <c r="EY275" s="456">
        <f t="shared" si="715"/>
        <v>41.935852026837857</v>
      </c>
      <c r="EZ275" s="456"/>
      <c r="FA275" s="456">
        <f t="shared" si="716"/>
        <v>6.6866666666666658E-2</v>
      </c>
      <c r="FB275" s="144">
        <f t="shared" si="717"/>
        <v>42094.495974714919</v>
      </c>
      <c r="FC275" s="150">
        <f t="shared" si="718"/>
        <v>45.866900463762207</v>
      </c>
      <c r="FD275" s="5">
        <f t="shared" si="719"/>
        <v>50.15</v>
      </c>
      <c r="FE275" s="150">
        <f t="shared" si="720"/>
        <v>0.52230388356398927</v>
      </c>
      <c r="FF275" s="5">
        <f t="shared" si="721"/>
        <v>52.230388356398926</v>
      </c>
      <c r="FI275" s="59">
        <f t="shared" si="676"/>
        <v>-50</v>
      </c>
      <c r="FJ275">
        <f t="shared" si="677"/>
        <v>-50</v>
      </c>
      <c r="FL275">
        <f t="shared" si="760"/>
        <v>0.65212961076013864</v>
      </c>
    </row>
    <row r="276" spans="5:168">
      <c r="E276" s="147">
        <v>60</v>
      </c>
      <c r="F276" s="188">
        <f t="shared" si="761"/>
        <v>0.3</v>
      </c>
      <c r="G276" s="188"/>
      <c r="H276" s="188">
        <f t="shared" si="726"/>
        <v>51</v>
      </c>
      <c r="I276" s="465">
        <f t="shared" si="727"/>
        <v>15.954206005484107</v>
      </c>
      <c r="J276" s="149">
        <f t="shared" si="728"/>
        <v>8.5396728565832536</v>
      </c>
      <c r="K276" s="149">
        <f t="shared" si="729"/>
        <v>24.493878862067362</v>
      </c>
      <c r="L276" s="379"/>
      <c r="M276" s="188">
        <f t="shared" si="730"/>
        <v>0.3486432529773848</v>
      </c>
      <c r="N276" s="149">
        <f t="shared" si="731"/>
        <v>186.30084821897796</v>
      </c>
      <c r="O276" s="149">
        <f t="shared" si="762"/>
        <v>51</v>
      </c>
      <c r="P276" s="188">
        <f t="shared" si="732"/>
        <v>1.0958873424645763</v>
      </c>
      <c r="Q276" s="188">
        <f t="shared" si="733"/>
        <v>170</v>
      </c>
      <c r="R276" s="188"/>
      <c r="S276" s="149">
        <f t="shared" si="734"/>
        <v>1453.7590044152751</v>
      </c>
      <c r="T276" s="149">
        <f t="shared" si="735"/>
        <v>170</v>
      </c>
      <c r="U276" s="188">
        <f t="shared" si="736"/>
        <v>18.423083901184121</v>
      </c>
      <c r="V276" s="188">
        <f t="shared" si="737"/>
        <v>1.732121663859489</v>
      </c>
      <c r="W276" s="188">
        <f t="shared" si="738"/>
        <v>3.2360286296532528</v>
      </c>
      <c r="X276" s="172">
        <f t="shared" si="739"/>
        <v>278.11785291460114</v>
      </c>
      <c r="Y276" s="379">
        <f t="shared" si="680"/>
        <v>193.4928249387867</v>
      </c>
      <c r="AA276" s="188">
        <f t="shared" si="740"/>
        <v>13.333333333333334</v>
      </c>
      <c r="AB276" s="150">
        <f t="shared" si="741"/>
        <v>2.3420100905366601</v>
      </c>
      <c r="AC276" s="150">
        <f t="shared" si="742"/>
        <v>0.21711827262812883</v>
      </c>
      <c r="AD276" s="150"/>
      <c r="AE276" s="150">
        <f t="shared" si="743"/>
        <v>2.3420100905366601</v>
      </c>
      <c r="AF276" s="314">
        <f t="shared" si="744"/>
        <v>384.28527854624627</v>
      </c>
      <c r="AG276" s="456">
        <f t="shared" si="745"/>
        <v>0.21711827262812886</v>
      </c>
      <c r="AI276" s="150">
        <f t="shared" si="746"/>
        <v>13.971131752159115</v>
      </c>
      <c r="AJ276" s="150">
        <f t="shared" si="747"/>
        <v>18.423083901184121</v>
      </c>
      <c r="AK276" s="150">
        <f t="shared" si="748"/>
        <v>4.9701856058153977</v>
      </c>
      <c r="AM276" s="314">
        <f t="shared" si="749"/>
        <v>300</v>
      </c>
      <c r="AN276" s="144">
        <f t="shared" si="750"/>
        <v>193.4928249387867</v>
      </c>
      <c r="AP276">
        <f t="shared" si="751"/>
        <v>300</v>
      </c>
      <c r="AQ276">
        <f t="shared" si="752"/>
        <v>193.4928249387867</v>
      </c>
      <c r="AS276" s="5">
        <f t="shared" si="763"/>
        <v>5.1681502935127419</v>
      </c>
      <c r="AT276" s="5">
        <f t="shared" si="753"/>
        <v>1.732121663859489</v>
      </c>
      <c r="AU276" s="5">
        <f t="shared" si="722"/>
        <v>3.436028629653253</v>
      </c>
      <c r="AV276" s="5"/>
      <c r="AW276" s="150">
        <f t="shared" si="723"/>
        <v>0.33515311387784402</v>
      </c>
      <c r="AX276" s="150">
        <f t="shared" si="631"/>
        <v>49.255052749159105</v>
      </c>
      <c r="AY276" s="150">
        <f t="shared" si="632"/>
        <v>0.30621324911173714</v>
      </c>
      <c r="AZ276" s="150">
        <f t="shared" si="633"/>
        <v>160.85212802528329</v>
      </c>
      <c r="BA276" s="144">
        <f t="shared" si="724"/>
        <v>0.30566852891638041</v>
      </c>
      <c r="BB276" s="5">
        <f t="shared" si="725"/>
        <v>18.306296999056723</v>
      </c>
      <c r="BD276" s="150">
        <f t="shared" si="681"/>
        <v>6.1577681354118461</v>
      </c>
      <c r="BE276" s="150">
        <f t="shared" si="682"/>
        <v>0.43364318588903356</v>
      </c>
      <c r="BG276" s="456">
        <f t="shared" si="683"/>
        <v>0.12892156859227785</v>
      </c>
      <c r="BH276" s="456">
        <f t="shared" si="754"/>
        <v>2.0911745199225917</v>
      </c>
      <c r="BI276" s="456">
        <f t="shared" si="755"/>
        <v>0.14138571704626657</v>
      </c>
      <c r="BJ276" s="456">
        <f t="shared" si="684"/>
        <v>7.9518937401444501E-2</v>
      </c>
      <c r="BK276">
        <f t="shared" si="685"/>
        <v>7.1793927024678475E-3</v>
      </c>
      <c r="BL276" s="144">
        <f t="shared" si="686"/>
        <v>148.56510974873441</v>
      </c>
      <c r="BM276" s="456">
        <f t="shared" si="756"/>
        <v>2.4081909891629696</v>
      </c>
      <c r="BN276" s="144">
        <f t="shared" si="687"/>
        <v>2408.1909891629698</v>
      </c>
      <c r="BO276" s="456">
        <f t="shared" si="637"/>
        <v>0.75</v>
      </c>
      <c r="BR276" s="144">
        <f t="shared" si="688"/>
        <v>750</v>
      </c>
      <c r="BS276" s="456">
        <f t="shared" si="689"/>
        <v>5.687716261424023E-2</v>
      </c>
      <c r="BT276" s="456">
        <f t="shared" si="690"/>
        <v>3.7609282533598187E-2</v>
      </c>
      <c r="BU276" s="456">
        <f t="shared" si="691"/>
        <v>37.934816907030118</v>
      </c>
      <c r="BV276" s="456"/>
      <c r="BW276" s="456">
        <f t="shared" si="692"/>
        <v>6.5673403665545471E-2</v>
      </c>
      <c r="BX276" s="144">
        <f t="shared" si="693"/>
        <v>38094.976755843498</v>
      </c>
      <c r="BY276" s="150">
        <f t="shared" si="694"/>
        <v>41.293156891508545</v>
      </c>
      <c r="BZ276" s="5">
        <f t="shared" si="695"/>
        <v>51</v>
      </c>
      <c r="CA276" s="150">
        <f t="shared" si="696"/>
        <v>0.55258701422415279</v>
      </c>
      <c r="CB276" s="5">
        <f t="shared" si="697"/>
        <v>55.258701422415278</v>
      </c>
      <c r="CE276" s="59">
        <f t="shared" si="757"/>
        <v>-50</v>
      </c>
      <c r="CF276">
        <f t="shared" si="758"/>
        <v>-50</v>
      </c>
      <c r="CG276" s="150">
        <f t="shared" si="759"/>
        <v>0.64200557978833062</v>
      </c>
      <c r="CI276" s="147">
        <v>60</v>
      </c>
      <c r="CJ276" s="188">
        <f t="shared" si="698"/>
        <v>0.3</v>
      </c>
      <c r="CK276" s="188"/>
      <c r="CL276" s="188">
        <f t="shared" si="641"/>
        <v>51</v>
      </c>
      <c r="CM276" s="465">
        <f t="shared" si="642"/>
        <v>16</v>
      </c>
      <c r="CN276" s="379">
        <f t="shared" si="643"/>
        <v>8.5350000000000001</v>
      </c>
      <c r="CO276" s="379">
        <f t="shared" si="644"/>
        <v>24.535</v>
      </c>
      <c r="CP276" s="379"/>
      <c r="CQ276" s="188">
        <f t="shared" si="645"/>
        <v>0.34787038923986141</v>
      </c>
      <c r="CR276" s="149">
        <f t="shared" si="646"/>
        <v>186.42142245771345</v>
      </c>
      <c r="CS276" s="149">
        <f t="shared" si="647"/>
        <v>51</v>
      </c>
      <c r="CT276" s="188">
        <f t="shared" si="648"/>
        <v>1.0965966026924321</v>
      </c>
      <c r="CU276" s="188">
        <f t="shared" si="649"/>
        <v>170</v>
      </c>
      <c r="CV276" s="188"/>
      <c r="CW276" s="149">
        <f t="shared" si="650"/>
        <v>1457.9313463957524</v>
      </c>
      <c r="CX276" s="149">
        <f t="shared" si="651"/>
        <v>170</v>
      </c>
      <c r="CY276" s="188">
        <f t="shared" si="652"/>
        <v>18.325790861159931</v>
      </c>
      <c r="CZ276" s="188">
        <f t="shared" si="653"/>
        <v>1.7180428932337435</v>
      </c>
      <c r="DA276" s="188">
        <f t="shared" si="654"/>
        <v>3.2207013815746803</v>
      </c>
      <c r="DB276" s="172">
        <f t="shared" si="655"/>
        <v>278.29631139188916</v>
      </c>
      <c r="DC276" s="379">
        <f t="shared" si="656"/>
        <v>202.48061943616031</v>
      </c>
      <c r="DE276" s="188">
        <f t="shared" si="657"/>
        <v>13.333333333333332</v>
      </c>
      <c r="DF276" s="150">
        <f t="shared" si="658"/>
        <v>2.3432923257176332</v>
      </c>
      <c r="DG276" s="150">
        <f t="shared" si="659"/>
        <v>0.21737653692004619</v>
      </c>
      <c r="DH276" s="150"/>
      <c r="DI276" s="150">
        <f t="shared" si="660"/>
        <v>2.3432923257176337</v>
      </c>
      <c r="DJ276" s="314">
        <f t="shared" si="661"/>
        <v>384.07499999999987</v>
      </c>
      <c r="DK276" s="456">
        <f t="shared" si="662"/>
        <v>0.21737653692004627</v>
      </c>
      <c r="DM276" s="150">
        <f t="shared" si="663"/>
        <v>13.967308770329174</v>
      </c>
      <c r="DN276" s="150">
        <f t="shared" si="664"/>
        <v>18.325790861159931</v>
      </c>
      <c r="DO276" s="150">
        <f t="shared" si="665"/>
        <v>4.8981166872789599</v>
      </c>
      <c r="DQ276" s="314">
        <f t="shared" si="666"/>
        <v>300</v>
      </c>
      <c r="DR276" s="144">
        <f t="shared" si="667"/>
        <v>202.48061943616031</v>
      </c>
      <c r="DT276">
        <f t="shared" si="668"/>
        <v>300</v>
      </c>
      <c r="DU276">
        <f t="shared" si="669"/>
        <v>202.48061943616031</v>
      </c>
      <c r="DW276" s="5">
        <f t="shared" si="670"/>
        <v>4.9387442748084238</v>
      </c>
      <c r="DX276" s="5">
        <f t="shared" si="671"/>
        <v>1.7180428932337435</v>
      </c>
      <c r="DY276" s="5">
        <f t="shared" si="672"/>
        <v>3.2207013815746803</v>
      </c>
      <c r="DZ276" s="5"/>
      <c r="EA276" s="150">
        <f t="shared" si="673"/>
        <v>0.34787038923986141</v>
      </c>
      <c r="EB276" s="150">
        <f t="shared" si="699"/>
        <v>51.000000000000007</v>
      </c>
      <c r="EC276" s="150">
        <f t="shared" si="700"/>
        <v>0.29876977152899831</v>
      </c>
      <c r="ED276" s="150">
        <f t="shared" si="701"/>
        <v>170.7</v>
      </c>
      <c r="EE276" s="144">
        <f t="shared" si="674"/>
        <v>0.30318403998242527</v>
      </c>
      <c r="EF276" s="5">
        <f t="shared" si="675"/>
        <v>17.109976089615486</v>
      </c>
      <c r="EH276" s="150">
        <f t="shared" si="702"/>
        <v>6.2403770382858159</v>
      </c>
      <c r="EI276" s="150">
        <f t="shared" si="703"/>
        <v>0.42720769143657195</v>
      </c>
      <c r="EK276" s="456">
        <f t="shared" si="704"/>
        <v>0.13240383897188049</v>
      </c>
      <c r="EL276" s="456">
        <f t="shared" si="705"/>
        <v>2.7676160000000003</v>
      </c>
      <c r="EM276" s="456">
        <f t="shared" si="706"/>
        <v>4.6368061850880715E-2</v>
      </c>
      <c r="EN276" s="456">
        <f t="shared" si="707"/>
        <v>8.3492248470588226E-2</v>
      </c>
      <c r="EO276">
        <f t="shared" si="708"/>
        <v>7.1999999999999998E-3</v>
      </c>
      <c r="EP276" s="144">
        <f t="shared" si="709"/>
        <v>53.56806185088071</v>
      </c>
      <c r="EQ276" s="144"/>
      <c r="ER276" s="144">
        <f t="shared" si="710"/>
        <v>3037.0801492933497</v>
      </c>
      <c r="ES276" s="456">
        <f t="shared" si="711"/>
        <v>0.75</v>
      </c>
      <c r="EV276" s="144">
        <f t="shared" si="712"/>
        <v>750</v>
      </c>
      <c r="EW276" s="456">
        <f t="shared" si="713"/>
        <v>5.8413458369947283E-2</v>
      </c>
      <c r="EX276" s="456">
        <f t="shared" si="714"/>
        <v>3.6501282324513051E-2</v>
      </c>
      <c r="EY276" s="456">
        <f t="shared" si="715"/>
        <v>41.935852026837786</v>
      </c>
      <c r="EZ276" s="456"/>
      <c r="FA276" s="456">
        <f t="shared" si="716"/>
        <v>6.8000000000000005E-2</v>
      </c>
      <c r="FB276" s="144">
        <f t="shared" si="717"/>
        <v>42098.766767532245</v>
      </c>
      <c r="FC276" s="150">
        <f t="shared" si="718"/>
        <v>45.885846916825592</v>
      </c>
      <c r="FD276" s="5">
        <f t="shared" si="719"/>
        <v>51</v>
      </c>
      <c r="FE276" s="150">
        <f t="shared" si="720"/>
        <v>0.52639267367691389</v>
      </c>
      <c r="FF276" s="5">
        <f t="shared" si="721"/>
        <v>52.639267367691389</v>
      </c>
      <c r="FI276" s="59">
        <f t="shared" si="676"/>
        <v>-50</v>
      </c>
      <c r="FJ276">
        <f t="shared" si="677"/>
        <v>-50</v>
      </c>
      <c r="FL276">
        <f t="shared" si="760"/>
        <v>0.65212961076013864</v>
      </c>
    </row>
    <row r="277" spans="5:168">
      <c r="E277" s="147">
        <v>61</v>
      </c>
      <c r="F277" s="188">
        <f t="shared" si="761"/>
        <v>0.30499999999999999</v>
      </c>
      <c r="G277" s="188"/>
      <c r="H277" s="188">
        <f t="shared" si="726"/>
        <v>51.85</v>
      </c>
      <c r="I277" s="465">
        <f t="shared" si="727"/>
        <v>15.953454804847809</v>
      </c>
      <c r="J277" s="149">
        <f t="shared" si="728"/>
        <v>8.5397495097094076</v>
      </c>
      <c r="K277" s="149">
        <f t="shared" si="729"/>
        <v>24.493204314557218</v>
      </c>
      <c r="L277" s="379"/>
      <c r="M277" s="188">
        <f t="shared" si="730"/>
        <v>0.34865598478233528</v>
      </c>
      <c r="N277" s="149">
        <f t="shared" si="731"/>
        <v>186.29887932146272</v>
      </c>
      <c r="O277" s="149">
        <f t="shared" si="762"/>
        <v>51.85</v>
      </c>
      <c r="P277" s="188">
        <f t="shared" si="732"/>
        <v>1.0958757607144867</v>
      </c>
      <c r="Q277" s="188">
        <f t="shared" si="733"/>
        <v>170</v>
      </c>
      <c r="R277" s="188"/>
      <c r="S277" s="149">
        <f t="shared" si="734"/>
        <v>1424.6345760154186</v>
      </c>
      <c r="T277" s="149">
        <f t="shared" si="735"/>
        <v>170</v>
      </c>
      <c r="U277" s="188">
        <f t="shared" si="736"/>
        <v>18.730501417016981</v>
      </c>
      <c r="V277" s="188">
        <f t="shared" si="737"/>
        <v>1.7611077016990677</v>
      </c>
      <c r="W277" s="188">
        <f t="shared" si="738"/>
        <v>3.2899972175508836</v>
      </c>
      <c r="X277" s="172">
        <f t="shared" si="739"/>
        <v>278.11491321880385</v>
      </c>
      <c r="Y277" s="379">
        <f t="shared" si="680"/>
        <v>190.43611113807953</v>
      </c>
      <c r="AA277" s="188">
        <f t="shared" si="740"/>
        <v>13.333333333333336</v>
      </c>
      <c r="AB277" s="150">
        <f t="shared" si="741"/>
        <v>2.3419890685623366</v>
      </c>
      <c r="AC277" s="150">
        <f t="shared" si="742"/>
        <v>0.21711402885420053</v>
      </c>
      <c r="AD277" s="150"/>
      <c r="AE277" s="150">
        <f t="shared" si="743"/>
        <v>2.3419890685623361</v>
      </c>
      <c r="AF277" s="314">
        <f t="shared" si="744"/>
        <v>390.6935400692052</v>
      </c>
      <c r="AG277" s="456">
        <f t="shared" si="745"/>
        <v>0.21711402885420053</v>
      </c>
      <c r="AI277" s="150">
        <f t="shared" si="746"/>
        <v>14.087139965802294</v>
      </c>
      <c r="AJ277" s="150">
        <f t="shared" si="747"/>
        <v>18.730501417016981</v>
      </c>
      <c r="AK277" s="150">
        <f t="shared" si="748"/>
        <v>5.1979022842101088</v>
      </c>
      <c r="AM277" s="314">
        <f t="shared" si="749"/>
        <v>305</v>
      </c>
      <c r="AN277" s="144">
        <f t="shared" si="750"/>
        <v>190.43611113807953</v>
      </c>
      <c r="AP277">
        <f t="shared" si="751"/>
        <v>305</v>
      </c>
      <c r="AQ277">
        <f t="shared" si="752"/>
        <v>190.43611113807953</v>
      </c>
      <c r="AS277" s="5">
        <f t="shared" si="763"/>
        <v>5.2511049192499524</v>
      </c>
      <c r="AT277" s="5">
        <f t="shared" si="753"/>
        <v>1.7611077016990677</v>
      </c>
      <c r="AU277" s="5">
        <f t="shared" si="722"/>
        <v>3.4899972175508847</v>
      </c>
      <c r="AV277" s="5"/>
      <c r="AW277" s="150">
        <f t="shared" si="723"/>
        <v>0.33537850200689145</v>
      </c>
      <c r="AX277" s="150">
        <f t="shared" si="631"/>
        <v>50.108266078454193</v>
      </c>
      <c r="AY277" s="150">
        <f t="shared" si="632"/>
        <v>0.31121734774849674</v>
      </c>
      <c r="AZ277" s="150">
        <f t="shared" si="633"/>
        <v>161.00730386966748</v>
      </c>
      <c r="BA277" s="144">
        <f t="shared" si="724"/>
        <v>0.31596344059895032</v>
      </c>
      <c r="BB277" s="5">
        <f t="shared" si="725"/>
        <v>18.90461532664655</v>
      </c>
      <c r="BD277" s="150">
        <f t="shared" si="681"/>
        <v>6.2626247003615498</v>
      </c>
      <c r="BE277" s="150">
        <f t="shared" si="682"/>
        <v>0.44080445297975707</v>
      </c>
      <c r="BG277" s="456">
        <f t="shared" si="683"/>
        <v>0.13334959166776722</v>
      </c>
      <c r="BH277" s="456">
        <f t="shared" si="754"/>
        <v>2.0924246656587036</v>
      </c>
      <c r="BI277" s="456">
        <f t="shared" si="755"/>
        <v>0.13914561626515654</v>
      </c>
      <c r="BJ277" s="456">
        <f t="shared" si="684"/>
        <v>7.8258421945800488E-2</v>
      </c>
      <c r="BK277">
        <f t="shared" si="685"/>
        <v>7.1790546621815134E-3</v>
      </c>
      <c r="BL277" s="144">
        <f t="shared" si="686"/>
        <v>146.32467092733805</v>
      </c>
      <c r="BM277" s="456">
        <f t="shared" si="756"/>
        <v>2.4166044327472238</v>
      </c>
      <c r="BN277" s="144">
        <f t="shared" si="687"/>
        <v>2416.6044327472237</v>
      </c>
      <c r="BO277" s="456">
        <f t="shared" si="637"/>
        <v>0.76249999999999996</v>
      </c>
      <c r="BR277" s="144">
        <f t="shared" si="688"/>
        <v>762.5</v>
      </c>
      <c r="BS277" s="456">
        <f t="shared" si="689"/>
        <v>5.8830702206367887E-2</v>
      </c>
      <c r="BT277" s="456">
        <f t="shared" si="690"/>
        <v>3.886171315335657E-2</v>
      </c>
      <c r="BU277" s="456">
        <f t="shared" si="691"/>
        <v>37.994153590152905</v>
      </c>
      <c r="BV277" s="456"/>
      <c r="BW277" s="456">
        <f t="shared" si="692"/>
        <v>6.6811021437938933E-2</v>
      </c>
      <c r="BX277" s="144">
        <f t="shared" si="693"/>
        <v>38158.657026950561</v>
      </c>
      <c r="BY277" s="150">
        <f t="shared" si="694"/>
        <v>41.371514377150177</v>
      </c>
      <c r="BZ277" s="5">
        <f t="shared" si="695"/>
        <v>51.85</v>
      </c>
      <c r="CA277" s="150">
        <f t="shared" si="696"/>
        <v>0.55620207788331222</v>
      </c>
      <c r="CB277" s="5">
        <f t="shared" si="697"/>
        <v>55.620207788331221</v>
      </c>
      <c r="CE277" s="59">
        <f t="shared" si="757"/>
        <v>-50</v>
      </c>
      <c r="CF277">
        <f t="shared" si="758"/>
        <v>-50</v>
      </c>
      <c r="CG277" s="150">
        <f t="shared" si="759"/>
        <v>0.64217154750917993</v>
      </c>
      <c r="CI277" s="147">
        <v>61</v>
      </c>
      <c r="CJ277" s="188">
        <f t="shared" si="698"/>
        <v>0.30499999999999999</v>
      </c>
      <c r="CK277" s="188"/>
      <c r="CL277" s="188">
        <f t="shared" si="641"/>
        <v>51.85</v>
      </c>
      <c r="CM277" s="465">
        <f t="shared" si="642"/>
        <v>16</v>
      </c>
      <c r="CN277" s="379">
        <f t="shared" si="643"/>
        <v>8.5350000000000001</v>
      </c>
      <c r="CO277" s="379">
        <f t="shared" si="644"/>
        <v>24.535</v>
      </c>
      <c r="CP277" s="379"/>
      <c r="CQ277" s="188">
        <f t="shared" si="645"/>
        <v>0.34787038923986141</v>
      </c>
      <c r="CR277" s="149">
        <f t="shared" si="646"/>
        <v>186.42142245771345</v>
      </c>
      <c r="CS277" s="149">
        <f t="shared" si="647"/>
        <v>51.85</v>
      </c>
      <c r="CT277" s="188">
        <f t="shared" si="648"/>
        <v>1.0965966026924321</v>
      </c>
      <c r="CU277" s="188">
        <f t="shared" si="649"/>
        <v>170</v>
      </c>
      <c r="CV277" s="188"/>
      <c r="CW277" s="149">
        <f t="shared" si="650"/>
        <v>1428.7905789603433</v>
      </c>
      <c r="CX277" s="149">
        <f t="shared" si="651"/>
        <v>170</v>
      </c>
      <c r="CY277" s="188">
        <f t="shared" si="652"/>
        <v>18.63122070884593</v>
      </c>
      <c r="CZ277" s="188">
        <f t="shared" si="653"/>
        <v>1.746676941454306</v>
      </c>
      <c r="DA277" s="188">
        <f t="shared" si="654"/>
        <v>3.2743797379342583</v>
      </c>
      <c r="DB277" s="172">
        <f t="shared" si="655"/>
        <v>278.29631139188916</v>
      </c>
      <c r="DC277" s="379">
        <f t="shared" si="656"/>
        <v>199.16126501917407</v>
      </c>
      <c r="DE277" s="188">
        <f t="shared" si="657"/>
        <v>13.333333333333332</v>
      </c>
      <c r="DF277" s="150">
        <f t="shared" si="658"/>
        <v>2.3432923257176332</v>
      </c>
      <c r="DG277" s="150">
        <f t="shared" si="659"/>
        <v>0.21737653692004619</v>
      </c>
      <c r="DH277" s="150"/>
      <c r="DI277" s="150">
        <f t="shared" si="660"/>
        <v>2.3432923257176337</v>
      </c>
      <c r="DJ277" s="314">
        <f t="shared" si="661"/>
        <v>390.47624999999988</v>
      </c>
      <c r="DK277" s="456">
        <f t="shared" si="662"/>
        <v>0.21737653692004627</v>
      </c>
      <c r="DM277" s="150">
        <f t="shared" si="663"/>
        <v>14.083222033936085</v>
      </c>
      <c r="DN277" s="150">
        <f t="shared" si="664"/>
        <v>18.63122070884593</v>
      </c>
      <c r="DO277" s="150">
        <f t="shared" si="665"/>
        <v>5.1243610188982194</v>
      </c>
      <c r="DQ277" s="314">
        <f t="shared" si="666"/>
        <v>305</v>
      </c>
      <c r="DR277" s="144">
        <f t="shared" si="667"/>
        <v>199.16126501917407</v>
      </c>
      <c r="DT277">
        <f t="shared" si="668"/>
        <v>305</v>
      </c>
      <c r="DU277">
        <f t="shared" si="669"/>
        <v>199.16126501917407</v>
      </c>
      <c r="DW277" s="5">
        <f t="shared" si="670"/>
        <v>5.0210566793885647</v>
      </c>
      <c r="DX277" s="5">
        <f t="shared" si="671"/>
        <v>1.746676941454306</v>
      </c>
      <c r="DY277" s="5">
        <f t="shared" si="672"/>
        <v>3.2743797379342587</v>
      </c>
      <c r="DZ277" s="5"/>
      <c r="EA277" s="150">
        <f t="shared" si="673"/>
        <v>0.34787038923986141</v>
      </c>
      <c r="EB277" s="150">
        <f t="shared" si="699"/>
        <v>51.85</v>
      </c>
      <c r="EC277" s="150">
        <f t="shared" si="700"/>
        <v>0.3037492677211483</v>
      </c>
      <c r="ED277" s="150">
        <f t="shared" si="701"/>
        <v>170.69999999999996</v>
      </c>
      <c r="EE277" s="144">
        <f t="shared" si="674"/>
        <v>0.31337439243739013</v>
      </c>
      <c r="EF277" s="5">
        <f t="shared" si="675"/>
        <v>17.685061397072008</v>
      </c>
      <c r="EH277" s="150">
        <f t="shared" si="702"/>
        <v>6.3443833222572463</v>
      </c>
      <c r="EI277" s="150">
        <f t="shared" si="703"/>
        <v>0.43432781962718148</v>
      </c>
      <c r="EK277" s="456">
        <f t="shared" si="704"/>
        <v>0.13685407911510203</v>
      </c>
      <c r="EL277" s="456">
        <f t="shared" si="705"/>
        <v>2.7676160000000003</v>
      </c>
      <c r="EM277" s="456">
        <f t="shared" si="706"/>
        <v>4.5607929689390862E-2</v>
      </c>
      <c r="EN277" s="456">
        <f t="shared" si="707"/>
        <v>8.2123523085824476E-2</v>
      </c>
      <c r="EO277">
        <f t="shared" si="708"/>
        <v>7.1999999999999998E-3</v>
      </c>
      <c r="EP277" s="144">
        <f t="shared" si="709"/>
        <v>52.807929689390861</v>
      </c>
      <c r="EQ277" s="144"/>
      <c r="ER277" s="144">
        <f t="shared" si="710"/>
        <v>3039.401531890318</v>
      </c>
      <c r="ES277" s="456">
        <f t="shared" si="711"/>
        <v>0.76249999999999996</v>
      </c>
      <c r="EV277" s="144">
        <f t="shared" si="712"/>
        <v>762.5</v>
      </c>
      <c r="EW277" s="456">
        <f t="shared" si="713"/>
        <v>6.0376799609603841E-2</v>
      </c>
      <c r="EX277" s="456">
        <f t="shared" si="714"/>
        <v>3.7728130980420299E-2</v>
      </c>
      <c r="EY277" s="456">
        <f t="shared" si="715"/>
        <v>41.935852026837786</v>
      </c>
      <c r="EZ277" s="456"/>
      <c r="FA277" s="456">
        <f t="shared" si="716"/>
        <v>6.9133333333333338E-2</v>
      </c>
      <c r="FB277" s="144">
        <f t="shared" si="717"/>
        <v>42103.090290761145</v>
      </c>
      <c r="FC277" s="150">
        <f t="shared" si="718"/>
        <v>45.904991822651461</v>
      </c>
      <c r="FD277" s="5">
        <f t="shared" si="719"/>
        <v>51.85</v>
      </c>
      <c r="FE277" s="150">
        <f t="shared" si="720"/>
        <v>0.53040769615189609</v>
      </c>
      <c r="FF277" s="5">
        <f t="shared" si="721"/>
        <v>53.04076961518961</v>
      </c>
      <c r="FI277" s="59">
        <f t="shared" si="676"/>
        <v>-50</v>
      </c>
      <c r="FJ277">
        <f t="shared" si="677"/>
        <v>-50</v>
      </c>
      <c r="FL277">
        <f t="shared" si="760"/>
        <v>0.65212961076013864</v>
      </c>
    </row>
    <row r="278" spans="5:168">
      <c r="E278" s="147">
        <v>62</v>
      </c>
      <c r="F278" s="188">
        <f t="shared" si="761"/>
        <v>0.31</v>
      </c>
      <c r="G278" s="188"/>
      <c r="H278" s="188">
        <f t="shared" si="726"/>
        <v>52.7</v>
      </c>
      <c r="I278" s="465">
        <f t="shared" si="727"/>
        <v>15.95270359819405</v>
      </c>
      <c r="J278" s="149">
        <f t="shared" si="728"/>
        <v>8.5398261634495878</v>
      </c>
      <c r="K278" s="149">
        <f t="shared" si="729"/>
        <v>24.492529761643638</v>
      </c>
      <c r="L278" s="379"/>
      <c r="M278" s="188">
        <f t="shared" si="730"/>
        <v>0.34866871737422339</v>
      </c>
      <c r="N278" s="149">
        <f t="shared" si="731"/>
        <v>186.29691013347326</v>
      </c>
      <c r="O278" s="149">
        <f t="shared" si="762"/>
        <v>52.7</v>
      </c>
      <c r="P278" s="188">
        <f t="shared" si="732"/>
        <v>1.0958641772557252</v>
      </c>
      <c r="Q278" s="188">
        <f t="shared" si="733"/>
        <v>170</v>
      </c>
      <c r="R278" s="188"/>
      <c r="S278" s="149">
        <f t="shared" si="734"/>
        <v>1396.4502533811185</v>
      </c>
      <c r="T278" s="149">
        <f t="shared" si="735"/>
        <v>170</v>
      </c>
      <c r="U278" s="188">
        <f t="shared" si="736"/>
        <v>19.037930974251147</v>
      </c>
      <c r="V278" s="188">
        <f t="shared" si="737"/>
        <v>1.7900976023029442</v>
      </c>
      <c r="W278" s="188">
        <f t="shared" si="738"/>
        <v>3.3439669514117387</v>
      </c>
      <c r="X278" s="172">
        <f t="shared" si="739"/>
        <v>278.11197310242977</v>
      </c>
      <c r="Y278" s="379">
        <f t="shared" si="680"/>
        <v>187.47429655750835</v>
      </c>
      <c r="AA278" s="188">
        <f t="shared" si="740"/>
        <v>13.333333333333334</v>
      </c>
      <c r="AB278" s="150">
        <f t="shared" si="741"/>
        <v>2.3419680467970059</v>
      </c>
      <c r="AC278" s="150">
        <f t="shared" si="742"/>
        <v>0.21710978481251969</v>
      </c>
      <c r="AD278" s="150"/>
      <c r="AE278" s="150">
        <f t="shared" si="743"/>
        <v>2.3419680467970059</v>
      </c>
      <c r="AF278" s="314">
        <f t="shared" si="744"/>
        <v>397.10191660040579</v>
      </c>
      <c r="AG278" s="456">
        <f t="shared" si="745"/>
        <v>0.21710978481251969</v>
      </c>
      <c r="AI278" s="150">
        <f t="shared" si="746"/>
        <v>14.202202674687632</v>
      </c>
      <c r="AJ278" s="150">
        <f t="shared" si="747"/>
        <v>19.037930974251147</v>
      </c>
      <c r="AK278" s="150">
        <f t="shared" si="748"/>
        <v>5.4256278821613435</v>
      </c>
      <c r="AM278" s="314">
        <f t="shared" si="749"/>
        <v>310</v>
      </c>
      <c r="AN278" s="144">
        <f t="shared" si="750"/>
        <v>187.47429655750835</v>
      </c>
      <c r="AP278">
        <f t="shared" si="751"/>
        <v>310</v>
      </c>
      <c r="AQ278">
        <f t="shared" si="752"/>
        <v>187.47429655750835</v>
      </c>
      <c r="AS278" s="5">
        <f t="shared" si="763"/>
        <v>5.3340645537146836</v>
      </c>
      <c r="AT278" s="5">
        <f t="shared" si="753"/>
        <v>1.7900976023029442</v>
      </c>
      <c r="AU278" s="5">
        <f t="shared" si="722"/>
        <v>3.5439669514117393</v>
      </c>
      <c r="AV278" s="5"/>
      <c r="AW278" s="150">
        <f t="shared" si="723"/>
        <v>0.33559728876102679</v>
      </c>
      <c r="AX278" s="150">
        <f t="shared" si="631"/>
        <v>50.961533948057955</v>
      </c>
      <c r="AY278" s="150">
        <f t="shared" si="632"/>
        <v>0.31622132389182223</v>
      </c>
      <c r="AZ278" s="150">
        <f t="shared" si="633"/>
        <v>161.15780340446506</v>
      </c>
      <c r="BA278" s="144">
        <f t="shared" si="724"/>
        <v>0.32642956277288987</v>
      </c>
      <c r="BB278" s="5">
        <f t="shared" si="725"/>
        <v>19.512581591555623</v>
      </c>
      <c r="BD278" s="150">
        <f t="shared" si="681"/>
        <v>6.367491036685176</v>
      </c>
      <c r="BE278" s="150">
        <f t="shared" si="682"/>
        <v>0.4479657627110516</v>
      </c>
      <c r="BG278" s="456">
        <f t="shared" si="683"/>
        <v>0.13785280314770459</v>
      </c>
      <c r="BH278" s="456">
        <f t="shared" si="754"/>
        <v>2.0936334228202371</v>
      </c>
      <c r="BI278" s="456">
        <f t="shared" si="755"/>
        <v>0.13697506234499326</v>
      </c>
      <c r="BJ278" s="456">
        <f t="shared" si="684"/>
        <v>7.7037040991462385E-2</v>
      </c>
      <c r="BK278">
        <f t="shared" si="685"/>
        <v>7.1787166191873229E-3</v>
      </c>
      <c r="BL278" s="144">
        <f t="shared" si="686"/>
        <v>144.15377896418059</v>
      </c>
      <c r="BM278" s="456">
        <f t="shared" si="756"/>
        <v>2.4251773611843035</v>
      </c>
      <c r="BN278" s="144">
        <f t="shared" si="687"/>
        <v>2425.1773611843037</v>
      </c>
      <c r="BO278" s="456">
        <f t="shared" si="637"/>
        <v>0.77500000000000002</v>
      </c>
      <c r="BR278" s="144">
        <f t="shared" si="688"/>
        <v>775</v>
      </c>
      <c r="BS278" s="456">
        <f t="shared" si="689"/>
        <v>6.0817413153399086E-2</v>
      </c>
      <c r="BT278" s="456">
        <f t="shared" si="690"/>
        <v>4.0134664912258838E-2</v>
      </c>
      <c r="BU278" s="456">
        <f t="shared" si="691"/>
        <v>38.051668604824549</v>
      </c>
      <c r="BV278" s="456"/>
      <c r="BW278" s="456">
        <f t="shared" si="692"/>
        <v>6.7948711930743935E-2</v>
      </c>
      <c r="BX278" s="144">
        <f t="shared" si="693"/>
        <v>38220.569394820959</v>
      </c>
      <c r="BY278" s="150">
        <f t="shared" si="694"/>
        <v>41.448246440744541</v>
      </c>
      <c r="BZ278" s="5">
        <f t="shared" si="695"/>
        <v>52.7</v>
      </c>
      <c r="CA278" s="150">
        <f t="shared" si="696"/>
        <v>0.5597555131647467</v>
      </c>
      <c r="CB278" s="5">
        <f t="shared" si="697"/>
        <v>55.975551316474672</v>
      </c>
      <c r="CE278" s="59">
        <f t="shared" si="757"/>
        <v>-50</v>
      </c>
      <c r="CF278">
        <f t="shared" si="758"/>
        <v>-50</v>
      </c>
      <c r="CG278" s="150">
        <f t="shared" si="759"/>
        <v>0.64233216143258243</v>
      </c>
      <c r="CI278" s="147">
        <v>62</v>
      </c>
      <c r="CJ278" s="188">
        <f t="shared" si="698"/>
        <v>0.31</v>
      </c>
      <c r="CK278" s="188"/>
      <c r="CL278" s="188">
        <f t="shared" si="641"/>
        <v>52.7</v>
      </c>
      <c r="CM278" s="465">
        <f t="shared" si="642"/>
        <v>16</v>
      </c>
      <c r="CN278" s="379">
        <f t="shared" si="643"/>
        <v>8.5350000000000001</v>
      </c>
      <c r="CO278" s="379">
        <f t="shared" si="644"/>
        <v>24.535</v>
      </c>
      <c r="CP278" s="379"/>
      <c r="CQ278" s="188">
        <f t="shared" si="645"/>
        <v>0.34787038923986141</v>
      </c>
      <c r="CR278" s="149">
        <f t="shared" si="646"/>
        <v>186.42142245771345</v>
      </c>
      <c r="CS278" s="149">
        <f t="shared" si="647"/>
        <v>52.7</v>
      </c>
      <c r="CT278" s="188">
        <f t="shared" si="648"/>
        <v>1.0965966026924321</v>
      </c>
      <c r="CU278" s="188">
        <f t="shared" si="649"/>
        <v>170</v>
      </c>
      <c r="CV278" s="188"/>
      <c r="CW278" s="149">
        <f t="shared" si="650"/>
        <v>1400.5899602385662</v>
      </c>
      <c r="CX278" s="149">
        <f t="shared" si="651"/>
        <v>170</v>
      </c>
      <c r="CY278" s="188">
        <f t="shared" si="652"/>
        <v>18.93665055653193</v>
      </c>
      <c r="CZ278" s="188">
        <f t="shared" si="653"/>
        <v>1.7753109896748684</v>
      </c>
      <c r="DA278" s="188">
        <f t="shared" si="654"/>
        <v>3.3280580942938367</v>
      </c>
      <c r="DB278" s="172">
        <f t="shared" si="655"/>
        <v>278.29631139188916</v>
      </c>
      <c r="DC278" s="379">
        <f t="shared" si="656"/>
        <v>195.94898655112289</v>
      </c>
      <c r="DE278" s="188">
        <f t="shared" si="657"/>
        <v>13.333333333333332</v>
      </c>
      <c r="DF278" s="150">
        <f t="shared" si="658"/>
        <v>2.3432923257176332</v>
      </c>
      <c r="DG278" s="150">
        <f t="shared" si="659"/>
        <v>0.21737653692004619</v>
      </c>
      <c r="DH278" s="150"/>
      <c r="DI278" s="150">
        <f t="shared" si="660"/>
        <v>2.3432923257176337</v>
      </c>
      <c r="DJ278" s="314">
        <f t="shared" si="661"/>
        <v>396.87749999999988</v>
      </c>
      <c r="DK278" s="456">
        <f t="shared" si="662"/>
        <v>0.21737653692004627</v>
      </c>
      <c r="DM278" s="150">
        <f t="shared" si="663"/>
        <v>14.198189019328185</v>
      </c>
      <c r="DN278" s="150">
        <f t="shared" si="664"/>
        <v>18.93665055653193</v>
      </c>
      <c r="DO278" s="150">
        <f t="shared" si="665"/>
        <v>5.3506053505174789</v>
      </c>
      <c r="DQ278" s="314">
        <f t="shared" si="666"/>
        <v>310</v>
      </c>
      <c r="DR278" s="144">
        <f t="shared" si="667"/>
        <v>195.94898655112289</v>
      </c>
      <c r="DT278">
        <f t="shared" si="668"/>
        <v>310</v>
      </c>
      <c r="DU278">
        <f t="shared" si="669"/>
        <v>195.94898655112289</v>
      </c>
      <c r="DW278" s="5">
        <f t="shared" si="670"/>
        <v>5.1033690839687047</v>
      </c>
      <c r="DX278" s="5">
        <f t="shared" si="671"/>
        <v>1.7753109896748684</v>
      </c>
      <c r="DY278" s="5">
        <f t="shared" si="672"/>
        <v>3.3280580942938363</v>
      </c>
      <c r="DZ278" s="5"/>
      <c r="EA278" s="150">
        <f t="shared" si="673"/>
        <v>0.34787038923986147</v>
      </c>
      <c r="EB278" s="150">
        <f t="shared" si="699"/>
        <v>52.70000000000001</v>
      </c>
      <c r="EC278" s="150">
        <f t="shared" si="700"/>
        <v>0.30872876391329823</v>
      </c>
      <c r="ED278" s="150">
        <f t="shared" si="701"/>
        <v>170.70000000000002</v>
      </c>
      <c r="EE278" s="144">
        <f t="shared" si="674"/>
        <v>0.32373318047012306</v>
      </c>
      <c r="EF278" s="5">
        <f t="shared" si="675"/>
        <v>18.269652246800536</v>
      </c>
      <c r="EH278" s="150">
        <f t="shared" si="702"/>
        <v>6.4483896062286776</v>
      </c>
      <c r="EI278" s="150">
        <f t="shared" si="703"/>
        <v>0.44144794781779101</v>
      </c>
      <c r="EK278" s="456">
        <f t="shared" si="704"/>
        <v>0.14137787694664133</v>
      </c>
      <c r="EL278" s="456">
        <f t="shared" si="705"/>
        <v>2.7676160000000007</v>
      </c>
      <c r="EM278" s="456">
        <f t="shared" si="706"/>
        <v>4.4872317920207141E-2</v>
      </c>
      <c r="EN278" s="456">
        <f t="shared" si="707"/>
        <v>8.0798950132827327E-2</v>
      </c>
      <c r="EO278">
        <f t="shared" si="708"/>
        <v>7.1999999999999998E-3</v>
      </c>
      <c r="EP278" s="144">
        <f t="shared" si="709"/>
        <v>52.072317920207141</v>
      </c>
      <c r="EQ278" s="144"/>
      <c r="ER278" s="144">
        <f t="shared" si="710"/>
        <v>3041.8651449996769</v>
      </c>
      <c r="ES278" s="456">
        <f t="shared" si="711"/>
        <v>0.77500000000000002</v>
      </c>
      <c r="EV278" s="144">
        <f t="shared" si="712"/>
        <v>775</v>
      </c>
      <c r="EW278" s="456">
        <f t="shared" si="713"/>
        <v>6.2372592770577065E-2</v>
      </c>
      <c r="EX278" s="456">
        <f t="shared" si="714"/>
        <v>3.8975258126507831E-2</v>
      </c>
      <c r="EY278" s="456">
        <f t="shared" si="715"/>
        <v>41.93585202683775</v>
      </c>
      <c r="EZ278" s="456"/>
      <c r="FA278" s="456">
        <f t="shared" si="716"/>
        <v>7.0266666666666686E-2</v>
      </c>
      <c r="FB278" s="144">
        <f t="shared" si="717"/>
        <v>42107.466544401505</v>
      </c>
      <c r="FC278" s="150">
        <f t="shared" si="718"/>
        <v>45.924331689401178</v>
      </c>
      <c r="FD278" s="5">
        <f t="shared" si="719"/>
        <v>52.7</v>
      </c>
      <c r="FE278" s="150">
        <f t="shared" si="720"/>
        <v>0.53435089594288721</v>
      </c>
      <c r="FF278" s="5">
        <f t="shared" si="721"/>
        <v>53.435089594288719</v>
      </c>
      <c r="FI278" s="59">
        <f t="shared" si="676"/>
        <v>-50</v>
      </c>
      <c r="FJ278">
        <f t="shared" si="677"/>
        <v>-50</v>
      </c>
      <c r="FL278">
        <f t="shared" si="760"/>
        <v>0.65212961076013853</v>
      </c>
    </row>
    <row r="279" spans="5:168">
      <c r="E279" s="147">
        <v>63</v>
      </c>
      <c r="F279" s="188">
        <f t="shared" si="761"/>
        <v>0.315</v>
      </c>
      <c r="G279" s="188"/>
      <c r="H279" s="188">
        <f t="shared" si="726"/>
        <v>53.55</v>
      </c>
      <c r="I279" s="465">
        <f t="shared" si="727"/>
        <v>15.951952385813678</v>
      </c>
      <c r="J279" s="149">
        <f t="shared" si="728"/>
        <v>8.5399028177741148</v>
      </c>
      <c r="K279" s="149">
        <f t="shared" si="729"/>
        <v>24.491855203587793</v>
      </c>
      <c r="L279" s="379"/>
      <c r="M279" s="188">
        <f t="shared" si="730"/>
        <v>0.34868145074898294</v>
      </c>
      <c r="N279" s="149">
        <f t="shared" si="731"/>
        <v>186.29494065616672</v>
      </c>
      <c r="O279" s="149">
        <f t="shared" si="762"/>
        <v>53.55</v>
      </c>
      <c r="P279" s="188">
        <f t="shared" si="732"/>
        <v>1.0958525920950983</v>
      </c>
      <c r="Q279" s="188">
        <f t="shared" si="733"/>
        <v>170</v>
      </c>
      <c r="R279" s="188"/>
      <c r="S279" s="149">
        <f t="shared" si="734"/>
        <v>1369.1612709486096</v>
      </c>
      <c r="T279" s="149">
        <f t="shared" si="735"/>
        <v>170</v>
      </c>
      <c r="U279" s="188">
        <f t="shared" si="736"/>
        <v>19.345372574586353</v>
      </c>
      <c r="V279" s="188">
        <f t="shared" si="737"/>
        <v>1.8190913663763031</v>
      </c>
      <c r="W279" s="188">
        <f t="shared" si="738"/>
        <v>3.3979378315036786</v>
      </c>
      <c r="X279" s="172">
        <f t="shared" si="739"/>
        <v>278.10903256657497</v>
      </c>
      <c r="Y279" s="379">
        <f t="shared" si="680"/>
        <v>184.60302934888404</v>
      </c>
      <c r="AA279" s="188">
        <f t="shared" si="740"/>
        <v>13.333333333333334</v>
      </c>
      <c r="AB279" s="150">
        <f t="shared" si="741"/>
        <v>2.3419470252488082</v>
      </c>
      <c r="AC279" s="150">
        <f t="shared" si="742"/>
        <v>0.21710554050470471</v>
      </c>
      <c r="AD279" s="150"/>
      <c r="AE279" s="150">
        <f t="shared" si="743"/>
        <v>2.3419470252488082</v>
      </c>
      <c r="AF279" s="314">
        <f t="shared" si="744"/>
        <v>403.51040813982684</v>
      </c>
      <c r="AG279" s="456">
        <f t="shared" si="745"/>
        <v>0.21710554050470474</v>
      </c>
      <c r="AI279" s="150">
        <f t="shared" si="746"/>
        <v>14.316342676346453</v>
      </c>
      <c r="AJ279" s="150">
        <f t="shared" si="747"/>
        <v>19.345372574586353</v>
      </c>
      <c r="AK279" s="150">
        <f t="shared" si="748"/>
        <v>5.6533624009281622</v>
      </c>
      <c r="AM279" s="314">
        <f t="shared" si="749"/>
        <v>315</v>
      </c>
      <c r="AN279" s="144">
        <f t="shared" si="750"/>
        <v>184.60302934888404</v>
      </c>
      <c r="AP279">
        <f t="shared" si="751"/>
        <v>315</v>
      </c>
      <c r="AQ279">
        <f t="shared" si="752"/>
        <v>184.60302934888404</v>
      </c>
      <c r="AS279" s="5">
        <f t="shared" si="763"/>
        <v>5.417029197879982</v>
      </c>
      <c r="AT279" s="5">
        <f t="shared" si="753"/>
        <v>1.8190913663763031</v>
      </c>
      <c r="AU279" s="5">
        <f t="shared" si="722"/>
        <v>3.5979378315036792</v>
      </c>
      <c r="AV279" s="5"/>
      <c r="AW279" s="150">
        <f t="shared" si="723"/>
        <v>0.33580977689546621</v>
      </c>
      <c r="AX279" s="150">
        <f t="shared" si="631"/>
        <v>51.814854560321884</v>
      </c>
      <c r="AY279" s="150">
        <f t="shared" si="632"/>
        <v>0.321225183158871</v>
      </c>
      <c r="AZ279" s="150">
        <f t="shared" si="633"/>
        <v>161.30383692456448</v>
      </c>
      <c r="BA279" s="144">
        <f t="shared" si="724"/>
        <v>0.33706692965207968</v>
      </c>
      <c r="BB279" s="5">
        <f t="shared" si="725"/>
        <v>20.130197463934053</v>
      </c>
      <c r="BD279" s="150">
        <f t="shared" si="681"/>
        <v>6.4723670607600168</v>
      </c>
      <c r="BE279" s="150">
        <f t="shared" si="682"/>
        <v>0.45512711955189333</v>
      </c>
      <c r="BG279" s="456">
        <f t="shared" si="683"/>
        <v>0.14243122025531829</v>
      </c>
      <c r="BH279" s="456">
        <f t="shared" si="754"/>
        <v>2.0948026893029605</v>
      </c>
      <c r="BI279" s="456">
        <f t="shared" si="755"/>
        <v>0.13487086603782661</v>
      </c>
      <c r="BJ279" s="456">
        <f t="shared" si="684"/>
        <v>7.5852999926706036E-2</v>
      </c>
      <c r="BK279">
        <f t="shared" si="685"/>
        <v>7.1783785736161546E-3</v>
      </c>
      <c r="BL279" s="144">
        <f t="shared" si="686"/>
        <v>142.04924461144279</v>
      </c>
      <c r="BM279" s="456">
        <f t="shared" si="756"/>
        <v>2.4339109197382784</v>
      </c>
      <c r="BN279" s="144">
        <f t="shared" si="687"/>
        <v>2433.9109197382786</v>
      </c>
      <c r="BO279" s="456">
        <f t="shared" si="637"/>
        <v>0.78749999999999998</v>
      </c>
      <c r="BR279" s="144">
        <f t="shared" si="688"/>
        <v>787.5</v>
      </c>
      <c r="BS279" s="456">
        <f t="shared" si="689"/>
        <v>6.2837303053816893E-2</v>
      </c>
      <c r="BT279" s="456">
        <f t="shared" si="690"/>
        <v>4.1428138990320683E-2</v>
      </c>
      <c r="BU279" s="456">
        <f t="shared" si="691"/>
        <v>38.107443015050805</v>
      </c>
      <c r="BV279" s="456"/>
      <c r="BW279" s="456">
        <f t="shared" si="692"/>
        <v>6.9086472747095853E-2</v>
      </c>
      <c r="BX279" s="144">
        <f t="shared" si="693"/>
        <v>38280.794929842035</v>
      </c>
      <c r="BY279" s="150">
        <f t="shared" si="694"/>
        <v>41.523431083938469</v>
      </c>
      <c r="BZ279" s="5">
        <f t="shared" si="695"/>
        <v>53.55</v>
      </c>
      <c r="CA279" s="150">
        <f t="shared" si="696"/>
        <v>0.5632488423892239</v>
      </c>
      <c r="CB279" s="5">
        <f t="shared" si="697"/>
        <v>56.324884238922394</v>
      </c>
      <c r="CE279" s="59">
        <f t="shared" si="757"/>
        <v>-50</v>
      </c>
      <c r="CF279">
        <f t="shared" si="758"/>
        <v>-50</v>
      </c>
      <c r="CG279" s="150">
        <f t="shared" si="759"/>
        <v>0.64248767650127381</v>
      </c>
      <c r="CI279" s="147">
        <v>63</v>
      </c>
      <c r="CJ279" s="188">
        <f t="shared" si="698"/>
        <v>0.315</v>
      </c>
      <c r="CK279" s="188"/>
      <c r="CL279" s="188">
        <f t="shared" si="641"/>
        <v>53.55</v>
      </c>
      <c r="CM279" s="465">
        <f t="shared" si="642"/>
        <v>16</v>
      </c>
      <c r="CN279" s="379">
        <f t="shared" si="643"/>
        <v>8.5350000000000001</v>
      </c>
      <c r="CO279" s="379">
        <f t="shared" si="644"/>
        <v>24.535</v>
      </c>
      <c r="CP279" s="379"/>
      <c r="CQ279" s="188">
        <f t="shared" si="645"/>
        <v>0.34787038923986141</v>
      </c>
      <c r="CR279" s="149">
        <f t="shared" si="646"/>
        <v>186.42142245771345</v>
      </c>
      <c r="CS279" s="149">
        <f t="shared" si="647"/>
        <v>53.55</v>
      </c>
      <c r="CT279" s="188">
        <f t="shared" si="648"/>
        <v>1.0965966026924321</v>
      </c>
      <c r="CU279" s="188">
        <f t="shared" si="649"/>
        <v>170</v>
      </c>
      <c r="CV279" s="188"/>
      <c r="CW279" s="149">
        <f t="shared" si="650"/>
        <v>1373.284722590884</v>
      </c>
      <c r="CX279" s="149">
        <f t="shared" si="651"/>
        <v>170</v>
      </c>
      <c r="CY279" s="188">
        <f t="shared" si="652"/>
        <v>19.242080404217926</v>
      </c>
      <c r="CZ279" s="188">
        <f t="shared" si="653"/>
        <v>1.8039450378954307</v>
      </c>
      <c r="DA279" s="188">
        <f t="shared" si="654"/>
        <v>3.3817364506534142</v>
      </c>
      <c r="DB279" s="172">
        <f t="shared" si="655"/>
        <v>278.29631139188916</v>
      </c>
      <c r="DC279" s="379">
        <f t="shared" si="656"/>
        <v>192.83868517729556</v>
      </c>
      <c r="DE279" s="188">
        <f t="shared" si="657"/>
        <v>13.333333333333332</v>
      </c>
      <c r="DF279" s="150">
        <f t="shared" si="658"/>
        <v>2.3432923257176332</v>
      </c>
      <c r="DG279" s="150">
        <f t="shared" si="659"/>
        <v>0.21737653692004619</v>
      </c>
      <c r="DH279" s="150"/>
      <c r="DI279" s="150">
        <f t="shared" si="660"/>
        <v>2.3432923257176337</v>
      </c>
      <c r="DJ279" s="314">
        <f t="shared" si="661"/>
        <v>403.27874999999989</v>
      </c>
      <c r="DK279" s="456">
        <f t="shared" si="662"/>
        <v>0.21737653692004627</v>
      </c>
      <c r="DM279" s="150">
        <f t="shared" si="663"/>
        <v>14.312232530251874</v>
      </c>
      <c r="DN279" s="150">
        <f t="shared" si="664"/>
        <v>19.242080404217926</v>
      </c>
      <c r="DO279" s="150">
        <f t="shared" si="665"/>
        <v>5.5768496821367357</v>
      </c>
      <c r="DQ279" s="314">
        <f t="shared" si="666"/>
        <v>315</v>
      </c>
      <c r="DR279" s="144">
        <f t="shared" si="667"/>
        <v>192.83868517729556</v>
      </c>
      <c r="DT279">
        <f t="shared" si="668"/>
        <v>315</v>
      </c>
      <c r="DU279">
        <f t="shared" si="669"/>
        <v>192.83868517729556</v>
      </c>
      <c r="DW279" s="5">
        <f t="shared" si="670"/>
        <v>5.1856814885488447</v>
      </c>
      <c r="DX279" s="5">
        <f t="shared" si="671"/>
        <v>1.8039450378954307</v>
      </c>
      <c r="DY279" s="5">
        <f t="shared" si="672"/>
        <v>3.3817364506534142</v>
      </c>
      <c r="DZ279" s="5"/>
      <c r="EA279" s="150">
        <f t="shared" si="673"/>
        <v>0.34787038923986147</v>
      </c>
      <c r="EB279" s="150">
        <f t="shared" si="699"/>
        <v>53.55</v>
      </c>
      <c r="EC279" s="150">
        <f t="shared" si="700"/>
        <v>0.31370826010544817</v>
      </c>
      <c r="ED279" s="150">
        <f t="shared" si="701"/>
        <v>170.7</v>
      </c>
      <c r="EE279" s="144">
        <f t="shared" si="674"/>
        <v>0.33426040408062396</v>
      </c>
      <c r="EF279" s="5">
        <f t="shared" si="675"/>
        <v>18.863748638801074</v>
      </c>
      <c r="EH279" s="150">
        <f t="shared" si="702"/>
        <v>6.5523958902001072</v>
      </c>
      <c r="EI279" s="150">
        <f t="shared" si="703"/>
        <v>0.44856807600840048</v>
      </c>
      <c r="EK279" s="456">
        <f t="shared" si="704"/>
        <v>0.14597523246649824</v>
      </c>
      <c r="EL279" s="456">
        <f t="shared" si="705"/>
        <v>2.7676160000000007</v>
      </c>
      <c r="EM279" s="456">
        <f t="shared" si="706"/>
        <v>4.4160058905600687E-2</v>
      </c>
      <c r="EN279" s="456">
        <f t="shared" si="707"/>
        <v>7.9516427114845953E-2</v>
      </c>
      <c r="EO279">
        <f t="shared" si="708"/>
        <v>7.1999999999999998E-3</v>
      </c>
      <c r="EP279" s="144">
        <f t="shared" si="709"/>
        <v>51.360058905600688</v>
      </c>
      <c r="EQ279" s="144"/>
      <c r="ER279" s="144">
        <f t="shared" si="710"/>
        <v>3044.4677184869456</v>
      </c>
      <c r="ES279" s="456">
        <f t="shared" si="711"/>
        <v>0.78749999999999998</v>
      </c>
      <c r="EV279" s="144">
        <f t="shared" si="712"/>
        <v>787.5</v>
      </c>
      <c r="EW279" s="456">
        <f t="shared" si="713"/>
        <v>6.4400837852866877E-2</v>
      </c>
      <c r="EX279" s="456">
        <f t="shared" si="714"/>
        <v>4.0242663762775632E-2</v>
      </c>
      <c r="EY279" s="456">
        <f t="shared" si="715"/>
        <v>41.935852026837779</v>
      </c>
      <c r="EZ279" s="456"/>
      <c r="FA279" s="456">
        <f t="shared" si="716"/>
        <v>7.1400000000000019E-2</v>
      </c>
      <c r="FB279" s="144">
        <f t="shared" si="717"/>
        <v>42111.895528453417</v>
      </c>
      <c r="FC279" s="150">
        <f t="shared" si="718"/>
        <v>45.943863246940367</v>
      </c>
      <c r="FD279" s="5">
        <f t="shared" si="719"/>
        <v>53.55</v>
      </c>
      <c r="FE279" s="150">
        <f t="shared" si="720"/>
        <v>0.53822415023819836</v>
      </c>
      <c r="FF279" s="5">
        <f t="shared" si="721"/>
        <v>53.822415023819836</v>
      </c>
      <c r="FI279" s="59">
        <f t="shared" si="676"/>
        <v>-50</v>
      </c>
      <c r="FJ279">
        <f t="shared" si="677"/>
        <v>-50</v>
      </c>
      <c r="FL279">
        <f t="shared" si="760"/>
        <v>0.65212961076013853</v>
      </c>
    </row>
    <row r="280" spans="5:168">
      <c r="E280" s="147">
        <v>64</v>
      </c>
      <c r="F280" s="188">
        <f t="shared" si="761"/>
        <v>0.32</v>
      </c>
      <c r="G280" s="188"/>
      <c r="H280" s="188">
        <f t="shared" ref="H280:H311" si="764">F280*Vout</f>
        <v>54.4</v>
      </c>
      <c r="I280" s="465">
        <f t="shared" ref="I280:I316" si="765">VIN_max-F280*(Rdcr_pri+RON/1000)/CG280/Nps</f>
        <v>15.951201167979091</v>
      </c>
      <c r="J280" s="149">
        <f t="shared" ref="J280:J316" si="766">(T280+Vfwd1+F280/CG280*Rdcr_sec)*Nps</f>
        <v>8.5399794726551956</v>
      </c>
      <c r="K280" s="149">
        <f t="shared" ref="K280:K316" si="767">(Vout+Vfwd1+F280/CG280*Rdcr_sec)*Nps+I280</f>
        <v>24.491180640634287</v>
      </c>
      <c r="L280" s="379"/>
      <c r="M280" s="188">
        <f t="shared" ref="M280:M316" si="768">(Vout+Vfwd1+F280/FL280*Rdcr_sec)*Nps/((Vout+Vfwd1+F280/FL280*Rdcr_sec)*Nps+I280)</f>
        <v>0.34869418490280907</v>
      </c>
      <c r="N280" s="149">
        <f t="shared" ref="N280:N311" si="769">M280*I280*(Isw_max+VIN_max/Lmag*ILIM_delay)*0.5*Efficiency</f>
        <v>186.2929708906251</v>
      </c>
      <c r="O280" s="149">
        <f t="shared" si="762"/>
        <v>54.4</v>
      </c>
      <c r="P280" s="188">
        <f t="shared" ref="P280:P311" si="770">N280/Vout</f>
        <v>1.0958410052389711</v>
      </c>
      <c r="Q280" s="188">
        <f t="shared" ref="Q280:Q316" si="771">MIN(Vout,N280/F280)</f>
        <v>170</v>
      </c>
      <c r="R280" s="188"/>
      <c r="S280" s="149">
        <f t="shared" ref="S280:S316" si="772">(SQRT(Isw_max^2*Nps^2*I280^2+4*Isw_max*F280/Efficiency*(Nps^2*Vfwd1*I280-Nps*I280^2)+4*(F280/Efficiency)^2*Nps^2*Vfwd1^2+8*(F280/Efficiency)^2*Nps*Vfwd1*I280+4*(F280/Efficiency)^2*I280^2)-2*F280/Efficiency*I280-2*F280/Efficiency*Nps*Vfwd1+Isw_max*Nps*I280)/(4*F280/Efficiency*Nps)</f>
        <v>1342.7256610194647</v>
      </c>
      <c r="T280" s="149">
        <f t="shared" ref="T280:T311" si="773">MIN(Vout, S280)</f>
        <v>170</v>
      </c>
      <c r="U280" s="188">
        <f t="shared" ref="U280:U316" si="774">MIN(2*(Vout+Vfwd1+F280/FL280*Rdcr_sec)*F280/(I280*M280), Isw_max)</f>
        <v>19.652826219722797</v>
      </c>
      <c r="V280" s="188">
        <f t="shared" ref="V280:V311" si="775">L*U280/I280*1000000</f>
        <v>1.8480889946245356</v>
      </c>
      <c r="W280" s="188">
        <f t="shared" ref="W280:W316" si="776">L*U280/J280*1000000</f>
        <v>3.4519098580946235</v>
      </c>
      <c r="X280" s="172">
        <f t="shared" ref="X280:X316" si="777">IF(1/((350000*L)*(1/I280+1/J280))&gt;Isw_min, 350, 0.001/((Isw_min*L)*(1/I280+1/J280)))</f>
        <v>278.10609161226421</v>
      </c>
      <c r="Y280" s="379">
        <f t="shared" si="680"/>
        <v>181.81821974482909</v>
      </c>
      <c r="AA280" s="188">
        <f t="shared" ref="AA280:AA316" si="778">1/((X280*1000*L)*(1/I280+1/J280))</f>
        <v>13.333333333333334</v>
      </c>
      <c r="AB280" s="150">
        <f t="shared" ref="AB280:AB311" si="779">L*AA280/J280*1000000</f>
        <v>2.3419260039253618</v>
      </c>
      <c r="AC280" s="150">
        <f t="shared" ref="AC280:AC311" si="780">0.5*AB280*AA280*Nps*X280/1000</f>
        <v>0.21710129593227021</v>
      </c>
      <c r="AD280" s="150"/>
      <c r="AE280" s="150">
        <f t="shared" ref="AE280:AE316" si="781">L*Isw_min/J280*1000000</f>
        <v>2.3419260039253618</v>
      </c>
      <c r="AF280" s="314">
        <f t="shared" ref="AF280:AF311" si="782">MAX(12000,F280/(0.5*AE280/1000000*Isw_min*Nps))/1000</f>
        <v>409.91901468744931</v>
      </c>
      <c r="AG280" s="456">
        <f t="shared" ref="AG280:AG316" si="783">0.5*AE280/1000000*Isw_min*Nps*X280*1000</f>
        <v>0.21710129593227018</v>
      </c>
      <c r="AI280" s="150">
        <f t="shared" ref="AI280:AI316" si="784">SQRT(F280/(0.5*L/J280*Fsw_DCM*Nps))</f>
        <v>14.429581867022938</v>
      </c>
      <c r="AJ280" s="150">
        <f t="shared" ref="AJ280:AJ311" si="785">MAX(IF(F280&gt;AC280,U280,AI280),Isw_min)</f>
        <v>19.652826219722797</v>
      </c>
      <c r="AK280" s="150">
        <f t="shared" ref="AK280:AK311" si="786">IF(F280&gt;AG280, (AJ280-Isw_min)/1.08*0.8+1.2, AF280*0.2/350+1)</f>
        <v>5.8811058417699726</v>
      </c>
      <c r="AM280" s="314">
        <f t="shared" ref="AM280:AM316" si="787">F280*1000</f>
        <v>320</v>
      </c>
      <c r="AN280" s="144">
        <f t="shared" ref="AN280:AN316" si="788">IF(F280&gt;AG280, Y280, AF280)</f>
        <v>181.81821974482909</v>
      </c>
      <c r="AP280">
        <f t="shared" ref="AP280:AP316" si="789">IF(H280&gt;N280, "",AM280)</f>
        <v>320</v>
      </c>
      <c r="AQ280">
        <f t="shared" ref="AQ280:AQ316" si="790">IF(H280&gt;N280, "",AN280)</f>
        <v>181.81821974482909</v>
      </c>
      <c r="AS280" s="5">
        <f t="shared" si="763"/>
        <v>5.499998852719159</v>
      </c>
      <c r="AT280" s="5">
        <f t="shared" ref="AT280:AT316" si="791">L*AJ280/I280*1000000</f>
        <v>1.8480889946245356</v>
      </c>
      <c r="AU280" s="5">
        <f t="shared" si="722"/>
        <v>3.6519098580946237</v>
      </c>
      <c r="AV280" s="5"/>
      <c r="AW280" s="150">
        <f t="shared" si="723"/>
        <v>0.33601625093264409</v>
      </c>
      <c r="AX280" s="150">
        <f t="shared" ref="AX280:AX316" si="792">0.5*L*AJ280^2*AN280*1000</f>
        <v>52.668226225857232</v>
      </c>
      <c r="AY280" s="150">
        <f t="shared" ref="AY280:AY316" si="793">AJ280*Nps/2*(1-AW280)</f>
        <v>0.32622893082851939</v>
      </c>
      <c r="AZ280" s="150">
        <f t="shared" ref="AZ280:AZ316" si="794">AX280/AY280</f>
        <v>161.44560230172235</v>
      </c>
      <c r="BA280" s="144">
        <f t="shared" si="724"/>
        <v>0.34787557545873615</v>
      </c>
      <c r="BB280" s="5">
        <f t="shared" si="725"/>
        <v>20.757464614342148</v>
      </c>
      <c r="BD280" s="150">
        <f t="shared" si="681"/>
        <v>6.5772526940932172</v>
      </c>
      <c r="BE280" s="150">
        <f t="shared" si="682"/>
        <v>0.46228852770460938</v>
      </c>
      <c r="BG280" s="456">
        <f t="shared" si="683"/>
        <v>0.14708486020665204</v>
      </c>
      <c r="BH280" s="456">
        <f t="shared" ref="BH280:BH316" si="795">0.5*K280*AJ280*AN280*1000*Tfall</f>
        <v>2.0959342487058712</v>
      </c>
      <c r="BI280" s="456">
        <f t="shared" ref="BI280:BI316" si="796">Qg*Vdd*AN280*1000*0+Qg*I280*AN280*1000</f>
        <v>0.13283003016123474</v>
      </c>
      <c r="BJ280" s="456">
        <f t="shared" si="684"/>
        <v>7.4704612216384261E-2</v>
      </c>
      <c r="BK280">
        <f t="shared" si="685"/>
        <v>7.1780405255905911E-3</v>
      </c>
      <c r="BL280" s="144">
        <f t="shared" si="686"/>
        <v>140.00807068682533</v>
      </c>
      <c r="BM280" s="456">
        <f t="shared" ref="BM280:BM316" si="797">(BH280+BI280*0+BJ280+BK280*0+BG280*(1+RdsonTC*(Ta-25)))/(1-BG280*RdsonTC*ThetaJA)</f>
        <v>2.442806270327559</v>
      </c>
      <c r="BN280" s="144">
        <f t="shared" si="687"/>
        <v>2442.8062703275591</v>
      </c>
      <c r="BO280" s="456">
        <f t="shared" ref="BO280:BO316" si="798">Vfwd2*F280</f>
        <v>0.8</v>
      </c>
      <c r="BR280" s="144">
        <f t="shared" si="688"/>
        <v>800</v>
      </c>
      <c r="BS280" s="456">
        <f t="shared" si="689"/>
        <v>6.4890379502934734E-2</v>
      </c>
      <c r="BT280" s="456">
        <f t="shared" si="690"/>
        <v>4.2742136569459077E-2</v>
      </c>
      <c r="BU280" s="456">
        <f t="shared" si="691"/>
        <v>38.161553148342414</v>
      </c>
      <c r="BV280" s="456"/>
      <c r="BW280" s="456">
        <f t="shared" si="692"/>
        <v>7.0224301634476308E-2</v>
      </c>
      <c r="BX280" s="144">
        <f t="shared" si="693"/>
        <v>38339.409966049279</v>
      </c>
      <c r="BY280" s="150">
        <f t="shared" si="694"/>
        <v>41.597141757865018</v>
      </c>
      <c r="BZ280" s="5">
        <f t="shared" si="695"/>
        <v>54.4</v>
      </c>
      <c r="CA280" s="150">
        <f t="shared" si="696"/>
        <v>0.56668353873716271</v>
      </c>
      <c r="CB280" s="5">
        <f t="shared" si="697"/>
        <v>56.668353873716271</v>
      </c>
      <c r="CE280" s="59">
        <f t="shared" ref="CE280:CE316" si="799">IF(ABS(F280-Ioutmax_Vinmax)&lt;Iout/200, AN280, -50)</f>
        <v>-50</v>
      </c>
      <c r="CF280">
        <f t="shared" ref="CF280:CF316" si="800">IF(ABS(F280-Ioutmax_Vinmin)&lt;Iout/200, N280*CA280, -50)</f>
        <v>-50</v>
      </c>
      <c r="CG280" s="150">
        <f t="shared" ref="CG280:CG316" si="801">MIN(SQRT(2*DU280*1000*Ls1_*CL280)/CU280,1-EA280-0.00000005*DU280*1000)</f>
        <v>0.64263833172406859</v>
      </c>
      <c r="CI280" s="147">
        <v>64</v>
      </c>
      <c r="CJ280" s="188">
        <f t="shared" si="698"/>
        <v>0.32</v>
      </c>
      <c r="CK280" s="188"/>
      <c r="CL280" s="188">
        <f t="shared" ref="CL280:CL316" si="802">CJ280*Vout</f>
        <v>54.4</v>
      </c>
      <c r="CM280" s="465">
        <f t="shared" ref="CM280:CM316" si="803">VIN_max</f>
        <v>16</v>
      </c>
      <c r="CN280" s="379">
        <f t="shared" ref="CN280:CN316" si="804">(CX280+Vfwd1)*Nps</f>
        <v>8.5350000000000001</v>
      </c>
      <c r="CO280" s="379">
        <f t="shared" ref="CO280:CO316" si="805">(Vout+Vfwd1)*Nps+CM280</f>
        <v>24.535</v>
      </c>
      <c r="CP280" s="379"/>
      <c r="CQ280" s="188">
        <f t="shared" ref="CQ280:CQ316" si="806">(Vout+Vfwd1)*Nps/((Vout+Vfwd1)*Nps+CM280)</f>
        <v>0.34787038923986141</v>
      </c>
      <c r="CR280" s="149">
        <f t="shared" ref="CR280:CR316" si="807">CQ280*CM280*(Isw_max+VIN_max/Lmag*ILIM_delay)*0.5*Efficiency</f>
        <v>186.42142245771345</v>
      </c>
      <c r="CS280" s="149">
        <f t="shared" ref="CS280:CS316" si="808">CX280*CJ280</f>
        <v>54.4</v>
      </c>
      <c r="CT280" s="188">
        <f t="shared" ref="CT280:CT316" si="809">CR280/Vout</f>
        <v>1.0965966026924321</v>
      </c>
      <c r="CU280" s="188">
        <f t="shared" ref="CU280:CU316" si="810">MIN(Vout,CR280/CJ280)</f>
        <v>170</v>
      </c>
      <c r="CV280" s="188"/>
      <c r="CW280" s="149">
        <f t="shared" ref="CW280:CW316" si="811">(SQRT(Isw_max^2*Nps^2*CM280^2+4*Isw_max*CJ280/Efficiency*(Nps^2*Vfwd1*CM280-Nps*CM280^2)+4*(CJ280/Efficiency)^2*Nps^2*Vfwd1^2+8*(CJ280/Efficiency)^2*Nps*Vfwd1*CM280+4*(CJ280/Efficiency)^2*CM280^2)-2*CJ280/Efficiency*CM280-2*CJ280/Efficiency*Nps*Vfwd1+Isw_max*Nps*CM280)/(4*CJ280/Efficiency*Nps)</f>
        <v>1346.8328963747526</v>
      </c>
      <c r="CX280" s="149">
        <f t="shared" ref="CX280:CX316" si="812">MIN(Vout, CW280)</f>
        <v>170</v>
      </c>
      <c r="CY280" s="188">
        <f t="shared" ref="CY280:CY316" si="813">MIN(2*Vout*CJ280/(Efficiency*CM280*CQ280), Isw_max)</f>
        <v>19.547510251903926</v>
      </c>
      <c r="CZ280" s="188">
        <f t="shared" ref="CZ280:CZ316" si="814">L*CY280/CM280*1000000</f>
        <v>1.8325790861159932</v>
      </c>
      <c r="DA280" s="188">
        <f t="shared" ref="DA280:DA316" si="815">L*CY280/CN280*1000000</f>
        <v>3.4354148070129926</v>
      </c>
      <c r="DB280" s="172">
        <f t="shared" ref="DB280:DB316" si="816">IF(1/((350000*L)*(1/CM280+1/CN280))&gt;Isw_min, 350, 0.001/((Isw_min*L)*(1/CM280+1/CN280)))</f>
        <v>278.29631139188916</v>
      </c>
      <c r="DC280" s="379">
        <f t="shared" ref="DC280:DC316" si="817">MIN(1/(CZ280+DA280)*1000, 350)</f>
        <v>189.82558072140029</v>
      </c>
      <c r="DE280" s="188">
        <f t="shared" ref="DE280:DE316" si="818">1/((DB280*1000*L)*(1/CM280+1/CN280))</f>
        <v>13.333333333333332</v>
      </c>
      <c r="DF280" s="150">
        <f t="shared" ref="DF280:DF316" si="819">L*DE280/CN280*1000000</f>
        <v>2.3432923257176332</v>
      </c>
      <c r="DG280" s="150">
        <f t="shared" ref="DG280:DG316" si="820">0.5*DF280*DE280*Nps*DB280/1000</f>
        <v>0.21737653692004619</v>
      </c>
      <c r="DH280" s="150"/>
      <c r="DI280" s="150">
        <f t="shared" ref="DI280:DI316" si="821">L*Isw_min/CN280*1000000</f>
        <v>2.3432923257176337</v>
      </c>
      <c r="DJ280" s="314">
        <f t="shared" ref="DJ280:DJ316" si="822">MAX(12000,CJ280/(0.5*DI280/1000000*Isw_min*Nps))/1000</f>
        <v>409.67999999999989</v>
      </c>
      <c r="DK280" s="456">
        <f t="shared" ref="DK280:DK316" si="823">0.5*DI280/1000000*Isw_min*Nps*DB280*1000</f>
        <v>0.21737653692004627</v>
      </c>
      <c r="DM280" s="150">
        <f t="shared" ref="DM280:DM316" si="824">SQRT(CJ280/(0.5*L/CN280*Fsw_DCM*Nps))</f>
        <v>14.425374469019117</v>
      </c>
      <c r="DN280" s="150">
        <f t="shared" ref="DN280:DN316" si="825">MAX(IF(CJ280&gt;DG280,CY280,DM280),Isw_min)</f>
        <v>19.547510251903926</v>
      </c>
      <c r="DO280" s="150">
        <f t="shared" ref="DO280:DO316" si="826">IF(CJ280&gt;DK280, (DN280-Isw_min)/1.08*0.8+1.2, DJ280*0.2/350+1)</f>
        <v>5.8030940137559943</v>
      </c>
      <c r="DQ280" s="314">
        <f t="shared" ref="DQ280:DQ316" si="827">CJ280*1000</f>
        <v>320</v>
      </c>
      <c r="DR280" s="144">
        <f t="shared" ref="DR280:DR316" si="828">IF(CJ280&gt;DK280, DC280, DJ280)</f>
        <v>189.82558072140029</v>
      </c>
      <c r="DT280">
        <f t="shared" ref="DT280:DT316" si="829">IF(CL280&gt;CR280, "",DQ280)</f>
        <v>320</v>
      </c>
      <c r="DU280">
        <f t="shared" ref="DU280:DU316" si="830">IF(CL280&gt;CR280, "",DR280)</f>
        <v>189.82558072140029</v>
      </c>
      <c r="DW280" s="5">
        <f t="shared" si="670"/>
        <v>5.2679938931289856</v>
      </c>
      <c r="DX280" s="5">
        <f t="shared" ref="DX280:DX316" si="831">L*DN280/CM280*1000000</f>
        <v>1.8325790861159932</v>
      </c>
      <c r="DY280" s="5">
        <f t="shared" ref="DY280:DY316" si="832">DW280-DX280</f>
        <v>3.4354148070129922</v>
      </c>
      <c r="DZ280" s="5"/>
      <c r="EA280" s="150">
        <f t="shared" ref="EA280:EA316" si="833">DX280/DW280</f>
        <v>0.34787038923986141</v>
      </c>
      <c r="EB280" s="150">
        <f t="shared" si="699"/>
        <v>54.4</v>
      </c>
      <c r="EC280" s="150">
        <f t="shared" si="700"/>
        <v>0.31868775629759821</v>
      </c>
      <c r="ED280" s="150">
        <f t="shared" si="701"/>
        <v>170.69999999999996</v>
      </c>
      <c r="EE280" s="144">
        <f t="shared" ref="EE280:EE316" si="834">CJ280*DX280/Vout_ripple*1000</f>
        <v>0.34495606326889283</v>
      </c>
      <c r="EF280" s="5">
        <f t="shared" ref="EF280:EF316" si="835">CL280/Efficiency/CM280*DY280/Vinripple1</f>
        <v>19.46735057307362</v>
      </c>
      <c r="EH280" s="150">
        <f t="shared" si="702"/>
        <v>6.6564021741715367</v>
      </c>
      <c r="EI280" s="150">
        <f t="shared" si="703"/>
        <v>0.45568820419901013</v>
      </c>
      <c r="EK280" s="456">
        <f t="shared" si="704"/>
        <v>0.15064614567467288</v>
      </c>
      <c r="EL280" s="456">
        <f t="shared" si="705"/>
        <v>2.7676160000000003</v>
      </c>
      <c r="EM280" s="456">
        <f t="shared" si="706"/>
        <v>4.347005798520067E-2</v>
      </c>
      <c r="EN280" s="456">
        <f t="shared" si="707"/>
        <v>7.8273982941176462E-2</v>
      </c>
      <c r="EO280">
        <f t="shared" si="708"/>
        <v>7.1999999999999998E-3</v>
      </c>
      <c r="EP280" s="144">
        <f t="shared" si="709"/>
        <v>50.670057985200671</v>
      </c>
      <c r="EQ280" s="144"/>
      <c r="ER280" s="144">
        <f t="shared" si="710"/>
        <v>3047.2061866010504</v>
      </c>
      <c r="ES280" s="456">
        <f t="shared" si="711"/>
        <v>0.8</v>
      </c>
      <c r="EV280" s="144">
        <f t="shared" si="712"/>
        <v>800</v>
      </c>
      <c r="EW280" s="456">
        <f t="shared" si="713"/>
        <v>6.6461534856473339E-2</v>
      </c>
      <c r="EX280" s="456">
        <f t="shared" si="714"/>
        <v>4.1530347889223752E-2</v>
      </c>
      <c r="EY280" s="456">
        <f t="shared" si="715"/>
        <v>41.935852026837779</v>
      </c>
      <c r="EZ280" s="456"/>
      <c r="FA280" s="456">
        <f t="shared" si="716"/>
        <v>7.2533333333333339E-2</v>
      </c>
      <c r="FB280" s="144">
        <f t="shared" si="717"/>
        <v>42116.377242916802</v>
      </c>
      <c r="FC280" s="150">
        <f t="shared" si="718"/>
        <v>45.963583429517861</v>
      </c>
      <c r="FD280" s="5">
        <f t="shared" si="719"/>
        <v>54.4</v>
      </c>
      <c r="FE280" s="150">
        <f t="shared" si="720"/>
        <v>0.54202927138610368</v>
      </c>
      <c r="FF280" s="5">
        <f t="shared" si="721"/>
        <v>54.20292713861037</v>
      </c>
      <c r="FI280" s="59">
        <f t="shared" ref="FI280:FI316" si="836">IF(ABS(CJ280-Ioutmax_Vinmax)&lt;Iout/200, DR280, -50)</f>
        <v>-50</v>
      </c>
      <c r="FJ280">
        <f t="shared" ref="FJ280:FJ316" si="837">IF(ABS(CJ280-Ioutmax_Vinmin)&lt;Iout/200, CR280*FE280, -50)</f>
        <v>-50</v>
      </c>
      <c r="FL280">
        <f t="shared" ref="FL280:FL316" si="838">MIN(SQRT(2*L*DR280*1000*CJ280*(CX280+Vfwd1))/(Nps*(CX280+Vfwd1)), 1-EA280)</f>
        <v>0.65212961076013864</v>
      </c>
    </row>
    <row r="281" spans="5:168">
      <c r="E281" s="147">
        <v>65</v>
      </c>
      <c r="F281" s="188">
        <f t="shared" ref="F281:F312" si="839">IF(PLOT_TYPE=1, E281/100*Iout_max, min_I*EXP(N281*rr/100))</f>
        <v>0.32500000000000001</v>
      </c>
      <c r="G281" s="188"/>
      <c r="H281" s="188">
        <f t="shared" si="764"/>
        <v>55.25</v>
      </c>
      <c r="I281" s="465">
        <f t="shared" si="765"/>
        <v>15.950449944945683</v>
      </c>
      <c r="J281" s="149">
        <f t="shared" si="766"/>
        <v>8.540056128066766</v>
      </c>
      <c r="K281" s="149">
        <f t="shared" si="767"/>
        <v>24.490506073012448</v>
      </c>
      <c r="L281" s="379"/>
      <c r="M281" s="188">
        <f t="shared" si="768"/>
        <v>0.34870691983213853</v>
      </c>
      <c r="N281" s="149">
        <f t="shared" si="769"/>
        <v>186.29100083786193</v>
      </c>
      <c r="O281" s="149">
        <f t="shared" si="762"/>
        <v>55.25</v>
      </c>
      <c r="P281" s="188">
        <f t="shared" si="770"/>
        <v>1.0958294166933054</v>
      </c>
      <c r="Q281" s="188">
        <f t="shared" si="771"/>
        <v>170</v>
      </c>
      <c r="R281" s="188"/>
      <c r="S281" s="149">
        <f t="shared" si="772"/>
        <v>1317.1040385406848</v>
      </c>
      <c r="T281" s="149">
        <f t="shared" si="773"/>
        <v>170</v>
      </c>
      <c r="U281" s="188">
        <f t="shared" si="774"/>
        <v>19.960291911361065</v>
      </c>
      <c r="V281" s="188">
        <f t="shared" si="775"/>
        <v>1.8770904877532315</v>
      </c>
      <c r="W281" s="188">
        <f t="shared" si="776"/>
        <v>3.5058830314525449</v>
      </c>
      <c r="X281" s="172">
        <f t="shared" si="777"/>
        <v>278.10315024045593</v>
      </c>
      <c r="Y281" s="379">
        <f t="shared" ref="Y281:Y316" si="840">MIN(1/(V281+W281+0.2)*1000, 350)</f>
        <v>179.1160206223328</v>
      </c>
      <c r="AA281" s="188">
        <f t="shared" si="778"/>
        <v>13.333333333333332</v>
      </c>
      <c r="AB281" s="150">
        <f t="shared" si="779"/>
        <v>2.341904982833813</v>
      </c>
      <c r="AC281" s="150">
        <f t="shared" si="780"/>
        <v>0.21709705109663477</v>
      </c>
      <c r="AD281" s="150"/>
      <c r="AE281" s="150">
        <f t="shared" si="781"/>
        <v>2.3419049828338134</v>
      </c>
      <c r="AF281" s="314">
        <f t="shared" si="782"/>
        <v>416.32773624325472</v>
      </c>
      <c r="AG281" s="456">
        <f t="shared" si="783"/>
        <v>0.21709705109663485</v>
      </c>
      <c r="AI281" s="150">
        <f t="shared" si="784"/>
        <v>14.541941290780622</v>
      </c>
      <c r="AJ281" s="150">
        <f t="shared" si="785"/>
        <v>19.960291911361065</v>
      </c>
      <c r="AK281" s="150">
        <f t="shared" si="786"/>
        <v>6.1088582059464676</v>
      </c>
      <c r="AM281" s="314">
        <f t="shared" si="787"/>
        <v>325</v>
      </c>
      <c r="AN281" s="144">
        <f t="shared" si="788"/>
        <v>179.1160206223328</v>
      </c>
      <c r="AP281">
        <f t="shared" si="789"/>
        <v>325</v>
      </c>
      <c r="AQ281">
        <f t="shared" si="790"/>
        <v>179.1160206223328</v>
      </c>
      <c r="AS281" s="5">
        <f t="shared" si="763"/>
        <v>5.5829735192057779</v>
      </c>
      <c r="AT281" s="5">
        <f t="shared" si="791"/>
        <v>1.8770904877532315</v>
      </c>
      <c r="AU281" s="5">
        <f t="shared" si="722"/>
        <v>3.7058830314525464</v>
      </c>
      <c r="AV281" s="5"/>
      <c r="AW281" s="150">
        <f t="shared" si="723"/>
        <v>0.33621697851439253</v>
      </c>
      <c r="AX281" s="150">
        <f t="shared" si="792"/>
        <v>53.521647355505905</v>
      </c>
      <c r="AY281" s="150">
        <f t="shared" si="793"/>
        <v>0.3312325718664495</v>
      </c>
      <c r="AZ281" s="150">
        <f t="shared" si="794"/>
        <v>161.58328588857933</v>
      </c>
      <c r="BA281" s="144">
        <f t="shared" si="724"/>
        <v>0.35885553442341195</v>
      </c>
      <c r="BB281" s="5">
        <f t="shared" si="725"/>
        <v>21.394384713750508</v>
      </c>
      <c r="BD281" s="150">
        <f t="shared" ref="BD281:BD316" si="841">AJ281*SQRT(AW281/3)</f>
        <v>6.6821478629389164</v>
      </c>
      <c r="BE281" s="150">
        <f t="shared" ref="BE281:BE316" si="842">AJ281*Nps*SQRT((1-AW281)/3)</f>
        <v>0.46944999112455044</v>
      </c>
      <c r="BG281" s="456">
        <f t="shared" ref="BG281:BG316" si="843">Rdson*BD281^2</f>
        <v>0.15181374021140903</v>
      </c>
      <c r="BH281" s="456">
        <f t="shared" si="795"/>
        <v>2.0970297788076806</v>
      </c>
      <c r="BI281" s="456">
        <f t="shared" si="796"/>
        <v>0.1308497353543665</v>
      </c>
      <c r="BJ281" s="456">
        <f t="shared" ref="BJ281:BJ316" si="844">0.5*(Coss+Csw)*K281^2*AN281*1000</f>
        <v>7.3590291386756365E-2</v>
      </c>
      <c r="BK281">
        <f t="shared" ref="BK281:BK316" si="845">I281*IQ</f>
        <v>7.177702475225557E-3</v>
      </c>
      <c r="BL281" s="144">
        <f t="shared" ref="BL281:BL316" si="846">(BK281+BI281)*1000</f>
        <v>138.02743782959206</v>
      </c>
      <c r="BM281" s="456">
        <f t="shared" si="797"/>
        <v>2.4518645923212516</v>
      </c>
      <c r="BN281" s="144">
        <f t="shared" ref="BN281:BN316" si="847">BM281*1000</f>
        <v>2451.8645923212516</v>
      </c>
      <c r="BO281" s="456">
        <f t="shared" si="798"/>
        <v>0.8125</v>
      </c>
      <c r="BR281" s="144">
        <f t="shared" ref="BR281:BR316" si="848">SUM(BO281:BQ281)*1000</f>
        <v>812.5</v>
      </c>
      <c r="BS281" s="456">
        <f t="shared" ref="BS281:BS316" si="849">Rdcr_pri*BD281^2</f>
        <v>6.6976650093268683E-2</v>
      </c>
      <c r="BT281" s="456">
        <f t="shared" ref="BT281:BT316" si="850">Rdcr_sec*BE281^2</f>
        <v>4.4076658833368101E-2</v>
      </c>
      <c r="BU281" s="456">
        <f t="shared" ref="BU281:BU316" si="851">AJ281^2.5*AN281^2.5*k_core</f>
        <v>38.214070936426928</v>
      </c>
      <c r="BV281" s="456"/>
      <c r="BW281" s="456">
        <f t="shared" ref="BW281:BW316" si="852">0.5*Lleak*0.000000001*AJ281^2*AN281*1000</f>
        <v>7.1362196474007891E-2</v>
      </c>
      <c r="BX281" s="144">
        <f t="shared" ref="BX281:BX316" si="853">SUM(BS281:BW281)*1000</f>
        <v>38396.486441827568</v>
      </c>
      <c r="BY281" s="150">
        <f t="shared" ref="BY281:BY316" si="854">SUM(BG281:BK281,BO281:BQ281,BS281:BW281)</f>
        <v>41.669447690063009</v>
      </c>
      <c r="BZ281" s="5">
        <f t="shared" ref="BZ281:BZ316" si="855">MIN(H281,O281)</f>
        <v>55.25</v>
      </c>
      <c r="CA281" s="150">
        <f t="shared" ref="CA281:CA316" si="856">BZ281/(BZ281+BY281)</f>
        <v>0.57006102817138415</v>
      </c>
      <c r="CB281" s="5">
        <f t="shared" ref="CB281:CB316" si="857">CA281*100</f>
        <v>57.006102817138412</v>
      </c>
      <c r="CE281" s="59">
        <f t="shared" si="799"/>
        <v>-50</v>
      </c>
      <c r="CF281">
        <f t="shared" si="800"/>
        <v>-50</v>
      </c>
      <c r="CG281" s="150">
        <f t="shared" si="801"/>
        <v>0.64278435140154666</v>
      </c>
      <c r="CI281" s="147">
        <v>65</v>
      </c>
      <c r="CJ281" s="188">
        <f t="shared" ref="CJ281:CJ316" si="858">IF(PLOT_TYPE=1, CI281/100*Iout_max, min_I*EXP(CR281*rr/100))</f>
        <v>0.32500000000000001</v>
      </c>
      <c r="CK281" s="188"/>
      <c r="CL281" s="188">
        <f t="shared" si="802"/>
        <v>55.25</v>
      </c>
      <c r="CM281" s="465">
        <f t="shared" si="803"/>
        <v>16</v>
      </c>
      <c r="CN281" s="379">
        <f t="shared" si="804"/>
        <v>8.5350000000000001</v>
      </c>
      <c r="CO281" s="379">
        <f t="shared" si="805"/>
        <v>24.535</v>
      </c>
      <c r="CP281" s="379"/>
      <c r="CQ281" s="188">
        <f t="shared" si="806"/>
        <v>0.34787038923986141</v>
      </c>
      <c r="CR281" s="149">
        <f t="shared" si="807"/>
        <v>186.42142245771345</v>
      </c>
      <c r="CS281" s="149">
        <f t="shared" si="808"/>
        <v>55.25</v>
      </c>
      <c r="CT281" s="188">
        <f t="shared" si="809"/>
        <v>1.0965966026924321</v>
      </c>
      <c r="CU281" s="188">
        <f t="shared" si="810"/>
        <v>170</v>
      </c>
      <c r="CV281" s="188"/>
      <c r="CW281" s="149">
        <f t="shared" si="811"/>
        <v>1321.1950947144369</v>
      </c>
      <c r="CX281" s="149">
        <f t="shared" si="812"/>
        <v>170</v>
      </c>
      <c r="CY281" s="188">
        <f t="shared" si="813"/>
        <v>19.852940099589926</v>
      </c>
      <c r="CZ281" s="188">
        <f t="shared" si="814"/>
        <v>1.8612131343365557</v>
      </c>
      <c r="DA281" s="188">
        <f t="shared" si="815"/>
        <v>3.4890931633725706</v>
      </c>
      <c r="DB281" s="172">
        <f t="shared" si="816"/>
        <v>278.29631139188916</v>
      </c>
      <c r="DC281" s="379">
        <f t="shared" si="817"/>
        <v>186.90518717184025</v>
      </c>
      <c r="DE281" s="188">
        <f t="shared" si="818"/>
        <v>13.333333333333332</v>
      </c>
      <c r="DF281" s="150">
        <f t="shared" si="819"/>
        <v>2.3432923257176332</v>
      </c>
      <c r="DG281" s="150">
        <f t="shared" si="820"/>
        <v>0.21737653692004619</v>
      </c>
      <c r="DH281" s="150"/>
      <c r="DI281" s="150">
        <f t="shared" si="821"/>
        <v>2.3432923257176337</v>
      </c>
      <c r="DJ281" s="314">
        <f t="shared" si="822"/>
        <v>416.0812499999999</v>
      </c>
      <c r="DK281" s="456">
        <f t="shared" si="823"/>
        <v>0.21737653692004627</v>
      </c>
      <c r="DM281" s="150">
        <f t="shared" si="824"/>
        <v>14.537635885619681</v>
      </c>
      <c r="DN281" s="150">
        <f t="shared" si="825"/>
        <v>19.852940099589926</v>
      </c>
      <c r="DO281" s="150">
        <f t="shared" si="826"/>
        <v>6.0293383453752538</v>
      </c>
      <c r="DQ281" s="314">
        <f t="shared" si="827"/>
        <v>325</v>
      </c>
      <c r="DR281" s="144">
        <f t="shared" si="828"/>
        <v>186.90518717184025</v>
      </c>
      <c r="DT281">
        <f t="shared" si="829"/>
        <v>325</v>
      </c>
      <c r="DU281">
        <f t="shared" si="830"/>
        <v>186.90518717184025</v>
      </c>
      <c r="DW281" s="5">
        <f t="shared" ref="DW281:DW316" si="859">1/DR281*1000</f>
        <v>5.3503062977091265</v>
      </c>
      <c r="DX281" s="5">
        <f t="shared" si="831"/>
        <v>1.8612131343365557</v>
      </c>
      <c r="DY281" s="5">
        <f t="shared" si="832"/>
        <v>3.489093163372571</v>
      </c>
      <c r="DZ281" s="5"/>
      <c r="EA281" s="150">
        <f t="shared" si="833"/>
        <v>0.34787038923986141</v>
      </c>
      <c r="EB281" s="150">
        <f t="shared" ref="EB281:EB316" si="860">0.5*L*DN281^2*DR281*1000</f>
        <v>55.25</v>
      </c>
      <c r="EC281" s="150">
        <f t="shared" ref="EC281:EC316" si="861">DN281*Nps/2*(1-EA281)</f>
        <v>0.32366725248974815</v>
      </c>
      <c r="ED281" s="150">
        <f t="shared" ref="ED281:ED316" si="862">EB281/EC281</f>
        <v>170.69999999999996</v>
      </c>
      <c r="EE281" s="144">
        <f t="shared" si="834"/>
        <v>0.35582015803492972</v>
      </c>
      <c r="EF281" s="5">
        <f t="shared" si="835"/>
        <v>20.08045804961818</v>
      </c>
      <c r="EH281" s="150">
        <f t="shared" ref="EH281:EH316" si="863">DN281*SQRT(EA281/3)</f>
        <v>6.7604084581429671</v>
      </c>
      <c r="EI281" s="150">
        <f t="shared" ref="EI281:EI316" si="864">DN281*Nps*SQRT((1-EA281)/3)</f>
        <v>0.4628083323896196</v>
      </c>
      <c r="EK281" s="456">
        <f t="shared" ref="EK281:EK316" si="865">Rdson*EH281^2</f>
        <v>0.15539061657116529</v>
      </c>
      <c r="EL281" s="456">
        <f t="shared" ref="EL281:EL316" si="866">0.5*CO281*DN281*DR281*1000*Trise</f>
        <v>2.7676159999999994</v>
      </c>
      <c r="EM281" s="456">
        <f t="shared" ref="EM281:EM316" si="867">Qg*Vdd*DR281*1000</f>
        <v>4.280128786235142E-2</v>
      </c>
      <c r="EN281" s="456">
        <f t="shared" ref="EN281:EN316" si="868">0.5*(Coss+Csw)*CO281^2*DR281*1000</f>
        <v>7.70697678190045E-2</v>
      </c>
      <c r="EO281">
        <f t="shared" ref="EO281:EO316" si="869">CM281*IQ</f>
        <v>7.1999999999999998E-3</v>
      </c>
      <c r="EP281" s="144">
        <f t="shared" ref="EP281:EP316" si="870">(EO281+EM281)*1000</f>
        <v>50.001287862351418</v>
      </c>
      <c r="EQ281" s="144"/>
      <c r="ER281" s="144">
        <f t="shared" ref="ER281:ER316" si="871">SUM(EK281:EO281)*1000</f>
        <v>3050.0776722525211</v>
      </c>
      <c r="ES281" s="456">
        <f t="shared" ref="ES281:ES316" si="872">Vfwd2*CJ281</f>
        <v>0.8125</v>
      </c>
      <c r="EV281" s="144">
        <f t="shared" ref="EV281:EV316" si="873">SUM(ES281:EU281)*1000</f>
        <v>812.5</v>
      </c>
      <c r="EW281" s="456">
        <f t="shared" ref="EW281:EW316" si="874">Rdcr_pri*EH281^2</f>
        <v>6.8554683781396453E-2</v>
      </c>
      <c r="EX281" s="456">
        <f t="shared" ref="EX281:EX316" si="875">Rdcr_sec*EI281^2</f>
        <v>4.2838310505852129E-2</v>
      </c>
      <c r="EY281" s="456">
        <f t="shared" ref="EY281:EY316" si="876">DN281^2.5*DR281^2.5*k_core</f>
        <v>41.935852026837821</v>
      </c>
      <c r="EZ281" s="456"/>
      <c r="FA281" s="456">
        <f t="shared" ref="FA281:FA316" si="877">0.5*Lleak*0.000000001*DN281^2*DR281*1000</f>
        <v>7.3666666666666672E-2</v>
      </c>
      <c r="FB281" s="144">
        <f t="shared" ref="FB281:FB316" si="878">SUM(EW281:FA281)*1000</f>
        <v>42120.91168779174</v>
      </c>
      <c r="FC281" s="150">
        <f t="shared" ref="FC281:FC316" si="879">SUM(EK281:EO281,ES281:EU281,EW281:FA281)</f>
        <v>45.98348936004426</v>
      </c>
      <c r="FD281" s="5">
        <f t="shared" ref="FD281:FD316" si="880">MIN(CL281,CS281)</f>
        <v>55.25</v>
      </c>
      <c r="FE281" s="150">
        <f t="shared" ref="FE281:FE316" si="881">FD281/(FD281+FC281)</f>
        <v>0.5457680096701929</v>
      </c>
      <c r="FF281" s="5">
        <f t="shared" ref="FF281:FF316" si="882">FE281*100</f>
        <v>54.576800967019288</v>
      </c>
      <c r="FI281" s="59">
        <f t="shared" si="836"/>
        <v>-50</v>
      </c>
      <c r="FJ281">
        <f t="shared" si="837"/>
        <v>-50</v>
      </c>
      <c r="FL281">
        <f t="shared" si="838"/>
        <v>0.65212961076013864</v>
      </c>
    </row>
    <row r="282" spans="5:168">
      <c r="E282" s="147">
        <v>66</v>
      </c>
      <c r="F282" s="188">
        <f t="shared" si="839"/>
        <v>0.33</v>
      </c>
      <c r="G282" s="188"/>
      <c r="H282" s="188">
        <f t="shared" si="764"/>
        <v>56.1</v>
      </c>
      <c r="I282" s="465">
        <f t="shared" si="765"/>
        <v>15.949698716953147</v>
      </c>
      <c r="J282" s="149">
        <f t="shared" si="766"/>
        <v>8.5401327839843724</v>
      </c>
      <c r="K282" s="149">
        <f t="shared" si="767"/>
        <v>24.48983150093752</v>
      </c>
      <c r="L282" s="379"/>
      <c r="M282" s="188">
        <f t="shared" si="768"/>
        <v>0.34871965553363016</v>
      </c>
      <c r="N282" s="149">
        <f t="shared" si="769"/>
        <v>186.28903049882672</v>
      </c>
      <c r="O282" s="149">
        <f t="shared" si="762"/>
        <v>56.1</v>
      </c>
      <c r="P282" s="188">
        <f t="shared" si="770"/>
        <v>1.0958178264636866</v>
      </c>
      <c r="Q282" s="188">
        <f t="shared" si="771"/>
        <v>170</v>
      </c>
      <c r="R282" s="188"/>
      <c r="S282" s="149">
        <f t="shared" si="772"/>
        <v>1292.2594054502326</v>
      </c>
      <c r="T282" s="149">
        <f t="shared" si="773"/>
        <v>170</v>
      </c>
      <c r="U282" s="188">
        <f t="shared" si="774"/>
        <v>20.267769651202194</v>
      </c>
      <c r="V282" s="188">
        <f t="shared" si="775"/>
        <v>1.9060958464681823</v>
      </c>
      <c r="W282" s="188">
        <f t="shared" si="776"/>
        <v>3.5598573518454701</v>
      </c>
      <c r="X282" s="172">
        <f t="shared" si="777"/>
        <v>278.10020845204787</v>
      </c>
      <c r="Y282" s="379">
        <f t="shared" si="840"/>
        <v>176.49280977075986</v>
      </c>
      <c r="AA282" s="188">
        <f t="shared" si="778"/>
        <v>13.333333333333334</v>
      </c>
      <c r="AB282" s="150">
        <f t="shared" si="779"/>
        <v>2.3418839619808653</v>
      </c>
      <c r="AC282" s="150">
        <f t="shared" si="780"/>
        <v>0.21709280599912884</v>
      </c>
      <c r="AD282" s="150"/>
      <c r="AE282" s="150">
        <f t="shared" si="781"/>
        <v>2.3418839619808653</v>
      </c>
      <c r="AF282" s="314">
        <f t="shared" si="782"/>
        <v>422.73657280722637</v>
      </c>
      <c r="AG282" s="456">
        <f t="shared" si="783"/>
        <v>0.21709280599912884</v>
      </c>
      <c r="AI282" s="150">
        <f t="shared" si="784"/>
        <v>14.653441185221645</v>
      </c>
      <c r="AJ282" s="150">
        <f t="shared" si="785"/>
        <v>20.267769651202194</v>
      </c>
      <c r="AK282" s="150">
        <f t="shared" si="786"/>
        <v>6.3366194947176746</v>
      </c>
      <c r="AM282" s="314">
        <f t="shared" si="787"/>
        <v>330</v>
      </c>
      <c r="AN282" s="144">
        <f t="shared" si="788"/>
        <v>176.49280977075986</v>
      </c>
      <c r="AP282">
        <f t="shared" si="789"/>
        <v>330</v>
      </c>
      <c r="AQ282">
        <f t="shared" si="790"/>
        <v>176.49280977075986</v>
      </c>
      <c r="AS282" s="5">
        <f t="shared" si="763"/>
        <v>5.6659531983136535</v>
      </c>
      <c r="AT282" s="5">
        <f t="shared" si="791"/>
        <v>1.9060958464681823</v>
      </c>
      <c r="AU282" s="5">
        <f t="shared" si="722"/>
        <v>3.7598573518454712</v>
      </c>
      <c r="AV282" s="5"/>
      <c r="AW282" s="150">
        <f t="shared" si="723"/>
        <v>0.33641221163554436</v>
      </c>
      <c r="AX282" s="150">
        <f t="shared" si="792"/>
        <v>54.375116453016219</v>
      </c>
      <c r="AY282" s="150">
        <f t="shared" si="793"/>
        <v>0.33623611094803751</v>
      </c>
      <c r="AZ282" s="150">
        <f t="shared" si="794"/>
        <v>161.7170633448691</v>
      </c>
      <c r="BA282" s="144">
        <f t="shared" si="724"/>
        <v>0.37000684078500007</v>
      </c>
      <c r="BB282" s="5">
        <f t="shared" si="725"/>
        <v>22.040959433540138</v>
      </c>
      <c r="BD282" s="150">
        <f t="shared" si="841"/>
        <v>6.7870524979492437</v>
      </c>
      <c r="BE282" s="150">
        <f t="shared" si="842"/>
        <v>0.47661151353804876</v>
      </c>
      <c r="BG282" s="456">
        <f t="shared" si="843"/>
        <v>0.15661787747372483</v>
      </c>
      <c r="BH282" s="456">
        <f t="shared" si="795"/>
        <v>2.098090859299965</v>
      </c>
      <c r="BI282" s="456">
        <f t="shared" si="796"/>
        <v>0.12892732708308821</v>
      </c>
      <c r="BJ282" s="456">
        <f t="shared" si="844"/>
        <v>7.2508543713196927E-2</v>
      </c>
      <c r="BK282">
        <f t="shared" si="845"/>
        <v>7.1773644226289157E-3</v>
      </c>
      <c r="BL282" s="144">
        <f t="shared" si="846"/>
        <v>136.10469150571714</v>
      </c>
      <c r="BM282" s="456">
        <f t="shared" si="797"/>
        <v>2.4610870833037648</v>
      </c>
      <c r="BN282" s="144">
        <f t="shared" si="847"/>
        <v>2461.0870833037648</v>
      </c>
      <c r="BO282" s="456">
        <f t="shared" si="798"/>
        <v>0.82500000000000007</v>
      </c>
      <c r="BR282" s="144">
        <f t="shared" si="848"/>
        <v>825.00000000000011</v>
      </c>
      <c r="BS282" s="456">
        <f t="shared" si="849"/>
        <v>6.9096122414878614E-2</v>
      </c>
      <c r="BT282" s="456">
        <f t="shared" si="850"/>
        <v>4.5431706967405928E-2</v>
      </c>
      <c r="BU282" s="456">
        <f t="shared" si="851"/>
        <v>38.265064226987832</v>
      </c>
      <c r="BV282" s="456"/>
      <c r="BW282" s="456">
        <f t="shared" si="852"/>
        <v>7.2500155270688288E-2</v>
      </c>
      <c r="BX282" s="144">
        <f t="shared" si="853"/>
        <v>38452.092211640804</v>
      </c>
      <c r="BY282" s="150">
        <f t="shared" si="854"/>
        <v>41.740414183633412</v>
      </c>
      <c r="BZ282" s="5">
        <f t="shared" si="855"/>
        <v>56.1</v>
      </c>
      <c r="CA282" s="150">
        <f t="shared" si="856"/>
        <v>0.57338269127425989</v>
      </c>
      <c r="CB282" s="5">
        <f t="shared" si="857"/>
        <v>57.338269127425988</v>
      </c>
      <c r="CE282" s="59">
        <f t="shared" si="799"/>
        <v>-50</v>
      </c>
      <c r="CF282">
        <f t="shared" si="800"/>
        <v>-50</v>
      </c>
      <c r="CG282" s="150">
        <f t="shared" si="801"/>
        <v>0.64292594624031318</v>
      </c>
      <c r="CI282" s="147">
        <v>66</v>
      </c>
      <c r="CJ282" s="188">
        <f t="shared" si="858"/>
        <v>0.33</v>
      </c>
      <c r="CK282" s="188"/>
      <c r="CL282" s="188">
        <f t="shared" si="802"/>
        <v>56.1</v>
      </c>
      <c r="CM282" s="465">
        <f t="shared" si="803"/>
        <v>16</v>
      </c>
      <c r="CN282" s="379">
        <f t="shared" si="804"/>
        <v>8.5350000000000001</v>
      </c>
      <c r="CO282" s="379">
        <f t="shared" si="805"/>
        <v>24.535</v>
      </c>
      <c r="CP282" s="379"/>
      <c r="CQ282" s="188">
        <f t="shared" si="806"/>
        <v>0.34787038923986141</v>
      </c>
      <c r="CR282" s="149">
        <f t="shared" si="807"/>
        <v>186.42142245771345</v>
      </c>
      <c r="CS282" s="149">
        <f t="shared" si="808"/>
        <v>56.1</v>
      </c>
      <c r="CT282" s="188">
        <f t="shared" si="809"/>
        <v>1.0965966026924321</v>
      </c>
      <c r="CU282" s="188">
        <f t="shared" si="810"/>
        <v>170</v>
      </c>
      <c r="CV282" s="188"/>
      <c r="CW282" s="149">
        <f t="shared" si="811"/>
        <v>1296.3343178372156</v>
      </c>
      <c r="CX282" s="149">
        <f t="shared" si="812"/>
        <v>170</v>
      </c>
      <c r="CY282" s="188">
        <f t="shared" si="813"/>
        <v>20.158369947275922</v>
      </c>
      <c r="CZ282" s="188">
        <f t="shared" si="814"/>
        <v>1.8898471825571177</v>
      </c>
      <c r="DA282" s="188">
        <f t="shared" si="815"/>
        <v>3.5427715197321477</v>
      </c>
      <c r="DB282" s="172">
        <f t="shared" si="816"/>
        <v>278.29631139188916</v>
      </c>
      <c r="DC282" s="379">
        <f t="shared" si="817"/>
        <v>184.07329039650938</v>
      </c>
      <c r="DE282" s="188">
        <f t="shared" si="818"/>
        <v>13.333333333333332</v>
      </c>
      <c r="DF282" s="150">
        <f t="shared" si="819"/>
        <v>2.3432923257176332</v>
      </c>
      <c r="DG282" s="150">
        <f t="shared" si="820"/>
        <v>0.21737653692004619</v>
      </c>
      <c r="DH282" s="150"/>
      <c r="DI282" s="150">
        <f t="shared" si="821"/>
        <v>2.3432923257176337</v>
      </c>
      <c r="DJ282" s="314">
        <f t="shared" si="822"/>
        <v>422.4824999999999</v>
      </c>
      <c r="DK282" s="456">
        <f t="shared" si="823"/>
        <v>0.21737653692004627</v>
      </c>
      <c r="DM282" s="150">
        <f t="shared" si="824"/>
        <v>14.649037023445796</v>
      </c>
      <c r="DN282" s="150">
        <f t="shared" si="825"/>
        <v>20.158369947275922</v>
      </c>
      <c r="DO282" s="150">
        <f t="shared" si="826"/>
        <v>6.2555826769945098</v>
      </c>
      <c r="DQ282" s="314">
        <f t="shared" si="827"/>
        <v>330</v>
      </c>
      <c r="DR282" s="144">
        <f t="shared" si="828"/>
        <v>184.07329039650938</v>
      </c>
      <c r="DT282">
        <f t="shared" si="829"/>
        <v>330</v>
      </c>
      <c r="DU282">
        <f t="shared" si="830"/>
        <v>184.07329039650938</v>
      </c>
      <c r="DW282" s="5">
        <f t="shared" si="859"/>
        <v>5.4326187022892656</v>
      </c>
      <c r="DX282" s="5">
        <f t="shared" si="831"/>
        <v>1.8898471825571177</v>
      </c>
      <c r="DY282" s="5">
        <f t="shared" si="832"/>
        <v>3.5427715197321481</v>
      </c>
      <c r="DZ282" s="5"/>
      <c r="EA282" s="150">
        <f t="shared" si="833"/>
        <v>0.34787038923986141</v>
      </c>
      <c r="EB282" s="150">
        <f t="shared" si="860"/>
        <v>56.099999999999987</v>
      </c>
      <c r="EC282" s="150">
        <f t="shared" si="861"/>
        <v>0.32864674868189814</v>
      </c>
      <c r="ED282" s="150">
        <f t="shared" si="862"/>
        <v>170.69999999999993</v>
      </c>
      <c r="EE282" s="144">
        <f t="shared" si="834"/>
        <v>0.36685268837873458</v>
      </c>
      <c r="EF282" s="5">
        <f t="shared" si="835"/>
        <v>20.703071068434738</v>
      </c>
      <c r="EH282" s="150">
        <f t="shared" si="863"/>
        <v>6.8644147421143966</v>
      </c>
      <c r="EI282" s="150">
        <f t="shared" si="864"/>
        <v>0.46992846058022913</v>
      </c>
      <c r="EK282" s="456">
        <f t="shared" si="865"/>
        <v>0.16020864515597535</v>
      </c>
      <c r="EL282" s="456">
        <f t="shared" si="866"/>
        <v>2.7676160000000003</v>
      </c>
      <c r="EM282" s="456">
        <f t="shared" si="867"/>
        <v>4.215278350080065E-2</v>
      </c>
      <c r="EN282" s="456">
        <f t="shared" si="868"/>
        <v>7.5902044064171115E-2</v>
      </c>
      <c r="EO282">
        <f t="shared" si="869"/>
        <v>7.1999999999999998E-3</v>
      </c>
      <c r="EP282" s="144">
        <f t="shared" si="870"/>
        <v>49.352783500800648</v>
      </c>
      <c r="EQ282" s="144"/>
      <c r="ER282" s="144">
        <f t="shared" si="871"/>
        <v>3053.0794727209473</v>
      </c>
      <c r="ES282" s="456">
        <f t="shared" si="872"/>
        <v>0.82500000000000007</v>
      </c>
      <c r="EV282" s="144">
        <f t="shared" si="873"/>
        <v>825.00000000000011</v>
      </c>
      <c r="EW282" s="456">
        <f t="shared" si="874"/>
        <v>7.0680284627636189E-2</v>
      </c>
      <c r="EX282" s="456">
        <f t="shared" si="875"/>
        <v>4.4166551612660795E-2</v>
      </c>
      <c r="EY282" s="456">
        <f t="shared" si="876"/>
        <v>41.935852026837857</v>
      </c>
      <c r="EZ282" s="456"/>
      <c r="FA282" s="456">
        <f t="shared" si="877"/>
        <v>7.4800000000000005E-2</v>
      </c>
      <c r="FB282" s="144">
        <f t="shared" si="878"/>
        <v>42125.498863078159</v>
      </c>
      <c r="FC282" s="150">
        <f t="shared" si="879"/>
        <v>46.003578335799105</v>
      </c>
      <c r="FD282" s="5">
        <f t="shared" si="880"/>
        <v>56.1</v>
      </c>
      <c r="FE282" s="150">
        <f t="shared" si="881"/>
        <v>0.54944205594340534</v>
      </c>
      <c r="FF282" s="5">
        <f t="shared" si="882"/>
        <v>54.944205594340531</v>
      </c>
      <c r="FI282" s="59">
        <f t="shared" si="836"/>
        <v>-50</v>
      </c>
      <c r="FJ282">
        <f t="shared" si="837"/>
        <v>-50</v>
      </c>
      <c r="FL282">
        <f t="shared" si="838"/>
        <v>0.65212961076013864</v>
      </c>
    </row>
    <row r="283" spans="5:168">
      <c r="E283" s="147">
        <v>67</v>
      </c>
      <c r="F283" s="188">
        <f t="shared" si="839"/>
        <v>0.33500000000000002</v>
      </c>
      <c r="G283" s="188"/>
      <c r="H283" s="188">
        <f t="shared" si="764"/>
        <v>56.95</v>
      </c>
      <c r="I283" s="465">
        <f t="shared" si="765"/>
        <v>15.948947484226663</v>
      </c>
      <c r="J283" s="149">
        <f t="shared" si="766"/>
        <v>8.5402094403850342</v>
      </c>
      <c r="K283" s="149">
        <f t="shared" si="767"/>
        <v>24.489156924611699</v>
      </c>
      <c r="L283" s="379"/>
      <c r="M283" s="188">
        <f t="shared" si="768"/>
        <v>0.34873239200414902</v>
      </c>
      <c r="N283" s="149">
        <f t="shared" si="769"/>
        <v>186.28705987441029</v>
      </c>
      <c r="O283" s="149">
        <f t="shared" si="762"/>
        <v>56.95</v>
      </c>
      <c r="P283" s="188">
        <f t="shared" si="770"/>
        <v>1.0958062345553548</v>
      </c>
      <c r="Q283" s="188">
        <f t="shared" si="771"/>
        <v>170</v>
      </c>
      <c r="R283" s="188"/>
      <c r="S283" s="149">
        <f t="shared" si="772"/>
        <v>1268.156972543853</v>
      </c>
      <c r="T283" s="149">
        <f t="shared" si="773"/>
        <v>170</v>
      </c>
      <c r="U283" s="188">
        <f t="shared" si="774"/>
        <v>20.575259440947612</v>
      </c>
      <c r="V283" s="188">
        <f t="shared" si="775"/>
        <v>1.9351050714753737</v>
      </c>
      <c r="W283" s="188">
        <f t="shared" si="776"/>
        <v>3.6138328195414804</v>
      </c>
      <c r="X283" s="172">
        <f t="shared" si="777"/>
        <v>278.09726624788124</v>
      </c>
      <c r="Y283" s="379">
        <f t="shared" si="840"/>
        <v>173.94517369244411</v>
      </c>
      <c r="AA283" s="188">
        <f t="shared" si="778"/>
        <v>13.333333333333336</v>
      </c>
      <c r="AB283" s="150">
        <f t="shared" si="779"/>
        <v>2.3418629413728183</v>
      </c>
      <c r="AC283" s="150">
        <f t="shared" si="780"/>
        <v>0.21708856064100104</v>
      </c>
      <c r="AD283" s="150"/>
      <c r="AE283" s="150">
        <f t="shared" si="781"/>
        <v>2.3418629413728178</v>
      </c>
      <c r="AF283" s="314">
        <f t="shared" si="782"/>
        <v>429.14552437934788</v>
      </c>
      <c r="AG283" s="456">
        <f t="shared" si="783"/>
        <v>0.21708856064100099</v>
      </c>
      <c r="AI283" s="150">
        <f t="shared" si="784"/>
        <v>14.764101024099894</v>
      </c>
      <c r="AJ283" s="150">
        <f t="shared" si="785"/>
        <v>20.575259440947612</v>
      </c>
      <c r="AK283" s="150">
        <f t="shared" si="786"/>
        <v>6.5643897093439101</v>
      </c>
      <c r="AM283" s="314">
        <f t="shared" si="787"/>
        <v>335</v>
      </c>
      <c r="AN283" s="144">
        <f t="shared" si="788"/>
        <v>173.94517369244411</v>
      </c>
      <c r="AP283">
        <f t="shared" si="789"/>
        <v>335</v>
      </c>
      <c r="AQ283">
        <f t="shared" si="790"/>
        <v>173.94517369244411</v>
      </c>
      <c r="AS283" s="5">
        <f t="shared" si="763"/>
        <v>5.7489378910168538</v>
      </c>
      <c r="AT283" s="5">
        <f t="shared" si="791"/>
        <v>1.9351050714753737</v>
      </c>
      <c r="AU283" s="5">
        <f t="shared" si="722"/>
        <v>3.8138328195414801</v>
      </c>
      <c r="AV283" s="5"/>
      <c r="AW283" s="150">
        <f t="shared" si="723"/>
        <v>0.33660218777091339</v>
      </c>
      <c r="AX283" s="150">
        <f t="shared" si="792"/>
        <v>55.228632108350794</v>
      </c>
      <c r="AY283" s="150">
        <f t="shared" si="793"/>
        <v>0.34123955247926263</v>
      </c>
      <c r="AZ283" s="150">
        <f t="shared" si="794"/>
        <v>161.84710039351924</v>
      </c>
      <c r="BA283" s="144">
        <f t="shared" si="724"/>
        <v>0.38132952879073545</v>
      </c>
      <c r="BB283" s="5">
        <f t="shared" si="725"/>
        <v>22.697190445502599</v>
      </c>
      <c r="BD283" s="150">
        <f t="shared" si="841"/>
        <v>6.8919665338555918</v>
      </c>
      <c r="BE283" s="150">
        <f t="shared" si="842"/>
        <v>0.48377309845882938</v>
      </c>
      <c r="BG283" s="456">
        <f t="shared" si="843"/>
        <v>0.16149728919287054</v>
      </c>
      <c r="BH283" s="456">
        <f t="shared" si="795"/>
        <v>2.0991189788519264</v>
      </c>
      <c r="BI283" s="456">
        <f t="shared" si="796"/>
        <v>0.12706030376828081</v>
      </c>
      <c r="BJ283" s="456">
        <f t="shared" si="844"/>
        <v>7.1457961539908674E-2</v>
      </c>
      <c r="BK283">
        <f t="shared" si="845"/>
        <v>7.1770263679019983E-3</v>
      </c>
      <c r="BL283" s="144">
        <f t="shared" si="846"/>
        <v>134.23733013618281</v>
      </c>
      <c r="BM283" s="456">
        <f t="shared" si="797"/>
        <v>2.4704749598119515</v>
      </c>
      <c r="BN283" s="144">
        <f t="shared" si="847"/>
        <v>2470.4749598119515</v>
      </c>
      <c r="BO283" s="456">
        <f t="shared" si="798"/>
        <v>0.83750000000000002</v>
      </c>
      <c r="BR283" s="144">
        <f t="shared" si="848"/>
        <v>837.5</v>
      </c>
      <c r="BS283" s="456">
        <f t="shared" si="849"/>
        <v>7.1248804055678183E-2</v>
      </c>
      <c r="BT283" s="456">
        <f t="shared" si="850"/>
        <v>4.6807282158491247E-2</v>
      </c>
      <c r="BU283" s="456">
        <f t="shared" si="851"/>
        <v>38.314597069264707</v>
      </c>
      <c r="BV283" s="456"/>
      <c r="BW283" s="456">
        <f t="shared" si="852"/>
        <v>7.3638176144467715E-2</v>
      </c>
      <c r="BX283" s="144">
        <f t="shared" si="853"/>
        <v>38506.291331623346</v>
      </c>
      <c r="BY283" s="150">
        <f t="shared" si="854"/>
        <v>41.810102891344236</v>
      </c>
      <c r="BZ283" s="5">
        <f t="shared" si="855"/>
        <v>56.95</v>
      </c>
      <c r="CA283" s="150">
        <f t="shared" si="856"/>
        <v>0.57664986500324256</v>
      </c>
      <c r="CB283" s="5">
        <f t="shared" si="857"/>
        <v>57.664986500324254</v>
      </c>
      <c r="CE283" s="59">
        <f t="shared" si="799"/>
        <v>-50</v>
      </c>
      <c r="CF283">
        <f t="shared" si="800"/>
        <v>-50</v>
      </c>
      <c r="CG283" s="150">
        <f t="shared" si="801"/>
        <v>0.64306331436747477</v>
      </c>
      <c r="CI283" s="147">
        <v>67</v>
      </c>
      <c r="CJ283" s="188">
        <f t="shared" si="858"/>
        <v>0.33500000000000002</v>
      </c>
      <c r="CK283" s="188"/>
      <c r="CL283" s="188">
        <f t="shared" si="802"/>
        <v>56.95</v>
      </c>
      <c r="CM283" s="465">
        <f t="shared" si="803"/>
        <v>16</v>
      </c>
      <c r="CN283" s="379">
        <f t="shared" si="804"/>
        <v>8.5350000000000001</v>
      </c>
      <c r="CO283" s="379">
        <f t="shared" si="805"/>
        <v>24.535</v>
      </c>
      <c r="CP283" s="379"/>
      <c r="CQ283" s="188">
        <f t="shared" si="806"/>
        <v>0.34787038923986141</v>
      </c>
      <c r="CR283" s="149">
        <f t="shared" si="807"/>
        <v>186.42142245771345</v>
      </c>
      <c r="CS283" s="149">
        <f t="shared" si="808"/>
        <v>56.95</v>
      </c>
      <c r="CT283" s="188">
        <f t="shared" si="809"/>
        <v>1.0965966026924321</v>
      </c>
      <c r="CU283" s="188">
        <f t="shared" si="810"/>
        <v>170</v>
      </c>
      <c r="CV283" s="188"/>
      <c r="CW283" s="149">
        <f t="shared" si="811"/>
        <v>1272.2157749317234</v>
      </c>
      <c r="CX283" s="149">
        <f t="shared" si="812"/>
        <v>170</v>
      </c>
      <c r="CY283" s="188">
        <f t="shared" si="813"/>
        <v>20.463799794961922</v>
      </c>
      <c r="CZ283" s="188">
        <f t="shared" si="814"/>
        <v>1.9184812307776802</v>
      </c>
      <c r="DA283" s="188">
        <f t="shared" si="815"/>
        <v>3.5964498760917261</v>
      </c>
      <c r="DB283" s="172">
        <f t="shared" si="816"/>
        <v>278.29631139188916</v>
      </c>
      <c r="DC283" s="379">
        <f t="shared" si="817"/>
        <v>181.3259278532779</v>
      </c>
      <c r="DE283" s="188">
        <f t="shared" si="818"/>
        <v>13.333333333333332</v>
      </c>
      <c r="DF283" s="150">
        <f t="shared" si="819"/>
        <v>2.3432923257176332</v>
      </c>
      <c r="DG283" s="150">
        <f t="shared" si="820"/>
        <v>0.21737653692004619</v>
      </c>
      <c r="DH283" s="150"/>
      <c r="DI283" s="150">
        <f t="shared" si="821"/>
        <v>2.3432923257176337</v>
      </c>
      <c r="DJ283" s="314">
        <f t="shared" si="822"/>
        <v>428.88374999999991</v>
      </c>
      <c r="DK283" s="456">
        <f t="shared" si="823"/>
        <v>0.21737653692004627</v>
      </c>
      <c r="DM283" s="150">
        <f t="shared" si="824"/>
        <v>14.759597361910462</v>
      </c>
      <c r="DN283" s="150">
        <f t="shared" si="825"/>
        <v>20.463799794961922</v>
      </c>
      <c r="DO283" s="150">
        <f t="shared" si="826"/>
        <v>6.4818270086137693</v>
      </c>
      <c r="DQ283" s="314">
        <f t="shared" si="827"/>
        <v>335</v>
      </c>
      <c r="DR283" s="144">
        <f t="shared" si="828"/>
        <v>181.3259278532779</v>
      </c>
      <c r="DT283">
        <f t="shared" si="829"/>
        <v>335</v>
      </c>
      <c r="DU283">
        <f t="shared" si="830"/>
        <v>181.3259278532779</v>
      </c>
      <c r="DW283" s="5">
        <f t="shared" si="859"/>
        <v>5.5149311068694065</v>
      </c>
      <c r="DX283" s="5">
        <f t="shared" si="831"/>
        <v>1.9184812307776802</v>
      </c>
      <c r="DY283" s="5">
        <f t="shared" si="832"/>
        <v>3.5964498760917261</v>
      </c>
      <c r="DZ283" s="5"/>
      <c r="EA283" s="150">
        <f t="shared" si="833"/>
        <v>0.34787038923986141</v>
      </c>
      <c r="EB283" s="150">
        <f t="shared" si="860"/>
        <v>56.95</v>
      </c>
      <c r="EC283" s="150">
        <f t="shared" si="861"/>
        <v>0.33362624487404807</v>
      </c>
      <c r="ED283" s="150">
        <f t="shared" si="862"/>
        <v>170.7</v>
      </c>
      <c r="EE283" s="144">
        <f t="shared" si="834"/>
        <v>0.37805365430030763</v>
      </c>
      <c r="EF283" s="5">
        <f t="shared" si="835"/>
        <v>21.33518962952331</v>
      </c>
      <c r="EH283" s="150">
        <f t="shared" si="863"/>
        <v>6.9684210260858279</v>
      </c>
      <c r="EI283" s="150">
        <f t="shared" si="864"/>
        <v>0.47704858877083861</v>
      </c>
      <c r="EK283" s="456">
        <f t="shared" si="865"/>
        <v>0.16510023142910321</v>
      </c>
      <c r="EL283" s="456">
        <f t="shared" si="866"/>
        <v>2.7676160000000003</v>
      </c>
      <c r="EM283" s="456">
        <f t="shared" si="867"/>
        <v>4.1523637478400641E-2</v>
      </c>
      <c r="EN283" s="456">
        <f t="shared" si="868"/>
        <v>7.4769177734855141E-2</v>
      </c>
      <c r="EO283">
        <f t="shared" si="869"/>
        <v>7.1999999999999998E-3</v>
      </c>
      <c r="EP283" s="144">
        <f t="shared" si="870"/>
        <v>48.72363747840064</v>
      </c>
      <c r="EQ283" s="144"/>
      <c r="ER283" s="144">
        <f t="shared" si="871"/>
        <v>3056.2090466423592</v>
      </c>
      <c r="ES283" s="456">
        <f t="shared" si="872"/>
        <v>0.83750000000000002</v>
      </c>
      <c r="EV283" s="144">
        <f t="shared" si="873"/>
        <v>837.5</v>
      </c>
      <c r="EW283" s="456">
        <f t="shared" si="874"/>
        <v>7.2838337395192604E-2</v>
      </c>
      <c r="EX283" s="456">
        <f t="shared" si="875"/>
        <v>4.5515071209649739E-2</v>
      </c>
      <c r="EY283" s="456">
        <f t="shared" si="876"/>
        <v>41.935852026837821</v>
      </c>
      <c r="EZ283" s="456"/>
      <c r="FA283" s="456">
        <f t="shared" si="877"/>
        <v>7.5933333333333339E-2</v>
      </c>
      <c r="FB283" s="144">
        <f t="shared" si="878"/>
        <v>42130.138768775993</v>
      </c>
      <c r="FC283" s="150">
        <f t="shared" si="879"/>
        <v>46.023847815418357</v>
      </c>
      <c r="FD283" s="5">
        <f t="shared" si="880"/>
        <v>56.95</v>
      </c>
      <c r="FE283" s="150">
        <f t="shared" si="881"/>
        <v>0.55305304412906309</v>
      </c>
      <c r="FF283" s="5">
        <f t="shared" si="882"/>
        <v>55.30530441290631</v>
      </c>
      <c r="FI283" s="59">
        <f t="shared" si="836"/>
        <v>-50</v>
      </c>
      <c r="FJ283">
        <f t="shared" si="837"/>
        <v>-50</v>
      </c>
      <c r="FL283">
        <f t="shared" si="838"/>
        <v>0.65212961076013864</v>
      </c>
    </row>
    <row r="284" spans="5:168">
      <c r="E284" s="147">
        <v>68</v>
      </c>
      <c r="F284" s="188">
        <f t="shared" si="839"/>
        <v>0.34</v>
      </c>
      <c r="G284" s="188"/>
      <c r="H284" s="188">
        <f t="shared" si="764"/>
        <v>57.800000000000004</v>
      </c>
      <c r="I284" s="465">
        <f t="shared" si="765"/>
        <v>15.948196246977982</v>
      </c>
      <c r="J284" s="149">
        <f t="shared" si="766"/>
        <v>8.5402860972471455</v>
      </c>
      <c r="K284" s="149">
        <f t="shared" si="767"/>
        <v>24.488482344225126</v>
      </c>
      <c r="L284" s="379"/>
      <c r="M284" s="188">
        <f t="shared" si="768"/>
        <v>0.34874512924075041</v>
      </c>
      <c r="N284" s="149">
        <f t="shared" si="769"/>
        <v>186.28508896544903</v>
      </c>
      <c r="O284" s="149">
        <f t="shared" si="762"/>
        <v>57.800000000000004</v>
      </c>
      <c r="P284" s="188">
        <f t="shared" si="770"/>
        <v>1.0957946409732295</v>
      </c>
      <c r="Q284" s="188">
        <f t="shared" si="771"/>
        <v>170</v>
      </c>
      <c r="R284" s="188"/>
      <c r="S284" s="149">
        <f t="shared" si="772"/>
        <v>1244.7639970595264</v>
      </c>
      <c r="T284" s="149">
        <f t="shared" si="773"/>
        <v>170</v>
      </c>
      <c r="U284" s="188">
        <f t="shared" si="774"/>
        <v>20.88276128229916</v>
      </c>
      <c r="V284" s="188">
        <f t="shared" si="775"/>
        <v>1.9641181634809854</v>
      </c>
      <c r="W284" s="188">
        <f t="shared" si="776"/>
        <v>3.6678094348087105</v>
      </c>
      <c r="X284" s="172">
        <f t="shared" si="777"/>
        <v>278.09432362874531</v>
      </c>
      <c r="Y284" s="379">
        <f t="shared" si="840"/>
        <v>171.46989278352248</v>
      </c>
      <c r="AA284" s="188">
        <f t="shared" si="778"/>
        <v>13.333333333333332</v>
      </c>
      <c r="AB284" s="150">
        <f t="shared" si="779"/>
        <v>2.341841921015591</v>
      </c>
      <c r="AC284" s="150">
        <f t="shared" si="780"/>
        <v>0.21708431502342412</v>
      </c>
      <c r="AD284" s="150"/>
      <c r="AE284" s="150">
        <f t="shared" si="781"/>
        <v>2.3418419210155914</v>
      </c>
      <c r="AF284" s="314">
        <f t="shared" si="782"/>
        <v>435.5545909596043</v>
      </c>
      <c r="AG284" s="456">
        <f t="shared" si="783"/>
        <v>0.21708431502342421</v>
      </c>
      <c r="AI284" s="150">
        <f t="shared" si="784"/>
        <v>14.873939557082233</v>
      </c>
      <c r="AJ284" s="150">
        <f t="shared" si="785"/>
        <v>20.88276128229916</v>
      </c>
      <c r="AK284" s="150">
        <f t="shared" si="786"/>
        <v>6.7921688510857976</v>
      </c>
      <c r="AM284" s="314">
        <f t="shared" si="787"/>
        <v>340</v>
      </c>
      <c r="AN284" s="144">
        <f t="shared" si="788"/>
        <v>171.46989278352248</v>
      </c>
      <c r="AP284">
        <f t="shared" si="789"/>
        <v>340</v>
      </c>
      <c r="AQ284">
        <f t="shared" si="790"/>
        <v>171.46989278352248</v>
      </c>
      <c r="AS284" s="5">
        <f t="shared" si="763"/>
        <v>5.8319275982896963</v>
      </c>
      <c r="AT284" s="5">
        <f t="shared" si="791"/>
        <v>1.9641181634809854</v>
      </c>
      <c r="AU284" s="5">
        <f t="shared" si="722"/>
        <v>3.8678094348087111</v>
      </c>
      <c r="AV284" s="5"/>
      <c r="AW284" s="150">
        <f t="shared" si="723"/>
        <v>0.33678713090625367</v>
      </c>
      <c r="AX284" s="150">
        <f t="shared" si="792"/>
        <v>56.082192991565471</v>
      </c>
      <c r="AY284" s="150">
        <f t="shared" si="793"/>
        <v>0.34624290061583568</v>
      </c>
      <c r="AZ284" s="150">
        <f t="shared" si="794"/>
        <v>161.9735535134912</v>
      </c>
      <c r="BA284" s="144">
        <f t="shared" si="724"/>
        <v>0.39282363269619713</v>
      </c>
      <c r="BB284" s="5">
        <f t="shared" si="725"/>
        <v>23.363079421840123</v>
      </c>
      <c r="BD284" s="150">
        <f t="shared" si="841"/>
        <v>6.9968899091772601</v>
      </c>
      <c r="BE284" s="150">
        <f t="shared" si="842"/>
        <v>0.49093474920303237</v>
      </c>
      <c r="BG284" s="456">
        <f t="shared" si="843"/>
        <v>0.16645199256389831</v>
      </c>
      <c r="BH284" s="456">
        <f t="shared" si="795"/>
        <v>2.1001155415732264</v>
      </c>
      <c r="BI284" s="456">
        <f t="shared" si="796"/>
        <v>0.12524630592564298</v>
      </c>
      <c r="BJ284" s="456">
        <f t="shared" si="844"/>
        <v>7.0437217168816652E-2</v>
      </c>
      <c r="BK284">
        <f t="shared" si="845"/>
        <v>7.1766883111400916E-3</v>
      </c>
      <c r="BL284" s="144">
        <f t="shared" si="846"/>
        <v>132.42299423678307</v>
      </c>
      <c r="BM284" s="456">
        <f t="shared" si="797"/>
        <v>2.480029458048659</v>
      </c>
      <c r="BN284" s="144">
        <f t="shared" si="847"/>
        <v>2480.0294580486589</v>
      </c>
      <c r="BO284" s="456">
        <f t="shared" si="798"/>
        <v>0.85000000000000009</v>
      </c>
      <c r="BR284" s="144">
        <f t="shared" si="848"/>
        <v>850.00000000000011</v>
      </c>
      <c r="BS284" s="456">
        <f t="shared" si="849"/>
        <v>7.3434702601719845E-2</v>
      </c>
      <c r="BT284" s="456">
        <f t="shared" si="850"/>
        <v>4.8203385595008863E-2</v>
      </c>
      <c r="BU284" s="456">
        <f t="shared" si="851"/>
        <v>38.362729976032789</v>
      </c>
      <c r="BV284" s="456"/>
      <c r="BW284" s="456">
        <f t="shared" si="852"/>
        <v>7.47762573220873E-2</v>
      </c>
      <c r="BX284" s="144">
        <f t="shared" si="853"/>
        <v>38559.144321551597</v>
      </c>
      <c r="BY284" s="150">
        <f t="shared" si="854"/>
        <v>41.878572067094325</v>
      </c>
      <c r="BZ284" s="5">
        <f t="shared" si="855"/>
        <v>57.800000000000004</v>
      </c>
      <c r="CA284" s="150">
        <f t="shared" si="856"/>
        <v>0.57986384436862137</v>
      </c>
      <c r="CB284" s="5">
        <f t="shared" si="857"/>
        <v>57.986384436862139</v>
      </c>
      <c r="CE284" s="59">
        <f t="shared" si="799"/>
        <v>-50</v>
      </c>
      <c r="CF284">
        <f t="shared" si="800"/>
        <v>-50</v>
      </c>
      <c r="CG284" s="150">
        <f t="shared" si="801"/>
        <v>0.64319664225560191</v>
      </c>
      <c r="CI284" s="147">
        <v>68</v>
      </c>
      <c r="CJ284" s="188">
        <f t="shared" si="858"/>
        <v>0.34</v>
      </c>
      <c r="CK284" s="188"/>
      <c r="CL284" s="188">
        <f t="shared" si="802"/>
        <v>57.800000000000004</v>
      </c>
      <c r="CM284" s="465">
        <f t="shared" si="803"/>
        <v>16</v>
      </c>
      <c r="CN284" s="379">
        <f t="shared" si="804"/>
        <v>8.5350000000000001</v>
      </c>
      <c r="CO284" s="379">
        <f t="shared" si="805"/>
        <v>24.535</v>
      </c>
      <c r="CP284" s="379"/>
      <c r="CQ284" s="188">
        <f t="shared" si="806"/>
        <v>0.34787038923986141</v>
      </c>
      <c r="CR284" s="149">
        <f t="shared" si="807"/>
        <v>186.42142245771345</v>
      </c>
      <c r="CS284" s="149">
        <f t="shared" si="808"/>
        <v>57.800000000000004</v>
      </c>
      <c r="CT284" s="188">
        <f t="shared" si="809"/>
        <v>1.0965966026924321</v>
      </c>
      <c r="CU284" s="188">
        <f t="shared" si="810"/>
        <v>170</v>
      </c>
      <c r="CV284" s="188"/>
      <c r="CW284" s="149">
        <f t="shared" si="811"/>
        <v>1248.8067217246833</v>
      </c>
      <c r="CX284" s="149">
        <f t="shared" si="812"/>
        <v>170</v>
      </c>
      <c r="CY284" s="188">
        <f t="shared" si="813"/>
        <v>20.769229642647922</v>
      </c>
      <c r="CZ284" s="188">
        <f t="shared" si="814"/>
        <v>1.9471152789982429</v>
      </c>
      <c r="DA284" s="188">
        <f t="shared" si="815"/>
        <v>3.6501282324513045</v>
      </c>
      <c r="DB284" s="172">
        <f t="shared" si="816"/>
        <v>278.29631139188916</v>
      </c>
      <c r="DC284" s="379">
        <f t="shared" si="817"/>
        <v>178.65937009072968</v>
      </c>
      <c r="DE284" s="188">
        <f t="shared" si="818"/>
        <v>13.333333333333332</v>
      </c>
      <c r="DF284" s="150">
        <f t="shared" si="819"/>
        <v>2.3432923257176332</v>
      </c>
      <c r="DG284" s="150">
        <f t="shared" si="820"/>
        <v>0.21737653692004619</v>
      </c>
      <c r="DH284" s="150"/>
      <c r="DI284" s="150">
        <f t="shared" si="821"/>
        <v>2.3432923257176337</v>
      </c>
      <c r="DJ284" s="314">
        <f t="shared" si="822"/>
        <v>435.28499999999991</v>
      </c>
      <c r="DK284" s="456">
        <f t="shared" si="823"/>
        <v>0.21737653692004627</v>
      </c>
      <c r="DM284" s="150">
        <f t="shared" si="824"/>
        <v>14.869335656213522</v>
      </c>
      <c r="DN284" s="150">
        <f t="shared" si="825"/>
        <v>20.769229642647922</v>
      </c>
      <c r="DO284" s="150">
        <f t="shared" si="826"/>
        <v>6.7080713402330279</v>
      </c>
      <c r="DQ284" s="314">
        <f t="shared" si="827"/>
        <v>340</v>
      </c>
      <c r="DR284" s="144">
        <f t="shared" si="828"/>
        <v>178.65937009072968</v>
      </c>
      <c r="DT284">
        <f t="shared" si="829"/>
        <v>340</v>
      </c>
      <c r="DU284">
        <f t="shared" si="830"/>
        <v>178.65937009072968</v>
      </c>
      <c r="DW284" s="5">
        <f t="shared" si="859"/>
        <v>5.5972435114495465</v>
      </c>
      <c r="DX284" s="5">
        <f t="shared" si="831"/>
        <v>1.9471152789982429</v>
      </c>
      <c r="DY284" s="5">
        <f t="shared" si="832"/>
        <v>3.6501282324513036</v>
      </c>
      <c r="DZ284" s="5"/>
      <c r="EA284" s="150">
        <f t="shared" si="833"/>
        <v>0.34787038923986152</v>
      </c>
      <c r="EB284" s="150">
        <f t="shared" si="860"/>
        <v>57.800000000000004</v>
      </c>
      <c r="EC284" s="150">
        <f t="shared" si="861"/>
        <v>0.33860574106619795</v>
      </c>
      <c r="ED284" s="150">
        <f t="shared" si="862"/>
        <v>170.70000000000005</v>
      </c>
      <c r="EE284" s="144">
        <f t="shared" si="834"/>
        <v>0.38942305579964859</v>
      </c>
      <c r="EF284" s="5">
        <f t="shared" si="835"/>
        <v>21.976813732883887</v>
      </c>
      <c r="EH284" s="150">
        <f t="shared" si="863"/>
        <v>7.0724273100572592</v>
      </c>
      <c r="EI284" s="150">
        <f t="shared" si="864"/>
        <v>0.48416871696144809</v>
      </c>
      <c r="EK284" s="456">
        <f t="shared" si="865"/>
        <v>0.17006537539054878</v>
      </c>
      <c r="EL284" s="456">
        <f t="shared" si="866"/>
        <v>2.7676160000000003</v>
      </c>
      <c r="EM284" s="456">
        <f t="shared" si="867"/>
        <v>4.0912995750777101E-2</v>
      </c>
      <c r="EN284" s="456">
        <f t="shared" si="868"/>
        <v>7.3669631003460204E-2</v>
      </c>
      <c r="EO284">
        <f t="shared" si="869"/>
        <v>7.1999999999999998E-3</v>
      </c>
      <c r="EP284" s="144">
        <f t="shared" si="870"/>
        <v>48.112995750777102</v>
      </c>
      <c r="EQ284" s="144"/>
      <c r="ER284" s="144">
        <f t="shared" si="871"/>
        <v>3059.4640021447867</v>
      </c>
      <c r="ES284" s="456">
        <f t="shared" si="872"/>
        <v>0.85000000000000009</v>
      </c>
      <c r="EV284" s="144">
        <f t="shared" si="873"/>
        <v>850.00000000000011</v>
      </c>
      <c r="EW284" s="456">
        <f t="shared" si="874"/>
        <v>7.5028842084065642E-2</v>
      </c>
      <c r="EX284" s="456">
        <f t="shared" si="875"/>
        <v>4.6883869296818967E-2</v>
      </c>
      <c r="EY284" s="456">
        <f t="shared" si="876"/>
        <v>41.935852026837857</v>
      </c>
      <c r="EZ284" s="456"/>
      <c r="FA284" s="456">
        <f t="shared" si="877"/>
        <v>7.7066666666666672E-2</v>
      </c>
      <c r="FB284" s="144">
        <f t="shared" si="878"/>
        <v>42134.831404885408</v>
      </c>
      <c r="FC284" s="150">
        <f t="shared" si="879"/>
        <v>46.044295407030198</v>
      </c>
      <c r="FD284" s="5">
        <f t="shared" si="880"/>
        <v>57.800000000000004</v>
      </c>
      <c r="FE284" s="150">
        <f t="shared" si="881"/>
        <v>0.55660255359667044</v>
      </c>
      <c r="FF284" s="5">
        <f t="shared" si="882"/>
        <v>55.66025535966704</v>
      </c>
      <c r="FI284" s="59">
        <f t="shared" si="836"/>
        <v>-50</v>
      </c>
      <c r="FJ284">
        <f t="shared" si="837"/>
        <v>-50</v>
      </c>
      <c r="FL284">
        <f t="shared" si="838"/>
        <v>0.65212961076013842</v>
      </c>
    </row>
    <row r="285" spans="5:168">
      <c r="E285" s="147">
        <v>69</v>
      </c>
      <c r="F285" s="188">
        <f t="shared" si="839"/>
        <v>0.34499999999999997</v>
      </c>
      <c r="G285" s="188"/>
      <c r="H285" s="188">
        <f t="shared" si="764"/>
        <v>58.65</v>
      </c>
      <c r="I285" s="465">
        <f t="shared" si="765"/>
        <v>15.947445005406415</v>
      </c>
      <c r="J285" s="149">
        <f t="shared" si="766"/>
        <v>8.5403627545503653</v>
      </c>
      <c r="K285" s="149">
        <f t="shared" si="767"/>
        <v>24.48780775995678</v>
      </c>
      <c r="L285" s="379"/>
      <c r="M285" s="188">
        <f t="shared" si="768"/>
        <v>0.34875786724066604</v>
      </c>
      <c r="N285" s="149">
        <f t="shared" si="769"/>
        <v>186.28311777272884</v>
      </c>
      <c r="O285" s="149">
        <f t="shared" si="762"/>
        <v>58.65</v>
      </c>
      <c r="P285" s="188">
        <f t="shared" si="770"/>
        <v>1.0957830457219344</v>
      </c>
      <c r="Q285" s="188">
        <f t="shared" si="771"/>
        <v>170</v>
      </c>
      <c r="R285" s="188"/>
      <c r="S285" s="149">
        <f t="shared" si="772"/>
        <v>1222.049634385015</v>
      </c>
      <c r="T285" s="149">
        <f t="shared" si="773"/>
        <v>170</v>
      </c>
      <c r="U285" s="188">
        <f t="shared" si="774"/>
        <v>21.190275176959069</v>
      </c>
      <c r="V285" s="188">
        <f t="shared" si="775"/>
        <v>1.9931351231913885</v>
      </c>
      <c r="W285" s="188">
        <f t="shared" si="776"/>
        <v>3.7217871979153476</v>
      </c>
      <c r="X285" s="172">
        <f t="shared" si="777"/>
        <v>278.09138059538071</v>
      </c>
      <c r="Y285" s="379">
        <f t="shared" si="840"/>
        <v>169.06392775972935</v>
      </c>
      <c r="AA285" s="188">
        <f t="shared" si="778"/>
        <v>13.333333333333334</v>
      </c>
      <c r="AB285" s="150">
        <f t="shared" si="779"/>
        <v>2.3418209009147608</v>
      </c>
      <c r="AC285" s="150">
        <f t="shared" si="780"/>
        <v>0.21708006914750139</v>
      </c>
      <c r="AD285" s="150"/>
      <c r="AE285" s="150">
        <f t="shared" si="781"/>
        <v>2.3418209009147608</v>
      </c>
      <c r="AF285" s="314">
        <f t="shared" si="782"/>
        <v>441.96377254798125</v>
      </c>
      <c r="AG285" s="456">
        <f t="shared" si="783"/>
        <v>0.21708006914750136</v>
      </c>
      <c r="AI285" s="150">
        <f t="shared" si="784"/>
        <v>14.982974846887606</v>
      </c>
      <c r="AJ285" s="150">
        <f t="shared" si="785"/>
        <v>21.190275176959069</v>
      </c>
      <c r="AK285" s="150">
        <f t="shared" si="786"/>
        <v>7.0199569212042485</v>
      </c>
      <c r="AM285" s="314">
        <f t="shared" si="787"/>
        <v>345</v>
      </c>
      <c r="AN285" s="144">
        <f t="shared" si="788"/>
        <v>169.06392775972935</v>
      </c>
      <c r="AP285">
        <f t="shared" si="789"/>
        <v>345</v>
      </c>
      <c r="AQ285">
        <f t="shared" si="790"/>
        <v>169.06392775972935</v>
      </c>
      <c r="AS285" s="5">
        <f t="shared" si="763"/>
        <v>5.9149223211067374</v>
      </c>
      <c r="AT285" s="5">
        <f t="shared" si="791"/>
        <v>1.9931351231913885</v>
      </c>
      <c r="AU285" s="5">
        <f t="shared" si="722"/>
        <v>3.9217871979153491</v>
      </c>
      <c r="AV285" s="5"/>
      <c r="AW285" s="150">
        <f t="shared" si="723"/>
        <v>0.33696725248260812</v>
      </c>
      <c r="AX285" s="150">
        <f t="shared" si="792"/>
        <v>56.935797847201968</v>
      </c>
      <c r="AY285" s="150">
        <f t="shared" si="793"/>
        <v>0.35124615928071895</v>
      </c>
      <c r="AZ285" s="150">
        <f t="shared" si="794"/>
        <v>162.0965705754476</v>
      </c>
      <c r="BA285" s="144">
        <f t="shared" si="724"/>
        <v>0.4044891867653112</v>
      </c>
      <c r="BB285" s="5">
        <f t="shared" si="725"/>
        <v>24.038628035165662</v>
      </c>
      <c r="BD285" s="150">
        <f t="shared" si="841"/>
        <v>7.1018225659547065</v>
      </c>
      <c r="BE285" s="150">
        <f t="shared" si="842"/>
        <v>0.49809646890297704</v>
      </c>
      <c r="BG285" s="456">
        <f t="shared" si="843"/>
        <v>0.17148200477823186</v>
      </c>
      <c r="BH285" s="456">
        <f t="shared" si="795"/>
        <v>2.1010818729338689</v>
      </c>
      <c r="BI285" s="456">
        <f t="shared" si="796"/>
        <v>0.12348310621785992</v>
      </c>
      <c r="BJ285" s="456">
        <f t="shared" si="844"/>
        <v>6.9445057261856541E-2</v>
      </c>
      <c r="BK285">
        <f t="shared" si="845"/>
        <v>7.1763502524328868E-3</v>
      </c>
      <c r="BL285" s="144">
        <f t="shared" si="846"/>
        <v>130.65945647029281</v>
      </c>
      <c r="BM285" s="456">
        <f t="shared" si="797"/>
        <v>2.48975183457611</v>
      </c>
      <c r="BN285" s="144">
        <f t="shared" si="847"/>
        <v>2489.75183457611</v>
      </c>
      <c r="BO285" s="456">
        <f t="shared" si="798"/>
        <v>0.86249999999999993</v>
      </c>
      <c r="BR285" s="144">
        <f t="shared" si="848"/>
        <v>862.49999999999989</v>
      </c>
      <c r="BS285" s="456">
        <f t="shared" si="849"/>
        <v>7.5653825637455235E-2</v>
      </c>
      <c r="BT285" s="456">
        <f t="shared" si="850"/>
        <v>4.9620018466722877E-2</v>
      </c>
      <c r="BU285" s="456">
        <f t="shared" si="851"/>
        <v>38.409520164209376</v>
      </c>
      <c r="BV285" s="456"/>
      <c r="BW285" s="456">
        <f t="shared" si="852"/>
        <v>7.5914397129602615E-2</v>
      </c>
      <c r="BX285" s="144">
        <f t="shared" si="853"/>
        <v>38610.708405443154</v>
      </c>
      <c r="BY285" s="150">
        <f t="shared" si="854"/>
        <v>41.945876796887404</v>
      </c>
      <c r="BZ285" s="5">
        <f t="shared" si="855"/>
        <v>58.65</v>
      </c>
      <c r="CA285" s="150">
        <f t="shared" si="856"/>
        <v>0.58302588403717481</v>
      </c>
      <c r="CB285" s="5">
        <f t="shared" si="857"/>
        <v>58.302588403717479</v>
      </c>
      <c r="CE285" s="59">
        <f t="shared" si="799"/>
        <v>-50</v>
      </c>
      <c r="CF285">
        <f t="shared" si="800"/>
        <v>-50</v>
      </c>
      <c r="CG285" s="150">
        <f t="shared" si="801"/>
        <v>0.643326105567262</v>
      </c>
      <c r="CI285" s="147">
        <v>69</v>
      </c>
      <c r="CJ285" s="188">
        <f t="shared" si="858"/>
        <v>0.34499999999999997</v>
      </c>
      <c r="CK285" s="188"/>
      <c r="CL285" s="188">
        <f t="shared" si="802"/>
        <v>58.65</v>
      </c>
      <c r="CM285" s="465">
        <f t="shared" si="803"/>
        <v>16</v>
      </c>
      <c r="CN285" s="379">
        <f t="shared" si="804"/>
        <v>8.5350000000000001</v>
      </c>
      <c r="CO285" s="379">
        <f t="shared" si="805"/>
        <v>24.535</v>
      </c>
      <c r="CP285" s="379"/>
      <c r="CQ285" s="188">
        <f t="shared" si="806"/>
        <v>0.34787038923986141</v>
      </c>
      <c r="CR285" s="149">
        <f t="shared" si="807"/>
        <v>186.42142245771345</v>
      </c>
      <c r="CS285" s="149">
        <f t="shared" si="808"/>
        <v>58.65</v>
      </c>
      <c r="CT285" s="188">
        <f t="shared" si="809"/>
        <v>1.0965966026924321</v>
      </c>
      <c r="CU285" s="188">
        <f t="shared" si="810"/>
        <v>170</v>
      </c>
      <c r="CV285" s="188"/>
      <c r="CW285" s="149">
        <f t="shared" si="811"/>
        <v>1226.0763121814091</v>
      </c>
      <c r="CX285" s="149">
        <f t="shared" si="812"/>
        <v>170</v>
      </c>
      <c r="CY285" s="188">
        <f t="shared" si="813"/>
        <v>21.074659490333918</v>
      </c>
      <c r="CZ285" s="188">
        <f t="shared" si="814"/>
        <v>1.9757493272188049</v>
      </c>
      <c r="DA285" s="188">
        <f t="shared" si="815"/>
        <v>3.703806588810882</v>
      </c>
      <c r="DB285" s="172">
        <f t="shared" si="816"/>
        <v>278.29631139188916</v>
      </c>
      <c r="DC285" s="379">
        <f t="shared" si="817"/>
        <v>176.07010385753074</v>
      </c>
      <c r="DE285" s="188">
        <f t="shared" si="818"/>
        <v>13.333333333333332</v>
      </c>
      <c r="DF285" s="150">
        <f t="shared" si="819"/>
        <v>2.3432923257176332</v>
      </c>
      <c r="DG285" s="150">
        <f t="shared" si="820"/>
        <v>0.21737653692004619</v>
      </c>
      <c r="DH285" s="150"/>
      <c r="DI285" s="150">
        <f t="shared" si="821"/>
        <v>2.3432923257176337</v>
      </c>
      <c r="DJ285" s="314">
        <f t="shared" si="822"/>
        <v>441.6862499999998</v>
      </c>
      <c r="DK285" s="456">
        <f t="shared" si="823"/>
        <v>0.21737653692004627</v>
      </c>
      <c r="DM285" s="150">
        <f t="shared" si="824"/>
        <v>14.978269974485418</v>
      </c>
      <c r="DN285" s="150">
        <f t="shared" si="825"/>
        <v>21.074659490333918</v>
      </c>
      <c r="DO285" s="150">
        <f t="shared" si="826"/>
        <v>6.9343156718522847</v>
      </c>
      <c r="DQ285" s="314">
        <f t="shared" si="827"/>
        <v>345</v>
      </c>
      <c r="DR285" s="144">
        <f t="shared" si="828"/>
        <v>176.07010385753074</v>
      </c>
      <c r="DT285">
        <f t="shared" si="829"/>
        <v>345</v>
      </c>
      <c r="DU285">
        <f t="shared" si="830"/>
        <v>176.07010385753074</v>
      </c>
      <c r="DW285" s="5">
        <f t="shared" si="859"/>
        <v>5.6795559160296865</v>
      </c>
      <c r="DX285" s="5">
        <f t="shared" si="831"/>
        <v>1.9757493272188049</v>
      </c>
      <c r="DY285" s="5">
        <f t="shared" si="832"/>
        <v>3.7038065888108815</v>
      </c>
      <c r="DZ285" s="5"/>
      <c r="EA285" s="150">
        <f t="shared" si="833"/>
        <v>0.34787038923986147</v>
      </c>
      <c r="EB285" s="150">
        <f t="shared" si="860"/>
        <v>58.65</v>
      </c>
      <c r="EC285" s="150">
        <f t="shared" si="861"/>
        <v>0.34358523725834794</v>
      </c>
      <c r="ED285" s="150">
        <f t="shared" si="862"/>
        <v>170.70000000000002</v>
      </c>
      <c r="EE285" s="144">
        <f t="shared" si="834"/>
        <v>0.40096089287675746</v>
      </c>
      <c r="EF285" s="5">
        <f t="shared" si="835"/>
        <v>22.627943378516473</v>
      </c>
      <c r="EH285" s="150">
        <f t="shared" si="863"/>
        <v>7.1764335940286887</v>
      </c>
      <c r="EI285" s="150">
        <f t="shared" si="864"/>
        <v>0.49128884515205762</v>
      </c>
      <c r="EK285" s="456">
        <f t="shared" si="865"/>
        <v>0.17510407704031197</v>
      </c>
      <c r="EL285" s="456">
        <f t="shared" si="866"/>
        <v>2.7676160000000003</v>
      </c>
      <c r="EM285" s="456">
        <f t="shared" si="867"/>
        <v>4.032005378337454E-2</v>
      </c>
      <c r="EN285" s="456">
        <f t="shared" si="868"/>
        <v>7.2601955191815865E-2</v>
      </c>
      <c r="EO285">
        <f t="shared" si="869"/>
        <v>7.1999999999999998E-3</v>
      </c>
      <c r="EP285" s="144">
        <f t="shared" si="870"/>
        <v>47.520053783374536</v>
      </c>
      <c r="EQ285" s="144"/>
      <c r="ER285" s="144">
        <f t="shared" si="871"/>
        <v>3062.8420860155029</v>
      </c>
      <c r="ES285" s="456">
        <f t="shared" si="872"/>
        <v>0.86249999999999993</v>
      </c>
      <c r="EV285" s="144">
        <f t="shared" si="873"/>
        <v>862.49999999999989</v>
      </c>
      <c r="EW285" s="456">
        <f t="shared" si="874"/>
        <v>7.7251798694255289E-2</v>
      </c>
      <c r="EX285" s="456">
        <f t="shared" si="875"/>
        <v>4.8272945874168492E-2</v>
      </c>
      <c r="EY285" s="456">
        <f t="shared" si="876"/>
        <v>41.935852026837821</v>
      </c>
      <c r="EZ285" s="456"/>
      <c r="FA285" s="456">
        <f t="shared" si="877"/>
        <v>7.8200000000000006E-2</v>
      </c>
      <c r="FB285" s="144">
        <f t="shared" si="878"/>
        <v>42139.576771406246</v>
      </c>
      <c r="FC285" s="150">
        <f t="shared" si="879"/>
        <v>46.064918857421752</v>
      </c>
      <c r="FD285" s="5">
        <f t="shared" si="880"/>
        <v>58.65</v>
      </c>
      <c r="FE285" s="150">
        <f t="shared" si="881"/>
        <v>0.56009211141973902</v>
      </c>
      <c r="FF285" s="5">
        <f t="shared" si="882"/>
        <v>56.0092111419739</v>
      </c>
      <c r="FI285" s="59">
        <f t="shared" si="836"/>
        <v>-50</v>
      </c>
      <c r="FJ285">
        <f t="shared" si="837"/>
        <v>-50</v>
      </c>
      <c r="FL285">
        <f t="shared" si="838"/>
        <v>0.65212961076013853</v>
      </c>
    </row>
    <row r="286" spans="5:168">
      <c r="E286" s="147">
        <v>70</v>
      </c>
      <c r="F286" s="188">
        <f t="shared" si="839"/>
        <v>0.35</v>
      </c>
      <c r="G286" s="188"/>
      <c r="H286" s="188">
        <f t="shared" si="764"/>
        <v>59.499999999999993</v>
      </c>
      <c r="I286" s="465">
        <f t="shared" si="765"/>
        <v>15.946693759699723</v>
      </c>
      <c r="J286" s="149">
        <f t="shared" si="766"/>
        <v>8.5404394122755374</v>
      </c>
      <c r="K286" s="149">
        <f t="shared" si="767"/>
        <v>24.487133171975259</v>
      </c>
      <c r="L286" s="379"/>
      <c r="M286" s="188">
        <f t="shared" si="768"/>
        <v>0.34877060600129151</v>
      </c>
      <c r="N286" s="149">
        <f t="shared" si="769"/>
        <v>186.28114629698885</v>
      </c>
      <c r="O286" s="149">
        <f t="shared" si="762"/>
        <v>59.499999999999993</v>
      </c>
      <c r="P286" s="188">
        <f t="shared" si="770"/>
        <v>1.0957714488058168</v>
      </c>
      <c r="Q286" s="188">
        <f t="shared" si="771"/>
        <v>170</v>
      </c>
      <c r="R286" s="188"/>
      <c r="S286" s="149">
        <f t="shared" si="772"/>
        <v>1199.9848024761834</v>
      </c>
      <c r="T286" s="149">
        <f t="shared" si="773"/>
        <v>170</v>
      </c>
      <c r="U286" s="188">
        <f t="shared" si="774"/>
        <v>21.497801126629987</v>
      </c>
      <c r="V286" s="188">
        <f t="shared" si="775"/>
        <v>2.0221559513131444</v>
      </c>
      <c r="W286" s="188">
        <f t="shared" si="776"/>
        <v>3.7757661091296337</v>
      </c>
      <c r="X286" s="172">
        <f t="shared" si="777"/>
        <v>278.08843714848376</v>
      </c>
      <c r="Y286" s="379">
        <f t="shared" si="840"/>
        <v>166.72440720681493</v>
      </c>
      <c r="AA286" s="188">
        <f t="shared" si="778"/>
        <v>13.333333333333334</v>
      </c>
      <c r="AB286" s="150">
        <f t="shared" si="779"/>
        <v>2.3417998810755742</v>
      </c>
      <c r="AC286" s="150">
        <f t="shared" si="780"/>
        <v>0.21707582301427053</v>
      </c>
      <c r="AD286" s="150"/>
      <c r="AE286" s="150">
        <f t="shared" si="781"/>
        <v>2.3417998810755742</v>
      </c>
      <c r="AF286" s="314">
        <f t="shared" si="782"/>
        <v>448.3730691444656</v>
      </c>
      <c r="AG286" s="456">
        <f t="shared" si="783"/>
        <v>0.21707582301427056</v>
      </c>
      <c r="AI286" s="150">
        <f t="shared" si="784"/>
        <v>15.091224304012391</v>
      </c>
      <c r="AJ286" s="150">
        <f t="shared" si="785"/>
        <v>21.497801126629987</v>
      </c>
      <c r="AK286" s="150">
        <f t="shared" si="786"/>
        <v>7.2477539209604842</v>
      </c>
      <c r="AM286" s="314">
        <f t="shared" si="787"/>
        <v>350</v>
      </c>
      <c r="AN286" s="144">
        <f t="shared" si="788"/>
        <v>166.72440720681493</v>
      </c>
      <c r="AP286">
        <f t="shared" si="789"/>
        <v>350</v>
      </c>
      <c r="AQ286">
        <f t="shared" si="790"/>
        <v>166.72440720681493</v>
      </c>
      <c r="AS286" s="5">
        <f t="shared" si="763"/>
        <v>5.997922060442777</v>
      </c>
      <c r="AT286" s="5">
        <f t="shared" si="791"/>
        <v>2.0221559513131444</v>
      </c>
      <c r="AU286" s="5">
        <f t="shared" si="722"/>
        <v>3.9757661091296326</v>
      </c>
      <c r="AV286" s="5"/>
      <c r="AW286" s="150">
        <f t="shared" si="723"/>
        <v>0.33714275226241691</v>
      </c>
      <c r="AX286" s="150">
        <f t="shared" si="792"/>
        <v>57.789445489145336</v>
      </c>
      <c r="AY286" s="150">
        <f t="shared" si="793"/>
        <v>0.35624933218019667</v>
      </c>
      <c r="AZ286" s="150">
        <f t="shared" si="794"/>
        <v>162.21629142567627</v>
      </c>
      <c r="BA286" s="144">
        <f t="shared" si="724"/>
        <v>0.41632622527035323</v>
      </c>
      <c r="BB286" s="5">
        <f t="shared" si="725"/>
        <v>24.723837958503093</v>
      </c>
      <c r="BD286" s="150">
        <f t="shared" si="841"/>
        <v>7.20676444950504</v>
      </c>
      <c r="BE286" s="150">
        <f t="shared" si="842"/>
        <v>0.50525826051979306</v>
      </c>
      <c r="BG286" s="456">
        <f t="shared" si="843"/>
        <v>0.17658734302420889</v>
      </c>
      <c r="BH286" s="456">
        <f t="shared" si="795"/>
        <v>2.1020192251936214</v>
      </c>
      <c r="BI286" s="456">
        <f t="shared" si="796"/>
        <v>0.12176860033095044</v>
      </c>
      <c r="BJ286" s="456">
        <f t="shared" si="844"/>
        <v>6.8480297707033483E-2</v>
      </c>
      <c r="BK286">
        <f t="shared" si="845"/>
        <v>7.1760121918648754E-3</v>
      </c>
      <c r="BL286" s="144">
        <f t="shared" si="846"/>
        <v>128.94461252281531</v>
      </c>
      <c r="BM286" s="456">
        <f t="shared" si="797"/>
        <v>2.4996433669922138</v>
      </c>
      <c r="BN286" s="144">
        <f t="shared" si="847"/>
        <v>2499.6433669922139</v>
      </c>
      <c r="BO286" s="456">
        <f t="shared" si="798"/>
        <v>0.875</v>
      </c>
      <c r="BR286" s="144">
        <f t="shared" si="848"/>
        <v>875</v>
      </c>
      <c r="BS286" s="456">
        <f t="shared" si="849"/>
        <v>7.7906180745974524E-2</v>
      </c>
      <c r="BT286" s="456">
        <f t="shared" si="850"/>
        <v>5.1057181964697419E-2</v>
      </c>
      <c r="BU286" s="456">
        <f t="shared" si="851"/>
        <v>38.455021776093396</v>
      </c>
      <c r="BV286" s="456"/>
      <c r="BW286" s="456">
        <f t="shared" si="852"/>
        <v>7.7052593985527121E-2</v>
      </c>
      <c r="BX286" s="144">
        <f t="shared" si="853"/>
        <v>38661.037732789591</v>
      </c>
      <c r="BY286" s="150">
        <f t="shared" si="854"/>
        <v>42.012069211237275</v>
      </c>
      <c r="BZ286" s="5">
        <f t="shared" si="855"/>
        <v>59.499999999999993</v>
      </c>
      <c r="CA286" s="150">
        <f t="shared" si="856"/>
        <v>0.5861371998652295</v>
      </c>
      <c r="CB286" s="5">
        <f t="shared" si="857"/>
        <v>58.613719986522952</v>
      </c>
      <c r="CE286" s="59">
        <f t="shared" si="799"/>
        <v>-50</v>
      </c>
      <c r="CF286">
        <f t="shared" si="800"/>
        <v>-50</v>
      </c>
      <c r="CG286" s="150">
        <f t="shared" si="801"/>
        <v>0.6434518699271603</v>
      </c>
      <c r="CI286" s="147">
        <v>70</v>
      </c>
      <c r="CJ286" s="188">
        <f t="shared" si="858"/>
        <v>0.35</v>
      </c>
      <c r="CK286" s="188"/>
      <c r="CL286" s="188">
        <f t="shared" si="802"/>
        <v>59.499999999999993</v>
      </c>
      <c r="CM286" s="465">
        <f t="shared" si="803"/>
        <v>16</v>
      </c>
      <c r="CN286" s="379">
        <f t="shared" si="804"/>
        <v>8.5350000000000001</v>
      </c>
      <c r="CO286" s="379">
        <f t="shared" si="805"/>
        <v>24.535</v>
      </c>
      <c r="CP286" s="379"/>
      <c r="CQ286" s="188">
        <f t="shared" si="806"/>
        <v>0.34787038923986141</v>
      </c>
      <c r="CR286" s="149">
        <f t="shared" si="807"/>
        <v>186.42142245771345</v>
      </c>
      <c r="CS286" s="149">
        <f t="shared" si="808"/>
        <v>59.499999999999993</v>
      </c>
      <c r="CT286" s="188">
        <f t="shared" si="809"/>
        <v>1.0965966026924321</v>
      </c>
      <c r="CU286" s="188">
        <f t="shared" si="810"/>
        <v>170</v>
      </c>
      <c r="CV286" s="188"/>
      <c r="CW286" s="149">
        <f t="shared" si="811"/>
        <v>1203.9954629177016</v>
      </c>
      <c r="CX286" s="149">
        <f t="shared" si="812"/>
        <v>170</v>
      </c>
      <c r="CY286" s="188">
        <f t="shared" si="813"/>
        <v>21.380089338019918</v>
      </c>
      <c r="CZ286" s="188">
        <f t="shared" si="814"/>
        <v>2.0043833754393674</v>
      </c>
      <c r="DA286" s="188">
        <f t="shared" si="815"/>
        <v>3.7574849451704599</v>
      </c>
      <c r="DB286" s="172">
        <f t="shared" si="816"/>
        <v>278.29631139188916</v>
      </c>
      <c r="DC286" s="379">
        <f t="shared" si="817"/>
        <v>173.55481665956597</v>
      </c>
      <c r="DE286" s="188">
        <f t="shared" si="818"/>
        <v>13.333333333333332</v>
      </c>
      <c r="DF286" s="150">
        <f t="shared" si="819"/>
        <v>2.3432923257176332</v>
      </c>
      <c r="DG286" s="150">
        <f t="shared" si="820"/>
        <v>0.21737653692004619</v>
      </c>
      <c r="DH286" s="150"/>
      <c r="DI286" s="150">
        <f t="shared" si="821"/>
        <v>2.3432923257176337</v>
      </c>
      <c r="DJ286" s="314">
        <f t="shared" si="822"/>
        <v>448.08749999999981</v>
      </c>
      <c r="DK286" s="456">
        <f t="shared" si="823"/>
        <v>0.21737653692004627</v>
      </c>
      <c r="DM286" s="150">
        <f t="shared" si="824"/>
        <v>15.086417732516887</v>
      </c>
      <c r="DN286" s="150">
        <f t="shared" si="825"/>
        <v>21.380089338019918</v>
      </c>
      <c r="DO286" s="150">
        <f t="shared" si="826"/>
        <v>7.1605600034715433</v>
      </c>
      <c r="DQ286" s="314">
        <f t="shared" si="827"/>
        <v>350</v>
      </c>
      <c r="DR286" s="144">
        <f t="shared" si="828"/>
        <v>173.55481665956597</v>
      </c>
      <c r="DT286">
        <f t="shared" si="829"/>
        <v>350</v>
      </c>
      <c r="DU286">
        <f t="shared" si="830"/>
        <v>173.55481665956597</v>
      </c>
      <c r="DW286" s="5">
        <f t="shared" si="859"/>
        <v>5.7618683206098282</v>
      </c>
      <c r="DX286" s="5">
        <f t="shared" si="831"/>
        <v>2.0043833754393674</v>
      </c>
      <c r="DY286" s="5">
        <f t="shared" si="832"/>
        <v>3.7574849451704608</v>
      </c>
      <c r="DZ286" s="5"/>
      <c r="EA286" s="150">
        <f t="shared" si="833"/>
        <v>0.34787038923986141</v>
      </c>
      <c r="EB286" s="150">
        <f t="shared" si="860"/>
        <v>59.499999999999993</v>
      </c>
      <c r="EC286" s="150">
        <f t="shared" si="861"/>
        <v>0.34856473345049799</v>
      </c>
      <c r="ED286" s="150">
        <f t="shared" si="862"/>
        <v>170.69999999999996</v>
      </c>
      <c r="EE286" s="144">
        <f t="shared" si="834"/>
        <v>0.41266716553163441</v>
      </c>
      <c r="EF286" s="5">
        <f t="shared" si="835"/>
        <v>23.28857856642108</v>
      </c>
      <c r="EH286" s="150">
        <f t="shared" si="863"/>
        <v>7.2804398780001183</v>
      </c>
      <c r="EI286" s="150">
        <f t="shared" si="864"/>
        <v>0.49840897334266726</v>
      </c>
      <c r="EK286" s="456">
        <f t="shared" si="865"/>
        <v>0.18021633637839285</v>
      </c>
      <c r="EL286" s="456">
        <f t="shared" si="866"/>
        <v>2.7676159999999994</v>
      </c>
      <c r="EM286" s="456">
        <f t="shared" si="867"/>
        <v>3.9744053015040609E-2</v>
      </c>
      <c r="EN286" s="456">
        <f t="shared" si="868"/>
        <v>7.1564784403361337E-2</v>
      </c>
      <c r="EO286">
        <f t="shared" si="869"/>
        <v>7.1999999999999998E-3</v>
      </c>
      <c r="EP286" s="144">
        <f t="shared" si="870"/>
        <v>46.944053015040609</v>
      </c>
      <c r="EQ286" s="144"/>
      <c r="ER286" s="144">
        <f t="shared" si="871"/>
        <v>3066.3411737967945</v>
      </c>
      <c r="ES286" s="456">
        <f t="shared" si="872"/>
        <v>0.875</v>
      </c>
      <c r="EV286" s="144">
        <f t="shared" si="873"/>
        <v>875</v>
      </c>
      <c r="EW286" s="456">
        <f t="shared" si="874"/>
        <v>7.9507207225761559E-2</v>
      </c>
      <c r="EX286" s="456">
        <f t="shared" si="875"/>
        <v>4.9682300941698322E-2</v>
      </c>
      <c r="EY286" s="456">
        <f t="shared" si="876"/>
        <v>41.935852026837786</v>
      </c>
      <c r="EZ286" s="456"/>
      <c r="FA286" s="456">
        <f t="shared" si="877"/>
        <v>7.9333333333333325E-2</v>
      </c>
      <c r="FB286" s="144">
        <f t="shared" si="878"/>
        <v>42144.374868338571</v>
      </c>
      <c r="FC286" s="150">
        <f t="shared" si="879"/>
        <v>46.085716042135367</v>
      </c>
      <c r="FD286" s="5">
        <f t="shared" si="880"/>
        <v>59.499999999999993</v>
      </c>
      <c r="FE286" s="150">
        <f t="shared" si="881"/>
        <v>0.56352319452240818</v>
      </c>
      <c r="FF286" s="5">
        <f t="shared" si="882"/>
        <v>56.35231945224082</v>
      </c>
      <c r="FI286" s="59">
        <f t="shared" si="836"/>
        <v>-50</v>
      </c>
      <c r="FJ286">
        <f t="shared" si="837"/>
        <v>-50</v>
      </c>
      <c r="FL286">
        <f t="shared" si="838"/>
        <v>0.65212961076013864</v>
      </c>
    </row>
    <row r="287" spans="5:168">
      <c r="E287" s="147">
        <v>71</v>
      </c>
      <c r="F287" s="188">
        <f t="shared" si="839"/>
        <v>0.35499999999999998</v>
      </c>
      <c r="G287" s="188"/>
      <c r="H287" s="188">
        <f t="shared" si="764"/>
        <v>60.349999999999994</v>
      </c>
      <c r="I287" s="465">
        <f t="shared" si="765"/>
        <v>15.945942510034953</v>
      </c>
      <c r="J287" s="149">
        <f t="shared" si="766"/>
        <v>8.5405160704045961</v>
      </c>
      <c r="K287" s="149">
        <f t="shared" si="767"/>
        <v>24.48645858043955</v>
      </c>
      <c r="L287" s="379"/>
      <c r="M287" s="188">
        <f t="shared" si="768"/>
        <v>0.34878334552017426</v>
      </c>
      <c r="N287" s="149">
        <f t="shared" si="769"/>
        <v>186.27917453892476</v>
      </c>
      <c r="O287" s="149">
        <f t="shared" si="762"/>
        <v>60.349999999999994</v>
      </c>
      <c r="P287" s="188">
        <f t="shared" si="770"/>
        <v>1.0957598502289692</v>
      </c>
      <c r="Q287" s="188">
        <f t="shared" si="771"/>
        <v>170</v>
      </c>
      <c r="R287" s="188"/>
      <c r="S287" s="149">
        <f t="shared" si="772"/>
        <v>1178.5420577329339</v>
      </c>
      <c r="T287" s="149">
        <f t="shared" si="773"/>
        <v>170</v>
      </c>
      <c r="U287" s="188">
        <f t="shared" si="774"/>
        <v>21.805339133014922</v>
      </c>
      <c r="V287" s="188">
        <f t="shared" si="775"/>
        <v>2.0511806485530024</v>
      </c>
      <c r="W287" s="188">
        <f t="shared" si="776"/>
        <v>3.8297461687198582</v>
      </c>
      <c r="X287" s="172">
        <f t="shared" si="777"/>
        <v>278.08549328870868</v>
      </c>
      <c r="Y287" s="379">
        <f t="shared" si="840"/>
        <v>164.44861614836444</v>
      </c>
      <c r="AA287" s="188">
        <f t="shared" si="778"/>
        <v>13.333333333333334</v>
      </c>
      <c r="AB287" s="150">
        <f t="shared" si="779"/>
        <v>2.3417788615029824</v>
      </c>
      <c r="AC287" s="150">
        <f t="shared" si="780"/>
        <v>0.21707157662470916</v>
      </c>
      <c r="AD287" s="150"/>
      <c r="AE287" s="150">
        <f t="shared" si="781"/>
        <v>2.3417788615029824</v>
      </c>
      <c r="AF287" s="314">
        <f t="shared" si="782"/>
        <v>454.78248074904462</v>
      </c>
      <c r="AG287" s="456">
        <f t="shared" si="783"/>
        <v>0.21707157662470919</v>
      </c>
      <c r="AI287" s="150">
        <f t="shared" si="784"/>
        <v>15.198704719230909</v>
      </c>
      <c r="AJ287" s="150">
        <f t="shared" si="785"/>
        <v>21.805339133014922</v>
      </c>
      <c r="AK287" s="150">
        <f t="shared" si="786"/>
        <v>7.4755598516159916</v>
      </c>
      <c r="AM287" s="314">
        <f t="shared" si="787"/>
        <v>355</v>
      </c>
      <c r="AN287" s="144">
        <f t="shared" si="788"/>
        <v>164.44861614836444</v>
      </c>
      <c r="AP287">
        <f t="shared" si="789"/>
        <v>355</v>
      </c>
      <c r="AQ287">
        <f t="shared" si="790"/>
        <v>164.44861614836444</v>
      </c>
      <c r="AS287" s="5">
        <f t="shared" si="763"/>
        <v>6.0809268172728599</v>
      </c>
      <c r="AT287" s="5">
        <f t="shared" si="791"/>
        <v>2.0511806485530024</v>
      </c>
      <c r="AU287" s="5">
        <f t="shared" si="722"/>
        <v>4.029746168719857</v>
      </c>
      <c r="AV287" s="5"/>
      <c r="AW287" s="150">
        <f t="shared" si="723"/>
        <v>0.33731381912484593</v>
      </c>
      <c r="AX287" s="150">
        <f t="shared" si="792"/>
        <v>58.643134795901396</v>
      </c>
      <c r="AY287" s="150">
        <f t="shared" si="793"/>
        <v>0.36125242281863007</v>
      </c>
      <c r="AZ287" s="150">
        <f t="shared" si="794"/>
        <v>162.33284842311963</v>
      </c>
      <c r="BA287" s="144">
        <f t="shared" si="724"/>
        <v>0.42833478249195045</v>
      </c>
      <c r="BB287" s="5">
        <f t="shared" si="725"/>
        <v>25.418710865287306</v>
      </c>
      <c r="BD287" s="150">
        <f t="shared" si="841"/>
        <v>7.3117155081975769</v>
      </c>
      <c r="BE287" s="150">
        <f t="shared" si="842"/>
        <v>0.5124201268550227</v>
      </c>
      <c r="BG287" s="456">
        <f t="shared" si="843"/>
        <v>0.18176802448757762</v>
      </c>
      <c r="BH287" s="456">
        <f t="shared" si="795"/>
        <v>2.1029287823877332</v>
      </c>
      <c r="BI287" s="456">
        <f t="shared" si="796"/>
        <v>0.12010079859621343</v>
      </c>
      <c r="BJ287" s="456">
        <f t="shared" si="844"/>
        <v>6.7541818904035003E-2</v>
      </c>
      <c r="BK287">
        <f t="shared" si="845"/>
        <v>7.1756741295157288E-3</v>
      </c>
      <c r="BL287" s="144">
        <f t="shared" si="846"/>
        <v>127.27647272572918</v>
      </c>
      <c r="BM287" s="456">
        <f t="shared" si="797"/>
        <v>2.5097053545925978</v>
      </c>
      <c r="BN287" s="144">
        <f t="shared" si="847"/>
        <v>2509.7053545925978</v>
      </c>
      <c r="BO287" s="456">
        <f t="shared" si="798"/>
        <v>0.88749999999999996</v>
      </c>
      <c r="BR287" s="144">
        <f t="shared" si="848"/>
        <v>887.5</v>
      </c>
      <c r="BS287" s="456">
        <f t="shared" si="849"/>
        <v>8.0191775509225433E-2</v>
      </c>
      <c r="BT287" s="456">
        <f t="shared" si="850"/>
        <v>5.2514877281223518E-2</v>
      </c>
      <c r="BU287" s="456">
        <f t="shared" si="851"/>
        <v>38.49928608302907</v>
      </c>
      <c r="BV287" s="456"/>
      <c r="BW287" s="456">
        <f t="shared" si="852"/>
        <v>7.8190846394535191E-2</v>
      </c>
      <c r="BX287" s="144">
        <f t="shared" si="853"/>
        <v>38710.183582214049</v>
      </c>
      <c r="BY287" s="150">
        <f t="shared" si="854"/>
        <v>42.077198680719128</v>
      </c>
      <c r="BZ287" s="5">
        <f t="shared" si="855"/>
        <v>60.349999999999994</v>
      </c>
      <c r="CA287" s="150">
        <f t="shared" si="856"/>
        <v>0.58919897036450208</v>
      </c>
      <c r="CB287" s="5">
        <f t="shared" si="857"/>
        <v>58.919897036450209</v>
      </c>
      <c r="CE287" s="59">
        <f t="shared" si="799"/>
        <v>-50</v>
      </c>
      <c r="CF287">
        <f t="shared" si="800"/>
        <v>-50</v>
      </c>
      <c r="CG287" s="150">
        <f t="shared" si="801"/>
        <v>0.64357409162903312</v>
      </c>
      <c r="CI287" s="147">
        <v>71</v>
      </c>
      <c r="CJ287" s="188">
        <f t="shared" si="858"/>
        <v>0.35499999999999998</v>
      </c>
      <c r="CK287" s="188"/>
      <c r="CL287" s="188">
        <f t="shared" si="802"/>
        <v>60.349999999999994</v>
      </c>
      <c r="CM287" s="465">
        <f t="shared" si="803"/>
        <v>16</v>
      </c>
      <c r="CN287" s="379">
        <f t="shared" si="804"/>
        <v>8.5350000000000001</v>
      </c>
      <c r="CO287" s="379">
        <f t="shared" si="805"/>
        <v>24.535</v>
      </c>
      <c r="CP287" s="379"/>
      <c r="CQ287" s="188">
        <f t="shared" si="806"/>
        <v>0.34787038923986141</v>
      </c>
      <c r="CR287" s="149">
        <f t="shared" si="807"/>
        <v>186.42142245771345</v>
      </c>
      <c r="CS287" s="149">
        <f t="shared" si="808"/>
        <v>60.349999999999994</v>
      </c>
      <c r="CT287" s="188">
        <f t="shared" si="809"/>
        <v>1.0965966026924321</v>
      </c>
      <c r="CU287" s="188">
        <f t="shared" si="810"/>
        <v>170</v>
      </c>
      <c r="CV287" s="188"/>
      <c r="CW287" s="149">
        <f t="shared" si="811"/>
        <v>1182.5367290699016</v>
      </c>
      <c r="CX287" s="149">
        <f t="shared" si="812"/>
        <v>170</v>
      </c>
      <c r="CY287" s="188">
        <f t="shared" si="813"/>
        <v>21.685519185705914</v>
      </c>
      <c r="CZ287" s="188">
        <f t="shared" si="814"/>
        <v>2.0330174236599294</v>
      </c>
      <c r="DA287" s="188">
        <f t="shared" si="815"/>
        <v>3.8111633015300375</v>
      </c>
      <c r="DB287" s="172">
        <f t="shared" si="816"/>
        <v>278.29631139188916</v>
      </c>
      <c r="DC287" s="379">
        <f t="shared" si="817"/>
        <v>171.11038262210735</v>
      </c>
      <c r="DE287" s="188">
        <f t="shared" si="818"/>
        <v>13.333333333333332</v>
      </c>
      <c r="DF287" s="150">
        <f t="shared" si="819"/>
        <v>2.3432923257176332</v>
      </c>
      <c r="DG287" s="150">
        <f t="shared" si="820"/>
        <v>0.21737653692004619</v>
      </c>
      <c r="DH287" s="150"/>
      <c r="DI287" s="150">
        <f t="shared" si="821"/>
        <v>2.3432923257176337</v>
      </c>
      <c r="DJ287" s="314">
        <f t="shared" si="822"/>
        <v>454.48874999999981</v>
      </c>
      <c r="DK287" s="456">
        <f t="shared" si="823"/>
        <v>0.21737653692004627</v>
      </c>
      <c r="DM287" s="150">
        <f t="shared" si="824"/>
        <v>15.193795726263682</v>
      </c>
      <c r="DN287" s="150">
        <f t="shared" si="825"/>
        <v>21.685519185705914</v>
      </c>
      <c r="DO287" s="150">
        <f t="shared" si="826"/>
        <v>7.3868043350908001</v>
      </c>
      <c r="DQ287" s="314">
        <f t="shared" si="827"/>
        <v>355</v>
      </c>
      <c r="DR287" s="144">
        <f t="shared" si="828"/>
        <v>171.11038262210735</v>
      </c>
      <c r="DT287">
        <f t="shared" si="829"/>
        <v>355</v>
      </c>
      <c r="DU287">
        <f t="shared" si="830"/>
        <v>171.11038262210735</v>
      </c>
      <c r="DW287" s="5">
        <f t="shared" si="859"/>
        <v>5.8441807251899665</v>
      </c>
      <c r="DX287" s="5">
        <f t="shared" si="831"/>
        <v>2.0330174236599294</v>
      </c>
      <c r="DY287" s="5">
        <f t="shared" si="832"/>
        <v>3.811163301530037</v>
      </c>
      <c r="DZ287" s="5"/>
      <c r="EA287" s="150">
        <f t="shared" si="833"/>
        <v>0.34787038923986147</v>
      </c>
      <c r="EB287" s="150">
        <f t="shared" si="860"/>
        <v>60.349999999999994</v>
      </c>
      <c r="EC287" s="150">
        <f t="shared" si="861"/>
        <v>0.35354422964264787</v>
      </c>
      <c r="ED287" s="150">
        <f t="shared" si="862"/>
        <v>170.70000000000002</v>
      </c>
      <c r="EE287" s="144">
        <f t="shared" si="834"/>
        <v>0.42454187376427932</v>
      </c>
      <c r="EF287" s="5">
        <f t="shared" si="835"/>
        <v>23.958719296597675</v>
      </c>
      <c r="EH287" s="150">
        <f t="shared" si="863"/>
        <v>7.3844461619715487</v>
      </c>
      <c r="EI287" s="150">
        <f t="shared" si="864"/>
        <v>0.50552910153327668</v>
      </c>
      <c r="EK287" s="456">
        <f t="shared" si="865"/>
        <v>0.18540215340479155</v>
      </c>
      <c r="EL287" s="456">
        <f t="shared" si="866"/>
        <v>2.7676160000000007</v>
      </c>
      <c r="EM287" s="456">
        <f t="shared" si="867"/>
        <v>3.9184277620462588E-2</v>
      </c>
      <c r="EN287" s="456">
        <f t="shared" si="868"/>
        <v>7.0556829693454851E-2</v>
      </c>
      <c r="EO287">
        <f t="shared" si="869"/>
        <v>7.1999999999999998E-3</v>
      </c>
      <c r="EP287" s="144">
        <f t="shared" si="870"/>
        <v>46.384277620462584</v>
      </c>
      <c r="EQ287" s="144"/>
      <c r="ER287" s="144">
        <f t="shared" si="871"/>
        <v>3069.9592607187096</v>
      </c>
      <c r="ES287" s="456">
        <f t="shared" si="872"/>
        <v>0.88749999999999996</v>
      </c>
      <c r="EV287" s="144">
        <f t="shared" si="873"/>
        <v>887.5</v>
      </c>
      <c r="EW287" s="456">
        <f t="shared" si="874"/>
        <v>8.1795067678584507E-2</v>
      </c>
      <c r="EX287" s="456">
        <f t="shared" si="875"/>
        <v>5.1111934499408401E-2</v>
      </c>
      <c r="EY287" s="456">
        <f t="shared" si="876"/>
        <v>41.935852026837857</v>
      </c>
      <c r="EZ287" s="456"/>
      <c r="FA287" s="456">
        <f t="shared" si="877"/>
        <v>8.0466666666666672E-2</v>
      </c>
      <c r="FB287" s="144">
        <f t="shared" si="878"/>
        <v>42149.225695682515</v>
      </c>
      <c r="FC287" s="150">
        <f t="shared" si="879"/>
        <v>46.106684956401224</v>
      </c>
      <c r="FD287" s="5">
        <f t="shared" si="880"/>
        <v>60.349999999999994</v>
      </c>
      <c r="FE287" s="150">
        <f t="shared" si="881"/>
        <v>0.5668972317212021</v>
      </c>
      <c r="FF287" s="5">
        <f t="shared" si="882"/>
        <v>56.68972317212021</v>
      </c>
      <c r="FI287" s="59">
        <f t="shared" si="836"/>
        <v>-50</v>
      </c>
      <c r="FJ287">
        <f t="shared" si="837"/>
        <v>-50</v>
      </c>
      <c r="FL287">
        <f t="shared" si="838"/>
        <v>0.65212961076013853</v>
      </c>
    </row>
    <row r="288" spans="5:168">
      <c r="E288" s="147">
        <v>72</v>
      </c>
      <c r="F288" s="188">
        <f t="shared" si="839"/>
        <v>0.36</v>
      </c>
      <c r="G288" s="188"/>
      <c r="H288" s="188">
        <f t="shared" si="764"/>
        <v>61.199999999999996</v>
      </c>
      <c r="I288" s="465">
        <f t="shared" si="765"/>
        <v>15.945191256579189</v>
      </c>
      <c r="J288" s="149">
        <f t="shared" si="766"/>
        <v>8.5405927289204904</v>
      </c>
      <c r="K288" s="149">
        <f t="shared" si="767"/>
        <v>24.48578398549968</v>
      </c>
      <c r="L288" s="379"/>
      <c r="M288" s="188">
        <f t="shared" si="768"/>
        <v>0.3487960857950031</v>
      </c>
      <c r="N288" s="149">
        <f t="shared" si="769"/>
        <v>186.27720249919187</v>
      </c>
      <c r="O288" s="149">
        <f t="shared" si="762"/>
        <v>61.199999999999996</v>
      </c>
      <c r="P288" s="188">
        <f t="shared" si="770"/>
        <v>1.0957482499952462</v>
      </c>
      <c r="Q288" s="188">
        <f t="shared" si="771"/>
        <v>170</v>
      </c>
      <c r="R288" s="188"/>
      <c r="S288" s="149">
        <f t="shared" si="772"/>
        <v>1157.6954812188146</v>
      </c>
      <c r="T288" s="149">
        <f t="shared" si="773"/>
        <v>170</v>
      </c>
      <c r="U288" s="188">
        <f t="shared" si="774"/>
        <v>22.112889197817264</v>
      </c>
      <c r="V288" s="188">
        <f t="shared" si="775"/>
        <v>2.0802092156178942</v>
      </c>
      <c r="W288" s="188">
        <f t="shared" si="776"/>
        <v>3.8837273769543645</v>
      </c>
      <c r="X288" s="172">
        <f t="shared" si="777"/>
        <v>278.08254901667124</v>
      </c>
      <c r="Y288" s="379">
        <f t="shared" si="840"/>
        <v>162.23398553532041</v>
      </c>
      <c r="AA288" s="188">
        <f t="shared" si="778"/>
        <v>13.333333333333334</v>
      </c>
      <c r="AB288" s="150">
        <f t="shared" si="779"/>
        <v>2.3417578422016558</v>
      </c>
      <c r="AC288" s="150">
        <f t="shared" si="780"/>
        <v>0.21706732997973879</v>
      </c>
      <c r="AD288" s="150"/>
      <c r="AE288" s="150">
        <f t="shared" si="781"/>
        <v>2.3417578422016558</v>
      </c>
      <c r="AF288" s="314">
        <f t="shared" si="782"/>
        <v>461.19200736170637</v>
      </c>
      <c r="AG288" s="456">
        <f t="shared" si="783"/>
        <v>0.21706732997973879</v>
      </c>
      <c r="AI288" s="150">
        <f t="shared" si="784"/>
        <v>15.305432294042969</v>
      </c>
      <c r="AJ288" s="150">
        <f t="shared" si="785"/>
        <v>22.112889197817264</v>
      </c>
      <c r="AK288" s="150">
        <f t="shared" si="786"/>
        <v>7.7033747144325408</v>
      </c>
      <c r="AM288" s="314">
        <f t="shared" si="787"/>
        <v>360</v>
      </c>
      <c r="AN288" s="144">
        <f t="shared" si="788"/>
        <v>162.23398553532041</v>
      </c>
      <c r="AP288">
        <f t="shared" si="789"/>
        <v>360</v>
      </c>
      <c r="AQ288">
        <f t="shared" si="790"/>
        <v>162.23398553532041</v>
      </c>
      <c r="AS288" s="5">
        <f t="shared" si="763"/>
        <v>6.1639365925722585</v>
      </c>
      <c r="AT288" s="5">
        <f t="shared" si="791"/>
        <v>2.0802092156178942</v>
      </c>
      <c r="AU288" s="5">
        <f t="shared" si="722"/>
        <v>4.0837273769543643</v>
      </c>
      <c r="AV288" s="5"/>
      <c r="AW288" s="150">
        <f t="shared" si="723"/>
        <v>0.33748063179699367</v>
      </c>
      <c r="AX288" s="150">
        <f t="shared" si="792"/>
        <v>59.496864706255238</v>
      </c>
      <c r="AY288" s="150">
        <f t="shared" si="793"/>
        <v>0.36625543451202447</v>
      </c>
      <c r="AZ288" s="150">
        <f t="shared" si="794"/>
        <v>162.44636693384521</v>
      </c>
      <c r="BA288" s="144">
        <f t="shared" si="724"/>
        <v>0.4405148927190834</v>
      </c>
      <c r="BB288" s="5">
        <f t="shared" si="725"/>
        <v>26.12324842936426</v>
      </c>
      <c r="BD288" s="150">
        <f t="shared" si="841"/>
        <v>7.4166756932476359</v>
      </c>
      <c r="BE288" s="150">
        <f t="shared" si="842"/>
        <v>0.51958207056129302</v>
      </c>
      <c r="BG288" s="456">
        <f t="shared" si="843"/>
        <v>0.18702406635195501</v>
      </c>
      <c r="BH288" s="456">
        <f t="shared" si="795"/>
        <v>2.1038116649106913</v>
      </c>
      <c r="BI288" s="456">
        <f t="shared" si="796"/>
        <v>0.11847781828764259</v>
      </c>
      <c r="BJ288" s="456">
        <f t="shared" si="844"/>
        <v>6.6628561429933952E-2</v>
      </c>
      <c r="BK288">
        <f t="shared" si="845"/>
        <v>7.1753360654606352E-3</v>
      </c>
      <c r="BL288" s="144">
        <f t="shared" si="846"/>
        <v>125.65315435310323</v>
      </c>
      <c r="BM288" s="456">
        <f t="shared" si="797"/>
        <v>2.5199391190208873</v>
      </c>
      <c r="BN288" s="144">
        <f t="shared" si="847"/>
        <v>2519.9391190208871</v>
      </c>
      <c r="BO288" s="456">
        <f t="shared" si="798"/>
        <v>0.89999999999999991</v>
      </c>
      <c r="BR288" s="144">
        <f t="shared" si="848"/>
        <v>899.99999999999989</v>
      </c>
      <c r="BS288" s="456">
        <f t="shared" si="849"/>
        <v>8.251061750821545E-2</v>
      </c>
      <c r="BT288" s="456">
        <f t="shared" si="850"/>
        <v>5.3993105609752096E-2</v>
      </c>
      <c r="BU288" s="456">
        <f t="shared" si="851"/>
        <v>38.542361673103422</v>
      </c>
      <c r="BV288" s="456"/>
      <c r="BW288" s="456">
        <f t="shared" si="852"/>
        <v>7.9329152941673642E-2</v>
      </c>
      <c r="BX288" s="144">
        <f t="shared" si="853"/>
        <v>38758.194549163061</v>
      </c>
      <c r="BY288" s="150">
        <f t="shared" si="854"/>
        <v>42.141311996208749</v>
      </c>
      <c r="BZ288" s="5">
        <f t="shared" si="855"/>
        <v>61.199999999999996</v>
      </c>
      <c r="CA288" s="150">
        <f t="shared" si="856"/>
        <v>0.59221233810390583</v>
      </c>
      <c r="CB288" s="5">
        <f t="shared" si="857"/>
        <v>59.221233810390586</v>
      </c>
      <c r="CE288" s="59">
        <f t="shared" si="799"/>
        <v>-50</v>
      </c>
      <c r="CF288">
        <f t="shared" si="800"/>
        <v>-50</v>
      </c>
      <c r="CG288" s="150">
        <f t="shared" si="801"/>
        <v>0.64369291828363184</v>
      </c>
      <c r="CI288" s="147">
        <v>72</v>
      </c>
      <c r="CJ288" s="188">
        <f t="shared" si="858"/>
        <v>0.36</v>
      </c>
      <c r="CK288" s="188"/>
      <c r="CL288" s="188">
        <f t="shared" si="802"/>
        <v>61.199999999999996</v>
      </c>
      <c r="CM288" s="465">
        <f t="shared" si="803"/>
        <v>16</v>
      </c>
      <c r="CN288" s="379">
        <f t="shared" si="804"/>
        <v>8.5350000000000001</v>
      </c>
      <c r="CO288" s="379">
        <f t="shared" si="805"/>
        <v>24.535</v>
      </c>
      <c r="CP288" s="379"/>
      <c r="CQ288" s="188">
        <f t="shared" si="806"/>
        <v>0.34787038923986141</v>
      </c>
      <c r="CR288" s="149">
        <f t="shared" si="807"/>
        <v>186.42142245771345</v>
      </c>
      <c r="CS288" s="149">
        <f t="shared" si="808"/>
        <v>61.199999999999996</v>
      </c>
      <c r="CT288" s="188">
        <f t="shared" si="809"/>
        <v>1.0965966026924321</v>
      </c>
      <c r="CU288" s="188">
        <f t="shared" si="810"/>
        <v>170</v>
      </c>
      <c r="CV288" s="188"/>
      <c r="CW288" s="149">
        <f t="shared" si="811"/>
        <v>1161.674190509116</v>
      </c>
      <c r="CX288" s="149">
        <f t="shared" si="812"/>
        <v>170</v>
      </c>
      <c r="CY288" s="188">
        <f t="shared" si="813"/>
        <v>21.990949033391914</v>
      </c>
      <c r="CZ288" s="188">
        <f t="shared" si="814"/>
        <v>2.0616514718804919</v>
      </c>
      <c r="DA288" s="188">
        <f t="shared" si="815"/>
        <v>3.8648416578896154</v>
      </c>
      <c r="DB288" s="172">
        <f t="shared" si="816"/>
        <v>278.29631139188916</v>
      </c>
      <c r="DC288" s="379">
        <f t="shared" si="817"/>
        <v>168.73384953013363</v>
      </c>
      <c r="DE288" s="188">
        <f t="shared" si="818"/>
        <v>13.333333333333332</v>
      </c>
      <c r="DF288" s="150">
        <f t="shared" si="819"/>
        <v>2.3432923257176332</v>
      </c>
      <c r="DG288" s="150">
        <f t="shared" si="820"/>
        <v>0.21737653692004619</v>
      </c>
      <c r="DH288" s="150"/>
      <c r="DI288" s="150">
        <f t="shared" si="821"/>
        <v>2.3432923257176337</v>
      </c>
      <c r="DJ288" s="314">
        <f t="shared" si="822"/>
        <v>460.88999999999987</v>
      </c>
      <c r="DK288" s="456">
        <f t="shared" si="823"/>
        <v>0.21737653692004627</v>
      </c>
      <c r="DM288" s="150">
        <f t="shared" si="824"/>
        <v>15.300420162298064</v>
      </c>
      <c r="DN288" s="150">
        <f t="shared" si="825"/>
        <v>21.990949033391914</v>
      </c>
      <c r="DO288" s="150">
        <f t="shared" si="826"/>
        <v>7.6130486667100588</v>
      </c>
      <c r="DQ288" s="314">
        <f t="shared" si="827"/>
        <v>360</v>
      </c>
      <c r="DR288" s="144">
        <f t="shared" si="828"/>
        <v>168.73384953013363</v>
      </c>
      <c r="DT288">
        <f t="shared" si="829"/>
        <v>360</v>
      </c>
      <c r="DU288">
        <f t="shared" si="830"/>
        <v>168.73384953013363</v>
      </c>
      <c r="DW288" s="5">
        <f t="shared" si="859"/>
        <v>5.9264931297701073</v>
      </c>
      <c r="DX288" s="5">
        <f t="shared" si="831"/>
        <v>2.0616514718804919</v>
      </c>
      <c r="DY288" s="5">
        <f t="shared" si="832"/>
        <v>3.8648416578896154</v>
      </c>
      <c r="DZ288" s="5"/>
      <c r="EA288" s="150">
        <f t="shared" si="833"/>
        <v>0.34787038923986147</v>
      </c>
      <c r="EB288" s="150">
        <f t="shared" si="860"/>
        <v>61.2</v>
      </c>
      <c r="EC288" s="150">
        <f t="shared" si="861"/>
        <v>0.35852372583479786</v>
      </c>
      <c r="ED288" s="150">
        <f t="shared" si="862"/>
        <v>170.70000000000002</v>
      </c>
      <c r="EE288" s="144">
        <f t="shared" si="834"/>
        <v>0.43658501757469242</v>
      </c>
      <c r="EF288" s="5">
        <f t="shared" si="835"/>
        <v>24.638365569046293</v>
      </c>
      <c r="EH288" s="150">
        <f t="shared" si="863"/>
        <v>7.4884524459429791</v>
      </c>
      <c r="EI288" s="150">
        <f t="shared" si="864"/>
        <v>0.51264922972388627</v>
      </c>
      <c r="EK288" s="456">
        <f t="shared" si="865"/>
        <v>0.1906615281195079</v>
      </c>
      <c r="EL288" s="456">
        <f t="shared" si="866"/>
        <v>2.7676160000000003</v>
      </c>
      <c r="EM288" s="456">
        <f t="shared" si="867"/>
        <v>3.8640051542400598E-2</v>
      </c>
      <c r="EN288" s="456">
        <f t="shared" si="868"/>
        <v>6.9576873725490207E-2</v>
      </c>
      <c r="EO288">
        <f t="shared" si="869"/>
        <v>7.1999999999999998E-3</v>
      </c>
      <c r="EP288" s="144">
        <f t="shared" si="870"/>
        <v>45.840051542400595</v>
      </c>
      <c r="EQ288" s="144"/>
      <c r="ER288" s="144">
        <f t="shared" si="871"/>
        <v>3073.6944533873993</v>
      </c>
      <c r="ES288" s="456">
        <f t="shared" si="872"/>
        <v>0.89999999999999991</v>
      </c>
      <c r="EV288" s="144">
        <f t="shared" si="873"/>
        <v>899.99999999999989</v>
      </c>
      <c r="EW288" s="456">
        <f t="shared" si="874"/>
        <v>8.4115380052724079E-2</v>
      </c>
      <c r="EX288" s="456">
        <f t="shared" si="875"/>
        <v>5.2561846547298785E-2</v>
      </c>
      <c r="EY288" s="456">
        <f t="shared" si="876"/>
        <v>41.9358520268379</v>
      </c>
      <c r="EZ288" s="456"/>
      <c r="FA288" s="456">
        <f t="shared" si="877"/>
        <v>8.1600000000000006E-2</v>
      </c>
      <c r="FB288" s="144">
        <f t="shared" si="878"/>
        <v>42154.129253437924</v>
      </c>
      <c r="FC288" s="150">
        <f t="shared" si="879"/>
        <v>46.127823706825325</v>
      </c>
      <c r="FD288" s="5">
        <f t="shared" si="880"/>
        <v>61.199999999999996</v>
      </c>
      <c r="FE288" s="150">
        <f t="shared" si="881"/>
        <v>0.57021560566785345</v>
      </c>
      <c r="FF288" s="5">
        <f t="shared" si="882"/>
        <v>57.021560566785347</v>
      </c>
      <c r="FI288" s="59">
        <f t="shared" si="836"/>
        <v>-50</v>
      </c>
      <c r="FJ288">
        <f t="shared" si="837"/>
        <v>-50</v>
      </c>
      <c r="FL288">
        <f t="shared" si="838"/>
        <v>0.65212961076013853</v>
      </c>
    </row>
    <row r="289" spans="5:168">
      <c r="E289" s="147">
        <v>73</v>
      </c>
      <c r="F289" s="188">
        <f t="shared" si="839"/>
        <v>0.36499999999999999</v>
      </c>
      <c r="G289" s="188"/>
      <c r="H289" s="188">
        <f t="shared" si="764"/>
        <v>62.05</v>
      </c>
      <c r="I289" s="465">
        <f t="shared" si="765"/>
        <v>15.944439999490239</v>
      </c>
      <c r="J289" s="149">
        <f t="shared" si="766"/>
        <v>8.5406693878071192</v>
      </c>
      <c r="K289" s="149">
        <f t="shared" si="767"/>
        <v>24.485109387297356</v>
      </c>
      <c r="L289" s="379"/>
      <c r="M289" s="188">
        <f t="shared" si="768"/>
        <v>0.34880882682359826</v>
      </c>
      <c r="N289" s="149">
        <f t="shared" si="769"/>
        <v>186.27523017840781</v>
      </c>
      <c r="O289" s="149">
        <f t="shared" si="762"/>
        <v>62.05</v>
      </c>
      <c r="P289" s="188">
        <f t="shared" si="770"/>
        <v>1.0957366481082813</v>
      </c>
      <c r="Q289" s="188">
        <f t="shared" si="771"/>
        <v>170</v>
      </c>
      <c r="R289" s="188"/>
      <c r="S289" s="149">
        <f t="shared" si="772"/>
        <v>1137.4205742324375</v>
      </c>
      <c r="T289" s="149">
        <f t="shared" si="773"/>
        <v>170</v>
      </c>
      <c r="U289" s="188">
        <f t="shared" si="774"/>
        <v>22.420451322740814</v>
      </c>
      <c r="V289" s="188">
        <f t="shared" si="775"/>
        <v>2.1092416532149407</v>
      </c>
      <c r="W289" s="188">
        <f t="shared" si="776"/>
        <v>3.9377097341015501</v>
      </c>
      <c r="X289" s="172">
        <f t="shared" si="777"/>
        <v>278.07960433295131</v>
      </c>
      <c r="Y289" s="379">
        <f t="shared" si="840"/>
        <v>160.07808257166076</v>
      </c>
      <c r="AA289" s="188">
        <f t="shared" si="778"/>
        <v>13.333333333333334</v>
      </c>
      <c r="AB289" s="150">
        <f t="shared" si="779"/>
        <v>2.3417368231760052</v>
      </c>
      <c r="AC289" s="150">
        <f t="shared" si="780"/>
        <v>0.21706308308022867</v>
      </c>
      <c r="AD289" s="150"/>
      <c r="AE289" s="150">
        <f t="shared" si="781"/>
        <v>2.3417368231760052</v>
      </c>
      <c r="AF289" s="314">
        <f t="shared" si="782"/>
        <v>467.60164898243977</v>
      </c>
      <c r="AG289" s="456">
        <f t="shared" si="783"/>
        <v>0.21706308308022862</v>
      </c>
      <c r="AI289" s="150">
        <f t="shared" si="784"/>
        <v>15.411422669224708</v>
      </c>
      <c r="AJ289" s="150">
        <f t="shared" si="785"/>
        <v>22.420451322740814</v>
      </c>
      <c r="AK289" s="150">
        <f t="shared" si="786"/>
        <v>7.9311985106722069</v>
      </c>
      <c r="AM289" s="314">
        <f t="shared" si="787"/>
        <v>365</v>
      </c>
      <c r="AN289" s="144">
        <f t="shared" si="788"/>
        <v>160.07808257166076</v>
      </c>
      <c r="AP289">
        <f t="shared" si="789"/>
        <v>365</v>
      </c>
      <c r="AQ289">
        <f t="shared" si="790"/>
        <v>160.07808257166076</v>
      </c>
      <c r="AS289" s="5">
        <f t="shared" si="763"/>
        <v>6.246951387316491</v>
      </c>
      <c r="AT289" s="5">
        <f t="shared" si="791"/>
        <v>2.1092416532149407</v>
      </c>
      <c r="AU289" s="5">
        <f t="shared" si="722"/>
        <v>4.1377097341015503</v>
      </c>
      <c r="AV289" s="5"/>
      <c r="AW289" s="150">
        <f t="shared" si="723"/>
        <v>0.33764335952692753</v>
      </c>
      <c r="AX289" s="150">
        <f t="shared" si="792"/>
        <v>60.350634215275079</v>
      </c>
      <c r="AY289" s="150">
        <f t="shared" si="793"/>
        <v>0.37125837040051651</v>
      </c>
      <c r="AZ289" s="150">
        <f t="shared" si="794"/>
        <v>162.55696578684092</v>
      </c>
      <c r="BA289" s="144">
        <f t="shared" si="724"/>
        <v>0.45286659024909015</v>
      </c>
      <c r="BB289" s="5">
        <f t="shared" si="725"/>
        <v>26.837452324991194</v>
      </c>
      <c r="BD289" s="150">
        <f t="shared" si="841"/>
        <v>7.5216449585268244</v>
      </c>
      <c r="BE289" s="150">
        <f t="shared" si="842"/>
        <v>0.52674409415214329</v>
      </c>
      <c r="BG289" s="456">
        <f t="shared" si="843"/>
        <v>0.19235548579924877</v>
      </c>
      <c r="BH289" s="456">
        <f t="shared" si="795"/>
        <v>2.1046689337353128</v>
      </c>
      <c r="BI289" s="456">
        <f t="shared" si="796"/>
        <v>0.11689787653211584</v>
      </c>
      <c r="BJ289" s="456">
        <f t="shared" si="844"/>
        <v>6.5739522049704277E-2</v>
      </c>
      <c r="BK289">
        <f t="shared" si="845"/>
        <v>7.1749979997706072E-3</v>
      </c>
      <c r="BL289" s="144">
        <f t="shared" si="846"/>
        <v>124.07287453188644</v>
      </c>
      <c r="BM289" s="456">
        <f t="shared" si="797"/>
        <v>2.5303460049095219</v>
      </c>
      <c r="BN289" s="144">
        <f t="shared" si="847"/>
        <v>2530.346004909522</v>
      </c>
      <c r="BO289" s="456">
        <f t="shared" si="798"/>
        <v>0.91249999999999998</v>
      </c>
      <c r="BR289" s="144">
        <f t="shared" si="848"/>
        <v>912.5</v>
      </c>
      <c r="BS289" s="456">
        <f t="shared" si="849"/>
        <v>8.4862714323197988E-2</v>
      </c>
      <c r="BT289" s="456">
        <f t="shared" si="850"/>
        <v>5.5491868144832403E-2</v>
      </c>
      <c r="BU289" s="456">
        <f t="shared" si="851"/>
        <v>38.584294624316442</v>
      </c>
      <c r="BV289" s="456"/>
      <c r="BW289" s="456">
        <f t="shared" si="852"/>
        <v>8.0467512287033416E-2</v>
      </c>
      <c r="BX289" s="144">
        <f t="shared" si="853"/>
        <v>38805.116719071506</v>
      </c>
      <c r="BY289" s="150">
        <f t="shared" si="854"/>
        <v>42.20445353518766</v>
      </c>
      <c r="BZ289" s="5">
        <f t="shared" si="855"/>
        <v>62.05</v>
      </c>
      <c r="CA289" s="150">
        <f t="shared" si="856"/>
        <v>0.59517841105039282</v>
      </c>
      <c r="CB289" s="5">
        <f t="shared" si="857"/>
        <v>59.517841105039281</v>
      </c>
      <c r="CE289" s="59">
        <f t="shared" si="799"/>
        <v>-50</v>
      </c>
      <c r="CF289">
        <f t="shared" si="800"/>
        <v>-50</v>
      </c>
      <c r="CG289" s="150">
        <f t="shared" si="801"/>
        <v>0.64380848941344715</v>
      </c>
      <c r="CI289" s="147">
        <v>73</v>
      </c>
      <c r="CJ289" s="188">
        <f t="shared" si="858"/>
        <v>0.36499999999999999</v>
      </c>
      <c r="CK289" s="188"/>
      <c r="CL289" s="188">
        <f t="shared" si="802"/>
        <v>62.05</v>
      </c>
      <c r="CM289" s="465">
        <f t="shared" si="803"/>
        <v>16</v>
      </c>
      <c r="CN289" s="379">
        <f t="shared" si="804"/>
        <v>8.5350000000000001</v>
      </c>
      <c r="CO289" s="379">
        <f t="shared" si="805"/>
        <v>24.535</v>
      </c>
      <c r="CP289" s="379"/>
      <c r="CQ289" s="188">
        <f t="shared" si="806"/>
        <v>0.34787038923986141</v>
      </c>
      <c r="CR289" s="149">
        <f t="shared" si="807"/>
        <v>186.42142245771345</v>
      </c>
      <c r="CS289" s="149">
        <f t="shared" si="808"/>
        <v>62.05</v>
      </c>
      <c r="CT289" s="188">
        <f t="shared" si="809"/>
        <v>1.0965966026924321</v>
      </c>
      <c r="CU289" s="188">
        <f t="shared" si="810"/>
        <v>170</v>
      </c>
      <c r="CV289" s="188"/>
      <c r="CW289" s="149">
        <f t="shared" si="811"/>
        <v>1141.3833474077044</v>
      </c>
      <c r="CX289" s="149">
        <f t="shared" si="812"/>
        <v>170</v>
      </c>
      <c r="CY289" s="188">
        <f t="shared" si="813"/>
        <v>22.296378881077914</v>
      </c>
      <c r="CZ289" s="188">
        <f t="shared" si="814"/>
        <v>2.0902855201010544</v>
      </c>
      <c r="DA289" s="188">
        <f t="shared" si="815"/>
        <v>3.9185200142491943</v>
      </c>
      <c r="DB289" s="172">
        <f t="shared" si="816"/>
        <v>278.29631139188916</v>
      </c>
      <c r="DC289" s="379">
        <f t="shared" si="817"/>
        <v>166.42242693383042</v>
      </c>
      <c r="DE289" s="188">
        <f t="shared" si="818"/>
        <v>13.333333333333332</v>
      </c>
      <c r="DF289" s="150">
        <f t="shared" si="819"/>
        <v>2.3432923257176332</v>
      </c>
      <c r="DG289" s="150">
        <f t="shared" si="820"/>
        <v>0.21737653692004619</v>
      </c>
      <c r="DH289" s="150"/>
      <c r="DI289" s="150">
        <f t="shared" si="821"/>
        <v>2.3432923257176337</v>
      </c>
      <c r="DJ289" s="314">
        <f t="shared" si="822"/>
        <v>467.29124999999988</v>
      </c>
      <c r="DK289" s="456">
        <f t="shared" si="823"/>
        <v>0.21737653692004627</v>
      </c>
      <c r="DM289" s="150">
        <f t="shared" si="824"/>
        <v>15.406306686363402</v>
      </c>
      <c r="DN289" s="150">
        <f t="shared" si="825"/>
        <v>22.296378881077914</v>
      </c>
      <c r="DO289" s="150">
        <f t="shared" si="826"/>
        <v>7.8392929983293174</v>
      </c>
      <c r="DQ289" s="314">
        <f t="shared" si="827"/>
        <v>365</v>
      </c>
      <c r="DR289" s="144">
        <f t="shared" si="828"/>
        <v>166.42242693383042</v>
      </c>
      <c r="DT289">
        <f t="shared" si="829"/>
        <v>365</v>
      </c>
      <c r="DU289">
        <f t="shared" si="830"/>
        <v>166.42242693383042</v>
      </c>
      <c r="DW289" s="5">
        <f t="shared" si="859"/>
        <v>6.0088055343502482</v>
      </c>
      <c r="DX289" s="5">
        <f t="shared" si="831"/>
        <v>2.0902855201010544</v>
      </c>
      <c r="DY289" s="5">
        <f t="shared" si="832"/>
        <v>3.9185200142491938</v>
      </c>
      <c r="DZ289" s="5"/>
      <c r="EA289" s="150">
        <f t="shared" si="833"/>
        <v>0.34787038923986141</v>
      </c>
      <c r="EB289" s="150">
        <f t="shared" si="860"/>
        <v>62.050000000000011</v>
      </c>
      <c r="EC289" s="150">
        <f t="shared" si="861"/>
        <v>0.3635032220269479</v>
      </c>
      <c r="ED289" s="150">
        <f t="shared" si="862"/>
        <v>170.70000000000002</v>
      </c>
      <c r="EE289" s="144">
        <f t="shared" si="834"/>
        <v>0.44879659696287344</v>
      </c>
      <c r="EF289" s="5">
        <f t="shared" si="835"/>
        <v>25.327517383766921</v>
      </c>
      <c r="EH289" s="150">
        <f t="shared" si="863"/>
        <v>7.5924587299144086</v>
      </c>
      <c r="EI289" s="150">
        <f t="shared" si="864"/>
        <v>0.51976935791449586</v>
      </c>
      <c r="EK289" s="456">
        <f t="shared" si="865"/>
        <v>0.19599446052254194</v>
      </c>
      <c r="EL289" s="456">
        <f t="shared" si="866"/>
        <v>2.7676160000000003</v>
      </c>
      <c r="EM289" s="456">
        <f t="shared" si="867"/>
        <v>3.8110735767847168E-2</v>
      </c>
      <c r="EN289" s="456">
        <f t="shared" si="868"/>
        <v>6.8623765866236905E-2</v>
      </c>
      <c r="EO289">
        <f t="shared" si="869"/>
        <v>7.1999999999999998E-3</v>
      </c>
      <c r="EP289" s="144">
        <f t="shared" si="870"/>
        <v>45.310735767847163</v>
      </c>
      <c r="EQ289" s="144"/>
      <c r="ER289" s="144">
        <f t="shared" si="871"/>
        <v>3077.5449621566263</v>
      </c>
      <c r="ES289" s="456">
        <f t="shared" si="872"/>
        <v>0.91249999999999998</v>
      </c>
      <c r="EV289" s="144">
        <f t="shared" si="873"/>
        <v>912.5</v>
      </c>
      <c r="EW289" s="456">
        <f t="shared" si="874"/>
        <v>8.6468144348180273E-2</v>
      </c>
      <c r="EX289" s="456">
        <f t="shared" si="875"/>
        <v>5.403203708536946E-2</v>
      </c>
      <c r="EY289" s="456">
        <f t="shared" si="876"/>
        <v>41.935852026837857</v>
      </c>
      <c r="EZ289" s="456"/>
      <c r="FA289" s="456">
        <f t="shared" si="877"/>
        <v>8.2733333333333339E-2</v>
      </c>
      <c r="FB289" s="144">
        <f t="shared" si="878"/>
        <v>42159.085541604742</v>
      </c>
      <c r="FC289" s="150">
        <f t="shared" si="879"/>
        <v>46.149130503761363</v>
      </c>
      <c r="FD289" s="5">
        <f t="shared" si="880"/>
        <v>62.05</v>
      </c>
      <c r="FE289" s="150">
        <f t="shared" si="881"/>
        <v>0.57347965469873108</v>
      </c>
      <c r="FF289" s="5">
        <f t="shared" si="882"/>
        <v>57.34796546987311</v>
      </c>
      <c r="FI289" s="59">
        <f t="shared" si="836"/>
        <v>-50</v>
      </c>
      <c r="FJ289">
        <f t="shared" si="837"/>
        <v>-50</v>
      </c>
      <c r="FL289">
        <f t="shared" si="838"/>
        <v>0.65212961076013864</v>
      </c>
    </row>
    <row r="290" spans="5:168">
      <c r="E290" s="147">
        <v>74</v>
      </c>
      <c r="F290" s="188">
        <f t="shared" si="839"/>
        <v>0.37</v>
      </c>
      <c r="G290" s="188"/>
      <c r="H290" s="188">
        <f t="shared" si="764"/>
        <v>62.9</v>
      </c>
      <c r="I290" s="465">
        <f t="shared" si="765"/>
        <v>15.943688738917269</v>
      </c>
      <c r="J290" s="149">
        <f t="shared" si="766"/>
        <v>8.5407460470492591</v>
      </c>
      <c r="K290" s="149">
        <f t="shared" si="767"/>
        <v>24.484434785966528</v>
      </c>
      <c r="L290" s="379"/>
      <c r="M290" s="188">
        <f t="shared" si="768"/>
        <v>0.34882156860390262</v>
      </c>
      <c r="N290" s="149">
        <f t="shared" si="769"/>
        <v>186.27325757715531</v>
      </c>
      <c r="O290" s="149">
        <f t="shared" si="762"/>
        <v>62.9</v>
      </c>
      <c r="P290" s="188">
        <f t="shared" si="770"/>
        <v>1.0957250445715019</v>
      </c>
      <c r="Q290" s="188">
        <f t="shared" si="771"/>
        <v>170</v>
      </c>
      <c r="R290" s="188"/>
      <c r="S290" s="149">
        <f t="shared" si="772"/>
        <v>1117.6941623460882</v>
      </c>
      <c r="T290" s="149">
        <f t="shared" si="773"/>
        <v>170</v>
      </c>
      <c r="U290" s="188">
        <f t="shared" si="774"/>
        <v>22.728025509489708</v>
      </c>
      <c r="V290" s="188">
        <f t="shared" si="775"/>
        <v>2.1382779620514434</v>
      </c>
      <c r="W290" s="188">
        <f t="shared" si="776"/>
        <v>3.9916932404298593</v>
      </c>
      <c r="X290" s="172">
        <f t="shared" si="777"/>
        <v>278.07665923809498</v>
      </c>
      <c r="Y290" s="379">
        <f t="shared" si="840"/>
        <v>157.97860179964286</v>
      </c>
      <c r="AA290" s="188">
        <f t="shared" si="778"/>
        <v>13.333333333333332</v>
      </c>
      <c r="AB290" s="150">
        <f t="shared" si="779"/>
        <v>2.3417158044301987</v>
      </c>
      <c r="AC290" s="150">
        <f t="shared" si="780"/>
        <v>0.21705883592699929</v>
      </c>
      <c r="AD290" s="150"/>
      <c r="AE290" s="150">
        <f t="shared" si="781"/>
        <v>2.3417158044301991</v>
      </c>
      <c r="AF290" s="314">
        <f t="shared" si="782"/>
        <v>474.01140561123384</v>
      </c>
      <c r="AG290" s="456">
        <f t="shared" si="783"/>
        <v>0.21705883592699934</v>
      </c>
      <c r="AI290" s="150">
        <f t="shared" si="784"/>
        <v>15.516690951625149</v>
      </c>
      <c r="AJ290" s="150">
        <f t="shared" si="785"/>
        <v>22.728025509489708</v>
      </c>
      <c r="AK290" s="150">
        <f t="shared" si="786"/>
        <v>8.1590312415973134</v>
      </c>
      <c r="AM290" s="314">
        <f t="shared" si="787"/>
        <v>370</v>
      </c>
      <c r="AN290" s="144">
        <f t="shared" si="788"/>
        <v>157.97860179964286</v>
      </c>
      <c r="AP290">
        <f t="shared" si="789"/>
        <v>370</v>
      </c>
      <c r="AQ290">
        <f t="shared" si="790"/>
        <v>157.97860179964286</v>
      </c>
      <c r="AS290" s="5">
        <f t="shared" si="763"/>
        <v>6.3299712024813006</v>
      </c>
      <c r="AT290" s="5">
        <f t="shared" si="791"/>
        <v>2.1382779620514434</v>
      </c>
      <c r="AU290" s="5">
        <f t="shared" si="722"/>
        <v>4.1916932404298572</v>
      </c>
      <c r="AV290" s="5"/>
      <c r="AW290" s="150">
        <f t="shared" si="723"/>
        <v>0.33780216270387686</v>
      </c>
      <c r="AX290" s="150">
        <f t="shared" si="792"/>
        <v>61.204442370629494</v>
      </c>
      <c r="AY290" s="150">
        <f t="shared" si="793"/>
        <v>0.37626123345988005</v>
      </c>
      <c r="AZ290" s="150">
        <f t="shared" si="794"/>
        <v>162.66475769461803</v>
      </c>
      <c r="BA290" s="144">
        <f t="shared" si="724"/>
        <v>0.46538990938766711</v>
      </c>
      <c r="BB290" s="5">
        <f t="shared" si="725"/>
        <v>27.561324226836657</v>
      </c>
      <c r="BD290" s="150">
        <f t="shared" si="841"/>
        <v>7.6266232603882704</v>
      </c>
      <c r="BE290" s="150">
        <f t="shared" si="842"/>
        <v>0.53390620001108235</v>
      </c>
      <c r="BG290" s="456">
        <f t="shared" si="843"/>
        <v>0.19776230001004438</v>
      </c>
      <c r="BH290" s="456">
        <f t="shared" si="795"/>
        <v>2.1055015943005864</v>
      </c>
      <c r="BI290" s="456">
        <f t="shared" si="796"/>
        <v>0.11535928377623104</v>
      </c>
      <c r="BJ290" s="456">
        <f t="shared" si="844"/>
        <v>6.4873750039965164E-2</v>
      </c>
      <c r="BK290">
        <f t="shared" si="845"/>
        <v>7.1746599325127709E-3</v>
      </c>
      <c r="BL290" s="144">
        <f t="shared" si="846"/>
        <v>122.53394370874382</v>
      </c>
      <c r="BM290" s="456">
        <f t="shared" si="797"/>
        <v>2.5409273805131871</v>
      </c>
      <c r="BN290" s="144">
        <f t="shared" si="847"/>
        <v>2540.927380513187</v>
      </c>
      <c r="BO290" s="456">
        <f t="shared" si="798"/>
        <v>0.92500000000000004</v>
      </c>
      <c r="BR290" s="144">
        <f t="shared" si="848"/>
        <v>925</v>
      </c>
      <c r="BS290" s="456">
        <f t="shared" si="849"/>
        <v>8.7248073533843118E-2</v>
      </c>
      <c r="BT290" s="456">
        <f t="shared" si="850"/>
        <v>5.7011166082054782E-2</v>
      </c>
      <c r="BU290" s="456">
        <f t="shared" si="851"/>
        <v>38.625128664517717</v>
      </c>
      <c r="BV290" s="456"/>
      <c r="BW290" s="456">
        <f t="shared" si="852"/>
        <v>8.1605923160839339E-2</v>
      </c>
      <c r="BX290" s="144">
        <f t="shared" si="853"/>
        <v>38850.993827294449</v>
      </c>
      <c r="BY290" s="150">
        <f t="shared" si="854"/>
        <v>42.266665415353792</v>
      </c>
      <c r="BZ290" s="5">
        <f t="shared" si="855"/>
        <v>62.9</v>
      </c>
      <c r="CA290" s="150">
        <f t="shared" si="856"/>
        <v>0.59809826385174059</v>
      </c>
      <c r="CB290" s="5">
        <f t="shared" si="857"/>
        <v>59.809826385174055</v>
      </c>
      <c r="CE290" s="59">
        <f t="shared" si="799"/>
        <v>-50</v>
      </c>
      <c r="CF290">
        <f t="shared" si="800"/>
        <v>-50</v>
      </c>
      <c r="CG290" s="150">
        <f t="shared" si="801"/>
        <v>0.64392093699921327</v>
      </c>
      <c r="CI290" s="147">
        <v>74</v>
      </c>
      <c r="CJ290" s="188">
        <f t="shared" si="858"/>
        <v>0.37</v>
      </c>
      <c r="CK290" s="188"/>
      <c r="CL290" s="188">
        <f t="shared" si="802"/>
        <v>62.9</v>
      </c>
      <c r="CM290" s="465">
        <f t="shared" si="803"/>
        <v>16</v>
      </c>
      <c r="CN290" s="379">
        <f t="shared" si="804"/>
        <v>8.5350000000000001</v>
      </c>
      <c r="CO290" s="379">
        <f t="shared" si="805"/>
        <v>24.535</v>
      </c>
      <c r="CP290" s="379"/>
      <c r="CQ290" s="188">
        <f t="shared" si="806"/>
        <v>0.34787038923986141</v>
      </c>
      <c r="CR290" s="149">
        <f t="shared" si="807"/>
        <v>186.42142245771345</v>
      </c>
      <c r="CS290" s="149">
        <f t="shared" si="808"/>
        <v>62.9</v>
      </c>
      <c r="CT290" s="188">
        <f t="shared" si="809"/>
        <v>1.0965966026924321</v>
      </c>
      <c r="CU290" s="188">
        <f t="shared" si="810"/>
        <v>170</v>
      </c>
      <c r="CV290" s="188"/>
      <c r="CW290" s="149">
        <f t="shared" si="811"/>
        <v>1121.641024273358</v>
      </c>
      <c r="CX290" s="149">
        <f t="shared" si="812"/>
        <v>170</v>
      </c>
      <c r="CY290" s="188">
        <f t="shared" si="813"/>
        <v>22.601808728763913</v>
      </c>
      <c r="CZ290" s="188">
        <f t="shared" si="814"/>
        <v>2.1189195683216173</v>
      </c>
      <c r="DA290" s="188">
        <f t="shared" si="815"/>
        <v>3.9721983706087722</v>
      </c>
      <c r="DB290" s="172">
        <f t="shared" si="816"/>
        <v>278.29631139188916</v>
      </c>
      <c r="DC290" s="379">
        <f t="shared" si="817"/>
        <v>164.17347521850834</v>
      </c>
      <c r="DE290" s="188">
        <f t="shared" si="818"/>
        <v>13.333333333333332</v>
      </c>
      <c r="DF290" s="150">
        <f t="shared" si="819"/>
        <v>2.3432923257176332</v>
      </c>
      <c r="DG290" s="150">
        <f t="shared" si="820"/>
        <v>0.21737653692004619</v>
      </c>
      <c r="DH290" s="150"/>
      <c r="DI290" s="150">
        <f t="shared" si="821"/>
        <v>2.3432923257176337</v>
      </c>
      <c r="DJ290" s="314">
        <f t="shared" si="822"/>
        <v>473.69249999999988</v>
      </c>
      <c r="DK290" s="456">
        <f t="shared" si="823"/>
        <v>0.21737653692004627</v>
      </c>
      <c r="DM290" s="150">
        <f t="shared" si="824"/>
        <v>15.511470410174343</v>
      </c>
      <c r="DN290" s="150">
        <f t="shared" si="825"/>
        <v>22.601808728763913</v>
      </c>
      <c r="DO290" s="150">
        <f t="shared" si="826"/>
        <v>8.0655373299485777</v>
      </c>
      <c r="DQ290" s="314">
        <f t="shared" si="827"/>
        <v>370</v>
      </c>
      <c r="DR290" s="144">
        <f t="shared" si="828"/>
        <v>164.17347521850834</v>
      </c>
      <c r="DT290">
        <f t="shared" si="829"/>
        <v>370</v>
      </c>
      <c r="DU290">
        <f t="shared" si="830"/>
        <v>164.17347521850834</v>
      </c>
      <c r="DW290" s="5">
        <f t="shared" si="859"/>
        <v>6.09111793893039</v>
      </c>
      <c r="DX290" s="5">
        <f t="shared" si="831"/>
        <v>2.1189195683216173</v>
      </c>
      <c r="DY290" s="5">
        <f t="shared" si="832"/>
        <v>3.9721983706087727</v>
      </c>
      <c r="DZ290" s="5"/>
      <c r="EA290" s="150">
        <f t="shared" si="833"/>
        <v>0.34787038923986141</v>
      </c>
      <c r="EB290" s="150">
        <f t="shared" si="860"/>
        <v>62.9</v>
      </c>
      <c r="EC290" s="150">
        <f t="shared" si="861"/>
        <v>0.36848271821909784</v>
      </c>
      <c r="ED290" s="150">
        <f t="shared" si="862"/>
        <v>170.7</v>
      </c>
      <c r="EE290" s="144">
        <f t="shared" si="834"/>
        <v>0.46117661192882259</v>
      </c>
      <c r="EF290" s="5">
        <f t="shared" si="835"/>
        <v>26.026174740759558</v>
      </c>
      <c r="EH290" s="150">
        <f t="shared" si="863"/>
        <v>7.696465013885839</v>
      </c>
      <c r="EI290" s="150">
        <f t="shared" si="864"/>
        <v>0.52688948610510533</v>
      </c>
      <c r="EK290" s="456">
        <f t="shared" si="865"/>
        <v>0.20140095061389374</v>
      </c>
      <c r="EL290" s="456">
        <f t="shared" si="866"/>
        <v>2.7676159999999994</v>
      </c>
      <c r="EM290" s="456">
        <f t="shared" si="867"/>
        <v>3.7595725825038416E-2</v>
      </c>
      <c r="EN290" s="456">
        <f t="shared" si="868"/>
        <v>6.7696417678855314E-2</v>
      </c>
      <c r="EO290">
        <f t="shared" si="869"/>
        <v>7.1999999999999998E-3</v>
      </c>
      <c r="EP290" s="144">
        <f t="shared" si="870"/>
        <v>44.795725825038417</v>
      </c>
      <c r="EQ290" s="144"/>
      <c r="ER290" s="144">
        <f t="shared" si="871"/>
        <v>3081.5090941177868</v>
      </c>
      <c r="ES290" s="456">
        <f t="shared" si="872"/>
        <v>0.92500000000000004</v>
      </c>
      <c r="EV290" s="144">
        <f t="shared" si="873"/>
        <v>925</v>
      </c>
      <c r="EW290" s="456">
        <f t="shared" si="874"/>
        <v>8.8853360564953118E-2</v>
      </c>
      <c r="EX290" s="456">
        <f t="shared" si="875"/>
        <v>5.5522506113620397E-2</v>
      </c>
      <c r="EY290" s="456">
        <f t="shared" si="876"/>
        <v>41.935852026837779</v>
      </c>
      <c r="EZ290" s="456"/>
      <c r="FA290" s="456">
        <f t="shared" si="877"/>
        <v>8.3866666666666659E-2</v>
      </c>
      <c r="FB290" s="144">
        <f t="shared" si="878"/>
        <v>42164.094560183017</v>
      </c>
      <c r="FC290" s="150">
        <f t="shared" si="879"/>
        <v>46.170603654300805</v>
      </c>
      <c r="FD290" s="5">
        <f t="shared" si="880"/>
        <v>62.9</v>
      </c>
      <c r="FE290" s="150">
        <f t="shared" si="881"/>
        <v>0.57669067459607626</v>
      </c>
      <c r="FF290" s="5">
        <f t="shared" si="882"/>
        <v>57.669067459607625</v>
      </c>
      <c r="FI290" s="59">
        <f t="shared" si="836"/>
        <v>-50</v>
      </c>
      <c r="FJ290">
        <f t="shared" si="837"/>
        <v>-50</v>
      </c>
      <c r="FL290">
        <f t="shared" si="838"/>
        <v>0.65212961076013864</v>
      </c>
    </row>
    <row r="291" spans="5:168">
      <c r="E291" s="147">
        <v>75</v>
      </c>
      <c r="F291" s="188">
        <f t="shared" si="839"/>
        <v>0.375</v>
      </c>
      <c r="G291" s="188"/>
      <c r="H291" s="188">
        <f t="shared" si="764"/>
        <v>63.75</v>
      </c>
      <c r="I291" s="465">
        <f t="shared" si="765"/>
        <v>15.942937475001393</v>
      </c>
      <c r="J291" s="149">
        <f t="shared" si="766"/>
        <v>8.5408227066325093</v>
      </c>
      <c r="K291" s="149">
        <f t="shared" si="767"/>
        <v>24.483760181633905</v>
      </c>
      <c r="L291" s="379"/>
      <c r="M291" s="188">
        <f t="shared" si="768"/>
        <v>0.34883431113397312</v>
      </c>
      <c r="N291" s="149">
        <f t="shared" si="769"/>
        <v>186.27128469598424</v>
      </c>
      <c r="O291" s="149">
        <f t="shared" si="762"/>
        <v>63.75</v>
      </c>
      <c r="P291" s="188">
        <f t="shared" si="770"/>
        <v>1.0957134393881425</v>
      </c>
      <c r="Q291" s="188">
        <f t="shared" si="771"/>
        <v>170</v>
      </c>
      <c r="R291" s="188"/>
      <c r="S291" s="149">
        <f t="shared" si="772"/>
        <v>1098.4943071212504</v>
      </c>
      <c r="T291" s="149">
        <f t="shared" si="773"/>
        <v>170</v>
      </c>
      <c r="U291" s="188">
        <f t="shared" si="774"/>
        <v>23.035611759768496</v>
      </c>
      <c r="V291" s="188">
        <f t="shared" si="775"/>
        <v>2.1673181428348873</v>
      </c>
      <c r="W291" s="188">
        <f t="shared" si="776"/>
        <v>4.0456778962077911</v>
      </c>
      <c r="X291" s="172">
        <f t="shared" si="777"/>
        <v>278.07371373261702</v>
      </c>
      <c r="Y291" s="379">
        <f t="shared" si="840"/>
        <v>155.93335687593503</v>
      </c>
      <c r="AA291" s="188">
        <f t="shared" si="778"/>
        <v>13.333333333333334</v>
      </c>
      <c r="AB291" s="150">
        <f t="shared" si="779"/>
        <v>2.341694785968182</v>
      </c>
      <c r="AC291" s="150">
        <f t="shared" si="780"/>
        <v>0.21705458852082607</v>
      </c>
      <c r="AD291" s="150"/>
      <c r="AE291" s="150">
        <f t="shared" si="781"/>
        <v>2.341694785968182</v>
      </c>
      <c r="AF291" s="314">
        <f t="shared" si="782"/>
        <v>480.42127724807852</v>
      </c>
      <c r="AG291" s="456">
        <f t="shared" si="783"/>
        <v>0.21705458852082607</v>
      </c>
      <c r="AI291" s="150">
        <f t="shared" si="784"/>
        <v>15.621251739338495</v>
      </c>
      <c r="AJ291" s="150">
        <f t="shared" si="785"/>
        <v>23.035611759768496</v>
      </c>
      <c r="AK291" s="150">
        <f t="shared" si="786"/>
        <v>8.3868729084704903</v>
      </c>
      <c r="AM291" s="314">
        <f t="shared" si="787"/>
        <v>375</v>
      </c>
      <c r="AN291" s="144">
        <f t="shared" si="788"/>
        <v>155.93335687593503</v>
      </c>
      <c r="AP291">
        <f t="shared" si="789"/>
        <v>375</v>
      </c>
      <c r="AQ291">
        <f t="shared" si="790"/>
        <v>155.93335687593503</v>
      </c>
      <c r="AS291" s="5">
        <f t="shared" si="763"/>
        <v>6.4129960390426799</v>
      </c>
      <c r="AT291" s="5">
        <f t="shared" si="791"/>
        <v>2.1673181428348873</v>
      </c>
      <c r="AU291" s="5">
        <f t="shared" si="722"/>
        <v>4.245677896207793</v>
      </c>
      <c r="AV291" s="5"/>
      <c r="AW291" s="150">
        <f t="shared" si="723"/>
        <v>0.33795719343036124</v>
      </c>
      <c r="AX291" s="150">
        <f t="shared" si="792"/>
        <v>62.058288269190655</v>
      </c>
      <c r="AY291" s="150">
        <f t="shared" si="793"/>
        <v>0.38126402651214281</v>
      </c>
      <c r="AZ291" s="150">
        <f t="shared" si="794"/>
        <v>162.76984964175259</v>
      </c>
      <c r="BA291" s="144">
        <f t="shared" si="724"/>
        <v>0.47808488444887226</v>
      </c>
      <c r="BB291" s="5">
        <f t="shared" si="725"/>
        <v>28.294865809980763</v>
      </c>
      <c r="BD291" s="150">
        <f t="shared" si="841"/>
        <v>7.7316105575055216</v>
      </c>
      <c r="BE291" s="150">
        <f t="shared" si="842"/>
        <v>0.54106839039995069</v>
      </c>
      <c r="BG291" s="456">
        <f t="shared" si="843"/>
        <v>0.20324452616396485</v>
      </c>
      <c r="BH291" s="456">
        <f t="shared" si="795"/>
        <v>2.106310600098201</v>
      </c>
      <c r="BI291" s="456">
        <f t="shared" si="796"/>
        <v>0.11386043775945708</v>
      </c>
      <c r="BJ291" s="456">
        <f t="shared" si="844"/>
        <v>6.4030343797632283E-2</v>
      </c>
      <c r="BK291">
        <f t="shared" si="845"/>
        <v>7.1743218637506266E-3</v>
      </c>
      <c r="BL291" s="144">
        <f t="shared" si="846"/>
        <v>121.03475962320771</v>
      </c>
      <c r="BM291" s="456">
        <f t="shared" si="797"/>
        <v>2.551684638336766</v>
      </c>
      <c r="BN291" s="144">
        <f t="shared" si="847"/>
        <v>2551.6846383367661</v>
      </c>
      <c r="BO291" s="456">
        <f t="shared" si="798"/>
        <v>0.9375</v>
      </c>
      <c r="BR291" s="144">
        <f t="shared" si="848"/>
        <v>937.5</v>
      </c>
      <c r="BS291" s="456">
        <f t="shared" si="849"/>
        <v>8.9666702719396266E-2</v>
      </c>
      <c r="BT291" s="456">
        <f t="shared" si="850"/>
        <v>5.85510006179987E-2</v>
      </c>
      <c r="BU291" s="456">
        <f t="shared" si="851"/>
        <v>38.664905319276308</v>
      </c>
      <c r="BV291" s="456"/>
      <c r="BW291" s="456">
        <f t="shared" si="852"/>
        <v>8.2744384358920883E-2</v>
      </c>
      <c r="BX291" s="144">
        <f t="shared" si="853"/>
        <v>38895.867406972618</v>
      </c>
      <c r="BY291" s="150">
        <f t="shared" si="854"/>
        <v>42.327987636655628</v>
      </c>
      <c r="BZ291" s="5">
        <f t="shared" si="855"/>
        <v>63.75</v>
      </c>
      <c r="CA291" s="150">
        <f t="shared" si="856"/>
        <v>0.60097293906404159</v>
      </c>
      <c r="CB291" s="5">
        <f t="shared" si="857"/>
        <v>60.097293906404161</v>
      </c>
      <c r="CE291" s="59">
        <f t="shared" si="799"/>
        <v>-50</v>
      </c>
      <c r="CF291">
        <f t="shared" si="800"/>
        <v>-50</v>
      </c>
      <c r="CG291" s="150">
        <f t="shared" si="801"/>
        <v>0.64403038598269224</v>
      </c>
      <c r="CI291" s="147">
        <v>75</v>
      </c>
      <c r="CJ291" s="188">
        <f t="shared" si="858"/>
        <v>0.375</v>
      </c>
      <c r="CK291" s="188"/>
      <c r="CL291" s="188">
        <f t="shared" si="802"/>
        <v>63.75</v>
      </c>
      <c r="CM291" s="465">
        <f t="shared" si="803"/>
        <v>16</v>
      </c>
      <c r="CN291" s="379">
        <f t="shared" si="804"/>
        <v>8.5350000000000001</v>
      </c>
      <c r="CO291" s="379">
        <f t="shared" si="805"/>
        <v>24.535</v>
      </c>
      <c r="CP291" s="379"/>
      <c r="CQ291" s="188">
        <f t="shared" si="806"/>
        <v>0.34787038923986141</v>
      </c>
      <c r="CR291" s="149">
        <f t="shared" si="807"/>
        <v>186.42142245771345</v>
      </c>
      <c r="CS291" s="149">
        <f t="shared" si="808"/>
        <v>63.75</v>
      </c>
      <c r="CT291" s="188">
        <f t="shared" si="809"/>
        <v>1.0965966026924321</v>
      </c>
      <c r="CU291" s="188">
        <f t="shared" si="810"/>
        <v>170</v>
      </c>
      <c r="CV291" s="188"/>
      <c r="CW291" s="149">
        <f t="shared" si="811"/>
        <v>1102.4252816604603</v>
      </c>
      <c r="CX291" s="149">
        <f t="shared" si="812"/>
        <v>170</v>
      </c>
      <c r="CY291" s="188">
        <f t="shared" si="813"/>
        <v>22.907238576449913</v>
      </c>
      <c r="CZ291" s="188">
        <f t="shared" si="814"/>
        <v>2.1475536165421794</v>
      </c>
      <c r="DA291" s="188">
        <f t="shared" si="815"/>
        <v>4.0258767269683506</v>
      </c>
      <c r="DB291" s="172">
        <f t="shared" si="816"/>
        <v>278.29631139188916</v>
      </c>
      <c r="DC291" s="379">
        <f t="shared" si="817"/>
        <v>161.98449554892824</v>
      </c>
      <c r="DE291" s="188">
        <f t="shared" si="818"/>
        <v>13.333333333333332</v>
      </c>
      <c r="DF291" s="150">
        <f t="shared" si="819"/>
        <v>2.3432923257176332</v>
      </c>
      <c r="DG291" s="150">
        <f t="shared" si="820"/>
        <v>0.21737653692004619</v>
      </c>
      <c r="DH291" s="150"/>
      <c r="DI291" s="150">
        <f t="shared" si="821"/>
        <v>2.3432923257176337</v>
      </c>
      <c r="DJ291" s="314">
        <f t="shared" si="822"/>
        <v>480.09374999999989</v>
      </c>
      <c r="DK291" s="456">
        <f t="shared" si="823"/>
        <v>0.21737653692004627</v>
      </c>
      <c r="DM291" s="150">
        <f t="shared" si="824"/>
        <v>15.615925936592516</v>
      </c>
      <c r="DN291" s="150">
        <f t="shared" si="825"/>
        <v>22.907238576449913</v>
      </c>
      <c r="DO291" s="150">
        <f t="shared" si="826"/>
        <v>8.2917816615678355</v>
      </c>
      <c r="DQ291" s="314">
        <f t="shared" si="827"/>
        <v>375</v>
      </c>
      <c r="DR291" s="144">
        <f t="shared" si="828"/>
        <v>161.98449554892824</v>
      </c>
      <c r="DT291">
        <f t="shared" si="829"/>
        <v>375</v>
      </c>
      <c r="DU291">
        <f t="shared" si="830"/>
        <v>161.98449554892824</v>
      </c>
      <c r="DW291" s="5">
        <f t="shared" si="859"/>
        <v>6.1734303435105309</v>
      </c>
      <c r="DX291" s="5">
        <f t="shared" si="831"/>
        <v>2.1475536165421794</v>
      </c>
      <c r="DY291" s="5">
        <f t="shared" si="832"/>
        <v>4.0258767269683515</v>
      </c>
      <c r="DZ291" s="5"/>
      <c r="EA291" s="150">
        <f t="shared" si="833"/>
        <v>0.34787038923986136</v>
      </c>
      <c r="EB291" s="150">
        <f t="shared" si="860"/>
        <v>63.75</v>
      </c>
      <c r="EC291" s="150">
        <f t="shared" si="861"/>
        <v>0.37346221441124788</v>
      </c>
      <c r="ED291" s="150">
        <f t="shared" si="862"/>
        <v>170.69999999999996</v>
      </c>
      <c r="EE291" s="144">
        <f t="shared" si="834"/>
        <v>0.47372506247253954</v>
      </c>
      <c r="EF291" s="5">
        <f t="shared" si="835"/>
        <v>26.734337640024204</v>
      </c>
      <c r="EH291" s="150">
        <f t="shared" si="863"/>
        <v>7.8004712978572694</v>
      </c>
      <c r="EI291" s="150">
        <f t="shared" si="864"/>
        <v>0.53400961429571492</v>
      </c>
      <c r="EK291" s="456">
        <f t="shared" si="865"/>
        <v>0.20688099839356322</v>
      </c>
      <c r="EL291" s="456">
        <f t="shared" si="866"/>
        <v>2.7676159999999994</v>
      </c>
      <c r="EM291" s="456">
        <f t="shared" si="867"/>
        <v>3.7094449480704561E-2</v>
      </c>
      <c r="EN291" s="456">
        <f t="shared" si="868"/>
        <v>6.6793798776470584E-2</v>
      </c>
      <c r="EO291">
        <f t="shared" si="869"/>
        <v>7.1999999999999998E-3</v>
      </c>
      <c r="EP291" s="144">
        <f t="shared" si="870"/>
        <v>44.294449480704557</v>
      </c>
      <c r="EQ291" s="144"/>
      <c r="ER291" s="144">
        <f t="shared" si="871"/>
        <v>3085.5852466507376</v>
      </c>
      <c r="ES291" s="456">
        <f t="shared" si="872"/>
        <v>0.9375</v>
      </c>
      <c r="EV291" s="144">
        <f t="shared" si="873"/>
        <v>937.5</v>
      </c>
      <c r="EW291" s="456">
        <f t="shared" si="874"/>
        <v>9.1271028703042614E-2</v>
      </c>
      <c r="EX291" s="456">
        <f t="shared" si="875"/>
        <v>5.7033253632051639E-2</v>
      </c>
      <c r="EY291" s="456">
        <f t="shared" si="876"/>
        <v>41.935852026837779</v>
      </c>
      <c r="EZ291" s="456"/>
      <c r="FA291" s="456">
        <f t="shared" si="877"/>
        <v>8.4999999999999992E-2</v>
      </c>
      <c r="FB291" s="144">
        <f t="shared" si="878"/>
        <v>42169.156309172875</v>
      </c>
      <c r="FC291" s="150">
        <f t="shared" si="879"/>
        <v>46.192241555823614</v>
      </c>
      <c r="FD291" s="5">
        <f t="shared" si="880"/>
        <v>63.75</v>
      </c>
      <c r="FE291" s="150">
        <f t="shared" si="881"/>
        <v>0.57984992026591242</v>
      </c>
      <c r="FF291" s="5">
        <f t="shared" si="882"/>
        <v>57.984992026591243</v>
      </c>
      <c r="FI291" s="59">
        <f t="shared" si="836"/>
        <v>-50</v>
      </c>
      <c r="FJ291">
        <f t="shared" si="837"/>
        <v>-50</v>
      </c>
      <c r="FL291">
        <f t="shared" si="838"/>
        <v>0.65212961076013864</v>
      </c>
    </row>
    <row r="292" spans="5:168">
      <c r="E292" s="147">
        <v>76</v>
      </c>
      <c r="F292" s="188">
        <f t="shared" si="839"/>
        <v>0.38</v>
      </c>
      <c r="G292" s="188"/>
      <c r="H292" s="188">
        <f t="shared" si="764"/>
        <v>64.599999999999994</v>
      </c>
      <c r="I292" s="465">
        <f t="shared" si="765"/>
        <v>15.942186207876206</v>
      </c>
      <c r="J292" s="149">
        <f t="shared" si="766"/>
        <v>8.5408993665432433</v>
      </c>
      <c r="K292" s="149">
        <f t="shared" si="767"/>
        <v>24.483085574419448</v>
      </c>
      <c r="L292" s="379"/>
      <c r="M292" s="188">
        <f t="shared" si="768"/>
        <v>0.34884705441197361</v>
      </c>
      <c r="N292" s="149">
        <f t="shared" si="769"/>
        <v>186.26931153541432</v>
      </c>
      <c r="O292" s="149">
        <f t="shared" si="762"/>
        <v>64.599999999999994</v>
      </c>
      <c r="P292" s="188">
        <f t="shared" si="770"/>
        <v>1.0957018325612606</v>
      </c>
      <c r="Q292" s="188">
        <f t="shared" si="771"/>
        <v>170</v>
      </c>
      <c r="R292" s="188"/>
      <c r="S292" s="149">
        <f t="shared" si="772"/>
        <v>1079.800224793958</v>
      </c>
      <c r="T292" s="149">
        <f t="shared" si="773"/>
        <v>170</v>
      </c>
      <c r="U292" s="188">
        <f t="shared" si="774"/>
        <v>23.343210075282045</v>
      </c>
      <c r="V292" s="188">
        <f t="shared" si="775"/>
        <v>2.1963621962729341</v>
      </c>
      <c r="W292" s="188">
        <f t="shared" si="776"/>
        <v>4.0996637017038884</v>
      </c>
      <c r="X292" s="172">
        <f t="shared" si="777"/>
        <v>278.0707678170034</v>
      </c>
      <c r="Y292" s="379">
        <f t="shared" si="840"/>
        <v>153.94027297696712</v>
      </c>
      <c r="AA292" s="188">
        <f t="shared" si="778"/>
        <v>13.333333333333334</v>
      </c>
      <c r="AB292" s="150">
        <f t="shared" si="779"/>
        <v>2.3416737677936834</v>
      </c>
      <c r="AC292" s="150">
        <f t="shared" si="780"/>
        <v>0.21705034086244163</v>
      </c>
      <c r="AD292" s="150"/>
      <c r="AE292" s="150">
        <f t="shared" si="781"/>
        <v>2.3416737677936834</v>
      </c>
      <c r="AF292" s="314">
        <f t="shared" si="782"/>
        <v>486.83126389296478</v>
      </c>
      <c r="AG292" s="456">
        <f t="shared" si="783"/>
        <v>0.21705034086244165</v>
      </c>
      <c r="AI292" s="150">
        <f t="shared" si="784"/>
        <v>15.725119145370858</v>
      </c>
      <c r="AJ292" s="150">
        <f t="shared" si="785"/>
        <v>23.343210075282045</v>
      </c>
      <c r="AK292" s="150">
        <f t="shared" si="786"/>
        <v>8.6147235125546011</v>
      </c>
      <c r="AM292" s="314">
        <f t="shared" si="787"/>
        <v>380</v>
      </c>
      <c r="AN292" s="144">
        <f t="shared" si="788"/>
        <v>153.94027297696712</v>
      </c>
      <c r="AP292">
        <f t="shared" si="789"/>
        <v>380</v>
      </c>
      <c r="AQ292">
        <f t="shared" si="790"/>
        <v>153.94027297696712</v>
      </c>
      <c r="AS292" s="5">
        <f t="shared" si="763"/>
        <v>6.4960258979768222</v>
      </c>
      <c r="AT292" s="5">
        <f t="shared" si="791"/>
        <v>2.1963621962729341</v>
      </c>
      <c r="AU292" s="5">
        <f t="shared" si="722"/>
        <v>4.2996637017038886</v>
      </c>
      <c r="AV292" s="5"/>
      <c r="AW292" s="150">
        <f t="shared" si="723"/>
        <v>0.33810859605054649</v>
      </c>
      <c r="AX292" s="150">
        <f t="shared" si="792"/>
        <v>62.912171053896877</v>
      </c>
      <c r="AY292" s="150">
        <f t="shared" si="793"/>
        <v>0.38626675223538648</v>
      </c>
      <c r="AZ292" s="150">
        <f t="shared" si="794"/>
        <v>162.87234324418097</v>
      </c>
      <c r="BA292" s="144">
        <f t="shared" si="724"/>
        <v>0.49095154975512639</v>
      </c>
      <c r="BB292" s="5">
        <f t="shared" si="725"/>
        <v>29.038078749915034</v>
      </c>
      <c r="BD292" s="150">
        <f t="shared" si="841"/>
        <v>7.8366068107237856</v>
      </c>
      <c r="BE292" s="150">
        <f t="shared" si="842"/>
        <v>0.54823066746664051</v>
      </c>
      <c r="BG292" s="456">
        <f t="shared" si="843"/>
        <v>0.20880218144000021</v>
      </c>
      <c r="BH292" s="456">
        <f t="shared" si="795"/>
        <v>2.1070968559846759</v>
      </c>
      <c r="BI292" s="456">
        <f t="shared" si="796"/>
        <v>0.11239981794840675</v>
      </c>
      <c r="BJ292" s="456">
        <f t="shared" si="844"/>
        <v>6.3208447708045429E-2</v>
      </c>
      <c r="BK292">
        <f t="shared" si="845"/>
        <v>7.1739837935442929E-3</v>
      </c>
      <c r="BL292" s="144">
        <f t="shared" si="846"/>
        <v>119.57380174195104</v>
      </c>
      <c r="BM292" s="456">
        <f t="shared" si="797"/>
        <v>2.5626191957595705</v>
      </c>
      <c r="BN292" s="144">
        <f t="shared" si="847"/>
        <v>2562.6191957595706</v>
      </c>
      <c r="BO292" s="456">
        <f t="shared" si="798"/>
        <v>0.95</v>
      </c>
      <c r="BR292" s="144">
        <f t="shared" si="848"/>
        <v>950</v>
      </c>
      <c r="BS292" s="456">
        <f t="shared" si="849"/>
        <v>9.2118609458823636E-2</v>
      </c>
      <c r="BT292" s="456">
        <f t="shared" si="850"/>
        <v>6.0111372950183629E-2</v>
      </c>
      <c r="BU292" s="456">
        <f t="shared" si="851"/>
        <v>38.703664048728797</v>
      </c>
      <c r="BV292" s="456"/>
      <c r="BW292" s="456">
        <f t="shared" si="852"/>
        <v>8.3882894738529182E-2</v>
      </c>
      <c r="BX292" s="144">
        <f t="shared" si="853"/>
        <v>38939.776925876329</v>
      </c>
      <c r="BY292" s="150">
        <f t="shared" si="854"/>
        <v>42.388458212751004</v>
      </c>
      <c r="BZ292" s="5">
        <f t="shared" si="855"/>
        <v>64.599999999999994</v>
      </c>
      <c r="CA292" s="150">
        <f t="shared" si="856"/>
        <v>0.60380344832654942</v>
      </c>
      <c r="CB292" s="5">
        <f t="shared" si="857"/>
        <v>60.380344832654941</v>
      </c>
      <c r="CE292" s="59">
        <f t="shared" si="799"/>
        <v>-50</v>
      </c>
      <c r="CF292">
        <f t="shared" si="800"/>
        <v>-50</v>
      </c>
      <c r="CG292" s="150">
        <f t="shared" si="801"/>
        <v>0.64413695472976384</v>
      </c>
      <c r="CI292" s="147">
        <v>76</v>
      </c>
      <c r="CJ292" s="188">
        <f t="shared" si="858"/>
        <v>0.38</v>
      </c>
      <c r="CK292" s="188"/>
      <c r="CL292" s="188">
        <f t="shared" si="802"/>
        <v>64.599999999999994</v>
      </c>
      <c r="CM292" s="465">
        <f t="shared" si="803"/>
        <v>16</v>
      </c>
      <c r="CN292" s="379">
        <f t="shared" si="804"/>
        <v>8.5350000000000001</v>
      </c>
      <c r="CO292" s="379">
        <f t="shared" si="805"/>
        <v>24.535</v>
      </c>
      <c r="CP292" s="379"/>
      <c r="CQ292" s="188">
        <f t="shared" si="806"/>
        <v>0.34787038923986141</v>
      </c>
      <c r="CR292" s="149">
        <f t="shared" si="807"/>
        <v>186.42142245771345</v>
      </c>
      <c r="CS292" s="149">
        <f t="shared" si="808"/>
        <v>64.599999999999994</v>
      </c>
      <c r="CT292" s="188">
        <f t="shared" si="809"/>
        <v>1.0965966026924321</v>
      </c>
      <c r="CU292" s="188">
        <f t="shared" si="810"/>
        <v>170</v>
      </c>
      <c r="CV292" s="188"/>
      <c r="CW292" s="149">
        <f t="shared" si="811"/>
        <v>1083.715334851614</v>
      </c>
      <c r="CX292" s="149">
        <f t="shared" si="812"/>
        <v>170</v>
      </c>
      <c r="CY292" s="188">
        <f t="shared" si="813"/>
        <v>23.212668424135909</v>
      </c>
      <c r="CZ292" s="188">
        <f t="shared" si="814"/>
        <v>2.1761876647627414</v>
      </c>
      <c r="DA292" s="188">
        <f t="shared" si="815"/>
        <v>4.0795550833279277</v>
      </c>
      <c r="DB292" s="172">
        <f t="shared" si="816"/>
        <v>278.29631139188916</v>
      </c>
      <c r="DC292" s="379">
        <f t="shared" si="817"/>
        <v>159.85312060749501</v>
      </c>
      <c r="DE292" s="188">
        <f t="shared" si="818"/>
        <v>13.333333333333332</v>
      </c>
      <c r="DF292" s="150">
        <f t="shared" si="819"/>
        <v>2.3432923257176332</v>
      </c>
      <c r="DG292" s="150">
        <f t="shared" si="820"/>
        <v>0.21737653692004619</v>
      </c>
      <c r="DH292" s="150"/>
      <c r="DI292" s="150">
        <f t="shared" si="821"/>
        <v>2.3432923257176337</v>
      </c>
      <c r="DJ292" s="314">
        <f t="shared" si="822"/>
        <v>486.49499999999989</v>
      </c>
      <c r="DK292" s="456">
        <f t="shared" si="823"/>
        <v>0.21737653692004627</v>
      </c>
      <c r="DM292" s="150">
        <f t="shared" si="824"/>
        <v>15.719687383296508</v>
      </c>
      <c r="DN292" s="150">
        <f t="shared" si="825"/>
        <v>23.212668424135909</v>
      </c>
      <c r="DO292" s="150">
        <f t="shared" si="826"/>
        <v>8.5180259931870914</v>
      </c>
      <c r="DQ292" s="314">
        <f t="shared" si="827"/>
        <v>380</v>
      </c>
      <c r="DR292" s="144">
        <f t="shared" si="828"/>
        <v>159.85312060749501</v>
      </c>
      <c r="DT292">
        <f t="shared" si="829"/>
        <v>380</v>
      </c>
      <c r="DU292">
        <f t="shared" si="830"/>
        <v>159.85312060749501</v>
      </c>
      <c r="DW292" s="5">
        <f t="shared" si="859"/>
        <v>6.2557427480906691</v>
      </c>
      <c r="DX292" s="5">
        <f t="shared" si="831"/>
        <v>2.1761876647627414</v>
      </c>
      <c r="DY292" s="5">
        <f t="shared" si="832"/>
        <v>4.0795550833279277</v>
      </c>
      <c r="DZ292" s="5"/>
      <c r="EA292" s="150">
        <f t="shared" si="833"/>
        <v>0.34787038923986141</v>
      </c>
      <c r="EB292" s="150">
        <f t="shared" si="860"/>
        <v>64.600000000000009</v>
      </c>
      <c r="EC292" s="150">
        <f t="shared" si="861"/>
        <v>0.37844171060339776</v>
      </c>
      <c r="ED292" s="150">
        <f t="shared" si="862"/>
        <v>170.70000000000002</v>
      </c>
      <c r="EE292" s="144">
        <f t="shared" si="834"/>
        <v>0.48644194859402456</v>
      </c>
      <c r="EF292" s="5">
        <f t="shared" si="835"/>
        <v>27.452006081560839</v>
      </c>
      <c r="EH292" s="150">
        <f t="shared" si="863"/>
        <v>7.904477581828699</v>
      </c>
      <c r="EI292" s="150">
        <f t="shared" si="864"/>
        <v>0.54112974248632439</v>
      </c>
      <c r="EK292" s="456">
        <f t="shared" si="865"/>
        <v>0.21243460386155041</v>
      </c>
      <c r="EL292" s="456">
        <f t="shared" si="866"/>
        <v>2.7676160000000003</v>
      </c>
      <c r="EM292" s="456">
        <f t="shared" si="867"/>
        <v>3.6606364619116365E-2</v>
      </c>
      <c r="EN292" s="456">
        <f t="shared" si="868"/>
        <v>6.5914933003095991E-2</v>
      </c>
      <c r="EO292">
        <f t="shared" si="869"/>
        <v>7.1999999999999998E-3</v>
      </c>
      <c r="EP292" s="144">
        <f t="shared" si="870"/>
        <v>43.806364619116366</v>
      </c>
      <c r="EQ292" s="144"/>
      <c r="ER292" s="144">
        <f t="shared" si="871"/>
        <v>3089.771901483763</v>
      </c>
      <c r="ES292" s="456">
        <f t="shared" si="872"/>
        <v>0.95</v>
      </c>
      <c r="EV292" s="144">
        <f t="shared" si="873"/>
        <v>950</v>
      </c>
      <c r="EW292" s="456">
        <f t="shared" si="874"/>
        <v>9.3721148762448719E-2</v>
      </c>
      <c r="EX292" s="456">
        <f t="shared" si="875"/>
        <v>5.8564279640663158E-2</v>
      </c>
      <c r="EY292" s="456">
        <f t="shared" si="876"/>
        <v>41.935852026837708</v>
      </c>
      <c r="EZ292" s="456"/>
      <c r="FA292" s="456">
        <f t="shared" si="877"/>
        <v>8.613333333333334E-2</v>
      </c>
      <c r="FB292" s="144">
        <f t="shared" si="878"/>
        <v>42174.270788574155</v>
      </c>
      <c r="FC292" s="150">
        <f t="shared" si="879"/>
        <v>46.214042690057923</v>
      </c>
      <c r="FD292" s="5">
        <f t="shared" si="880"/>
        <v>64.599999999999994</v>
      </c>
      <c r="FE292" s="150">
        <f t="shared" si="881"/>
        <v>0.58295860733718918</v>
      </c>
      <c r="FF292" s="5">
        <f t="shared" si="882"/>
        <v>58.295860733718918</v>
      </c>
      <c r="FI292" s="59">
        <f t="shared" si="836"/>
        <v>-50</v>
      </c>
      <c r="FJ292">
        <f t="shared" si="837"/>
        <v>-50</v>
      </c>
      <c r="FL292">
        <f t="shared" si="838"/>
        <v>0.65212961076013864</v>
      </c>
    </row>
    <row r="293" spans="5:168">
      <c r="E293" s="147">
        <v>77</v>
      </c>
      <c r="F293" s="188">
        <f t="shared" si="839"/>
        <v>0.38500000000000001</v>
      </c>
      <c r="G293" s="188"/>
      <c r="H293" s="188">
        <f t="shared" si="764"/>
        <v>65.45</v>
      </c>
      <c r="I293" s="465">
        <f t="shared" si="765"/>
        <v>15.941434937668278</v>
      </c>
      <c r="J293" s="149">
        <f t="shared" si="766"/>
        <v>8.5409760267685435</v>
      </c>
      <c r="K293" s="149">
        <f t="shared" si="767"/>
        <v>24.482410964436824</v>
      </c>
      <c r="L293" s="379"/>
      <c r="M293" s="188">
        <f t="shared" si="768"/>
        <v>0.34885979843616727</v>
      </c>
      <c r="N293" s="149">
        <f t="shared" si="769"/>
        <v>186.26733809593645</v>
      </c>
      <c r="O293" s="149">
        <f t="shared" si="762"/>
        <v>65.45</v>
      </c>
      <c r="P293" s="188">
        <f t="shared" si="770"/>
        <v>1.0956902240937438</v>
      </c>
      <c r="Q293" s="188">
        <f t="shared" si="771"/>
        <v>170</v>
      </c>
      <c r="R293" s="188"/>
      <c r="S293" s="149">
        <f t="shared" si="772"/>
        <v>1061.5922112963628</v>
      </c>
      <c r="T293" s="149">
        <f t="shared" si="773"/>
        <v>170</v>
      </c>
      <c r="U293" s="188">
        <f t="shared" si="774"/>
        <v>23.65082045773563</v>
      </c>
      <c r="V293" s="188">
        <f t="shared" si="775"/>
        <v>2.2254101230734302</v>
      </c>
      <c r="W293" s="188">
        <f t="shared" si="776"/>
        <v>4.1536506571867511</v>
      </c>
      <c r="X293" s="172">
        <f t="shared" si="777"/>
        <v>278.06782149171244</v>
      </c>
      <c r="Y293" s="379">
        <f t="shared" si="840"/>
        <v>151.99737977803773</v>
      </c>
      <c r="AA293" s="188">
        <f t="shared" si="778"/>
        <v>13.333333333333336</v>
      </c>
      <c r="AB293" s="150">
        <f t="shared" si="779"/>
        <v>2.3416527499102409</v>
      </c>
      <c r="AC293" s="150">
        <f t="shared" si="780"/>
        <v>0.21704609295253952</v>
      </c>
      <c r="AD293" s="150"/>
      <c r="AE293" s="150">
        <f t="shared" si="781"/>
        <v>2.3416527499102404</v>
      </c>
      <c r="AF293" s="314">
        <f t="shared" si="782"/>
        <v>493.24136554588341</v>
      </c>
      <c r="AG293" s="456">
        <f t="shared" si="783"/>
        <v>0.21704609295253943</v>
      </c>
      <c r="AI293" s="150">
        <f t="shared" si="784"/>
        <v>15.828306819910036</v>
      </c>
      <c r="AJ293" s="150">
        <f t="shared" si="785"/>
        <v>23.65082045773563</v>
      </c>
      <c r="AK293" s="150">
        <f t="shared" si="786"/>
        <v>8.8425830551128115</v>
      </c>
      <c r="AM293" s="314">
        <f t="shared" si="787"/>
        <v>385</v>
      </c>
      <c r="AN293" s="144">
        <f t="shared" si="788"/>
        <v>151.99737977803773</v>
      </c>
      <c r="AP293">
        <f t="shared" si="789"/>
        <v>385</v>
      </c>
      <c r="AQ293">
        <f t="shared" si="790"/>
        <v>151.99737977803773</v>
      </c>
      <c r="AS293" s="5">
        <f t="shared" si="763"/>
        <v>6.579060780260181</v>
      </c>
      <c r="AT293" s="5">
        <f t="shared" si="791"/>
        <v>2.2254101230734302</v>
      </c>
      <c r="AU293" s="5">
        <f t="shared" si="722"/>
        <v>4.3536506571867513</v>
      </c>
      <c r="AV293" s="5"/>
      <c r="AW293" s="150">
        <f t="shared" si="723"/>
        <v>0.33825650763868187</v>
      </c>
      <c r="AX293" s="150">
        <f t="shared" si="792"/>
        <v>63.766089910852585</v>
      </c>
      <c r="AY293" s="150">
        <f t="shared" si="793"/>
        <v>0.39126941317281216</v>
      </c>
      <c r="AZ293" s="150">
        <f t="shared" si="794"/>
        <v>162.97233508178414</v>
      </c>
      <c r="BA293" s="144">
        <f t="shared" si="724"/>
        <v>0.50398993963721805</v>
      </c>
      <c r="BB293" s="5">
        <f t="shared" si="725"/>
        <v>29.790964722542871</v>
      </c>
      <c r="BD293" s="150">
        <f t="shared" si="841"/>
        <v>7.9416119829225229</v>
      </c>
      <c r="BE293" s="150">
        <f t="shared" si="842"/>
        <v>0.55539303325224143</v>
      </c>
      <c r="BG293" s="456">
        <f t="shared" si="843"/>
        <v>0.21443528301681525</v>
      </c>
      <c r="BH293" s="456">
        <f t="shared" si="795"/>
        <v>2.1078612212432541</v>
      </c>
      <c r="BI293" s="456">
        <f t="shared" si="796"/>
        <v>0.11097598039158613</v>
      </c>
      <c r="BJ293" s="456">
        <f t="shared" si="844"/>
        <v>6.2407249249701049E-2</v>
      </c>
      <c r="BK293">
        <f t="shared" si="845"/>
        <v>7.1736457219507251E-3</v>
      </c>
      <c r="BL293" s="144">
        <f t="shared" si="846"/>
        <v>118.14962611353685</v>
      </c>
      <c r="BM293" s="456">
        <f t="shared" si="797"/>
        <v>2.5737324956574432</v>
      </c>
      <c r="BN293" s="144">
        <f t="shared" si="847"/>
        <v>2573.732495657443</v>
      </c>
      <c r="BO293" s="456">
        <f t="shared" si="798"/>
        <v>0.96250000000000002</v>
      </c>
      <c r="BR293" s="144">
        <f t="shared" si="848"/>
        <v>962.5</v>
      </c>
      <c r="BS293" s="456">
        <f t="shared" si="849"/>
        <v>9.4603801330947909E-2</v>
      </c>
      <c r="BT293" s="456">
        <f t="shared" si="850"/>
        <v>6.169228427702507E-2</v>
      </c>
      <c r="BU293" s="456">
        <f t="shared" si="851"/>
        <v>38.741442374354698</v>
      </c>
      <c r="BV293" s="456"/>
      <c r="BW293" s="456">
        <f t="shared" si="852"/>
        <v>8.5021453214470119E-2</v>
      </c>
      <c r="BX293" s="144">
        <f t="shared" si="853"/>
        <v>38982.759913177142</v>
      </c>
      <c r="BY293" s="150">
        <f t="shared" si="854"/>
        <v>42.44811329280045</v>
      </c>
      <c r="BZ293" s="5">
        <f t="shared" si="855"/>
        <v>65.45</v>
      </c>
      <c r="CA293" s="150">
        <f t="shared" si="856"/>
        <v>0.6065907734863718</v>
      </c>
      <c r="CB293" s="5">
        <f t="shared" si="857"/>
        <v>60.659077348637183</v>
      </c>
      <c r="CE293" s="59">
        <f t="shared" si="799"/>
        <v>-50</v>
      </c>
      <c r="CF293">
        <f t="shared" si="800"/>
        <v>-50</v>
      </c>
      <c r="CG293" s="150">
        <f t="shared" si="801"/>
        <v>0.64424075545743109</v>
      </c>
      <c r="CI293" s="147">
        <v>77</v>
      </c>
      <c r="CJ293" s="188">
        <f t="shared" si="858"/>
        <v>0.38500000000000001</v>
      </c>
      <c r="CK293" s="188"/>
      <c r="CL293" s="188">
        <f t="shared" si="802"/>
        <v>65.45</v>
      </c>
      <c r="CM293" s="465">
        <f t="shared" si="803"/>
        <v>16</v>
      </c>
      <c r="CN293" s="379">
        <f t="shared" si="804"/>
        <v>8.5350000000000001</v>
      </c>
      <c r="CO293" s="379">
        <f t="shared" si="805"/>
        <v>24.535</v>
      </c>
      <c r="CP293" s="379"/>
      <c r="CQ293" s="188">
        <f t="shared" si="806"/>
        <v>0.34787038923986141</v>
      </c>
      <c r="CR293" s="149">
        <f t="shared" si="807"/>
        <v>186.42142245771345</v>
      </c>
      <c r="CS293" s="149">
        <f t="shared" si="808"/>
        <v>65.45</v>
      </c>
      <c r="CT293" s="188">
        <f t="shared" si="809"/>
        <v>1.0965966026924321</v>
      </c>
      <c r="CU293" s="188">
        <f t="shared" si="810"/>
        <v>170</v>
      </c>
      <c r="CV293" s="188"/>
      <c r="CW293" s="149">
        <f t="shared" si="811"/>
        <v>1065.4914788756769</v>
      </c>
      <c r="CX293" s="149">
        <f t="shared" si="812"/>
        <v>170</v>
      </c>
      <c r="CY293" s="188">
        <f t="shared" si="813"/>
        <v>23.518098271821913</v>
      </c>
      <c r="CZ293" s="188">
        <f t="shared" si="814"/>
        <v>2.2048217129833043</v>
      </c>
      <c r="DA293" s="188">
        <f t="shared" si="815"/>
        <v>4.1332334396875066</v>
      </c>
      <c r="DB293" s="172">
        <f t="shared" si="816"/>
        <v>278.29631139188916</v>
      </c>
      <c r="DC293" s="379">
        <f t="shared" si="817"/>
        <v>157.77710605415089</v>
      </c>
      <c r="DE293" s="188">
        <f t="shared" si="818"/>
        <v>13.333333333333332</v>
      </c>
      <c r="DF293" s="150">
        <f t="shared" si="819"/>
        <v>2.3432923257176332</v>
      </c>
      <c r="DG293" s="150">
        <f t="shared" si="820"/>
        <v>0.21737653692004619</v>
      </c>
      <c r="DH293" s="150"/>
      <c r="DI293" s="150">
        <f t="shared" si="821"/>
        <v>2.3432923257176337</v>
      </c>
      <c r="DJ293" s="314">
        <f t="shared" si="822"/>
        <v>492.8962499999999</v>
      </c>
      <c r="DK293" s="456">
        <f t="shared" si="823"/>
        <v>0.21737653692004627</v>
      </c>
      <c r="DM293" s="150">
        <f t="shared" si="824"/>
        <v>15.822768405054786</v>
      </c>
      <c r="DN293" s="150">
        <f t="shared" si="825"/>
        <v>23.518098271821913</v>
      </c>
      <c r="DO293" s="150">
        <f t="shared" si="826"/>
        <v>8.7442703248063545</v>
      </c>
      <c r="DQ293" s="314">
        <f t="shared" si="827"/>
        <v>385</v>
      </c>
      <c r="DR293" s="144">
        <f t="shared" si="828"/>
        <v>157.77710605415089</v>
      </c>
      <c r="DT293">
        <f t="shared" si="829"/>
        <v>385</v>
      </c>
      <c r="DU293">
        <f t="shared" si="830"/>
        <v>157.77710605415089</v>
      </c>
      <c r="DW293" s="5">
        <f t="shared" si="859"/>
        <v>6.3380551526708109</v>
      </c>
      <c r="DX293" s="5">
        <f t="shared" si="831"/>
        <v>2.2048217129833043</v>
      </c>
      <c r="DY293" s="5">
        <f t="shared" si="832"/>
        <v>4.1332334396875066</v>
      </c>
      <c r="DZ293" s="5"/>
      <c r="EA293" s="150">
        <f t="shared" si="833"/>
        <v>0.34787038923986141</v>
      </c>
      <c r="EB293" s="150">
        <f t="shared" si="860"/>
        <v>65.450000000000017</v>
      </c>
      <c r="EC293" s="150">
        <f t="shared" si="861"/>
        <v>0.38342120679554786</v>
      </c>
      <c r="ED293" s="150">
        <f t="shared" si="862"/>
        <v>170.7</v>
      </c>
      <c r="EE293" s="144">
        <f t="shared" si="834"/>
        <v>0.49932727029327773</v>
      </c>
      <c r="EF293" s="5">
        <f t="shared" si="835"/>
        <v>28.179180065369508</v>
      </c>
      <c r="EH293" s="150">
        <f t="shared" si="863"/>
        <v>8.0084838658001303</v>
      </c>
      <c r="EI293" s="150">
        <f t="shared" si="864"/>
        <v>0.54824987067693409</v>
      </c>
      <c r="EK293" s="456">
        <f t="shared" si="865"/>
        <v>0.21806176701785537</v>
      </c>
      <c r="EL293" s="456">
        <f t="shared" si="866"/>
        <v>2.7676160000000007</v>
      </c>
      <c r="EM293" s="456">
        <f t="shared" si="867"/>
        <v>3.6130957286400554E-2</v>
      </c>
      <c r="EN293" s="456">
        <f t="shared" si="868"/>
        <v>6.5058894912146684E-2</v>
      </c>
      <c r="EO293">
        <f t="shared" si="869"/>
        <v>7.1999999999999998E-3</v>
      </c>
      <c r="EP293" s="144">
        <f t="shared" si="870"/>
        <v>43.330957286400555</v>
      </c>
      <c r="EQ293" s="144"/>
      <c r="ER293" s="144">
        <f t="shared" si="871"/>
        <v>3094.0676192164033</v>
      </c>
      <c r="ES293" s="456">
        <f t="shared" si="872"/>
        <v>0.96250000000000002</v>
      </c>
      <c r="EV293" s="144">
        <f t="shared" si="873"/>
        <v>962.5</v>
      </c>
      <c r="EW293" s="456">
        <f t="shared" si="874"/>
        <v>9.6203720743171503E-2</v>
      </c>
      <c r="EX293" s="456">
        <f t="shared" si="875"/>
        <v>6.0115584139454996E-2</v>
      </c>
      <c r="EY293" s="456">
        <f t="shared" si="876"/>
        <v>41.935852026837821</v>
      </c>
      <c r="EZ293" s="456"/>
      <c r="FA293" s="456">
        <f t="shared" si="877"/>
        <v>8.7266666666666701E-2</v>
      </c>
      <c r="FB293" s="144">
        <f t="shared" si="878"/>
        <v>42179.437998387119</v>
      </c>
      <c r="FC293" s="150">
        <f t="shared" si="879"/>
        <v>46.236005617603517</v>
      </c>
      <c r="FD293" s="5">
        <f t="shared" si="880"/>
        <v>65.45</v>
      </c>
      <c r="FE293" s="150">
        <f t="shared" si="881"/>
        <v>0.58601791368643974</v>
      </c>
      <c r="FF293" s="5">
        <f t="shared" si="882"/>
        <v>58.601791368643973</v>
      </c>
      <c r="FI293" s="59">
        <f t="shared" si="836"/>
        <v>-50</v>
      </c>
      <c r="FJ293">
        <f t="shared" si="837"/>
        <v>-50</v>
      </c>
      <c r="FL293">
        <f t="shared" si="838"/>
        <v>0.65212961076013864</v>
      </c>
    </row>
    <row r="294" spans="5:168">
      <c r="E294" s="147">
        <v>78</v>
      </c>
      <c r="F294" s="188">
        <f t="shared" si="839"/>
        <v>0.39</v>
      </c>
      <c r="G294" s="188"/>
      <c r="H294" s="188">
        <f t="shared" si="764"/>
        <v>66.3</v>
      </c>
      <c r="I294" s="465">
        <f t="shared" si="765"/>
        <v>15.940683664497609</v>
      </c>
      <c r="J294" s="149">
        <f t="shared" si="766"/>
        <v>8.5410526872961636</v>
      </c>
      <c r="K294" s="149">
        <f t="shared" si="767"/>
        <v>24.481736351793771</v>
      </c>
      <c r="L294" s="379"/>
      <c r="M294" s="188">
        <f t="shared" si="768"/>
        <v>0.34887254320491051</v>
      </c>
      <c r="N294" s="149">
        <f t="shared" si="769"/>
        <v>186.26536437801508</v>
      </c>
      <c r="O294" s="149">
        <f t="shared" si="762"/>
        <v>66.3</v>
      </c>
      <c r="P294" s="188">
        <f t="shared" si="770"/>
        <v>1.0956786139883239</v>
      </c>
      <c r="Q294" s="188">
        <f t="shared" si="771"/>
        <v>170</v>
      </c>
      <c r="R294" s="188"/>
      <c r="S294" s="149">
        <f t="shared" si="772"/>
        <v>1043.8515730458766</v>
      </c>
      <c r="T294" s="149">
        <f t="shared" si="773"/>
        <v>170</v>
      </c>
      <c r="U294" s="188">
        <f t="shared" si="774"/>
        <v>23.958442908834879</v>
      </c>
      <c r="V294" s="188">
        <f t="shared" si="775"/>
        <v>2.2544619239443979</v>
      </c>
      <c r="W294" s="188">
        <f t="shared" si="776"/>
        <v>4.2076387629250274</v>
      </c>
      <c r="X294" s="172">
        <f t="shared" si="777"/>
        <v>278.06487475717722</v>
      </c>
      <c r="Y294" s="379">
        <f t="shared" si="840"/>
        <v>150.10280495624093</v>
      </c>
      <c r="AA294" s="188">
        <f t="shared" si="778"/>
        <v>13.333333333333334</v>
      </c>
      <c r="AB294" s="150">
        <f t="shared" si="779"/>
        <v>2.341631732321205</v>
      </c>
      <c r="AC294" s="150">
        <f t="shared" si="780"/>
        <v>0.21704184479177596</v>
      </c>
      <c r="AD294" s="150"/>
      <c r="AE294" s="150">
        <f t="shared" si="781"/>
        <v>2.341631732321205</v>
      </c>
      <c r="AF294" s="314">
        <f t="shared" si="782"/>
        <v>499.65158220682548</v>
      </c>
      <c r="AG294" s="456">
        <f t="shared" si="783"/>
        <v>0.21704184479177599</v>
      </c>
      <c r="AI294" s="150">
        <f t="shared" si="784"/>
        <v>15.93082797129785</v>
      </c>
      <c r="AJ294" s="150">
        <f t="shared" si="785"/>
        <v>23.958442908834879</v>
      </c>
      <c r="AK294" s="150">
        <f t="shared" si="786"/>
        <v>9.0704515374085517</v>
      </c>
      <c r="AM294" s="314">
        <f t="shared" si="787"/>
        <v>390</v>
      </c>
      <c r="AN294" s="144">
        <f t="shared" si="788"/>
        <v>150.10280495624093</v>
      </c>
      <c r="AP294">
        <f t="shared" si="789"/>
        <v>390</v>
      </c>
      <c r="AQ294">
        <f t="shared" si="790"/>
        <v>150.10280495624093</v>
      </c>
      <c r="AS294" s="5">
        <f t="shared" si="763"/>
        <v>6.662100686869425</v>
      </c>
      <c r="AT294" s="5">
        <f t="shared" si="791"/>
        <v>2.2544619239443979</v>
      </c>
      <c r="AU294" s="5">
        <f t="shared" si="722"/>
        <v>4.4076387629250267</v>
      </c>
      <c r="AV294" s="5"/>
      <c r="AW294" s="150">
        <f t="shared" si="723"/>
        <v>0.33840105845109764</v>
      </c>
      <c r="AX294" s="150">
        <f t="shared" si="792"/>
        <v>64.620044066644567</v>
      </c>
      <c r="AY294" s="150">
        <f t="shared" si="793"/>
        <v>0.39627201174112398</v>
      </c>
      <c r="AZ294" s="150">
        <f t="shared" si="794"/>
        <v>163.0699170065522</v>
      </c>
      <c r="BA294" s="144">
        <f t="shared" si="724"/>
        <v>0.5172000884343031</v>
      </c>
      <c r="BB294" s="5">
        <f t="shared" si="725"/>
        <v>30.553525404179403</v>
      </c>
      <c r="BD294" s="150">
        <f t="shared" si="841"/>
        <v>8.0466260388883022</v>
      </c>
      <c r="BE294" s="150">
        <f t="shared" si="842"/>
        <v>0.56255548969764946</v>
      </c>
      <c r="BG294" s="456">
        <f t="shared" si="843"/>
        <v>0.22014384807303183</v>
      </c>
      <c r="BH294" s="456">
        <f t="shared" si="795"/>
        <v>2.1086045124173638</v>
      </c>
      <c r="BI294" s="456">
        <f t="shared" si="796"/>
        <v>0.1095875529580239</v>
      </c>
      <c r="BJ294" s="456">
        <f t="shared" si="844"/>
        <v>6.1625976314996521E-2</v>
      </c>
      <c r="BK294">
        <f t="shared" si="845"/>
        <v>7.1733076490239234E-3</v>
      </c>
      <c r="BL294" s="144">
        <f t="shared" si="846"/>
        <v>116.76086060704782</v>
      </c>
      <c r="BM294" s="456">
        <f t="shared" si="797"/>
        <v>2.5850260070242204</v>
      </c>
      <c r="BN294" s="144">
        <f t="shared" si="847"/>
        <v>2585.0260070242202</v>
      </c>
      <c r="BO294" s="456">
        <f t="shared" si="798"/>
        <v>0.97500000000000009</v>
      </c>
      <c r="BR294" s="144">
        <f t="shared" si="848"/>
        <v>975.00000000000011</v>
      </c>
      <c r="BS294" s="456">
        <f t="shared" si="849"/>
        <v>9.7122285914572878E-2</v>
      </c>
      <c r="BT294" s="456">
        <f t="shared" si="850"/>
        <v>6.3293735797792447E-2</v>
      </c>
      <c r="BU294" s="456">
        <f t="shared" si="851"/>
        <v>38.778275996531903</v>
      </c>
      <c r="BV294" s="456"/>
      <c r="BW294" s="456">
        <f t="shared" si="852"/>
        <v>8.6160058755526098E-2</v>
      </c>
      <c r="BX294" s="144">
        <f t="shared" si="853"/>
        <v>39024.852076999792</v>
      </c>
      <c r="BY294" s="150">
        <f t="shared" si="854"/>
        <v>42.506987274412232</v>
      </c>
      <c r="BZ294" s="5">
        <f t="shared" si="855"/>
        <v>66.3</v>
      </c>
      <c r="CA294" s="150">
        <f t="shared" si="856"/>
        <v>0.60933586767539838</v>
      </c>
      <c r="CB294" s="5">
        <f t="shared" si="857"/>
        <v>60.933586767539836</v>
      </c>
      <c r="CE294" s="59">
        <f t="shared" si="799"/>
        <v>-50</v>
      </c>
      <c r="CF294">
        <f t="shared" si="800"/>
        <v>-50</v>
      </c>
      <c r="CG294" s="150">
        <f t="shared" si="801"/>
        <v>0.64434189462797864</v>
      </c>
      <c r="CI294" s="147">
        <v>78</v>
      </c>
      <c r="CJ294" s="188">
        <f t="shared" si="858"/>
        <v>0.39</v>
      </c>
      <c r="CK294" s="188"/>
      <c r="CL294" s="188">
        <f t="shared" si="802"/>
        <v>66.3</v>
      </c>
      <c r="CM294" s="465">
        <f t="shared" si="803"/>
        <v>16</v>
      </c>
      <c r="CN294" s="379">
        <f t="shared" si="804"/>
        <v>8.5350000000000001</v>
      </c>
      <c r="CO294" s="379">
        <f t="shared" si="805"/>
        <v>24.535</v>
      </c>
      <c r="CP294" s="379"/>
      <c r="CQ294" s="188">
        <f t="shared" si="806"/>
        <v>0.34787038923986141</v>
      </c>
      <c r="CR294" s="149">
        <f t="shared" si="807"/>
        <v>186.42142245771345</v>
      </c>
      <c r="CS294" s="149">
        <f t="shared" si="808"/>
        <v>66.3</v>
      </c>
      <c r="CT294" s="188">
        <f t="shared" si="809"/>
        <v>1.0965966026924321</v>
      </c>
      <c r="CU294" s="188">
        <f t="shared" si="810"/>
        <v>170</v>
      </c>
      <c r="CV294" s="188"/>
      <c r="CW294" s="149">
        <f t="shared" si="811"/>
        <v>1047.7350192936547</v>
      </c>
      <c r="CX294" s="149">
        <f t="shared" si="812"/>
        <v>170</v>
      </c>
      <c r="CY294" s="188">
        <f t="shared" si="813"/>
        <v>23.823528119507909</v>
      </c>
      <c r="CZ294" s="188">
        <f t="shared" si="814"/>
        <v>2.2334557612038668</v>
      </c>
      <c r="DA294" s="188">
        <f t="shared" si="815"/>
        <v>4.1869117960470845</v>
      </c>
      <c r="DB294" s="172">
        <f t="shared" si="816"/>
        <v>278.29631139188916</v>
      </c>
      <c r="DC294" s="379">
        <f t="shared" si="817"/>
        <v>155.75432264320023</v>
      </c>
      <c r="DE294" s="188">
        <f t="shared" si="818"/>
        <v>13.333333333333332</v>
      </c>
      <c r="DF294" s="150">
        <f t="shared" si="819"/>
        <v>2.3432923257176332</v>
      </c>
      <c r="DG294" s="150">
        <f t="shared" si="820"/>
        <v>0.21737653692004619</v>
      </c>
      <c r="DH294" s="150"/>
      <c r="DI294" s="150">
        <f t="shared" si="821"/>
        <v>2.3432923257176337</v>
      </c>
      <c r="DJ294" s="314">
        <f t="shared" si="822"/>
        <v>499.2974999999999</v>
      </c>
      <c r="DK294" s="456">
        <f t="shared" si="823"/>
        <v>0.21737653692004627</v>
      </c>
      <c r="DM294" s="150">
        <f t="shared" si="824"/>
        <v>15.925182214700984</v>
      </c>
      <c r="DN294" s="150">
        <f t="shared" si="825"/>
        <v>23.823528119507909</v>
      </c>
      <c r="DO294" s="150">
        <f t="shared" si="826"/>
        <v>8.9705146564256104</v>
      </c>
      <c r="DQ294" s="314">
        <f t="shared" si="827"/>
        <v>390</v>
      </c>
      <c r="DR294" s="144">
        <f t="shared" si="828"/>
        <v>155.75432264320023</v>
      </c>
      <c r="DT294">
        <f t="shared" si="829"/>
        <v>390</v>
      </c>
      <c r="DU294">
        <f t="shared" si="830"/>
        <v>155.75432264320023</v>
      </c>
      <c r="DW294" s="5">
        <f t="shared" si="859"/>
        <v>6.4203675572509518</v>
      </c>
      <c r="DX294" s="5">
        <f t="shared" si="831"/>
        <v>2.2334557612038668</v>
      </c>
      <c r="DY294" s="5">
        <f t="shared" si="832"/>
        <v>4.1869117960470845</v>
      </c>
      <c r="DZ294" s="5"/>
      <c r="EA294" s="150">
        <f t="shared" si="833"/>
        <v>0.34787038923986141</v>
      </c>
      <c r="EB294" s="150">
        <f t="shared" si="860"/>
        <v>66.3</v>
      </c>
      <c r="EC294" s="150">
        <f t="shared" si="861"/>
        <v>0.3884007029876978</v>
      </c>
      <c r="ED294" s="150">
        <f t="shared" si="862"/>
        <v>170.69999999999996</v>
      </c>
      <c r="EE294" s="144">
        <f t="shared" si="834"/>
        <v>0.5123810275702988</v>
      </c>
      <c r="EF294" s="5">
        <f t="shared" si="835"/>
        <v>28.915859591450168</v>
      </c>
      <c r="EH294" s="150">
        <f t="shared" si="863"/>
        <v>8.1124901497715598</v>
      </c>
      <c r="EI294" s="150">
        <f t="shared" si="864"/>
        <v>0.55536999886754357</v>
      </c>
      <c r="EK294" s="456">
        <f t="shared" si="865"/>
        <v>0.22376248786247796</v>
      </c>
      <c r="EL294" s="456">
        <f t="shared" si="866"/>
        <v>2.7676159999999994</v>
      </c>
      <c r="EM294" s="456">
        <f t="shared" si="867"/>
        <v>3.5667739885292857E-2</v>
      </c>
      <c r="EN294" s="456">
        <f t="shared" si="868"/>
        <v>6.4224806515837091E-2</v>
      </c>
      <c r="EO294">
        <f t="shared" si="869"/>
        <v>7.1999999999999998E-3</v>
      </c>
      <c r="EP294" s="144">
        <f t="shared" si="870"/>
        <v>42.867739885292856</v>
      </c>
      <c r="EQ294" s="144"/>
      <c r="ER294" s="144">
        <f t="shared" si="871"/>
        <v>3098.4710342636072</v>
      </c>
      <c r="ES294" s="456">
        <f t="shared" si="872"/>
        <v>0.97500000000000009</v>
      </c>
      <c r="EV294" s="144">
        <f t="shared" si="873"/>
        <v>975.00000000000011</v>
      </c>
      <c r="EW294" s="456">
        <f t="shared" si="874"/>
        <v>9.8718744645210882E-2</v>
      </c>
      <c r="EX294" s="456">
        <f t="shared" si="875"/>
        <v>6.1687167128427069E-2</v>
      </c>
      <c r="EY294" s="456">
        <f t="shared" si="876"/>
        <v>41.935852026837779</v>
      </c>
      <c r="EZ294" s="456"/>
      <c r="FA294" s="456">
        <f t="shared" si="877"/>
        <v>8.8399999999999992E-2</v>
      </c>
      <c r="FB294" s="144">
        <f t="shared" si="878"/>
        <v>42184.657938611417</v>
      </c>
      <c r="FC294" s="150">
        <f t="shared" si="879"/>
        <v>46.258128972875021</v>
      </c>
      <c r="FD294" s="5">
        <f t="shared" si="880"/>
        <v>66.3</v>
      </c>
      <c r="FE294" s="150">
        <f t="shared" si="881"/>
        <v>0.58902898089197453</v>
      </c>
      <c r="FF294" s="5">
        <f t="shared" si="882"/>
        <v>58.90289808919745</v>
      </c>
      <c r="FI294" s="59">
        <f t="shared" si="836"/>
        <v>-50</v>
      </c>
      <c r="FJ294">
        <f t="shared" si="837"/>
        <v>-50</v>
      </c>
      <c r="FL294">
        <f t="shared" si="838"/>
        <v>0.65212961076013864</v>
      </c>
    </row>
    <row r="295" spans="5:168">
      <c r="E295" s="147">
        <v>79</v>
      </c>
      <c r="F295" s="188">
        <f t="shared" si="839"/>
        <v>0.39500000000000002</v>
      </c>
      <c r="G295" s="188"/>
      <c r="H295" s="188">
        <f t="shared" si="764"/>
        <v>67.150000000000006</v>
      </c>
      <c r="I295" s="465">
        <f t="shared" si="765"/>
        <v>15.939932388478049</v>
      </c>
      <c r="J295" s="149">
        <f t="shared" si="766"/>
        <v>8.5411293481144845</v>
      </c>
      <c r="K295" s="149">
        <f t="shared" si="767"/>
        <v>24.481061736592533</v>
      </c>
      <c r="L295" s="379"/>
      <c r="M295" s="188">
        <f t="shared" si="768"/>
        <v>0.34888528871664698</v>
      </c>
      <c r="N295" s="149">
        <f t="shared" si="769"/>
        <v>186.26339038208968</v>
      </c>
      <c r="O295" s="149">
        <f t="shared" si="762"/>
        <v>67.150000000000006</v>
      </c>
      <c r="P295" s="188">
        <f t="shared" si="770"/>
        <v>1.0956670022475863</v>
      </c>
      <c r="Q295" s="188">
        <f t="shared" si="771"/>
        <v>170</v>
      </c>
      <c r="R295" s="188"/>
      <c r="S295" s="149">
        <f t="shared" si="772"/>
        <v>1026.5605629908425</v>
      </c>
      <c r="T295" s="149">
        <f t="shared" si="773"/>
        <v>170</v>
      </c>
      <c r="U295" s="188">
        <f t="shared" si="774"/>
        <v>24.266077430285765</v>
      </c>
      <c r="V295" s="188">
        <f t="shared" si="775"/>
        <v>2.2835175995940378</v>
      </c>
      <c r="W295" s="188">
        <f t="shared" si="776"/>
        <v>4.2616280191874178</v>
      </c>
      <c r="X295" s="172">
        <f t="shared" si="777"/>
        <v>278.06192761380657</v>
      </c>
      <c r="Y295" s="379">
        <f t="shared" si="840"/>
        <v>148.25476817217401</v>
      </c>
      <c r="AA295" s="188">
        <f t="shared" si="778"/>
        <v>13.333333333333334</v>
      </c>
      <c r="AB295" s="150">
        <f t="shared" si="779"/>
        <v>2.3416107150297574</v>
      </c>
      <c r="AC295" s="150">
        <f t="shared" si="780"/>
        <v>0.21703759638077275</v>
      </c>
      <c r="AD295" s="150"/>
      <c r="AE295" s="150">
        <f t="shared" si="781"/>
        <v>2.3416107150297574</v>
      </c>
      <c r="AF295" s="314">
        <f t="shared" si="782"/>
        <v>506.06191387578309</v>
      </c>
      <c r="AG295" s="456">
        <f t="shared" si="783"/>
        <v>0.21703759638077275</v>
      </c>
      <c r="AI295" s="150">
        <f t="shared" si="784"/>
        <v>16.032695385796213</v>
      </c>
      <c r="AJ295" s="150">
        <f t="shared" si="785"/>
        <v>24.266077430285765</v>
      </c>
      <c r="AK295" s="150">
        <f t="shared" si="786"/>
        <v>9.2983289607055042</v>
      </c>
      <c r="AM295" s="314">
        <f t="shared" si="787"/>
        <v>395</v>
      </c>
      <c r="AN295" s="144">
        <f t="shared" si="788"/>
        <v>148.25476817217401</v>
      </c>
      <c r="AP295">
        <f t="shared" si="789"/>
        <v>395</v>
      </c>
      <c r="AQ295">
        <f t="shared" si="790"/>
        <v>148.25476817217401</v>
      </c>
      <c r="AS295" s="5">
        <f t="shared" si="763"/>
        <v>6.7451456187814562</v>
      </c>
      <c r="AT295" s="5">
        <f t="shared" si="791"/>
        <v>2.2835175995940378</v>
      </c>
      <c r="AU295" s="5">
        <f t="shared" si="722"/>
        <v>4.4616280191874189</v>
      </c>
      <c r="AV295" s="5"/>
      <c r="AW295" s="150">
        <f t="shared" si="723"/>
        <v>0.33854237234489332</v>
      </c>
      <c r="AX295" s="150">
        <f t="shared" si="792"/>
        <v>65.474032785855712</v>
      </c>
      <c r="AY295" s="150">
        <f t="shared" si="793"/>
        <v>0.40127455023829878</v>
      </c>
      <c r="AZ295" s="150">
        <f t="shared" si="794"/>
        <v>163.1651764283921</v>
      </c>
      <c r="BA295" s="144">
        <f t="shared" si="724"/>
        <v>0.53058203049390873</v>
      </c>
      <c r="BB295" s="5">
        <f t="shared" si="725"/>
        <v>31.325762471551791</v>
      </c>
      <c r="BD295" s="150">
        <f t="shared" si="841"/>
        <v>8.1516489451970813</v>
      </c>
      <c r="BE295" s="150">
        <f t="shared" si="842"/>
        <v>0.56971803864969472</v>
      </c>
      <c r="BG295" s="456">
        <f t="shared" si="843"/>
        <v>0.22592789378749115</v>
      </c>
      <c r="BH295" s="456">
        <f t="shared" si="795"/>
        <v>2.1093275059352643</v>
      </c>
      <c r="BI295" s="456">
        <f t="shared" si="796"/>
        <v>0.1082332309267745</v>
      </c>
      <c r="BJ295" s="456">
        <f t="shared" si="844"/>
        <v>6.0863894728413734E-2</v>
      </c>
      <c r="BK295">
        <f t="shared" si="845"/>
        <v>7.1729695748151221E-3</v>
      </c>
      <c r="BL295" s="144">
        <f t="shared" si="846"/>
        <v>115.40620050158964</v>
      </c>
      <c r="BM295" s="456">
        <f t="shared" si="797"/>
        <v>2.5965012255939341</v>
      </c>
      <c r="BN295" s="144">
        <f t="shared" si="847"/>
        <v>2596.5012255939341</v>
      </c>
      <c r="BO295" s="456">
        <f t="shared" si="798"/>
        <v>0.98750000000000004</v>
      </c>
      <c r="BR295" s="144">
        <f t="shared" si="848"/>
        <v>987.5</v>
      </c>
      <c r="BS295" s="456">
        <f t="shared" si="849"/>
        <v>9.9674070788599037E-2</v>
      </c>
      <c r="BT295" s="456">
        <f t="shared" si="850"/>
        <v>6.4915728712571008E-2</v>
      </c>
      <c r="BU295" s="456">
        <f t="shared" si="851"/>
        <v>38.814198903644126</v>
      </c>
      <c r="BV295" s="456"/>
      <c r="BW295" s="456">
        <f t="shared" si="852"/>
        <v>8.7298710381140968E-2</v>
      </c>
      <c r="BX295" s="144">
        <f t="shared" si="853"/>
        <v>39066.087413526438</v>
      </c>
      <c r="BY295" s="150">
        <f t="shared" si="854"/>
        <v>42.5651129084792</v>
      </c>
      <c r="BZ295" s="5">
        <f t="shared" si="855"/>
        <v>67.150000000000006</v>
      </c>
      <c r="CA295" s="150">
        <f t="shared" si="856"/>
        <v>0.61203965634173263</v>
      </c>
      <c r="CB295" s="5">
        <f t="shared" si="857"/>
        <v>61.203965634173265</v>
      </c>
      <c r="CE295" s="59">
        <f t="shared" si="799"/>
        <v>-50</v>
      </c>
      <c r="CF295">
        <f t="shared" si="800"/>
        <v>-50</v>
      </c>
      <c r="CG295" s="150">
        <f t="shared" si="801"/>
        <v>0.64444047331319565</v>
      </c>
      <c r="CI295" s="147">
        <v>79</v>
      </c>
      <c r="CJ295" s="188">
        <f t="shared" si="858"/>
        <v>0.39500000000000002</v>
      </c>
      <c r="CK295" s="188"/>
      <c r="CL295" s="188">
        <f t="shared" si="802"/>
        <v>67.150000000000006</v>
      </c>
      <c r="CM295" s="465">
        <f t="shared" si="803"/>
        <v>16</v>
      </c>
      <c r="CN295" s="379">
        <f t="shared" si="804"/>
        <v>8.5350000000000001</v>
      </c>
      <c r="CO295" s="379">
        <f t="shared" si="805"/>
        <v>24.535</v>
      </c>
      <c r="CP295" s="379"/>
      <c r="CQ295" s="188">
        <f t="shared" si="806"/>
        <v>0.34787038923986141</v>
      </c>
      <c r="CR295" s="149">
        <f t="shared" si="807"/>
        <v>186.42142245771345</v>
      </c>
      <c r="CS295" s="149">
        <f t="shared" si="808"/>
        <v>67.150000000000006</v>
      </c>
      <c r="CT295" s="188">
        <f t="shared" si="809"/>
        <v>1.0965966026924321</v>
      </c>
      <c r="CU295" s="188">
        <f t="shared" si="810"/>
        <v>170</v>
      </c>
      <c r="CV295" s="188"/>
      <c r="CW295" s="149">
        <f t="shared" si="811"/>
        <v>1030.4282082413677</v>
      </c>
      <c r="CX295" s="149">
        <f t="shared" si="812"/>
        <v>170</v>
      </c>
      <c r="CY295" s="188">
        <f t="shared" si="813"/>
        <v>24.128957967193909</v>
      </c>
      <c r="CZ295" s="188">
        <f t="shared" si="814"/>
        <v>2.2620898094244288</v>
      </c>
      <c r="DA295" s="188">
        <f t="shared" si="815"/>
        <v>4.2405901524066616</v>
      </c>
      <c r="DB295" s="172">
        <f t="shared" si="816"/>
        <v>278.29631139188916</v>
      </c>
      <c r="DC295" s="379">
        <f t="shared" si="817"/>
        <v>153.78274893885597</v>
      </c>
      <c r="DE295" s="188">
        <f t="shared" si="818"/>
        <v>13.333333333333332</v>
      </c>
      <c r="DF295" s="150">
        <f t="shared" si="819"/>
        <v>2.3432923257176332</v>
      </c>
      <c r="DG295" s="150">
        <f t="shared" si="820"/>
        <v>0.21737653692004619</v>
      </c>
      <c r="DH295" s="150"/>
      <c r="DI295" s="150">
        <f t="shared" si="821"/>
        <v>2.3432923257176337</v>
      </c>
      <c r="DJ295" s="314">
        <f t="shared" si="822"/>
        <v>505.6987499999999</v>
      </c>
      <c r="DK295" s="456">
        <f t="shared" si="823"/>
        <v>0.21737653692004627</v>
      </c>
      <c r="DM295" s="150">
        <f t="shared" si="824"/>
        <v>16.026941602902816</v>
      </c>
      <c r="DN295" s="150">
        <f t="shared" si="825"/>
        <v>24.128957967193909</v>
      </c>
      <c r="DO295" s="150">
        <f t="shared" si="826"/>
        <v>9.1967589880448699</v>
      </c>
      <c r="DQ295" s="314">
        <f t="shared" si="827"/>
        <v>395</v>
      </c>
      <c r="DR295" s="144">
        <f t="shared" si="828"/>
        <v>153.78274893885597</v>
      </c>
      <c r="DT295">
        <f t="shared" si="829"/>
        <v>395</v>
      </c>
      <c r="DU295">
        <f t="shared" si="830"/>
        <v>153.78274893885597</v>
      </c>
      <c r="DW295" s="5">
        <f t="shared" si="859"/>
        <v>6.5026799618310891</v>
      </c>
      <c r="DX295" s="5">
        <f t="shared" si="831"/>
        <v>2.2620898094244288</v>
      </c>
      <c r="DY295" s="5">
        <f t="shared" si="832"/>
        <v>4.2405901524066607</v>
      </c>
      <c r="DZ295" s="5"/>
      <c r="EA295" s="150">
        <f t="shared" si="833"/>
        <v>0.34787038923986152</v>
      </c>
      <c r="EB295" s="150">
        <f t="shared" si="860"/>
        <v>67.150000000000034</v>
      </c>
      <c r="EC295" s="150">
        <f t="shared" si="861"/>
        <v>0.39338019917984768</v>
      </c>
      <c r="ED295" s="150">
        <f t="shared" si="862"/>
        <v>170.7000000000001</v>
      </c>
      <c r="EE295" s="144">
        <f t="shared" si="834"/>
        <v>0.52560322042508789</v>
      </c>
      <c r="EF295" s="5">
        <f t="shared" si="835"/>
        <v>29.662044659802838</v>
      </c>
      <c r="EH295" s="150">
        <f t="shared" si="863"/>
        <v>8.2164964337429929</v>
      </c>
      <c r="EI295" s="150">
        <f t="shared" si="864"/>
        <v>0.56249012705815293</v>
      </c>
      <c r="EK295" s="456">
        <f t="shared" si="865"/>
        <v>0.22953676639541848</v>
      </c>
      <c r="EL295" s="456">
        <f t="shared" si="866"/>
        <v>2.7676160000000012</v>
      </c>
      <c r="EM295" s="456">
        <f t="shared" si="867"/>
        <v>3.5216249506998018E-2</v>
      </c>
      <c r="EN295" s="456">
        <f t="shared" si="868"/>
        <v>6.3411834281459439E-2</v>
      </c>
      <c r="EO295">
        <f t="shared" si="869"/>
        <v>7.1999999999999998E-3</v>
      </c>
      <c r="EP295" s="144">
        <f t="shared" si="870"/>
        <v>42.416249506998014</v>
      </c>
      <c r="EQ295" s="144"/>
      <c r="ER295" s="144">
        <f t="shared" si="871"/>
        <v>3102.980850183877</v>
      </c>
      <c r="ES295" s="456">
        <f t="shared" si="872"/>
        <v>0.98750000000000004</v>
      </c>
      <c r="EV295" s="144">
        <f t="shared" si="873"/>
        <v>987.5</v>
      </c>
      <c r="EW295" s="456">
        <f t="shared" si="874"/>
        <v>0.10126622046856698</v>
      </c>
      <c r="EX295" s="456">
        <f t="shared" si="875"/>
        <v>6.3279028607579405E-2</v>
      </c>
      <c r="EY295" s="456">
        <f t="shared" si="876"/>
        <v>41.935852026837821</v>
      </c>
      <c r="EZ295" s="456"/>
      <c r="FA295" s="456">
        <f t="shared" si="877"/>
        <v>8.9533333333333368E-2</v>
      </c>
      <c r="FB295" s="144">
        <f t="shared" si="878"/>
        <v>42189.930609247305</v>
      </c>
      <c r="FC295" s="150">
        <f t="shared" si="879"/>
        <v>46.280411459431178</v>
      </c>
      <c r="FD295" s="5">
        <f t="shared" si="880"/>
        <v>67.150000000000006</v>
      </c>
      <c r="FE295" s="150">
        <f t="shared" si="881"/>
        <v>0.59199291562136713</v>
      </c>
      <c r="FF295" s="5">
        <f t="shared" si="882"/>
        <v>59.199291562136715</v>
      </c>
      <c r="FI295" s="59">
        <f t="shared" si="836"/>
        <v>-50</v>
      </c>
      <c r="FJ295">
        <f t="shared" si="837"/>
        <v>-50</v>
      </c>
      <c r="FL295">
        <f t="shared" si="838"/>
        <v>0.65212961076013842</v>
      </c>
    </row>
    <row r="296" spans="5:168">
      <c r="E296" s="147">
        <v>80</v>
      </c>
      <c r="F296" s="188">
        <f t="shared" si="839"/>
        <v>0.4</v>
      </c>
      <c r="G296" s="188"/>
      <c r="H296" s="188">
        <f t="shared" si="764"/>
        <v>68</v>
      </c>
      <c r="I296" s="465">
        <f t="shared" si="765"/>
        <v>15.939181109717689</v>
      </c>
      <c r="J296" s="149">
        <f t="shared" si="766"/>
        <v>8.5412060092124804</v>
      </c>
      <c r="K296" s="149">
        <f t="shared" si="767"/>
        <v>24.480387118930167</v>
      </c>
      <c r="L296" s="379"/>
      <c r="M296" s="188">
        <f t="shared" si="768"/>
        <v>0.34889803496990224</v>
      </c>
      <c r="N296" s="149">
        <f t="shared" si="769"/>
        <v>186.2614161085765</v>
      </c>
      <c r="O296" s="149">
        <f t="shared" si="762"/>
        <v>68</v>
      </c>
      <c r="P296" s="188">
        <f t="shared" si="770"/>
        <v>1.0956553888739795</v>
      </c>
      <c r="Q296" s="188">
        <f t="shared" si="771"/>
        <v>170</v>
      </c>
      <c r="R296" s="188"/>
      <c r="S296" s="149">
        <f t="shared" si="772"/>
        <v>1009.702321452786</v>
      </c>
      <c r="T296" s="149">
        <f t="shared" si="773"/>
        <v>170</v>
      </c>
      <c r="U296" s="188">
        <f t="shared" si="774"/>
        <v>24.573724023794618</v>
      </c>
      <c r="V296" s="188">
        <f t="shared" si="775"/>
        <v>2.3125771507307253</v>
      </c>
      <c r="W296" s="188">
        <f t="shared" si="776"/>
        <v>4.3156184262426613</v>
      </c>
      <c r="X296" s="172">
        <f t="shared" si="777"/>
        <v>278.05898006198748</v>
      </c>
      <c r="Y296" s="379">
        <f t="shared" si="840"/>
        <v>146.45157548976539</v>
      </c>
      <c r="AA296" s="188">
        <f t="shared" si="778"/>
        <v>13.333333333333334</v>
      </c>
      <c r="AB296" s="150">
        <f t="shared" si="779"/>
        <v>2.3415896980389128</v>
      </c>
      <c r="AC296" s="150">
        <f t="shared" si="780"/>
        <v>0.21703334772011915</v>
      </c>
      <c r="AD296" s="150"/>
      <c r="AE296" s="150">
        <f t="shared" si="781"/>
        <v>2.3415896980389128</v>
      </c>
      <c r="AF296" s="314">
        <f t="shared" si="782"/>
        <v>512.47236055274868</v>
      </c>
      <c r="AG296" s="456">
        <f t="shared" si="783"/>
        <v>0.21703334772011915</v>
      </c>
      <c r="AI296" s="150">
        <f t="shared" si="784"/>
        <v>16.13392144623068</v>
      </c>
      <c r="AJ296" s="150">
        <f t="shared" si="785"/>
        <v>24.573724023794618</v>
      </c>
      <c r="AK296" s="150">
        <f t="shared" si="786"/>
        <v>9.5262153262676179</v>
      </c>
      <c r="AM296" s="314">
        <f t="shared" si="787"/>
        <v>400</v>
      </c>
      <c r="AN296" s="144">
        <f t="shared" si="788"/>
        <v>146.45157548976539</v>
      </c>
      <c r="AP296">
        <f t="shared" si="789"/>
        <v>400</v>
      </c>
      <c r="AQ296">
        <f t="shared" si="790"/>
        <v>146.45157548976539</v>
      </c>
      <c r="AS296" s="5">
        <f t="shared" si="763"/>
        <v>6.8281955769733864</v>
      </c>
      <c r="AT296" s="5">
        <f t="shared" si="791"/>
        <v>2.3125771507307253</v>
      </c>
      <c r="AU296" s="5">
        <f t="shared" si="722"/>
        <v>4.5156184262426606</v>
      </c>
      <c r="AV296" s="5"/>
      <c r="AW296" s="150">
        <f t="shared" si="723"/>
        <v>0.33868056716614736</v>
      </c>
      <c r="AX296" s="150">
        <f t="shared" si="792"/>
        <v>66.328055368760388</v>
      </c>
      <c r="AY296" s="150">
        <f t="shared" si="793"/>
        <v>0.40627703085078692</v>
      </c>
      <c r="AZ296" s="150">
        <f t="shared" si="794"/>
        <v>163.25819658045262</v>
      </c>
      <c r="BA296" s="144">
        <f t="shared" si="724"/>
        <v>0.54413580017193541</v>
      </c>
      <c r="BB296" s="5">
        <f t="shared" si="725"/>
        <v>32.107677601799075</v>
      </c>
      <c r="BD296" s="150">
        <f t="shared" si="841"/>
        <v>8.2566806701051405</v>
      </c>
      <c r="BE296" s="150">
        <f t="shared" si="842"/>
        <v>0.5768806818668234</v>
      </c>
      <c r="BG296" s="456">
        <f t="shared" si="843"/>
        <v>0.23178743733949875</v>
      </c>
      <c r="BH296" s="456">
        <f t="shared" si="795"/>
        <v>2.1100309405436444</v>
      </c>
      <c r="BI296" s="456">
        <f t="shared" si="796"/>
        <v>0.10691177289749672</v>
      </c>
      <c r="BJ296" s="456">
        <f t="shared" si="844"/>
        <v>6.012030594537366E-2</v>
      </c>
      <c r="BK296">
        <f t="shared" si="845"/>
        <v>7.1726314993729601E-3</v>
      </c>
      <c r="BL296" s="144">
        <f t="shared" si="846"/>
        <v>114.08440439686967</v>
      </c>
      <c r="BM296" s="456">
        <f t="shared" si="797"/>
        <v>2.6081596744650564</v>
      </c>
      <c r="BN296" s="144">
        <f t="shared" si="847"/>
        <v>2608.1596744650565</v>
      </c>
      <c r="BO296" s="456">
        <f t="shared" si="798"/>
        <v>1</v>
      </c>
      <c r="BR296" s="144">
        <f t="shared" si="848"/>
        <v>1000</v>
      </c>
      <c r="BS296" s="456">
        <f t="shared" si="849"/>
        <v>0.1022591635321318</v>
      </c>
      <c r="BT296" s="456">
        <f t="shared" si="850"/>
        <v>6.6558264222226216E-2</v>
      </c>
      <c r="BU296" s="456">
        <f t="shared" si="851"/>
        <v>38.849243473441753</v>
      </c>
      <c r="BV296" s="456"/>
      <c r="BW296" s="456">
        <f t="shared" si="852"/>
        <v>8.8437407158347192E-2</v>
      </c>
      <c r="BX296" s="144">
        <f t="shared" si="853"/>
        <v>39106.49830835445</v>
      </c>
      <c r="BY296" s="150">
        <f t="shared" si="854"/>
        <v>42.622521396579842</v>
      </c>
      <c r="BZ296" s="5">
        <f t="shared" si="855"/>
        <v>68</v>
      </c>
      <c r="CA296" s="150">
        <f t="shared" si="856"/>
        <v>0.61470303823776684</v>
      </c>
      <c r="CB296" s="5">
        <f t="shared" si="857"/>
        <v>61.470303823776682</v>
      </c>
      <c r="CE296" s="59">
        <f t="shared" si="799"/>
        <v>-50</v>
      </c>
      <c r="CF296">
        <f t="shared" si="800"/>
        <v>-50</v>
      </c>
      <c r="CG296" s="150">
        <f t="shared" si="801"/>
        <v>0.64453658753128262</v>
      </c>
      <c r="CI296" s="147">
        <v>80</v>
      </c>
      <c r="CJ296" s="188">
        <f t="shared" si="858"/>
        <v>0.4</v>
      </c>
      <c r="CK296" s="188"/>
      <c r="CL296" s="188">
        <f t="shared" si="802"/>
        <v>68</v>
      </c>
      <c r="CM296" s="465">
        <f t="shared" si="803"/>
        <v>16</v>
      </c>
      <c r="CN296" s="379">
        <f t="shared" si="804"/>
        <v>8.5350000000000001</v>
      </c>
      <c r="CO296" s="379">
        <f t="shared" si="805"/>
        <v>24.535</v>
      </c>
      <c r="CP296" s="379"/>
      <c r="CQ296" s="188">
        <f t="shared" si="806"/>
        <v>0.34787038923986141</v>
      </c>
      <c r="CR296" s="149">
        <f t="shared" si="807"/>
        <v>186.42142245771345</v>
      </c>
      <c r="CS296" s="149">
        <f t="shared" si="808"/>
        <v>68</v>
      </c>
      <c r="CT296" s="188">
        <f t="shared" si="809"/>
        <v>1.0965966026924321</v>
      </c>
      <c r="CU296" s="188">
        <f t="shared" si="810"/>
        <v>170</v>
      </c>
      <c r="CV296" s="188"/>
      <c r="CW296" s="149">
        <f t="shared" si="811"/>
        <v>1013.5541852689265</v>
      </c>
      <c r="CX296" s="149">
        <f t="shared" si="812"/>
        <v>170</v>
      </c>
      <c r="CY296" s="188">
        <f t="shared" si="813"/>
        <v>24.434387814879909</v>
      </c>
      <c r="CZ296" s="188">
        <f t="shared" si="814"/>
        <v>2.2907238576449913</v>
      </c>
      <c r="DA296" s="188">
        <f t="shared" si="815"/>
        <v>4.2942685087662404</v>
      </c>
      <c r="DB296" s="172">
        <f t="shared" si="816"/>
        <v>278.29631139188916</v>
      </c>
      <c r="DC296" s="379">
        <f t="shared" si="817"/>
        <v>151.86046457712024</v>
      </c>
      <c r="DE296" s="188">
        <f t="shared" si="818"/>
        <v>13.333333333333332</v>
      </c>
      <c r="DF296" s="150">
        <f t="shared" si="819"/>
        <v>2.3432923257176332</v>
      </c>
      <c r="DG296" s="150">
        <f t="shared" si="820"/>
        <v>0.21737653692004619</v>
      </c>
      <c r="DH296" s="150"/>
      <c r="DI296" s="150">
        <f t="shared" si="821"/>
        <v>2.3432923257176337</v>
      </c>
      <c r="DJ296" s="314">
        <f t="shared" si="822"/>
        <v>512.09999999999991</v>
      </c>
      <c r="DK296" s="456">
        <f t="shared" si="823"/>
        <v>0.21737653692004627</v>
      </c>
      <c r="DM296" s="150">
        <f t="shared" si="824"/>
        <v>16.128058956808339</v>
      </c>
      <c r="DN296" s="150">
        <f t="shared" si="825"/>
        <v>24.434387814879909</v>
      </c>
      <c r="DO296" s="150">
        <f t="shared" si="826"/>
        <v>9.4230033196641276</v>
      </c>
      <c r="DQ296" s="314">
        <f t="shared" si="827"/>
        <v>400</v>
      </c>
      <c r="DR296" s="144">
        <f t="shared" si="828"/>
        <v>151.86046457712024</v>
      </c>
      <c r="DT296">
        <f t="shared" si="829"/>
        <v>400</v>
      </c>
      <c r="DU296">
        <f t="shared" si="830"/>
        <v>151.86046457712024</v>
      </c>
      <c r="DW296" s="5">
        <f t="shared" si="859"/>
        <v>6.5849923664112318</v>
      </c>
      <c r="DX296" s="5">
        <f t="shared" si="831"/>
        <v>2.2907238576449913</v>
      </c>
      <c r="DY296" s="5">
        <f t="shared" si="832"/>
        <v>4.2942685087662404</v>
      </c>
      <c r="DZ296" s="5"/>
      <c r="EA296" s="150">
        <f t="shared" si="833"/>
        <v>0.34787038923986141</v>
      </c>
      <c r="EB296" s="150">
        <f t="shared" si="860"/>
        <v>68.000000000000014</v>
      </c>
      <c r="EC296" s="150">
        <f t="shared" si="861"/>
        <v>0.39835969537199778</v>
      </c>
      <c r="ED296" s="150">
        <f t="shared" si="862"/>
        <v>170.7</v>
      </c>
      <c r="EE296" s="144">
        <f t="shared" si="834"/>
        <v>0.53899384885764512</v>
      </c>
      <c r="EF296" s="5">
        <f t="shared" si="835"/>
        <v>30.417735270427531</v>
      </c>
      <c r="EH296" s="150">
        <f t="shared" si="863"/>
        <v>8.3205027177144206</v>
      </c>
      <c r="EI296" s="150">
        <f t="shared" si="864"/>
        <v>0.56961025524876263</v>
      </c>
      <c r="EK296" s="456">
        <f t="shared" si="865"/>
        <v>0.23538460261667637</v>
      </c>
      <c r="EL296" s="456">
        <f t="shared" si="866"/>
        <v>2.7676160000000007</v>
      </c>
      <c r="EM296" s="456">
        <f t="shared" si="867"/>
        <v>3.4776046388160529E-2</v>
      </c>
      <c r="EN296" s="456">
        <f t="shared" si="868"/>
        <v>6.2619186352941184E-2</v>
      </c>
      <c r="EO296">
        <f t="shared" si="869"/>
        <v>7.1999999999999998E-3</v>
      </c>
      <c r="EP296" s="144">
        <f t="shared" si="870"/>
        <v>41.976046388160526</v>
      </c>
      <c r="EQ296" s="144"/>
      <c r="ER296" s="144">
        <f t="shared" si="871"/>
        <v>3107.5958353577789</v>
      </c>
      <c r="ES296" s="456">
        <f t="shared" si="872"/>
        <v>1</v>
      </c>
      <c r="EV296" s="144">
        <f t="shared" si="873"/>
        <v>1000</v>
      </c>
      <c r="EW296" s="456">
        <f t="shared" si="874"/>
        <v>0.10384614821323959</v>
      </c>
      <c r="EX296" s="456">
        <f t="shared" si="875"/>
        <v>6.4891168576912114E-2</v>
      </c>
      <c r="EY296" s="456">
        <f t="shared" si="876"/>
        <v>41.935852026837779</v>
      </c>
      <c r="EZ296" s="456"/>
      <c r="FA296" s="456">
        <f t="shared" si="877"/>
        <v>9.0666666666666687E-2</v>
      </c>
      <c r="FB296" s="144">
        <f t="shared" si="878"/>
        <v>42195.256010294594</v>
      </c>
      <c r="FC296" s="150">
        <f t="shared" si="879"/>
        <v>46.30285184565237</v>
      </c>
      <c r="FD296" s="5">
        <f t="shared" si="880"/>
        <v>68</v>
      </c>
      <c r="FE296" s="150">
        <f t="shared" si="881"/>
        <v>0.59491079095579413</v>
      </c>
      <c r="FF296" s="5">
        <f t="shared" si="882"/>
        <v>59.491079095579416</v>
      </c>
      <c r="FI296" s="59">
        <f t="shared" si="836"/>
        <v>-50</v>
      </c>
      <c r="FJ296">
        <f t="shared" si="837"/>
        <v>-50</v>
      </c>
      <c r="FL296">
        <f t="shared" si="838"/>
        <v>0.65212961076013864</v>
      </c>
    </row>
    <row r="297" spans="5:168">
      <c r="E297" s="147">
        <v>81</v>
      </c>
      <c r="F297" s="188">
        <f t="shared" si="839"/>
        <v>0.40500000000000003</v>
      </c>
      <c r="G297" s="188"/>
      <c r="H297" s="188">
        <f t="shared" si="764"/>
        <v>68.850000000000009</v>
      </c>
      <c r="I297" s="465">
        <f t="shared" si="765"/>
        <v>15.938429828319224</v>
      </c>
      <c r="J297" s="149">
        <f t="shared" si="766"/>
        <v>8.5412826705796707</v>
      </c>
      <c r="K297" s="149">
        <f t="shared" si="767"/>
        <v>24.479712498898895</v>
      </c>
      <c r="L297" s="379"/>
      <c r="M297" s="188">
        <f t="shared" si="768"/>
        <v>0.34891078196327791</v>
      </c>
      <c r="N297" s="149">
        <f t="shared" si="769"/>
        <v>186.25944155786962</v>
      </c>
      <c r="O297" s="149">
        <f t="shared" si="762"/>
        <v>68.850000000000009</v>
      </c>
      <c r="P297" s="188">
        <f t="shared" si="770"/>
        <v>1.0956437738698213</v>
      </c>
      <c r="Q297" s="188">
        <f t="shared" si="771"/>
        <v>170</v>
      </c>
      <c r="R297" s="188"/>
      <c r="S297" s="149">
        <f t="shared" si="772"/>
        <v>993.26082135072852</v>
      </c>
      <c r="T297" s="149">
        <f t="shared" si="773"/>
        <v>170</v>
      </c>
      <c r="U297" s="188">
        <f t="shared" si="774"/>
        <v>24.881382691068161</v>
      </c>
      <c r="V297" s="188">
        <f t="shared" si="775"/>
        <v>2.3416405780630156</v>
      </c>
      <c r="W297" s="188">
        <f t="shared" si="776"/>
        <v>4.3696099843595633</v>
      </c>
      <c r="X297" s="172">
        <f t="shared" si="777"/>
        <v>278.05603210208551</v>
      </c>
      <c r="Y297" s="379">
        <f t="shared" si="840"/>
        <v>144.69161419745618</v>
      </c>
      <c r="AA297" s="188">
        <f t="shared" si="778"/>
        <v>13.333333333333332</v>
      </c>
      <c r="AB297" s="150">
        <f t="shared" si="779"/>
        <v>2.3415686813515397</v>
      </c>
      <c r="AC297" s="150">
        <f t="shared" si="780"/>
        <v>0.21702909881037391</v>
      </c>
      <c r="AD297" s="150"/>
      <c r="AE297" s="150">
        <f t="shared" si="781"/>
        <v>2.3415686813515402</v>
      </c>
      <c r="AF297" s="314">
        <f t="shared" si="782"/>
        <v>518.88292223771498</v>
      </c>
      <c r="AG297" s="456">
        <f t="shared" si="783"/>
        <v>0.21702909881037399</v>
      </c>
      <c r="AI297" s="150">
        <f t="shared" si="784"/>
        <v>16.234518149588414</v>
      </c>
      <c r="AJ297" s="150">
        <f t="shared" si="785"/>
        <v>24.881382691068161</v>
      </c>
      <c r="AK297" s="150">
        <f t="shared" si="786"/>
        <v>9.7541106353591296</v>
      </c>
      <c r="AM297" s="314">
        <f t="shared" si="787"/>
        <v>405</v>
      </c>
      <c r="AN297" s="144">
        <f t="shared" si="788"/>
        <v>144.69161419745618</v>
      </c>
      <c r="AP297">
        <f t="shared" si="789"/>
        <v>405</v>
      </c>
      <c r="AQ297">
        <f t="shared" si="790"/>
        <v>144.69161419745618</v>
      </c>
      <c r="AS297" s="5">
        <f t="shared" si="763"/>
        <v>6.9112505624225804</v>
      </c>
      <c r="AT297" s="5">
        <f t="shared" si="791"/>
        <v>2.3416405780630156</v>
      </c>
      <c r="AU297" s="5">
        <f t="shared" si="722"/>
        <v>4.5696099843595643</v>
      </c>
      <c r="AV297" s="5"/>
      <c r="AW297" s="150">
        <f t="shared" si="723"/>
        <v>0.33881575511020212</v>
      </c>
      <c r="AX297" s="150">
        <f t="shared" si="792"/>
        <v>67.182111149184792</v>
      </c>
      <c r="AY297" s="150">
        <f t="shared" si="793"/>
        <v>0.41127945566019974</v>
      </c>
      <c r="AZ297" s="150">
        <f t="shared" si="794"/>
        <v>163.3490567656529</v>
      </c>
      <c r="BA297" s="144">
        <f t="shared" si="724"/>
        <v>0.55786143183265968</v>
      </c>
      <c r="BB297" s="5">
        <f t="shared" si="725"/>
        <v>32.899272472472667</v>
      </c>
      <c r="BD297" s="150">
        <f t="shared" si="841"/>
        <v>8.3617211834478429</v>
      </c>
      <c r="BE297" s="150">
        <f t="shared" si="842"/>
        <v>0.58404342102437412</v>
      </c>
      <c r="BG297" s="456">
        <f t="shared" si="843"/>
        <v>0.23772249590904931</v>
      </c>
      <c r="BH297" s="456">
        <f t="shared" si="795"/>
        <v>2.1107155195661536</v>
      </c>
      <c r="BI297" s="456">
        <f t="shared" si="796"/>
        <v>0.10562199699516359</v>
      </c>
      <c r="BJ297" s="456">
        <f t="shared" si="844"/>
        <v>5.9394544916600955E-2</v>
      </c>
      <c r="BK297">
        <f t="shared" si="845"/>
        <v>7.1722934227436506E-3</v>
      </c>
      <c r="BL297" s="144">
        <f t="shared" si="846"/>
        <v>112.79429041790725</v>
      </c>
      <c r="BM297" s="456">
        <f t="shared" si="797"/>
        <v>2.620002904727937</v>
      </c>
      <c r="BN297" s="144">
        <f t="shared" si="847"/>
        <v>2620.0029047279368</v>
      </c>
      <c r="BO297" s="456">
        <f t="shared" si="798"/>
        <v>1.0125000000000002</v>
      </c>
      <c r="BR297" s="144">
        <f t="shared" si="848"/>
        <v>1012.5000000000002</v>
      </c>
      <c r="BS297" s="456">
        <f t="shared" si="849"/>
        <v>0.10487757172458059</v>
      </c>
      <c r="BT297" s="456">
        <f t="shared" si="850"/>
        <v>6.8221343528370879E-2</v>
      </c>
      <c r="BU297" s="456">
        <f t="shared" si="851"/>
        <v>38.883440567287536</v>
      </c>
      <c r="BV297" s="456"/>
      <c r="BW297" s="456">
        <f t="shared" si="852"/>
        <v>8.9576148198913061E-2</v>
      </c>
      <c r="BX297" s="144">
        <f t="shared" si="853"/>
        <v>39146.115630739405</v>
      </c>
      <c r="BY297" s="150">
        <f t="shared" si="854"/>
        <v>42.679242481549117</v>
      </c>
      <c r="BZ297" s="5">
        <f t="shared" si="855"/>
        <v>68.850000000000009</v>
      </c>
      <c r="CA297" s="150">
        <f t="shared" si="856"/>
        <v>0.61732688636695643</v>
      </c>
      <c r="CB297" s="5">
        <f t="shared" si="857"/>
        <v>61.732688636695642</v>
      </c>
      <c r="CE297" s="59">
        <f t="shared" si="799"/>
        <v>-50</v>
      </c>
      <c r="CF297">
        <f t="shared" si="800"/>
        <v>-50</v>
      </c>
      <c r="CG297" s="150">
        <f t="shared" si="801"/>
        <v>0.6446303285587992</v>
      </c>
      <c r="CI297" s="147">
        <v>81</v>
      </c>
      <c r="CJ297" s="188">
        <f t="shared" si="858"/>
        <v>0.40500000000000003</v>
      </c>
      <c r="CK297" s="188"/>
      <c r="CL297" s="188">
        <f t="shared" si="802"/>
        <v>68.850000000000009</v>
      </c>
      <c r="CM297" s="465">
        <f t="shared" si="803"/>
        <v>16</v>
      </c>
      <c r="CN297" s="379">
        <f t="shared" si="804"/>
        <v>8.5350000000000001</v>
      </c>
      <c r="CO297" s="379">
        <f t="shared" si="805"/>
        <v>24.535</v>
      </c>
      <c r="CP297" s="379"/>
      <c r="CQ297" s="188">
        <f t="shared" si="806"/>
        <v>0.34787038923986141</v>
      </c>
      <c r="CR297" s="149">
        <f t="shared" si="807"/>
        <v>186.42142245771345</v>
      </c>
      <c r="CS297" s="149">
        <f t="shared" si="808"/>
        <v>68.850000000000009</v>
      </c>
      <c r="CT297" s="188">
        <f t="shared" si="809"/>
        <v>1.0965966026924321</v>
      </c>
      <c r="CU297" s="188">
        <f t="shared" si="810"/>
        <v>170</v>
      </c>
      <c r="CV297" s="188"/>
      <c r="CW297" s="149">
        <f t="shared" si="811"/>
        <v>997.09692256248093</v>
      </c>
      <c r="CX297" s="149">
        <f t="shared" si="812"/>
        <v>170</v>
      </c>
      <c r="CY297" s="188">
        <f t="shared" si="813"/>
        <v>24.739817662565908</v>
      </c>
      <c r="CZ297" s="188">
        <f t="shared" si="814"/>
        <v>2.3193579058655542</v>
      </c>
      <c r="DA297" s="188">
        <f t="shared" si="815"/>
        <v>4.3479468651258184</v>
      </c>
      <c r="DB297" s="172">
        <f t="shared" si="816"/>
        <v>278.29631139188916</v>
      </c>
      <c r="DC297" s="379">
        <f t="shared" si="817"/>
        <v>149.98564402678542</v>
      </c>
      <c r="DE297" s="188">
        <f t="shared" si="818"/>
        <v>13.333333333333332</v>
      </c>
      <c r="DF297" s="150">
        <f t="shared" si="819"/>
        <v>2.3432923257176332</v>
      </c>
      <c r="DG297" s="150">
        <f t="shared" si="820"/>
        <v>0.21737653692004619</v>
      </c>
      <c r="DH297" s="150"/>
      <c r="DI297" s="150">
        <f t="shared" si="821"/>
        <v>2.3432923257176337</v>
      </c>
      <c r="DJ297" s="314">
        <f t="shared" si="822"/>
        <v>518.50124999999991</v>
      </c>
      <c r="DK297" s="456">
        <f t="shared" si="823"/>
        <v>0.21737653692004627</v>
      </c>
      <c r="DM297" s="150">
        <f t="shared" si="824"/>
        <v>16.228546277646505</v>
      </c>
      <c r="DN297" s="150">
        <f t="shared" si="825"/>
        <v>24.739817662565908</v>
      </c>
      <c r="DO297" s="150">
        <f t="shared" si="826"/>
        <v>9.6492476512833871</v>
      </c>
      <c r="DQ297" s="314">
        <f t="shared" si="827"/>
        <v>405</v>
      </c>
      <c r="DR297" s="144">
        <f t="shared" si="828"/>
        <v>149.98564402678542</v>
      </c>
      <c r="DT297">
        <f t="shared" si="829"/>
        <v>405</v>
      </c>
      <c r="DU297">
        <f t="shared" si="830"/>
        <v>149.98564402678542</v>
      </c>
      <c r="DW297" s="5">
        <f t="shared" si="859"/>
        <v>6.6673047709913718</v>
      </c>
      <c r="DX297" s="5">
        <f t="shared" si="831"/>
        <v>2.3193579058655542</v>
      </c>
      <c r="DY297" s="5">
        <f t="shared" si="832"/>
        <v>4.3479468651258175</v>
      </c>
      <c r="DZ297" s="5"/>
      <c r="EA297" s="150">
        <f t="shared" si="833"/>
        <v>0.34787038923986152</v>
      </c>
      <c r="EB297" s="150">
        <f t="shared" si="860"/>
        <v>68.850000000000023</v>
      </c>
      <c r="EC297" s="150">
        <f t="shared" si="861"/>
        <v>0.4033391915641476</v>
      </c>
      <c r="ED297" s="150">
        <f t="shared" si="862"/>
        <v>170.70000000000007</v>
      </c>
      <c r="EE297" s="144">
        <f t="shared" si="834"/>
        <v>0.55255291286797037</v>
      </c>
      <c r="EF297" s="5">
        <f t="shared" si="835"/>
        <v>31.182931423324224</v>
      </c>
      <c r="EH297" s="150">
        <f t="shared" si="863"/>
        <v>8.4245090016858537</v>
      </c>
      <c r="EI297" s="150">
        <f t="shared" si="864"/>
        <v>0.576730383439372</v>
      </c>
      <c r="EK297" s="456">
        <f t="shared" si="865"/>
        <v>0.24130599652625229</v>
      </c>
      <c r="EL297" s="456">
        <f t="shared" si="866"/>
        <v>2.7676160000000007</v>
      </c>
      <c r="EM297" s="456">
        <f t="shared" si="867"/>
        <v>3.4346712482133862E-2</v>
      </c>
      <c r="EN297" s="456">
        <f t="shared" si="868"/>
        <v>6.1846109978213513E-2</v>
      </c>
      <c r="EO297">
        <f t="shared" si="869"/>
        <v>7.1999999999999998E-3</v>
      </c>
      <c r="EP297" s="144">
        <f t="shared" si="870"/>
        <v>41.546712482133863</v>
      </c>
      <c r="EQ297" s="144"/>
      <c r="ER297" s="144">
        <f t="shared" si="871"/>
        <v>3112.3148189866006</v>
      </c>
      <c r="ES297" s="456">
        <f t="shared" si="872"/>
        <v>1.0125000000000002</v>
      </c>
      <c r="EV297" s="144">
        <f t="shared" si="873"/>
        <v>1012.5000000000002</v>
      </c>
      <c r="EW297" s="456">
        <f t="shared" si="874"/>
        <v>0.10645852787922896</v>
      </c>
      <c r="EX297" s="456">
        <f t="shared" si="875"/>
        <v>6.6523587036425011E-2</v>
      </c>
      <c r="EY297" s="456">
        <f t="shared" si="876"/>
        <v>41.935852026837786</v>
      </c>
      <c r="EZ297" s="456"/>
      <c r="FA297" s="456">
        <f t="shared" si="877"/>
        <v>9.1800000000000034E-2</v>
      </c>
      <c r="FB297" s="144">
        <f t="shared" si="878"/>
        <v>42200.634141753442</v>
      </c>
      <c r="FC297" s="150">
        <f t="shared" si="879"/>
        <v>46.32544896074004</v>
      </c>
      <c r="FD297" s="5">
        <f t="shared" si="880"/>
        <v>68.850000000000009</v>
      </c>
      <c r="FE297" s="150">
        <f t="shared" si="881"/>
        <v>0.59778364765453584</v>
      </c>
      <c r="FF297" s="5">
        <f t="shared" si="882"/>
        <v>59.778364765453581</v>
      </c>
      <c r="FI297" s="59">
        <f t="shared" si="836"/>
        <v>-50</v>
      </c>
      <c r="FJ297">
        <f t="shared" si="837"/>
        <v>-50</v>
      </c>
      <c r="FL297">
        <f t="shared" si="838"/>
        <v>0.65212961076013842</v>
      </c>
    </row>
    <row r="298" spans="5:168">
      <c r="E298" s="147">
        <v>82</v>
      </c>
      <c r="F298" s="188">
        <f t="shared" si="839"/>
        <v>0.41</v>
      </c>
      <c r="G298" s="188"/>
      <c r="H298" s="188">
        <f t="shared" si="764"/>
        <v>69.7</v>
      </c>
      <c r="I298" s="465">
        <f t="shared" si="765"/>
        <v>15.937678544380278</v>
      </c>
      <c r="J298" s="149">
        <f t="shared" si="766"/>
        <v>8.5413593322060937</v>
      </c>
      <c r="K298" s="149">
        <f t="shared" si="767"/>
        <v>24.479037876586371</v>
      </c>
      <c r="L298" s="379"/>
      <c r="M298" s="188">
        <f t="shared" si="768"/>
        <v>0.34892352969544793</v>
      </c>
      <c r="N298" s="149">
        <f t="shared" si="769"/>
        <v>186.25746673034288</v>
      </c>
      <c r="O298" s="149">
        <f t="shared" si="762"/>
        <v>69.7</v>
      </c>
      <c r="P298" s="188">
        <f t="shared" si="770"/>
        <v>1.0956321572373111</v>
      </c>
      <c r="Q298" s="188">
        <f t="shared" si="771"/>
        <v>170</v>
      </c>
      <c r="R298" s="188"/>
      <c r="S298" s="149">
        <f t="shared" si="772"/>
        <v>977.22081743348645</v>
      </c>
      <c r="T298" s="149">
        <f t="shared" si="773"/>
        <v>170</v>
      </c>
      <c r="U298" s="188">
        <f t="shared" si="774"/>
        <v>25.18905343381342</v>
      </c>
      <c r="V298" s="188">
        <f t="shared" si="775"/>
        <v>2.3707078822996372</v>
      </c>
      <c r="W298" s="188">
        <f t="shared" si="776"/>
        <v>4.4236026938069637</v>
      </c>
      <c r="X298" s="172">
        <f t="shared" si="777"/>
        <v>278.05308373444683</v>
      </c>
      <c r="Y298" s="379">
        <f t="shared" si="840"/>
        <v>142.97334799745943</v>
      </c>
      <c r="AA298" s="188">
        <f t="shared" si="778"/>
        <v>13.333333333333334</v>
      </c>
      <c r="AB298" s="150">
        <f t="shared" si="779"/>
        <v>2.3415476649703635</v>
      </c>
      <c r="AC298" s="150">
        <f t="shared" si="780"/>
        <v>0.21702484965206767</v>
      </c>
      <c r="AD298" s="150"/>
      <c r="AE298" s="150">
        <f t="shared" si="781"/>
        <v>2.3415476649703635</v>
      </c>
      <c r="AF298" s="314">
        <f t="shared" si="782"/>
        <v>525.29359893067465</v>
      </c>
      <c r="AG298" s="456">
        <f t="shared" si="783"/>
        <v>0.21702484965206767</v>
      </c>
      <c r="AI298" s="150">
        <f t="shared" si="784"/>
        <v>16.334497123641349</v>
      </c>
      <c r="AJ298" s="150">
        <f t="shared" si="785"/>
        <v>25.18905343381342</v>
      </c>
      <c r="AK298" s="150">
        <f t="shared" si="786"/>
        <v>9.9820148892445069</v>
      </c>
      <c r="AM298" s="314">
        <f t="shared" si="787"/>
        <v>410</v>
      </c>
      <c r="AN298" s="144">
        <f t="shared" si="788"/>
        <v>142.97334799745943</v>
      </c>
      <c r="AP298">
        <f t="shared" si="789"/>
        <v>410</v>
      </c>
      <c r="AQ298">
        <f t="shared" si="790"/>
        <v>142.97334799745943</v>
      </c>
      <c r="AS298" s="5">
        <f t="shared" si="763"/>
        <v>6.9943105761066011</v>
      </c>
      <c r="AT298" s="5">
        <f t="shared" si="791"/>
        <v>2.3707078822996372</v>
      </c>
      <c r="AU298" s="5">
        <f t="shared" ref="AU298:AU316" si="883">AS298-AT298</f>
        <v>4.6236026938069639</v>
      </c>
      <c r="AV298" s="5"/>
      <c r="AW298" s="150">
        <f t="shared" ref="AW298:AW315" si="884">AT298/AS298</f>
        <v>0.33894804305634613</v>
      </c>
      <c r="AX298" s="150">
        <f t="shared" si="792"/>
        <v>68.036199492519927</v>
      </c>
      <c r="AY298" s="150">
        <f t="shared" si="793"/>
        <v>0.41628182664951568</v>
      </c>
      <c r="AZ298" s="150">
        <f t="shared" si="794"/>
        <v>163.43783258595701</v>
      </c>
      <c r="BA298" s="144">
        <f t="shared" si="724"/>
        <v>0.57175895984873604</v>
      </c>
      <c r="BB298" s="5">
        <f t="shared" si="725"/>
        <v>33.700548761536119</v>
      </c>
      <c r="BD298" s="150">
        <f t="shared" si="841"/>
        <v>8.4667704565456656</v>
      </c>
      <c r="BE298" s="150">
        <f t="shared" si="842"/>
        <v>0.59120625771947832</v>
      </c>
      <c r="BG298" s="456">
        <f t="shared" si="843"/>
        <v>0.2437330866770373</v>
      </c>
      <c r="BH298" s="456">
        <f t="shared" si="795"/>
        <v>2.1113819130014395</v>
      </c>
      <c r="BI298" s="456">
        <f t="shared" si="796"/>
        <v>0.10436277734451743</v>
      </c>
      <c r="BJ298" s="456">
        <f t="shared" si="844"/>
        <v>5.8685978104275546E-2</v>
      </c>
      <c r="BK298">
        <f t="shared" si="845"/>
        <v>7.1719553449711244E-3</v>
      </c>
      <c r="BL298" s="144">
        <f t="shared" si="846"/>
        <v>111.53473268948856</v>
      </c>
      <c r="BM298" s="456">
        <f t="shared" si="797"/>
        <v>2.6320324960966288</v>
      </c>
      <c r="BN298" s="144">
        <f t="shared" si="847"/>
        <v>2632.0324960966286</v>
      </c>
      <c r="BO298" s="456">
        <f t="shared" si="798"/>
        <v>1.0249999999999999</v>
      </c>
      <c r="BR298" s="144">
        <f t="shared" si="848"/>
        <v>1025</v>
      </c>
      <c r="BS298" s="456">
        <f t="shared" si="849"/>
        <v>0.10752930294575176</v>
      </c>
      <c r="BT298" s="456">
        <f t="shared" si="850"/>
        <v>6.9904967833334039E-2</v>
      </c>
      <c r="BU298" s="456">
        <f t="shared" si="851"/>
        <v>38.916819617865187</v>
      </c>
      <c r="BV298" s="456"/>
      <c r="BW298" s="456">
        <f t="shared" si="852"/>
        <v>9.0714932656693253E-2</v>
      </c>
      <c r="BX298" s="144">
        <f t="shared" si="853"/>
        <v>39184.968821300972</v>
      </c>
      <c r="BY298" s="150">
        <f t="shared" si="854"/>
        <v>42.73530453177321</v>
      </c>
      <c r="BZ298" s="5">
        <f t="shared" si="855"/>
        <v>69.7</v>
      </c>
      <c r="CA298" s="150">
        <f t="shared" si="856"/>
        <v>0.61991204889122176</v>
      </c>
      <c r="CB298" s="5">
        <f t="shared" si="857"/>
        <v>61.991204889122173</v>
      </c>
      <c r="CE298" s="59">
        <f t="shared" si="799"/>
        <v>-50</v>
      </c>
      <c r="CF298">
        <f t="shared" si="800"/>
        <v>-50</v>
      </c>
      <c r="CG298" s="150">
        <f t="shared" si="801"/>
        <v>0.64472178321979134</v>
      </c>
      <c r="CI298" s="147">
        <v>82</v>
      </c>
      <c r="CJ298" s="188">
        <f t="shared" si="858"/>
        <v>0.41</v>
      </c>
      <c r="CK298" s="188"/>
      <c r="CL298" s="188">
        <f t="shared" si="802"/>
        <v>69.7</v>
      </c>
      <c r="CM298" s="465">
        <f t="shared" si="803"/>
        <v>16</v>
      </c>
      <c r="CN298" s="379">
        <f t="shared" si="804"/>
        <v>8.5350000000000001</v>
      </c>
      <c r="CO298" s="379">
        <f t="shared" si="805"/>
        <v>24.535</v>
      </c>
      <c r="CP298" s="379"/>
      <c r="CQ298" s="188">
        <f t="shared" si="806"/>
        <v>0.34787038923986141</v>
      </c>
      <c r="CR298" s="149">
        <f t="shared" si="807"/>
        <v>186.42142245771345</v>
      </c>
      <c r="CS298" s="149">
        <f t="shared" si="808"/>
        <v>69.7</v>
      </c>
      <c r="CT298" s="188">
        <f t="shared" si="809"/>
        <v>1.0965966026924321</v>
      </c>
      <c r="CU298" s="188">
        <f t="shared" si="810"/>
        <v>170</v>
      </c>
      <c r="CV298" s="188"/>
      <c r="CW298" s="149">
        <f t="shared" si="811"/>
        <v>981.04117417413931</v>
      </c>
      <c r="CX298" s="149">
        <f t="shared" si="812"/>
        <v>170</v>
      </c>
      <c r="CY298" s="188">
        <f t="shared" si="813"/>
        <v>25.045247510251905</v>
      </c>
      <c r="CZ298" s="188">
        <f t="shared" si="814"/>
        <v>2.3479919540861163</v>
      </c>
      <c r="DA298" s="188">
        <f t="shared" si="815"/>
        <v>4.4016252214853964</v>
      </c>
      <c r="DB298" s="172">
        <f t="shared" si="816"/>
        <v>278.29631139188916</v>
      </c>
      <c r="DC298" s="379">
        <f t="shared" si="817"/>
        <v>148.15655080694657</v>
      </c>
      <c r="DE298" s="188">
        <f t="shared" si="818"/>
        <v>13.333333333333332</v>
      </c>
      <c r="DF298" s="150">
        <f t="shared" si="819"/>
        <v>2.3432923257176332</v>
      </c>
      <c r="DG298" s="150">
        <f t="shared" si="820"/>
        <v>0.21737653692004619</v>
      </c>
      <c r="DH298" s="150"/>
      <c r="DI298" s="150">
        <f t="shared" si="821"/>
        <v>2.3432923257176337</v>
      </c>
      <c r="DJ298" s="314">
        <f t="shared" si="822"/>
        <v>524.9024999999998</v>
      </c>
      <c r="DK298" s="456">
        <f t="shared" si="823"/>
        <v>0.21737653692004627</v>
      </c>
      <c r="DM298" s="150">
        <f t="shared" si="824"/>
        <v>16.328415197352829</v>
      </c>
      <c r="DN298" s="150">
        <f t="shared" si="825"/>
        <v>25.045247510251905</v>
      </c>
      <c r="DO298" s="150">
        <f t="shared" si="826"/>
        <v>9.8754919829026448</v>
      </c>
      <c r="DQ298" s="314">
        <f t="shared" si="827"/>
        <v>410</v>
      </c>
      <c r="DR298" s="144">
        <f t="shared" si="828"/>
        <v>148.15655080694657</v>
      </c>
      <c r="DT298">
        <f t="shared" si="829"/>
        <v>410</v>
      </c>
      <c r="DU298">
        <f t="shared" si="830"/>
        <v>148.15655080694657</v>
      </c>
      <c r="DW298" s="5">
        <f t="shared" si="859"/>
        <v>6.7496171755715126</v>
      </c>
      <c r="DX298" s="5">
        <f t="shared" si="831"/>
        <v>2.3479919540861163</v>
      </c>
      <c r="DY298" s="5">
        <f t="shared" si="832"/>
        <v>4.4016252214853964</v>
      </c>
      <c r="DZ298" s="5"/>
      <c r="EA298" s="150">
        <f t="shared" si="833"/>
        <v>0.34787038923986141</v>
      </c>
      <c r="EB298" s="150">
        <f t="shared" si="860"/>
        <v>69.7</v>
      </c>
      <c r="EC298" s="150">
        <f t="shared" si="861"/>
        <v>0.40831868775629765</v>
      </c>
      <c r="ED298" s="150">
        <f t="shared" si="862"/>
        <v>170.7</v>
      </c>
      <c r="EE298" s="144">
        <f t="shared" si="834"/>
        <v>0.56628041245606331</v>
      </c>
      <c r="EF298" s="5">
        <f t="shared" si="835"/>
        <v>31.957633118492925</v>
      </c>
      <c r="EH298" s="150">
        <f t="shared" si="863"/>
        <v>8.5285152856572815</v>
      </c>
      <c r="EI298" s="150">
        <f t="shared" si="864"/>
        <v>0.58385051162998158</v>
      </c>
      <c r="EK298" s="456">
        <f t="shared" si="865"/>
        <v>0.24730094812414563</v>
      </c>
      <c r="EL298" s="456">
        <f t="shared" si="866"/>
        <v>2.7676160000000003</v>
      </c>
      <c r="EM298" s="456">
        <f t="shared" si="867"/>
        <v>3.3927850134790764E-2</v>
      </c>
      <c r="EN298" s="456">
        <f t="shared" si="868"/>
        <v>6.1091889124820657E-2</v>
      </c>
      <c r="EO298">
        <f t="shared" si="869"/>
        <v>7.1999999999999998E-3</v>
      </c>
      <c r="EP298" s="144">
        <f t="shared" si="870"/>
        <v>41.127850134790762</v>
      </c>
      <c r="EQ298" s="144"/>
      <c r="ER298" s="144">
        <f t="shared" si="871"/>
        <v>3117.1366873837574</v>
      </c>
      <c r="ES298" s="456">
        <f t="shared" si="872"/>
        <v>1.0249999999999999</v>
      </c>
      <c r="EV298" s="144">
        <f t="shared" si="873"/>
        <v>1025</v>
      </c>
      <c r="EW298" s="456">
        <f t="shared" si="874"/>
        <v>0.10910335946653485</v>
      </c>
      <c r="EX298" s="456">
        <f t="shared" si="875"/>
        <v>6.8176283986118247E-2</v>
      </c>
      <c r="EY298" s="456">
        <f t="shared" si="876"/>
        <v>41.935852026837857</v>
      </c>
      <c r="EZ298" s="456"/>
      <c r="FA298" s="456">
        <f t="shared" si="877"/>
        <v>9.293333333333334E-2</v>
      </c>
      <c r="FB298" s="144">
        <f t="shared" si="878"/>
        <v>42206.065003623844</v>
      </c>
      <c r="FC298" s="150">
        <f t="shared" si="879"/>
        <v>46.348201691007603</v>
      </c>
      <c r="FD298" s="5">
        <f t="shared" si="880"/>
        <v>69.7</v>
      </c>
      <c r="FE298" s="150">
        <f t="shared" si="881"/>
        <v>0.60061249536278638</v>
      </c>
      <c r="FF298" s="5">
        <f t="shared" si="882"/>
        <v>60.061249536278638</v>
      </c>
      <c r="FI298" s="59">
        <f t="shared" si="836"/>
        <v>-50</v>
      </c>
      <c r="FJ298">
        <f t="shared" si="837"/>
        <v>-50</v>
      </c>
      <c r="FL298">
        <f t="shared" si="838"/>
        <v>0.65212961076013864</v>
      </c>
    </row>
    <row r="299" spans="5:168">
      <c r="E299" s="147">
        <v>83</v>
      </c>
      <c r="F299" s="188">
        <f t="shared" si="839"/>
        <v>0.41499999999999998</v>
      </c>
      <c r="G299" s="188"/>
      <c r="H299" s="188">
        <f t="shared" si="764"/>
        <v>70.55</v>
      </c>
      <c r="I299" s="465">
        <f t="shared" si="765"/>
        <v>15.936927257993718</v>
      </c>
      <c r="J299" s="149">
        <f t="shared" si="766"/>
        <v>8.5414359940822742</v>
      </c>
      <c r="K299" s="149">
        <f t="shared" si="767"/>
        <v>24.478363252075994</v>
      </c>
      <c r="L299" s="379"/>
      <c r="M299" s="188">
        <f t="shared" si="768"/>
        <v>0.34893627816515344</v>
      </c>
      <c r="N299" s="149">
        <f t="shared" si="769"/>
        <v>186.25549162635062</v>
      </c>
      <c r="O299" s="149">
        <f t="shared" si="762"/>
        <v>70.55</v>
      </c>
      <c r="P299" s="188">
        <f t="shared" si="770"/>
        <v>1.095620538978533</v>
      </c>
      <c r="Q299" s="188">
        <f t="shared" si="771"/>
        <v>170</v>
      </c>
      <c r="R299" s="188"/>
      <c r="S299" s="149">
        <f t="shared" si="772"/>
        <v>961.5677991819291</v>
      </c>
      <c r="T299" s="149">
        <f t="shared" si="773"/>
        <v>170</v>
      </c>
      <c r="U299" s="188">
        <f t="shared" si="774"/>
        <v>25.496736253737808</v>
      </c>
      <c r="V299" s="188">
        <f t="shared" si="775"/>
        <v>2.3997790641494934</v>
      </c>
      <c r="W299" s="188">
        <f t="shared" si="776"/>
        <v>4.4775965548537631</v>
      </c>
      <c r="X299" s="172">
        <f t="shared" si="777"/>
        <v>278.05013495939903</v>
      </c>
      <c r="Y299" s="379">
        <f t="shared" si="840"/>
        <v>141.29531253292942</v>
      </c>
      <c r="AA299" s="188">
        <f t="shared" si="778"/>
        <v>13.333333333333332</v>
      </c>
      <c r="AB299" s="150">
        <f t="shared" si="779"/>
        <v>2.3415266488979736</v>
      </c>
      <c r="AC299" s="150">
        <f t="shared" si="780"/>
        <v>0.21702060024570363</v>
      </c>
      <c r="AD299" s="150"/>
      <c r="AE299" s="150">
        <f t="shared" si="781"/>
        <v>2.341526648897974</v>
      </c>
      <c r="AF299" s="314">
        <f t="shared" si="782"/>
        <v>531.70439063162144</v>
      </c>
      <c r="AG299" s="456">
        <f t="shared" si="783"/>
        <v>0.21702060024570369</v>
      </c>
      <c r="AI299" s="150">
        <f t="shared" si="784"/>
        <v>16.433869642659779</v>
      </c>
      <c r="AJ299" s="150">
        <f t="shared" si="785"/>
        <v>25.496736253737808</v>
      </c>
      <c r="AK299" s="150">
        <f t="shared" si="786"/>
        <v>10.209928089188498</v>
      </c>
      <c r="AM299" s="314">
        <f t="shared" si="787"/>
        <v>415</v>
      </c>
      <c r="AN299" s="144">
        <f t="shared" si="788"/>
        <v>141.29531253292942</v>
      </c>
      <c r="AP299">
        <f t="shared" si="789"/>
        <v>415</v>
      </c>
      <c r="AQ299">
        <f t="shared" si="790"/>
        <v>141.29531253292942</v>
      </c>
      <c r="AS299" s="5">
        <f t="shared" si="763"/>
        <v>7.0773756190032566</v>
      </c>
      <c r="AT299" s="5">
        <f t="shared" si="791"/>
        <v>2.3997790641494934</v>
      </c>
      <c r="AU299" s="5">
        <f t="shared" si="883"/>
        <v>4.6775965548537632</v>
      </c>
      <c r="AV299" s="5"/>
      <c r="AW299" s="150">
        <f t="shared" si="884"/>
        <v>0.33907753287898357</v>
      </c>
      <c r="AX299" s="150">
        <f t="shared" si="792"/>
        <v>68.890319793873928</v>
      </c>
      <c r="AY299" s="150">
        <f t="shared" si="793"/>
        <v>0.42128414570885642</v>
      </c>
      <c r="AZ299" s="150">
        <f t="shared" si="794"/>
        <v>163.52459615578096</v>
      </c>
      <c r="BA299" s="144">
        <f t="shared" si="724"/>
        <v>0.58582841860119983</v>
      </c>
      <c r="BB299" s="5">
        <f t="shared" si="725"/>
        <v>34.511508147365504</v>
      </c>
      <c r="BD299" s="150">
        <f t="shared" si="841"/>
        <v>8.5718284621168497</v>
      </c>
      <c r="BE299" s="150">
        <f t="shared" si="842"/>
        <v>0.59836919347562123</v>
      </c>
      <c r="BG299" s="456">
        <f t="shared" si="843"/>
        <v>0.24981922682545213</v>
      </c>
      <c r="BH299" s="456">
        <f t="shared" si="795"/>
        <v>2.1120307594737984</v>
      </c>
      <c r="BI299" s="456">
        <f t="shared" si="796"/>
        <v>0.10313304079216151</v>
      </c>
      <c r="BJ299" s="456">
        <f t="shared" si="844"/>
        <v>5.7994001637531496E-2</v>
      </c>
      <c r="BK299">
        <f t="shared" si="845"/>
        <v>7.1716172660971729E-3</v>
      </c>
      <c r="BL299" s="144">
        <f t="shared" si="846"/>
        <v>110.3046580582587</v>
      </c>
      <c r="BM299" s="456">
        <f t="shared" si="797"/>
        <v>2.6442500575461096</v>
      </c>
      <c r="BN299" s="144">
        <f t="shared" si="847"/>
        <v>2644.2500575461095</v>
      </c>
      <c r="BO299" s="456">
        <f t="shared" si="798"/>
        <v>1.0374999999999999</v>
      </c>
      <c r="BR299" s="144">
        <f t="shared" si="848"/>
        <v>1037.4999999999998</v>
      </c>
      <c r="BS299" s="456">
        <f t="shared" si="849"/>
        <v>0.11021436477593477</v>
      </c>
      <c r="BT299" s="456">
        <f t="shared" si="850"/>
        <v>7.1609138340133091E-2</v>
      </c>
      <c r="BU299" s="456">
        <f t="shared" si="851"/>
        <v>38.949408710872063</v>
      </c>
      <c r="BV299" s="456"/>
      <c r="BW299" s="456">
        <f t="shared" si="852"/>
        <v>9.1853759725165254E-2</v>
      </c>
      <c r="BX299" s="144">
        <f t="shared" si="853"/>
        <v>39223.0859737133</v>
      </c>
      <c r="BY299" s="150">
        <f t="shared" si="854"/>
        <v>42.790734619708338</v>
      </c>
      <c r="BZ299" s="5">
        <f t="shared" si="855"/>
        <v>70.55</v>
      </c>
      <c r="CA299" s="150">
        <f t="shared" si="856"/>
        <v>0.62245935000082797</v>
      </c>
      <c r="CB299" s="5">
        <f t="shared" si="857"/>
        <v>62.245935000082795</v>
      </c>
      <c r="CE299" s="59">
        <f t="shared" si="799"/>
        <v>-50</v>
      </c>
      <c r="CF299">
        <f t="shared" si="800"/>
        <v>-50</v>
      </c>
      <c r="CG299" s="150">
        <f t="shared" si="801"/>
        <v>0.64481103415401242</v>
      </c>
      <c r="CI299" s="147">
        <v>83</v>
      </c>
      <c r="CJ299" s="188">
        <f t="shared" si="858"/>
        <v>0.41499999999999998</v>
      </c>
      <c r="CK299" s="188"/>
      <c r="CL299" s="188">
        <f t="shared" si="802"/>
        <v>70.55</v>
      </c>
      <c r="CM299" s="465">
        <f t="shared" si="803"/>
        <v>16</v>
      </c>
      <c r="CN299" s="379">
        <f t="shared" si="804"/>
        <v>8.5350000000000001</v>
      </c>
      <c r="CO299" s="379">
        <f t="shared" si="805"/>
        <v>24.535</v>
      </c>
      <c r="CP299" s="379"/>
      <c r="CQ299" s="188">
        <f t="shared" si="806"/>
        <v>0.34787038923986141</v>
      </c>
      <c r="CR299" s="149">
        <f t="shared" si="807"/>
        <v>186.42142245771345</v>
      </c>
      <c r="CS299" s="149">
        <f t="shared" si="808"/>
        <v>70.55</v>
      </c>
      <c r="CT299" s="188">
        <f t="shared" si="809"/>
        <v>1.0965966026924321</v>
      </c>
      <c r="CU299" s="188">
        <f t="shared" si="810"/>
        <v>170</v>
      </c>
      <c r="CV299" s="188"/>
      <c r="CW299" s="149">
        <f t="shared" si="811"/>
        <v>965.37242892202607</v>
      </c>
      <c r="CX299" s="149">
        <f t="shared" si="812"/>
        <v>170</v>
      </c>
      <c r="CY299" s="188">
        <f t="shared" si="813"/>
        <v>25.350677357937904</v>
      </c>
      <c r="CZ299" s="188">
        <f t="shared" si="814"/>
        <v>2.3766260023066788</v>
      </c>
      <c r="DA299" s="188">
        <f t="shared" si="815"/>
        <v>4.4553035778449743</v>
      </c>
      <c r="DB299" s="172">
        <f t="shared" si="816"/>
        <v>278.29631139188916</v>
      </c>
      <c r="DC299" s="379">
        <f t="shared" si="817"/>
        <v>146.37153212252551</v>
      </c>
      <c r="DE299" s="188">
        <f t="shared" si="818"/>
        <v>13.333333333333332</v>
      </c>
      <c r="DF299" s="150">
        <f t="shared" si="819"/>
        <v>2.3432923257176332</v>
      </c>
      <c r="DG299" s="150">
        <f t="shared" si="820"/>
        <v>0.21737653692004619</v>
      </c>
      <c r="DH299" s="150"/>
      <c r="DI299" s="150">
        <f t="shared" si="821"/>
        <v>2.3432923257176337</v>
      </c>
      <c r="DJ299" s="314">
        <f t="shared" si="822"/>
        <v>531.30374999999992</v>
      </c>
      <c r="DK299" s="456">
        <f t="shared" si="823"/>
        <v>0.21737653692004627</v>
      </c>
      <c r="DM299" s="150">
        <f t="shared" si="824"/>
        <v>16.427676994285328</v>
      </c>
      <c r="DN299" s="150">
        <f t="shared" si="825"/>
        <v>25.350677357937904</v>
      </c>
      <c r="DO299" s="150">
        <f t="shared" si="826"/>
        <v>10.101736314521903</v>
      </c>
      <c r="DQ299" s="314">
        <f t="shared" si="827"/>
        <v>415</v>
      </c>
      <c r="DR299" s="144">
        <f t="shared" si="828"/>
        <v>146.37153212252551</v>
      </c>
      <c r="DT299">
        <f t="shared" si="829"/>
        <v>415</v>
      </c>
      <c r="DU299">
        <f t="shared" si="830"/>
        <v>146.37153212252551</v>
      </c>
      <c r="DW299" s="5">
        <f t="shared" si="859"/>
        <v>6.8319295801516535</v>
      </c>
      <c r="DX299" s="5">
        <f t="shared" si="831"/>
        <v>2.3766260023066788</v>
      </c>
      <c r="DY299" s="5">
        <f t="shared" si="832"/>
        <v>4.4553035778449743</v>
      </c>
      <c r="DZ299" s="5"/>
      <c r="EA299" s="150">
        <f t="shared" si="833"/>
        <v>0.34787038923986141</v>
      </c>
      <c r="EB299" s="150">
        <f t="shared" si="860"/>
        <v>70.55</v>
      </c>
      <c r="EC299" s="150">
        <f t="shared" si="861"/>
        <v>0.41329818394844764</v>
      </c>
      <c r="ED299" s="150">
        <f t="shared" si="862"/>
        <v>170.69999999999996</v>
      </c>
      <c r="EE299" s="144">
        <f t="shared" si="834"/>
        <v>0.58017634762192449</v>
      </c>
      <c r="EF299" s="5">
        <f t="shared" si="835"/>
        <v>32.741840355933633</v>
      </c>
      <c r="EH299" s="150">
        <f t="shared" si="863"/>
        <v>8.6325215696287128</v>
      </c>
      <c r="EI299" s="150">
        <f t="shared" si="864"/>
        <v>0.59097063982059117</v>
      </c>
      <c r="EK299" s="456">
        <f t="shared" si="865"/>
        <v>0.25336945741035688</v>
      </c>
      <c r="EL299" s="456">
        <f t="shared" si="866"/>
        <v>2.7676160000000003</v>
      </c>
      <c r="EM299" s="456">
        <f t="shared" si="867"/>
        <v>3.3519080856058342E-2</v>
      </c>
      <c r="EN299" s="456">
        <f t="shared" si="868"/>
        <v>6.0355842267895102E-2</v>
      </c>
      <c r="EO299">
        <f t="shared" si="869"/>
        <v>7.1999999999999998E-3</v>
      </c>
      <c r="EP299" s="144">
        <f t="shared" si="870"/>
        <v>40.719080856058341</v>
      </c>
      <c r="EQ299" s="144"/>
      <c r="ER299" s="144">
        <f t="shared" si="871"/>
        <v>3122.0603805343108</v>
      </c>
      <c r="ES299" s="456">
        <f t="shared" si="872"/>
        <v>1.0374999999999999</v>
      </c>
      <c r="EV299" s="144">
        <f t="shared" si="873"/>
        <v>1037.4999999999998</v>
      </c>
      <c r="EW299" s="456">
        <f t="shared" si="874"/>
        <v>0.11178064297515747</v>
      </c>
      <c r="EX299" s="456">
        <f t="shared" si="875"/>
        <v>6.984925942599178E-2</v>
      </c>
      <c r="EY299" s="456">
        <f t="shared" si="876"/>
        <v>41.935852026837857</v>
      </c>
      <c r="EZ299" s="456"/>
      <c r="FA299" s="456">
        <f t="shared" si="877"/>
        <v>9.4066666666666673E-2</v>
      </c>
      <c r="FB299" s="144">
        <f t="shared" si="878"/>
        <v>42211.548595905675</v>
      </c>
      <c r="FC299" s="150">
        <f t="shared" si="879"/>
        <v>46.371108976439984</v>
      </c>
      <c r="FD299" s="5">
        <f t="shared" si="880"/>
        <v>70.55</v>
      </c>
      <c r="FE299" s="150">
        <f t="shared" si="881"/>
        <v>0.60339831376570396</v>
      </c>
      <c r="FF299" s="5">
        <f t="shared" si="882"/>
        <v>60.339831376570395</v>
      </c>
      <c r="FI299" s="59">
        <f t="shared" si="836"/>
        <v>-50</v>
      </c>
      <c r="FJ299">
        <f t="shared" si="837"/>
        <v>-50</v>
      </c>
      <c r="FL299">
        <f t="shared" si="838"/>
        <v>0.65212961076013864</v>
      </c>
    </row>
    <row r="300" spans="5:168">
      <c r="E300" s="147">
        <v>84</v>
      </c>
      <c r="F300" s="188">
        <f t="shared" si="839"/>
        <v>0.42</v>
      </c>
      <c r="G300" s="188"/>
      <c r="H300" s="188">
        <f t="shared" si="764"/>
        <v>71.399999999999991</v>
      </c>
      <c r="I300" s="465">
        <f t="shared" si="765"/>
        <v>15.936175969247937</v>
      </c>
      <c r="J300" s="149">
        <f t="shared" si="766"/>
        <v>8.5415126561991901</v>
      </c>
      <c r="K300" s="149">
        <f t="shared" si="767"/>
        <v>24.477688625447129</v>
      </c>
      <c r="L300" s="379"/>
      <c r="M300" s="188">
        <f t="shared" si="768"/>
        <v>0.34894902737119915</v>
      </c>
      <c r="N300" s="149">
        <f t="shared" si="769"/>
        <v>186.25351624622914</v>
      </c>
      <c r="O300" s="149">
        <f t="shared" si="762"/>
        <v>71.399999999999991</v>
      </c>
      <c r="P300" s="188">
        <f t="shared" si="770"/>
        <v>1.0956089190954654</v>
      </c>
      <c r="Q300" s="188">
        <f t="shared" si="771"/>
        <v>170</v>
      </c>
      <c r="R300" s="188"/>
      <c r="S300" s="149">
        <f t="shared" si="772"/>
        <v>946.28794707537384</v>
      </c>
      <c r="T300" s="149">
        <f t="shared" si="773"/>
        <v>170</v>
      </c>
      <c r="U300" s="188">
        <f t="shared" si="774"/>
        <v>25.804431152549068</v>
      </c>
      <c r="V300" s="188">
        <f t="shared" si="775"/>
        <v>2.4288541243216613</v>
      </c>
      <c r="W300" s="188">
        <f t="shared" si="776"/>
        <v>4.5315915677689009</v>
      </c>
      <c r="X300" s="172">
        <f t="shared" si="777"/>
        <v>278.04718577725225</v>
      </c>
      <c r="Y300" s="379">
        <f t="shared" si="840"/>
        <v>139.65611122567429</v>
      </c>
      <c r="AA300" s="188">
        <f t="shared" si="778"/>
        <v>13.333333333333334</v>
      </c>
      <c r="AB300" s="150">
        <f t="shared" si="779"/>
        <v>2.3415056331368382</v>
      </c>
      <c r="AC300" s="150">
        <f t="shared" si="780"/>
        <v>0.21701635059176039</v>
      </c>
      <c r="AD300" s="150"/>
      <c r="AE300" s="150">
        <f t="shared" si="781"/>
        <v>2.3415056331368382</v>
      </c>
      <c r="AF300" s="314">
        <f t="shared" si="782"/>
        <v>538.11529734054886</v>
      </c>
      <c r="AG300" s="456">
        <f t="shared" si="783"/>
        <v>0.21701635059176039</v>
      </c>
      <c r="AI300" s="150">
        <f t="shared" si="784"/>
        <v>16.532646642276426</v>
      </c>
      <c r="AJ300" s="150">
        <f t="shared" si="785"/>
        <v>25.804431152549068</v>
      </c>
      <c r="AK300" s="150">
        <f t="shared" si="786"/>
        <v>10.437850236456098</v>
      </c>
      <c r="AM300" s="314">
        <f t="shared" si="787"/>
        <v>420</v>
      </c>
      <c r="AN300" s="144">
        <f t="shared" si="788"/>
        <v>139.65611122567429</v>
      </c>
      <c r="AP300">
        <f t="shared" si="789"/>
        <v>420</v>
      </c>
      <c r="AQ300">
        <f t="shared" si="790"/>
        <v>139.65611122567429</v>
      </c>
      <c r="AS300" s="5">
        <f t="shared" si="763"/>
        <v>7.1604456920905628</v>
      </c>
      <c r="AT300" s="5">
        <f t="shared" si="791"/>
        <v>2.4288541243216613</v>
      </c>
      <c r="AU300" s="5">
        <f t="shared" si="883"/>
        <v>4.731591567768902</v>
      </c>
      <c r="AV300" s="5"/>
      <c r="AW300" s="150">
        <f t="shared" si="884"/>
        <v>0.33920432173720366</v>
      </c>
      <c r="AX300" s="150">
        <f t="shared" si="792"/>
        <v>69.7444714763528</v>
      </c>
      <c r="AY300" s="150">
        <f t="shared" si="793"/>
        <v>0.42628641464085737</v>
      </c>
      <c r="AZ300" s="150">
        <f t="shared" si="794"/>
        <v>163.6094163008031</v>
      </c>
      <c r="BA300" s="144">
        <f t="shared" si="724"/>
        <v>0.60006984247946926</v>
      </c>
      <c r="BB300" s="5">
        <f t="shared" si="725"/>
        <v>35.332152308749336</v>
      </c>
      <c r="BD300" s="150">
        <f t="shared" si="841"/>
        <v>8.6768951741961509</v>
      </c>
      <c r="BE300" s="150">
        <f t="shared" si="842"/>
        <v>0.60553222974688392</v>
      </c>
      <c r="BG300" s="456">
        <f t="shared" si="843"/>
        <v>0.25598093353756074</v>
      </c>
      <c r="BH300" s="456">
        <f t="shared" si="795"/>
        <v>2.1126626680484066</v>
      </c>
      <c r="BI300" s="456">
        <f t="shared" si="796"/>
        <v>0.10193176385623291</v>
      </c>
      <c r="BJ300" s="456">
        <f t="shared" si="844"/>
        <v>5.731803959601689E-2</v>
      </c>
      <c r="BK300">
        <f t="shared" si="845"/>
        <v>7.1712791861615714E-3</v>
      </c>
      <c r="BL300" s="144">
        <f t="shared" si="846"/>
        <v>109.10304304239449</v>
      </c>
      <c r="BM300" s="456">
        <f t="shared" si="797"/>
        <v>2.6566572279559559</v>
      </c>
      <c r="BN300" s="144">
        <f t="shared" si="847"/>
        <v>2656.6572279559559</v>
      </c>
      <c r="BO300" s="456">
        <f t="shared" si="798"/>
        <v>1.05</v>
      </c>
      <c r="BR300" s="144">
        <f t="shared" si="848"/>
        <v>1050</v>
      </c>
      <c r="BS300" s="456">
        <f t="shared" si="849"/>
        <v>0.11293276479598267</v>
      </c>
      <c r="BT300" s="456">
        <f t="shared" si="850"/>
        <v>7.3333856252446608E-2</v>
      </c>
      <c r="BU300" s="456">
        <f t="shared" si="851"/>
        <v>38.981234661172046</v>
      </c>
      <c r="BV300" s="456"/>
      <c r="BW300" s="456">
        <f t="shared" si="852"/>
        <v>9.2992628635137076E-2</v>
      </c>
      <c r="BX300" s="144">
        <f t="shared" si="853"/>
        <v>39260.493910855614</v>
      </c>
      <c r="BY300" s="150">
        <f t="shared" si="854"/>
        <v>42.845558595079993</v>
      </c>
      <c r="BZ300" s="5">
        <f t="shared" si="855"/>
        <v>71.399999999999991</v>
      </c>
      <c r="CA300" s="150">
        <f t="shared" si="856"/>
        <v>0.6249695907484919</v>
      </c>
      <c r="CB300" s="5">
        <f t="shared" si="857"/>
        <v>62.496959074849187</v>
      </c>
      <c r="CE300" s="59">
        <f t="shared" si="799"/>
        <v>-50</v>
      </c>
      <c r="CF300">
        <f t="shared" si="800"/>
        <v>-50</v>
      </c>
      <c r="CG300" s="150">
        <f t="shared" si="801"/>
        <v>0.6448981600659901</v>
      </c>
      <c r="CI300" s="147">
        <v>84</v>
      </c>
      <c r="CJ300" s="188">
        <f t="shared" si="858"/>
        <v>0.42</v>
      </c>
      <c r="CK300" s="188"/>
      <c r="CL300" s="188">
        <f t="shared" si="802"/>
        <v>71.399999999999991</v>
      </c>
      <c r="CM300" s="465">
        <f t="shared" si="803"/>
        <v>16</v>
      </c>
      <c r="CN300" s="379">
        <f t="shared" si="804"/>
        <v>8.5350000000000001</v>
      </c>
      <c r="CO300" s="379">
        <f t="shared" si="805"/>
        <v>24.535</v>
      </c>
      <c r="CP300" s="379"/>
      <c r="CQ300" s="188">
        <f t="shared" si="806"/>
        <v>0.34787038923986141</v>
      </c>
      <c r="CR300" s="149">
        <f t="shared" si="807"/>
        <v>186.42142245771345</v>
      </c>
      <c r="CS300" s="149">
        <f t="shared" si="808"/>
        <v>71.399999999999991</v>
      </c>
      <c r="CT300" s="188">
        <f t="shared" si="809"/>
        <v>1.0965966026924321</v>
      </c>
      <c r="CU300" s="188">
        <f t="shared" si="810"/>
        <v>170</v>
      </c>
      <c r="CV300" s="188"/>
      <c r="CW300" s="149">
        <f t="shared" si="811"/>
        <v>950.07686665462995</v>
      </c>
      <c r="CX300" s="149">
        <f t="shared" si="812"/>
        <v>170</v>
      </c>
      <c r="CY300" s="188">
        <f t="shared" si="813"/>
        <v>25.656107205623901</v>
      </c>
      <c r="CZ300" s="188">
        <f t="shared" si="814"/>
        <v>2.4052600505272403</v>
      </c>
      <c r="DA300" s="188">
        <f t="shared" si="815"/>
        <v>4.5089819342045523</v>
      </c>
      <c r="DB300" s="172">
        <f t="shared" si="816"/>
        <v>278.29631139188916</v>
      </c>
      <c r="DC300" s="379">
        <f t="shared" si="817"/>
        <v>144.62901388297166</v>
      </c>
      <c r="DE300" s="188">
        <f t="shared" si="818"/>
        <v>13.333333333333332</v>
      </c>
      <c r="DF300" s="150">
        <f t="shared" si="819"/>
        <v>2.3432923257176332</v>
      </c>
      <c r="DG300" s="150">
        <f t="shared" si="820"/>
        <v>0.21737653692004619</v>
      </c>
      <c r="DH300" s="150"/>
      <c r="DI300" s="150">
        <f t="shared" si="821"/>
        <v>2.3432923257176337</v>
      </c>
      <c r="DJ300" s="314">
        <f t="shared" si="822"/>
        <v>537.70499999999993</v>
      </c>
      <c r="DK300" s="456">
        <f t="shared" si="823"/>
        <v>0.21737653692004627</v>
      </c>
      <c r="DM300" s="150">
        <f t="shared" si="824"/>
        <v>16.526342608090875</v>
      </c>
      <c r="DN300" s="150">
        <f t="shared" si="825"/>
        <v>25.656107205623901</v>
      </c>
      <c r="DO300" s="150">
        <f t="shared" si="826"/>
        <v>10.327980646141159</v>
      </c>
      <c r="DQ300" s="314">
        <f t="shared" si="827"/>
        <v>420</v>
      </c>
      <c r="DR300" s="144">
        <f t="shared" si="828"/>
        <v>144.62901388297166</v>
      </c>
      <c r="DT300">
        <f t="shared" si="829"/>
        <v>420</v>
      </c>
      <c r="DU300">
        <f t="shared" si="830"/>
        <v>144.62901388297166</v>
      </c>
      <c r="DW300" s="5">
        <f t="shared" si="859"/>
        <v>6.9142419847317926</v>
      </c>
      <c r="DX300" s="5">
        <f t="shared" si="831"/>
        <v>2.4052600505272403</v>
      </c>
      <c r="DY300" s="5">
        <f t="shared" si="832"/>
        <v>4.5089819342045523</v>
      </c>
      <c r="DZ300" s="5"/>
      <c r="EA300" s="150">
        <f t="shared" si="833"/>
        <v>0.34787038923986136</v>
      </c>
      <c r="EB300" s="150">
        <f t="shared" si="860"/>
        <v>71.399999999999991</v>
      </c>
      <c r="EC300" s="150">
        <f t="shared" si="861"/>
        <v>0.41827768014059757</v>
      </c>
      <c r="ED300" s="150">
        <f t="shared" si="862"/>
        <v>170.69999999999996</v>
      </c>
      <c r="EE300" s="144">
        <f t="shared" si="834"/>
        <v>0.59424071836555348</v>
      </c>
      <c r="EF300" s="5">
        <f t="shared" si="835"/>
        <v>33.535553135646353</v>
      </c>
      <c r="EH300" s="150">
        <f t="shared" si="863"/>
        <v>8.7365278536001423</v>
      </c>
      <c r="EI300" s="150">
        <f t="shared" si="864"/>
        <v>0.59809076801120065</v>
      </c>
      <c r="EK300" s="456">
        <f t="shared" si="865"/>
        <v>0.25951152438488573</v>
      </c>
      <c r="EL300" s="456">
        <f t="shared" si="866"/>
        <v>2.7676159999999994</v>
      </c>
      <c r="EM300" s="456">
        <f t="shared" si="867"/>
        <v>3.312004417920051E-2</v>
      </c>
      <c r="EN300" s="456">
        <f t="shared" si="868"/>
        <v>5.9637320336134454E-2</v>
      </c>
      <c r="EO300">
        <f t="shared" si="869"/>
        <v>7.1999999999999998E-3</v>
      </c>
      <c r="EP300" s="144">
        <f t="shared" si="870"/>
        <v>40.320044179200508</v>
      </c>
      <c r="EQ300" s="144"/>
      <c r="ER300" s="144">
        <f t="shared" si="871"/>
        <v>3127.08488890022</v>
      </c>
      <c r="ES300" s="456">
        <f t="shared" si="872"/>
        <v>1.05</v>
      </c>
      <c r="EV300" s="144">
        <f t="shared" si="873"/>
        <v>1050</v>
      </c>
      <c r="EW300" s="456">
        <f t="shared" si="874"/>
        <v>0.11449037840509665</v>
      </c>
      <c r="EX300" s="456">
        <f t="shared" si="875"/>
        <v>7.154251335604557E-2</v>
      </c>
      <c r="EY300" s="456">
        <f t="shared" si="876"/>
        <v>41.935852026837779</v>
      </c>
      <c r="EZ300" s="456"/>
      <c r="FA300" s="456">
        <f t="shared" si="877"/>
        <v>9.5199999999999993E-2</v>
      </c>
      <c r="FB300" s="144">
        <f t="shared" si="878"/>
        <v>42217.084918598921</v>
      </c>
      <c r="FC300" s="150">
        <f t="shared" si="879"/>
        <v>46.394169807499139</v>
      </c>
      <c r="FD300" s="5">
        <f t="shared" si="880"/>
        <v>71.399999999999991</v>
      </c>
      <c r="FE300" s="150">
        <f t="shared" si="881"/>
        <v>0.60614205369147611</v>
      </c>
      <c r="FF300" s="5">
        <f t="shared" si="882"/>
        <v>60.614205369147612</v>
      </c>
      <c r="FI300" s="59">
        <f t="shared" si="836"/>
        <v>-50</v>
      </c>
      <c r="FJ300">
        <f t="shared" si="837"/>
        <v>-50</v>
      </c>
      <c r="FL300">
        <f t="shared" si="838"/>
        <v>0.65212961076013864</v>
      </c>
    </row>
    <row r="301" spans="5:168">
      <c r="E301" s="147">
        <v>85</v>
      </c>
      <c r="F301" s="188">
        <f t="shared" si="839"/>
        <v>0.42499999999999999</v>
      </c>
      <c r="G301" s="188"/>
      <c r="H301" s="188">
        <f t="shared" si="764"/>
        <v>72.25</v>
      </c>
      <c r="I301" s="465">
        <f t="shared" si="765"/>
        <v>15.935424678227127</v>
      </c>
      <c r="J301" s="149">
        <f t="shared" si="766"/>
        <v>8.5415893185482528</v>
      </c>
      <c r="K301" s="149">
        <f t="shared" si="767"/>
        <v>24.47701399677538</v>
      </c>
      <c r="L301" s="379"/>
      <c r="M301" s="188">
        <f t="shared" si="768"/>
        <v>0.34896177731244932</v>
      </c>
      <c r="N301" s="149">
        <f t="shared" si="769"/>
        <v>186.25154059029765</v>
      </c>
      <c r="O301" s="149">
        <f t="shared" si="762"/>
        <v>72.25</v>
      </c>
      <c r="P301" s="188">
        <f t="shared" si="770"/>
        <v>1.0955972975899861</v>
      </c>
      <c r="Q301" s="188">
        <f t="shared" si="771"/>
        <v>170</v>
      </c>
      <c r="R301" s="188"/>
      <c r="S301" s="149">
        <f t="shared" si="772"/>
        <v>931.36809194506225</v>
      </c>
      <c r="T301" s="149">
        <f t="shared" si="773"/>
        <v>170</v>
      </c>
      <c r="U301" s="188">
        <f t="shared" si="774"/>
        <v>26.112138131955309</v>
      </c>
      <c r="V301" s="188">
        <f t="shared" si="775"/>
        <v>2.457933063525394</v>
      </c>
      <c r="W301" s="188">
        <f t="shared" si="776"/>
        <v>4.5855877328213763</v>
      </c>
      <c r="X301" s="172">
        <f t="shared" si="777"/>
        <v>278.04423618830054</v>
      </c>
      <c r="Y301" s="379">
        <f t="shared" si="840"/>
        <v>138.05441139954266</v>
      </c>
      <c r="AA301" s="188">
        <f t="shared" si="778"/>
        <v>13.333333333333336</v>
      </c>
      <c r="AB301" s="150">
        <f t="shared" si="779"/>
        <v>2.3414846176893049</v>
      </c>
      <c r="AC301" s="150">
        <f t="shared" si="780"/>
        <v>0.21701210069069263</v>
      </c>
      <c r="AD301" s="150"/>
      <c r="AE301" s="150">
        <f t="shared" si="781"/>
        <v>2.3414846176893045</v>
      </c>
      <c r="AF301" s="314">
        <f t="shared" si="782"/>
        <v>544.52631905745102</v>
      </c>
      <c r="AG301" s="456">
        <f t="shared" si="783"/>
        <v>0.21701210069069257</v>
      </c>
      <c r="AI301" s="150">
        <f t="shared" si="784"/>
        <v>16.63083873355648</v>
      </c>
      <c r="AJ301" s="150">
        <f t="shared" si="785"/>
        <v>26.112138131955309</v>
      </c>
      <c r="AK301" s="150">
        <f t="shared" si="786"/>
        <v>10.665781332312573</v>
      </c>
      <c r="AM301" s="314">
        <f t="shared" si="787"/>
        <v>425</v>
      </c>
      <c r="AN301" s="144">
        <f t="shared" si="788"/>
        <v>138.05441139954266</v>
      </c>
      <c r="AP301">
        <f t="shared" si="789"/>
        <v>425</v>
      </c>
      <c r="AQ301">
        <f t="shared" si="790"/>
        <v>138.05441139954266</v>
      </c>
      <c r="AS301" s="5">
        <f t="shared" si="763"/>
        <v>7.2435207963467709</v>
      </c>
      <c r="AT301" s="5">
        <f t="shared" si="791"/>
        <v>2.457933063525394</v>
      </c>
      <c r="AU301" s="5">
        <f t="shared" si="883"/>
        <v>4.7855877328213765</v>
      </c>
      <c r="AV301" s="5"/>
      <c r="AW301" s="150">
        <f t="shared" si="884"/>
        <v>0.33932850234447298</v>
      </c>
      <c r="AX301" s="150">
        <f t="shared" si="792"/>
        <v>70.598653989458953</v>
      </c>
      <c r="AY301" s="150">
        <f t="shared" si="793"/>
        <v>0.43128863516567278</v>
      </c>
      <c r="AZ301" s="150">
        <f t="shared" si="794"/>
        <v>163.69235874332645</v>
      </c>
      <c r="BA301" s="144">
        <f t="shared" si="724"/>
        <v>0.61448326588134849</v>
      </c>
      <c r="BB301" s="5">
        <f t="shared" si="725"/>
        <v>36.162482924888835</v>
      </c>
      <c r="BD301" s="150">
        <f t="shared" si="841"/>
        <v>8.7819705680591884</v>
      </c>
      <c r="BE301" s="150">
        <f t="shared" si="842"/>
        <v>0.61269536792189871</v>
      </c>
      <c r="BG301" s="456">
        <f t="shared" si="843"/>
        <v>0.26221822399807659</v>
      </c>
      <c r="BH301" s="456">
        <f t="shared" si="795"/>
        <v>2.113278219921956</v>
      </c>
      <c r="BI301" s="456">
        <f t="shared" si="796"/>
        <v>0.10075796988543118</v>
      </c>
      <c r="BJ301" s="456">
        <f t="shared" si="844"/>
        <v>5.6657542411260059E-2</v>
      </c>
      <c r="BK301">
        <f t="shared" si="845"/>
        <v>7.1709411052022073E-3</v>
      </c>
      <c r="BL301" s="144">
        <f t="shared" si="846"/>
        <v>107.92891099063338</v>
      </c>
      <c r="BM301" s="456">
        <f t="shared" si="797"/>
        <v>2.6692556767613937</v>
      </c>
      <c r="BN301" s="144">
        <f t="shared" si="847"/>
        <v>2669.2556767613937</v>
      </c>
      <c r="BO301" s="456">
        <f t="shared" si="798"/>
        <v>1.0625</v>
      </c>
      <c r="BR301" s="144">
        <f t="shared" si="848"/>
        <v>1062.5</v>
      </c>
      <c r="BS301" s="456">
        <f t="shared" si="849"/>
        <v>0.11568451058738674</v>
      </c>
      <c r="BT301" s="456">
        <f t="shared" si="850"/>
        <v>7.5079122774590168E-2</v>
      </c>
      <c r="BU301" s="456">
        <f t="shared" si="851"/>
        <v>39.012323083841721</v>
      </c>
      <c r="BV301" s="456"/>
      <c r="BW301" s="456">
        <f t="shared" si="852"/>
        <v>9.4131538652611951E-2</v>
      </c>
      <c r="BX301" s="144">
        <f t="shared" si="853"/>
        <v>39297.218255856307</v>
      </c>
      <c r="BY301" s="150">
        <f t="shared" si="854"/>
        <v>42.899801153178238</v>
      </c>
      <c r="BZ301" s="5">
        <f t="shared" si="855"/>
        <v>72.25</v>
      </c>
      <c r="CA301" s="150">
        <f t="shared" si="856"/>
        <v>0.62744354984937667</v>
      </c>
      <c r="CB301" s="5">
        <f t="shared" si="857"/>
        <v>62.744354984937665</v>
      </c>
      <c r="CE301" s="59">
        <f t="shared" si="799"/>
        <v>-50</v>
      </c>
      <c r="CF301">
        <f t="shared" si="800"/>
        <v>-50</v>
      </c>
      <c r="CG301" s="150">
        <f t="shared" si="801"/>
        <v>0.64498323595650942</v>
      </c>
      <c r="CI301" s="147">
        <v>85</v>
      </c>
      <c r="CJ301" s="188">
        <f t="shared" si="858"/>
        <v>0.42499999999999999</v>
      </c>
      <c r="CK301" s="188"/>
      <c r="CL301" s="188">
        <f t="shared" si="802"/>
        <v>72.25</v>
      </c>
      <c r="CM301" s="465">
        <f t="shared" si="803"/>
        <v>16</v>
      </c>
      <c r="CN301" s="379">
        <f t="shared" si="804"/>
        <v>8.5350000000000001</v>
      </c>
      <c r="CO301" s="379">
        <f t="shared" si="805"/>
        <v>24.535</v>
      </c>
      <c r="CP301" s="379"/>
      <c r="CQ301" s="188">
        <f t="shared" si="806"/>
        <v>0.34787038923986141</v>
      </c>
      <c r="CR301" s="149">
        <f t="shared" si="807"/>
        <v>186.42142245771345</v>
      </c>
      <c r="CS301" s="149">
        <f t="shared" si="808"/>
        <v>72.25</v>
      </c>
      <c r="CT301" s="188">
        <f t="shared" si="809"/>
        <v>1.0965966026924321</v>
      </c>
      <c r="CU301" s="188">
        <f t="shared" si="810"/>
        <v>170</v>
      </c>
      <c r="CV301" s="188"/>
      <c r="CW301" s="149">
        <f t="shared" si="811"/>
        <v>935.14131760238411</v>
      </c>
      <c r="CX301" s="149">
        <f t="shared" si="812"/>
        <v>170</v>
      </c>
      <c r="CY301" s="188">
        <f t="shared" si="813"/>
        <v>25.9615370533099</v>
      </c>
      <c r="CZ301" s="188">
        <f t="shared" si="814"/>
        <v>2.4338940987478033</v>
      </c>
      <c r="DA301" s="188">
        <f t="shared" si="815"/>
        <v>4.5626602905641302</v>
      </c>
      <c r="DB301" s="172">
        <f t="shared" si="816"/>
        <v>278.29631139188916</v>
      </c>
      <c r="DC301" s="379">
        <f t="shared" si="817"/>
        <v>142.92749607258375</v>
      </c>
      <c r="DE301" s="188">
        <f t="shared" si="818"/>
        <v>13.333333333333332</v>
      </c>
      <c r="DF301" s="150">
        <f t="shared" si="819"/>
        <v>2.3432923257176332</v>
      </c>
      <c r="DG301" s="150">
        <f t="shared" si="820"/>
        <v>0.21737653692004619</v>
      </c>
      <c r="DH301" s="150"/>
      <c r="DI301" s="150">
        <f t="shared" si="821"/>
        <v>2.3432923257176337</v>
      </c>
      <c r="DJ301" s="314">
        <f t="shared" si="822"/>
        <v>544.10624999999993</v>
      </c>
      <c r="DK301" s="456">
        <f t="shared" si="823"/>
        <v>0.21737653692004627</v>
      </c>
      <c r="DM301" s="150">
        <f t="shared" si="824"/>
        <v>16.62442265377744</v>
      </c>
      <c r="DN301" s="150">
        <f t="shared" si="825"/>
        <v>25.9615370533099</v>
      </c>
      <c r="DO301" s="150">
        <f t="shared" si="826"/>
        <v>10.554224977760418</v>
      </c>
      <c r="DQ301" s="314">
        <f t="shared" si="827"/>
        <v>425</v>
      </c>
      <c r="DR301" s="144">
        <f t="shared" si="828"/>
        <v>142.92749607258375</v>
      </c>
      <c r="DT301">
        <f t="shared" si="829"/>
        <v>425</v>
      </c>
      <c r="DU301">
        <f t="shared" si="830"/>
        <v>142.92749607258375</v>
      </c>
      <c r="DW301" s="5">
        <f t="shared" si="859"/>
        <v>6.9965543893119335</v>
      </c>
      <c r="DX301" s="5">
        <f t="shared" si="831"/>
        <v>2.4338940987478033</v>
      </c>
      <c r="DY301" s="5">
        <f t="shared" si="832"/>
        <v>4.5626602905641302</v>
      </c>
      <c r="DZ301" s="5"/>
      <c r="EA301" s="150">
        <f t="shared" si="833"/>
        <v>0.34787038923986141</v>
      </c>
      <c r="EB301" s="150">
        <f t="shared" si="860"/>
        <v>72.25</v>
      </c>
      <c r="EC301" s="150">
        <f t="shared" si="861"/>
        <v>0.42325717633274756</v>
      </c>
      <c r="ED301" s="150">
        <f t="shared" si="862"/>
        <v>170.7</v>
      </c>
      <c r="EE301" s="144">
        <f t="shared" si="834"/>
        <v>0.60847352468695093</v>
      </c>
      <c r="EF301" s="5">
        <f t="shared" si="835"/>
        <v>34.338771457631076</v>
      </c>
      <c r="EH301" s="150">
        <f t="shared" si="863"/>
        <v>8.8405341375715718</v>
      </c>
      <c r="EI301" s="150">
        <f t="shared" si="864"/>
        <v>0.60521089620181023</v>
      </c>
      <c r="EK301" s="456">
        <f t="shared" si="865"/>
        <v>0.26572714904773231</v>
      </c>
      <c r="EL301" s="456">
        <f t="shared" si="866"/>
        <v>2.7676160000000003</v>
      </c>
      <c r="EM301" s="456">
        <f t="shared" si="867"/>
        <v>3.2730396600621679E-2</v>
      </c>
      <c r="EN301" s="456">
        <f t="shared" si="868"/>
        <v>5.8935704802768163E-2</v>
      </c>
      <c r="EO301">
        <f t="shared" si="869"/>
        <v>7.1999999999999998E-3</v>
      </c>
      <c r="EP301" s="144">
        <f t="shared" si="870"/>
        <v>39.930396600621677</v>
      </c>
      <c r="EQ301" s="144"/>
      <c r="ER301" s="144">
        <f t="shared" si="871"/>
        <v>3132.2092504511224</v>
      </c>
      <c r="ES301" s="456">
        <f t="shared" si="872"/>
        <v>1.0625</v>
      </c>
      <c r="EV301" s="144">
        <f t="shared" si="873"/>
        <v>1062.5</v>
      </c>
      <c r="EW301" s="456">
        <f t="shared" si="874"/>
        <v>0.11723256575635249</v>
      </c>
      <c r="EX301" s="456">
        <f t="shared" si="875"/>
        <v>7.3256045776279671E-2</v>
      </c>
      <c r="EY301" s="456">
        <f t="shared" si="876"/>
        <v>41.935852026837857</v>
      </c>
      <c r="EZ301" s="456"/>
      <c r="FA301" s="456">
        <f t="shared" si="877"/>
        <v>9.633333333333334E-2</v>
      </c>
      <c r="FB301" s="144">
        <f t="shared" si="878"/>
        <v>42222.673971703822</v>
      </c>
      <c r="FC301" s="150">
        <f t="shared" si="879"/>
        <v>46.417383222154946</v>
      </c>
      <c r="FD301" s="5">
        <f t="shared" si="880"/>
        <v>72.25</v>
      </c>
      <c r="FE301" s="150">
        <f t="shared" si="881"/>
        <v>0.60884463816600853</v>
      </c>
      <c r="FF301" s="5">
        <f t="shared" si="882"/>
        <v>60.884463816600856</v>
      </c>
      <c r="FI301" s="59">
        <f t="shared" si="836"/>
        <v>-50</v>
      </c>
      <c r="FJ301">
        <f t="shared" si="837"/>
        <v>-50</v>
      </c>
      <c r="FL301">
        <f t="shared" si="838"/>
        <v>0.65212961076013864</v>
      </c>
    </row>
    <row r="302" spans="5:168">
      <c r="E302" s="147">
        <v>86</v>
      </c>
      <c r="F302" s="188">
        <f t="shared" si="839"/>
        <v>0.43</v>
      </c>
      <c r="G302" s="188"/>
      <c r="H302" s="188">
        <f t="shared" si="764"/>
        <v>73.099999999999994</v>
      </c>
      <c r="I302" s="465">
        <f t="shared" si="765"/>
        <v>15.934673385011518</v>
      </c>
      <c r="J302" s="149">
        <f t="shared" si="766"/>
        <v>8.5416659811212732</v>
      </c>
      <c r="K302" s="149">
        <f t="shared" si="767"/>
        <v>24.476339366132791</v>
      </c>
      <c r="L302" s="379"/>
      <c r="M302" s="188">
        <f t="shared" si="768"/>
        <v>0.34897452798782447</v>
      </c>
      <c r="N302" s="149">
        <f t="shared" si="769"/>
        <v>186.24956465885936</v>
      </c>
      <c r="O302" s="149">
        <f t="shared" si="762"/>
        <v>73.099999999999994</v>
      </c>
      <c r="P302" s="188">
        <f t="shared" si="770"/>
        <v>1.0955856744638786</v>
      </c>
      <c r="Q302" s="188">
        <f t="shared" si="771"/>
        <v>170</v>
      </c>
      <c r="R302" s="188"/>
      <c r="S302" s="149">
        <f t="shared" si="772"/>
        <v>916.79567716345309</v>
      </c>
      <c r="T302" s="149">
        <f t="shared" si="773"/>
        <v>170</v>
      </c>
      <c r="U302" s="188">
        <f t="shared" si="774"/>
        <v>26.41985719366496</v>
      </c>
      <c r="V302" s="188">
        <f t="shared" si="775"/>
        <v>2.487015882470113</v>
      </c>
      <c r="W302" s="188">
        <f t="shared" si="776"/>
        <v>4.6395850502802256</v>
      </c>
      <c r="X302" s="172">
        <f t="shared" si="777"/>
        <v>278.04128619282238</v>
      </c>
      <c r="Y302" s="379">
        <f t="shared" si="840"/>
        <v>136.4889406668706</v>
      </c>
      <c r="AA302" s="188">
        <f t="shared" si="778"/>
        <v>13.333333333333334</v>
      </c>
      <c r="AB302" s="150">
        <f t="shared" si="779"/>
        <v>2.3414636025576105</v>
      </c>
      <c r="AC302" s="150">
        <f t="shared" si="780"/>
        <v>0.21700785054293251</v>
      </c>
      <c r="AD302" s="150"/>
      <c r="AE302" s="150">
        <f t="shared" si="781"/>
        <v>2.3414636025576105</v>
      </c>
      <c r="AF302" s="314">
        <f t="shared" si="782"/>
        <v>550.93745578232188</v>
      </c>
      <c r="AG302" s="456">
        <f t="shared" si="783"/>
        <v>0.21700785054293253</v>
      </c>
      <c r="AI302" s="150">
        <f t="shared" si="784"/>
        <v>16.728456216324833</v>
      </c>
      <c r="AJ302" s="150">
        <f t="shared" si="785"/>
        <v>26.41985719366496</v>
      </c>
      <c r="AK302" s="150">
        <f t="shared" si="786"/>
        <v>10.893721378023425</v>
      </c>
      <c r="AM302" s="314">
        <f t="shared" si="787"/>
        <v>430</v>
      </c>
      <c r="AN302" s="144">
        <f t="shared" si="788"/>
        <v>136.4889406668706</v>
      </c>
      <c r="AP302">
        <f t="shared" si="789"/>
        <v>430</v>
      </c>
      <c r="AQ302">
        <f t="shared" si="790"/>
        <v>136.4889406668706</v>
      </c>
      <c r="AS302" s="5">
        <f t="shared" si="763"/>
        <v>7.3266009327503401</v>
      </c>
      <c r="AT302" s="5">
        <f t="shared" si="791"/>
        <v>2.487015882470113</v>
      </c>
      <c r="AU302" s="5">
        <f t="shared" si="883"/>
        <v>4.8395850502802276</v>
      </c>
      <c r="AV302" s="5"/>
      <c r="AW302" s="150">
        <f t="shared" si="884"/>
        <v>0.33945016322002808</v>
      </c>
      <c r="AX302" s="150">
        <f t="shared" si="792"/>
        <v>71.452866807598582</v>
      </c>
      <c r="AY302" s="150">
        <f t="shared" si="793"/>
        <v>0.43629080892563893</v>
      </c>
      <c r="AZ302" s="150">
        <f t="shared" si="794"/>
        <v>163.77348627524481</v>
      </c>
      <c r="BA302" s="144">
        <f t="shared" si="724"/>
        <v>0.62906872321302865</v>
      </c>
      <c r="BB302" s="5">
        <f t="shared" si="725"/>
        <v>37.002501675397944</v>
      </c>
      <c r="BD302" s="150">
        <f t="shared" si="841"/>
        <v>8.8870546201519502</v>
      </c>
      <c r="BE302" s="150">
        <f t="shared" si="842"/>
        <v>0.61985860932753445</v>
      </c>
      <c r="BG302" s="456">
        <f t="shared" si="843"/>
        <v>0.26853111539331803</v>
      </c>
      <c r="BH302" s="456">
        <f t="shared" si="795"/>
        <v>2.1138779699985744</v>
      </c>
      <c r="BI302" s="456">
        <f t="shared" si="796"/>
        <v>9.96107264108302E-2</v>
      </c>
      <c r="BJ302" s="456">
        <f t="shared" si="844"/>
        <v>5.6011985376515881E-2</v>
      </c>
      <c r="BK302">
        <f t="shared" si="845"/>
        <v>7.1706030232551827E-3</v>
      </c>
      <c r="BL302" s="144">
        <f t="shared" si="846"/>
        <v>106.78132943408539</v>
      </c>
      <c r="BM302" s="456">
        <f t="shared" si="797"/>
        <v>2.6820471046126855</v>
      </c>
      <c r="BN302" s="144">
        <f t="shared" si="847"/>
        <v>2682.0471046126854</v>
      </c>
      <c r="BO302" s="456">
        <f t="shared" si="798"/>
        <v>1.075</v>
      </c>
      <c r="BR302" s="144">
        <f t="shared" si="848"/>
        <v>1075</v>
      </c>
      <c r="BS302" s="456">
        <f t="shared" si="849"/>
        <v>0.11846960973234619</v>
      </c>
      <c r="BT302" s="456">
        <f t="shared" si="850"/>
        <v>7.6844939111492996E-2</v>
      </c>
      <c r="BU302" s="456">
        <f t="shared" si="851"/>
        <v>39.042698460506003</v>
      </c>
      <c r="BV302" s="456"/>
      <c r="BW302" s="456">
        <f t="shared" si="852"/>
        <v>9.5270489076798123E-2</v>
      </c>
      <c r="BX302" s="144">
        <f t="shared" si="853"/>
        <v>39333.283498426637</v>
      </c>
      <c r="BY302" s="150">
        <f t="shared" si="854"/>
        <v>42.953485898629133</v>
      </c>
      <c r="BZ302" s="5">
        <f t="shared" si="855"/>
        <v>73.099999999999994</v>
      </c>
      <c r="CA302" s="150">
        <f t="shared" si="856"/>
        <v>0.62988198444854704</v>
      </c>
      <c r="CB302" s="5">
        <f t="shared" si="857"/>
        <v>62.988198444854703</v>
      </c>
      <c r="CE302" s="59">
        <f t="shared" si="799"/>
        <v>-50</v>
      </c>
      <c r="CF302">
        <f t="shared" si="800"/>
        <v>-50</v>
      </c>
      <c r="CG302" s="150">
        <f t="shared" si="801"/>
        <v>0.64506633333794705</v>
      </c>
      <c r="CI302" s="147">
        <v>86</v>
      </c>
      <c r="CJ302" s="188">
        <f t="shared" si="858"/>
        <v>0.43</v>
      </c>
      <c r="CK302" s="188"/>
      <c r="CL302" s="188">
        <f t="shared" si="802"/>
        <v>73.099999999999994</v>
      </c>
      <c r="CM302" s="465">
        <f t="shared" si="803"/>
        <v>16</v>
      </c>
      <c r="CN302" s="379">
        <f t="shared" si="804"/>
        <v>8.5350000000000001</v>
      </c>
      <c r="CO302" s="379">
        <f t="shared" si="805"/>
        <v>24.535</v>
      </c>
      <c r="CP302" s="379"/>
      <c r="CQ302" s="188">
        <f t="shared" si="806"/>
        <v>0.34787038923986141</v>
      </c>
      <c r="CR302" s="149">
        <f t="shared" si="807"/>
        <v>186.42142245771345</v>
      </c>
      <c r="CS302" s="149">
        <f t="shared" si="808"/>
        <v>73.099999999999994</v>
      </c>
      <c r="CT302" s="188">
        <f t="shared" si="809"/>
        <v>1.0965966026924321</v>
      </c>
      <c r="CU302" s="188">
        <f t="shared" si="810"/>
        <v>170</v>
      </c>
      <c r="CV302" s="188"/>
      <c r="CW302" s="149">
        <f t="shared" si="811"/>
        <v>920.55322456519434</v>
      </c>
      <c r="CX302" s="149">
        <f t="shared" si="812"/>
        <v>170</v>
      </c>
      <c r="CY302" s="188">
        <f t="shared" si="813"/>
        <v>26.266966900995897</v>
      </c>
      <c r="CZ302" s="188">
        <f t="shared" si="814"/>
        <v>2.4625281469683653</v>
      </c>
      <c r="DA302" s="188">
        <f t="shared" si="815"/>
        <v>4.6163386469237073</v>
      </c>
      <c r="DB302" s="172">
        <f t="shared" si="816"/>
        <v>278.29631139188916</v>
      </c>
      <c r="DC302" s="379">
        <f t="shared" si="817"/>
        <v>141.26554844383278</v>
      </c>
      <c r="DE302" s="188">
        <f t="shared" si="818"/>
        <v>13.333333333333332</v>
      </c>
      <c r="DF302" s="150">
        <f t="shared" si="819"/>
        <v>2.3432923257176332</v>
      </c>
      <c r="DG302" s="150">
        <f t="shared" si="820"/>
        <v>0.21737653692004619</v>
      </c>
      <c r="DH302" s="150"/>
      <c r="DI302" s="150">
        <f t="shared" si="821"/>
        <v>2.3432923257176337</v>
      </c>
      <c r="DJ302" s="314">
        <f t="shared" si="822"/>
        <v>550.50749999999994</v>
      </c>
      <c r="DK302" s="456">
        <f t="shared" si="823"/>
        <v>0.21737653692004627</v>
      </c>
      <c r="DM302" s="150">
        <f t="shared" si="824"/>
        <v>16.721927435043401</v>
      </c>
      <c r="DN302" s="150">
        <f t="shared" si="825"/>
        <v>26.266966900995897</v>
      </c>
      <c r="DO302" s="150">
        <f t="shared" si="826"/>
        <v>10.780469309379676</v>
      </c>
      <c r="DQ302" s="314">
        <f t="shared" si="827"/>
        <v>430</v>
      </c>
      <c r="DR302" s="144">
        <f t="shared" si="828"/>
        <v>141.26554844383278</v>
      </c>
      <c r="DT302">
        <f t="shared" si="829"/>
        <v>430</v>
      </c>
      <c r="DU302">
        <f t="shared" si="830"/>
        <v>141.26554844383278</v>
      </c>
      <c r="DW302" s="5">
        <f t="shared" si="859"/>
        <v>7.0788667938920735</v>
      </c>
      <c r="DX302" s="5">
        <f t="shared" si="831"/>
        <v>2.4625281469683653</v>
      </c>
      <c r="DY302" s="5">
        <f t="shared" si="832"/>
        <v>4.6163386469237082</v>
      </c>
      <c r="DZ302" s="5"/>
      <c r="EA302" s="150">
        <f t="shared" si="833"/>
        <v>0.34787038923986141</v>
      </c>
      <c r="EB302" s="150">
        <f t="shared" si="860"/>
        <v>73.099999999999994</v>
      </c>
      <c r="EC302" s="150">
        <f t="shared" si="861"/>
        <v>0.4282366725248975</v>
      </c>
      <c r="ED302" s="150">
        <f t="shared" si="862"/>
        <v>170.7</v>
      </c>
      <c r="EE302" s="144">
        <f t="shared" si="834"/>
        <v>0.62287476658611596</v>
      </c>
      <c r="EF302" s="5">
        <f t="shared" si="835"/>
        <v>35.151495321887815</v>
      </c>
      <c r="EH302" s="150">
        <f t="shared" si="863"/>
        <v>8.9445404215430013</v>
      </c>
      <c r="EI302" s="150">
        <f t="shared" si="864"/>
        <v>0.61233102439241971</v>
      </c>
      <c r="EK302" s="456">
        <f t="shared" si="865"/>
        <v>0.27201633139889658</v>
      </c>
      <c r="EL302" s="456">
        <f t="shared" si="866"/>
        <v>2.7676159999999994</v>
      </c>
      <c r="EM302" s="456">
        <f t="shared" si="867"/>
        <v>3.2349810593637708E-2</v>
      </c>
      <c r="EN302" s="456">
        <f t="shared" si="868"/>
        <v>5.825040590971272E-2</v>
      </c>
      <c r="EO302">
        <f t="shared" si="869"/>
        <v>7.1999999999999998E-3</v>
      </c>
      <c r="EP302" s="144">
        <f t="shared" si="870"/>
        <v>39.549810593637709</v>
      </c>
      <c r="EQ302" s="144"/>
      <c r="ER302" s="144">
        <f t="shared" si="871"/>
        <v>3137.4325479022464</v>
      </c>
      <c r="ES302" s="456">
        <f t="shared" si="872"/>
        <v>1.075</v>
      </c>
      <c r="EV302" s="144">
        <f t="shared" si="873"/>
        <v>1075</v>
      </c>
      <c r="EW302" s="456">
        <f t="shared" si="874"/>
        <v>0.12000720502892498</v>
      </c>
      <c r="EX302" s="456">
        <f t="shared" si="875"/>
        <v>7.4989856686694029E-2</v>
      </c>
      <c r="EY302" s="456">
        <f t="shared" si="876"/>
        <v>41.935852026837857</v>
      </c>
      <c r="EZ302" s="456"/>
      <c r="FA302" s="456">
        <f t="shared" si="877"/>
        <v>9.746666666666666E-2</v>
      </c>
      <c r="FB302" s="144">
        <f t="shared" si="878"/>
        <v>42228.315755220145</v>
      </c>
      <c r="FC302" s="150">
        <f t="shared" si="879"/>
        <v>46.44074830312239</v>
      </c>
      <c r="FD302" s="5">
        <f t="shared" si="880"/>
        <v>73.099999999999994</v>
      </c>
      <c r="FE302" s="150">
        <f t="shared" si="881"/>
        <v>0.61150696342169908</v>
      </c>
      <c r="FF302" s="5">
        <f t="shared" si="882"/>
        <v>61.150696342169908</v>
      </c>
      <c r="FI302" s="59">
        <f t="shared" si="836"/>
        <v>-50</v>
      </c>
      <c r="FJ302">
        <f t="shared" si="837"/>
        <v>-50</v>
      </c>
      <c r="FL302">
        <f t="shared" si="838"/>
        <v>0.65212961076013864</v>
      </c>
    </row>
    <row r="303" spans="5:168">
      <c r="E303" s="147">
        <v>87</v>
      </c>
      <c r="F303" s="188">
        <f t="shared" si="839"/>
        <v>0.435</v>
      </c>
      <c r="G303" s="188"/>
      <c r="H303" s="188">
        <f t="shared" si="764"/>
        <v>73.95</v>
      </c>
      <c r="I303" s="465">
        <f t="shared" si="765"/>
        <v>15.93392208967761</v>
      </c>
      <c r="J303" s="149">
        <f t="shared" si="766"/>
        <v>8.5417426439104478</v>
      </c>
      <c r="K303" s="149">
        <f t="shared" si="767"/>
        <v>24.475664733588058</v>
      </c>
      <c r="L303" s="379"/>
      <c r="M303" s="188">
        <f t="shared" si="768"/>
        <v>0.34898727939629787</v>
      </c>
      <c r="N303" s="149">
        <f t="shared" si="769"/>
        <v>186.24758845220234</v>
      </c>
      <c r="O303" s="149">
        <f t="shared" si="762"/>
        <v>73.95</v>
      </c>
      <c r="P303" s="188">
        <f t="shared" si="770"/>
        <v>1.0955740497188373</v>
      </c>
      <c r="Q303" s="188">
        <f t="shared" si="771"/>
        <v>170</v>
      </c>
      <c r="R303" s="188"/>
      <c r="S303" s="149">
        <f t="shared" si="772"/>
        <v>902.55872344115596</v>
      </c>
      <c r="T303" s="149">
        <f t="shared" si="773"/>
        <v>170</v>
      </c>
      <c r="U303" s="188">
        <f t="shared" si="774"/>
        <v>26.727588339386823</v>
      </c>
      <c r="V303" s="188">
        <f t="shared" si="775"/>
        <v>2.5161025818654172</v>
      </c>
      <c r="W303" s="188">
        <f t="shared" si="776"/>
        <v>4.6935835204145446</v>
      </c>
      <c r="X303" s="172">
        <f t="shared" si="777"/>
        <v>278.03833579108175</v>
      </c>
      <c r="Y303" s="379">
        <f t="shared" si="840"/>
        <v>134.95848355739383</v>
      </c>
      <c r="AA303" s="188">
        <f t="shared" si="778"/>
        <v>13.333333333333334</v>
      </c>
      <c r="AB303" s="150">
        <f t="shared" si="779"/>
        <v>2.341442587743888</v>
      </c>
      <c r="AC303" s="150">
        <f t="shared" si="780"/>
        <v>0.2170036001488915</v>
      </c>
      <c r="AD303" s="150"/>
      <c r="AE303" s="150">
        <f t="shared" si="781"/>
        <v>2.341442587743888</v>
      </c>
      <c r="AF303" s="314">
        <f t="shared" si="782"/>
        <v>557.34870751515655</v>
      </c>
      <c r="AG303" s="456">
        <f t="shared" si="783"/>
        <v>0.21700360014889156</v>
      </c>
      <c r="AI303" s="150">
        <f t="shared" si="784"/>
        <v>16.82550909179793</v>
      </c>
      <c r="AJ303" s="150">
        <f t="shared" si="785"/>
        <v>26.727588339386823</v>
      </c>
      <c r="AK303" s="150">
        <f t="shared" si="786"/>
        <v>11.121670374854435</v>
      </c>
      <c r="AM303" s="314">
        <f t="shared" si="787"/>
        <v>435</v>
      </c>
      <c r="AN303" s="144">
        <f t="shared" si="788"/>
        <v>134.95848355739383</v>
      </c>
      <c r="AP303">
        <f t="shared" si="789"/>
        <v>435</v>
      </c>
      <c r="AQ303">
        <f t="shared" si="790"/>
        <v>134.95848355739383</v>
      </c>
      <c r="AS303" s="5">
        <f t="shared" si="763"/>
        <v>7.4096861022799629</v>
      </c>
      <c r="AT303" s="5">
        <f t="shared" si="791"/>
        <v>2.5161025818654172</v>
      </c>
      <c r="AU303" s="5">
        <f t="shared" si="883"/>
        <v>4.8935835204145457</v>
      </c>
      <c r="AV303" s="5"/>
      <c r="AW303" s="150">
        <f t="shared" si="884"/>
        <v>0.33956938892340011</v>
      </c>
      <c r="AX303" s="150">
        <f t="shared" si="792"/>
        <v>72.307109428689202</v>
      </c>
      <c r="AY303" s="150">
        <f t="shared" si="793"/>
        <v>0.44129293748962611</v>
      </c>
      <c r="AZ303" s="150">
        <f t="shared" si="794"/>
        <v>163.85285891956744</v>
      </c>
      <c r="BA303" s="144">
        <f t="shared" si="724"/>
        <v>0.64382624888909212</v>
      </c>
      <c r="BB303" s="5">
        <f t="shared" si="725"/>
        <v>37.852210240303478</v>
      </c>
      <c r="BD303" s="150">
        <f t="shared" si="841"/>
        <v>8.9921473080250571</v>
      </c>
      <c r="BE303" s="150">
        <f t="shared" si="842"/>
        <v>0.62702195523233717</v>
      </c>
      <c r="BG303" s="456">
        <f t="shared" si="843"/>
        <v>0.27491962491135574</v>
      </c>
      <c r="BH303" s="456">
        <f t="shared" si="795"/>
        <v>2.1144624483599976</v>
      </c>
      <c r="BI303" s="456">
        <f t="shared" si="796"/>
        <v>9.8489142675380392E-2</v>
      </c>
      <c r="BJ303" s="456">
        <f t="shared" si="844"/>
        <v>5.5380867256599832E-2</v>
      </c>
      <c r="BK303">
        <f t="shared" si="845"/>
        <v>7.1702649403549241E-3</v>
      </c>
      <c r="BL303" s="144">
        <f t="shared" si="846"/>
        <v>105.65940761573532</v>
      </c>
      <c r="BM303" s="456">
        <f t="shared" si="797"/>
        <v>2.6950332440437079</v>
      </c>
      <c r="BN303" s="144">
        <f t="shared" si="847"/>
        <v>2695.0332440437078</v>
      </c>
      <c r="BO303" s="456">
        <f t="shared" si="798"/>
        <v>1.0874999999999999</v>
      </c>
      <c r="BR303" s="144">
        <f t="shared" si="848"/>
        <v>1087.5</v>
      </c>
      <c r="BS303" s="456">
        <f t="shared" si="849"/>
        <v>0.12128806981383343</v>
      </c>
      <c r="BT303" s="456">
        <f t="shared" si="850"/>
        <v>7.8631306468676609E-2</v>
      </c>
      <c r="BU303" s="456">
        <f t="shared" si="851"/>
        <v>39.072384201320745</v>
      </c>
      <c r="BV303" s="456"/>
      <c r="BW303" s="456">
        <f t="shared" si="852"/>
        <v>9.6409479238252271E-2</v>
      </c>
      <c r="BX303" s="144">
        <f t="shared" si="853"/>
        <v>39368.713056841509</v>
      </c>
      <c r="BY303" s="150">
        <f t="shared" si="854"/>
        <v>43.006635404985197</v>
      </c>
      <c r="BZ303" s="5">
        <f t="shared" si="855"/>
        <v>73.95</v>
      </c>
      <c r="CA303" s="150">
        <f t="shared" si="856"/>
        <v>0.63228563085740008</v>
      </c>
      <c r="CB303" s="5">
        <f t="shared" si="857"/>
        <v>63.228563085740006</v>
      </c>
      <c r="CE303" s="59">
        <f t="shared" si="799"/>
        <v>-50</v>
      </c>
      <c r="CF303">
        <f t="shared" si="800"/>
        <v>-50</v>
      </c>
      <c r="CG303" s="150">
        <f t="shared" si="801"/>
        <v>0.64514752043475376</v>
      </c>
      <c r="CI303" s="147">
        <v>87</v>
      </c>
      <c r="CJ303" s="188">
        <f t="shared" si="858"/>
        <v>0.435</v>
      </c>
      <c r="CK303" s="188"/>
      <c r="CL303" s="188">
        <f t="shared" si="802"/>
        <v>73.95</v>
      </c>
      <c r="CM303" s="465">
        <f t="shared" si="803"/>
        <v>16</v>
      </c>
      <c r="CN303" s="379">
        <f t="shared" si="804"/>
        <v>8.5350000000000001</v>
      </c>
      <c r="CO303" s="379">
        <f t="shared" si="805"/>
        <v>24.535</v>
      </c>
      <c r="CP303" s="379"/>
      <c r="CQ303" s="188">
        <f t="shared" si="806"/>
        <v>0.34787038923986141</v>
      </c>
      <c r="CR303" s="149">
        <f t="shared" si="807"/>
        <v>186.42142245771345</v>
      </c>
      <c r="CS303" s="149">
        <f t="shared" si="808"/>
        <v>73.95</v>
      </c>
      <c r="CT303" s="188">
        <f t="shared" si="809"/>
        <v>1.0965966026924321</v>
      </c>
      <c r="CU303" s="188">
        <f t="shared" si="810"/>
        <v>170</v>
      </c>
      <c r="CV303" s="188"/>
      <c r="CW303" s="149">
        <f t="shared" si="811"/>
        <v>906.30060770773105</v>
      </c>
      <c r="CX303" s="149">
        <f t="shared" si="812"/>
        <v>170</v>
      </c>
      <c r="CY303" s="188">
        <f t="shared" si="813"/>
        <v>26.5723967486819</v>
      </c>
      <c r="CZ303" s="188">
        <f t="shared" si="814"/>
        <v>2.4911621951889282</v>
      </c>
      <c r="DA303" s="188">
        <f t="shared" si="815"/>
        <v>4.6700170032832871</v>
      </c>
      <c r="DB303" s="172">
        <f t="shared" si="816"/>
        <v>278.29631139188916</v>
      </c>
      <c r="DC303" s="379">
        <f t="shared" si="817"/>
        <v>139.64180650769674</v>
      </c>
      <c r="DE303" s="188">
        <f t="shared" si="818"/>
        <v>13.333333333333332</v>
      </c>
      <c r="DF303" s="150">
        <f t="shared" si="819"/>
        <v>2.3432923257176332</v>
      </c>
      <c r="DG303" s="150">
        <f t="shared" si="820"/>
        <v>0.21737653692004619</v>
      </c>
      <c r="DH303" s="150"/>
      <c r="DI303" s="150">
        <f t="shared" si="821"/>
        <v>2.3432923257176337</v>
      </c>
      <c r="DJ303" s="314">
        <f t="shared" si="822"/>
        <v>556.90874999999983</v>
      </c>
      <c r="DK303" s="456">
        <f t="shared" si="823"/>
        <v>0.21737653692004627</v>
      </c>
      <c r="DM303" s="150">
        <f t="shared" si="824"/>
        <v>16.818866956911386</v>
      </c>
      <c r="DN303" s="150">
        <f t="shared" si="825"/>
        <v>26.5723967486819</v>
      </c>
      <c r="DO303" s="150">
        <f t="shared" si="826"/>
        <v>11.006713640998937</v>
      </c>
      <c r="DQ303" s="314">
        <f t="shared" si="827"/>
        <v>435</v>
      </c>
      <c r="DR303" s="144">
        <f t="shared" si="828"/>
        <v>139.64180650769674</v>
      </c>
      <c r="DT303">
        <f t="shared" si="829"/>
        <v>435</v>
      </c>
      <c r="DU303">
        <f t="shared" si="830"/>
        <v>139.64180650769674</v>
      </c>
      <c r="DW303" s="5">
        <f t="shared" si="859"/>
        <v>7.1611791984722153</v>
      </c>
      <c r="DX303" s="5">
        <f t="shared" si="831"/>
        <v>2.4911621951889282</v>
      </c>
      <c r="DY303" s="5">
        <f t="shared" si="832"/>
        <v>4.6700170032832871</v>
      </c>
      <c r="DZ303" s="5"/>
      <c r="EA303" s="150">
        <f t="shared" si="833"/>
        <v>0.34787038923986141</v>
      </c>
      <c r="EB303" s="150">
        <f t="shared" si="860"/>
        <v>73.949999999999989</v>
      </c>
      <c r="EC303" s="150">
        <f t="shared" si="861"/>
        <v>0.4332161687170476</v>
      </c>
      <c r="ED303" s="150">
        <f t="shared" si="862"/>
        <v>170.6999999999999</v>
      </c>
      <c r="EE303" s="144">
        <f t="shared" si="834"/>
        <v>0.63744444406304923</v>
      </c>
      <c r="EF303" s="5">
        <f t="shared" si="835"/>
        <v>35.97372472841657</v>
      </c>
      <c r="EH303" s="150">
        <f t="shared" si="863"/>
        <v>9.0485467055144326</v>
      </c>
      <c r="EI303" s="150">
        <f t="shared" si="864"/>
        <v>0.61945115258302941</v>
      </c>
      <c r="EK303" s="456">
        <f t="shared" si="865"/>
        <v>0.2783790714383787</v>
      </c>
      <c r="EL303" s="456">
        <f t="shared" si="866"/>
        <v>2.7676159999999994</v>
      </c>
      <c r="EM303" s="456">
        <f t="shared" si="867"/>
        <v>3.1977973690262555E-2</v>
      </c>
      <c r="EN303" s="456">
        <f t="shared" si="868"/>
        <v>5.7580861014198771E-2</v>
      </c>
      <c r="EO303">
        <f t="shared" si="869"/>
        <v>7.1999999999999998E-3</v>
      </c>
      <c r="EP303" s="144">
        <f t="shared" si="870"/>
        <v>39.177973690262554</v>
      </c>
      <c r="EQ303" s="144"/>
      <c r="ER303" s="144">
        <f t="shared" si="871"/>
        <v>3142.7539061428397</v>
      </c>
      <c r="ES303" s="456">
        <f t="shared" si="872"/>
        <v>1.0874999999999999</v>
      </c>
      <c r="EV303" s="144">
        <f t="shared" si="873"/>
        <v>1087.5</v>
      </c>
      <c r="EW303" s="456">
        <f t="shared" si="874"/>
        <v>0.12281429622281413</v>
      </c>
      <c r="EX303" s="456">
        <f t="shared" si="875"/>
        <v>7.6743946087288725E-2</v>
      </c>
      <c r="EY303" s="456">
        <f t="shared" si="876"/>
        <v>41.935852026837779</v>
      </c>
      <c r="EZ303" s="456"/>
      <c r="FA303" s="456">
        <f t="shared" si="877"/>
        <v>9.8599999999999979E-2</v>
      </c>
      <c r="FB303" s="144">
        <f t="shared" si="878"/>
        <v>42234.010269147882</v>
      </c>
      <c r="FC303" s="150">
        <f t="shared" si="879"/>
        <v>46.464264175290722</v>
      </c>
      <c r="FD303" s="5">
        <f t="shared" si="880"/>
        <v>73.95</v>
      </c>
      <c r="FE303" s="150">
        <f t="shared" si="881"/>
        <v>0.61412989986260036</v>
      </c>
      <c r="FF303" s="5">
        <f t="shared" si="882"/>
        <v>61.412989986260037</v>
      </c>
      <c r="FI303" s="59">
        <f t="shared" si="836"/>
        <v>-50</v>
      </c>
      <c r="FJ303">
        <f t="shared" si="837"/>
        <v>-50</v>
      </c>
      <c r="FL303">
        <f t="shared" si="838"/>
        <v>0.65212961076013864</v>
      </c>
    </row>
    <row r="304" spans="5:168">
      <c r="E304" s="147">
        <v>88</v>
      </c>
      <c r="F304" s="188">
        <f t="shared" si="839"/>
        <v>0.44</v>
      </c>
      <c r="G304" s="188"/>
      <c r="H304" s="188">
        <f t="shared" si="764"/>
        <v>74.8</v>
      </c>
      <c r="I304" s="465">
        <f t="shared" si="765"/>
        <v>15.933170792298391</v>
      </c>
      <c r="J304" s="149">
        <f t="shared" si="766"/>
        <v>8.5418193069083284</v>
      </c>
      <c r="K304" s="149">
        <f t="shared" si="767"/>
        <v>24.474990099206721</v>
      </c>
      <c r="L304" s="379"/>
      <c r="M304" s="188">
        <f t="shared" si="768"/>
        <v>0.34900003153689269</v>
      </c>
      <c r="N304" s="149">
        <f t="shared" si="769"/>
        <v>186.24561197060035</v>
      </c>
      <c r="O304" s="149">
        <f t="shared" si="762"/>
        <v>74.8</v>
      </c>
      <c r="P304" s="188">
        <f t="shared" si="770"/>
        <v>1.0955624233564727</v>
      </c>
      <c r="Q304" s="188">
        <f t="shared" si="771"/>
        <v>170</v>
      </c>
      <c r="R304" s="188"/>
      <c r="S304" s="149">
        <f t="shared" si="772"/>
        <v>888.64579602408503</v>
      </c>
      <c r="T304" s="149">
        <f t="shared" si="773"/>
        <v>170</v>
      </c>
      <c r="U304" s="188">
        <f t="shared" si="774"/>
        <v>27.035331570830039</v>
      </c>
      <c r="V304" s="188">
        <f t="shared" si="775"/>
        <v>2.5451931624210755</v>
      </c>
      <c r="W304" s="188">
        <f t="shared" si="776"/>
        <v>4.7475831434934701</v>
      </c>
      <c r="X304" s="172">
        <f t="shared" si="777"/>
        <v>278.03538498332927</v>
      </c>
      <c r="Y304" s="379">
        <f t="shared" si="840"/>
        <v>133.46187837085617</v>
      </c>
      <c r="AA304" s="188">
        <f t="shared" si="778"/>
        <v>13.333333333333334</v>
      </c>
      <c r="AB304" s="150">
        <f t="shared" si="779"/>
        <v>2.3414215732501731</v>
      </c>
      <c r="AC304" s="150">
        <f t="shared" si="780"/>
        <v>0.21699934950896149</v>
      </c>
      <c r="AD304" s="150"/>
      <c r="AE304" s="150">
        <f t="shared" si="781"/>
        <v>2.3414215732501731</v>
      </c>
      <c r="AF304" s="314">
        <f t="shared" si="782"/>
        <v>563.76007425594958</v>
      </c>
      <c r="AG304" s="456">
        <f t="shared" si="783"/>
        <v>0.21699934950896146</v>
      </c>
      <c r="AI304" s="150">
        <f t="shared" si="784"/>
        <v>16.922007074563982</v>
      </c>
      <c r="AJ304" s="150">
        <f t="shared" si="785"/>
        <v>27.035331570830039</v>
      </c>
      <c r="AK304" s="150">
        <f t="shared" si="786"/>
        <v>11.349628324071633</v>
      </c>
      <c r="AM304" s="314">
        <f t="shared" si="787"/>
        <v>440</v>
      </c>
      <c r="AN304" s="144">
        <f t="shared" si="788"/>
        <v>133.46187837085617</v>
      </c>
      <c r="AP304">
        <f t="shared" si="789"/>
        <v>440</v>
      </c>
      <c r="AQ304">
        <f t="shared" si="790"/>
        <v>133.46187837085617</v>
      </c>
      <c r="AS304" s="5">
        <f t="shared" si="763"/>
        <v>7.4927763059145454</v>
      </c>
      <c r="AT304" s="5">
        <f t="shared" si="791"/>
        <v>2.5451931624210755</v>
      </c>
      <c r="AU304" s="5">
        <f t="shared" si="883"/>
        <v>4.9475831434934694</v>
      </c>
      <c r="AV304" s="5"/>
      <c r="AW304" s="150">
        <f t="shared" si="884"/>
        <v>0.33968626027337634</v>
      </c>
      <c r="AX304" s="150">
        <f t="shared" si="792"/>
        <v>73.161381372859537</v>
      </c>
      <c r="AY304" s="150">
        <f t="shared" si="793"/>
        <v>0.446295022357101</v>
      </c>
      <c r="AZ304" s="150">
        <f t="shared" si="794"/>
        <v>163.93053408137675</v>
      </c>
      <c r="BA304" s="144">
        <f t="shared" si="724"/>
        <v>0.65875587733251373</v>
      </c>
      <c r="BB304" s="5">
        <f t="shared" si="725"/>
        <v>38.71161030004528</v>
      </c>
      <c r="BD304" s="150">
        <f t="shared" si="841"/>
        <v>9.0972486102724162</v>
      </c>
      <c r="BE304" s="150">
        <f t="shared" si="842"/>
        <v>0.63418540684974323</v>
      </c>
      <c r="BG304" s="456">
        <f t="shared" si="843"/>
        <v>0.28138376974215157</v>
      </c>
      <c r="BH304" s="456">
        <f t="shared" si="795"/>
        <v>2.1150321616381862</v>
      </c>
      <c r="BI304" s="456">
        <f t="shared" si="796"/>
        <v>9.739236732734631E-2</v>
      </c>
      <c r="BJ304" s="456">
        <f t="shared" si="844"/>
        <v>5.476370898996951E-2</v>
      </c>
      <c r="BK304">
        <f t="shared" si="845"/>
        <v>7.1699268565342759E-3</v>
      </c>
      <c r="BL304" s="144">
        <f t="shared" si="846"/>
        <v>104.5622941838806</v>
      </c>
      <c r="BM304" s="456">
        <f t="shared" si="797"/>
        <v>2.7082158601505948</v>
      </c>
      <c r="BN304" s="144">
        <f t="shared" si="847"/>
        <v>2708.2158601505948</v>
      </c>
      <c r="BO304" s="456">
        <f t="shared" si="798"/>
        <v>1.1000000000000001</v>
      </c>
      <c r="BR304" s="144">
        <f t="shared" si="848"/>
        <v>1100</v>
      </c>
      <c r="BS304" s="456">
        <f t="shared" si="849"/>
        <v>0.12413989841565511</v>
      </c>
      <c r="BT304" s="456">
        <f t="shared" si="850"/>
        <v>8.0438226052234885E-2</v>
      </c>
      <c r="BU304" s="456">
        <f t="shared" si="851"/>
        <v>39.101402702935232</v>
      </c>
      <c r="BV304" s="456"/>
      <c r="BW304" s="456">
        <f t="shared" si="852"/>
        <v>9.7548508497146039E-2</v>
      </c>
      <c r="BX304" s="144">
        <f t="shared" si="853"/>
        <v>39403.529335900275</v>
      </c>
      <c r="BY304" s="150">
        <f t="shared" si="854"/>
        <v>43.05927127045446</v>
      </c>
      <c r="BZ304" s="5">
        <f t="shared" si="855"/>
        <v>74.8</v>
      </c>
      <c r="CA304" s="150">
        <f t="shared" si="856"/>
        <v>0.63465520526047259</v>
      </c>
      <c r="CB304" s="5">
        <f t="shared" si="857"/>
        <v>63.465520526047257</v>
      </c>
      <c r="CE304" s="59">
        <f t="shared" si="799"/>
        <v>-50</v>
      </c>
      <c r="CF304">
        <f t="shared" si="800"/>
        <v>-50</v>
      </c>
      <c r="CG304" s="150">
        <f t="shared" si="801"/>
        <v>0.64522686237026938</v>
      </c>
      <c r="CI304" s="147">
        <v>88</v>
      </c>
      <c r="CJ304" s="188">
        <f t="shared" si="858"/>
        <v>0.44</v>
      </c>
      <c r="CK304" s="188"/>
      <c r="CL304" s="188">
        <f t="shared" si="802"/>
        <v>74.8</v>
      </c>
      <c r="CM304" s="465">
        <f t="shared" si="803"/>
        <v>16</v>
      </c>
      <c r="CN304" s="379">
        <f t="shared" si="804"/>
        <v>8.5350000000000001</v>
      </c>
      <c r="CO304" s="379">
        <f t="shared" si="805"/>
        <v>24.535</v>
      </c>
      <c r="CP304" s="379"/>
      <c r="CQ304" s="188">
        <f t="shared" si="806"/>
        <v>0.34787038923986141</v>
      </c>
      <c r="CR304" s="149">
        <f t="shared" si="807"/>
        <v>186.42142245771345</v>
      </c>
      <c r="CS304" s="149">
        <f t="shared" si="808"/>
        <v>74.8</v>
      </c>
      <c r="CT304" s="188">
        <f t="shared" si="809"/>
        <v>1.0965966026924321</v>
      </c>
      <c r="CU304" s="188">
        <f t="shared" si="810"/>
        <v>170</v>
      </c>
      <c r="CV304" s="188"/>
      <c r="CW304" s="149">
        <f t="shared" si="811"/>
        <v>892.37203175505499</v>
      </c>
      <c r="CX304" s="149">
        <f t="shared" si="812"/>
        <v>170</v>
      </c>
      <c r="CY304" s="188">
        <f t="shared" si="813"/>
        <v>26.877826596367896</v>
      </c>
      <c r="CZ304" s="188">
        <f t="shared" si="814"/>
        <v>2.5197962434094903</v>
      </c>
      <c r="DA304" s="188">
        <f t="shared" si="815"/>
        <v>4.7236953596428641</v>
      </c>
      <c r="DB304" s="172">
        <f t="shared" si="816"/>
        <v>278.29631139188916</v>
      </c>
      <c r="DC304" s="379">
        <f t="shared" si="817"/>
        <v>138.05496779738206</v>
      </c>
      <c r="DE304" s="188">
        <f t="shared" si="818"/>
        <v>13.333333333333332</v>
      </c>
      <c r="DF304" s="150">
        <f t="shared" si="819"/>
        <v>2.3432923257176332</v>
      </c>
      <c r="DG304" s="150">
        <f t="shared" si="820"/>
        <v>0.21737653692004619</v>
      </c>
      <c r="DH304" s="150"/>
      <c r="DI304" s="150">
        <f t="shared" si="821"/>
        <v>2.3432923257176337</v>
      </c>
      <c r="DJ304" s="314">
        <f t="shared" si="822"/>
        <v>563.30999999999983</v>
      </c>
      <c r="DK304" s="456">
        <f t="shared" si="823"/>
        <v>0.21737653692004627</v>
      </c>
      <c r="DM304" s="150">
        <f t="shared" si="824"/>
        <v>16.91525093771045</v>
      </c>
      <c r="DN304" s="150">
        <f t="shared" si="825"/>
        <v>26.877826596367896</v>
      </c>
      <c r="DO304" s="150">
        <f t="shared" si="826"/>
        <v>11.232957972618193</v>
      </c>
      <c r="DQ304" s="314">
        <f t="shared" si="827"/>
        <v>440</v>
      </c>
      <c r="DR304" s="144">
        <f t="shared" si="828"/>
        <v>138.05496779738206</v>
      </c>
      <c r="DT304">
        <f t="shared" si="829"/>
        <v>440</v>
      </c>
      <c r="DU304">
        <f t="shared" si="830"/>
        <v>138.05496779738206</v>
      </c>
      <c r="DW304" s="5">
        <f t="shared" si="859"/>
        <v>7.2434916030523535</v>
      </c>
      <c r="DX304" s="5">
        <f t="shared" si="831"/>
        <v>2.5197962434094903</v>
      </c>
      <c r="DY304" s="5">
        <f t="shared" si="832"/>
        <v>4.7236953596428632</v>
      </c>
      <c r="DZ304" s="5"/>
      <c r="EA304" s="150">
        <f t="shared" si="833"/>
        <v>0.34787038923986147</v>
      </c>
      <c r="EB304" s="150">
        <f t="shared" si="860"/>
        <v>74.800000000000011</v>
      </c>
      <c r="EC304" s="150">
        <f t="shared" si="861"/>
        <v>0.43819566490919742</v>
      </c>
      <c r="ED304" s="150">
        <f t="shared" si="862"/>
        <v>170.70000000000002</v>
      </c>
      <c r="EE304" s="144">
        <f t="shared" si="834"/>
        <v>0.65218255711775042</v>
      </c>
      <c r="EF304" s="5">
        <f t="shared" si="835"/>
        <v>36.8054596772173</v>
      </c>
      <c r="EH304" s="150">
        <f t="shared" si="863"/>
        <v>9.1525529894858639</v>
      </c>
      <c r="EI304" s="150">
        <f t="shared" si="864"/>
        <v>0.62657128077363877</v>
      </c>
      <c r="EK304" s="456">
        <f t="shared" si="865"/>
        <v>0.2848153691661785</v>
      </c>
      <c r="EL304" s="456">
        <f t="shared" si="866"/>
        <v>2.7676160000000007</v>
      </c>
      <c r="EM304" s="456">
        <f t="shared" si="867"/>
        <v>3.1614587625600495E-2</v>
      </c>
      <c r="EN304" s="456">
        <f t="shared" si="868"/>
        <v>5.692653304812835E-2</v>
      </c>
      <c r="EO304">
        <f t="shared" si="869"/>
        <v>7.1999999999999998E-3</v>
      </c>
      <c r="EP304" s="144">
        <f t="shared" si="870"/>
        <v>38.814587625600495</v>
      </c>
      <c r="EQ304" s="144"/>
      <c r="ER304" s="144">
        <f t="shared" si="871"/>
        <v>3148.1724898399084</v>
      </c>
      <c r="ES304" s="456">
        <f t="shared" si="872"/>
        <v>1.1000000000000001</v>
      </c>
      <c r="EV304" s="144">
        <f t="shared" si="873"/>
        <v>1100</v>
      </c>
      <c r="EW304" s="456">
        <f t="shared" si="874"/>
        <v>0.12565383933801993</v>
      </c>
      <c r="EX304" s="456">
        <f t="shared" si="875"/>
        <v>7.8518313978063622E-2</v>
      </c>
      <c r="EY304" s="456">
        <f t="shared" si="876"/>
        <v>41.935852026837786</v>
      </c>
      <c r="EZ304" s="456"/>
      <c r="FA304" s="456">
        <f t="shared" si="877"/>
        <v>9.9733333333333354E-2</v>
      </c>
      <c r="FB304" s="144">
        <f t="shared" si="878"/>
        <v>42239.757513487202</v>
      </c>
      <c r="FC304" s="150">
        <f t="shared" si="879"/>
        <v>46.487930003327108</v>
      </c>
      <c r="FD304" s="5">
        <f t="shared" si="880"/>
        <v>74.8</v>
      </c>
      <c r="FE304" s="150">
        <f t="shared" si="881"/>
        <v>0.6167142929881656</v>
      </c>
      <c r="FF304" s="5">
        <f t="shared" si="882"/>
        <v>61.671429298816562</v>
      </c>
      <c r="FI304" s="59">
        <f t="shared" si="836"/>
        <v>-50</v>
      </c>
      <c r="FJ304">
        <f t="shared" si="837"/>
        <v>-50</v>
      </c>
      <c r="FL304">
        <f t="shared" si="838"/>
        <v>0.65212961076013853</v>
      </c>
    </row>
    <row r="305" spans="5:168">
      <c r="E305" s="147">
        <v>89</v>
      </c>
      <c r="F305" s="188">
        <f t="shared" si="839"/>
        <v>0.44500000000000001</v>
      </c>
      <c r="G305" s="188"/>
      <c r="H305" s="188">
        <f t="shared" si="764"/>
        <v>75.650000000000006</v>
      </c>
      <c r="I305" s="465">
        <f t="shared" si="765"/>
        <v>15.932419492943534</v>
      </c>
      <c r="J305" s="149">
        <f t="shared" si="766"/>
        <v>8.5418959701078023</v>
      </c>
      <c r="K305" s="149">
        <f t="shared" si="767"/>
        <v>24.474315463051337</v>
      </c>
      <c r="L305" s="379"/>
      <c r="M305" s="188">
        <f t="shared" si="768"/>
        <v>0.34901278440867922</v>
      </c>
      <c r="N305" s="149">
        <f t="shared" si="769"/>
        <v>186.24363521431388</v>
      </c>
      <c r="O305" s="149">
        <f t="shared" si="762"/>
        <v>75.650000000000006</v>
      </c>
      <c r="P305" s="188">
        <f t="shared" si="770"/>
        <v>1.095550795378317</v>
      </c>
      <c r="Q305" s="188">
        <f t="shared" si="771"/>
        <v>170</v>
      </c>
      <c r="R305" s="188"/>
      <c r="S305" s="149">
        <f t="shared" si="772"/>
        <v>875.0459741020494</v>
      </c>
      <c r="T305" s="149">
        <f t="shared" si="773"/>
        <v>170</v>
      </c>
      <c r="U305" s="188">
        <f t="shared" si="774"/>
        <v>27.343086889704068</v>
      </c>
      <c r="V305" s="188">
        <f t="shared" si="775"/>
        <v>2.5742876248470279</v>
      </c>
      <c r="W305" s="188">
        <f t="shared" si="776"/>
        <v>4.801583919786192</v>
      </c>
      <c r="X305" s="172">
        <f t="shared" si="777"/>
        <v>278.03243376980225</v>
      </c>
      <c r="Y305" s="379">
        <f t="shared" si="840"/>
        <v>131.99801423618436</v>
      </c>
      <c r="AA305" s="188">
        <f t="shared" si="778"/>
        <v>13.333333333333334</v>
      </c>
      <c r="AB305" s="150">
        <f t="shared" si="779"/>
        <v>2.3414005590784068</v>
      </c>
      <c r="AC305" s="150">
        <f t="shared" si="780"/>
        <v>0.21699509862351504</v>
      </c>
      <c r="AD305" s="150"/>
      <c r="AE305" s="150">
        <f t="shared" si="781"/>
        <v>2.3414005590784068</v>
      </c>
      <c r="AF305" s="314">
        <f t="shared" si="782"/>
        <v>570.17155600469573</v>
      </c>
      <c r="AG305" s="456">
        <f t="shared" si="783"/>
        <v>0.21699509862351507</v>
      </c>
      <c r="AI305" s="150">
        <f t="shared" si="784"/>
        <v>17.017959603952239</v>
      </c>
      <c r="AJ305" s="150">
        <f t="shared" si="785"/>
        <v>27.343086889704068</v>
      </c>
      <c r="AK305" s="150">
        <f t="shared" si="786"/>
        <v>11.577595226941284</v>
      </c>
      <c r="AM305" s="314">
        <f t="shared" si="787"/>
        <v>445</v>
      </c>
      <c r="AN305" s="144">
        <f t="shared" si="788"/>
        <v>131.99801423618436</v>
      </c>
      <c r="AP305">
        <f t="shared" si="789"/>
        <v>445</v>
      </c>
      <c r="AQ305">
        <f t="shared" si="790"/>
        <v>131.99801423618436</v>
      </c>
      <c r="AS305" s="5">
        <f t="shared" si="763"/>
        <v>7.5758715446332214</v>
      </c>
      <c r="AT305" s="5">
        <f t="shared" si="791"/>
        <v>2.5742876248470279</v>
      </c>
      <c r="AU305" s="5">
        <f t="shared" si="883"/>
        <v>5.001583919786194</v>
      </c>
      <c r="AV305" s="5"/>
      <c r="AW305" s="150">
        <f t="shared" si="884"/>
        <v>0.33980085455259124</v>
      </c>
      <c r="AX305" s="150">
        <f t="shared" si="792"/>
        <v>74.015682181234396</v>
      </c>
      <c r="AY305" s="150">
        <f t="shared" si="793"/>
        <v>0.45129706496192179</v>
      </c>
      <c r="AZ305" s="150">
        <f t="shared" si="794"/>
        <v>164.00656668901553</v>
      </c>
      <c r="BA305" s="144">
        <f t="shared" si="724"/>
        <v>0.67385764297466322</v>
      </c>
      <c r="BB305" s="5">
        <f t="shared" si="725"/>
        <v>39.58070353547636</v>
      </c>
      <c r="BD305" s="150">
        <f t="shared" si="841"/>
        <v>9.20235850647388</v>
      </c>
      <c r="BE305" s="150">
        <f t="shared" si="842"/>
        <v>0.64134896534108099</v>
      </c>
      <c r="BG305" s="456">
        <f t="shared" si="843"/>
        <v>0.28792356707768541</v>
      </c>
      <c r="BH305" s="456">
        <f t="shared" si="795"/>
        <v>2.1155875942978537</v>
      </c>
      <c r="BI305" s="456">
        <f t="shared" si="796"/>
        <v>9.6319586265126128E-2</v>
      </c>
      <c r="BJ305" s="456">
        <f t="shared" si="844"/>
        <v>5.4160052475989817E-2</v>
      </c>
      <c r="BK305">
        <f t="shared" si="845"/>
        <v>7.1695887718245905E-3</v>
      </c>
      <c r="BL305" s="144">
        <f t="shared" si="846"/>
        <v>103.48917503695073</v>
      </c>
      <c r="BM305" s="456">
        <f t="shared" si="797"/>
        <v>2.7215967512812682</v>
      </c>
      <c r="BN305" s="144">
        <f t="shared" si="847"/>
        <v>2721.5967512812681</v>
      </c>
      <c r="BO305" s="456">
        <f t="shared" si="798"/>
        <v>1.1125</v>
      </c>
      <c r="BR305" s="144">
        <f t="shared" si="848"/>
        <v>1112.5</v>
      </c>
      <c r="BS305" s="456">
        <f t="shared" si="849"/>
        <v>0.12702510312250828</v>
      </c>
      <c r="BT305" s="456">
        <f t="shared" si="850"/>
        <v>8.2265699068815035E-2</v>
      </c>
      <c r="BU305" s="456">
        <f t="shared" si="851"/>
        <v>39.129775402732058</v>
      </c>
      <c r="BV305" s="456"/>
      <c r="BW305" s="456">
        <f t="shared" si="852"/>
        <v>9.8687576241645869E-2</v>
      </c>
      <c r="BX305" s="144">
        <f t="shared" si="853"/>
        <v>39437.753781165025</v>
      </c>
      <c r="BY305" s="150">
        <f t="shared" si="854"/>
        <v>43.111414170053507</v>
      </c>
      <c r="BZ305" s="5">
        <f t="shared" si="855"/>
        <v>75.650000000000006</v>
      </c>
      <c r="CA305" s="150">
        <f t="shared" si="856"/>
        <v>0.63699140439400104</v>
      </c>
      <c r="CB305" s="5">
        <f t="shared" si="857"/>
        <v>63.699140439400104</v>
      </c>
      <c r="CE305" s="59">
        <f t="shared" si="799"/>
        <v>-50</v>
      </c>
      <c r="CF305">
        <f t="shared" si="800"/>
        <v>-50</v>
      </c>
      <c r="CG305" s="150">
        <f t="shared" si="801"/>
        <v>0.64530442134094224</v>
      </c>
      <c r="CI305" s="147">
        <v>89</v>
      </c>
      <c r="CJ305" s="188">
        <f t="shared" si="858"/>
        <v>0.44500000000000001</v>
      </c>
      <c r="CK305" s="188"/>
      <c r="CL305" s="188">
        <f t="shared" si="802"/>
        <v>75.650000000000006</v>
      </c>
      <c r="CM305" s="465">
        <f t="shared" si="803"/>
        <v>16</v>
      </c>
      <c r="CN305" s="379">
        <f t="shared" si="804"/>
        <v>8.5350000000000001</v>
      </c>
      <c r="CO305" s="379">
        <f t="shared" si="805"/>
        <v>24.535</v>
      </c>
      <c r="CP305" s="379"/>
      <c r="CQ305" s="188">
        <f t="shared" si="806"/>
        <v>0.34787038923986141</v>
      </c>
      <c r="CR305" s="149">
        <f t="shared" si="807"/>
        <v>186.42142245771345</v>
      </c>
      <c r="CS305" s="149">
        <f t="shared" si="808"/>
        <v>75.650000000000006</v>
      </c>
      <c r="CT305" s="188">
        <f t="shared" si="809"/>
        <v>1.0965966026924321</v>
      </c>
      <c r="CU305" s="188">
        <f t="shared" si="810"/>
        <v>170</v>
      </c>
      <c r="CV305" s="188"/>
      <c r="CW305" s="149">
        <f t="shared" si="811"/>
        <v>878.75657539978408</v>
      </c>
      <c r="CX305" s="149">
        <f t="shared" si="812"/>
        <v>170</v>
      </c>
      <c r="CY305" s="188">
        <f t="shared" si="813"/>
        <v>27.1832564440539</v>
      </c>
      <c r="CZ305" s="188">
        <f t="shared" si="814"/>
        <v>2.5484302916300532</v>
      </c>
      <c r="DA305" s="188">
        <f t="shared" si="815"/>
        <v>4.777373716002443</v>
      </c>
      <c r="DB305" s="172">
        <f t="shared" si="816"/>
        <v>278.29631139188916</v>
      </c>
      <c r="DC305" s="379">
        <f t="shared" si="817"/>
        <v>136.50378838392828</v>
      </c>
      <c r="DE305" s="188">
        <f t="shared" si="818"/>
        <v>13.333333333333332</v>
      </c>
      <c r="DF305" s="150">
        <f t="shared" si="819"/>
        <v>2.3432923257176332</v>
      </c>
      <c r="DG305" s="150">
        <f t="shared" si="820"/>
        <v>0.21737653692004619</v>
      </c>
      <c r="DH305" s="150"/>
      <c r="DI305" s="150">
        <f t="shared" si="821"/>
        <v>2.3432923257176337</v>
      </c>
      <c r="DJ305" s="314">
        <f t="shared" si="822"/>
        <v>569.71124999999984</v>
      </c>
      <c r="DK305" s="456">
        <f t="shared" si="823"/>
        <v>0.21737653692004627</v>
      </c>
      <c r="DM305" s="150">
        <f t="shared" si="824"/>
        <v>17.011088820447174</v>
      </c>
      <c r="DN305" s="150">
        <f t="shared" si="825"/>
        <v>27.1832564440539</v>
      </c>
      <c r="DO305" s="150">
        <f t="shared" si="826"/>
        <v>11.459202304237454</v>
      </c>
      <c r="DQ305" s="314">
        <f t="shared" si="827"/>
        <v>445</v>
      </c>
      <c r="DR305" s="144">
        <f t="shared" si="828"/>
        <v>136.50378838392828</v>
      </c>
      <c r="DT305">
        <f t="shared" si="829"/>
        <v>445</v>
      </c>
      <c r="DU305">
        <f t="shared" si="830"/>
        <v>136.50378838392828</v>
      </c>
      <c r="DW305" s="5">
        <f t="shared" si="859"/>
        <v>7.3258040076324962</v>
      </c>
      <c r="DX305" s="5">
        <f t="shared" si="831"/>
        <v>2.5484302916300532</v>
      </c>
      <c r="DY305" s="5">
        <f t="shared" si="832"/>
        <v>4.777373716002443</v>
      </c>
      <c r="DZ305" s="5"/>
      <c r="EA305" s="150">
        <f t="shared" si="833"/>
        <v>0.34787038923986141</v>
      </c>
      <c r="EB305" s="150">
        <f t="shared" si="860"/>
        <v>75.650000000000006</v>
      </c>
      <c r="EC305" s="150">
        <f t="shared" si="861"/>
        <v>0.44317516110134753</v>
      </c>
      <c r="ED305" s="150">
        <f t="shared" si="862"/>
        <v>170.69999999999996</v>
      </c>
      <c r="EE305" s="144">
        <f t="shared" si="834"/>
        <v>0.66708910575021985</v>
      </c>
      <c r="EF305" s="5">
        <f t="shared" si="835"/>
        <v>37.646700168290081</v>
      </c>
      <c r="EH305" s="150">
        <f t="shared" si="863"/>
        <v>9.2565592734572935</v>
      </c>
      <c r="EI305" s="150">
        <f t="shared" si="864"/>
        <v>0.63369140896424847</v>
      </c>
      <c r="EK305" s="456">
        <f t="shared" si="865"/>
        <v>0.29132522458229593</v>
      </c>
      <c r="EL305" s="456">
        <f t="shared" si="866"/>
        <v>2.7676160000000003</v>
      </c>
      <c r="EM305" s="456">
        <f t="shared" si="867"/>
        <v>3.1259367539919571E-2</v>
      </c>
      <c r="EN305" s="456">
        <f t="shared" si="868"/>
        <v>5.6286909081295425E-2</v>
      </c>
      <c r="EO305">
        <f t="shared" si="869"/>
        <v>7.1999999999999998E-3</v>
      </c>
      <c r="EP305" s="144">
        <f t="shared" si="870"/>
        <v>38.459367539919569</v>
      </c>
      <c r="EQ305" s="144"/>
      <c r="ER305" s="144">
        <f t="shared" si="871"/>
        <v>3153.6875012035116</v>
      </c>
      <c r="ES305" s="456">
        <f t="shared" si="872"/>
        <v>1.1125</v>
      </c>
      <c r="EV305" s="144">
        <f t="shared" si="873"/>
        <v>1112.5</v>
      </c>
      <c r="EW305" s="456">
        <f t="shared" si="874"/>
        <v>0.12852583437454232</v>
      </c>
      <c r="EX305" s="456">
        <f t="shared" si="875"/>
        <v>8.0312960359018887E-2</v>
      </c>
      <c r="EY305" s="456">
        <f t="shared" si="876"/>
        <v>41.935852026837857</v>
      </c>
      <c r="EZ305" s="456"/>
      <c r="FA305" s="456">
        <f t="shared" si="877"/>
        <v>0.10086666666666667</v>
      </c>
      <c r="FB305" s="144">
        <f t="shared" si="878"/>
        <v>42245.557488238082</v>
      </c>
      <c r="FC305" s="150">
        <f t="shared" si="879"/>
        <v>46.511744989441603</v>
      </c>
      <c r="FD305" s="5">
        <f t="shared" si="880"/>
        <v>75.650000000000006</v>
      </c>
      <c r="FE305" s="150">
        <f t="shared" si="881"/>
        <v>0.61926096427763377</v>
      </c>
      <c r="FF305" s="5">
        <f t="shared" si="882"/>
        <v>61.926096427763376</v>
      </c>
      <c r="FI305" s="59">
        <f t="shared" si="836"/>
        <v>-50</v>
      </c>
      <c r="FJ305">
        <f t="shared" si="837"/>
        <v>-50</v>
      </c>
      <c r="FL305">
        <f t="shared" si="838"/>
        <v>0.65212961076013864</v>
      </c>
    </row>
    <row r="306" spans="5:168">
      <c r="E306" s="147">
        <v>90</v>
      </c>
      <c r="F306" s="188">
        <f t="shared" si="839"/>
        <v>0.45</v>
      </c>
      <c r="G306" s="188"/>
      <c r="H306" s="188">
        <f t="shared" si="764"/>
        <v>76.5</v>
      </c>
      <c r="I306" s="465">
        <f t="shared" si="765"/>
        <v>15.931668191679583</v>
      </c>
      <c r="J306" s="149">
        <f t="shared" si="766"/>
        <v>8.5419726335020822</v>
      </c>
      <c r="K306" s="149">
        <f t="shared" si="767"/>
        <v>24.473640825181665</v>
      </c>
      <c r="L306" s="379"/>
      <c r="M306" s="188">
        <f t="shared" si="768"/>
        <v>0.3490255380107718</v>
      </c>
      <c r="N306" s="149">
        <f t="shared" si="769"/>
        <v>186.24165818359046</v>
      </c>
      <c r="O306" s="149">
        <f t="shared" si="762"/>
        <v>76.5</v>
      </c>
      <c r="P306" s="188">
        <f t="shared" si="770"/>
        <v>1.0955391657858262</v>
      </c>
      <c r="Q306" s="188">
        <f t="shared" si="771"/>
        <v>170</v>
      </c>
      <c r="R306" s="188"/>
      <c r="S306" s="149">
        <f t="shared" si="772"/>
        <v>861.74882225678084</v>
      </c>
      <c r="T306" s="149">
        <f t="shared" si="773"/>
        <v>170</v>
      </c>
      <c r="U306" s="188">
        <f t="shared" si="774"/>
        <v>27.650854297718752</v>
      </c>
      <c r="V306" s="188">
        <f t="shared" si="775"/>
        <v>2.6033859698533885</v>
      </c>
      <c r="W306" s="188">
        <f t="shared" si="776"/>
        <v>4.8555858495619493</v>
      </c>
      <c r="X306" s="172">
        <f t="shared" si="777"/>
        <v>278.02948215072621</v>
      </c>
      <c r="Y306" s="379">
        <f t="shared" si="840"/>
        <v>130.56582836158509</v>
      </c>
      <c r="AA306" s="188">
        <f t="shared" si="778"/>
        <v>13.333333333333334</v>
      </c>
      <c r="AB306" s="150">
        <f t="shared" si="779"/>
        <v>2.3413795452304438</v>
      </c>
      <c r="AC306" s="150">
        <f t="shared" si="780"/>
        <v>0.2169908474929077</v>
      </c>
      <c r="AD306" s="150"/>
      <c r="AE306" s="150">
        <f t="shared" si="781"/>
        <v>2.3413795452304438</v>
      </c>
      <c r="AF306" s="314">
        <f t="shared" si="782"/>
        <v>576.58315276139047</v>
      </c>
      <c r="AG306" s="456">
        <f t="shared" si="783"/>
        <v>0.21699084749290773</v>
      </c>
      <c r="AI306" s="150">
        <f t="shared" si="784"/>
        <v>17.113375854828959</v>
      </c>
      <c r="AJ306" s="150">
        <f t="shared" si="785"/>
        <v>27.650854297718752</v>
      </c>
      <c r="AK306" s="150">
        <f t="shared" si="786"/>
        <v>11.805571084729937</v>
      </c>
      <c r="AM306" s="314">
        <f t="shared" si="787"/>
        <v>450</v>
      </c>
      <c r="AN306" s="144">
        <f t="shared" si="788"/>
        <v>130.56582836158509</v>
      </c>
      <c r="AP306">
        <f t="shared" si="789"/>
        <v>450</v>
      </c>
      <c r="AQ306">
        <f t="shared" si="790"/>
        <v>130.56582836158509</v>
      </c>
      <c r="AS306" s="5">
        <f t="shared" si="763"/>
        <v>7.6589718194153376</v>
      </c>
      <c r="AT306" s="5">
        <f t="shared" si="791"/>
        <v>2.6033859698533885</v>
      </c>
      <c r="AU306" s="5">
        <f t="shared" si="883"/>
        <v>5.0555858495619486</v>
      </c>
      <c r="AV306" s="5"/>
      <c r="AW306" s="150">
        <f t="shared" si="884"/>
        <v>0.33991324569883624</v>
      </c>
      <c r="AX306" s="150">
        <f t="shared" si="792"/>
        <v>74.870011414799478</v>
      </c>
      <c r="AY306" s="150">
        <f t="shared" si="793"/>
        <v>0.45629906667588888</v>
      </c>
      <c r="AZ306" s="150">
        <f t="shared" si="794"/>
        <v>164.08100932623637</v>
      </c>
      <c r="BA306" s="144">
        <f t="shared" si="724"/>
        <v>0.68913158025530874</v>
      </c>
      <c r="BB306" s="5">
        <f t="shared" si="725"/>
        <v>40.459491627862811</v>
      </c>
      <c r="BD306" s="150">
        <f t="shared" si="841"/>
        <v>9.3074769771417163</v>
      </c>
      <c r="BE306" s="150">
        <f t="shared" si="842"/>
        <v>0.64851263181838026</v>
      </c>
      <c r="BG306" s="456">
        <f t="shared" si="843"/>
        <v>0.29453903411207855</v>
      </c>
      <c r="BH306" s="456">
        <f t="shared" si="795"/>
        <v>2.1161292098357429</v>
      </c>
      <c r="BI306" s="456">
        <f t="shared" si="796"/>
        <v>9.5270020621988097E-2</v>
      </c>
      <c r="BJ306" s="456">
        <f t="shared" si="844"/>
        <v>5.3569459440930438E-2</v>
      </c>
      <c r="BK306">
        <f t="shared" si="845"/>
        <v>7.169250686255812E-3</v>
      </c>
      <c r="BL306" s="144">
        <f t="shared" si="846"/>
        <v>102.43927130824392</v>
      </c>
      <c r="BM306" s="456">
        <f t="shared" si="797"/>
        <v>2.7351777497366854</v>
      </c>
      <c r="BN306" s="144">
        <f t="shared" si="847"/>
        <v>2735.1777497366852</v>
      </c>
      <c r="BO306" s="456">
        <f t="shared" si="798"/>
        <v>1.125</v>
      </c>
      <c r="BR306" s="144">
        <f t="shared" si="848"/>
        <v>1125</v>
      </c>
      <c r="BS306" s="456">
        <f t="shared" si="849"/>
        <v>0.12994369152003465</v>
      </c>
      <c r="BT306" s="456">
        <f t="shared" si="850"/>
        <v>8.4113726725600413E-2</v>
      </c>
      <c r="BU306" s="456">
        <f t="shared" si="851"/>
        <v>39.157522829623538</v>
      </c>
      <c r="BV306" s="456"/>
      <c r="BW306" s="456">
        <f t="shared" si="852"/>
        <v>9.9826681886399288E-2</v>
      </c>
      <c r="BX306" s="144">
        <f t="shared" si="853"/>
        <v>39471.406929755576</v>
      </c>
      <c r="BY306" s="150">
        <f t="shared" si="854"/>
        <v>43.16308390445257</v>
      </c>
      <c r="BZ306" s="5">
        <f t="shared" si="855"/>
        <v>76.5</v>
      </c>
      <c r="CA306" s="150">
        <f t="shared" si="856"/>
        <v>0.63929490619749518</v>
      </c>
      <c r="CB306" s="5">
        <f t="shared" si="857"/>
        <v>63.929490619749515</v>
      </c>
      <c r="CE306" s="59">
        <f t="shared" si="799"/>
        <v>-50</v>
      </c>
      <c r="CF306">
        <f t="shared" si="800"/>
        <v>-50</v>
      </c>
      <c r="CG306" s="150">
        <f t="shared" si="801"/>
        <v>0.64538025677893329</v>
      </c>
      <c r="CI306" s="147">
        <v>90</v>
      </c>
      <c r="CJ306" s="188">
        <f t="shared" si="858"/>
        <v>0.45</v>
      </c>
      <c r="CK306" s="188"/>
      <c r="CL306" s="188">
        <f t="shared" si="802"/>
        <v>76.5</v>
      </c>
      <c r="CM306" s="465">
        <f t="shared" si="803"/>
        <v>16</v>
      </c>
      <c r="CN306" s="379">
        <f t="shared" si="804"/>
        <v>8.5350000000000001</v>
      </c>
      <c r="CO306" s="379">
        <f t="shared" si="805"/>
        <v>24.535</v>
      </c>
      <c r="CP306" s="379"/>
      <c r="CQ306" s="188">
        <f t="shared" si="806"/>
        <v>0.34787038923986141</v>
      </c>
      <c r="CR306" s="149">
        <f t="shared" si="807"/>
        <v>186.42142245771345</v>
      </c>
      <c r="CS306" s="149">
        <f t="shared" si="808"/>
        <v>76.5</v>
      </c>
      <c r="CT306" s="188">
        <f t="shared" si="809"/>
        <v>1.0965966026924321</v>
      </c>
      <c r="CU306" s="188">
        <f t="shared" si="810"/>
        <v>170</v>
      </c>
      <c r="CV306" s="188"/>
      <c r="CW306" s="149">
        <f t="shared" si="811"/>
        <v>865.44380274879211</v>
      </c>
      <c r="CX306" s="149">
        <f t="shared" si="812"/>
        <v>170</v>
      </c>
      <c r="CY306" s="188">
        <f t="shared" si="813"/>
        <v>27.488686291739896</v>
      </c>
      <c r="CZ306" s="188">
        <f t="shared" si="814"/>
        <v>2.5770643398506152</v>
      </c>
      <c r="DA306" s="188">
        <f t="shared" si="815"/>
        <v>4.8310520723620201</v>
      </c>
      <c r="DB306" s="172">
        <f t="shared" si="816"/>
        <v>278.29631139188916</v>
      </c>
      <c r="DC306" s="379">
        <f t="shared" si="817"/>
        <v>134.98707962410688</v>
      </c>
      <c r="DE306" s="188">
        <f t="shared" si="818"/>
        <v>13.333333333333332</v>
      </c>
      <c r="DF306" s="150">
        <f t="shared" si="819"/>
        <v>2.3432923257176332</v>
      </c>
      <c r="DG306" s="150">
        <f t="shared" si="820"/>
        <v>0.21737653692004619</v>
      </c>
      <c r="DH306" s="150"/>
      <c r="DI306" s="150">
        <f t="shared" si="821"/>
        <v>2.3432923257176337</v>
      </c>
      <c r="DJ306" s="314">
        <f t="shared" si="822"/>
        <v>576.11249999999984</v>
      </c>
      <c r="DK306" s="456">
        <f t="shared" si="823"/>
        <v>0.21737653692004627</v>
      </c>
      <c r="DM306" s="150">
        <f t="shared" si="824"/>
        <v>17.106389783603419</v>
      </c>
      <c r="DN306" s="150">
        <f t="shared" si="825"/>
        <v>27.488686291739896</v>
      </c>
      <c r="DO306" s="150">
        <f t="shared" si="826"/>
        <v>11.685446635856712</v>
      </c>
      <c r="DQ306" s="314">
        <f t="shared" si="827"/>
        <v>450</v>
      </c>
      <c r="DR306" s="144">
        <f t="shared" si="828"/>
        <v>134.98707962410688</v>
      </c>
      <c r="DT306">
        <f t="shared" si="829"/>
        <v>450</v>
      </c>
      <c r="DU306">
        <f t="shared" si="830"/>
        <v>134.98707962410688</v>
      </c>
      <c r="DW306" s="5">
        <f t="shared" si="859"/>
        <v>7.4081164122126353</v>
      </c>
      <c r="DX306" s="5">
        <f t="shared" si="831"/>
        <v>2.5770643398506152</v>
      </c>
      <c r="DY306" s="5">
        <f t="shared" si="832"/>
        <v>4.8310520723620201</v>
      </c>
      <c r="DZ306" s="5"/>
      <c r="EA306" s="150">
        <f t="shared" si="833"/>
        <v>0.34787038923986141</v>
      </c>
      <c r="EB306" s="150">
        <f t="shared" si="860"/>
        <v>76.500000000000014</v>
      </c>
      <c r="EC306" s="150">
        <f t="shared" si="861"/>
        <v>0.44815465729349746</v>
      </c>
      <c r="ED306" s="150">
        <f t="shared" si="862"/>
        <v>170.7</v>
      </c>
      <c r="EE306" s="144">
        <f t="shared" si="834"/>
        <v>0.68216408996045708</v>
      </c>
      <c r="EF306" s="5">
        <f t="shared" si="835"/>
        <v>38.497446201634844</v>
      </c>
      <c r="EH306" s="150">
        <f t="shared" si="863"/>
        <v>9.360565557428723</v>
      </c>
      <c r="EI306" s="150">
        <f t="shared" si="864"/>
        <v>0.64081153715485795</v>
      </c>
      <c r="EK306" s="456">
        <f t="shared" si="865"/>
        <v>0.29790863768673104</v>
      </c>
      <c r="EL306" s="456">
        <f t="shared" si="866"/>
        <v>2.7676160000000003</v>
      </c>
      <c r="EM306" s="456">
        <f t="shared" si="867"/>
        <v>3.0912041233920478E-2</v>
      </c>
      <c r="EN306" s="456">
        <f t="shared" si="868"/>
        <v>5.5661498980392153E-2</v>
      </c>
      <c r="EO306">
        <f t="shared" si="869"/>
        <v>7.1999999999999998E-3</v>
      </c>
      <c r="EP306" s="144">
        <f t="shared" si="870"/>
        <v>38.112041233920479</v>
      </c>
      <c r="EQ306" s="144"/>
      <c r="ER306" s="144">
        <f t="shared" si="871"/>
        <v>3159.2981779010443</v>
      </c>
      <c r="ES306" s="456">
        <f t="shared" si="872"/>
        <v>1.125</v>
      </c>
      <c r="EV306" s="144">
        <f t="shared" si="873"/>
        <v>1125</v>
      </c>
      <c r="EW306" s="456">
        <f t="shared" si="874"/>
        <v>0.13143028133238135</v>
      </c>
      <c r="EX306" s="456">
        <f t="shared" si="875"/>
        <v>8.2127885230154379E-2</v>
      </c>
      <c r="EY306" s="456">
        <f t="shared" si="876"/>
        <v>41.935852026837786</v>
      </c>
      <c r="EZ306" s="456"/>
      <c r="FA306" s="456">
        <f t="shared" si="877"/>
        <v>0.10200000000000001</v>
      </c>
      <c r="FB306" s="144">
        <f t="shared" si="878"/>
        <v>42251.410193400319</v>
      </c>
      <c r="FC306" s="150">
        <f t="shared" si="879"/>
        <v>46.535708371301361</v>
      </c>
      <c r="FD306" s="5">
        <f t="shared" si="880"/>
        <v>76.5</v>
      </c>
      <c r="FE306" s="150">
        <f t="shared" si="881"/>
        <v>0.62177071203699408</v>
      </c>
      <c r="FF306" s="5">
        <f t="shared" si="882"/>
        <v>62.177071203699406</v>
      </c>
      <c r="FI306" s="59">
        <f t="shared" si="836"/>
        <v>-50</v>
      </c>
      <c r="FJ306">
        <f t="shared" si="837"/>
        <v>-50</v>
      </c>
      <c r="FL306">
        <f t="shared" si="838"/>
        <v>0.65212961076013864</v>
      </c>
    </row>
    <row r="307" spans="5:168">
      <c r="E307" s="147">
        <v>91</v>
      </c>
      <c r="F307" s="188">
        <f t="shared" si="839"/>
        <v>0.45500000000000002</v>
      </c>
      <c r="G307" s="188"/>
      <c r="H307" s="188">
        <f t="shared" si="764"/>
        <v>77.350000000000009</v>
      </c>
      <c r="I307" s="465">
        <f t="shared" si="765"/>
        <v>15.930916888570124</v>
      </c>
      <c r="J307" s="149">
        <f t="shared" si="766"/>
        <v>8.5420492970846809</v>
      </c>
      <c r="K307" s="149">
        <f t="shared" si="767"/>
        <v>24.472966185654805</v>
      </c>
      <c r="L307" s="379"/>
      <c r="M307" s="188">
        <f t="shared" si="768"/>
        <v>0.34903829234232708</v>
      </c>
      <c r="N307" s="149">
        <f t="shared" si="769"/>
        <v>186.23968087866595</v>
      </c>
      <c r="O307" s="149">
        <f t="shared" si="762"/>
        <v>77.350000000000009</v>
      </c>
      <c r="P307" s="188">
        <f t="shared" si="770"/>
        <v>1.0955275345803879</v>
      </c>
      <c r="Q307" s="188">
        <f t="shared" si="771"/>
        <v>170</v>
      </c>
      <c r="R307" s="188"/>
      <c r="S307" s="149">
        <f t="shared" si="772"/>
        <v>848.74436379251824</v>
      </c>
      <c r="T307" s="149">
        <f t="shared" si="773"/>
        <v>170</v>
      </c>
      <c r="U307" s="188">
        <f t="shared" si="774"/>
        <v>27.958633796584238</v>
      </c>
      <c r="V307" s="188">
        <f t="shared" si="775"/>
        <v>2.6324881981504391</v>
      </c>
      <c r="W307" s="188">
        <f t="shared" si="776"/>
        <v>4.9095889330900233</v>
      </c>
      <c r="X307" s="172">
        <f t="shared" si="777"/>
        <v>278.02653012631498</v>
      </c>
      <c r="Y307" s="379">
        <f t="shared" si="840"/>
        <v>129.16430346125685</v>
      </c>
      <c r="AA307" s="188">
        <f t="shared" si="778"/>
        <v>13.333333333333336</v>
      </c>
      <c r="AB307" s="150">
        <f t="shared" si="779"/>
        <v>2.3413585317080541</v>
      </c>
      <c r="AC307" s="150">
        <f t="shared" si="780"/>
        <v>0.21698659611747803</v>
      </c>
      <c r="AD307" s="150"/>
      <c r="AE307" s="150">
        <f t="shared" si="781"/>
        <v>2.3413585317080536</v>
      </c>
      <c r="AF307" s="314">
        <f t="shared" si="782"/>
        <v>582.99486452602946</v>
      </c>
      <c r="AG307" s="456">
        <f t="shared" si="783"/>
        <v>0.21698659611747795</v>
      </c>
      <c r="AI307" s="150">
        <f t="shared" si="784"/>
        <v>17.208264747854994</v>
      </c>
      <c r="AJ307" s="150">
        <f t="shared" si="785"/>
        <v>27.958633796584238</v>
      </c>
      <c r="AK307" s="150">
        <f t="shared" si="786"/>
        <v>12.033555898704373</v>
      </c>
      <c r="AM307" s="314">
        <f t="shared" si="787"/>
        <v>455</v>
      </c>
      <c r="AN307" s="144">
        <f t="shared" si="788"/>
        <v>129.16430346125685</v>
      </c>
      <c r="AP307">
        <f t="shared" si="789"/>
        <v>455</v>
      </c>
      <c r="AQ307">
        <f t="shared" si="790"/>
        <v>129.16430346125685</v>
      </c>
      <c r="AS307" s="5">
        <f t="shared" si="763"/>
        <v>7.742077131240463</v>
      </c>
      <c r="AT307" s="5">
        <f t="shared" si="791"/>
        <v>2.6324881981504391</v>
      </c>
      <c r="AU307" s="5">
        <f t="shared" si="883"/>
        <v>5.1095889330900235</v>
      </c>
      <c r="AV307" s="5"/>
      <c r="AW307" s="150">
        <f t="shared" si="884"/>
        <v>0.34002350448408053</v>
      </c>
      <c r="AX307" s="150">
        <f t="shared" si="792"/>
        <v>75.724368653337535</v>
      </c>
      <c r="AY307" s="150">
        <f t="shared" si="793"/>
        <v>0.46130102881206536</v>
      </c>
      <c r="AZ307" s="150">
        <f t="shared" si="794"/>
        <v>164.15391235597642</v>
      </c>
      <c r="BA307" s="144">
        <f t="shared" si="724"/>
        <v>0.70457772362261761</v>
      </c>
      <c r="BB307" s="5">
        <f t="shared" si="725"/>
        <v>41.347976258884245</v>
      </c>
      <c r="BD307" s="150">
        <f t="shared" si="841"/>
        <v>9.4126040036704488</v>
      </c>
      <c r="BE307" s="150">
        <f t="shared" si="842"/>
        <v>0.6556764073470005</v>
      </c>
      <c r="BG307" s="456">
        <f t="shared" si="843"/>
        <v>0.30123018804170409</v>
      </c>
      <c r="BH307" s="456">
        <f t="shared" si="795"/>
        <v>2.1166574519028591</v>
      </c>
      <c r="BI307" s="456">
        <f t="shared" si="796"/>
        <v>9.4242924880239054E-2</v>
      </c>
      <c r="BJ307" s="456">
        <f t="shared" si="844"/>
        <v>5.2991510376795406E-2</v>
      </c>
      <c r="BK307">
        <f t="shared" si="845"/>
        <v>7.1689125998565554E-3</v>
      </c>
      <c r="BL307" s="144">
        <f t="shared" si="846"/>
        <v>101.41183748009561</v>
      </c>
      <c r="BM307" s="456">
        <f t="shared" si="797"/>
        <v>2.7489607224845591</v>
      </c>
      <c r="BN307" s="144">
        <f t="shared" si="847"/>
        <v>2748.960722484559</v>
      </c>
      <c r="BO307" s="456">
        <f t="shared" si="798"/>
        <v>1.1375</v>
      </c>
      <c r="BR307" s="144">
        <f t="shared" si="848"/>
        <v>1137.5</v>
      </c>
      <c r="BS307" s="456">
        <f t="shared" si="849"/>
        <v>0.13289567119486945</v>
      </c>
      <c r="BT307" s="456">
        <f t="shared" si="850"/>
        <v>8.5982310230293957E-2</v>
      </c>
      <c r="BU307" s="456">
        <f t="shared" si="851"/>
        <v>39.184664651653797</v>
      </c>
      <c r="BV307" s="456"/>
      <c r="BW307" s="456">
        <f t="shared" si="852"/>
        <v>0.10096582487111673</v>
      </c>
      <c r="BX307" s="144">
        <f t="shared" si="853"/>
        <v>39504.508457950084</v>
      </c>
      <c r="BY307" s="150">
        <f t="shared" si="854"/>
        <v>43.214299445751536</v>
      </c>
      <c r="BZ307" s="5">
        <f t="shared" si="855"/>
        <v>77.350000000000009</v>
      </c>
      <c r="CA307" s="150">
        <f t="shared" si="856"/>
        <v>0.64156637043956777</v>
      </c>
      <c r="CB307" s="5">
        <f t="shared" si="857"/>
        <v>64.156637043956778</v>
      </c>
      <c r="CE307" s="59">
        <f t="shared" si="799"/>
        <v>-50</v>
      </c>
      <c r="CF307">
        <f t="shared" si="800"/>
        <v>-50</v>
      </c>
      <c r="CG307" s="150">
        <f t="shared" si="801"/>
        <v>0.64545442550400134</v>
      </c>
      <c r="CI307" s="147">
        <v>91</v>
      </c>
      <c r="CJ307" s="188">
        <f t="shared" si="858"/>
        <v>0.45500000000000002</v>
      </c>
      <c r="CK307" s="188"/>
      <c r="CL307" s="188">
        <f t="shared" si="802"/>
        <v>77.350000000000009</v>
      </c>
      <c r="CM307" s="465">
        <f t="shared" si="803"/>
        <v>16</v>
      </c>
      <c r="CN307" s="379">
        <f t="shared" si="804"/>
        <v>8.5350000000000001</v>
      </c>
      <c r="CO307" s="379">
        <f t="shared" si="805"/>
        <v>24.535</v>
      </c>
      <c r="CP307" s="379"/>
      <c r="CQ307" s="188">
        <f t="shared" si="806"/>
        <v>0.34787038923986141</v>
      </c>
      <c r="CR307" s="149">
        <f t="shared" si="807"/>
        <v>186.42142245771345</v>
      </c>
      <c r="CS307" s="149">
        <f t="shared" si="808"/>
        <v>77.350000000000009</v>
      </c>
      <c r="CT307" s="188">
        <f t="shared" si="809"/>
        <v>1.0965966026924321</v>
      </c>
      <c r="CU307" s="188">
        <f t="shared" si="810"/>
        <v>170</v>
      </c>
      <c r="CV307" s="188"/>
      <c r="CW307" s="149">
        <f t="shared" si="811"/>
        <v>852.42373665255423</v>
      </c>
      <c r="CX307" s="149">
        <f t="shared" si="812"/>
        <v>170</v>
      </c>
      <c r="CY307" s="188">
        <f t="shared" si="813"/>
        <v>27.794116139425899</v>
      </c>
      <c r="CZ307" s="188">
        <f t="shared" si="814"/>
        <v>2.6056983880711782</v>
      </c>
      <c r="DA307" s="188">
        <f t="shared" si="815"/>
        <v>4.8847304287215989</v>
      </c>
      <c r="DB307" s="172">
        <f t="shared" si="816"/>
        <v>278.29631139188916</v>
      </c>
      <c r="DC307" s="379">
        <f t="shared" si="817"/>
        <v>133.50370512274304</v>
      </c>
      <c r="DE307" s="188">
        <f t="shared" si="818"/>
        <v>13.333333333333332</v>
      </c>
      <c r="DF307" s="150">
        <f t="shared" si="819"/>
        <v>2.3432923257176332</v>
      </c>
      <c r="DG307" s="150">
        <f t="shared" si="820"/>
        <v>0.21737653692004619</v>
      </c>
      <c r="DH307" s="150"/>
      <c r="DI307" s="150">
        <f t="shared" si="821"/>
        <v>2.3432923257176337</v>
      </c>
      <c r="DJ307" s="314">
        <f t="shared" si="822"/>
        <v>582.51374999999985</v>
      </c>
      <c r="DK307" s="456">
        <f t="shared" si="823"/>
        <v>0.21737653692004627</v>
      </c>
      <c r="DM307" s="150">
        <f t="shared" si="824"/>
        <v>17.201162751395614</v>
      </c>
      <c r="DN307" s="150">
        <f t="shared" si="825"/>
        <v>27.794116139425899</v>
      </c>
      <c r="DO307" s="150">
        <f t="shared" si="826"/>
        <v>11.911690967475973</v>
      </c>
      <c r="DQ307" s="314">
        <f t="shared" si="827"/>
        <v>455</v>
      </c>
      <c r="DR307" s="144">
        <f t="shared" si="828"/>
        <v>133.50370512274304</v>
      </c>
      <c r="DT307">
        <f t="shared" si="829"/>
        <v>455</v>
      </c>
      <c r="DU307">
        <f t="shared" si="830"/>
        <v>133.50370512274304</v>
      </c>
      <c r="DW307" s="5">
        <f t="shared" si="859"/>
        <v>7.4904288167927771</v>
      </c>
      <c r="DX307" s="5">
        <f t="shared" si="831"/>
        <v>2.6056983880711782</v>
      </c>
      <c r="DY307" s="5">
        <f t="shared" si="832"/>
        <v>4.8847304287215989</v>
      </c>
      <c r="DZ307" s="5"/>
      <c r="EA307" s="150">
        <f t="shared" si="833"/>
        <v>0.34787038923986147</v>
      </c>
      <c r="EB307" s="150">
        <f t="shared" si="860"/>
        <v>77.350000000000023</v>
      </c>
      <c r="EC307" s="150">
        <f t="shared" si="861"/>
        <v>0.45313415348564745</v>
      </c>
      <c r="ED307" s="150">
        <f t="shared" si="862"/>
        <v>170.70000000000002</v>
      </c>
      <c r="EE307" s="144">
        <f t="shared" si="834"/>
        <v>0.69740750974846233</v>
      </c>
      <c r="EF307" s="5">
        <f t="shared" si="835"/>
        <v>39.35769777725163</v>
      </c>
      <c r="EH307" s="150">
        <f t="shared" si="863"/>
        <v>9.4645718414001578</v>
      </c>
      <c r="EI307" s="150">
        <f t="shared" si="864"/>
        <v>0.64793166534546753</v>
      </c>
      <c r="EK307" s="456">
        <f t="shared" si="865"/>
        <v>0.30456560847948422</v>
      </c>
      <c r="EL307" s="456">
        <f t="shared" si="866"/>
        <v>2.7676160000000003</v>
      </c>
      <c r="EM307" s="456">
        <f t="shared" si="867"/>
        <v>3.0572348473108156E-2</v>
      </c>
      <c r="EN307" s="456">
        <f t="shared" si="868"/>
        <v>5.5049834156431797E-2</v>
      </c>
      <c r="EO307">
        <f t="shared" si="869"/>
        <v>7.1999999999999998E-3</v>
      </c>
      <c r="EP307" s="144">
        <f t="shared" si="870"/>
        <v>37.772348473108153</v>
      </c>
      <c r="EQ307" s="144"/>
      <c r="ER307" s="144">
        <f t="shared" si="871"/>
        <v>3165.0037911090244</v>
      </c>
      <c r="ES307" s="456">
        <f t="shared" si="872"/>
        <v>1.1375</v>
      </c>
      <c r="EV307" s="144">
        <f t="shared" si="873"/>
        <v>1137.5</v>
      </c>
      <c r="EW307" s="456">
        <f t="shared" si="874"/>
        <v>0.13436718021153715</v>
      </c>
      <c r="EX307" s="456">
        <f t="shared" si="875"/>
        <v>8.3963088591470197E-2</v>
      </c>
      <c r="EY307" s="456">
        <f t="shared" si="876"/>
        <v>41.935852026837857</v>
      </c>
      <c r="EZ307" s="456"/>
      <c r="FA307" s="456">
        <f t="shared" si="877"/>
        <v>0.10313333333333335</v>
      </c>
      <c r="FB307" s="144">
        <f t="shared" si="878"/>
        <v>42257.315628974196</v>
      </c>
      <c r="FC307" s="150">
        <f t="shared" si="879"/>
        <v>46.559819420083222</v>
      </c>
      <c r="FD307" s="5">
        <f t="shared" si="880"/>
        <v>77.350000000000009</v>
      </c>
      <c r="FE307" s="150">
        <f t="shared" si="881"/>
        <v>0.62424431221036192</v>
      </c>
      <c r="FF307" s="5">
        <f t="shared" si="882"/>
        <v>62.424431221036194</v>
      </c>
      <c r="FI307" s="59">
        <f t="shared" si="836"/>
        <v>-50</v>
      </c>
      <c r="FJ307">
        <f t="shared" si="837"/>
        <v>-50</v>
      </c>
      <c r="FL307">
        <f t="shared" si="838"/>
        <v>0.65212961076013853</v>
      </c>
    </row>
    <row r="308" spans="5:168">
      <c r="E308" s="147">
        <v>92</v>
      </c>
      <c r="F308" s="188">
        <f t="shared" si="839"/>
        <v>0.46</v>
      </c>
      <c r="G308" s="188"/>
      <c r="H308" s="188">
        <f t="shared" si="764"/>
        <v>78.2</v>
      </c>
      <c r="I308" s="465">
        <f t="shared" si="765"/>
        <v>15.930165583675953</v>
      </c>
      <c r="J308" s="149">
        <f t="shared" si="766"/>
        <v>8.5421259608493934</v>
      </c>
      <c r="K308" s="149">
        <f t="shared" si="767"/>
        <v>24.472291544525348</v>
      </c>
      <c r="L308" s="379"/>
      <c r="M308" s="188">
        <f t="shared" si="768"/>
        <v>0.34905104740254117</v>
      </c>
      <c r="N308" s="149">
        <f t="shared" si="769"/>
        <v>186.23770329976463</v>
      </c>
      <c r="O308" s="149">
        <f t="shared" si="762"/>
        <v>78.2</v>
      </c>
      <c r="P308" s="188">
        <f t="shared" si="770"/>
        <v>1.0955159017633214</v>
      </c>
      <c r="Q308" s="188">
        <f t="shared" si="771"/>
        <v>170</v>
      </c>
      <c r="R308" s="188"/>
      <c r="S308" s="149">
        <f t="shared" si="772"/>
        <v>836.02305580591212</v>
      </c>
      <c r="T308" s="149">
        <f t="shared" si="773"/>
        <v>170</v>
      </c>
      <c r="U308" s="188">
        <f t="shared" si="774"/>
        <v>28.266425388011033</v>
      </c>
      <c r="V308" s="188">
        <f t="shared" si="775"/>
        <v>2.6615943104486335</v>
      </c>
      <c r="W308" s="188">
        <f t="shared" si="776"/>
        <v>4.9635931706397489</v>
      </c>
      <c r="X308" s="172">
        <f t="shared" si="777"/>
        <v>278.02357769677178</v>
      </c>
      <c r="Y308" s="379">
        <f t="shared" si="840"/>
        <v>127.79246534562428</v>
      </c>
      <c r="AA308" s="188">
        <f t="shared" si="778"/>
        <v>13.333333333333334</v>
      </c>
      <c r="AB308" s="150">
        <f t="shared" si="779"/>
        <v>2.3413375185129306</v>
      </c>
      <c r="AC308" s="150">
        <f t="shared" si="780"/>
        <v>0.21698234449754888</v>
      </c>
      <c r="AD308" s="150"/>
      <c r="AE308" s="150">
        <f t="shared" si="781"/>
        <v>2.3413375185129306</v>
      </c>
      <c r="AF308" s="314">
        <f t="shared" si="782"/>
        <v>589.40669129860805</v>
      </c>
      <c r="AG308" s="456">
        <f t="shared" si="783"/>
        <v>0.21698234449754888</v>
      </c>
      <c r="AI308" s="150">
        <f t="shared" si="784"/>
        <v>17.302634959237462</v>
      </c>
      <c r="AJ308" s="150">
        <f t="shared" si="785"/>
        <v>28.266425388011033</v>
      </c>
      <c r="AK308" s="150">
        <f t="shared" si="786"/>
        <v>12.261549670131629</v>
      </c>
      <c r="AM308" s="314">
        <f t="shared" si="787"/>
        <v>460</v>
      </c>
      <c r="AN308" s="144">
        <f t="shared" si="788"/>
        <v>127.79246534562428</v>
      </c>
      <c r="AP308">
        <f t="shared" si="789"/>
        <v>460</v>
      </c>
      <c r="AQ308">
        <f t="shared" si="790"/>
        <v>127.79246534562428</v>
      </c>
      <c r="AS308" s="5">
        <f t="shared" si="763"/>
        <v>7.8251874810883821</v>
      </c>
      <c r="AT308" s="5">
        <f t="shared" si="791"/>
        <v>2.6615943104486335</v>
      </c>
      <c r="AU308" s="5">
        <f t="shared" si="883"/>
        <v>5.1635931706397482</v>
      </c>
      <c r="AV308" s="5"/>
      <c r="AW308" s="150">
        <f t="shared" si="884"/>
        <v>0.34013169868211773</v>
      </c>
      <c r="AX308" s="150">
        <f t="shared" si="792"/>
        <v>76.578753494433727</v>
      </c>
      <c r="AY308" s="150">
        <f t="shared" si="793"/>
        <v>0.46630295262788757</v>
      </c>
      <c r="AZ308" s="150">
        <f t="shared" si="794"/>
        <v>164.22532403637601</v>
      </c>
      <c r="BA308" s="144">
        <f t="shared" si="724"/>
        <v>0.72019610753315966</v>
      </c>
      <c r="BB308" s="5">
        <f t="shared" si="725"/>
        <v>42.246159110633606</v>
      </c>
      <c r="BD308" s="150">
        <f t="shared" si="841"/>
        <v>9.5177395682899686</v>
      </c>
      <c r="BE308" s="150">
        <f t="shared" si="842"/>
        <v>0.66284029294809343</v>
      </c>
      <c r="BG308" s="456">
        <f t="shared" si="843"/>
        <v>0.30799704606529454</v>
      </c>
      <c r="BH308" s="456">
        <f t="shared" si="795"/>
        <v>2.1171727453554063</v>
      </c>
      <c r="BI308" s="456">
        <f t="shared" si="796"/>
        <v>9.3237585105230031E-2</v>
      </c>
      <c r="BJ308" s="456">
        <f t="shared" si="844"/>
        <v>5.2425803547586025E-2</v>
      </c>
      <c r="BK308">
        <f t="shared" si="845"/>
        <v>7.1685745126541783E-3</v>
      </c>
      <c r="BL308" s="144">
        <f t="shared" si="846"/>
        <v>100.40615961788421</v>
      </c>
      <c r="BM308" s="456">
        <f t="shared" si="797"/>
        <v>2.762947571886365</v>
      </c>
      <c r="BN308" s="144">
        <f t="shared" si="847"/>
        <v>2762.947571886365</v>
      </c>
      <c r="BO308" s="456">
        <f t="shared" si="798"/>
        <v>1.1500000000000001</v>
      </c>
      <c r="BR308" s="144">
        <f t="shared" si="848"/>
        <v>1150.0000000000002</v>
      </c>
      <c r="BS308" s="456">
        <f t="shared" si="849"/>
        <v>0.13588104973468879</v>
      </c>
      <c r="BT308" s="456">
        <f t="shared" si="850"/>
        <v>8.7871450791102867E-2</v>
      </c>
      <c r="BU308" s="456">
        <f t="shared" si="851"/>
        <v>39.211219720640869</v>
      </c>
      <c r="BV308" s="456"/>
      <c r="BW308" s="456">
        <f t="shared" si="852"/>
        <v>0.10210500465924498</v>
      </c>
      <c r="BX308" s="144">
        <f t="shared" si="853"/>
        <v>39537.077225825902</v>
      </c>
      <c r="BY308" s="150">
        <f t="shared" si="854"/>
        <v>43.265078980412078</v>
      </c>
      <c r="BZ308" s="5">
        <f t="shared" si="855"/>
        <v>78.2</v>
      </c>
      <c r="CA308" s="150">
        <f t="shared" si="856"/>
        <v>0.64380643931916293</v>
      </c>
      <c r="CB308" s="5">
        <f t="shared" si="857"/>
        <v>64.380643931916296</v>
      </c>
      <c r="CE308" s="59">
        <f t="shared" si="799"/>
        <v>-50</v>
      </c>
      <c r="CF308">
        <f t="shared" si="800"/>
        <v>-50</v>
      </c>
      <c r="CG308" s="150">
        <f t="shared" si="801"/>
        <v>0.64552698186548108</v>
      </c>
      <c r="CI308" s="147">
        <v>92</v>
      </c>
      <c r="CJ308" s="188">
        <f t="shared" si="858"/>
        <v>0.46</v>
      </c>
      <c r="CK308" s="188"/>
      <c r="CL308" s="188">
        <f t="shared" si="802"/>
        <v>78.2</v>
      </c>
      <c r="CM308" s="465">
        <f t="shared" si="803"/>
        <v>16</v>
      </c>
      <c r="CN308" s="379">
        <f t="shared" si="804"/>
        <v>8.5350000000000001</v>
      </c>
      <c r="CO308" s="379">
        <f t="shared" si="805"/>
        <v>24.535</v>
      </c>
      <c r="CP308" s="379"/>
      <c r="CQ308" s="188">
        <f t="shared" si="806"/>
        <v>0.34787038923986141</v>
      </c>
      <c r="CR308" s="149">
        <f t="shared" si="807"/>
        <v>186.42142245771345</v>
      </c>
      <c r="CS308" s="149">
        <f t="shared" si="808"/>
        <v>78.2</v>
      </c>
      <c r="CT308" s="188">
        <f t="shared" si="809"/>
        <v>1.0965966026924321</v>
      </c>
      <c r="CU308" s="188">
        <f t="shared" si="810"/>
        <v>170</v>
      </c>
      <c r="CV308" s="188"/>
      <c r="CW308" s="149">
        <f t="shared" si="811"/>
        <v>839.68683377389414</v>
      </c>
      <c r="CX308" s="149">
        <f t="shared" si="812"/>
        <v>170</v>
      </c>
      <c r="CY308" s="188">
        <f t="shared" si="813"/>
        <v>28.099545987111895</v>
      </c>
      <c r="CZ308" s="188">
        <f t="shared" si="814"/>
        <v>2.6343324362917406</v>
      </c>
      <c r="DA308" s="188">
        <f t="shared" si="815"/>
        <v>4.9384087850811769</v>
      </c>
      <c r="DB308" s="172">
        <f t="shared" si="816"/>
        <v>278.29631139188916</v>
      </c>
      <c r="DC308" s="379">
        <f t="shared" si="817"/>
        <v>132.05257789314803</v>
      </c>
      <c r="DE308" s="188">
        <f t="shared" si="818"/>
        <v>13.333333333333332</v>
      </c>
      <c r="DF308" s="150">
        <f t="shared" si="819"/>
        <v>2.3432923257176332</v>
      </c>
      <c r="DG308" s="150">
        <f t="shared" si="820"/>
        <v>0.21737653692004619</v>
      </c>
      <c r="DH308" s="150"/>
      <c r="DI308" s="150">
        <f t="shared" si="821"/>
        <v>2.3432923257176337</v>
      </c>
      <c r="DJ308" s="314">
        <f t="shared" si="822"/>
        <v>588.91499999999985</v>
      </c>
      <c r="DK308" s="456">
        <f t="shared" si="823"/>
        <v>0.21737653692004627</v>
      </c>
      <c r="DM308" s="150">
        <f t="shared" si="824"/>
        <v>17.29541640352809</v>
      </c>
      <c r="DN308" s="150">
        <f t="shared" si="825"/>
        <v>28.099545987111895</v>
      </c>
      <c r="DO308" s="150">
        <f t="shared" si="826"/>
        <v>12.137935299095229</v>
      </c>
      <c r="DQ308" s="314">
        <f t="shared" si="827"/>
        <v>460</v>
      </c>
      <c r="DR308" s="144">
        <f t="shared" si="828"/>
        <v>132.05257789314803</v>
      </c>
      <c r="DT308">
        <f t="shared" si="829"/>
        <v>460</v>
      </c>
      <c r="DU308">
        <f t="shared" si="830"/>
        <v>132.05257789314803</v>
      </c>
      <c r="DW308" s="5">
        <f t="shared" si="859"/>
        <v>7.5727412213729162</v>
      </c>
      <c r="DX308" s="5">
        <f t="shared" si="831"/>
        <v>2.6343324362917406</v>
      </c>
      <c r="DY308" s="5">
        <f t="shared" si="832"/>
        <v>4.938408785081176</v>
      </c>
      <c r="DZ308" s="5"/>
      <c r="EA308" s="150">
        <f t="shared" si="833"/>
        <v>0.34787038923986152</v>
      </c>
      <c r="EB308" s="150">
        <f t="shared" si="860"/>
        <v>78.200000000000017</v>
      </c>
      <c r="EC308" s="150">
        <f t="shared" si="861"/>
        <v>0.45811364967779727</v>
      </c>
      <c r="ED308" s="150">
        <f t="shared" si="862"/>
        <v>170.70000000000005</v>
      </c>
      <c r="EE308" s="144">
        <f t="shared" si="834"/>
        <v>0.71281936511423571</v>
      </c>
      <c r="EF308" s="5">
        <f t="shared" si="835"/>
        <v>40.227454895140411</v>
      </c>
      <c r="EH308" s="150">
        <f t="shared" si="863"/>
        <v>9.5685781253715856</v>
      </c>
      <c r="EI308" s="150">
        <f t="shared" si="864"/>
        <v>0.6550517935360769</v>
      </c>
      <c r="EK308" s="456">
        <f t="shared" si="865"/>
        <v>0.31129613696055464</v>
      </c>
      <c r="EL308" s="456">
        <f t="shared" si="866"/>
        <v>2.7676160000000007</v>
      </c>
      <c r="EM308" s="456">
        <f t="shared" si="867"/>
        <v>3.0240040337530898E-2</v>
      </c>
      <c r="EN308" s="456">
        <f t="shared" si="868"/>
        <v>5.4451466393861891E-2</v>
      </c>
      <c r="EO308">
        <f t="shared" si="869"/>
        <v>7.1999999999999998E-3</v>
      </c>
      <c r="EP308" s="144">
        <f t="shared" si="870"/>
        <v>37.440040337530903</v>
      </c>
      <c r="EQ308" s="144"/>
      <c r="ER308" s="144">
        <f t="shared" si="871"/>
        <v>3170.8036436919479</v>
      </c>
      <c r="ES308" s="456">
        <f t="shared" si="872"/>
        <v>1.1500000000000001</v>
      </c>
      <c r="EV308" s="144">
        <f t="shared" si="873"/>
        <v>1150.0000000000002</v>
      </c>
      <c r="EW308" s="456">
        <f t="shared" si="874"/>
        <v>0.13733653101200941</v>
      </c>
      <c r="EX308" s="456">
        <f t="shared" si="875"/>
        <v>8.581857044296623E-2</v>
      </c>
      <c r="EY308" s="456">
        <f t="shared" si="876"/>
        <v>41.935852026837786</v>
      </c>
      <c r="EZ308" s="456"/>
      <c r="FA308" s="456">
        <f t="shared" si="877"/>
        <v>0.10426666666666669</v>
      </c>
      <c r="FB308" s="144">
        <f t="shared" si="878"/>
        <v>42263.27379495943</v>
      </c>
      <c r="FC308" s="150">
        <f t="shared" si="879"/>
        <v>46.584077438651377</v>
      </c>
      <c r="FD308" s="5">
        <f t="shared" si="880"/>
        <v>78.2</v>
      </c>
      <c r="FE308" s="150">
        <f t="shared" si="881"/>
        <v>0.62668251915751116</v>
      </c>
      <c r="FF308" s="5">
        <f t="shared" si="882"/>
        <v>62.668251915751114</v>
      </c>
      <c r="FI308" s="59">
        <f t="shared" si="836"/>
        <v>-50</v>
      </c>
      <c r="FJ308">
        <f t="shared" si="837"/>
        <v>-50</v>
      </c>
      <c r="FL308">
        <f t="shared" si="838"/>
        <v>0.65212961076013842</v>
      </c>
    </row>
    <row r="309" spans="5:168">
      <c r="E309" s="147">
        <v>93</v>
      </c>
      <c r="F309" s="188">
        <f t="shared" si="839"/>
        <v>0.46500000000000002</v>
      </c>
      <c r="G309" s="188"/>
      <c r="H309" s="188">
        <f t="shared" si="764"/>
        <v>79.05</v>
      </c>
      <c r="I309" s="465">
        <f t="shared" si="765"/>
        <v>15.929414277055223</v>
      </c>
      <c r="J309" s="149">
        <f t="shared" si="766"/>
        <v>8.5422026247902831</v>
      </c>
      <c r="K309" s="149">
        <f t="shared" si="767"/>
        <v>24.471616901845508</v>
      </c>
      <c r="L309" s="379"/>
      <c r="M309" s="188">
        <f t="shared" si="768"/>
        <v>0.34906380319064745</v>
      </c>
      <c r="N309" s="149">
        <f t="shared" si="769"/>
        <v>186.23572544710018</v>
      </c>
      <c r="O309" s="149">
        <f t="shared" si="762"/>
        <v>79.05</v>
      </c>
      <c r="P309" s="188">
        <f t="shared" si="770"/>
        <v>1.0955042673358835</v>
      </c>
      <c r="Q309" s="188">
        <f t="shared" si="771"/>
        <v>170</v>
      </c>
      <c r="R309" s="188"/>
      <c r="S309" s="149">
        <f t="shared" si="772"/>
        <v>823.57576586433493</v>
      </c>
      <c r="T309" s="149">
        <f t="shared" si="773"/>
        <v>170</v>
      </c>
      <c r="U309" s="188">
        <f t="shared" si="774"/>
        <v>28.574229073709983</v>
      </c>
      <c r="V309" s="188">
        <f t="shared" si="775"/>
        <v>2.6907043074585979</v>
      </c>
      <c r="W309" s="188">
        <f t="shared" si="776"/>
        <v>5.0175985624805115</v>
      </c>
      <c r="X309" s="172">
        <f t="shared" si="777"/>
        <v>278.02062486228925</v>
      </c>
      <c r="Y309" s="379">
        <f t="shared" si="840"/>
        <v>126.44938066309791</v>
      </c>
      <c r="AA309" s="188">
        <f t="shared" si="778"/>
        <v>13.333333333333334</v>
      </c>
      <c r="AB309" s="150">
        <f t="shared" si="779"/>
        <v>2.3413165056466938</v>
      </c>
      <c r="AC309" s="150">
        <f t="shared" si="780"/>
        <v>0.21697809263342849</v>
      </c>
      <c r="AD309" s="150"/>
      <c r="AE309" s="150">
        <f t="shared" si="781"/>
        <v>2.3413165056466938</v>
      </c>
      <c r="AF309" s="314">
        <f t="shared" si="782"/>
        <v>595.81863307912215</v>
      </c>
      <c r="AG309" s="456">
        <f t="shared" si="783"/>
        <v>0.21697809263342852</v>
      </c>
      <c r="AI309" s="150">
        <f t="shared" si="784"/>
        <v>17.396494930005666</v>
      </c>
      <c r="AJ309" s="150">
        <f t="shared" si="785"/>
        <v>28.574229073709983</v>
      </c>
      <c r="AK309" s="150">
        <f t="shared" si="786"/>
        <v>12.489552400278999</v>
      </c>
      <c r="AM309" s="314">
        <f t="shared" si="787"/>
        <v>465</v>
      </c>
      <c r="AN309" s="144">
        <f t="shared" si="788"/>
        <v>126.44938066309791</v>
      </c>
      <c r="AP309">
        <f t="shared" si="789"/>
        <v>465</v>
      </c>
      <c r="AQ309">
        <f t="shared" si="790"/>
        <v>126.44938066309791</v>
      </c>
      <c r="AS309" s="5">
        <f t="shared" si="763"/>
        <v>7.9083028699391074</v>
      </c>
      <c r="AT309" s="5">
        <f t="shared" si="791"/>
        <v>2.6907043074585979</v>
      </c>
      <c r="AU309" s="5">
        <f t="shared" si="883"/>
        <v>5.217598562480509</v>
      </c>
      <c r="AV309" s="5"/>
      <c r="AW309" s="150">
        <f t="shared" si="884"/>
        <v>0.34023789322566955</v>
      </c>
      <c r="AX309" s="150">
        <f t="shared" si="792"/>
        <v>77.433165552542206</v>
      </c>
      <c r="AY309" s="150">
        <f t="shared" si="793"/>
        <v>0.47130483932808059</v>
      </c>
      <c r="AZ309" s="150">
        <f t="shared" si="794"/>
        <v>164.29529062959634</v>
      </c>
      <c r="BA309" s="144">
        <f t="shared" ref="BA309:BA316" si="885">F309*AT309/Vout_ripple*1000</f>
        <v>0.73598676645191075</v>
      </c>
      <c r="BB309" s="5">
        <f t="shared" ref="BB309:BB316" si="886">H309/Efficiency/I309*AU309/Vinripple1</f>
        <v>43.15404186561755</v>
      </c>
      <c r="BD309" s="150">
        <f t="shared" si="841"/>
        <v>9.6228836540215728</v>
      </c>
      <c r="BE309" s="150">
        <f t="shared" si="842"/>
        <v>0.6700042896009113</v>
      </c>
      <c r="BG309" s="456">
        <f t="shared" si="843"/>
        <v>0.31483962538404092</v>
      </c>
      <c r="BH309" s="456">
        <f t="shared" si="795"/>
        <v>2.1176754972396288</v>
      </c>
      <c r="BI309" s="456">
        <f t="shared" si="796"/>
        <v>9.2253317290407047E-2</v>
      </c>
      <c r="BJ309" s="456">
        <f t="shared" si="844"/>
        <v>5.1871954058049598E-2</v>
      </c>
      <c r="BK309">
        <f t="shared" si="845"/>
        <v>7.1682364246748497E-3</v>
      </c>
      <c r="BL309" s="144">
        <f t="shared" si="846"/>
        <v>99.421553715081899</v>
      </c>
      <c r="BM309" s="456">
        <f t="shared" si="797"/>
        <v>2.7771402364383908</v>
      </c>
      <c r="BN309" s="144">
        <f t="shared" si="847"/>
        <v>2777.1402364383907</v>
      </c>
      <c r="BO309" s="456">
        <f t="shared" si="798"/>
        <v>1.1625000000000001</v>
      </c>
      <c r="BR309" s="144">
        <f t="shared" si="848"/>
        <v>1162.5</v>
      </c>
      <c r="BS309" s="456">
        <f t="shared" si="849"/>
        <v>0.13889983472825337</v>
      </c>
      <c r="BT309" s="456">
        <f t="shared" si="850"/>
        <v>8.9781149616724371E-2</v>
      </c>
      <c r="BU309" s="456">
        <f t="shared" si="851"/>
        <v>39.237206114069458</v>
      </c>
      <c r="BV309" s="456"/>
      <c r="BW309" s="456">
        <f t="shared" si="852"/>
        <v>0.10324422073672296</v>
      </c>
      <c r="BX309" s="144">
        <f t="shared" si="853"/>
        <v>39569.131319151151</v>
      </c>
      <c r="BY309" s="150">
        <f t="shared" si="854"/>
        <v>43.315439949547958</v>
      </c>
      <c r="BZ309" s="5">
        <f t="shared" si="855"/>
        <v>79.05</v>
      </c>
      <c r="CA309" s="150">
        <f t="shared" si="856"/>
        <v>0.64601573804329737</v>
      </c>
      <c r="CB309" s="5">
        <f t="shared" si="857"/>
        <v>64.601573804329732</v>
      </c>
      <c r="CE309" s="59">
        <f t="shared" si="799"/>
        <v>-50</v>
      </c>
      <c r="CF309">
        <f t="shared" si="800"/>
        <v>-50</v>
      </c>
      <c r="CG309" s="150">
        <f t="shared" si="801"/>
        <v>0.64559797787510109</v>
      </c>
      <c r="CI309" s="147">
        <v>93</v>
      </c>
      <c r="CJ309" s="188">
        <f t="shared" si="858"/>
        <v>0.46500000000000002</v>
      </c>
      <c r="CK309" s="188"/>
      <c r="CL309" s="188">
        <f t="shared" si="802"/>
        <v>79.05</v>
      </c>
      <c r="CM309" s="465">
        <f t="shared" si="803"/>
        <v>16</v>
      </c>
      <c r="CN309" s="379">
        <f t="shared" si="804"/>
        <v>8.5350000000000001</v>
      </c>
      <c r="CO309" s="379">
        <f t="shared" si="805"/>
        <v>24.535</v>
      </c>
      <c r="CP309" s="379"/>
      <c r="CQ309" s="188">
        <f t="shared" si="806"/>
        <v>0.34787038923986141</v>
      </c>
      <c r="CR309" s="149">
        <f t="shared" si="807"/>
        <v>186.42142245771345</v>
      </c>
      <c r="CS309" s="149">
        <f t="shared" si="808"/>
        <v>79.05</v>
      </c>
      <c r="CT309" s="188">
        <f t="shared" si="809"/>
        <v>1.0965966026924321</v>
      </c>
      <c r="CU309" s="188">
        <f t="shared" si="810"/>
        <v>170</v>
      </c>
      <c r="CV309" s="188"/>
      <c r="CW309" s="149">
        <f t="shared" si="811"/>
        <v>827.2239612652096</v>
      </c>
      <c r="CX309" s="149">
        <f t="shared" si="812"/>
        <v>170</v>
      </c>
      <c r="CY309" s="188">
        <f t="shared" si="813"/>
        <v>28.404975834797892</v>
      </c>
      <c r="CZ309" s="188">
        <f t="shared" si="814"/>
        <v>2.6629664845123027</v>
      </c>
      <c r="DA309" s="188">
        <f t="shared" si="815"/>
        <v>4.9920871414407539</v>
      </c>
      <c r="DB309" s="172">
        <f t="shared" si="816"/>
        <v>278.29631139188916</v>
      </c>
      <c r="DC309" s="379">
        <f t="shared" si="817"/>
        <v>130.63265770074858</v>
      </c>
      <c r="DE309" s="188">
        <f t="shared" si="818"/>
        <v>13.333333333333332</v>
      </c>
      <c r="DF309" s="150">
        <f t="shared" si="819"/>
        <v>2.3432923257176332</v>
      </c>
      <c r="DG309" s="150">
        <f t="shared" si="820"/>
        <v>0.21737653692004619</v>
      </c>
      <c r="DH309" s="150"/>
      <c r="DI309" s="150">
        <f t="shared" si="821"/>
        <v>2.3432923257176337</v>
      </c>
      <c r="DJ309" s="314">
        <f t="shared" si="822"/>
        <v>595.31624999999985</v>
      </c>
      <c r="DK309" s="456">
        <f t="shared" si="823"/>
        <v>0.21737653692004627</v>
      </c>
      <c r="DM309" s="150">
        <f t="shared" si="824"/>
        <v>17.389159184470568</v>
      </c>
      <c r="DN309" s="150">
        <f t="shared" si="825"/>
        <v>28.404975834797892</v>
      </c>
      <c r="DO309" s="150">
        <f t="shared" si="826"/>
        <v>12.364179630714485</v>
      </c>
      <c r="DQ309" s="314">
        <f t="shared" si="827"/>
        <v>465</v>
      </c>
      <c r="DR309" s="144">
        <f t="shared" si="828"/>
        <v>130.63265770074858</v>
      </c>
      <c r="DT309">
        <f t="shared" si="829"/>
        <v>465</v>
      </c>
      <c r="DU309">
        <f t="shared" si="830"/>
        <v>130.63265770074858</v>
      </c>
      <c r="DW309" s="5">
        <f t="shared" si="859"/>
        <v>7.6550536259530571</v>
      </c>
      <c r="DX309" s="5">
        <f t="shared" si="831"/>
        <v>2.6629664845123027</v>
      </c>
      <c r="DY309" s="5">
        <f t="shared" si="832"/>
        <v>4.9920871414407539</v>
      </c>
      <c r="DZ309" s="5"/>
      <c r="EA309" s="150">
        <f t="shared" si="833"/>
        <v>0.34787038923986147</v>
      </c>
      <c r="EB309" s="150">
        <f t="shared" si="860"/>
        <v>79.05</v>
      </c>
      <c r="EC309" s="150">
        <f t="shared" si="861"/>
        <v>0.46309314586994732</v>
      </c>
      <c r="ED309" s="150">
        <f t="shared" si="862"/>
        <v>170.7</v>
      </c>
      <c r="EE309" s="144">
        <f t="shared" si="834"/>
        <v>0.7283996560577769</v>
      </c>
      <c r="EF309" s="5">
        <f t="shared" si="835"/>
        <v>41.106717555301202</v>
      </c>
      <c r="EH309" s="150">
        <f t="shared" si="863"/>
        <v>9.6725844093430151</v>
      </c>
      <c r="EI309" s="150">
        <f t="shared" si="864"/>
        <v>0.66217192172668649</v>
      </c>
      <c r="EK309" s="456">
        <f t="shared" si="865"/>
        <v>0.31810022312994291</v>
      </c>
      <c r="EL309" s="456">
        <f t="shared" si="866"/>
        <v>2.7676159999999994</v>
      </c>
      <c r="EM309" s="456">
        <f t="shared" si="867"/>
        <v>2.9914878613471425E-2</v>
      </c>
      <c r="EN309" s="456">
        <f t="shared" si="868"/>
        <v>5.3865966755218209E-2</v>
      </c>
      <c r="EO309">
        <f t="shared" si="869"/>
        <v>7.1999999999999998E-3</v>
      </c>
      <c r="EP309" s="144">
        <f t="shared" si="870"/>
        <v>37.114878613471426</v>
      </c>
      <c r="EQ309" s="144"/>
      <c r="ER309" s="144">
        <f t="shared" si="871"/>
        <v>3176.6970684986318</v>
      </c>
      <c r="ES309" s="456">
        <f t="shared" si="872"/>
        <v>1.1625000000000001</v>
      </c>
      <c r="EV309" s="144">
        <f t="shared" si="873"/>
        <v>1162.5</v>
      </c>
      <c r="EW309" s="456">
        <f t="shared" si="874"/>
        <v>0.14033833373379834</v>
      </c>
      <c r="EX309" s="456">
        <f t="shared" si="875"/>
        <v>8.7694330784642616E-2</v>
      </c>
      <c r="EY309" s="456">
        <f t="shared" si="876"/>
        <v>41.935852026837857</v>
      </c>
      <c r="EZ309" s="456"/>
      <c r="FA309" s="456">
        <f t="shared" si="877"/>
        <v>0.10539999999999999</v>
      </c>
      <c r="FB309" s="144">
        <f t="shared" si="878"/>
        <v>42269.284691356304</v>
      </c>
      <c r="FC309" s="150">
        <f t="shared" si="879"/>
        <v>46.608481759854932</v>
      </c>
      <c r="FD309" s="5">
        <f t="shared" si="880"/>
        <v>79.05</v>
      </c>
      <c r="FE309" s="150">
        <f t="shared" si="881"/>
        <v>0.62908606639917797</v>
      </c>
      <c r="FF309" s="5">
        <f t="shared" si="882"/>
        <v>62.908606639917799</v>
      </c>
      <c r="FI309" s="59">
        <f t="shared" si="836"/>
        <v>-50</v>
      </c>
      <c r="FJ309">
        <f t="shared" si="837"/>
        <v>-50</v>
      </c>
      <c r="FL309">
        <f t="shared" si="838"/>
        <v>0.65212961076013853</v>
      </c>
    </row>
    <row r="310" spans="5:168">
      <c r="E310" s="147">
        <v>94</v>
      </c>
      <c r="F310" s="188">
        <f t="shared" si="839"/>
        <v>0.47</v>
      </c>
      <c r="G310" s="188"/>
      <c r="H310" s="188">
        <f t="shared" si="764"/>
        <v>79.899999999999991</v>
      </c>
      <c r="I310" s="465">
        <f t="shared" si="765"/>
        <v>15.928662968763591</v>
      </c>
      <c r="J310" s="149">
        <f t="shared" si="766"/>
        <v>8.542279288901673</v>
      </c>
      <c r="K310" s="149">
        <f t="shared" si="767"/>
        <v>24.470942257665264</v>
      </c>
      <c r="L310" s="379"/>
      <c r="M310" s="188">
        <f t="shared" si="768"/>
        <v>0.34907655970591506</v>
      </c>
      <c r="N310" s="149">
        <f t="shared" si="769"/>
        <v>186.23374732087623</v>
      </c>
      <c r="O310" s="149">
        <f t="shared" si="762"/>
        <v>79.899999999999991</v>
      </c>
      <c r="P310" s="188">
        <f t="shared" si="770"/>
        <v>1.0954926312992719</v>
      </c>
      <c r="Q310" s="188">
        <f t="shared" si="771"/>
        <v>170</v>
      </c>
      <c r="R310" s="188"/>
      <c r="S310" s="149">
        <f t="shared" si="772"/>
        <v>811.39375017281702</v>
      </c>
      <c r="T310" s="149">
        <f t="shared" si="773"/>
        <v>170</v>
      </c>
      <c r="U310" s="188">
        <f t="shared" si="774"/>
        <v>28.882044855392248</v>
      </c>
      <c r="V310" s="188">
        <f t="shared" si="775"/>
        <v>2.7198181898911242</v>
      </c>
      <c r="W310" s="188">
        <f t="shared" si="776"/>
        <v>5.0716051088817373</v>
      </c>
      <c r="X310" s="172">
        <f t="shared" si="777"/>
        <v>278.01767162305055</v>
      </c>
      <c r="Y310" s="379">
        <f t="shared" si="840"/>
        <v>125.13415478235984</v>
      </c>
      <c r="AA310" s="188">
        <f t="shared" si="778"/>
        <v>13.333333333333334</v>
      </c>
      <c r="AB310" s="150">
        <f t="shared" si="779"/>
        <v>2.3412954931108918</v>
      </c>
      <c r="AC310" s="150">
        <f t="shared" si="780"/>
        <v>0.21697384052541074</v>
      </c>
      <c r="AD310" s="150"/>
      <c r="AE310" s="150">
        <f t="shared" si="781"/>
        <v>2.3412954931108918</v>
      </c>
      <c r="AF310" s="314">
        <f t="shared" si="782"/>
        <v>602.23068986756789</v>
      </c>
      <c r="AG310" s="456">
        <f t="shared" si="783"/>
        <v>0.21697384052541072</v>
      </c>
      <c r="AI310" s="150">
        <f t="shared" si="784"/>
        <v>17.489852874839357</v>
      </c>
      <c r="AJ310" s="150">
        <f t="shared" si="785"/>
        <v>28.882044855392248</v>
      </c>
      <c r="AK310" s="150">
        <f t="shared" si="786"/>
        <v>12.71756409041401</v>
      </c>
      <c r="AM310" s="314">
        <f t="shared" si="787"/>
        <v>470</v>
      </c>
      <c r="AN310" s="144">
        <f t="shared" si="788"/>
        <v>125.13415478235984</v>
      </c>
      <c r="AP310">
        <f t="shared" si="789"/>
        <v>470</v>
      </c>
      <c r="AQ310">
        <f t="shared" si="790"/>
        <v>125.13415478235984</v>
      </c>
      <c r="AS310" s="5">
        <f t="shared" si="763"/>
        <v>7.9914232987728617</v>
      </c>
      <c r="AT310" s="5">
        <f t="shared" si="791"/>
        <v>2.7198181898911242</v>
      </c>
      <c r="AU310" s="5">
        <f t="shared" si="883"/>
        <v>5.2716051088817375</v>
      </c>
      <c r="AV310" s="5"/>
      <c r="AW310" s="150">
        <f t="shared" si="884"/>
        <v>0.34034215035371373</v>
      </c>
      <c r="AX310" s="150">
        <f t="shared" si="792"/>
        <v>78.287604458111616</v>
      </c>
      <c r="AY310" s="150">
        <f t="shared" si="793"/>
        <v>0.4763066900673909</v>
      </c>
      <c r="AZ310" s="150">
        <f t="shared" si="794"/>
        <v>164.36385650395755</v>
      </c>
      <c r="BA310" s="144">
        <f t="shared" si="885"/>
        <v>0.75194973485225203</v>
      </c>
      <c r="BB310" s="5">
        <f t="shared" si="886"/>
        <v>44.07162620675637</v>
      </c>
      <c r="BD310" s="150">
        <f t="shared" si="841"/>
        <v>9.7280362446367352</v>
      </c>
      <c r="BE310" s="150">
        <f t="shared" si="842"/>
        <v>0.67716839824497121</v>
      </c>
      <c r="BG310" s="456">
        <f t="shared" si="843"/>
        <v>0.32175794320168438</v>
      </c>
      <c r="BH310" s="456">
        <f t="shared" si="795"/>
        <v>2.1181660977153776</v>
      </c>
      <c r="BI310" s="456">
        <f t="shared" si="796"/>
        <v>9.1289465805346234E-2</v>
      </c>
      <c r="BJ310" s="456">
        <f t="shared" si="844"/>
        <v>5.1329592980378098E-2</v>
      </c>
      <c r="BK310">
        <f t="shared" si="845"/>
        <v>7.1678983359436156E-3</v>
      </c>
      <c r="BL310" s="144">
        <f t="shared" si="846"/>
        <v>98.457364141289844</v>
      </c>
      <c r="BM310" s="456">
        <f t="shared" si="797"/>
        <v>2.7915406915275809</v>
      </c>
      <c r="BN310" s="144">
        <f t="shared" si="847"/>
        <v>2791.5406915275807</v>
      </c>
      <c r="BO310" s="456">
        <f t="shared" si="798"/>
        <v>1.1749999999999998</v>
      </c>
      <c r="BR310" s="144">
        <f t="shared" si="848"/>
        <v>1174.9999999999998</v>
      </c>
      <c r="BS310" s="456">
        <f t="shared" si="849"/>
        <v>0.14195203376544899</v>
      </c>
      <c r="BT310" s="456">
        <f t="shared" si="850"/>
        <v>9.1711407916331991E-2</v>
      </c>
      <c r="BU310" s="456">
        <f t="shared" si="851"/>
        <v>39.262641174431373</v>
      </c>
      <c r="BV310" s="456"/>
      <c r="BW310" s="456">
        <f t="shared" si="852"/>
        <v>0.10438347261081549</v>
      </c>
      <c r="BX310" s="144">
        <f t="shared" si="853"/>
        <v>39600.688088723968</v>
      </c>
      <c r="BY310" s="150">
        <f t="shared" si="854"/>
        <v>43.3653990867627</v>
      </c>
      <c r="BZ310" s="5">
        <f t="shared" si="855"/>
        <v>79.899999999999991</v>
      </c>
      <c r="CA310" s="150">
        <f t="shared" si="856"/>
        <v>0.64819487538235165</v>
      </c>
      <c r="CB310" s="5">
        <f t="shared" si="857"/>
        <v>64.819487538235165</v>
      </c>
      <c r="CE310" s="59">
        <f t="shared" si="799"/>
        <v>-50</v>
      </c>
      <c r="CF310">
        <f t="shared" si="800"/>
        <v>-50</v>
      </c>
      <c r="CG310" s="150">
        <f t="shared" si="801"/>
        <v>0.64566746333132496</v>
      </c>
      <c r="CI310" s="147">
        <v>94</v>
      </c>
      <c r="CJ310" s="188">
        <f t="shared" si="858"/>
        <v>0.47</v>
      </c>
      <c r="CK310" s="188"/>
      <c r="CL310" s="188">
        <f t="shared" si="802"/>
        <v>79.899999999999991</v>
      </c>
      <c r="CM310" s="465">
        <f t="shared" si="803"/>
        <v>16</v>
      </c>
      <c r="CN310" s="379">
        <f t="shared" si="804"/>
        <v>8.5350000000000001</v>
      </c>
      <c r="CO310" s="379">
        <f t="shared" si="805"/>
        <v>24.535</v>
      </c>
      <c r="CP310" s="379"/>
      <c r="CQ310" s="188">
        <f t="shared" si="806"/>
        <v>0.34787038923986141</v>
      </c>
      <c r="CR310" s="149">
        <f t="shared" si="807"/>
        <v>186.42142245771345</v>
      </c>
      <c r="CS310" s="149">
        <f t="shared" si="808"/>
        <v>79.899999999999991</v>
      </c>
      <c r="CT310" s="188">
        <f t="shared" si="809"/>
        <v>1.0965966026924321</v>
      </c>
      <c r="CU310" s="188">
        <f t="shared" si="810"/>
        <v>170</v>
      </c>
      <c r="CV310" s="188"/>
      <c r="CW310" s="149">
        <f t="shared" si="811"/>
        <v>815.02637493439897</v>
      </c>
      <c r="CX310" s="149">
        <f t="shared" si="812"/>
        <v>170</v>
      </c>
      <c r="CY310" s="188">
        <f t="shared" si="813"/>
        <v>28.710405682483888</v>
      </c>
      <c r="CZ310" s="188">
        <f t="shared" si="814"/>
        <v>2.6916005327328643</v>
      </c>
      <c r="DA310" s="188">
        <f t="shared" si="815"/>
        <v>5.0457654978003319</v>
      </c>
      <c r="DB310" s="172">
        <f t="shared" si="816"/>
        <v>278.29631139188916</v>
      </c>
      <c r="DC310" s="379">
        <f t="shared" si="817"/>
        <v>129.24294857627257</v>
      </c>
      <c r="DE310" s="188">
        <f t="shared" si="818"/>
        <v>13.333333333333332</v>
      </c>
      <c r="DF310" s="150">
        <f t="shared" si="819"/>
        <v>2.3432923257176332</v>
      </c>
      <c r="DG310" s="150">
        <f t="shared" si="820"/>
        <v>0.21737653692004619</v>
      </c>
      <c r="DH310" s="150"/>
      <c r="DI310" s="150">
        <f t="shared" si="821"/>
        <v>2.3432923257176337</v>
      </c>
      <c r="DJ310" s="314">
        <f t="shared" si="822"/>
        <v>601.71749999999975</v>
      </c>
      <c r="DK310" s="456">
        <f t="shared" si="823"/>
        <v>0.21737653692004627</v>
      </c>
      <c r="DM310" s="150">
        <f t="shared" si="824"/>
        <v>17.482399312287935</v>
      </c>
      <c r="DN310" s="150">
        <f t="shared" si="825"/>
        <v>28.710405682483888</v>
      </c>
      <c r="DO310" s="150">
        <f t="shared" si="826"/>
        <v>12.590423962333743</v>
      </c>
      <c r="DQ310" s="314">
        <f t="shared" si="827"/>
        <v>470</v>
      </c>
      <c r="DR310" s="144">
        <f t="shared" si="828"/>
        <v>129.24294857627257</v>
      </c>
      <c r="DT310">
        <f t="shared" si="829"/>
        <v>470</v>
      </c>
      <c r="DU310">
        <f t="shared" si="830"/>
        <v>129.24294857627257</v>
      </c>
      <c r="DW310" s="5">
        <f t="shared" si="859"/>
        <v>7.7373660305331953</v>
      </c>
      <c r="DX310" s="5">
        <f t="shared" si="831"/>
        <v>2.6916005327328643</v>
      </c>
      <c r="DY310" s="5">
        <f t="shared" si="832"/>
        <v>5.045765497800331</v>
      </c>
      <c r="DZ310" s="5"/>
      <c r="EA310" s="150">
        <f t="shared" si="833"/>
        <v>0.34787038923986141</v>
      </c>
      <c r="EB310" s="150">
        <f t="shared" si="860"/>
        <v>79.900000000000006</v>
      </c>
      <c r="EC310" s="150">
        <f t="shared" si="861"/>
        <v>0.46807264206209731</v>
      </c>
      <c r="ED310" s="150">
        <f t="shared" si="862"/>
        <v>170.7</v>
      </c>
      <c r="EE310" s="144">
        <f t="shared" si="834"/>
        <v>0.744148382579086</v>
      </c>
      <c r="EF310" s="5">
        <f t="shared" si="835"/>
        <v>41.995485757733995</v>
      </c>
      <c r="EH310" s="150">
        <f t="shared" si="863"/>
        <v>9.7765906933144429</v>
      </c>
      <c r="EI310" s="150">
        <f t="shared" si="864"/>
        <v>0.66929204991729596</v>
      </c>
      <c r="EK310" s="456">
        <f t="shared" si="865"/>
        <v>0.32497786698764874</v>
      </c>
      <c r="EL310" s="456">
        <f t="shared" si="866"/>
        <v>2.7676160000000003</v>
      </c>
      <c r="EM310" s="456">
        <f t="shared" si="867"/>
        <v>2.9596635223966418E-2</v>
      </c>
      <c r="EN310" s="456">
        <f t="shared" si="868"/>
        <v>5.3292924555694628E-2</v>
      </c>
      <c r="EO310">
        <f t="shared" si="869"/>
        <v>7.1999999999999998E-3</v>
      </c>
      <c r="EP310" s="144">
        <f t="shared" si="870"/>
        <v>36.796635223966419</v>
      </c>
      <c r="EQ310" s="144"/>
      <c r="ER310" s="144">
        <f t="shared" si="871"/>
        <v>3182.6834267673103</v>
      </c>
      <c r="ES310" s="456">
        <f t="shared" si="872"/>
        <v>1.1749999999999998</v>
      </c>
      <c r="EV310" s="144">
        <f t="shared" si="873"/>
        <v>1174.9999999999998</v>
      </c>
      <c r="EW310" s="456">
        <f t="shared" si="874"/>
        <v>0.14337258837690386</v>
      </c>
      <c r="EX310" s="456">
        <f t="shared" si="875"/>
        <v>8.9590369616499244E-2</v>
      </c>
      <c r="EY310" s="456">
        <f t="shared" si="876"/>
        <v>41.935852026837779</v>
      </c>
      <c r="EZ310" s="456"/>
      <c r="FA310" s="456">
        <f t="shared" si="877"/>
        <v>0.10653333333333334</v>
      </c>
      <c r="FB310" s="144">
        <f t="shared" si="878"/>
        <v>42275.348318164513</v>
      </c>
      <c r="FC310" s="150">
        <f t="shared" si="879"/>
        <v>46.633031744931827</v>
      </c>
      <c r="FD310" s="5">
        <f t="shared" si="880"/>
        <v>79.899999999999991</v>
      </c>
      <c r="FE310" s="150">
        <f t="shared" si="881"/>
        <v>0.63145566733170699</v>
      </c>
      <c r="FF310" s="5">
        <f t="shared" si="882"/>
        <v>63.145566733170696</v>
      </c>
      <c r="FI310" s="59">
        <f t="shared" si="836"/>
        <v>-50</v>
      </c>
      <c r="FJ310">
        <f t="shared" si="837"/>
        <v>-50</v>
      </c>
      <c r="FL310">
        <f t="shared" si="838"/>
        <v>0.65212961076013864</v>
      </c>
    </row>
    <row r="311" spans="5:168">
      <c r="E311" s="147">
        <v>95</v>
      </c>
      <c r="F311" s="188">
        <f t="shared" si="839"/>
        <v>0.47499999999999998</v>
      </c>
      <c r="G311" s="188"/>
      <c r="H311" s="188">
        <f t="shared" si="764"/>
        <v>80.75</v>
      </c>
      <c r="I311" s="465">
        <f t="shared" si="765"/>
        <v>15.927911658854342</v>
      </c>
      <c r="J311" s="149">
        <f t="shared" si="766"/>
        <v>8.542355953178129</v>
      </c>
      <c r="K311" s="149">
        <f t="shared" si="767"/>
        <v>24.470267612032472</v>
      </c>
      <c r="L311" s="379"/>
      <c r="M311" s="188">
        <f t="shared" si="768"/>
        <v>0.34908931694764644</v>
      </c>
      <c r="N311" s="149">
        <f t="shared" si="769"/>
        <v>186.23176892128657</v>
      </c>
      <c r="O311" s="149">
        <f t="shared" si="762"/>
        <v>80.75</v>
      </c>
      <c r="P311" s="188">
        <f t="shared" si="770"/>
        <v>1.0954809936546268</v>
      </c>
      <c r="Q311" s="188">
        <f t="shared" si="771"/>
        <v>170</v>
      </c>
      <c r="R311" s="188"/>
      <c r="S311" s="149">
        <f t="shared" si="772"/>
        <v>799.46863311992661</v>
      </c>
      <c r="T311" s="149">
        <f t="shared" si="773"/>
        <v>170</v>
      </c>
      <c r="U311" s="188">
        <f t="shared" si="774"/>
        <v>29.18987273476937</v>
      </c>
      <c r="V311" s="188">
        <f t="shared" si="775"/>
        <v>2.7489359584571802</v>
      </c>
      <c r="W311" s="188">
        <f t="shared" si="776"/>
        <v>5.125612810112905</v>
      </c>
      <c r="X311" s="172">
        <f t="shared" si="777"/>
        <v>278.01471797922972</v>
      </c>
      <c r="Y311" s="379">
        <f t="shared" si="840"/>
        <v>123.84592980507681</v>
      </c>
      <c r="AA311" s="188">
        <f t="shared" si="778"/>
        <v>13.333333333333332</v>
      </c>
      <c r="AB311" s="150">
        <f t="shared" si="779"/>
        <v>2.3412744809070065</v>
      </c>
      <c r="AC311" s="150">
        <f t="shared" si="780"/>
        <v>0.21696958817377629</v>
      </c>
      <c r="AD311" s="150"/>
      <c r="AE311" s="150">
        <f t="shared" si="781"/>
        <v>2.341274480907007</v>
      </c>
      <c r="AF311" s="314">
        <f t="shared" si="782"/>
        <v>608.6428616639414</v>
      </c>
      <c r="AG311" s="456">
        <f t="shared" si="783"/>
        <v>0.21696958817377635</v>
      </c>
      <c r="AI311" s="150">
        <f t="shared" si="784"/>
        <v>17.582716790475402</v>
      </c>
      <c r="AJ311" s="150">
        <f t="shared" si="785"/>
        <v>29.18987273476937</v>
      </c>
      <c r="AK311" s="150">
        <f t="shared" si="786"/>
        <v>12.94558474180447</v>
      </c>
      <c r="AM311" s="314">
        <f t="shared" si="787"/>
        <v>475</v>
      </c>
      <c r="AN311" s="144">
        <f t="shared" si="788"/>
        <v>123.84592980507681</v>
      </c>
      <c r="AP311">
        <f t="shared" si="789"/>
        <v>475</v>
      </c>
      <c r="AQ311">
        <f t="shared" si="790"/>
        <v>123.84592980507681</v>
      </c>
      <c r="AS311" s="5">
        <f t="shared" si="763"/>
        <v>8.0745487685700841</v>
      </c>
      <c r="AT311" s="5">
        <f t="shared" si="791"/>
        <v>2.7489359584571802</v>
      </c>
      <c r="AU311" s="5">
        <f t="shared" si="883"/>
        <v>5.3256128101129043</v>
      </c>
      <c r="AV311" s="5"/>
      <c r="AW311" s="150">
        <f t="shared" si="884"/>
        <v>0.34044452974973949</v>
      </c>
      <c r="AX311" s="150">
        <f t="shared" si="792"/>
        <v>79.142069856764351</v>
      </c>
      <c r="AY311" s="150">
        <f t="shared" si="793"/>
        <v>0.48130850595315178</v>
      </c>
      <c r="AZ311" s="150">
        <f t="shared" si="794"/>
        <v>164.43106422986767</v>
      </c>
      <c r="BA311" s="144">
        <f t="shared" si="885"/>
        <v>0.76808504721597681</v>
      </c>
      <c r="BB311" s="5">
        <f t="shared" si="886"/>
        <v>44.998913817384164</v>
      </c>
      <c r="BD311" s="150">
        <f t="shared" si="841"/>
        <v>9.8331973246184923</v>
      </c>
      <c r="BE311" s="150">
        <f t="shared" si="842"/>
        <v>0.68433261978208826</v>
      </c>
      <c r="BG311" s="456">
        <f t="shared" si="843"/>
        <v>0.32875201672460652</v>
      </c>
      <c r="BH311" s="456">
        <f t="shared" si="795"/>
        <v>2.1186449209227916</v>
      </c>
      <c r="BI311" s="456">
        <f t="shared" si="796"/>
        <v>9.0345401939372419E-2</v>
      </c>
      <c r="BJ311" s="456">
        <f t="shared" si="844"/>
        <v>5.0798366534692427E-2</v>
      </c>
      <c r="BK311">
        <f t="shared" si="845"/>
        <v>7.1675602464844534E-3</v>
      </c>
      <c r="BL311" s="144">
        <f t="shared" si="846"/>
        <v>97.512962185856864</v>
      </c>
      <c r="BM311" s="456">
        <f t="shared" si="797"/>
        <v>2.8061509502029574</v>
      </c>
      <c r="BN311" s="144">
        <f t="shared" si="847"/>
        <v>2806.1509502029576</v>
      </c>
      <c r="BO311" s="456">
        <f t="shared" si="798"/>
        <v>1.1875</v>
      </c>
      <c r="BR311" s="144">
        <f t="shared" si="848"/>
        <v>1187.5</v>
      </c>
      <c r="BS311" s="456">
        <f t="shared" si="849"/>
        <v>0.14503765443732641</v>
      </c>
      <c r="BT311" s="456">
        <f t="shared" si="850"/>
        <v>9.3662226899563245E-2</v>
      </c>
      <c r="BU311" s="456">
        <f t="shared" si="851"/>
        <v>39.287541546191896</v>
      </c>
      <c r="BV311" s="456"/>
      <c r="BW311" s="456">
        <f t="shared" si="852"/>
        <v>0.10552275980901915</v>
      </c>
      <c r="BX311" s="144">
        <f t="shared" si="853"/>
        <v>39631.764187337809</v>
      </c>
      <c r="BY311" s="150">
        <f t="shared" si="854"/>
        <v>43.414972453705751</v>
      </c>
      <c r="BZ311" s="5">
        <f t="shared" si="855"/>
        <v>80.75</v>
      </c>
      <c r="CA311" s="150">
        <f t="shared" si="856"/>
        <v>0.65034444420391757</v>
      </c>
      <c r="CB311" s="5">
        <f t="shared" si="857"/>
        <v>65.03444442039175</v>
      </c>
      <c r="CE311" s="59">
        <f t="shared" si="799"/>
        <v>-50</v>
      </c>
      <c r="CF311">
        <f t="shared" si="800"/>
        <v>-50</v>
      </c>
      <c r="CG311" s="150">
        <f t="shared" si="801"/>
        <v>0.64573548593583885</v>
      </c>
      <c r="CI311" s="147">
        <v>95</v>
      </c>
      <c r="CJ311" s="188">
        <f t="shared" si="858"/>
        <v>0.47499999999999998</v>
      </c>
      <c r="CK311" s="188"/>
      <c r="CL311" s="188">
        <f t="shared" si="802"/>
        <v>80.75</v>
      </c>
      <c r="CM311" s="465">
        <f t="shared" si="803"/>
        <v>16</v>
      </c>
      <c r="CN311" s="379">
        <f t="shared" si="804"/>
        <v>8.5350000000000001</v>
      </c>
      <c r="CO311" s="379">
        <f t="shared" si="805"/>
        <v>24.535</v>
      </c>
      <c r="CP311" s="379"/>
      <c r="CQ311" s="188">
        <f t="shared" si="806"/>
        <v>0.34787038923986141</v>
      </c>
      <c r="CR311" s="149">
        <f t="shared" si="807"/>
        <v>186.42142245771345</v>
      </c>
      <c r="CS311" s="149">
        <f t="shared" si="808"/>
        <v>80.75</v>
      </c>
      <c r="CT311" s="188">
        <f t="shared" si="809"/>
        <v>1.0965966026924321</v>
      </c>
      <c r="CU311" s="188">
        <f t="shared" si="810"/>
        <v>170</v>
      </c>
      <c r="CV311" s="188"/>
      <c r="CW311" s="149">
        <f t="shared" si="811"/>
        <v>803.08569878979063</v>
      </c>
      <c r="CX311" s="149">
        <f t="shared" si="812"/>
        <v>170</v>
      </c>
      <c r="CY311" s="188">
        <f t="shared" si="813"/>
        <v>29.015835530169891</v>
      </c>
      <c r="CZ311" s="188">
        <f t="shared" si="814"/>
        <v>2.7202345809534272</v>
      </c>
      <c r="DA311" s="188">
        <f t="shared" si="815"/>
        <v>5.0994438541599107</v>
      </c>
      <c r="DB311" s="172">
        <f t="shared" si="816"/>
        <v>278.29631139188916</v>
      </c>
      <c r="DC311" s="379">
        <f t="shared" si="817"/>
        <v>127.88249648599597</v>
      </c>
      <c r="DE311" s="188">
        <f t="shared" si="818"/>
        <v>13.333333333333332</v>
      </c>
      <c r="DF311" s="150">
        <f t="shared" si="819"/>
        <v>2.3432923257176332</v>
      </c>
      <c r="DG311" s="150">
        <f t="shared" si="820"/>
        <v>0.21737653692004619</v>
      </c>
      <c r="DH311" s="150"/>
      <c r="DI311" s="150">
        <f t="shared" si="821"/>
        <v>2.3432923257176337</v>
      </c>
      <c r="DJ311" s="314">
        <f t="shared" si="822"/>
        <v>608.11874999999975</v>
      </c>
      <c r="DK311" s="456">
        <f t="shared" si="823"/>
        <v>0.21737653692004627</v>
      </c>
      <c r="DM311" s="150">
        <f t="shared" si="824"/>
        <v>17.575144787048391</v>
      </c>
      <c r="DN311" s="150">
        <f t="shared" si="825"/>
        <v>29.015835530169891</v>
      </c>
      <c r="DO311" s="150">
        <f t="shared" si="826"/>
        <v>12.816668293953004</v>
      </c>
      <c r="DQ311" s="314">
        <f t="shared" si="827"/>
        <v>475</v>
      </c>
      <c r="DR311" s="144">
        <f t="shared" si="828"/>
        <v>127.88249648599597</v>
      </c>
      <c r="DT311">
        <f t="shared" si="829"/>
        <v>475</v>
      </c>
      <c r="DU311">
        <f t="shared" si="830"/>
        <v>127.88249648599597</v>
      </c>
      <c r="DW311" s="5">
        <f t="shared" si="859"/>
        <v>7.8196784351133379</v>
      </c>
      <c r="DX311" s="5">
        <f t="shared" si="831"/>
        <v>2.7202345809534272</v>
      </c>
      <c r="DY311" s="5">
        <f t="shared" si="832"/>
        <v>5.0994438541599107</v>
      </c>
      <c r="DZ311" s="5"/>
      <c r="EA311" s="150">
        <f t="shared" si="833"/>
        <v>0.34787038923986141</v>
      </c>
      <c r="EB311" s="150">
        <f t="shared" si="860"/>
        <v>80.75</v>
      </c>
      <c r="EC311" s="150">
        <f t="shared" si="861"/>
        <v>0.4730521382542473</v>
      </c>
      <c r="ED311" s="150">
        <f t="shared" si="862"/>
        <v>170.69999999999996</v>
      </c>
      <c r="EE311" s="144">
        <f t="shared" si="834"/>
        <v>0.76006554467816345</v>
      </c>
      <c r="EF311" s="5">
        <f t="shared" si="835"/>
        <v>42.893759502438826</v>
      </c>
      <c r="EH311" s="150">
        <f t="shared" si="863"/>
        <v>9.8805969772858759</v>
      </c>
      <c r="EI311" s="150">
        <f t="shared" si="864"/>
        <v>0.67641217810790555</v>
      </c>
      <c r="EK311" s="456">
        <f t="shared" si="865"/>
        <v>0.33192906853367266</v>
      </c>
      <c r="EL311" s="456">
        <f t="shared" si="866"/>
        <v>2.7676160000000003</v>
      </c>
      <c r="EM311" s="456">
        <f t="shared" si="867"/>
        <v>2.9285091695293076E-2</v>
      </c>
      <c r="EN311" s="456">
        <f t="shared" si="868"/>
        <v>5.2731946402476776E-2</v>
      </c>
      <c r="EO311">
        <f t="shared" si="869"/>
        <v>7.1999999999999998E-3</v>
      </c>
      <c r="EP311" s="144">
        <f t="shared" si="870"/>
        <v>36.485091695293079</v>
      </c>
      <c r="EQ311" s="144"/>
      <c r="ER311" s="144">
        <f t="shared" si="871"/>
        <v>3188.7621066314427</v>
      </c>
      <c r="ES311" s="456">
        <f t="shared" si="872"/>
        <v>1.1875</v>
      </c>
      <c r="EV311" s="144">
        <f t="shared" si="873"/>
        <v>1187.5</v>
      </c>
      <c r="EW311" s="456">
        <f t="shared" si="874"/>
        <v>0.14643929494132618</v>
      </c>
      <c r="EX311" s="456">
        <f t="shared" si="875"/>
        <v>9.1506686938536197E-2</v>
      </c>
      <c r="EY311" s="456">
        <f t="shared" si="876"/>
        <v>41.935852026837779</v>
      </c>
      <c r="EZ311" s="456"/>
      <c r="FA311" s="456">
        <f t="shared" si="877"/>
        <v>0.10766666666666667</v>
      </c>
      <c r="FB311" s="144">
        <f t="shared" si="878"/>
        <v>42281.464675384304</v>
      </c>
      <c r="FC311" s="150">
        <f t="shared" si="879"/>
        <v>46.65772678201575</v>
      </c>
      <c r="FD311" s="5">
        <f t="shared" si="880"/>
        <v>80.75</v>
      </c>
      <c r="FE311" s="150">
        <f t="shared" si="881"/>
        <v>0.63379201591247825</v>
      </c>
      <c r="FF311" s="5">
        <f t="shared" si="882"/>
        <v>63.379201591247828</v>
      </c>
      <c r="FI311" s="59">
        <f t="shared" si="836"/>
        <v>-50</v>
      </c>
      <c r="FJ311">
        <f t="shared" si="837"/>
        <v>-50</v>
      </c>
      <c r="FL311">
        <f t="shared" si="838"/>
        <v>0.65212961076013864</v>
      </c>
    </row>
    <row r="312" spans="5:168">
      <c r="E312" s="147">
        <v>96</v>
      </c>
      <c r="F312" s="188">
        <f t="shared" si="839"/>
        <v>0.48</v>
      </c>
      <c r="G312" s="188"/>
      <c r="H312" s="188">
        <f>F312*Vout</f>
        <v>81.599999999999994</v>
      </c>
      <c r="I312" s="465">
        <f t="shared" si="765"/>
        <v>15.927160347378523</v>
      </c>
      <c r="J312" s="149">
        <f t="shared" si="766"/>
        <v>8.5424326176144358</v>
      </c>
      <c r="K312" s="149">
        <f t="shared" si="767"/>
        <v>24.469592964992959</v>
      </c>
      <c r="L312" s="379"/>
      <c r="M312" s="188">
        <f t="shared" si="768"/>
        <v>0.34910207491517603</v>
      </c>
      <c r="N312" s="149">
        <f>M312*I312*(Isw_max+VIN_max/Lmag*ILIM_delay)*0.5*Efficiency</f>
        <v>186.2297902485162</v>
      </c>
      <c r="O312" s="149">
        <f t="shared" si="762"/>
        <v>81.599999999999994</v>
      </c>
      <c r="P312" s="188">
        <f>N312/Vout</f>
        <v>1.0954693544030365</v>
      </c>
      <c r="Q312" s="188">
        <f t="shared" si="771"/>
        <v>170</v>
      </c>
      <c r="R312" s="188"/>
      <c r="S312" s="149">
        <f t="shared" si="772"/>
        <v>787.79238810204311</v>
      </c>
      <c r="T312" s="149">
        <f>MIN(Vout, S312)</f>
        <v>170</v>
      </c>
      <c r="U312" s="188">
        <f t="shared" si="774"/>
        <v>29.497712713553184</v>
      </c>
      <c r="V312" s="188">
        <f>L*U312/I312*1000000</f>
        <v>2.7780576138678974</v>
      </c>
      <c r="W312" s="188">
        <f t="shared" si="776"/>
        <v>5.1796216664435448</v>
      </c>
      <c r="X312" s="172">
        <f t="shared" si="777"/>
        <v>278.01176393099166</v>
      </c>
      <c r="Y312" s="379">
        <f t="shared" si="840"/>
        <v>122.58388269976486</v>
      </c>
      <c r="AA312" s="188">
        <f t="shared" si="778"/>
        <v>13.333333333333334</v>
      </c>
      <c r="AB312" s="150">
        <f>L*AA312/J312*1000000</f>
        <v>2.3412534690364599</v>
      </c>
      <c r="AC312" s="150">
        <f>0.5*AB312*AA312*Nps*X312/1000</f>
        <v>0.21696533557879322</v>
      </c>
      <c r="AD312" s="150"/>
      <c r="AE312" s="150">
        <f t="shared" si="781"/>
        <v>2.3412534690364599</v>
      </c>
      <c r="AF312" s="314">
        <f>MAX(12000,F312/(0.5*AE312/1000000*Isw_min*Nps))/1000</f>
        <v>615.05514846823917</v>
      </c>
      <c r="AG312" s="456">
        <f t="shared" si="783"/>
        <v>0.21696533557879322</v>
      </c>
      <c r="AI312" s="150">
        <f t="shared" si="784"/>
        <v>17.675094463717244</v>
      </c>
      <c r="AJ312" s="150">
        <f>MAX(IF(F312&gt;AC312,U312,AI312),Isw_min)</f>
        <v>29.497712713553184</v>
      </c>
      <c r="AK312" s="150">
        <f>IF(F312&gt;AG312, (AJ312-Isw_min)/1.08*0.8+1.2, AF312*0.2/350+1)</f>
        <v>13.173614355718405</v>
      </c>
      <c r="AM312" s="314">
        <f t="shared" si="787"/>
        <v>480</v>
      </c>
      <c r="AN312" s="144">
        <f t="shared" si="788"/>
        <v>122.58388269976486</v>
      </c>
      <c r="AP312">
        <f t="shared" si="789"/>
        <v>480</v>
      </c>
      <c r="AQ312">
        <f t="shared" si="790"/>
        <v>122.58388269976486</v>
      </c>
      <c r="AS312" s="5">
        <f t="shared" si="763"/>
        <v>8.1576792803114415</v>
      </c>
      <c r="AT312" s="5">
        <f t="shared" si="791"/>
        <v>2.7780576138678974</v>
      </c>
      <c r="AU312" s="5">
        <f t="shared" si="883"/>
        <v>5.3796216664435441</v>
      </c>
      <c r="AV312" s="5"/>
      <c r="AW312" s="150">
        <f t="shared" si="884"/>
        <v>0.34054508867157102</v>
      </c>
      <c r="AX312" s="150">
        <f t="shared" si="792"/>
        <v>79.996561408525196</v>
      </c>
      <c r="AY312" s="150">
        <f t="shared" si="793"/>
        <v>0.48631028804769222</v>
      </c>
      <c r="AZ312" s="150">
        <f t="shared" si="794"/>
        <v>164.49695466997804</v>
      </c>
      <c r="BA312" s="144">
        <f t="shared" si="885"/>
        <v>0.78439273803328868</v>
      </c>
      <c r="BB312" s="5">
        <f t="shared" si="886"/>
        <v>45.935906381249048</v>
      </c>
      <c r="BD312" s="150">
        <f t="shared" si="841"/>
        <v>9.9383668791251001</v>
      </c>
      <c r="BE312" s="150">
        <f t="shared" si="842"/>
        <v>0.69149695507828335</v>
      </c>
      <c r="BG312" s="456">
        <f t="shared" si="843"/>
        <v>0.33582186316190865</v>
      </c>
      <c r="BH312" s="456">
        <f t="shared" si="795"/>
        <v>2.1191123257961344</v>
      </c>
      <c r="BI312" s="456">
        <f t="shared" si="796"/>
        <v>8.9420522533963501E-2</v>
      </c>
      <c r="BJ312" s="456">
        <f t="shared" si="844"/>
        <v>5.0277935319486836E-2</v>
      </c>
      <c r="BK312">
        <f t="shared" si="845"/>
        <v>7.1672221563203352E-3</v>
      </c>
      <c r="BL312" s="144">
        <f t="shared" si="846"/>
        <v>96.587744690283827</v>
      </c>
      <c r="BM312" s="456">
        <f t="shared" si="797"/>
        <v>2.8209730639633319</v>
      </c>
      <c r="BN312" s="144">
        <f t="shared" si="847"/>
        <v>2820.9730639633317</v>
      </c>
      <c r="BO312" s="456">
        <f t="shared" si="798"/>
        <v>1.2</v>
      </c>
      <c r="BR312" s="144">
        <f t="shared" si="848"/>
        <v>1200</v>
      </c>
      <c r="BS312" s="456">
        <f t="shared" si="849"/>
        <v>0.14815670433613617</v>
      </c>
      <c r="BT312" s="456">
        <f t="shared" si="850"/>
        <v>9.5633607776507479E-2</v>
      </c>
      <c r="BU312" s="456">
        <f t="shared" si="851"/>
        <v>39.311923210547747</v>
      </c>
      <c r="BV312" s="456"/>
      <c r="BW312" s="456">
        <f t="shared" si="852"/>
        <v>0.1066620818780336</v>
      </c>
      <c r="BX312" s="144">
        <f t="shared" si="853"/>
        <v>39662.375604538429</v>
      </c>
      <c r="BY312" s="150">
        <f t="shared" si="854"/>
        <v>43.464175473506238</v>
      </c>
      <c r="BZ312" s="5">
        <f t="shared" si="855"/>
        <v>81.599999999999994</v>
      </c>
      <c r="CA312" s="150">
        <f t="shared" si="856"/>
        <v>0.65246502198614231</v>
      </c>
      <c r="CB312" s="5">
        <f t="shared" si="857"/>
        <v>65.246502198614237</v>
      </c>
      <c r="CE312" s="59">
        <f t="shared" si="799"/>
        <v>-50</v>
      </c>
      <c r="CF312">
        <f t="shared" si="800"/>
        <v>-50</v>
      </c>
      <c r="CG312" s="150">
        <f t="shared" si="801"/>
        <v>0.64580209140275868</v>
      </c>
      <c r="CI312" s="147">
        <v>96</v>
      </c>
      <c r="CJ312" s="188">
        <f t="shared" si="858"/>
        <v>0.48</v>
      </c>
      <c r="CK312" s="188"/>
      <c r="CL312" s="188">
        <f t="shared" si="802"/>
        <v>81.599999999999994</v>
      </c>
      <c r="CM312" s="465">
        <f t="shared" si="803"/>
        <v>16</v>
      </c>
      <c r="CN312" s="379">
        <f t="shared" si="804"/>
        <v>8.5350000000000001</v>
      </c>
      <c r="CO312" s="379">
        <f t="shared" si="805"/>
        <v>24.535</v>
      </c>
      <c r="CP312" s="379"/>
      <c r="CQ312" s="188">
        <f t="shared" si="806"/>
        <v>0.34787038923986141</v>
      </c>
      <c r="CR312" s="149">
        <f t="shared" si="807"/>
        <v>186.42142245771345</v>
      </c>
      <c r="CS312" s="149">
        <f t="shared" si="808"/>
        <v>81.599999999999994</v>
      </c>
      <c r="CT312" s="188">
        <f t="shared" si="809"/>
        <v>1.0965966026924321</v>
      </c>
      <c r="CU312" s="188">
        <f t="shared" si="810"/>
        <v>170</v>
      </c>
      <c r="CV312" s="188"/>
      <c r="CW312" s="149">
        <f t="shared" si="811"/>
        <v>791.39390586352874</v>
      </c>
      <c r="CX312" s="149">
        <f t="shared" si="812"/>
        <v>170</v>
      </c>
      <c r="CY312" s="188">
        <f t="shared" si="813"/>
        <v>29.321265377855887</v>
      </c>
      <c r="CZ312" s="188">
        <f t="shared" si="814"/>
        <v>2.7488686291739897</v>
      </c>
      <c r="DA312" s="188">
        <f t="shared" si="815"/>
        <v>5.1531222105194887</v>
      </c>
      <c r="DB312" s="172">
        <f t="shared" si="816"/>
        <v>278.29631139188916</v>
      </c>
      <c r="DC312" s="379">
        <f t="shared" si="817"/>
        <v>126.55038714760019</v>
      </c>
      <c r="DE312" s="188">
        <f t="shared" si="818"/>
        <v>13.333333333333332</v>
      </c>
      <c r="DF312" s="150">
        <f t="shared" si="819"/>
        <v>2.3432923257176332</v>
      </c>
      <c r="DG312" s="150">
        <f t="shared" si="820"/>
        <v>0.21737653692004619</v>
      </c>
      <c r="DH312" s="150"/>
      <c r="DI312" s="150">
        <f t="shared" si="821"/>
        <v>2.3432923257176337</v>
      </c>
      <c r="DJ312" s="314">
        <f t="shared" si="822"/>
        <v>614.51999999999975</v>
      </c>
      <c r="DK312" s="456">
        <f t="shared" si="823"/>
        <v>0.21737653692004627</v>
      </c>
      <c r="DM312" s="150">
        <f t="shared" si="824"/>
        <v>17.667403398834328</v>
      </c>
      <c r="DN312" s="150">
        <f t="shared" si="825"/>
        <v>29.321265377855887</v>
      </c>
      <c r="DO312" s="150">
        <f t="shared" si="826"/>
        <v>13.04291262557226</v>
      </c>
      <c r="DQ312" s="314">
        <f t="shared" si="827"/>
        <v>480</v>
      </c>
      <c r="DR312" s="144">
        <f t="shared" si="828"/>
        <v>126.55038714760019</v>
      </c>
      <c r="DT312">
        <f t="shared" si="829"/>
        <v>480</v>
      </c>
      <c r="DU312">
        <f t="shared" si="830"/>
        <v>126.55038714760019</v>
      </c>
      <c r="DW312" s="5">
        <f t="shared" si="859"/>
        <v>7.9019908396934788</v>
      </c>
      <c r="DX312" s="5">
        <f t="shared" si="831"/>
        <v>2.7488686291739897</v>
      </c>
      <c r="DY312" s="5">
        <f t="shared" si="832"/>
        <v>5.1531222105194896</v>
      </c>
      <c r="DZ312" s="5"/>
      <c r="EA312" s="150">
        <f t="shared" si="833"/>
        <v>0.34787038923986141</v>
      </c>
      <c r="EB312" s="150">
        <f t="shared" si="860"/>
        <v>81.599999999999994</v>
      </c>
      <c r="EC312" s="150">
        <f t="shared" si="861"/>
        <v>0.47803163444639724</v>
      </c>
      <c r="ED312" s="150">
        <f t="shared" si="862"/>
        <v>170.69999999999996</v>
      </c>
      <c r="EE312" s="144">
        <f t="shared" si="834"/>
        <v>0.77615114235500871</v>
      </c>
      <c r="EF312" s="5">
        <f t="shared" si="835"/>
        <v>43.801538789415652</v>
      </c>
      <c r="EH312" s="150">
        <f t="shared" si="863"/>
        <v>9.9846032612573055</v>
      </c>
      <c r="EI312" s="150">
        <f t="shared" si="864"/>
        <v>0.68353230629851502</v>
      </c>
      <c r="EK312" s="456">
        <f t="shared" si="865"/>
        <v>0.33895382776801408</v>
      </c>
      <c r="EL312" s="456">
        <f t="shared" si="866"/>
        <v>2.7676159999999994</v>
      </c>
      <c r="EM312" s="456">
        <f t="shared" si="867"/>
        <v>2.8980038656800444E-2</v>
      </c>
      <c r="EN312" s="456">
        <f t="shared" si="868"/>
        <v>5.2182655294117641E-2</v>
      </c>
      <c r="EO312">
        <f t="shared" si="869"/>
        <v>7.1999999999999998E-3</v>
      </c>
      <c r="EP312" s="144">
        <f t="shared" si="870"/>
        <v>36.180038656800448</v>
      </c>
      <c r="EQ312" s="144"/>
      <c r="ER312" s="144">
        <f t="shared" si="871"/>
        <v>3194.9325217189321</v>
      </c>
      <c r="ES312" s="456">
        <f t="shared" si="872"/>
        <v>1.2</v>
      </c>
      <c r="EV312" s="144">
        <f t="shared" si="873"/>
        <v>1200</v>
      </c>
      <c r="EW312" s="456">
        <f t="shared" si="874"/>
        <v>0.14953845342706504</v>
      </c>
      <c r="EX312" s="456">
        <f t="shared" si="875"/>
        <v>9.3443282750753393E-2</v>
      </c>
      <c r="EY312" s="456">
        <f t="shared" si="876"/>
        <v>41.935852026837779</v>
      </c>
      <c r="EZ312" s="456"/>
      <c r="FA312" s="456">
        <f t="shared" si="877"/>
        <v>0.10879999999999999</v>
      </c>
      <c r="FB312" s="144">
        <f t="shared" si="878"/>
        <v>42287.633763015598</v>
      </c>
      <c r="FC312" s="150">
        <f t="shared" si="879"/>
        <v>46.682566284734534</v>
      </c>
      <c r="FD312" s="5">
        <f t="shared" si="880"/>
        <v>81.599999999999994</v>
      </c>
      <c r="FE312" s="150">
        <f t="shared" si="881"/>
        <v>0.63609578731751881</v>
      </c>
      <c r="FF312" s="5">
        <f t="shared" si="882"/>
        <v>63.609578731751881</v>
      </c>
      <c r="FI312" s="59">
        <f t="shared" si="836"/>
        <v>-50</v>
      </c>
      <c r="FJ312">
        <f t="shared" si="837"/>
        <v>-50</v>
      </c>
      <c r="FL312">
        <f t="shared" si="838"/>
        <v>0.65212961076013864</v>
      </c>
    </row>
    <row r="313" spans="5:168">
      <c r="E313" s="147">
        <v>97</v>
      </c>
      <c r="F313" s="188">
        <f>IF(PLOT_TYPE=1, E313/100*Iout_max, min_I*EXP(N313*rr/100))</f>
        <v>0.48499999999999999</v>
      </c>
      <c r="G313" s="188"/>
      <c r="H313" s="188">
        <f>F313*Vout</f>
        <v>82.45</v>
      </c>
      <c r="I313" s="465">
        <f t="shared" si="765"/>
        <v>15.926409034385054</v>
      </c>
      <c r="J313" s="149">
        <f t="shared" si="766"/>
        <v>8.5425092822056055</v>
      </c>
      <c r="K313" s="149">
        <f t="shared" si="767"/>
        <v>24.46891831659066</v>
      </c>
      <c r="L313" s="379"/>
      <c r="M313" s="188">
        <f t="shared" si="768"/>
        <v>0.34911483360786832</v>
      </c>
      <c r="N313" s="149">
        <f>M313*I313*(Isw_max+VIN_max/Lmag*ILIM_delay)*0.5*Efficiency</f>
        <v>186.22781130274126</v>
      </c>
      <c r="O313" s="149">
        <f t="shared" si="762"/>
        <v>82.45</v>
      </c>
      <c r="P313" s="188">
        <f>N313/Vout</f>
        <v>1.0954577135455368</v>
      </c>
      <c r="Q313" s="188">
        <f t="shared" si="771"/>
        <v>170</v>
      </c>
      <c r="R313" s="188"/>
      <c r="S313" s="149">
        <f t="shared" si="772"/>
        <v>776.35731953376876</v>
      </c>
      <c r="T313" s="149">
        <f>MIN(Vout, S313)</f>
        <v>170</v>
      </c>
      <c r="U313" s="188">
        <f t="shared" si="774"/>
        <v>29.805564793455893</v>
      </c>
      <c r="V313" s="188">
        <f>L*U313/I313*1000000</f>
        <v>2.807183156834582</v>
      </c>
      <c r="W313" s="188">
        <f t="shared" si="776"/>
        <v>5.2336316781432304</v>
      </c>
      <c r="X313" s="172">
        <f t="shared" si="777"/>
        <v>278.00880947849367</v>
      </c>
      <c r="Y313" s="379">
        <f t="shared" si="840"/>
        <v>121.34722354827579</v>
      </c>
      <c r="AA313" s="188">
        <f t="shared" si="778"/>
        <v>13.333333333333332</v>
      </c>
      <c r="AB313" s="150">
        <f>L*AA313/J313*1000000</f>
        <v>2.3412324575006096</v>
      </c>
      <c r="AC313" s="150">
        <f>0.5*AB313*AA313*Nps*X313/1000</f>
        <v>0.21696108274071751</v>
      </c>
      <c r="AD313" s="150"/>
      <c r="AE313" s="150">
        <f t="shared" si="781"/>
        <v>2.34123245750061</v>
      </c>
      <c r="AF313" s="314">
        <f>MAX(12000,F313/(0.5*AE313/1000000*Isw_min*Nps))/1000</f>
        <v>621.46755028045754</v>
      </c>
      <c r="AG313" s="456">
        <f t="shared" si="783"/>
        <v>0.2169610827407176</v>
      </c>
      <c r="AI313" s="150">
        <f t="shared" si="784"/>
        <v>17.766993479069885</v>
      </c>
      <c r="AJ313" s="150">
        <f>MAX(IF(F313&gt;AC313,U313,AI313),Isw_min)</f>
        <v>29.805564793455893</v>
      </c>
      <c r="AK313" s="150">
        <f>IF(F313&gt;AG313, (AJ313-Isw_min)/1.08*0.8+1.2, AF313*0.2/350+1)</f>
        <v>13.401652933424115</v>
      </c>
      <c r="AM313" s="314">
        <f t="shared" si="787"/>
        <v>485</v>
      </c>
      <c r="AN313" s="144">
        <f t="shared" si="788"/>
        <v>121.34722354827579</v>
      </c>
      <c r="AP313">
        <f t="shared" si="789"/>
        <v>485</v>
      </c>
      <c r="AQ313">
        <f t="shared" si="790"/>
        <v>121.34722354827579</v>
      </c>
      <c r="AS313" s="5">
        <f t="shared" si="763"/>
        <v>8.2408148349778116</v>
      </c>
      <c r="AT313" s="5">
        <f t="shared" si="791"/>
        <v>2.807183156834582</v>
      </c>
      <c r="AU313" s="5">
        <f t="shared" si="883"/>
        <v>5.4336316781432297</v>
      </c>
      <c r="AV313" s="5"/>
      <c r="AW313" s="150">
        <f t="shared" si="884"/>
        <v>0.34064388207336055</v>
      </c>
      <c r="AX313" s="150">
        <f t="shared" si="792"/>
        <v>80.851078787097521</v>
      </c>
      <c r="AY313" s="150">
        <f t="shared" si="793"/>
        <v>0.49131203737059992</v>
      </c>
      <c r="AZ313" s="150">
        <f t="shared" si="794"/>
        <v>164.56156706396962</v>
      </c>
      <c r="BA313" s="144">
        <f t="shared" si="885"/>
        <v>0.80087284180280716</v>
      </c>
      <c r="BB313" s="5">
        <f t="shared" si="886"/>
        <v>46.882605582513165</v>
      </c>
      <c r="BD313" s="150">
        <f t="shared" si="841"/>
        <v>10.043544893955984</v>
      </c>
      <c r="BE313" s="150">
        <f t="shared" si="842"/>
        <v>0.69866140496557749</v>
      </c>
      <c r="BG313" s="456">
        <f t="shared" si="843"/>
        <v>0.34296749972549162</v>
      </c>
      <c r="BH313" s="456">
        <f t="shared" si="795"/>
        <v>2.1195686568285361</v>
      </c>
      <c r="BI313" s="456">
        <f t="shared" si="796"/>
        <v>8.8514248697689549E-2</v>
      </c>
      <c r="BJ313" s="456">
        <f t="shared" si="844"/>
        <v>4.9767973588516458E-2</v>
      </c>
      <c r="BK313">
        <f t="shared" si="845"/>
        <v>7.1668840654732745E-3</v>
      </c>
      <c r="BL313" s="144">
        <f t="shared" si="846"/>
        <v>95.681132763162822</v>
      </c>
      <c r="BM313" s="456">
        <f t="shared" si="797"/>
        <v>2.8360091235621185</v>
      </c>
      <c r="BN313" s="144">
        <f t="shared" si="847"/>
        <v>2836.0091235621185</v>
      </c>
      <c r="BO313" s="456">
        <f t="shared" si="798"/>
        <v>1.2124999999999999</v>
      </c>
      <c r="BR313" s="144">
        <f t="shared" si="848"/>
        <v>1212.5</v>
      </c>
      <c r="BS313" s="456">
        <f t="shared" si="849"/>
        <v>0.15130919105536397</v>
      </c>
      <c r="BT313" s="456">
        <f t="shared" si="850"/>
        <v>9.7625551757694939E-2</v>
      </c>
      <c r="BU313" s="456">
        <f t="shared" si="851"/>
        <v>39.335801518130609</v>
      </c>
      <c r="BV313" s="456"/>
      <c r="BW313" s="456">
        <f t="shared" si="852"/>
        <v>0.10780143838279671</v>
      </c>
      <c r="BX313" s="144">
        <f t="shared" si="853"/>
        <v>39692.537699326458</v>
      </c>
      <c r="BY313" s="150">
        <f t="shared" si="854"/>
        <v>43.513022962232171</v>
      </c>
      <c r="BZ313" s="5">
        <f t="shared" si="855"/>
        <v>82.45</v>
      </c>
      <c r="CA313" s="150">
        <f t="shared" si="856"/>
        <v>0.65455717131146662</v>
      </c>
      <c r="CB313" s="5">
        <f t="shared" si="857"/>
        <v>65.455717131146656</v>
      </c>
      <c r="CE313" s="59">
        <f t="shared" si="799"/>
        <v>-50</v>
      </c>
      <c r="CF313">
        <f t="shared" si="800"/>
        <v>-50</v>
      </c>
      <c r="CG313" s="150">
        <f t="shared" si="801"/>
        <v>0.64586732356108212</v>
      </c>
      <c r="CI313" s="147">
        <v>97</v>
      </c>
      <c r="CJ313" s="188">
        <f t="shared" si="858"/>
        <v>0.48499999999999999</v>
      </c>
      <c r="CK313" s="188"/>
      <c r="CL313" s="188">
        <f t="shared" si="802"/>
        <v>82.45</v>
      </c>
      <c r="CM313" s="465">
        <f t="shared" si="803"/>
        <v>16</v>
      </c>
      <c r="CN313" s="379">
        <f t="shared" si="804"/>
        <v>8.5350000000000001</v>
      </c>
      <c r="CO313" s="379">
        <f t="shared" si="805"/>
        <v>24.535</v>
      </c>
      <c r="CP313" s="379"/>
      <c r="CQ313" s="188">
        <f t="shared" si="806"/>
        <v>0.34787038923986141</v>
      </c>
      <c r="CR313" s="149">
        <f t="shared" si="807"/>
        <v>186.42142245771345</v>
      </c>
      <c r="CS313" s="149">
        <f t="shared" si="808"/>
        <v>82.45</v>
      </c>
      <c r="CT313" s="188">
        <f t="shared" si="809"/>
        <v>1.0965966026924321</v>
      </c>
      <c r="CU313" s="188">
        <f t="shared" si="810"/>
        <v>170</v>
      </c>
      <c r="CV313" s="188"/>
      <c r="CW313" s="149">
        <f t="shared" si="811"/>
        <v>779.94330022115264</v>
      </c>
      <c r="CX313" s="149">
        <f t="shared" si="812"/>
        <v>170</v>
      </c>
      <c r="CY313" s="188">
        <f t="shared" si="813"/>
        <v>29.626695225541887</v>
      </c>
      <c r="CZ313" s="188">
        <f t="shared" si="814"/>
        <v>2.7775026773945521</v>
      </c>
      <c r="DA313" s="188">
        <f t="shared" si="815"/>
        <v>5.2068005668790667</v>
      </c>
      <c r="DB313" s="172">
        <f t="shared" si="816"/>
        <v>278.29631139188916</v>
      </c>
      <c r="DC313" s="379">
        <f t="shared" si="817"/>
        <v>125.24574398113009</v>
      </c>
      <c r="DE313" s="188">
        <f t="shared" si="818"/>
        <v>13.333333333333332</v>
      </c>
      <c r="DF313" s="150">
        <f t="shared" si="819"/>
        <v>2.3432923257176332</v>
      </c>
      <c r="DG313" s="150">
        <f t="shared" si="820"/>
        <v>0.21737653692004619</v>
      </c>
      <c r="DH313" s="150"/>
      <c r="DI313" s="150">
        <f t="shared" si="821"/>
        <v>2.3432923257176337</v>
      </c>
      <c r="DJ313" s="314">
        <f t="shared" si="822"/>
        <v>620.92124999999976</v>
      </c>
      <c r="DK313" s="456">
        <f t="shared" si="823"/>
        <v>0.21737653692004627</v>
      </c>
      <c r="DM313" s="150">
        <f t="shared" si="824"/>
        <v>17.759182735378658</v>
      </c>
      <c r="DN313" s="150">
        <f t="shared" si="825"/>
        <v>29.626695225541887</v>
      </c>
      <c r="DO313" s="150">
        <f t="shared" si="826"/>
        <v>13.269156957191518</v>
      </c>
      <c r="DQ313" s="314">
        <f t="shared" si="827"/>
        <v>485</v>
      </c>
      <c r="DR313" s="144">
        <f t="shared" si="828"/>
        <v>125.24574398113009</v>
      </c>
      <c r="DT313">
        <f t="shared" si="829"/>
        <v>485</v>
      </c>
      <c r="DU313">
        <f t="shared" si="830"/>
        <v>125.24574398113009</v>
      </c>
      <c r="DW313" s="5">
        <f t="shared" si="859"/>
        <v>7.9843032442736188</v>
      </c>
      <c r="DX313" s="5">
        <f t="shared" si="831"/>
        <v>2.7775026773945521</v>
      </c>
      <c r="DY313" s="5">
        <f t="shared" si="832"/>
        <v>5.2068005668790667</v>
      </c>
      <c r="DZ313" s="5"/>
      <c r="EA313" s="150">
        <f t="shared" si="833"/>
        <v>0.34787038923986141</v>
      </c>
      <c r="EB313" s="150">
        <f t="shared" si="860"/>
        <v>82.449999999999989</v>
      </c>
      <c r="EC313" s="150">
        <f t="shared" si="861"/>
        <v>0.48301113063854723</v>
      </c>
      <c r="ED313" s="150">
        <f t="shared" si="862"/>
        <v>170.69999999999996</v>
      </c>
      <c r="EE313" s="144">
        <f t="shared" si="834"/>
        <v>0.79240517560962231</v>
      </c>
      <c r="EF313" s="5">
        <f t="shared" si="835"/>
        <v>44.71882361866448</v>
      </c>
      <c r="EH313" s="150">
        <f t="shared" si="863"/>
        <v>10.088609545228735</v>
      </c>
      <c r="EI313" s="150">
        <f t="shared" si="864"/>
        <v>0.69065243448912461</v>
      </c>
      <c r="EK313" s="456">
        <f t="shared" si="865"/>
        <v>0.34605214469067314</v>
      </c>
      <c r="EL313" s="456">
        <f t="shared" si="866"/>
        <v>2.7676160000000003</v>
      </c>
      <c r="EM313" s="456">
        <f t="shared" si="867"/>
        <v>2.8681275371678791E-2</v>
      </c>
      <c r="EN313" s="456">
        <f t="shared" si="868"/>
        <v>5.1644689775621588E-2</v>
      </c>
      <c r="EO313">
        <f t="shared" si="869"/>
        <v>7.1999999999999998E-3</v>
      </c>
      <c r="EP313" s="144">
        <f t="shared" si="870"/>
        <v>35.88127537167879</v>
      </c>
      <c r="EQ313" s="144"/>
      <c r="ER313" s="144">
        <f t="shared" si="871"/>
        <v>3201.1941098379739</v>
      </c>
      <c r="ES313" s="456">
        <f t="shared" si="872"/>
        <v>1.2124999999999999</v>
      </c>
      <c r="EV313" s="144">
        <f t="shared" si="873"/>
        <v>1212.5</v>
      </c>
      <c r="EW313" s="456">
        <f t="shared" si="874"/>
        <v>0.15267006383412052</v>
      </c>
      <c r="EX313" s="456">
        <f t="shared" si="875"/>
        <v>9.5400157053150914E-2</v>
      </c>
      <c r="EY313" s="456">
        <f t="shared" si="876"/>
        <v>41.935852026837786</v>
      </c>
      <c r="EZ313" s="456"/>
      <c r="FA313" s="456">
        <f t="shared" si="877"/>
        <v>0.10993333333333336</v>
      </c>
      <c r="FB313" s="144">
        <f t="shared" si="878"/>
        <v>42293.855581058386</v>
      </c>
      <c r="FC313" s="150">
        <f t="shared" si="879"/>
        <v>46.707549690896364</v>
      </c>
      <c r="FD313" s="5">
        <f t="shared" si="880"/>
        <v>82.45</v>
      </c>
      <c r="FE313" s="150">
        <f t="shared" si="881"/>
        <v>0.63836763857259415</v>
      </c>
      <c r="FF313" s="5">
        <f t="shared" si="882"/>
        <v>63.836763857259413</v>
      </c>
      <c r="FI313" s="59">
        <f t="shared" si="836"/>
        <v>-50</v>
      </c>
      <c r="FJ313">
        <f t="shared" si="837"/>
        <v>-50</v>
      </c>
      <c r="FL313">
        <f t="shared" si="838"/>
        <v>0.65212961076013864</v>
      </c>
    </row>
    <row r="314" spans="5:168">
      <c r="E314" s="147">
        <v>98</v>
      </c>
      <c r="F314" s="188">
        <f>IF(PLOT_TYPE=1, E314/100*Iout_max, min_I*EXP(N314*rr/100))</f>
        <v>0.49</v>
      </c>
      <c r="G314" s="188"/>
      <c r="H314" s="188">
        <f>F314*Vout</f>
        <v>83.3</v>
      </c>
      <c r="I314" s="465">
        <f t="shared" si="765"/>
        <v>15.925657719920842</v>
      </c>
      <c r="J314" s="149">
        <f t="shared" si="766"/>
        <v>8.5425859469468524</v>
      </c>
      <c r="K314" s="149">
        <f t="shared" si="767"/>
        <v>24.468243666867693</v>
      </c>
      <c r="L314" s="379"/>
      <c r="M314" s="188">
        <f t="shared" si="768"/>
        <v>0.34912759302511637</v>
      </c>
      <c r="N314" s="149">
        <f>M314*I314*(Isw_max+VIN_max/Lmag*ILIM_delay)*0.5*Efficiency</f>
        <v>186.22583208412988</v>
      </c>
      <c r="O314" s="149">
        <f t="shared" si="762"/>
        <v>83.3</v>
      </c>
      <c r="P314" s="188">
        <f>N314/Vout</f>
        <v>1.0954460710831169</v>
      </c>
      <c r="Q314" s="188">
        <f t="shared" si="771"/>
        <v>170</v>
      </c>
      <c r="R314" s="188"/>
      <c r="S314" s="149">
        <f t="shared" si="772"/>
        <v>765.15604595975526</v>
      </c>
      <c r="T314" s="149">
        <f>MIN(Vout, S314)</f>
        <v>170</v>
      </c>
      <c r="U314" s="188">
        <f t="shared" si="774"/>
        <v>30.113428976190018</v>
      </c>
      <c r="V314" s="188">
        <f>L*U314/I314*1000000</f>
        <v>2.8363125880687048</v>
      </c>
      <c r="W314" s="188">
        <f t="shared" si="776"/>
        <v>5.2876428454815825</v>
      </c>
      <c r="X314" s="172">
        <f t="shared" si="777"/>
        <v>278.00585462188474</v>
      </c>
      <c r="Y314" s="379">
        <f t="shared" si="840"/>
        <v>120.13519389705401</v>
      </c>
      <c r="AA314" s="188">
        <f t="shared" si="778"/>
        <v>13.333333333333332</v>
      </c>
      <c r="AB314" s="150">
        <f>L*AA314/J314*1000000</f>
        <v>2.3412114463007616</v>
      </c>
      <c r="AC314" s="150">
        <f>0.5*AB314*AA314*Nps*X314/1000</f>
        <v>0.21695682965979401</v>
      </c>
      <c r="AD314" s="150"/>
      <c r="AE314" s="150">
        <f t="shared" si="781"/>
        <v>2.3412114463007616</v>
      </c>
      <c r="AF314" s="314">
        <f>MAX(12000,F314/(0.5*AE314/1000000*Isw_min*Nps))/1000</f>
        <v>627.88006710059358</v>
      </c>
      <c r="AG314" s="456">
        <f t="shared" si="783"/>
        <v>0.21695682965979401</v>
      </c>
      <c r="AI314" s="150">
        <f t="shared" si="784"/>
        <v>17.858421226021516</v>
      </c>
      <c r="AJ314" s="150">
        <f>MAX(IF(F314&gt;AC314,U314,AI314),Isw_min)</f>
        <v>30.113428976190018</v>
      </c>
      <c r="AK314" s="150">
        <f>IF(F314&gt;AG314, (AJ314-Isw_min)/1.08*0.8+1.2, AF314*0.2/350+1)</f>
        <v>13.629700476190138</v>
      </c>
      <c r="AM314" s="314">
        <f t="shared" si="787"/>
        <v>490</v>
      </c>
      <c r="AN314" s="144">
        <f t="shared" si="788"/>
        <v>120.13519389705401</v>
      </c>
      <c r="AP314">
        <f t="shared" si="789"/>
        <v>490</v>
      </c>
      <c r="AQ314">
        <f t="shared" si="790"/>
        <v>120.13519389705401</v>
      </c>
      <c r="AS314" s="5">
        <f t="shared" si="763"/>
        <v>8.323955433550287</v>
      </c>
      <c r="AT314" s="5">
        <f t="shared" si="791"/>
        <v>2.8363125880687048</v>
      </c>
      <c r="AU314" s="5">
        <f t="shared" si="883"/>
        <v>5.4876428454815827</v>
      </c>
      <c r="AV314" s="5"/>
      <c r="AW314" s="150">
        <f t="shared" si="884"/>
        <v>0.34074096272028892</v>
      </c>
      <c r="AX314" s="150">
        <f t="shared" si="792"/>
        <v>81.705621679181931</v>
      </c>
      <c r="AY314" s="150">
        <f t="shared" si="793"/>
        <v>0.49631375490084978</v>
      </c>
      <c r="AZ314" s="150">
        <f t="shared" si="794"/>
        <v>164.62493910833587</v>
      </c>
      <c r="BA314" s="144">
        <f t="shared" si="885"/>
        <v>0.81752539303156779</v>
      </c>
      <c r="BB314" s="5">
        <f t="shared" si="886"/>
        <v>47.839013105752791</v>
      </c>
      <c r="BD314" s="150">
        <f t="shared" si="841"/>
        <v>10.148731355519663</v>
      </c>
      <c r="BE314" s="150">
        <f t="shared" si="842"/>
        <v>0.70582597024367899</v>
      </c>
      <c r="BG314" s="456">
        <f t="shared" si="843"/>
        <v>0.35018894363012709</v>
      </c>
      <c r="BH314" s="456">
        <f t="shared" si="795"/>
        <v>2.120014244791022</v>
      </c>
      <c r="BI314" s="456">
        <f t="shared" si="796"/>
        <v>8.7626024597932894E-2</v>
      </c>
      <c r="BJ314" s="456">
        <f t="shared" si="844"/>
        <v>4.9268168570889788E-2</v>
      </c>
      <c r="BK314">
        <f t="shared" si="845"/>
        <v>7.1665459739643786E-3</v>
      </c>
      <c r="BL314" s="144">
        <f t="shared" si="846"/>
        <v>94.792570571897272</v>
      </c>
      <c r="BM314" s="456">
        <f t="shared" si="797"/>
        <v>2.8512612598299549</v>
      </c>
      <c r="BN314" s="144">
        <f t="shared" si="847"/>
        <v>2851.2612598299547</v>
      </c>
      <c r="BO314" s="456">
        <f t="shared" si="798"/>
        <v>1.2250000000000001</v>
      </c>
      <c r="BR314" s="144">
        <f t="shared" si="848"/>
        <v>1225</v>
      </c>
      <c r="BS314" s="456">
        <f t="shared" si="849"/>
        <v>0.15449512218976197</v>
      </c>
      <c r="BT314" s="456">
        <f t="shared" si="850"/>
        <v>9.9638060054086167E-2</v>
      </c>
      <c r="BU314" s="456">
        <f t="shared" si="851"/>
        <v>39.359191219793082</v>
      </c>
      <c r="BV314" s="456"/>
      <c r="BW314" s="456">
        <f t="shared" si="852"/>
        <v>0.1089408289055759</v>
      </c>
      <c r="BX314" s="144">
        <f t="shared" si="853"/>
        <v>39722.265230942503</v>
      </c>
      <c r="BY314" s="150">
        <f t="shared" si="854"/>
        <v>43.561529158506438</v>
      </c>
      <c r="BZ314" s="5">
        <f t="shared" si="855"/>
        <v>83.3</v>
      </c>
      <c r="CA314" s="150">
        <f t="shared" si="856"/>
        <v>0.6566214403416285</v>
      </c>
      <c r="CB314" s="5">
        <f t="shared" si="857"/>
        <v>65.66214403416285</v>
      </c>
      <c r="CE314" s="59">
        <f t="shared" si="799"/>
        <v>-50</v>
      </c>
      <c r="CF314">
        <f t="shared" si="800"/>
        <v>-50</v>
      </c>
      <c r="CG314" s="150">
        <f t="shared" si="801"/>
        <v>0.64593122445086848</v>
      </c>
      <c r="CI314" s="147">
        <v>98</v>
      </c>
      <c r="CJ314" s="188">
        <f t="shared" si="858"/>
        <v>0.49</v>
      </c>
      <c r="CK314" s="188"/>
      <c r="CL314" s="188">
        <f t="shared" si="802"/>
        <v>83.3</v>
      </c>
      <c r="CM314" s="465">
        <f t="shared" si="803"/>
        <v>16</v>
      </c>
      <c r="CN314" s="379">
        <f t="shared" si="804"/>
        <v>8.5350000000000001</v>
      </c>
      <c r="CO314" s="379">
        <f t="shared" si="805"/>
        <v>24.535</v>
      </c>
      <c r="CP314" s="379"/>
      <c r="CQ314" s="188">
        <f t="shared" si="806"/>
        <v>0.34787038923986141</v>
      </c>
      <c r="CR314" s="149">
        <f t="shared" si="807"/>
        <v>186.42142245771345</v>
      </c>
      <c r="CS314" s="149">
        <f t="shared" si="808"/>
        <v>83.3</v>
      </c>
      <c r="CT314" s="188">
        <f t="shared" si="809"/>
        <v>1.0965966026924321</v>
      </c>
      <c r="CU314" s="188">
        <f t="shared" si="810"/>
        <v>170</v>
      </c>
      <c r="CV314" s="188"/>
      <c r="CW314" s="149">
        <f t="shared" si="811"/>
        <v>768.72650007264144</v>
      </c>
      <c r="CX314" s="149">
        <f t="shared" si="812"/>
        <v>170</v>
      </c>
      <c r="CY314" s="188">
        <f t="shared" si="813"/>
        <v>29.932125073227883</v>
      </c>
      <c r="CZ314" s="188">
        <f t="shared" si="814"/>
        <v>2.8061367256151142</v>
      </c>
      <c r="DA314" s="188">
        <f t="shared" si="815"/>
        <v>5.2604789232386446</v>
      </c>
      <c r="DB314" s="172">
        <f t="shared" si="816"/>
        <v>278.29631139188916</v>
      </c>
      <c r="DC314" s="379">
        <f t="shared" si="817"/>
        <v>123.96772618540427</v>
      </c>
      <c r="DE314" s="188">
        <f t="shared" si="818"/>
        <v>13.333333333333332</v>
      </c>
      <c r="DF314" s="150">
        <f t="shared" si="819"/>
        <v>2.3432923257176332</v>
      </c>
      <c r="DG314" s="150">
        <f t="shared" si="820"/>
        <v>0.21737653692004619</v>
      </c>
      <c r="DH314" s="150"/>
      <c r="DI314" s="150">
        <f t="shared" si="821"/>
        <v>2.3432923257176337</v>
      </c>
      <c r="DJ314" s="314">
        <f t="shared" si="822"/>
        <v>627.32249999999976</v>
      </c>
      <c r="DK314" s="456">
        <f t="shared" si="823"/>
        <v>0.21737653692004627</v>
      </c>
      <c r="DM314" s="150">
        <f t="shared" si="824"/>
        <v>17.850490189347742</v>
      </c>
      <c r="DN314" s="150">
        <f t="shared" si="825"/>
        <v>29.932125073227883</v>
      </c>
      <c r="DO314" s="150">
        <f t="shared" si="826"/>
        <v>13.495401288810779</v>
      </c>
      <c r="DQ314" s="314">
        <f t="shared" si="827"/>
        <v>490</v>
      </c>
      <c r="DR314" s="144">
        <f t="shared" si="828"/>
        <v>123.96772618540427</v>
      </c>
      <c r="DT314">
        <f t="shared" si="829"/>
        <v>490</v>
      </c>
      <c r="DU314">
        <f t="shared" si="830"/>
        <v>123.96772618540427</v>
      </c>
      <c r="DW314" s="5">
        <f t="shared" si="859"/>
        <v>8.0666156488537588</v>
      </c>
      <c r="DX314" s="5">
        <f t="shared" si="831"/>
        <v>2.8061367256151142</v>
      </c>
      <c r="DY314" s="5">
        <f t="shared" si="832"/>
        <v>5.2604789232386446</v>
      </c>
      <c r="DZ314" s="5"/>
      <c r="EA314" s="150">
        <f t="shared" si="833"/>
        <v>0.34787038923986141</v>
      </c>
      <c r="EB314" s="150">
        <f t="shared" si="860"/>
        <v>83.299999999999969</v>
      </c>
      <c r="EC314" s="150">
        <f t="shared" si="861"/>
        <v>0.48799062683069716</v>
      </c>
      <c r="ED314" s="150">
        <f t="shared" si="862"/>
        <v>170.69999999999993</v>
      </c>
      <c r="EE314" s="144">
        <f t="shared" si="834"/>
        <v>0.8088276444420035</v>
      </c>
      <c r="EF314" s="5">
        <f t="shared" si="835"/>
        <v>45.645613990185311</v>
      </c>
      <c r="EH314" s="150">
        <f t="shared" si="863"/>
        <v>10.192615829200165</v>
      </c>
      <c r="EI314" s="150">
        <f t="shared" si="864"/>
        <v>0.69777256267973409</v>
      </c>
      <c r="EK314" s="456">
        <f t="shared" si="865"/>
        <v>0.35322401930164998</v>
      </c>
      <c r="EL314" s="456">
        <f t="shared" si="866"/>
        <v>2.7676159999999994</v>
      </c>
      <c r="EM314" s="456">
        <f t="shared" si="867"/>
        <v>2.8388609296457579E-2</v>
      </c>
      <c r="EN314" s="456">
        <f t="shared" si="868"/>
        <v>5.1117703145258105E-2</v>
      </c>
      <c r="EO314">
        <f t="shared" si="869"/>
        <v>7.1999999999999998E-3</v>
      </c>
      <c r="EP314" s="144">
        <f t="shared" si="870"/>
        <v>35.588609296457584</v>
      </c>
      <c r="EQ314" s="144"/>
      <c r="ER314" s="144">
        <f t="shared" si="871"/>
        <v>3207.546331743365</v>
      </c>
      <c r="ES314" s="456">
        <f t="shared" si="872"/>
        <v>1.2250000000000001</v>
      </c>
      <c r="EV314" s="144">
        <f t="shared" si="873"/>
        <v>1225</v>
      </c>
      <c r="EW314" s="456">
        <f t="shared" si="874"/>
        <v>0.15583412616249265</v>
      </c>
      <c r="EX314" s="456">
        <f t="shared" si="875"/>
        <v>9.7377309845728691E-2</v>
      </c>
      <c r="EY314" s="456">
        <f t="shared" si="876"/>
        <v>41.935852026837857</v>
      </c>
      <c r="EZ314" s="456"/>
      <c r="FA314" s="456">
        <f t="shared" si="877"/>
        <v>0.11106666666666663</v>
      </c>
      <c r="FB314" s="144">
        <f t="shared" si="878"/>
        <v>42300.130129512741</v>
      </c>
      <c r="FC314" s="150">
        <f t="shared" si="879"/>
        <v>46.732676461256112</v>
      </c>
      <c r="FD314" s="5">
        <f t="shared" si="880"/>
        <v>83.3</v>
      </c>
      <c r="FE314" s="150">
        <f t="shared" si="881"/>
        <v>0.64060820915902361</v>
      </c>
      <c r="FF314" s="5">
        <f t="shared" si="882"/>
        <v>64.060820915902354</v>
      </c>
      <c r="FI314" s="59">
        <f t="shared" si="836"/>
        <v>-50</v>
      </c>
      <c r="FJ314">
        <f t="shared" si="837"/>
        <v>-50</v>
      </c>
      <c r="FL314">
        <f t="shared" si="838"/>
        <v>0.65212961076013864</v>
      </c>
    </row>
    <row r="315" spans="5:168">
      <c r="E315" s="147">
        <v>99</v>
      </c>
      <c r="F315" s="188">
        <f>IF(PLOT_TYPE=1, E315/100*Iout_max, min_I*EXP(N315*rr/100))</f>
        <v>0.495</v>
      </c>
      <c r="G315" s="188"/>
      <c r="H315" s="188">
        <f>F315*Vout</f>
        <v>84.15</v>
      </c>
      <c r="I315" s="465">
        <f t="shared" si="765"/>
        <v>15.924906404030875</v>
      </c>
      <c r="J315" s="149">
        <f t="shared" si="766"/>
        <v>8.5426626118335829</v>
      </c>
      <c r="K315" s="149">
        <f t="shared" si="767"/>
        <v>24.467569015864456</v>
      </c>
      <c r="L315" s="379"/>
      <c r="M315" s="188">
        <f t="shared" si="768"/>
        <v>0.34914035316634051</v>
      </c>
      <c r="N315" s="149">
        <f>M315*I315*(Isw_max+VIN_max/Lmag*ILIM_delay)*0.5*Efficiency</f>
        <v>186.22385259284232</v>
      </c>
      <c r="O315" s="149">
        <f t="shared" si="762"/>
        <v>84.15</v>
      </c>
      <c r="P315" s="188">
        <f>N315/Vout</f>
        <v>1.0954344270167196</v>
      </c>
      <c r="Q315" s="188">
        <f t="shared" si="771"/>
        <v>170</v>
      </c>
      <c r="R315" s="188"/>
      <c r="S315" s="149">
        <f t="shared" si="772"/>
        <v>754.18148419006968</v>
      </c>
      <c r="T315" s="149">
        <f>MIN(Vout, S315)</f>
        <v>170</v>
      </c>
      <c r="U315" s="188">
        <f t="shared" si="774"/>
        <v>30.421305263468412</v>
      </c>
      <c r="V315" s="188">
        <f>L*U315/I315*1000000</f>
        <v>2.8654459082819081</v>
      </c>
      <c r="W315" s="188">
        <f t="shared" si="776"/>
        <v>5.3416551687282725</v>
      </c>
      <c r="X315" s="172">
        <f t="shared" si="777"/>
        <v>278.00289936130645</v>
      </c>
      <c r="Y315" s="379">
        <f t="shared" si="840"/>
        <v>118.94706520593307</v>
      </c>
      <c r="AA315" s="188">
        <f t="shared" si="778"/>
        <v>13.333333333333334</v>
      </c>
      <c r="AB315" s="150">
        <f>L*AA315/J315*1000000</f>
        <v>2.3411904354381652</v>
      </c>
      <c r="AC315" s="150">
        <f>0.5*AB315*AA315*Nps*X315/1000</f>
        <v>0.2169525763362565</v>
      </c>
      <c r="AD315" s="150"/>
      <c r="AE315" s="150">
        <f t="shared" si="781"/>
        <v>2.3411904354381652</v>
      </c>
      <c r="AF315" s="314">
        <f>MAX(12000,F315/(0.5*AE315/1000000*Isw_min*Nps))/1000</f>
        <v>634.29269892864352</v>
      </c>
      <c r="AG315" s="456">
        <f t="shared" si="783"/>
        <v>0.2169525763362565</v>
      </c>
      <c r="AI315" s="150">
        <f t="shared" si="784"/>
        <v>17.949384905991568</v>
      </c>
      <c r="AJ315" s="150">
        <f>MAX(IF(F315&gt;AC315,U315,AI315),Isw_min)</f>
        <v>30.421305263468412</v>
      </c>
      <c r="AK315" s="150">
        <f>IF(F315&gt;AG315, (AJ315-Isw_min)/1.08*0.8+1.2, AF315*0.2/350+1)</f>
        <v>13.85775698528524</v>
      </c>
      <c r="AM315" s="314">
        <f t="shared" si="787"/>
        <v>495</v>
      </c>
      <c r="AN315" s="144">
        <f t="shared" si="788"/>
        <v>118.94706520593307</v>
      </c>
      <c r="AP315">
        <f t="shared" si="789"/>
        <v>495</v>
      </c>
      <c r="AQ315">
        <f t="shared" si="790"/>
        <v>118.94706520593307</v>
      </c>
      <c r="AS315" s="5">
        <f t="shared" si="763"/>
        <v>8.4071010770101804</v>
      </c>
      <c r="AT315" s="5">
        <f t="shared" si="791"/>
        <v>2.8654459082819081</v>
      </c>
      <c r="AU315" s="5">
        <f t="shared" si="883"/>
        <v>5.5416551687282727</v>
      </c>
      <c r="AV315" s="5"/>
      <c r="AW315" s="150">
        <f t="shared" si="884"/>
        <v>0.34083638129648219</v>
      </c>
      <c r="AX315" s="150">
        <f t="shared" si="792"/>
        <v>82.560189783835483</v>
      </c>
      <c r="AY315" s="150">
        <f t="shared" si="793"/>
        <v>0.50131544157880537</v>
      </c>
      <c r="AZ315" s="150">
        <f t="shared" si="794"/>
        <v>164.68710703150614</v>
      </c>
      <c r="BA315" s="144">
        <f t="shared" si="885"/>
        <v>0.83435042623502609</v>
      </c>
      <c r="BB315" s="5">
        <f t="shared" si="886"/>
        <v>48.805130635958577</v>
      </c>
      <c r="BD315" s="150">
        <f t="shared" si="841"/>
        <v>10.253926250803621</v>
      </c>
      <c r="BE315" s="150">
        <f t="shared" si="842"/>
        <v>0.71299065168157016</v>
      </c>
      <c r="BG315" s="456">
        <f t="shared" si="843"/>
        <v>0.35748621209352666</v>
      </c>
      <c r="BH315" s="456">
        <f t="shared" si="795"/>
        <v>2.1204494074090148</v>
      </c>
      <c r="BI315" s="456">
        <f t="shared" si="796"/>
        <v>8.6755316324089782E-2</v>
      </c>
      <c r="BJ315" s="456">
        <f t="shared" si="844"/>
        <v>4.8778219831384501E-2</v>
      </c>
      <c r="BK315">
        <f t="shared" si="845"/>
        <v>7.1662078818138936E-3</v>
      </c>
      <c r="BL315" s="144">
        <f t="shared" si="846"/>
        <v>93.92152420590368</v>
      </c>
      <c r="BM315" s="456">
        <f t="shared" si="797"/>
        <v>2.8667316445159252</v>
      </c>
      <c r="BN315" s="144">
        <f t="shared" si="847"/>
        <v>2866.7316445159254</v>
      </c>
      <c r="BO315" s="456">
        <f t="shared" si="798"/>
        <v>1.2375</v>
      </c>
      <c r="BR315" s="144">
        <f t="shared" si="848"/>
        <v>1237.5</v>
      </c>
      <c r="BS315" s="456">
        <f t="shared" si="849"/>
        <v>0.15771450533537942</v>
      </c>
      <c r="BT315" s="456">
        <f t="shared" si="850"/>
        <v>0.10167113387706202</v>
      </c>
      <c r="BU315" s="456">
        <f t="shared" si="851"/>
        <v>39.382106495611097</v>
      </c>
      <c r="BV315" s="456"/>
      <c r="BW315" s="456">
        <f t="shared" si="852"/>
        <v>0.110080253045114</v>
      </c>
      <c r="BX315" s="144">
        <f t="shared" si="853"/>
        <v>39751.572387868648</v>
      </c>
      <c r="BY315" s="150">
        <f t="shared" si="854"/>
        <v>43.609707751408479</v>
      </c>
      <c r="BZ315" s="5">
        <f t="shared" si="855"/>
        <v>84.15</v>
      </c>
      <c r="CA315" s="150">
        <f t="shared" si="856"/>
        <v>0.65865836327472571</v>
      </c>
      <c r="CB315" s="5">
        <f t="shared" si="857"/>
        <v>65.865836327472564</v>
      </c>
      <c r="CE315" s="59">
        <f t="shared" si="799"/>
        <v>-50</v>
      </c>
      <c r="CF315">
        <f t="shared" si="800"/>
        <v>-50</v>
      </c>
      <c r="CG315" s="150">
        <f t="shared" si="801"/>
        <v>0.64599383441358826</v>
      </c>
      <c r="CI315" s="147">
        <v>99</v>
      </c>
      <c r="CJ315" s="188">
        <f t="shared" si="858"/>
        <v>0.495</v>
      </c>
      <c r="CK315" s="188"/>
      <c r="CL315" s="188">
        <f t="shared" si="802"/>
        <v>84.15</v>
      </c>
      <c r="CM315" s="465">
        <f t="shared" si="803"/>
        <v>16</v>
      </c>
      <c r="CN315" s="379">
        <f t="shared" si="804"/>
        <v>8.5350000000000001</v>
      </c>
      <c r="CO315" s="379">
        <f t="shared" si="805"/>
        <v>24.535</v>
      </c>
      <c r="CP315" s="379"/>
      <c r="CQ315" s="188">
        <f t="shared" si="806"/>
        <v>0.34787038923986141</v>
      </c>
      <c r="CR315" s="149">
        <f t="shared" si="807"/>
        <v>186.42142245771345</v>
      </c>
      <c r="CS315" s="149">
        <f t="shared" si="808"/>
        <v>84.15</v>
      </c>
      <c r="CT315" s="188">
        <f t="shared" si="809"/>
        <v>1.0965966026924321</v>
      </c>
      <c r="CU315" s="188">
        <f t="shared" si="810"/>
        <v>170</v>
      </c>
      <c r="CV315" s="188"/>
      <c r="CW315" s="149">
        <f t="shared" si="811"/>
        <v>757.7364219070472</v>
      </c>
      <c r="CX315" s="149">
        <f t="shared" si="812"/>
        <v>170</v>
      </c>
      <c r="CY315" s="188">
        <f t="shared" si="813"/>
        <v>30.237554920913887</v>
      </c>
      <c r="CZ315" s="188">
        <f t="shared" si="814"/>
        <v>2.8347707738356771</v>
      </c>
      <c r="DA315" s="188">
        <f t="shared" si="815"/>
        <v>5.3141572795982226</v>
      </c>
      <c r="DB315" s="172">
        <f t="shared" si="816"/>
        <v>278.29631139188916</v>
      </c>
      <c r="DC315" s="379">
        <f t="shared" si="817"/>
        <v>122.71552693100625</v>
      </c>
      <c r="DE315" s="188">
        <f t="shared" si="818"/>
        <v>13.333333333333332</v>
      </c>
      <c r="DF315" s="150">
        <f t="shared" si="819"/>
        <v>2.3432923257176332</v>
      </c>
      <c r="DG315" s="150">
        <f t="shared" si="820"/>
        <v>0.21737653692004619</v>
      </c>
      <c r="DH315" s="150"/>
      <c r="DI315" s="150">
        <f t="shared" si="821"/>
        <v>2.3432923257176337</v>
      </c>
      <c r="DJ315" s="314">
        <f t="shared" si="822"/>
        <v>633.72374999999977</v>
      </c>
      <c r="DK315" s="456">
        <f t="shared" si="823"/>
        <v>0.21737653692004627</v>
      </c>
      <c r="DM315" s="150">
        <f t="shared" si="824"/>
        <v>17.941332965290748</v>
      </c>
      <c r="DN315" s="150">
        <f t="shared" si="825"/>
        <v>30.237554920913887</v>
      </c>
      <c r="DO315" s="150">
        <f t="shared" si="826"/>
        <v>13.721645620430037</v>
      </c>
      <c r="DQ315" s="314">
        <f t="shared" si="827"/>
        <v>495</v>
      </c>
      <c r="DR315" s="144">
        <f t="shared" si="828"/>
        <v>122.71552693100625</v>
      </c>
      <c r="DT315">
        <f t="shared" si="829"/>
        <v>495</v>
      </c>
      <c r="DU315">
        <f t="shared" si="830"/>
        <v>122.71552693100625</v>
      </c>
      <c r="DW315" s="5">
        <f t="shared" si="859"/>
        <v>8.1489280534338988</v>
      </c>
      <c r="DX315" s="5">
        <f t="shared" si="831"/>
        <v>2.8347707738356771</v>
      </c>
      <c r="DY315" s="5">
        <f t="shared" si="832"/>
        <v>5.3141572795982217</v>
      </c>
      <c r="DZ315" s="5"/>
      <c r="EA315" s="150">
        <f t="shared" si="833"/>
        <v>0.34787038923986147</v>
      </c>
      <c r="EB315" s="150">
        <f t="shared" si="860"/>
        <v>84.15</v>
      </c>
      <c r="EC315" s="150">
        <f t="shared" si="861"/>
        <v>0.49297012302284715</v>
      </c>
      <c r="ED315" s="150">
        <f t="shared" si="862"/>
        <v>170.7</v>
      </c>
      <c r="EE315" s="144">
        <f t="shared" si="834"/>
        <v>0.82541854885215304</v>
      </c>
      <c r="EF315" s="5">
        <f t="shared" si="835"/>
        <v>46.581909903978158</v>
      </c>
      <c r="EH315" s="150">
        <f t="shared" si="863"/>
        <v>10.296622113171598</v>
      </c>
      <c r="EI315" s="150">
        <f t="shared" si="864"/>
        <v>0.70489269087034367</v>
      </c>
      <c r="EK315" s="456">
        <f t="shared" si="865"/>
        <v>0.36046945160094473</v>
      </c>
      <c r="EL315" s="456">
        <f t="shared" si="866"/>
        <v>2.7676160000000003</v>
      </c>
      <c r="EM315" s="456">
        <f t="shared" si="867"/>
        <v>2.8101855667200432E-2</v>
      </c>
      <c r="EN315" s="456">
        <f t="shared" si="868"/>
        <v>5.0601362709447414E-2</v>
      </c>
      <c r="EO315">
        <f t="shared" si="869"/>
        <v>7.1999999999999998E-3</v>
      </c>
      <c r="EP315" s="144">
        <f t="shared" si="870"/>
        <v>35.301855667200435</v>
      </c>
      <c r="EQ315" s="144"/>
      <c r="ER315" s="144">
        <f t="shared" si="871"/>
        <v>3213.988669977593</v>
      </c>
      <c r="ES315" s="456">
        <f t="shared" si="872"/>
        <v>1.2375</v>
      </c>
      <c r="EV315" s="144">
        <f t="shared" si="873"/>
        <v>1237.5</v>
      </c>
      <c r="EW315" s="456">
        <f t="shared" si="874"/>
        <v>0.15903064041218151</v>
      </c>
      <c r="EX315" s="456">
        <f t="shared" si="875"/>
        <v>9.9374741128486779E-2</v>
      </c>
      <c r="EY315" s="456">
        <f t="shared" si="876"/>
        <v>41.935852026837786</v>
      </c>
      <c r="EZ315" s="456"/>
      <c r="FA315" s="456">
        <f t="shared" si="877"/>
        <v>0.11220000000000002</v>
      </c>
      <c r="FB315" s="144">
        <f t="shared" si="878"/>
        <v>42306.457408378454</v>
      </c>
      <c r="FC315" s="150">
        <f t="shared" si="879"/>
        <v>46.757946078356049</v>
      </c>
      <c r="FD315" s="5">
        <f t="shared" si="880"/>
        <v>84.15</v>
      </c>
      <c r="FE315" s="150">
        <f t="shared" si="881"/>
        <v>0.64281812159539431</v>
      </c>
      <c r="FF315" s="5">
        <f t="shared" si="882"/>
        <v>64.281812159539427</v>
      </c>
      <c r="FI315" s="59">
        <f t="shared" si="836"/>
        <v>-50</v>
      </c>
      <c r="FJ315">
        <f t="shared" si="837"/>
        <v>-50</v>
      </c>
      <c r="FL315">
        <f t="shared" si="838"/>
        <v>0.65212961076013853</v>
      </c>
    </row>
    <row r="316" spans="5:168">
      <c r="E316" s="147">
        <v>100</v>
      </c>
      <c r="F316" s="188">
        <f>IF(PLOT_TYPE=1, E316/100*Iout_max, min_I*EXP(N316*rr/100))</f>
        <v>0.5</v>
      </c>
      <c r="G316" s="188"/>
      <c r="H316" s="188">
        <f>F316*Vout</f>
        <v>85</v>
      </c>
      <c r="I316" s="465">
        <f t="shared" si="765"/>
        <v>15.924155086758329</v>
      </c>
      <c r="J316" s="149">
        <f t="shared" si="766"/>
        <v>8.5427392768613952</v>
      </c>
      <c r="K316" s="149">
        <f t="shared" si="767"/>
        <v>24.466894363619723</v>
      </c>
      <c r="L316" s="379"/>
      <c r="M316" s="188">
        <f t="shared" si="768"/>
        <v>0.34915311403098653</v>
      </c>
      <c r="N316" s="149">
        <f>M316*I316*(Isw_max+VIN_max/Lmag*ILIM_delay)*0.5*Efficiency</f>
        <v>186.2218728290315</v>
      </c>
      <c r="O316" s="149">
        <f t="shared" si="762"/>
        <v>85</v>
      </c>
      <c r="P316" s="188">
        <f>N316/Vout</f>
        <v>1.0954227813472441</v>
      </c>
      <c r="Q316" s="188">
        <f t="shared" si="771"/>
        <v>170</v>
      </c>
      <c r="R316" s="188"/>
      <c r="S316" s="149">
        <f t="shared" si="772"/>
        <v>743.42683438744814</v>
      </c>
      <c r="T316" s="149">
        <f>MIN(Vout, S316)</f>
        <v>170</v>
      </c>
      <c r="U316" s="188">
        <f t="shared" si="774"/>
        <v>30.729193657004284</v>
      </c>
      <c r="V316" s="188">
        <f>L*U316/I316*1000000</f>
        <v>2.8945831181860031</v>
      </c>
      <c r="W316" s="188">
        <f t="shared" si="776"/>
        <v>5.3956686481530198</v>
      </c>
      <c r="X316" s="172">
        <f t="shared" si="777"/>
        <v>277.99994369689358</v>
      </c>
      <c r="Y316" s="379">
        <f t="shared" si="840"/>
        <v>117.78213738780539</v>
      </c>
      <c r="AA316" s="188">
        <f t="shared" si="778"/>
        <v>13.333333333333334</v>
      </c>
      <c r="AB316" s="150">
        <f>L*AA316/J316*1000000</f>
        <v>2.3411694249140198</v>
      </c>
      <c r="AC316" s="150">
        <f>0.5*AB316*AA316*Nps*X316/1000</f>
        <v>0.2169483227703288</v>
      </c>
      <c r="AD316" s="150"/>
      <c r="AE316" s="150">
        <f t="shared" si="781"/>
        <v>2.3411694249140198</v>
      </c>
      <c r="AF316" s="314">
        <f>MAX(12000,F316/(0.5*AE316/1000000*Isw_min*Nps))/1000</f>
        <v>640.70544576460452</v>
      </c>
      <c r="AG316" s="456">
        <f t="shared" si="783"/>
        <v>0.21694832277032877</v>
      </c>
      <c r="AI316" s="150">
        <f t="shared" si="784"/>
        <v>18.039891538963779</v>
      </c>
      <c r="AJ316" s="150">
        <f>MAX(IF(F316&gt;AC316,U316,AI316),Isw_min)</f>
        <v>30.729193657004284</v>
      </c>
      <c r="AK316" s="150">
        <f>IF(F316&gt;AG316, (AJ316-Isw_min)/1.08*0.8+1.2, AF316*0.2/350+1)</f>
        <v>14.085822461978484</v>
      </c>
      <c r="AM316" s="314">
        <f t="shared" si="787"/>
        <v>500</v>
      </c>
      <c r="AN316" s="144">
        <f t="shared" si="788"/>
        <v>117.78213738780539</v>
      </c>
      <c r="AP316">
        <f t="shared" si="789"/>
        <v>500</v>
      </c>
      <c r="AQ316">
        <f t="shared" si="790"/>
        <v>117.78213738780539</v>
      </c>
      <c r="AS316" s="5">
        <f t="shared" si="763"/>
        <v>8.4902517663390213</v>
      </c>
      <c r="AT316" s="5">
        <f t="shared" si="791"/>
        <v>2.8945831181860031</v>
      </c>
      <c r="AU316" s="5">
        <f t="shared" si="883"/>
        <v>5.5956686481530182</v>
      </c>
      <c r="AV316" s="5"/>
      <c r="AW316" s="150">
        <f>AT316/AS316</f>
        <v>0.34093018650660595</v>
      </c>
      <c r="AX316" s="150">
        <f t="shared" si="792"/>
        <v>83.414782811868719</v>
      </c>
      <c r="AY316" s="150">
        <f t="shared" si="793"/>
        <v>0.50631709830810512</v>
      </c>
      <c r="AZ316" s="150">
        <f t="shared" si="794"/>
        <v>164.74810566462241</v>
      </c>
      <c r="BA316" s="144">
        <f t="shared" si="885"/>
        <v>0.85134797593705969</v>
      </c>
      <c r="BB316" s="5">
        <f t="shared" si="886"/>
        <v>49.780959858535539</v>
      </c>
      <c r="BD316" s="150">
        <f t="shared" si="841"/>
        <v>10.359129567345944</v>
      </c>
      <c r="BE316" s="150">
        <f t="shared" si="842"/>
        <v>0.72015545001900438</v>
      </c>
      <c r="BG316" s="456">
        <f t="shared" si="843"/>
        <v>0.36485932233640722</v>
      </c>
      <c r="BH316" s="456">
        <f t="shared" si="795"/>
        <v>2.1208744499992029</v>
      </c>
      <c r="BI316" s="456">
        <f t="shared" si="796"/>
        <v>8.5901610817368662E-2</v>
      </c>
      <c r="BJ316" s="456">
        <f t="shared" si="844"/>
        <v>4.8297838668237524E-2</v>
      </c>
      <c r="BK316">
        <f t="shared" si="845"/>
        <v>7.1658697890412482E-3</v>
      </c>
      <c r="BL316" s="144">
        <f t="shared" si="846"/>
        <v>93.067480606409916</v>
      </c>
      <c r="BM316" s="456">
        <f t="shared" si="797"/>
        <v>2.8824224911481471</v>
      </c>
      <c r="BN316" s="144">
        <f t="shared" si="847"/>
        <v>2882.4224911481469</v>
      </c>
      <c r="BO316" s="456">
        <f t="shared" si="798"/>
        <v>1.25</v>
      </c>
      <c r="BR316" s="144">
        <f t="shared" si="848"/>
        <v>1250</v>
      </c>
      <c r="BS316" s="456">
        <f t="shared" si="849"/>
        <v>0.16096734808959146</v>
      </c>
      <c r="BT316" s="456">
        <f t="shared" si="850"/>
        <v>0.10372477443841495</v>
      </c>
      <c r="BU316" s="456">
        <f t="shared" si="851"/>
        <v>39.404560982217916</v>
      </c>
      <c r="BV316" s="456"/>
      <c r="BW316" s="456">
        <f t="shared" si="852"/>
        <v>0.11121971041582498</v>
      </c>
      <c r="BX316" s="144">
        <f t="shared" si="853"/>
        <v>39780.472815161746</v>
      </c>
      <c r="BY316" s="150">
        <f t="shared" si="854"/>
        <v>43.657571906772006</v>
      </c>
      <c r="BZ316" s="5">
        <f t="shared" si="855"/>
        <v>85</v>
      </c>
      <c r="CA316" s="150">
        <f t="shared" si="856"/>
        <v>0.66066846078513586</v>
      </c>
      <c r="CB316" s="5">
        <f t="shared" si="857"/>
        <v>66.066846078513592</v>
      </c>
      <c r="CE316" s="59">
        <f t="shared" si="799"/>
        <v>-50</v>
      </c>
      <c r="CF316">
        <f t="shared" si="800"/>
        <v>-50</v>
      </c>
      <c r="CG316" s="150">
        <f t="shared" si="801"/>
        <v>0.64605519217705376</v>
      </c>
      <c r="CI316" s="147">
        <v>100</v>
      </c>
      <c r="CJ316" s="188">
        <f t="shared" si="858"/>
        <v>0.5</v>
      </c>
      <c r="CK316" s="188"/>
      <c r="CL316" s="188">
        <f t="shared" si="802"/>
        <v>85</v>
      </c>
      <c r="CM316" s="465">
        <f t="shared" si="803"/>
        <v>16</v>
      </c>
      <c r="CN316" s="379">
        <f t="shared" si="804"/>
        <v>8.5350000000000001</v>
      </c>
      <c r="CO316" s="379">
        <f t="shared" si="805"/>
        <v>24.535</v>
      </c>
      <c r="CP316" s="379"/>
      <c r="CQ316" s="188">
        <f t="shared" si="806"/>
        <v>0.34787038923986141</v>
      </c>
      <c r="CR316" s="149">
        <f t="shared" si="807"/>
        <v>186.42142245771345</v>
      </c>
      <c r="CS316" s="149">
        <f t="shared" si="808"/>
        <v>85</v>
      </c>
      <c r="CT316" s="188">
        <f t="shared" si="809"/>
        <v>1.0965966026924321</v>
      </c>
      <c r="CU316" s="188">
        <f t="shared" si="810"/>
        <v>170</v>
      </c>
      <c r="CV316" s="188"/>
      <c r="CW316" s="149">
        <f t="shared" si="811"/>
        <v>746.96626557905927</v>
      </c>
      <c r="CX316" s="149">
        <f t="shared" si="812"/>
        <v>170</v>
      </c>
      <c r="CY316" s="188">
        <f t="shared" si="813"/>
        <v>30.542984768599883</v>
      </c>
      <c r="CZ316" s="188">
        <f t="shared" si="814"/>
        <v>2.8634048220562391</v>
      </c>
      <c r="DA316" s="188">
        <f t="shared" si="815"/>
        <v>5.3678356359578006</v>
      </c>
      <c r="DB316" s="172">
        <f t="shared" si="816"/>
        <v>278.29631139188916</v>
      </c>
      <c r="DC316" s="379">
        <f t="shared" si="817"/>
        <v>121.48837166169619</v>
      </c>
      <c r="DE316" s="188">
        <f t="shared" si="818"/>
        <v>13.333333333333332</v>
      </c>
      <c r="DF316" s="150">
        <f t="shared" si="819"/>
        <v>2.3432923257176332</v>
      </c>
      <c r="DG316" s="150">
        <f t="shared" si="820"/>
        <v>0.21737653692004619</v>
      </c>
      <c r="DH316" s="150"/>
      <c r="DI316" s="150">
        <f t="shared" si="821"/>
        <v>2.3432923257176337</v>
      </c>
      <c r="DJ316" s="314">
        <f t="shared" si="822"/>
        <v>640.12499999999977</v>
      </c>
      <c r="DK316" s="456">
        <f t="shared" si="823"/>
        <v>0.21737653692004627</v>
      </c>
      <c r="DM316" s="150">
        <f t="shared" si="824"/>
        <v>18.031718086273894</v>
      </c>
      <c r="DN316" s="150">
        <f t="shared" si="825"/>
        <v>30.542984768599883</v>
      </c>
      <c r="DO316" s="150">
        <f t="shared" si="826"/>
        <v>13.947889952049296</v>
      </c>
      <c r="DQ316" s="314">
        <f t="shared" si="827"/>
        <v>500</v>
      </c>
      <c r="DR316" s="144">
        <f t="shared" si="828"/>
        <v>121.48837166169619</v>
      </c>
      <c r="DT316">
        <f t="shared" si="829"/>
        <v>500</v>
      </c>
      <c r="DU316">
        <f t="shared" si="830"/>
        <v>121.48837166169619</v>
      </c>
      <c r="DW316" s="5">
        <f t="shared" si="859"/>
        <v>8.2312404580140388</v>
      </c>
      <c r="DX316" s="5">
        <f t="shared" si="831"/>
        <v>2.8634048220562391</v>
      </c>
      <c r="DY316" s="5">
        <f t="shared" si="832"/>
        <v>5.3678356359577997</v>
      </c>
      <c r="DZ316" s="5"/>
      <c r="EA316" s="150">
        <f t="shared" si="833"/>
        <v>0.34787038923986147</v>
      </c>
      <c r="EB316" s="150">
        <f t="shared" si="860"/>
        <v>85</v>
      </c>
      <c r="EC316" s="150">
        <f t="shared" si="861"/>
        <v>0.49794961921499709</v>
      </c>
      <c r="ED316" s="150">
        <f t="shared" si="862"/>
        <v>170.7</v>
      </c>
      <c r="EE316" s="144">
        <f t="shared" si="834"/>
        <v>0.84217788884007028</v>
      </c>
      <c r="EF316" s="5">
        <f t="shared" si="835"/>
        <v>47.527711360043007</v>
      </c>
      <c r="EH316" s="150">
        <f t="shared" si="863"/>
        <v>10.400628397143027</v>
      </c>
      <c r="EI316" s="150">
        <f t="shared" si="864"/>
        <v>0.71201281906095315</v>
      </c>
      <c r="EK316" s="456">
        <f t="shared" si="865"/>
        <v>0.36778844158855695</v>
      </c>
      <c r="EL316" s="456">
        <f t="shared" si="866"/>
        <v>2.7676160000000003</v>
      </c>
      <c r="EM316" s="456">
        <f t="shared" si="867"/>
        <v>2.7820837110528428E-2</v>
      </c>
      <c r="EN316" s="456">
        <f t="shared" si="868"/>
        <v>5.0095349082352941E-2</v>
      </c>
      <c r="EO316">
        <f t="shared" si="869"/>
        <v>7.1999999999999998E-3</v>
      </c>
      <c r="EP316" s="144">
        <f t="shared" si="870"/>
        <v>35.020837110528426</v>
      </c>
      <c r="EQ316" s="144"/>
      <c r="ER316" s="144">
        <f t="shared" si="871"/>
        <v>3220.5206277814391</v>
      </c>
      <c r="ES316" s="456">
        <f t="shared" si="872"/>
        <v>1.25</v>
      </c>
      <c r="EV316" s="144">
        <f t="shared" si="873"/>
        <v>1250</v>
      </c>
      <c r="EW316" s="456">
        <f t="shared" si="874"/>
        <v>0.16225960658318692</v>
      </c>
      <c r="EX316" s="456">
        <f t="shared" si="875"/>
        <v>0.10139245090142512</v>
      </c>
      <c r="EY316" s="456">
        <f t="shared" si="876"/>
        <v>41.935852026837786</v>
      </c>
      <c r="EZ316" s="456"/>
      <c r="FA316" s="456">
        <f t="shared" si="877"/>
        <v>0.11333333333333334</v>
      </c>
      <c r="FB316" s="144">
        <f t="shared" si="878"/>
        <v>42312.837417655734</v>
      </c>
      <c r="FC316" s="150">
        <f t="shared" si="879"/>
        <v>46.783358045437176</v>
      </c>
      <c r="FD316" s="5">
        <f t="shared" si="880"/>
        <v>85</v>
      </c>
      <c r="FE316" s="150">
        <f t="shared" si="881"/>
        <v>0.64499798199627834</v>
      </c>
      <c r="FF316" s="5">
        <f t="shared" si="882"/>
        <v>64.499798199627833</v>
      </c>
      <c r="FI316" s="59">
        <f t="shared" si="836"/>
        <v>-50</v>
      </c>
      <c r="FJ316">
        <f t="shared" si="837"/>
        <v>-50</v>
      </c>
      <c r="FL316">
        <f t="shared" si="838"/>
        <v>0.65212961076013853</v>
      </c>
    </row>
    <row r="317" spans="5:168">
      <c r="E317" s="147"/>
      <c r="F317" s="188"/>
      <c r="G317" s="188"/>
      <c r="CE317" s="59"/>
      <c r="CI317" s="147"/>
      <c r="CJ317" s="188"/>
      <c r="CK317" s="188"/>
      <c r="FI317" s="59"/>
    </row>
    <row r="318" spans="5:168" ht="45" customHeight="1" thickBot="1">
      <c r="E318" s="211" t="s">
        <v>25</v>
      </c>
      <c r="F318" s="380" t="s">
        <v>194</v>
      </c>
      <c r="G318" s="230"/>
      <c r="H318" s="455" t="s">
        <v>223</v>
      </c>
      <c r="I318" s="212" t="s">
        <v>412</v>
      </c>
      <c r="J318" s="213" t="s">
        <v>418</v>
      </c>
      <c r="K318" s="455" t="s">
        <v>413</v>
      </c>
      <c r="L318" s="455"/>
      <c r="M318" s="214" t="s">
        <v>48</v>
      </c>
      <c r="N318" s="455" t="s">
        <v>402</v>
      </c>
      <c r="O318" s="455" t="s">
        <v>656</v>
      </c>
      <c r="P318" s="455" t="s">
        <v>403</v>
      </c>
      <c r="Q318" s="455" t="s">
        <v>433</v>
      </c>
      <c r="R318" s="455" t="s">
        <v>654</v>
      </c>
      <c r="S318" s="455" t="s">
        <v>657</v>
      </c>
      <c r="T318" s="455" t="s">
        <v>655</v>
      </c>
      <c r="U318" s="455" t="s">
        <v>414</v>
      </c>
      <c r="V318" s="455" t="s">
        <v>466</v>
      </c>
      <c r="W318" s="455" t="s">
        <v>465</v>
      </c>
      <c r="X318" s="469" t="s">
        <v>420</v>
      </c>
      <c r="Y318" s="466" t="s">
        <v>425</v>
      </c>
      <c r="AA318" s="215" t="s">
        <v>417</v>
      </c>
      <c r="AB318" s="215" t="s">
        <v>464</v>
      </c>
      <c r="AC318" s="215" t="s">
        <v>423</v>
      </c>
      <c r="AD318" s="468"/>
      <c r="AE318" s="215" t="s">
        <v>463</v>
      </c>
      <c r="AF318" s="215" t="s">
        <v>681</v>
      </c>
      <c r="AG318" s="215" t="s">
        <v>427</v>
      </c>
      <c r="AH318" s="468"/>
      <c r="AI318" s="215" t="s">
        <v>429</v>
      </c>
      <c r="AJ318" s="470" t="s">
        <v>430</v>
      </c>
      <c r="AK318" s="470" t="s">
        <v>431</v>
      </c>
      <c r="AM318" s="467" t="s">
        <v>275</v>
      </c>
      <c r="AN318" s="467" t="s">
        <v>432</v>
      </c>
      <c r="AP318" s="215" t="s">
        <v>275</v>
      </c>
      <c r="AQ318" s="215" t="s">
        <v>432</v>
      </c>
      <c r="AR318" s="471"/>
      <c r="AS318" s="215" t="s">
        <v>467</v>
      </c>
      <c r="AT318" s="215" t="s">
        <v>461</v>
      </c>
      <c r="AU318" s="215" t="s">
        <v>462</v>
      </c>
      <c r="AV318" s="215" t="s">
        <v>653</v>
      </c>
      <c r="AW318" s="215" t="s">
        <v>48</v>
      </c>
      <c r="AX318" s="471" t="s">
        <v>651</v>
      </c>
      <c r="AY318" s="468" t="s">
        <v>650</v>
      </c>
      <c r="AZ318" s="468" t="s">
        <v>652</v>
      </c>
      <c r="BA318" s="215" t="s">
        <v>481</v>
      </c>
      <c r="BB318" s="215" t="s">
        <v>514</v>
      </c>
      <c r="BC318" s="468"/>
      <c r="BD318" s="479" t="s">
        <v>456</v>
      </c>
      <c r="BE318" s="215" t="s">
        <v>457</v>
      </c>
      <c r="BF318" s="468"/>
      <c r="BG318" s="479" t="s">
        <v>474</v>
      </c>
      <c r="BH318" s="215" t="s">
        <v>475</v>
      </c>
      <c r="BI318" s="215" t="s">
        <v>473</v>
      </c>
      <c r="BJ318" s="215" t="s">
        <v>469</v>
      </c>
      <c r="BK318" s="215" t="s">
        <v>478</v>
      </c>
      <c r="BL318" s="215" t="s">
        <v>777</v>
      </c>
      <c r="BM318" s="215" t="s">
        <v>776</v>
      </c>
      <c r="BN318" s="215" t="s">
        <v>491</v>
      </c>
      <c r="BO318" s="479" t="s">
        <v>476</v>
      </c>
      <c r="BP318" s="215" t="s">
        <v>477</v>
      </c>
      <c r="BQ318" s="215" t="s">
        <v>483</v>
      </c>
      <c r="BR318" s="215" t="s">
        <v>487</v>
      </c>
      <c r="BS318" s="479" t="s">
        <v>458</v>
      </c>
      <c r="BT318" s="215" t="s">
        <v>459</v>
      </c>
      <c r="BU318" s="215" t="s">
        <v>468</v>
      </c>
      <c r="BV318" s="215" t="s">
        <v>666</v>
      </c>
      <c r="BW318" s="215" t="s">
        <v>484</v>
      </c>
      <c r="BX318" s="215" t="s">
        <v>667</v>
      </c>
      <c r="BY318" s="479" t="s">
        <v>482</v>
      </c>
      <c r="BZ318" s="215" t="s">
        <v>223</v>
      </c>
      <c r="CA318" s="215" t="s">
        <v>47</v>
      </c>
      <c r="CB318" s="215" t="s">
        <v>485</v>
      </c>
      <c r="CC318" s="215"/>
      <c r="CE318" s="490" t="s">
        <v>664</v>
      </c>
      <c r="CF318" s="490" t="s">
        <v>665</v>
      </c>
      <c r="CG318" s="667" t="s">
        <v>828</v>
      </c>
      <c r="CI318" s="211" t="s">
        <v>25</v>
      </c>
      <c r="CJ318" s="380" t="s">
        <v>194</v>
      </c>
      <c r="CK318" s="230"/>
      <c r="CL318" s="455" t="s">
        <v>223</v>
      </c>
      <c r="CM318" s="212" t="s">
        <v>412</v>
      </c>
      <c r="CN318" s="213" t="s">
        <v>418</v>
      </c>
      <c r="CO318" s="455" t="s">
        <v>413</v>
      </c>
      <c r="CP318" s="455"/>
      <c r="CQ318" s="214" t="s">
        <v>48</v>
      </c>
      <c r="CR318" s="455" t="s">
        <v>402</v>
      </c>
      <c r="CS318" s="455" t="s">
        <v>656</v>
      </c>
      <c r="CT318" s="455" t="s">
        <v>403</v>
      </c>
      <c r="CU318" s="455" t="s">
        <v>433</v>
      </c>
      <c r="CV318" s="455" t="s">
        <v>654</v>
      </c>
      <c r="CW318" s="455" t="s">
        <v>657</v>
      </c>
      <c r="CX318" s="455" t="s">
        <v>655</v>
      </c>
      <c r="CY318" s="455" t="s">
        <v>414</v>
      </c>
      <c r="CZ318" s="455" t="s">
        <v>466</v>
      </c>
      <c r="DA318" s="455" t="s">
        <v>465</v>
      </c>
      <c r="DB318" s="469" t="s">
        <v>420</v>
      </c>
      <c r="DC318" s="466" t="s">
        <v>425</v>
      </c>
      <c r="DE318" s="215" t="s">
        <v>417</v>
      </c>
      <c r="DF318" s="215" t="s">
        <v>464</v>
      </c>
      <c r="DG318" s="215" t="s">
        <v>423</v>
      </c>
      <c r="DH318" s="468"/>
      <c r="DI318" s="215" t="s">
        <v>463</v>
      </c>
      <c r="DJ318" s="215" t="s">
        <v>681</v>
      </c>
      <c r="DK318" s="215" t="s">
        <v>427</v>
      </c>
      <c r="DL318" s="468"/>
      <c r="DM318" s="215" t="s">
        <v>429</v>
      </c>
      <c r="DN318" s="470" t="s">
        <v>430</v>
      </c>
      <c r="DO318" s="470" t="s">
        <v>431</v>
      </c>
      <c r="DQ318" s="467" t="s">
        <v>275</v>
      </c>
      <c r="DR318" s="467" t="s">
        <v>432</v>
      </c>
      <c r="DT318" s="215" t="s">
        <v>275</v>
      </c>
      <c r="DU318" s="215" t="s">
        <v>432</v>
      </c>
      <c r="DV318" s="471"/>
      <c r="DW318" s="215" t="s">
        <v>467</v>
      </c>
      <c r="DX318" s="215" t="s">
        <v>461</v>
      </c>
      <c r="DY318" s="215" t="s">
        <v>462</v>
      </c>
      <c r="DZ318" s="215" t="s">
        <v>653</v>
      </c>
      <c r="EA318" s="215" t="s">
        <v>48</v>
      </c>
      <c r="EB318" s="471" t="s">
        <v>651</v>
      </c>
      <c r="EC318" s="468" t="s">
        <v>650</v>
      </c>
      <c r="ED318" s="468" t="s">
        <v>652</v>
      </c>
      <c r="EE318" s="215" t="s">
        <v>481</v>
      </c>
      <c r="EF318" s="215" t="s">
        <v>514</v>
      </c>
      <c r="EG318" s="468"/>
      <c r="EH318" s="479" t="s">
        <v>456</v>
      </c>
      <c r="EI318" s="215" t="s">
        <v>457</v>
      </c>
      <c r="EJ318" s="468"/>
      <c r="EK318" s="479" t="s">
        <v>474</v>
      </c>
      <c r="EL318" s="215" t="s">
        <v>475</v>
      </c>
      <c r="EM318" s="215" t="s">
        <v>473</v>
      </c>
      <c r="EN318" s="215" t="s">
        <v>469</v>
      </c>
      <c r="EO318" s="215" t="s">
        <v>478</v>
      </c>
      <c r="EP318" s="215" t="s">
        <v>777</v>
      </c>
      <c r="EQ318" s="215" t="s">
        <v>776</v>
      </c>
      <c r="ER318" s="215" t="s">
        <v>491</v>
      </c>
      <c r="ES318" s="479" t="s">
        <v>476</v>
      </c>
      <c r="ET318" s="215" t="s">
        <v>477</v>
      </c>
      <c r="EU318" s="215" t="s">
        <v>483</v>
      </c>
      <c r="EV318" s="215" t="s">
        <v>487</v>
      </c>
      <c r="EW318" s="479" t="s">
        <v>458</v>
      </c>
      <c r="EX318" s="215" t="s">
        <v>459</v>
      </c>
      <c r="EY318" s="215" t="s">
        <v>468</v>
      </c>
      <c r="EZ318" s="215" t="s">
        <v>666</v>
      </c>
      <c r="FA318" s="215" t="s">
        <v>484</v>
      </c>
      <c r="FB318" s="215" t="s">
        <v>667</v>
      </c>
      <c r="FC318" s="479" t="s">
        <v>482</v>
      </c>
      <c r="FD318" s="215" t="s">
        <v>223</v>
      </c>
      <c r="FE318" s="215" t="s">
        <v>47</v>
      </c>
      <c r="FF318" s="215" t="s">
        <v>485</v>
      </c>
      <c r="FG318" s="215"/>
      <c r="FI318" s="490" t="s">
        <v>664</v>
      </c>
      <c r="FJ318" s="490" t="s">
        <v>665</v>
      </c>
      <c r="FL318" t="s">
        <v>825</v>
      </c>
    </row>
    <row r="319" spans="5:168">
      <c r="CE319" s="59"/>
      <c r="FI319" s="59"/>
    </row>
    <row r="320" spans="5:168">
      <c r="E320" s="59" t="s">
        <v>904</v>
      </c>
      <c r="CE320" s="59"/>
      <c r="FI320" s="59"/>
    </row>
    <row r="321" spans="5:165">
      <c r="F321" s="59" t="s">
        <v>905</v>
      </c>
      <c r="G321" s="59" t="s">
        <v>906</v>
      </c>
      <c r="N321">
        <f>Efficiency</f>
        <v>1</v>
      </c>
      <c r="CE321" s="59"/>
      <c r="FI321" s="59"/>
    </row>
    <row r="322" spans="5:165">
      <c r="F322">
        <f>'Design Converter'!E73</f>
        <v>0</v>
      </c>
      <c r="G322" s="754">
        <f>F322*Vout</f>
        <v>0</v>
      </c>
    </row>
    <row r="323" spans="5:165">
      <c r="E323" t="s">
        <v>907</v>
      </c>
    </row>
    <row r="324" spans="5:165">
      <c r="F324" t="s">
        <v>908</v>
      </c>
      <c r="G324" t="s">
        <v>909</v>
      </c>
      <c r="H324" t="s">
        <v>910</v>
      </c>
      <c r="I324" s="59" t="s">
        <v>660</v>
      </c>
    </row>
    <row r="325" spans="5:165">
      <c r="F325" s="755">
        <v>1.9999999999999999E-7</v>
      </c>
      <c r="G325">
        <f>VIN_max</f>
        <v>16</v>
      </c>
      <c r="H325">
        <f>15000</f>
        <v>15000</v>
      </c>
      <c r="I325">
        <f>L*0.9</f>
        <v>1.35E-6</v>
      </c>
    </row>
    <row r="326" spans="5:165">
      <c r="G326" s="59" t="s">
        <v>911</v>
      </c>
    </row>
    <row r="327" spans="5:165">
      <c r="G327" s="754">
        <f>0.5*(G325/I325*F325)^2*H325*I325</f>
        <v>5.6888888888888885E-2</v>
      </c>
    </row>
    <row r="328" spans="5:165">
      <c r="E328" s="59" t="s">
        <v>912</v>
      </c>
    </row>
    <row r="329" spans="5:165">
      <c r="G329" t="str">
        <f>IF(G327&gt;G322, "Yes", "No")</f>
        <v>Yes</v>
      </c>
      <c r="H329">
        <f>(Vout*1.05)^2/(G327-G322)</f>
        <v>560078.61328125</v>
      </c>
    </row>
  </sheetData>
  <sheetProtection algorithmName="SHA-512" hashValue="VK9QLheCludiINuQfxcfr4LD7XKmIutxyBhDX9CBej4SI+A2YK/orixBMJ17m2Jn48eh8hMMGdtnWNAzP5Gq+g==" saltValue="O7wVceKtoOG+YSWrHwWkjA==" spinCount="100000" sheet="1" selectLockedCells="1" selectUnlockedCells="1"/>
  <mergeCells count="2">
    <mergeCell ref="M3:AA3"/>
    <mergeCell ref="CQ3:DE3"/>
  </mergeCells>
  <phoneticPr fontId="83"/>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7030A0"/>
  </sheetPr>
  <dimension ref="A1:FM329"/>
  <sheetViews>
    <sheetView topLeftCell="A67" zoomScale="70" zoomScaleNormal="70" workbookViewId="0">
      <selection activeCell="BG107" sqref="BG107"/>
    </sheetView>
  </sheetViews>
  <sheetFormatPr defaultRowHeight="13.2"/>
  <cols>
    <col min="1" max="1" width="2.77734375" customWidth="1"/>
    <col min="2" max="2" width="3.5546875" customWidth="1"/>
    <col min="3" max="3" width="2.77734375" customWidth="1"/>
    <col min="4" max="4" width="3.77734375" customWidth="1"/>
    <col min="5" max="5" width="6.21875" customWidth="1"/>
    <col min="6" max="9" width="7.77734375" customWidth="1"/>
    <col min="10" max="10" width="6.21875" customWidth="1"/>
    <col min="11" max="11" width="9.5546875" customWidth="1"/>
    <col min="12" max="12" width="9.21875" customWidth="1"/>
    <col min="13" max="13" width="7.77734375" customWidth="1"/>
    <col min="14" max="14" width="8.44140625" customWidth="1"/>
    <col min="15" max="16" width="9.5546875" customWidth="1"/>
    <col min="17" max="18" width="8.77734375" customWidth="1"/>
    <col min="19" max="19" width="8.5546875" customWidth="1"/>
    <col min="20" max="20" width="7.5546875" customWidth="1"/>
    <col min="21" max="21" width="9" customWidth="1"/>
    <col min="22" max="22" width="8.77734375" customWidth="1"/>
    <col min="23" max="23" width="10" customWidth="1"/>
    <col min="24" max="24" width="9.5546875" customWidth="1"/>
    <col min="25" max="25" width="1.77734375" customWidth="1"/>
    <col min="26" max="26" width="9.77734375" customWidth="1"/>
    <col min="27" max="27" width="10.44140625" customWidth="1"/>
    <col min="28" max="28" width="10.21875" customWidth="1"/>
    <col min="29" max="29" width="2" customWidth="1"/>
    <col min="30" max="30" width="9.21875" customWidth="1"/>
    <col min="31" max="31" width="9.44140625" customWidth="1"/>
    <col min="32" max="32" width="10.44140625" customWidth="1"/>
    <col min="33" max="33" width="2.21875" customWidth="1"/>
    <col min="35" max="35" width="8" customWidth="1"/>
    <col min="37" max="37" width="2.21875" customWidth="1"/>
    <col min="38" max="38" width="6.5546875" customWidth="1"/>
    <col min="39" max="39" width="7.5546875" customWidth="1"/>
    <col min="40" max="40" width="2" customWidth="1"/>
    <col min="41" max="41" width="6.44140625" customWidth="1"/>
    <col min="42" max="42" width="7.5546875" customWidth="1"/>
    <col min="43" max="43" width="2.21875" customWidth="1"/>
    <col min="44" max="46" width="7" customWidth="1"/>
    <col min="47" max="47" width="8.44140625" customWidth="1"/>
    <col min="48" max="48" width="2.21875" customWidth="1"/>
    <col min="49" max="50" width="9.44140625" customWidth="1"/>
    <col min="51" max="51" width="9.77734375" customWidth="1"/>
    <col min="52" max="52" width="2" customWidth="1"/>
    <col min="56" max="56" width="2.21875" customWidth="1"/>
    <col min="57" max="57" width="9" customWidth="1"/>
    <col min="58" max="59" width="8.21875" customWidth="1"/>
    <col min="60" max="60" width="8.77734375" customWidth="1"/>
    <col min="61" max="64" width="7.5546875" customWidth="1"/>
    <col min="65" max="66" width="10.21875" customWidth="1"/>
    <col min="67" max="67" width="9.44140625" customWidth="1"/>
    <col min="68" max="68" width="9.5546875" customWidth="1"/>
    <col min="69" max="69" width="10" customWidth="1"/>
    <col min="70" max="70" width="8.77734375" customWidth="1"/>
    <col min="73" max="74" width="9.77734375" customWidth="1"/>
    <col min="75" max="75" width="12.21875" customWidth="1"/>
    <col min="76" max="76" width="9.21875" customWidth="1"/>
    <col min="78" max="78" width="7.77734375" customWidth="1"/>
    <col min="79" max="79" width="10.44140625" customWidth="1"/>
    <col min="80" max="80" width="12.44140625" bestFit="1" customWidth="1"/>
    <col min="81" max="81" width="6.5546875" customWidth="1"/>
    <col min="82" max="82" width="5" customWidth="1"/>
    <col min="83" max="83" width="9.5546875" customWidth="1"/>
    <col min="85" max="85" width="15" customWidth="1"/>
    <col min="86" max="86" width="16.77734375" customWidth="1"/>
    <col min="87" max="87" width="6.21875" customWidth="1"/>
    <col min="88" max="91" width="7.77734375" customWidth="1"/>
    <col min="92" max="92" width="6.21875" customWidth="1"/>
    <col min="93" max="93" width="9.5546875" customWidth="1"/>
    <col min="94" max="94" width="9.21875" customWidth="1"/>
    <col min="95" max="95" width="1.77734375" customWidth="1"/>
    <col min="96" max="96" width="8.44140625" customWidth="1"/>
    <col min="97" max="98" width="9.5546875" customWidth="1"/>
    <col min="99" max="100" width="8.77734375" customWidth="1"/>
    <col min="101" max="101" width="8.5546875" customWidth="1"/>
    <col min="102" max="102" width="7.5546875" customWidth="1"/>
    <col min="103" max="103" width="9" customWidth="1"/>
    <col min="104" max="104" width="8.77734375" customWidth="1"/>
    <col min="105" max="105" width="10" customWidth="1"/>
    <col min="106" max="106" width="9.5546875" customWidth="1"/>
    <col min="107" max="107" width="1.77734375" customWidth="1"/>
    <col min="108" max="108" width="9.77734375" customWidth="1"/>
    <col min="109" max="109" width="10.44140625" customWidth="1"/>
    <col min="110" max="110" width="10.21875" customWidth="1"/>
    <col min="111" max="111" width="2" customWidth="1"/>
    <col min="113" max="113" width="9.44140625" customWidth="1"/>
    <col min="114" max="114" width="10.44140625" customWidth="1"/>
    <col min="115" max="115" width="2.21875" customWidth="1"/>
    <col min="117" max="117" width="8" customWidth="1"/>
    <col min="119" max="119" width="2.21875" customWidth="1"/>
    <col min="120" max="120" width="6.5546875" customWidth="1"/>
    <col min="121" max="121" width="7.5546875" customWidth="1"/>
    <col min="122" max="122" width="2" customWidth="1"/>
    <col min="123" max="123" width="6.44140625" customWidth="1"/>
    <col min="124" max="124" width="7.5546875" customWidth="1"/>
    <col min="125" max="125" width="2.21875" customWidth="1"/>
    <col min="126" max="128" width="7" customWidth="1"/>
    <col min="129" max="129" width="8.44140625" customWidth="1"/>
    <col min="130" max="130" width="2.21875" customWidth="1"/>
    <col min="131" max="132" width="9.44140625" customWidth="1"/>
    <col min="133" max="133" width="9.77734375" customWidth="1"/>
    <col min="134" max="134" width="2" customWidth="1"/>
    <col min="138" max="138" width="2.21875" customWidth="1"/>
    <col min="139" max="139" width="9" customWidth="1"/>
    <col min="140" max="141" width="8.21875" customWidth="1"/>
    <col min="142" max="142" width="8.77734375" customWidth="1"/>
    <col min="143" max="146" width="7.5546875" customWidth="1"/>
    <col min="147" max="148" width="10.21875" customWidth="1"/>
    <col min="149" max="149" width="9.44140625" customWidth="1"/>
    <col min="150" max="150" width="9.5546875" customWidth="1"/>
    <col min="151" max="151" width="10" customWidth="1"/>
    <col min="152" max="152" width="8.77734375" customWidth="1"/>
    <col min="155" max="156" width="9.77734375" customWidth="1"/>
    <col min="157" max="157" width="12.21875" customWidth="1"/>
    <col min="160" max="160" width="7.77734375" customWidth="1"/>
    <col min="161" max="161" width="10.44140625" customWidth="1"/>
    <col min="162" max="162" width="12.44140625" bestFit="1" customWidth="1"/>
    <col min="163" max="163" width="6.5546875" customWidth="1"/>
    <col min="164" max="164" width="5" customWidth="1"/>
    <col min="165" max="165" width="9.5546875" customWidth="1"/>
    <col min="168" max="168" width="17.44140625" customWidth="1"/>
    <col min="169" max="169" width="14.21875" customWidth="1"/>
  </cols>
  <sheetData>
    <row r="1" spans="2:169" ht="24.6">
      <c r="B1" s="159" t="s">
        <v>515</v>
      </c>
      <c r="CI1" s="665" t="s">
        <v>823</v>
      </c>
    </row>
    <row r="2" spans="2:169" ht="13.8" thickBot="1">
      <c r="AW2">
        <f>Vout_ripple</f>
        <v>1700</v>
      </c>
      <c r="EA2">
        <f>Vout_ripple</f>
        <v>1700</v>
      </c>
    </row>
    <row r="3" spans="2:169">
      <c r="E3" s="191" t="s">
        <v>421</v>
      </c>
      <c r="F3" s="464"/>
      <c r="G3" s="464"/>
      <c r="H3" s="464"/>
      <c r="I3" s="464"/>
      <c r="J3" s="192"/>
      <c r="K3" s="193"/>
      <c r="L3" s="452"/>
      <c r="M3" s="452"/>
      <c r="N3" s="814" t="s">
        <v>189</v>
      </c>
      <c r="O3" s="815"/>
      <c r="P3" s="817"/>
      <c r="Q3" s="814"/>
      <c r="R3" s="817"/>
      <c r="S3" s="814"/>
      <c r="T3" s="814"/>
      <c r="U3" s="815"/>
      <c r="V3" s="815"/>
      <c r="W3" s="814"/>
      <c r="X3" s="815"/>
      <c r="Y3" s="814"/>
      <c r="Z3" s="816"/>
      <c r="AA3" s="461"/>
      <c r="AB3" s="461"/>
      <c r="AC3" s="461"/>
      <c r="AD3" s="461"/>
      <c r="AE3" s="461"/>
      <c r="AF3" s="461"/>
      <c r="AG3" s="461"/>
      <c r="AH3" s="461"/>
      <c r="AI3" s="461"/>
      <c r="AJ3" s="461"/>
      <c r="AK3" s="461"/>
      <c r="AL3" s="461"/>
      <c r="AM3" s="461"/>
      <c r="AN3" s="461"/>
      <c r="AO3" s="461"/>
      <c r="AP3" s="461"/>
      <c r="AQ3" s="461"/>
      <c r="AR3" s="461" t="s">
        <v>460</v>
      </c>
      <c r="AS3" s="461"/>
      <c r="AT3" s="461"/>
      <c r="AU3" s="461"/>
      <c r="AV3" s="461"/>
      <c r="AW3" s="461" t="s">
        <v>470</v>
      </c>
      <c r="AX3" s="461" t="s">
        <v>470</v>
      </c>
      <c r="AY3" s="461"/>
      <c r="AZ3" s="461"/>
      <c r="BA3" s="480" t="s">
        <v>471</v>
      </c>
      <c r="BB3" s="461"/>
      <c r="BC3" s="461"/>
      <c r="BD3" s="461"/>
      <c r="BE3" s="480" t="s">
        <v>888</v>
      </c>
      <c r="BF3" s="461"/>
      <c r="BG3" s="461"/>
      <c r="BH3" s="461"/>
      <c r="BI3" s="461"/>
      <c r="BJ3" s="461"/>
      <c r="BK3" s="461"/>
      <c r="BL3" s="461"/>
      <c r="BM3" s="480" t="s">
        <v>489</v>
      </c>
      <c r="BN3" s="461"/>
      <c r="BO3" s="461"/>
      <c r="BP3" s="461"/>
      <c r="BQ3" s="461"/>
      <c r="BR3" s="481" t="s">
        <v>490</v>
      </c>
      <c r="BS3" s="461"/>
      <c r="BT3" s="461"/>
      <c r="BU3" s="461"/>
      <c r="BV3" s="461"/>
      <c r="BW3" s="461"/>
      <c r="BX3" s="461"/>
      <c r="BY3" s="480"/>
      <c r="BZ3" s="461"/>
      <c r="CA3" s="461"/>
      <c r="CB3" s="461"/>
      <c r="CC3" s="461"/>
      <c r="CI3" s="191" t="s">
        <v>421</v>
      </c>
      <c r="CJ3" s="464"/>
      <c r="CK3" s="464"/>
      <c r="CL3" s="464"/>
      <c r="CM3" s="464"/>
      <c r="CN3" s="192"/>
      <c r="CO3" s="193"/>
      <c r="CP3" s="452"/>
      <c r="CQ3" s="452"/>
      <c r="CR3" s="814" t="s">
        <v>189</v>
      </c>
      <c r="CS3" s="815"/>
      <c r="CT3" s="817"/>
      <c r="CU3" s="814"/>
      <c r="CV3" s="817"/>
      <c r="CW3" s="814"/>
      <c r="CX3" s="814"/>
      <c r="CY3" s="815"/>
      <c r="CZ3" s="815"/>
      <c r="DA3" s="814"/>
      <c r="DB3" s="815"/>
      <c r="DC3" s="814"/>
      <c r="DD3" s="816"/>
      <c r="DE3" s="461"/>
      <c r="DF3" s="461"/>
      <c r="DG3" s="461"/>
      <c r="DH3" s="461"/>
      <c r="DI3" s="461"/>
      <c r="DJ3" s="461"/>
      <c r="DK3" s="461"/>
      <c r="DL3" s="461"/>
      <c r="DM3" s="461"/>
      <c r="DN3" s="461"/>
      <c r="DO3" s="461"/>
      <c r="DP3" s="461"/>
      <c r="DQ3" s="461"/>
      <c r="DR3" s="461"/>
      <c r="DS3" s="461"/>
      <c r="DT3" s="461"/>
      <c r="DU3" s="461"/>
      <c r="DV3" s="461" t="s">
        <v>460</v>
      </c>
      <c r="DW3" s="461"/>
      <c r="DX3" s="461"/>
      <c r="DY3" s="461"/>
      <c r="DZ3" s="461"/>
      <c r="EA3" s="461" t="s">
        <v>470</v>
      </c>
      <c r="EB3" s="461" t="s">
        <v>470</v>
      </c>
      <c r="EC3" s="461"/>
      <c r="ED3" s="461"/>
      <c r="EE3" s="480" t="s">
        <v>471</v>
      </c>
      <c r="EF3" s="461"/>
      <c r="EG3" s="461"/>
      <c r="EH3" s="461"/>
      <c r="EI3" s="480" t="s">
        <v>493</v>
      </c>
      <c r="EJ3" s="461"/>
      <c r="EK3" s="461"/>
      <c r="EL3" s="461"/>
      <c r="EM3" s="461"/>
      <c r="EN3" s="461"/>
      <c r="EO3" s="461"/>
      <c r="EP3" s="461"/>
      <c r="EQ3" s="480" t="s">
        <v>489</v>
      </c>
      <c r="ER3" s="461"/>
      <c r="ES3" s="461"/>
      <c r="ET3" s="461"/>
      <c r="EU3" s="461"/>
      <c r="EV3" s="481" t="s">
        <v>490</v>
      </c>
      <c r="EW3" s="461"/>
      <c r="EX3" s="461"/>
      <c r="EY3" s="461"/>
      <c r="EZ3" s="461"/>
      <c r="FA3" s="461"/>
      <c r="FB3" s="461"/>
      <c r="FC3" s="480"/>
      <c r="FD3" s="461"/>
      <c r="FE3" s="461"/>
      <c r="FF3" s="461"/>
      <c r="FG3" s="461"/>
    </row>
    <row r="4" spans="2:169" ht="45" customHeight="1" thickBot="1">
      <c r="E4" s="211" t="s">
        <v>25</v>
      </c>
      <c r="F4" s="516" t="s">
        <v>580</v>
      </c>
      <c r="G4" s="380" t="s">
        <v>579</v>
      </c>
      <c r="H4" s="517" t="s">
        <v>581</v>
      </c>
      <c r="I4" s="518" t="s">
        <v>582</v>
      </c>
      <c r="J4" s="212" t="s">
        <v>412</v>
      </c>
      <c r="K4" s="213" t="s">
        <v>586</v>
      </c>
      <c r="L4" s="519" t="s">
        <v>413</v>
      </c>
      <c r="M4" s="520"/>
      <c r="N4" s="214" t="s">
        <v>48</v>
      </c>
      <c r="O4" s="520" t="s">
        <v>590</v>
      </c>
      <c r="P4" s="520" t="s">
        <v>606</v>
      </c>
      <c r="Q4" s="520" t="s">
        <v>583</v>
      </c>
      <c r="R4" s="520" t="s">
        <v>584</v>
      </c>
      <c r="S4" s="520" t="s">
        <v>585</v>
      </c>
      <c r="T4" s="520" t="s">
        <v>414</v>
      </c>
      <c r="U4" s="520" t="s">
        <v>466</v>
      </c>
      <c r="V4" s="520" t="s">
        <v>465</v>
      </c>
      <c r="W4" s="521" t="s">
        <v>420</v>
      </c>
      <c r="X4" s="522" t="s">
        <v>425</v>
      </c>
      <c r="Z4" s="215" t="s">
        <v>417</v>
      </c>
      <c r="AA4" s="215" t="s">
        <v>464</v>
      </c>
      <c r="AB4" s="215" t="s">
        <v>587</v>
      </c>
      <c r="AC4" s="468"/>
      <c r="AD4" s="215" t="s">
        <v>463</v>
      </c>
      <c r="AE4" s="521" t="s">
        <v>426</v>
      </c>
      <c r="AF4" s="215" t="s">
        <v>588</v>
      </c>
      <c r="AG4" s="468"/>
      <c r="AH4" s="215" t="s">
        <v>429</v>
      </c>
      <c r="AI4" s="470" t="s">
        <v>430</v>
      </c>
      <c r="AJ4" s="470" t="s">
        <v>431</v>
      </c>
      <c r="AL4" s="467" t="s">
        <v>275</v>
      </c>
      <c r="AM4" s="467" t="s">
        <v>432</v>
      </c>
      <c r="AO4" s="215" t="s">
        <v>275</v>
      </c>
      <c r="AP4" s="215" t="s">
        <v>432</v>
      </c>
      <c r="AQ4" s="471"/>
      <c r="AR4" s="215" t="s">
        <v>467</v>
      </c>
      <c r="AS4" s="215" t="s">
        <v>461</v>
      </c>
      <c r="AT4" s="215" t="s">
        <v>462</v>
      </c>
      <c r="AU4" s="215" t="s">
        <v>48</v>
      </c>
      <c r="AV4" s="468"/>
      <c r="AW4" s="215" t="s">
        <v>591</v>
      </c>
      <c r="AX4" s="215" t="s">
        <v>592</v>
      </c>
      <c r="AY4" s="215" t="s">
        <v>514</v>
      </c>
      <c r="AZ4" s="468"/>
      <c r="BA4" s="479" t="s">
        <v>456</v>
      </c>
      <c r="BB4" s="215" t="s">
        <v>599</v>
      </c>
      <c r="BC4" s="215" t="s">
        <v>598</v>
      </c>
      <c r="BD4" s="468"/>
      <c r="BE4" s="479" t="s">
        <v>474</v>
      </c>
      <c r="BF4" s="215" t="s">
        <v>475</v>
      </c>
      <c r="BG4" s="215" t="s">
        <v>473</v>
      </c>
      <c r="BH4" s="215" t="s">
        <v>469</v>
      </c>
      <c r="BI4" s="215" t="s">
        <v>478</v>
      </c>
      <c r="BJ4" s="215" t="s">
        <v>491</v>
      </c>
      <c r="BK4" s="215" t="s">
        <v>776</v>
      </c>
      <c r="BL4" s="215" t="s">
        <v>778</v>
      </c>
      <c r="BM4" s="479" t="s">
        <v>601</v>
      </c>
      <c r="BN4" s="215" t="s">
        <v>600</v>
      </c>
      <c r="BO4" s="215" t="s">
        <v>477</v>
      </c>
      <c r="BP4" s="215" t="s">
        <v>483</v>
      </c>
      <c r="BQ4" s="215" t="s">
        <v>487</v>
      </c>
      <c r="BR4" s="479" t="s">
        <v>458</v>
      </c>
      <c r="BS4" s="215" t="s">
        <v>603</v>
      </c>
      <c r="BT4" s="215" t="s">
        <v>602</v>
      </c>
      <c r="BU4" s="215" t="s">
        <v>468</v>
      </c>
      <c r="BV4" s="215" t="s">
        <v>673</v>
      </c>
      <c r="BW4" s="215" t="s">
        <v>484</v>
      </c>
      <c r="BX4" s="215" t="s">
        <v>667</v>
      </c>
      <c r="BY4" s="479" t="s">
        <v>482</v>
      </c>
      <c r="BZ4" s="215" t="s">
        <v>223</v>
      </c>
      <c r="CA4" s="215" t="s">
        <v>47</v>
      </c>
      <c r="CB4" s="215" t="s">
        <v>485</v>
      </c>
      <c r="CC4" s="215" t="s">
        <v>604</v>
      </c>
      <c r="CE4" s="490" t="s">
        <v>497</v>
      </c>
      <c r="CG4" s="668" t="s">
        <v>829</v>
      </c>
      <c r="CH4" s="669" t="s">
        <v>830</v>
      </c>
      <c r="CI4" s="211" t="s">
        <v>25</v>
      </c>
      <c r="CJ4" s="516" t="s">
        <v>580</v>
      </c>
      <c r="CK4" s="380" t="s">
        <v>579</v>
      </c>
      <c r="CL4" s="517" t="s">
        <v>581</v>
      </c>
      <c r="CM4" s="518" t="s">
        <v>582</v>
      </c>
      <c r="CN4" s="212" t="s">
        <v>412</v>
      </c>
      <c r="CO4" s="213" t="s">
        <v>586</v>
      </c>
      <c r="CP4" s="519" t="s">
        <v>413</v>
      </c>
      <c r="CQ4" s="520"/>
      <c r="CR4" s="214" t="s">
        <v>48</v>
      </c>
      <c r="CS4" s="520" t="s">
        <v>590</v>
      </c>
      <c r="CT4" s="520" t="s">
        <v>606</v>
      </c>
      <c r="CU4" s="520" t="s">
        <v>583</v>
      </c>
      <c r="CV4" s="520" t="s">
        <v>584</v>
      </c>
      <c r="CW4" s="520" t="s">
        <v>585</v>
      </c>
      <c r="CX4" s="520" t="s">
        <v>414</v>
      </c>
      <c r="CY4" s="520" t="s">
        <v>466</v>
      </c>
      <c r="CZ4" s="520" t="s">
        <v>465</v>
      </c>
      <c r="DA4" s="521" t="s">
        <v>420</v>
      </c>
      <c r="DB4" s="522" t="s">
        <v>425</v>
      </c>
      <c r="DD4" s="215" t="s">
        <v>417</v>
      </c>
      <c r="DE4" s="215" t="s">
        <v>464</v>
      </c>
      <c r="DF4" s="215" t="s">
        <v>587</v>
      </c>
      <c r="DG4" s="468"/>
      <c r="DH4" s="215" t="s">
        <v>463</v>
      </c>
      <c r="DI4" s="521" t="s">
        <v>426</v>
      </c>
      <c r="DJ4" s="215" t="s">
        <v>588</v>
      </c>
      <c r="DK4" s="468"/>
      <c r="DL4" s="215" t="s">
        <v>429</v>
      </c>
      <c r="DM4" s="470" t="s">
        <v>430</v>
      </c>
      <c r="DN4" s="470" t="s">
        <v>431</v>
      </c>
      <c r="DP4" s="467" t="s">
        <v>275</v>
      </c>
      <c r="DQ4" s="467" t="s">
        <v>432</v>
      </c>
      <c r="DS4" s="215" t="s">
        <v>275</v>
      </c>
      <c r="DT4" s="215" t="s">
        <v>432</v>
      </c>
      <c r="DU4" s="471"/>
      <c r="DV4" s="215" t="s">
        <v>467</v>
      </c>
      <c r="DW4" s="215" t="s">
        <v>461</v>
      </c>
      <c r="DX4" s="215" t="s">
        <v>462</v>
      </c>
      <c r="DY4" s="215" t="s">
        <v>48</v>
      </c>
      <c r="DZ4" s="468"/>
      <c r="EA4" s="215" t="s">
        <v>591</v>
      </c>
      <c r="EB4" s="215" t="s">
        <v>592</v>
      </c>
      <c r="EC4" s="215" t="s">
        <v>514</v>
      </c>
      <c r="ED4" s="468"/>
      <c r="EE4" s="479" t="s">
        <v>456</v>
      </c>
      <c r="EF4" s="215" t="s">
        <v>599</v>
      </c>
      <c r="EG4" s="215" t="s">
        <v>598</v>
      </c>
      <c r="EH4" s="468"/>
      <c r="EI4" s="479" t="s">
        <v>474</v>
      </c>
      <c r="EJ4" s="215" t="s">
        <v>475</v>
      </c>
      <c r="EK4" s="215" t="s">
        <v>473</v>
      </c>
      <c r="EL4" s="215" t="s">
        <v>469</v>
      </c>
      <c r="EM4" s="215" t="s">
        <v>478</v>
      </c>
      <c r="EN4" s="215" t="s">
        <v>491</v>
      </c>
      <c r="EO4" s="215" t="s">
        <v>776</v>
      </c>
      <c r="EP4" s="215" t="s">
        <v>778</v>
      </c>
      <c r="EQ4" s="479" t="s">
        <v>601</v>
      </c>
      <c r="ER4" s="215" t="s">
        <v>600</v>
      </c>
      <c r="ES4" s="215" t="s">
        <v>477</v>
      </c>
      <c r="ET4" s="215" t="s">
        <v>483</v>
      </c>
      <c r="EU4" s="215" t="s">
        <v>487</v>
      </c>
      <c r="EV4" s="479" t="s">
        <v>458</v>
      </c>
      <c r="EW4" s="215" t="s">
        <v>603</v>
      </c>
      <c r="EX4" s="215" t="s">
        <v>602</v>
      </c>
      <c r="EY4" s="215" t="s">
        <v>468</v>
      </c>
      <c r="EZ4" s="215" t="s">
        <v>673</v>
      </c>
      <c r="FA4" s="215" t="s">
        <v>484</v>
      </c>
      <c r="FB4" s="215" t="s">
        <v>486</v>
      </c>
      <c r="FC4" s="479" t="s">
        <v>482</v>
      </c>
      <c r="FD4" s="215" t="s">
        <v>223</v>
      </c>
      <c r="FE4" s="215" t="s">
        <v>47</v>
      </c>
      <c r="FF4" s="215" t="s">
        <v>485</v>
      </c>
      <c r="FG4" s="215" t="s">
        <v>604</v>
      </c>
      <c r="FI4" s="490" t="s">
        <v>497</v>
      </c>
      <c r="FL4" s="668" t="s">
        <v>876</v>
      </c>
      <c r="FM4" s="668" t="s">
        <v>875</v>
      </c>
    </row>
    <row r="5" spans="2:169">
      <c r="E5" s="147">
        <v>0.1</v>
      </c>
      <c r="F5" s="188">
        <v>1.0000000000000001E-9</v>
      </c>
      <c r="G5" s="188">
        <v>1.0000000000000001E-9</v>
      </c>
      <c r="H5" s="188">
        <f t="shared" ref="H5:H36" si="0">F5*Vout</f>
        <v>1.7000000000000001E-7</v>
      </c>
      <c r="I5" s="188">
        <f>G5*Vout2</f>
        <v>1.2000000000000002E-8</v>
      </c>
      <c r="J5" s="465">
        <f t="shared" ref="J5:J36" si="1">Vin-(F5/CG5/Nps+G5/CH5/(Nps/Nsec1sec2))*(Rdcr_pri+RON/1000)</f>
        <v>11.999985111010171</v>
      </c>
      <c r="K5" s="379">
        <f t="shared" ref="K5:K36" si="2">MAX((S5+Vfwd2+Rdcr_sec*F5/CG5)*Nps,(Vout2+Vfwd22+Rdcr_sec2*G5/CH5)*Nps/Nsec1sec2)</f>
        <v>8.62500889741567</v>
      </c>
      <c r="L5" s="149">
        <f t="shared" ref="L5:L36" si="3">MAX((Vout+Vfwd2+F5/CG5*Rdcr_sec)*Nps+J5, (Vout2+Vfwd22+G5/CH5*Rdcr_sec2)*Nps/Nsec1sec2+J5)</f>
        <v>20.624994008425841</v>
      </c>
      <c r="M5" s="379"/>
      <c r="N5" s="188">
        <f t="shared" ref="N5:N36" si="4">MAX((Vout+Vfwd2+F5/CG5*Rdcr_sec)*Nps/((Vout+Vfwd2+F5/CG5*Rdcr_sec)*Nps+J5), (Vout2+Vfwd22+G5/CH5*Rdcr_sec2)*Nps/Nsec1sec2/((Vout2+Vfwd22+G5/CH5*Rdcr_sec2)*Nps/Nsec1sec2+J5))</f>
        <v>0.41818237105388406</v>
      </c>
      <c r="O5" s="149">
        <f>N5*J5*Isw_max*0.5*Efficiency*(Pout/Pout_total)</f>
        <v>156.24376895177687</v>
      </c>
      <c r="P5" s="149">
        <f t="shared" ref="P5:P36" si="5">N5*J5*Isw_max*0.5*Efficiency*(Pout2/Pout_total)</f>
        <v>11.028971926007779</v>
      </c>
      <c r="Q5" s="188">
        <f t="shared" ref="Q5:Q68" si="6">O5/Vout</f>
        <v>0.91908099383398156</v>
      </c>
      <c r="R5" s="188">
        <f t="shared" ref="R5:R36" si="7">O5/Vout2</f>
        <v>13.020314079314739</v>
      </c>
      <c r="S5" s="379">
        <f t="shared" ref="S5:S36" si="8">MIN(Vout,O5/F5)</f>
        <v>170</v>
      </c>
      <c r="T5" s="188">
        <f t="shared" ref="T5:T36" si="9">MIN(2*(Vout*F5+Vout2*G5)/(Efficiency*J5*N5), Isw_max)</f>
        <v>7.2536225984354356E-8</v>
      </c>
      <c r="U5" s="188">
        <f t="shared" ref="U5:U68" si="10">L*T5/J5*1000000</f>
        <v>9.0670394979658673E-9</v>
      </c>
      <c r="V5" s="188">
        <f t="shared" ref="V5:V68" si="11">L*T5/K5*1000000</f>
        <v>1.261498280994618E-8</v>
      </c>
      <c r="W5" s="172">
        <f t="shared" ref="W5:W68" si="12">IF(1/((350000*L)*(1/J5+1/K5))&gt;Isw_min, 350, 0.001/((Isw_min*L)*(1/J5+1/K5)))</f>
        <v>250.90911131667687</v>
      </c>
      <c r="X5" s="379">
        <f>MIN(1/(U5+V5+0.2)*1000, 350)</f>
        <v>350</v>
      </c>
      <c r="Z5" s="188">
        <f t="shared" ref="Z5:Z68" si="13">1/((W5*1000*L)*(1/J5+1/K5))</f>
        <v>13.333333333333336</v>
      </c>
      <c r="AA5" s="150">
        <f t="shared" ref="AA5:AA68" si="14">L*Z5/K5*1000000</f>
        <v>2.3188381876327862</v>
      </c>
      <c r="AB5" s="150">
        <f t="shared" ref="AB5:AB36" si="15">0.5*AA5*Z5*Nps*W5/1000*(Pout/Pout_total)</f>
        <v>0.18115200901252698</v>
      </c>
      <c r="AC5" s="150"/>
      <c r="AD5" s="150">
        <f t="shared" ref="AD5:AD68" si="16">L*Isw_min/K5*1000000</f>
        <v>2.3188381876327857</v>
      </c>
      <c r="AE5" s="314">
        <f t="shared" ref="AE5:AE36" si="17">MAX(10, F5/(0.5*AD5/1000000*Isw_min*Nps)/1000*Pout_total/Pout)</f>
        <v>10</v>
      </c>
      <c r="AF5" s="456">
        <f t="shared" ref="AF5:AF36" si="18">0.5*AD5/1000000*Isw_min*Nps*W5*1000*(Pout/Pout_total)</f>
        <v>0.18115200901252695</v>
      </c>
      <c r="AH5" s="150">
        <f t="shared" ref="AH5:AH36" si="19">SQRT((H5+I5)/(0.5*L*Fsw_DCM))</f>
        <v>8.326663997864531E-4</v>
      </c>
      <c r="AI5" s="150">
        <f t="shared" ref="AI5:AI36" si="20">MAX(IF(F5&gt;AB5,T5,AH5),Isw_min)</f>
        <v>13.333333333333334</v>
      </c>
      <c r="AJ5" s="150">
        <f t="shared" ref="AJ5:AJ36" si="21">IF(F5&gt;AF5, (AI5-Isw_min)/1.08*0.8+1.2, AE5*0.2/350+1)</f>
        <v>1.0057142857142858</v>
      </c>
      <c r="AL5" s="314">
        <f t="shared" ref="AL5:AL36" si="22">F5*1000</f>
        <v>1.0000000000000002E-6</v>
      </c>
      <c r="AM5" s="144">
        <f t="shared" ref="AM5:AM36" si="23">IF(F5&gt;AF5, X5, AE5)</f>
        <v>10</v>
      </c>
      <c r="AO5">
        <f>IF(H5&gt;O5, "",AL5)</f>
        <v>1.0000000000000002E-6</v>
      </c>
      <c r="AP5" s="144">
        <f t="shared" ref="AP5:AP68" si="24">IF(H5&gt;O5, "",AM5)</f>
        <v>10</v>
      </c>
      <c r="AQ5" s="144"/>
      <c r="AR5" s="5">
        <f>1/AM5*1000</f>
        <v>100</v>
      </c>
      <c r="AS5" s="5">
        <f t="shared" ref="AS5:AS68" si="25">L*AI5/J5*1000000</f>
        <v>1.6666687345844868</v>
      </c>
      <c r="AT5" s="5">
        <f>AR5-AS5</f>
        <v>98.333331265415509</v>
      </c>
      <c r="AU5" s="150">
        <f>AS5/AR5</f>
        <v>1.666668734584487E-2</v>
      </c>
      <c r="AW5" s="5">
        <f t="shared" ref="AW5:AW36" si="26">F5*AS5/Vout_ripple*1000</f>
        <v>9.8039337328499238E-10</v>
      </c>
      <c r="AX5" s="5">
        <f t="shared" ref="AX5:AX36" si="27">G5*AS5/Vout_ripple2*1000</f>
        <v>1.388890612153739E-8</v>
      </c>
      <c r="AY5" s="5">
        <f t="shared" ref="AY5:AY68" si="28">H5/Efficiency/J5*AT5/Vinripple1</f>
        <v>2.3217620911577685E-6</v>
      </c>
      <c r="AZ5" s="5"/>
      <c r="BA5" s="150">
        <f>AI5*SQRT(AU5/3)</f>
        <v>0.99380860653369119</v>
      </c>
      <c r="BB5" s="150">
        <f t="shared" ref="BB5:BB36" si="29">AI5*Npri_sec1*SQRT((1-AU5)/3)*(Pout/Pout_total)</f>
        <v>0.35651353548746062</v>
      </c>
      <c r="BC5" s="150">
        <f t="shared" ref="BC5:BC36" si="30">AI5*Npri_sec2*SQRT((1-AU5)/3)*(Pout2/Pout_total)</f>
        <v>0.3391466077477221</v>
      </c>
      <c r="BD5" s="150"/>
      <c r="BE5" s="456">
        <f t="shared" ref="BE5:BE68" si="31">Rdson*BA5^2</f>
        <v>3.3580288578294857E-3</v>
      </c>
      <c r="BF5" s="456">
        <f t="shared" ref="BF5:BF36" si="32">0.5*L5*AI5*AM5*1000*Tfall</f>
        <v>6.586248086690652E-2</v>
      </c>
      <c r="BG5" s="456">
        <f t="shared" ref="BG5:BG36" si="33">Qg*Vdd*AM5*1000*0+Qg*J5*AM5*1000</f>
        <v>5.4959931808426579E-3</v>
      </c>
      <c r="BH5" s="456">
        <f t="shared" ref="BH5:BH68" si="34">0.5*(Coss+Csw)*L5^2*AM5*1000</f>
        <v>2.9139240882560726E-3</v>
      </c>
      <c r="BI5">
        <f t="shared" ref="BI5:BI68" si="35">J5*IQ</f>
        <v>5.3999932999545764E-3</v>
      </c>
      <c r="BJ5" s="144">
        <f>(BG5+BI5)*1000</f>
        <v>10.895986480797236</v>
      </c>
      <c r="BK5">
        <f t="shared" ref="BK5:BK36" si="36">(BF5+BG5*0+BH5+BI5*0+BE5*(1+RdsonTC*(Ta-25)))/(1-BE5*RdsonTC*ThetaJA)</f>
        <v>7.3099425271747884E-2</v>
      </c>
      <c r="BL5" s="144">
        <f>BK5*1000</f>
        <v>73.09942527174789</v>
      </c>
      <c r="BM5" s="150">
        <f t="shared" ref="BM5:BM36" si="37">Vfwd2*F5*(1+Diode_TC/1000*(Ta-25))</f>
        <v>2.21875E-9</v>
      </c>
      <c r="BN5" s="150">
        <f t="shared" ref="BN5:BN36" si="38">Vfwd22*G5*(1+Diode_TC/1000*(Ta-25))</f>
        <v>7.1000000000000013E-10</v>
      </c>
      <c r="BO5" s="456"/>
      <c r="BQ5" s="144">
        <f>SUM(BM5:BP5)*1000</f>
        <v>2.9287500000000001E-6</v>
      </c>
      <c r="BR5" s="456">
        <f t="shared" ref="BR5:BR68" si="39">Rdcr_pri*BA5^2</f>
        <v>1.4814833196306557E-3</v>
      </c>
      <c r="BS5" s="456">
        <f>Rdcr_sec*BB5^2</f>
        <v>2.5420380197153772E-2</v>
      </c>
      <c r="BT5" s="456">
        <f t="shared" ref="BT5:BT36" si="40">Rdcr_sec2*BC5^2</f>
        <v>3.4506126464036177E-3</v>
      </c>
      <c r="BU5" s="456">
        <f t="shared" ref="BU5:BU68" si="41">AI5^2.5*AM5^2.5*k_core</f>
        <v>1.026400478559336E-2</v>
      </c>
      <c r="BV5" s="456">
        <f t="shared" ref="BV5:BV36" si="42">(BU5+(BR5+BS5+BT5)*(1+Ltc*(Ta-25)))/(1-(BR5+BS5+BT5)*Ltc*ThetaCa)</f>
        <v>4.8017671646671922E-2</v>
      </c>
      <c r="BW5" s="538">
        <f t="shared" ref="BW5:BW36" si="43">0.5*Lleak*0.000000001*AI5^2*AM5*1000</f>
        <v>1.7777777777777781E-3</v>
      </c>
      <c r="BX5" s="144">
        <f>(BV5+BW5)*1000</f>
        <v>49.7954494244497</v>
      </c>
      <c r="BY5" s="150">
        <f>SUM(BK5,BM5:BP5,BV5:BW5)</f>
        <v>0.12289487762494759</v>
      </c>
      <c r="BZ5" s="5">
        <f>MIN(H5+I5,O5+P5)</f>
        <v>1.8200000000000002E-7</v>
      </c>
      <c r="CA5" s="150">
        <f>BZ5/(BZ5+BY5)</f>
        <v>1.4809382944719624E-6</v>
      </c>
      <c r="CB5" s="5">
        <f>CA5*100</f>
        <v>1.4809382944719625E-4</v>
      </c>
      <c r="CC5">
        <v>0</v>
      </c>
      <c r="CE5" s="59">
        <f t="shared" ref="CE5:CE36" si="44">IF(ABS(F5-Ioutmax_Vinnom)&lt;Iout/200, AM5, -50)</f>
        <v>-50</v>
      </c>
      <c r="CF5">
        <f t="shared" ref="CF5:CF36" si="45">IF(ABS(F5-Ioutmax_Vinnom)&lt;Iout/200, (O5+P5)*CA5, -50)</f>
        <v>-50</v>
      </c>
      <c r="CG5" s="150">
        <f t="shared" ref="CG5:CG36" si="46">MIN(SQRT(2*DT5*1000*Ls1_*(CL5+CJ5*Vfwd1))/(CW5+Vfwd1), 1-DY5)</f>
        <v>8.3844361630063719E-6</v>
      </c>
      <c r="CH5" s="150">
        <f t="shared" ref="CH5:CH36" si="47">MIN(SQRT(2*DT5*1000*Ls2_*(CM5+CK5*Vfwd22))/(Vout2+Vfwd22), 1-DY5)</f>
        <v>2.2719904860597595E-6</v>
      </c>
      <c r="CI5" s="147">
        <v>0.1</v>
      </c>
      <c r="CJ5" s="188">
        <v>1.0000000000000001E-9</v>
      </c>
      <c r="CK5" s="188">
        <v>1.0000000000000001E-9</v>
      </c>
      <c r="CL5" s="188">
        <f t="shared" ref="CL5:CL68" si="48">CJ5*Vout</f>
        <v>1.7000000000000001E-7</v>
      </c>
      <c r="CM5" s="188">
        <f>CK5*Vout2</f>
        <v>1.2000000000000002E-8</v>
      </c>
      <c r="CN5" s="465">
        <f>Vin</f>
        <v>12</v>
      </c>
      <c r="CO5" s="379">
        <f t="shared" ref="CO5:CO36" si="49">(CW5+Vfwd2)*Nps</f>
        <v>8.625</v>
      </c>
      <c r="CP5" s="379">
        <f t="shared" ref="CP5:CP36" si="50">(Vout+Vfwd2)*Nps+CN5</f>
        <v>20.625</v>
      </c>
      <c r="CQ5" s="379"/>
      <c r="CR5" s="188">
        <f>(Vout+Vfwd2)*Nps/((Vout+Vfwd2)*Nps+CN5)</f>
        <v>0.41818181818181815</v>
      </c>
      <c r="CS5" s="149">
        <f>CR5*CN5*Isw_max*0.5*Efficiency*(Pout/Pout_total)</f>
        <v>156.24375624375625</v>
      </c>
      <c r="CT5" s="149">
        <f t="shared" ref="CT5:CT68" si="51">CR5*CN5*Isw_max*0.5*Efficiency*(Pout2/Pout_total)</f>
        <v>11.02897102897103</v>
      </c>
      <c r="CU5" s="188">
        <f t="shared" ref="CU5:CU68" si="52">CS5/Vout</f>
        <v>0.91908091908091916</v>
      </c>
      <c r="CV5" s="188">
        <f t="shared" ref="CV5:CV68" si="53">CS5/Vout2</f>
        <v>13.02031302031302</v>
      </c>
      <c r="CW5" s="379">
        <f t="shared" ref="CW5:CW68" si="54">MIN(Vout,CS5/CJ5)</f>
        <v>170</v>
      </c>
      <c r="CX5" s="188">
        <f t="shared" ref="CX5:CX68" si="55">MIN(2*(Vout*CJ5+Vout2*CK5)/(Efficiency*CN5*CR5), Isw_max)</f>
        <v>7.2536231884057988E-8</v>
      </c>
      <c r="CY5" s="188">
        <f t="shared" ref="CY5:CY68" si="56">L*CX5/CN5*1000000</f>
        <v>9.0670289855072484E-9</v>
      </c>
      <c r="CZ5" s="188">
        <f t="shared" ref="CZ5:CZ68" si="57">L*CX5/CO5*1000000</f>
        <v>1.261499684940139E-8</v>
      </c>
      <c r="DA5" s="172">
        <f t="shared" ref="DA5:DA68" si="58">IF(1/((350000*L)*(1/CN5+1/CO5))&gt;Isw_min, 350, 0.001/((Isw_min*L)*(1/CN5+1/CO5)))</f>
        <v>250.90909090909091</v>
      </c>
      <c r="DB5" s="379">
        <f>MIN(1/(CY5+CZ5)*1000, 350)</f>
        <v>350</v>
      </c>
      <c r="DD5" s="188">
        <f t="shared" ref="DD5:DD68" si="59">1/((DA5*1000*L)*(1/CN5+1/CO5))</f>
        <v>13.333333333333332</v>
      </c>
      <c r="DE5" s="150">
        <f t="shared" ref="DE5:DE68" si="60">L*DD5/CO5*1000000</f>
        <v>2.318840579710145</v>
      </c>
      <c r="DF5" s="150">
        <f t="shared" ref="DF5:DF68" si="61">0.5*DE5*DD5*Nps*DA5/1000*(Pout/Pout_total)</f>
        <v>0.18115218115218115</v>
      </c>
      <c r="DG5" s="150"/>
      <c r="DH5" s="150">
        <f t="shared" ref="DH5:DH68" si="62">L*Isw_min/CO5*1000000</f>
        <v>2.3188405797101455</v>
      </c>
      <c r="DI5" s="314">
        <f t="shared" ref="DI5:DI68" si="63">MAX(10, CJ5/(0.5*DH5/1000000*Isw_min*Nps)/1000*Pout_total/Pout)</f>
        <v>10</v>
      </c>
      <c r="DJ5" s="456">
        <f t="shared" ref="DJ5:DJ68" si="64">0.5*DH5/1000000*Isw_min*Nps*DA5*1000*(Pout/Pout_total)</f>
        <v>0.18115218115218121</v>
      </c>
      <c r="DL5" s="150">
        <f t="shared" ref="DL5:DL68" si="65">SQRT((CL5+CM5)/(0.5*L*Fsw_DCM))</f>
        <v>8.326663997864531E-4</v>
      </c>
      <c r="DM5" s="150">
        <f t="shared" ref="DM5:DM68" si="66">MAX(IF(CJ5&gt;DF5,CX5,DL5),Isw_min)</f>
        <v>13.333333333333334</v>
      </c>
      <c r="DN5" s="150">
        <f t="shared" ref="DN5:DN68" si="67">IF(CJ5&gt;DJ5, (DM5-Isw_min)/1.08*0.8+1.2, DI5*0.2/350+1)</f>
        <v>1.0057142857142858</v>
      </c>
      <c r="DP5" s="314">
        <f t="shared" ref="DP5:DP68" si="68">CJ5*1000</f>
        <v>1.0000000000000002E-6</v>
      </c>
      <c r="DQ5" s="144">
        <f t="shared" ref="DQ5:DQ68" si="69">IF(CJ5&gt;DJ5, DB5, DI5)</f>
        <v>10</v>
      </c>
      <c r="DS5">
        <f>IF(CL5&gt;CS5, "",DP5)</f>
        <v>1.0000000000000002E-6</v>
      </c>
      <c r="DT5" s="144">
        <f t="shared" ref="DT5:DT68" si="70">IF(CL5&gt;CS5, "",DQ5)</f>
        <v>10</v>
      </c>
      <c r="DU5" s="144"/>
      <c r="DV5" s="5">
        <f>1/DQ5*1000</f>
        <v>100</v>
      </c>
      <c r="DW5" s="5">
        <f t="shared" ref="DW5:DW68" si="71">L*DM5/CN5*1000000</f>
        <v>1.666666666666667</v>
      </c>
      <c r="DX5" s="5">
        <f>DV5-DW5</f>
        <v>98.333333333333329</v>
      </c>
      <c r="DY5" s="150">
        <f>DW5/DV5</f>
        <v>1.666666666666667E-2</v>
      </c>
      <c r="EA5" s="5">
        <f t="shared" ref="EA5:EA68" si="72">CJ5*DW5/Vout_ripple*1000</f>
        <v>9.8039215686274534E-10</v>
      </c>
      <c r="EB5" s="5">
        <f t="shared" ref="EB5:EB68" si="73">CK5*DW5/Vout_ripple2*1000</f>
        <v>1.3888888888888894E-8</v>
      </c>
      <c r="EC5" s="5">
        <f t="shared" ref="EC5:EC68" si="74">CL5/Efficiency/CN5*DX5/Vinripple1</f>
        <v>2.3217592592592591E-6</v>
      </c>
      <c r="ED5" s="5"/>
      <c r="EE5" s="150">
        <f>DM5*SQRT(DY5/3)</f>
        <v>0.9938079899999066</v>
      </c>
      <c r="EF5" s="150">
        <f t="shared" ref="EF5:EF68" si="75">DM5*Npri_sec1*SQRT((1-DY5)/3)*(Pout/Pout_total)</f>
        <v>0.35651353923614215</v>
      </c>
      <c r="EG5" s="150">
        <f t="shared" ref="EG5:EG68" si="76">DM5*Npri_sec2*SQRT((1-DY5)/3)*(Pout2/Pout_total)</f>
        <v>0.33914661131379326</v>
      </c>
      <c r="EH5" s="150"/>
      <c r="EI5" s="456">
        <f t="shared" ref="EI5:EI68" si="77">Rdson*EE5^2</f>
        <v>3.3580246913580249E-3</v>
      </c>
      <c r="EJ5" s="456">
        <f t="shared" ref="EJ5:EJ68" si="78">0.5*CP5*DM5*DQ5*1000*Trise</f>
        <v>8.3600000000000008E-2</v>
      </c>
      <c r="EK5" s="456">
        <f t="shared" ref="EK5:EK68" si="79">Qg*Vdd*DQ5*1000</f>
        <v>2.2899999999999999E-3</v>
      </c>
      <c r="EL5" s="456">
        <f t="shared" ref="EL5:EL68" si="80">0.5*(Coss+Csw)*CP5^2*DQ5*1000</f>
        <v>2.9139257812499995E-3</v>
      </c>
      <c r="EM5">
        <f t="shared" ref="EM5:EM68" si="81">CN5*IQ</f>
        <v>5.4000000000000003E-3</v>
      </c>
      <c r="EN5" s="144">
        <f>(EK5+EM5)*1000</f>
        <v>7.69</v>
      </c>
      <c r="EO5">
        <f t="shared" ref="EO5:EO68" si="82">(EJ5+EK5+EL5+EM5+EI5*(1+RdsonTC*(Ta-25)))/(1-EI5*RdsonTC*ThetaJA)</f>
        <v>9.8547244700913403E-2</v>
      </c>
      <c r="EP5" s="144">
        <f>EO5*1000</f>
        <v>98.547244700913396</v>
      </c>
      <c r="EQ5" s="150">
        <f t="shared" ref="EQ5:EQ68" si="83">Vfwd2*CJ5*(1+Diode_TC/1000*(Ta-25))</f>
        <v>2.21875E-9</v>
      </c>
      <c r="ER5" s="150">
        <f t="shared" ref="ER5:ER36" si="84">Vfwd22*CK5*(1+Diode_TC/1000*(Ta-25))</f>
        <v>7.1000000000000013E-10</v>
      </c>
      <c r="ES5" s="456"/>
      <c r="EU5" s="144">
        <f>SUM(EQ5:ET5)*1000</f>
        <v>2.9287500000000001E-6</v>
      </c>
      <c r="EV5" s="456">
        <f t="shared" ref="EV5:EV68" si="85">Rdcr_pri*EE5^2</f>
        <v>1.4814814814814818E-3</v>
      </c>
      <c r="EW5" s="456">
        <f>Rdcr_sec*EF5^2</f>
        <v>2.5420380731736053E-2</v>
      </c>
      <c r="EX5" s="456">
        <f t="shared" ref="EX5:EX68" si="86">Rdcr_sec2*EG5^2</f>
        <v>3.4506127189688745E-3</v>
      </c>
      <c r="EY5" s="456">
        <f t="shared" ref="EY5:EY68" si="87">DM5^2.5*DQ5^2.5*k_core</f>
        <v>1.026400478559336E-2</v>
      </c>
      <c r="EZ5" s="456">
        <f t="shared" ref="EZ5:EZ68" si="88">(EY5+(EV5+EW5+EX5)*(1+Ltc*(Ta-25)))/(1-(EV5+EW5+EX5)*Ltc*ThetaCa)</f>
        <v>4.8017670111774081E-2</v>
      </c>
      <c r="FA5" s="538">
        <f t="shared" ref="FA5:FA68" si="89">0.5*Lleak*0.000000001*DM5^2*DQ5*1000</f>
        <v>1.7777777777777781E-3</v>
      </c>
      <c r="FB5" s="144">
        <f>(EZ5+FA5)*1000</f>
        <v>49.795447889551859</v>
      </c>
      <c r="FC5" s="150">
        <f>SUM(EO5,EQ5:ET5,EZ5:FA5)</f>
        <v>0.14834269551921525</v>
      </c>
      <c r="FD5" s="5">
        <f>MIN(CL5+CM5,CS5+CT5)</f>
        <v>1.8200000000000002E-7</v>
      </c>
      <c r="FE5" s="150">
        <f>FD5/(FD5+FC5)</f>
        <v>1.2268873507352929E-6</v>
      </c>
      <c r="FF5" s="5">
        <f>FE5*100</f>
        <v>1.2268873507352928E-4</v>
      </c>
      <c r="FG5">
        <v>0</v>
      </c>
      <c r="FI5" s="59">
        <f t="shared" ref="FI5:FI68" si="90">IF(ABS(CJ5-Ioutmax_Vinnom)&lt;Iout/200, DQ5, -50)</f>
        <v>-50</v>
      </c>
      <c r="FJ5">
        <f t="shared" ref="FJ5:FJ68" si="91">IF(ABS(CJ5-Ioutmax_Vinnom)&lt;Iout/200, (CS5+CT5)*FE5, -50)</f>
        <v>-50</v>
      </c>
      <c r="FL5">
        <f t="shared" ref="FL5:FL68" si="92">MIN(SQRT(2*DQ5*1000*L*CJ5*(Vout+Vfwd1))/(Nps*(Vout+Vfwd1)),1-DY5)</f>
        <v>8.3844361630063719E-6</v>
      </c>
      <c r="FM5">
        <f>MIN(,)</f>
        <v>0</v>
      </c>
    </row>
    <row r="6" spans="2:169">
      <c r="E6" s="147">
        <v>1</v>
      </c>
      <c r="F6" s="188">
        <f>IF(PLOT_TYPE=1, E6/100*Iout, min_I*EXP(O6*rr/100))</f>
        <v>5.0000000000000001E-3</v>
      </c>
      <c r="G6" s="188">
        <f t="shared" ref="G6:G37" si="93">IF(PLOT_TYPE=1, E6/100*Iout2, min_I*EXP(Q6*rr/100))</f>
        <v>5.0000000000000001E-3</v>
      </c>
      <c r="H6" s="188">
        <f t="shared" si="0"/>
        <v>0.85</v>
      </c>
      <c r="I6" s="188">
        <f>G6*Vout2</f>
        <v>0.06</v>
      </c>
      <c r="J6" s="465">
        <f t="shared" si="1"/>
        <v>11.9667072066232</v>
      </c>
      <c r="K6" s="379">
        <f t="shared" si="2"/>
        <v>8.6448952262594769</v>
      </c>
      <c r="L6" s="149">
        <f t="shared" si="3"/>
        <v>20.611602432882677</v>
      </c>
      <c r="M6" s="379"/>
      <c r="N6" s="188">
        <f t="shared" si="4"/>
        <v>0.41941888091475416</v>
      </c>
      <c r="O6" s="149">
        <f t="shared" ref="O6:O37" si="94">N6*J6*Isw_max*0.5*Efficiency*Pout/(Pout+Pout2)</f>
        <v>156.27119059014515</v>
      </c>
      <c r="P6" s="149">
        <f t="shared" si="5"/>
        <v>11.03090757106907</v>
      </c>
      <c r="Q6" s="188">
        <f t="shared" si="6"/>
        <v>0.91924229758908915</v>
      </c>
      <c r="R6" s="188">
        <f t="shared" si="7"/>
        <v>13.02259921584543</v>
      </c>
      <c r="S6" s="379">
        <f t="shared" si="8"/>
        <v>170</v>
      </c>
      <c r="T6" s="188">
        <f t="shared" si="9"/>
        <v>0.36261748856375714</v>
      </c>
      <c r="U6" s="188">
        <f t="shared" si="10"/>
        <v>4.5453291657757737E-2</v>
      </c>
      <c r="V6" s="188">
        <f t="shared" si="11"/>
        <v>6.2918776758961931E-2</v>
      </c>
      <c r="W6" s="172">
        <f t="shared" si="12"/>
        <v>250.95314724182126</v>
      </c>
      <c r="X6" s="379">
        <f t="shared" ref="X6:X69" si="95">MIN(1/(U6+V6+0.2)*1000, 350)</f>
        <v>350</v>
      </c>
      <c r="Z6" s="188">
        <f t="shared" si="13"/>
        <v>13.333333333333336</v>
      </c>
      <c r="AA6" s="150">
        <f t="shared" si="14"/>
        <v>2.3135040363761266</v>
      </c>
      <c r="AB6" s="150">
        <f t="shared" si="15"/>
        <v>0.18076701509980186</v>
      </c>
      <c r="AC6" s="150"/>
      <c r="AD6" s="150">
        <f t="shared" si="16"/>
        <v>2.3135040363761261</v>
      </c>
      <c r="AE6" s="314">
        <f t="shared" si="17"/>
        <v>10</v>
      </c>
      <c r="AF6" s="456">
        <f t="shared" si="18"/>
        <v>0.18076701509980181</v>
      </c>
      <c r="AH6" s="150">
        <f t="shared" si="19"/>
        <v>1.8618986725025255</v>
      </c>
      <c r="AI6" s="150">
        <f t="shared" si="20"/>
        <v>13.333333333333334</v>
      </c>
      <c r="AJ6" s="150">
        <f t="shared" si="21"/>
        <v>1.0057142857142858</v>
      </c>
      <c r="AL6" s="314">
        <f t="shared" si="22"/>
        <v>5</v>
      </c>
      <c r="AM6" s="144">
        <f t="shared" si="23"/>
        <v>10</v>
      </c>
      <c r="AO6">
        <f t="shared" ref="AO6:AO69" si="96">IF(H6&gt;O6, "",AL6)</f>
        <v>5</v>
      </c>
      <c r="AP6" s="144">
        <f t="shared" si="24"/>
        <v>10</v>
      </c>
      <c r="AQ6" s="144"/>
      <c r="AR6" s="5">
        <f t="shared" ref="AR6:AR69" si="97">1/AM6*1000</f>
        <v>100</v>
      </c>
      <c r="AS6" s="5">
        <f t="shared" si="25"/>
        <v>1.6713035302585681</v>
      </c>
      <c r="AT6" s="5">
        <f t="shared" ref="AT6:AT69" si="98">AR6-AS6</f>
        <v>98.328696469741431</v>
      </c>
      <c r="AU6" s="150">
        <f t="shared" ref="AU6:AU69" si="99">AS6/AR6</f>
        <v>1.671303530258568E-2</v>
      </c>
      <c r="AW6" s="5">
        <f t="shared" si="26"/>
        <v>4.9155986184075537E-3</v>
      </c>
      <c r="AX6" s="5">
        <f t="shared" si="27"/>
        <v>6.9637647094107011E-2</v>
      </c>
      <c r="AY6" s="5">
        <f t="shared" si="28"/>
        <v>11.64054440877181</v>
      </c>
      <c r="AZ6" s="5"/>
      <c r="BA6" s="150">
        <f t="shared" ref="BA6:BA69" si="100">AI6*SQRT(AU6/3)</f>
        <v>0.99518947542921565</v>
      </c>
      <c r="BB6" s="150">
        <f t="shared" si="29"/>
        <v>0.35650513352018404</v>
      </c>
      <c r="BC6" s="150">
        <f t="shared" si="30"/>
        <v>0.33913861506745446</v>
      </c>
      <c r="BD6" s="150"/>
      <c r="BE6" s="456">
        <f t="shared" si="31"/>
        <v>3.3673671128172629E-3</v>
      </c>
      <c r="BF6" s="456">
        <f t="shared" si="32"/>
        <v>6.5819717102338679E-2</v>
      </c>
      <c r="BG6" s="456">
        <f t="shared" si="33"/>
        <v>5.4807519006334262E-3</v>
      </c>
      <c r="BH6" s="456">
        <f t="shared" si="34"/>
        <v>2.9101413607308235E-3</v>
      </c>
      <c r="BI6">
        <f t="shared" si="35"/>
        <v>5.3850182429804397E-3</v>
      </c>
      <c r="BJ6" s="144">
        <f t="shared" ref="BJ6:BJ69" si="101">(BG6+BI6)*1000</f>
        <v>10.865770143613865</v>
      </c>
      <c r="BK6">
        <f t="shared" si="36"/>
        <v>7.3064872909380033E-2</v>
      </c>
      <c r="BL6" s="144">
        <f t="shared" ref="BL6:BL69" si="102">BK6*1000</f>
        <v>73.064872909380028</v>
      </c>
      <c r="BM6" s="150">
        <f t="shared" si="37"/>
        <v>1.1093749999999999E-2</v>
      </c>
      <c r="BN6" s="150">
        <f t="shared" si="38"/>
        <v>3.5499999999999998E-3</v>
      </c>
      <c r="BO6" s="456"/>
      <c r="BQ6" s="144">
        <f t="shared" ref="BQ6:BQ69" si="103">SUM(BM6:BP6)*1000</f>
        <v>14.643749999999999</v>
      </c>
      <c r="BR6" s="456">
        <f t="shared" si="39"/>
        <v>1.4856031380076162E-3</v>
      </c>
      <c r="BS6" s="456">
        <f t="shared" ref="BS6:BS68" si="104">Rdcr_sec*BB6^2</f>
        <v>2.5419182045248852E-2</v>
      </c>
      <c r="BT6" s="456">
        <f t="shared" si="40"/>
        <v>3.4504500068961311E-3</v>
      </c>
      <c r="BU6" s="456">
        <f t="shared" si="41"/>
        <v>1.026400478559336E-2</v>
      </c>
      <c r="BV6" s="456">
        <f t="shared" si="42"/>
        <v>4.8021111792787598E-2</v>
      </c>
      <c r="BW6" s="538">
        <f t="shared" si="43"/>
        <v>1.7777777777777781E-3</v>
      </c>
      <c r="BX6" s="144">
        <f t="shared" ref="BX6:BX69" si="105">(BV6+BW6)*1000</f>
        <v>49.798889570565379</v>
      </c>
      <c r="BY6" s="150">
        <f t="shared" ref="BY6:BY69" si="106">SUM(BK6,BM6:BP6,BV6:BW6)</f>
        <v>0.13750751247994539</v>
      </c>
      <c r="BZ6" s="5">
        <f t="shared" ref="BZ6:BZ69" si="107">MIN(H6+I6,O6+P6)</f>
        <v>0.90999999999999992</v>
      </c>
      <c r="CA6" s="150">
        <f t="shared" ref="CA6:CA69" si="108">BZ6/(BZ6+BY6)</f>
        <v>0.86872885316650361</v>
      </c>
      <c r="CB6" s="5">
        <f t="shared" ref="CB6:CB69" si="109">CA6*100</f>
        <v>86.872885316650354</v>
      </c>
      <c r="CC6">
        <f t="shared" ref="CC6:CC37" si="110">F6/Iout*100</f>
        <v>1</v>
      </c>
      <c r="CE6" s="59">
        <f t="shared" si="44"/>
        <v>-50</v>
      </c>
      <c r="CF6">
        <f t="shared" si="45"/>
        <v>-50</v>
      </c>
      <c r="CG6" s="150">
        <f t="shared" si="46"/>
        <v>1.8748169213489752E-2</v>
      </c>
      <c r="CH6" s="150">
        <f t="shared" si="47"/>
        <v>5.08032517106241E-3</v>
      </c>
      <c r="CI6" s="147">
        <v>1</v>
      </c>
      <c r="CJ6" s="188">
        <f>IF(PLOT_TYPE=1, CI6/100*Iout, min_I*EXP(CS6*rr/100))</f>
        <v>5.0000000000000001E-3</v>
      </c>
      <c r="CK6" s="188">
        <f t="shared" ref="CK6:CK69" si="111">IF(PLOT_TYPE=1, CI6/100*Iout2, min_I*EXP(CU6*rr/100))</f>
        <v>5.0000000000000001E-3</v>
      </c>
      <c r="CL6" s="188">
        <f t="shared" si="48"/>
        <v>0.85</v>
      </c>
      <c r="CM6" s="188">
        <f>CK6*Vout2</f>
        <v>0.06</v>
      </c>
      <c r="CN6" s="465">
        <f t="shared" ref="CN6:CN69" si="112">Vin</f>
        <v>12</v>
      </c>
      <c r="CO6" s="379">
        <f t="shared" si="49"/>
        <v>8.625</v>
      </c>
      <c r="CP6" s="379">
        <f t="shared" si="50"/>
        <v>20.625</v>
      </c>
      <c r="CQ6" s="379"/>
      <c r="CR6" s="188">
        <f t="shared" ref="CR6:CR68" si="113">(Vout+Vfwd1)*Nps/((Vout+Vfwd1)*Nps+CN6)</f>
        <v>0.4156318480642805</v>
      </c>
      <c r="CS6" s="149">
        <f t="shared" ref="CS6:CS69" si="114">CR6*CN6*Isw_max*0.5*Efficiency*Pout/(Pout+Pout2)</f>
        <v>155.29102015588504</v>
      </c>
      <c r="CT6" s="149">
        <f t="shared" si="51"/>
        <v>10.961719069827179</v>
      </c>
      <c r="CU6" s="188">
        <f t="shared" si="52"/>
        <v>0.91347658915226493</v>
      </c>
      <c r="CV6" s="188">
        <f t="shared" si="53"/>
        <v>12.940918346323754</v>
      </c>
      <c r="CW6" s="379">
        <f t="shared" si="54"/>
        <v>170</v>
      </c>
      <c r="CX6" s="188">
        <f t="shared" si="55"/>
        <v>0.36490626830697126</v>
      </c>
      <c r="CY6" s="188">
        <f t="shared" si="56"/>
        <v>4.5613283538371407E-2</v>
      </c>
      <c r="CZ6" s="188">
        <f t="shared" si="57"/>
        <v>6.346195970556022E-2</v>
      </c>
      <c r="DA6" s="172">
        <f t="shared" si="58"/>
        <v>250.90909090909091</v>
      </c>
      <c r="DB6" s="379">
        <f t="shared" ref="DB6:DB69" si="115">MIN(1/(CY6+CZ6)*1000, 350)</f>
        <v>350</v>
      </c>
      <c r="DD6" s="188">
        <f t="shared" si="59"/>
        <v>13.333333333333332</v>
      </c>
      <c r="DE6" s="150">
        <f t="shared" si="60"/>
        <v>2.318840579710145</v>
      </c>
      <c r="DF6" s="150">
        <f t="shared" si="61"/>
        <v>0.18115218115218115</v>
      </c>
      <c r="DG6" s="150"/>
      <c r="DH6" s="150">
        <f t="shared" si="62"/>
        <v>2.3188405797101455</v>
      </c>
      <c r="DI6" s="314">
        <f t="shared" si="63"/>
        <v>10</v>
      </c>
      <c r="DJ6" s="456">
        <f t="shared" si="64"/>
        <v>0.18115218115218121</v>
      </c>
      <c r="DL6" s="150">
        <f t="shared" si="65"/>
        <v>1.8618986725025255</v>
      </c>
      <c r="DM6" s="150">
        <f t="shared" si="66"/>
        <v>13.333333333333334</v>
      </c>
      <c r="DN6" s="150">
        <f t="shared" si="67"/>
        <v>1.0057142857142858</v>
      </c>
      <c r="DP6" s="314">
        <f t="shared" si="68"/>
        <v>5</v>
      </c>
      <c r="DQ6" s="144">
        <f t="shared" si="69"/>
        <v>10</v>
      </c>
      <c r="DS6">
        <f t="shared" ref="DS6:DS69" si="116">IF(CL6&gt;CS6, "",DP6)</f>
        <v>5</v>
      </c>
      <c r="DT6" s="144">
        <f t="shared" si="70"/>
        <v>10</v>
      </c>
      <c r="DU6" s="144"/>
      <c r="DV6" s="5">
        <f t="shared" ref="DV6:DV69" si="117">1/DQ6*1000</f>
        <v>100</v>
      </c>
      <c r="DW6" s="5">
        <f t="shared" si="71"/>
        <v>1.666666666666667</v>
      </c>
      <c r="DX6" s="5">
        <f t="shared" ref="DX6:DX69" si="118">DV6-DW6</f>
        <v>98.333333333333329</v>
      </c>
      <c r="DY6" s="150">
        <f t="shared" ref="DY6:DY69" si="119">DW6/DV6</f>
        <v>1.666666666666667E-2</v>
      </c>
      <c r="EA6" s="5">
        <f t="shared" si="72"/>
        <v>4.9019607843137263E-3</v>
      </c>
      <c r="EB6" s="5">
        <f t="shared" si="73"/>
        <v>6.9444444444444461E-2</v>
      </c>
      <c r="EC6" s="5">
        <f t="shared" si="74"/>
        <v>11.608796296296294</v>
      </c>
      <c r="ED6" s="5"/>
      <c r="EE6" s="150">
        <f t="shared" ref="EE6:EE69" si="120">DM6*SQRT(DY6/3)</f>
        <v>0.9938079899999066</v>
      </c>
      <c r="EF6" s="150">
        <f t="shared" si="75"/>
        <v>0.35651353923614215</v>
      </c>
      <c r="EG6" s="150">
        <f t="shared" si="76"/>
        <v>0.33914661131379326</v>
      </c>
      <c r="EH6" s="150"/>
      <c r="EI6" s="456">
        <f t="shared" si="77"/>
        <v>3.3580246913580249E-3</v>
      </c>
      <c r="EJ6" s="456">
        <f t="shared" si="78"/>
        <v>8.3600000000000008E-2</v>
      </c>
      <c r="EK6" s="456">
        <f t="shared" si="79"/>
        <v>2.2899999999999999E-3</v>
      </c>
      <c r="EL6" s="456">
        <f t="shared" si="80"/>
        <v>2.9139257812499995E-3</v>
      </c>
      <c r="EM6">
        <f t="shared" si="81"/>
        <v>5.4000000000000003E-3</v>
      </c>
      <c r="EN6" s="144">
        <f t="shared" ref="EN6:EN69" si="121">(EK6+EM6)*1000</f>
        <v>7.69</v>
      </c>
      <c r="EO6">
        <f t="shared" si="82"/>
        <v>9.8547244700913403E-2</v>
      </c>
      <c r="EP6" s="144">
        <f t="shared" ref="EP6:EP69" si="122">EO6*1000</f>
        <v>98.547244700913396</v>
      </c>
      <c r="EQ6" s="150">
        <f t="shared" si="83"/>
        <v>1.1093749999999999E-2</v>
      </c>
      <c r="ER6" s="150">
        <f t="shared" si="84"/>
        <v>3.5499999999999998E-3</v>
      </c>
      <c r="ES6" s="456"/>
      <c r="EU6" s="144">
        <f t="shared" ref="EU6:EU69" si="123">SUM(EQ6:ET6)*1000</f>
        <v>14.643749999999999</v>
      </c>
      <c r="EV6" s="456">
        <f t="shared" si="85"/>
        <v>1.4814814814814818E-3</v>
      </c>
      <c r="EW6" s="456">
        <f t="shared" ref="EW6:EW69" si="124">Rdcr_sec*EF6^2</f>
        <v>2.5420380731736053E-2</v>
      </c>
      <c r="EX6" s="456">
        <f t="shared" si="86"/>
        <v>3.4506127189688745E-3</v>
      </c>
      <c r="EY6" s="456">
        <f t="shared" si="87"/>
        <v>1.026400478559336E-2</v>
      </c>
      <c r="EZ6" s="456">
        <f t="shared" si="88"/>
        <v>4.8017670111774081E-2</v>
      </c>
      <c r="FA6" s="538">
        <f t="shared" si="89"/>
        <v>1.7777777777777781E-3</v>
      </c>
      <c r="FB6" s="144">
        <f t="shared" ref="FB6:FB69" si="125">(EZ6+FA6)*1000</f>
        <v>49.795447889551859</v>
      </c>
      <c r="FC6" s="150">
        <f t="shared" ref="FC6:FC69" si="126">SUM(EO6,EQ6:ET6,EZ6:FA6)</f>
        <v>0.16298644259046524</v>
      </c>
      <c r="FD6" s="5">
        <f t="shared" ref="FD6:FD69" si="127">MIN(CL6+CM6,CS6+CT6)</f>
        <v>0.90999999999999992</v>
      </c>
      <c r="FE6" s="150">
        <f t="shared" ref="FE6:FE69" si="128">FD6/(FD6+FC6)</f>
        <v>0.84810018456806024</v>
      </c>
      <c r="FF6" s="5">
        <f t="shared" ref="FF6:FF69" si="129">FE6*100</f>
        <v>84.81001845680602</v>
      </c>
      <c r="FG6">
        <f t="shared" ref="FG6:FG69" si="130">CJ6/Iout*100</f>
        <v>1</v>
      </c>
      <c r="FI6" s="59">
        <f t="shared" si="90"/>
        <v>-50</v>
      </c>
      <c r="FJ6">
        <f t="shared" si="91"/>
        <v>-50</v>
      </c>
      <c r="FL6">
        <f t="shared" si="92"/>
        <v>1.8748169213489752E-2</v>
      </c>
    </row>
    <row r="7" spans="2:169">
      <c r="E7" s="147">
        <v>2</v>
      </c>
      <c r="F7" s="188">
        <f>IF(PLOT_TYPE=1, E7/100*Iout, min_I*EXP(O7*rr/100))</f>
        <v>0.01</v>
      </c>
      <c r="G7" s="188">
        <f t="shared" si="93"/>
        <v>0.01</v>
      </c>
      <c r="H7" s="188">
        <f t="shared" si="0"/>
        <v>1.7</v>
      </c>
      <c r="I7" s="188">
        <f>G7*Vout2</f>
        <v>0.12</v>
      </c>
      <c r="J7" s="465">
        <f t="shared" si="1"/>
        <v>11.959993660274005</v>
      </c>
      <c r="K7" s="379">
        <f t="shared" si="2"/>
        <v>8.6489071312417067</v>
      </c>
      <c r="L7" s="149">
        <f t="shared" si="3"/>
        <v>20.608900791515712</v>
      </c>
      <c r="M7" s="379"/>
      <c r="N7" s="188">
        <f t="shared" si="4"/>
        <v>0.41966853151150574</v>
      </c>
      <c r="O7" s="149">
        <f t="shared" si="94"/>
        <v>156.27648460988988</v>
      </c>
      <c r="P7" s="149">
        <f t="shared" si="5"/>
        <v>11.031281266580462</v>
      </c>
      <c r="Q7" s="188">
        <f t="shared" si="6"/>
        <v>0.91927343888170521</v>
      </c>
      <c r="R7" s="188">
        <f t="shared" si="7"/>
        <v>13.02304038415749</v>
      </c>
      <c r="S7" s="379">
        <f t="shared" si="8"/>
        <v>170</v>
      </c>
      <c r="T7" s="188">
        <f t="shared" si="9"/>
        <v>0.72521040907878909</v>
      </c>
      <c r="U7" s="188">
        <f t="shared" si="10"/>
        <v>9.0954530956938798E-2</v>
      </c>
      <c r="V7" s="188">
        <f t="shared" si="11"/>
        <v>0.1257749212832637</v>
      </c>
      <c r="W7" s="172">
        <f t="shared" si="12"/>
        <v>250.96164881470551</v>
      </c>
      <c r="X7" s="379">
        <f t="shared" si="95"/>
        <v>350</v>
      </c>
      <c r="Z7" s="188">
        <f t="shared" si="13"/>
        <v>13.333333333333332</v>
      </c>
      <c r="AA7" s="150">
        <f t="shared" si="14"/>
        <v>2.3124308882628317</v>
      </c>
      <c r="AB7" s="150">
        <f t="shared" si="15"/>
        <v>0.1806892850605202</v>
      </c>
      <c r="AC7" s="150"/>
      <c r="AD7" s="150">
        <f t="shared" si="16"/>
        <v>2.3124308882628322</v>
      </c>
      <c r="AE7" s="314">
        <f t="shared" si="17"/>
        <v>13.889127334288151</v>
      </c>
      <c r="AF7" s="456">
        <f t="shared" si="18"/>
        <v>0.18068928506052023</v>
      </c>
      <c r="AH7" s="150">
        <f t="shared" si="19"/>
        <v>2.6331223544175333</v>
      </c>
      <c r="AI7" s="150">
        <f t="shared" si="20"/>
        <v>13.333333333333334</v>
      </c>
      <c r="AJ7" s="150">
        <f t="shared" si="21"/>
        <v>1.0079366441910218</v>
      </c>
      <c r="AL7" s="314">
        <f t="shared" si="22"/>
        <v>10</v>
      </c>
      <c r="AM7" s="144">
        <f t="shared" si="23"/>
        <v>13.889127334288151</v>
      </c>
      <c r="AO7">
        <f t="shared" si="96"/>
        <v>10</v>
      </c>
      <c r="AP7" s="144">
        <f t="shared" si="24"/>
        <v>13.889127334288151</v>
      </c>
      <c r="AQ7" s="144"/>
      <c r="AR7" s="5">
        <f t="shared" si="97"/>
        <v>71.99876392027133</v>
      </c>
      <c r="AS7" s="5">
        <f t="shared" si="25"/>
        <v>1.6722416890931528</v>
      </c>
      <c r="AT7" s="5">
        <f t="shared" si="98"/>
        <v>70.326522231178174</v>
      </c>
      <c r="AU7" s="150">
        <f t="shared" si="99"/>
        <v>2.3225977753519898E-2</v>
      </c>
      <c r="AW7" s="5">
        <f t="shared" si="26"/>
        <v>9.836715818195018E-3</v>
      </c>
      <c r="AX7" s="5">
        <f t="shared" si="27"/>
        <v>0.13935347409109611</v>
      </c>
      <c r="AY7" s="5">
        <f t="shared" si="28"/>
        <v>16.660416829220939</v>
      </c>
      <c r="AZ7" s="5"/>
      <c r="BA7" s="150">
        <f t="shared" si="100"/>
        <v>1.1731812465453171</v>
      </c>
      <c r="BB7" s="150">
        <f t="shared" si="29"/>
        <v>0.35532249043465453</v>
      </c>
      <c r="BC7" s="150">
        <f t="shared" si="30"/>
        <v>0.33801358235281931</v>
      </c>
      <c r="BD7" s="150"/>
      <c r="BE7" s="456">
        <f t="shared" si="31"/>
        <v>4.6796044066351218E-3</v>
      </c>
      <c r="BF7" s="456">
        <f t="shared" si="32"/>
        <v>9.1405860708641484E-2</v>
      </c>
      <c r="BG7" s="456">
        <f t="shared" si="33"/>
        <v>7.60801546880897E-3</v>
      </c>
      <c r="BH7" s="456">
        <f t="shared" si="34"/>
        <v>4.0408728784404029E-3</v>
      </c>
      <c r="BI7">
        <f t="shared" si="35"/>
        <v>5.3819971471233017E-3</v>
      </c>
      <c r="BJ7" s="144">
        <f t="shared" si="101"/>
        <v>12.990012615932272</v>
      </c>
      <c r="BK7">
        <f t="shared" si="36"/>
        <v>0.10150268938547849</v>
      </c>
      <c r="BL7" s="144">
        <f t="shared" si="102"/>
        <v>101.50268938547849</v>
      </c>
      <c r="BM7" s="150">
        <f t="shared" si="37"/>
        <v>2.2187499999999999E-2</v>
      </c>
      <c r="BN7" s="150">
        <f t="shared" si="38"/>
        <v>7.0999999999999995E-3</v>
      </c>
      <c r="BO7" s="456"/>
      <c r="BQ7" s="144">
        <f t="shared" si="103"/>
        <v>29.287499999999998</v>
      </c>
      <c r="BR7" s="456">
        <f t="shared" si="39"/>
        <v>2.0645313558684364E-3</v>
      </c>
      <c r="BS7" s="456">
        <f t="shared" si="104"/>
        <v>2.5250814441737032E-2</v>
      </c>
      <c r="BT7" s="456">
        <f t="shared" si="40"/>
        <v>3.4275954556495848E-3</v>
      </c>
      <c r="BU7" s="456">
        <f t="shared" si="41"/>
        <v>2.3334808686343741E-2</v>
      </c>
      <c r="BV7" s="456">
        <f t="shared" si="42"/>
        <v>6.1607575686787562E-2</v>
      </c>
      <c r="BW7" s="538">
        <f t="shared" si="43"/>
        <v>2.4691781927623385E-3</v>
      </c>
      <c r="BX7" s="144">
        <f t="shared" si="105"/>
        <v>64.076753879549912</v>
      </c>
      <c r="BY7" s="150">
        <f t="shared" si="106"/>
        <v>0.1948669432650284</v>
      </c>
      <c r="BZ7" s="5">
        <f t="shared" si="107"/>
        <v>1.8199999999999998</v>
      </c>
      <c r="CA7" s="150">
        <f t="shared" si="108"/>
        <v>0.90328545320751907</v>
      </c>
      <c r="CB7" s="5">
        <f t="shared" si="109"/>
        <v>90.328545320751914</v>
      </c>
      <c r="CC7">
        <f t="shared" si="110"/>
        <v>2</v>
      </c>
      <c r="CE7" s="59">
        <f t="shared" si="44"/>
        <v>-50</v>
      </c>
      <c r="CF7">
        <f t="shared" si="45"/>
        <v>-50</v>
      </c>
      <c r="CG7" s="150">
        <f t="shared" si="46"/>
        <v>3.1204000570560941E-2</v>
      </c>
      <c r="CH7" s="150">
        <f t="shared" si="47"/>
        <v>8.4555706603289555E-3</v>
      </c>
      <c r="CI7" s="147">
        <v>2</v>
      </c>
      <c r="CJ7" s="188">
        <f>IF(PLOT_TYPE=1, CI7/100*Iout, min_I*EXP(CS7*rr/100))</f>
        <v>0.01</v>
      </c>
      <c r="CK7" s="188">
        <f t="shared" si="111"/>
        <v>0.01</v>
      </c>
      <c r="CL7" s="188">
        <f t="shared" si="48"/>
        <v>1.7</v>
      </c>
      <c r="CM7" s="188">
        <f>CK7*Vout2</f>
        <v>0.12</v>
      </c>
      <c r="CN7" s="465">
        <f t="shared" si="112"/>
        <v>12</v>
      </c>
      <c r="CO7" s="379">
        <f t="shared" si="49"/>
        <v>8.625</v>
      </c>
      <c r="CP7" s="379">
        <f t="shared" si="50"/>
        <v>20.625</v>
      </c>
      <c r="CQ7" s="379"/>
      <c r="CR7" s="188">
        <f t="shared" si="113"/>
        <v>0.4156318480642805</v>
      </c>
      <c r="CS7" s="149">
        <f t="shared" si="114"/>
        <v>155.29102015588504</v>
      </c>
      <c r="CT7" s="149">
        <f t="shared" si="51"/>
        <v>10.961719069827179</v>
      </c>
      <c r="CU7" s="188">
        <f t="shared" si="52"/>
        <v>0.91347658915226493</v>
      </c>
      <c r="CV7" s="188">
        <f t="shared" si="53"/>
        <v>12.940918346323754</v>
      </c>
      <c r="CW7" s="379">
        <f t="shared" si="54"/>
        <v>170</v>
      </c>
      <c r="CX7" s="188">
        <f t="shared" si="55"/>
        <v>0.72981253661394252</v>
      </c>
      <c r="CY7" s="188">
        <f t="shared" si="56"/>
        <v>9.1226567076742815E-2</v>
      </c>
      <c r="CZ7" s="188">
        <f t="shared" si="57"/>
        <v>0.12692391941112044</v>
      </c>
      <c r="DA7" s="172">
        <f t="shared" si="58"/>
        <v>250.90909090909091</v>
      </c>
      <c r="DB7" s="379">
        <f t="shared" si="115"/>
        <v>350</v>
      </c>
      <c r="DD7" s="188">
        <f t="shared" si="59"/>
        <v>13.333333333333332</v>
      </c>
      <c r="DE7" s="150">
        <f t="shared" si="60"/>
        <v>2.318840579710145</v>
      </c>
      <c r="DF7" s="150">
        <f t="shared" si="61"/>
        <v>0.18115218115218115</v>
      </c>
      <c r="DG7" s="150"/>
      <c r="DH7" s="150">
        <f t="shared" si="62"/>
        <v>2.3188405797101455</v>
      </c>
      <c r="DI7" s="314">
        <f t="shared" si="63"/>
        <v>13.850735294117644</v>
      </c>
      <c r="DJ7" s="456">
        <f t="shared" si="64"/>
        <v>0.18115218115218121</v>
      </c>
      <c r="DL7" s="150">
        <f t="shared" si="65"/>
        <v>2.6331223544175333</v>
      </c>
      <c r="DM7" s="150">
        <f t="shared" si="66"/>
        <v>13.333333333333334</v>
      </c>
      <c r="DN7" s="150">
        <f t="shared" si="67"/>
        <v>1.007914705882353</v>
      </c>
      <c r="DP7" s="314">
        <f t="shared" si="68"/>
        <v>10</v>
      </c>
      <c r="DQ7" s="144">
        <f t="shared" si="69"/>
        <v>13.850735294117644</v>
      </c>
      <c r="DS7">
        <f t="shared" si="116"/>
        <v>10</v>
      </c>
      <c r="DT7" s="144">
        <f t="shared" si="70"/>
        <v>13.850735294117644</v>
      </c>
      <c r="DU7" s="144"/>
      <c r="DV7" s="5">
        <f t="shared" si="117"/>
        <v>72.198333067898304</v>
      </c>
      <c r="DW7" s="5">
        <f t="shared" si="71"/>
        <v>1.666666666666667</v>
      </c>
      <c r="DX7" s="5">
        <f t="shared" si="118"/>
        <v>70.531666401231632</v>
      </c>
      <c r="DY7" s="150">
        <f t="shared" si="119"/>
        <v>2.3084558823529409E-2</v>
      </c>
      <c r="EA7" s="5">
        <f t="shared" si="72"/>
        <v>9.8039215686274526E-3</v>
      </c>
      <c r="EB7" s="5">
        <f t="shared" si="73"/>
        <v>0.13888888888888892</v>
      </c>
      <c r="EC7" s="5">
        <f t="shared" si="74"/>
        <v>16.65331012251302</v>
      </c>
      <c r="ED7" s="5"/>
      <c r="EE7" s="150">
        <f t="shared" si="120"/>
        <v>1.1696041450889059</v>
      </c>
      <c r="EF7" s="150">
        <f t="shared" si="75"/>
        <v>0.35534821158744484</v>
      </c>
      <c r="EG7" s="150">
        <f t="shared" si="76"/>
        <v>0.33803805054504171</v>
      </c>
      <c r="EH7" s="150"/>
      <c r="EI7" s="456">
        <f t="shared" si="77"/>
        <v>4.6511111111111111E-3</v>
      </c>
      <c r="EJ7" s="456">
        <f t="shared" si="78"/>
        <v>0.11579214705882351</v>
      </c>
      <c r="EK7" s="456">
        <f t="shared" si="79"/>
        <v>3.1718183823529408E-3</v>
      </c>
      <c r="EL7" s="456">
        <f t="shared" si="80"/>
        <v>4.0360014662798706E-3</v>
      </c>
      <c r="EM7">
        <f t="shared" si="81"/>
        <v>5.4000000000000003E-3</v>
      </c>
      <c r="EN7" s="144">
        <f t="shared" si="121"/>
        <v>8.5718183823529408</v>
      </c>
      <c r="EO7">
        <f t="shared" si="82"/>
        <v>0.13445546529108249</v>
      </c>
      <c r="EP7" s="144">
        <f t="shared" si="122"/>
        <v>134.45546529108248</v>
      </c>
      <c r="EQ7" s="150">
        <f t="shared" si="83"/>
        <v>2.2187499999999999E-2</v>
      </c>
      <c r="ER7" s="150">
        <f t="shared" si="84"/>
        <v>7.0999999999999995E-3</v>
      </c>
      <c r="ES7" s="456"/>
      <c r="EU7" s="144">
        <f t="shared" si="123"/>
        <v>29.287499999999998</v>
      </c>
      <c r="EV7" s="456">
        <f t="shared" si="85"/>
        <v>2.0519607843137258E-3</v>
      </c>
      <c r="EW7" s="456">
        <f t="shared" si="124"/>
        <v>2.5254470295679093E-2</v>
      </c>
      <c r="EX7" s="456">
        <f t="shared" si="86"/>
        <v>3.4280917084887649E-3</v>
      </c>
      <c r="EY7" s="456">
        <f t="shared" si="87"/>
        <v>2.3173888837690945E-2</v>
      </c>
      <c r="EZ7" s="456">
        <f t="shared" si="88"/>
        <v>6.1435752979405962E-2</v>
      </c>
      <c r="FA7" s="538">
        <f t="shared" si="89"/>
        <v>2.4623529411764706E-3</v>
      </c>
      <c r="FB7" s="144">
        <f t="shared" si="125"/>
        <v>63.898105920582424</v>
      </c>
      <c r="FC7" s="150">
        <f t="shared" si="126"/>
        <v>0.22764107121166491</v>
      </c>
      <c r="FD7" s="5">
        <f t="shared" si="127"/>
        <v>1.8199999999999998</v>
      </c>
      <c r="FE7" s="150">
        <f t="shared" si="128"/>
        <v>0.88882764933164715</v>
      </c>
      <c r="FF7" s="5">
        <f t="shared" si="129"/>
        <v>88.882764933164708</v>
      </c>
      <c r="FG7">
        <f t="shared" si="130"/>
        <v>2</v>
      </c>
      <c r="FI7" s="59">
        <f t="shared" si="90"/>
        <v>-50</v>
      </c>
      <c r="FJ7">
        <f t="shared" si="91"/>
        <v>-50</v>
      </c>
      <c r="FL7">
        <f t="shared" si="92"/>
        <v>3.1204000570560938E-2</v>
      </c>
    </row>
    <row r="8" spans="2:169">
      <c r="E8" s="147">
        <v>3</v>
      </c>
      <c r="F8" s="188">
        <f t="shared" ref="F8:F39" si="131">IF(PLOT_TYPE=1, E8/100*Iout_max, min_I*EXP(O8*rr/100))</f>
        <v>1.4999999999999999E-2</v>
      </c>
      <c r="G8" s="188">
        <f t="shared" si="93"/>
        <v>1.4999999999999999E-2</v>
      </c>
      <c r="H8" s="188">
        <f t="shared" si="0"/>
        <v>2.5499999999999998</v>
      </c>
      <c r="I8" s="188">
        <f t="shared" ref="I8:I39" si="132">Vout2*G8</f>
        <v>0.18</v>
      </c>
      <c r="J8" s="465">
        <f t="shared" si="1"/>
        <v>11.959993660274005</v>
      </c>
      <c r="K8" s="379">
        <f t="shared" si="2"/>
        <v>8.6489071312417067</v>
      </c>
      <c r="L8" s="149">
        <f t="shared" si="3"/>
        <v>20.608900791515712</v>
      </c>
      <c r="M8" s="379"/>
      <c r="N8" s="188">
        <f t="shared" si="4"/>
        <v>0.41966853151150574</v>
      </c>
      <c r="O8" s="149">
        <f t="shared" si="94"/>
        <v>156.27648460988988</v>
      </c>
      <c r="P8" s="149">
        <f t="shared" si="5"/>
        <v>11.031281266580462</v>
      </c>
      <c r="Q8" s="188">
        <f t="shared" si="6"/>
        <v>0.91927343888170521</v>
      </c>
      <c r="R8" s="188">
        <f t="shared" si="7"/>
        <v>13.02304038415749</v>
      </c>
      <c r="S8" s="379">
        <f t="shared" si="8"/>
        <v>170</v>
      </c>
      <c r="T8" s="188">
        <f t="shared" si="9"/>
        <v>1.0878156136181838</v>
      </c>
      <c r="U8" s="188">
        <f t="shared" si="10"/>
        <v>0.13643179643540823</v>
      </c>
      <c r="V8" s="188">
        <f t="shared" si="11"/>
        <v>0.18866238192489559</v>
      </c>
      <c r="W8" s="172">
        <f t="shared" si="12"/>
        <v>250.96164881470551</v>
      </c>
      <c r="X8" s="379">
        <f t="shared" si="95"/>
        <v>350</v>
      </c>
      <c r="Z8" s="188">
        <f t="shared" si="13"/>
        <v>13.333333333333332</v>
      </c>
      <c r="AA8" s="150">
        <f t="shared" si="14"/>
        <v>2.3124308882628317</v>
      </c>
      <c r="AB8" s="150">
        <f t="shared" si="15"/>
        <v>0.1806892850605202</v>
      </c>
      <c r="AC8" s="150"/>
      <c r="AD8" s="150">
        <f t="shared" si="16"/>
        <v>2.3124308882628322</v>
      </c>
      <c r="AE8" s="314">
        <f t="shared" si="17"/>
        <v>20.833691001432225</v>
      </c>
      <c r="AF8" s="456">
        <f t="shared" si="18"/>
        <v>0.18068928506052023</v>
      </c>
      <c r="AH8" s="150">
        <f t="shared" si="19"/>
        <v>3.2249030993194201</v>
      </c>
      <c r="AI8" s="150">
        <f t="shared" si="20"/>
        <v>13.333333333333334</v>
      </c>
      <c r="AJ8" s="150">
        <f t="shared" si="21"/>
        <v>1.0119049662865327</v>
      </c>
      <c r="AL8" s="314">
        <f t="shared" si="22"/>
        <v>15</v>
      </c>
      <c r="AM8" s="144">
        <f t="shared" si="23"/>
        <v>20.833691001432225</v>
      </c>
      <c r="AO8">
        <f t="shared" si="96"/>
        <v>15</v>
      </c>
      <c r="AP8" s="144">
        <f t="shared" si="24"/>
        <v>20.833691001432225</v>
      </c>
      <c r="AQ8" s="144"/>
      <c r="AR8" s="5">
        <f t="shared" si="97"/>
        <v>47.999175946847558</v>
      </c>
      <c r="AS8" s="5">
        <f t="shared" si="25"/>
        <v>1.6722416890931528</v>
      </c>
      <c r="AT8" s="5">
        <f t="shared" si="98"/>
        <v>46.326934257754402</v>
      </c>
      <c r="AU8" s="150">
        <f t="shared" si="99"/>
        <v>3.4838966630279841E-2</v>
      </c>
      <c r="AW8" s="5">
        <f t="shared" si="26"/>
        <v>1.4755073727292524E-2</v>
      </c>
      <c r="AX8" s="5">
        <f t="shared" si="27"/>
        <v>0.20903021113664408</v>
      </c>
      <c r="AY8" s="5">
        <f t="shared" si="28"/>
        <v>16.462339043660112</v>
      </c>
      <c r="AZ8" s="5"/>
      <c r="BA8" s="150">
        <f t="shared" si="100"/>
        <v>1.4368477149191681</v>
      </c>
      <c r="BB8" s="150">
        <f t="shared" si="29"/>
        <v>0.35320393784175041</v>
      </c>
      <c r="BC8" s="150">
        <f t="shared" si="30"/>
        <v>0.33599823131085627</v>
      </c>
      <c r="BD8" s="150"/>
      <c r="BE8" s="456">
        <f t="shared" si="31"/>
        <v>7.0194066099526784E-3</v>
      </c>
      <c r="BF8" s="456">
        <f t="shared" si="32"/>
        <v>0.13710879106296223</v>
      </c>
      <c r="BG8" s="456">
        <f t="shared" si="33"/>
        <v>1.1412023203213455E-2</v>
      </c>
      <c r="BH8" s="456">
        <f t="shared" si="34"/>
        <v>6.0613093176606035E-3</v>
      </c>
      <c r="BI8">
        <f t="shared" si="35"/>
        <v>5.3819971471233017E-3</v>
      </c>
      <c r="BJ8" s="144">
        <f t="shared" si="101"/>
        <v>16.794020350336755</v>
      </c>
      <c r="BK8">
        <f t="shared" si="36"/>
        <v>0.15233881913514666</v>
      </c>
      <c r="BL8" s="144">
        <f t="shared" si="102"/>
        <v>152.33881913514665</v>
      </c>
      <c r="BM8" s="150">
        <f t="shared" si="37"/>
        <v>3.3281249999999998E-2</v>
      </c>
      <c r="BN8" s="150">
        <f t="shared" si="38"/>
        <v>1.065E-2</v>
      </c>
      <c r="BO8" s="456"/>
      <c r="BQ8" s="144">
        <f t="shared" si="103"/>
        <v>43.931249999999999</v>
      </c>
      <c r="BR8" s="456">
        <f t="shared" si="39"/>
        <v>3.0967970338026522E-3</v>
      </c>
      <c r="BS8" s="456">
        <f t="shared" si="104"/>
        <v>2.4950604341383818E-2</v>
      </c>
      <c r="BT8" s="456">
        <f t="shared" si="40"/>
        <v>3.3868443433207104E-3</v>
      </c>
      <c r="BU8" s="456">
        <f t="shared" si="41"/>
        <v>6.4303171342882715E-2</v>
      </c>
      <c r="BV8" s="456">
        <f t="shared" si="42"/>
        <v>0.10354201725082782</v>
      </c>
      <c r="BW8" s="538">
        <f t="shared" si="43"/>
        <v>3.7037672891435075E-3</v>
      </c>
      <c r="BX8" s="144">
        <f t="shared" si="105"/>
        <v>107.24578453997132</v>
      </c>
      <c r="BY8" s="150">
        <f t="shared" si="106"/>
        <v>0.30351585367511796</v>
      </c>
      <c r="BZ8" s="5">
        <f t="shared" si="107"/>
        <v>2.73</v>
      </c>
      <c r="CA8" s="150">
        <f t="shared" si="108"/>
        <v>0.89994584887123397</v>
      </c>
      <c r="CB8" s="5">
        <f t="shared" si="109"/>
        <v>89.994584887123395</v>
      </c>
      <c r="CC8">
        <f t="shared" si="110"/>
        <v>3</v>
      </c>
      <c r="CE8" s="59">
        <f t="shared" si="44"/>
        <v>-50</v>
      </c>
      <c r="CF8">
        <f t="shared" si="45"/>
        <v>-50</v>
      </c>
      <c r="CG8" s="150">
        <f t="shared" si="46"/>
        <v>4.6806000855841405E-2</v>
      </c>
      <c r="CH8" s="150">
        <f t="shared" si="47"/>
        <v>1.2683355990493431E-2</v>
      </c>
      <c r="CI8" s="147">
        <v>3</v>
      </c>
      <c r="CJ8" s="188">
        <f t="shared" ref="CJ8:CJ71" si="133">IF(PLOT_TYPE=1, CI8/100*Iout_max, min_I*EXP(CS8*rr/100))</f>
        <v>1.4999999999999999E-2</v>
      </c>
      <c r="CK8" s="188">
        <f t="shared" si="111"/>
        <v>1.4999999999999999E-2</v>
      </c>
      <c r="CL8" s="188">
        <f t="shared" si="48"/>
        <v>2.5499999999999998</v>
      </c>
      <c r="CM8" s="188">
        <f t="shared" ref="CM8:CM71" si="134">Vout2*CK8</f>
        <v>0.18</v>
      </c>
      <c r="CN8" s="465">
        <f t="shared" si="112"/>
        <v>12</v>
      </c>
      <c r="CO8" s="379">
        <f t="shared" si="49"/>
        <v>8.625</v>
      </c>
      <c r="CP8" s="379">
        <f t="shared" si="50"/>
        <v>20.625</v>
      </c>
      <c r="CQ8" s="379"/>
      <c r="CR8" s="188">
        <f t="shared" si="113"/>
        <v>0.4156318480642805</v>
      </c>
      <c r="CS8" s="149">
        <f t="shared" si="114"/>
        <v>155.29102015588504</v>
      </c>
      <c r="CT8" s="149">
        <f t="shared" si="51"/>
        <v>10.961719069827179</v>
      </c>
      <c r="CU8" s="188">
        <f t="shared" si="52"/>
        <v>0.91347658915226493</v>
      </c>
      <c r="CV8" s="188">
        <f t="shared" si="53"/>
        <v>12.940918346323754</v>
      </c>
      <c r="CW8" s="379">
        <f t="shared" si="54"/>
        <v>170</v>
      </c>
      <c r="CX8" s="188">
        <f t="shared" si="55"/>
        <v>1.0947188049209138</v>
      </c>
      <c r="CY8" s="188">
        <f t="shared" si="56"/>
        <v>0.13683985061511422</v>
      </c>
      <c r="CZ8" s="188">
        <f t="shared" si="57"/>
        <v>0.19038587911668065</v>
      </c>
      <c r="DA8" s="172">
        <f t="shared" si="58"/>
        <v>250.90909090909091</v>
      </c>
      <c r="DB8" s="379">
        <f t="shared" si="115"/>
        <v>350</v>
      </c>
      <c r="DD8" s="188">
        <f t="shared" si="59"/>
        <v>13.333333333333332</v>
      </c>
      <c r="DE8" s="150">
        <f t="shared" si="60"/>
        <v>2.318840579710145</v>
      </c>
      <c r="DF8" s="150">
        <f t="shared" si="61"/>
        <v>0.18115218115218115</v>
      </c>
      <c r="DG8" s="150"/>
      <c r="DH8" s="150">
        <f t="shared" si="62"/>
        <v>2.3188405797101455</v>
      </c>
      <c r="DI8" s="314">
        <f t="shared" si="63"/>
        <v>20.776102941176461</v>
      </c>
      <c r="DJ8" s="456">
        <f t="shared" si="64"/>
        <v>0.18115218115218121</v>
      </c>
      <c r="DL8" s="150">
        <f t="shared" si="65"/>
        <v>3.2249030993194201</v>
      </c>
      <c r="DM8" s="150">
        <f t="shared" si="66"/>
        <v>13.333333333333334</v>
      </c>
      <c r="DN8" s="150">
        <f t="shared" si="67"/>
        <v>1.0118720588235295</v>
      </c>
      <c r="DP8" s="314">
        <f t="shared" si="68"/>
        <v>15</v>
      </c>
      <c r="DQ8" s="144">
        <f t="shared" si="69"/>
        <v>20.776102941176461</v>
      </c>
      <c r="DS8">
        <f t="shared" si="116"/>
        <v>15</v>
      </c>
      <c r="DT8" s="144">
        <f t="shared" si="70"/>
        <v>20.776102941176461</v>
      </c>
      <c r="DU8" s="144"/>
      <c r="DV8" s="5">
        <f t="shared" si="117"/>
        <v>48.132222045265543</v>
      </c>
      <c r="DW8" s="5">
        <f t="shared" si="71"/>
        <v>1.666666666666667</v>
      </c>
      <c r="DX8" s="5">
        <f t="shared" si="118"/>
        <v>46.465555378598879</v>
      </c>
      <c r="DY8" s="150">
        <f t="shared" si="119"/>
        <v>3.4626838235294111E-2</v>
      </c>
      <c r="EA8" s="5">
        <f t="shared" si="72"/>
        <v>1.4705882352941178E-2</v>
      </c>
      <c r="EB8" s="5">
        <f t="shared" si="73"/>
        <v>0.20833333333333337</v>
      </c>
      <c r="EC8" s="5">
        <f t="shared" si="74"/>
        <v>16.456550863253767</v>
      </c>
      <c r="ED8" s="5"/>
      <c r="EE8" s="150">
        <f t="shared" si="120"/>
        <v>1.4324666782559812</v>
      </c>
      <c r="EF8" s="150">
        <f t="shared" si="75"/>
        <v>0.35324275026033386</v>
      </c>
      <c r="EG8" s="150">
        <f t="shared" si="76"/>
        <v>0.33603515305096093</v>
      </c>
      <c r="EH8" s="150"/>
      <c r="EI8" s="456">
        <f t="shared" si="77"/>
        <v>6.976666666666664E-3</v>
      </c>
      <c r="EJ8" s="456">
        <f t="shared" si="78"/>
        <v>0.17368822058823521</v>
      </c>
      <c r="EK8" s="456">
        <f t="shared" si="79"/>
        <v>4.7577275735294095E-3</v>
      </c>
      <c r="EL8" s="456">
        <f t="shared" si="80"/>
        <v>6.0540021994198038E-3</v>
      </c>
      <c r="EM8">
        <f t="shared" si="81"/>
        <v>5.4000000000000003E-3</v>
      </c>
      <c r="EN8" s="144">
        <f t="shared" si="121"/>
        <v>10.15772757352941</v>
      </c>
      <c r="EO8">
        <f t="shared" si="82"/>
        <v>0.19909034032503295</v>
      </c>
      <c r="EP8" s="144">
        <f t="shared" si="122"/>
        <v>199.09034032503294</v>
      </c>
      <c r="EQ8" s="150">
        <f t="shared" si="83"/>
        <v>3.3281249999999998E-2</v>
      </c>
      <c r="ER8" s="150">
        <f t="shared" si="84"/>
        <v>1.065E-2</v>
      </c>
      <c r="ES8" s="456"/>
      <c r="EU8" s="144">
        <f t="shared" si="123"/>
        <v>43.931249999999999</v>
      </c>
      <c r="EV8" s="456">
        <f t="shared" si="85"/>
        <v>3.0779411764705875E-3</v>
      </c>
      <c r="EW8" s="456">
        <f t="shared" si="124"/>
        <v>2.495608812229692E-2</v>
      </c>
      <c r="EX8" s="456">
        <f t="shared" si="86"/>
        <v>3.3875887225794823E-3</v>
      </c>
      <c r="EY8" s="456">
        <f t="shared" si="87"/>
        <v>6.3859728384361686E-2</v>
      </c>
      <c r="EZ8" s="456">
        <f t="shared" si="88"/>
        <v>0.10308165411969257</v>
      </c>
      <c r="FA8" s="538">
        <f t="shared" si="89"/>
        <v>3.6935294117647049E-3</v>
      </c>
      <c r="FB8" s="144">
        <f t="shared" si="125"/>
        <v>106.77518353145727</v>
      </c>
      <c r="FC8" s="150">
        <f t="shared" si="126"/>
        <v>0.34979677385649022</v>
      </c>
      <c r="FD8" s="5">
        <f t="shared" si="127"/>
        <v>2.73</v>
      </c>
      <c r="FE8" s="150">
        <f t="shared" si="128"/>
        <v>0.88642212472400317</v>
      </c>
      <c r="FF8" s="5">
        <f t="shared" si="129"/>
        <v>88.642212472400317</v>
      </c>
      <c r="FG8">
        <f t="shared" si="130"/>
        <v>3</v>
      </c>
      <c r="FI8" s="59">
        <f t="shared" si="90"/>
        <v>-50</v>
      </c>
      <c r="FJ8">
        <f t="shared" si="91"/>
        <v>-50</v>
      </c>
      <c r="FL8">
        <f t="shared" si="92"/>
        <v>4.6806000855841391E-2</v>
      </c>
    </row>
    <row r="9" spans="2:169">
      <c r="E9" s="147">
        <v>4</v>
      </c>
      <c r="F9" s="188">
        <f t="shared" si="131"/>
        <v>0.02</v>
      </c>
      <c r="G9" s="188">
        <f t="shared" si="93"/>
        <v>0.02</v>
      </c>
      <c r="H9" s="188">
        <f t="shared" si="0"/>
        <v>3.4</v>
      </c>
      <c r="I9" s="188">
        <f t="shared" si="132"/>
        <v>0.24</v>
      </c>
      <c r="J9" s="465">
        <f t="shared" si="1"/>
        <v>11.959993660274005</v>
      </c>
      <c r="K9" s="379">
        <f t="shared" si="2"/>
        <v>8.6489071312417067</v>
      </c>
      <c r="L9" s="149">
        <f t="shared" si="3"/>
        <v>20.608900791515712</v>
      </c>
      <c r="M9" s="379"/>
      <c r="N9" s="188">
        <f t="shared" si="4"/>
        <v>0.41966853151150574</v>
      </c>
      <c r="O9" s="149">
        <f t="shared" si="94"/>
        <v>156.27648460988988</v>
      </c>
      <c r="P9" s="149">
        <f t="shared" si="5"/>
        <v>11.031281266580462</v>
      </c>
      <c r="Q9" s="188">
        <f t="shared" si="6"/>
        <v>0.91927343888170521</v>
      </c>
      <c r="R9" s="188">
        <f t="shared" si="7"/>
        <v>13.02304038415749</v>
      </c>
      <c r="S9" s="379">
        <f t="shared" si="8"/>
        <v>170</v>
      </c>
      <c r="T9" s="188">
        <f t="shared" si="9"/>
        <v>1.4504208181575782</v>
      </c>
      <c r="U9" s="188">
        <f t="shared" si="10"/>
        <v>0.1819090619138776</v>
      </c>
      <c r="V9" s="188">
        <f t="shared" si="11"/>
        <v>0.2515498425665274</v>
      </c>
      <c r="W9" s="172">
        <f t="shared" si="12"/>
        <v>250.96164881470551</v>
      </c>
      <c r="X9" s="379">
        <f t="shared" si="95"/>
        <v>350</v>
      </c>
      <c r="Z9" s="188">
        <f t="shared" si="13"/>
        <v>13.333333333333332</v>
      </c>
      <c r="AA9" s="150">
        <f t="shared" si="14"/>
        <v>2.3124308882628317</v>
      </c>
      <c r="AB9" s="150">
        <f t="shared" si="15"/>
        <v>0.1806892850605202</v>
      </c>
      <c r="AC9" s="150"/>
      <c r="AD9" s="150">
        <f t="shared" si="16"/>
        <v>2.3124308882628322</v>
      </c>
      <c r="AE9" s="314">
        <f t="shared" si="17"/>
        <v>27.778254668576302</v>
      </c>
      <c r="AF9" s="456">
        <f t="shared" si="18"/>
        <v>0.18068928506052023</v>
      </c>
      <c r="AH9" s="150">
        <f t="shared" si="19"/>
        <v>3.723797345005051</v>
      </c>
      <c r="AI9" s="150">
        <f t="shared" si="20"/>
        <v>13.333333333333334</v>
      </c>
      <c r="AJ9" s="150">
        <f t="shared" si="21"/>
        <v>1.0158732883820436</v>
      </c>
      <c r="AL9" s="314">
        <f t="shared" si="22"/>
        <v>20</v>
      </c>
      <c r="AM9" s="144">
        <f t="shared" si="23"/>
        <v>27.778254668576302</v>
      </c>
      <c r="AO9">
        <f t="shared" si="96"/>
        <v>20</v>
      </c>
      <c r="AP9" s="144">
        <f t="shared" si="24"/>
        <v>27.778254668576302</v>
      </c>
      <c r="AQ9" s="144"/>
      <c r="AR9" s="5">
        <f t="shared" si="97"/>
        <v>35.999381960135665</v>
      </c>
      <c r="AS9" s="5">
        <f t="shared" si="25"/>
        <v>1.6722416890931528</v>
      </c>
      <c r="AT9" s="5">
        <f t="shared" si="98"/>
        <v>34.327140271042509</v>
      </c>
      <c r="AU9" s="150">
        <f t="shared" si="99"/>
        <v>4.6451955507039795E-2</v>
      </c>
      <c r="AW9" s="5">
        <f t="shared" si="26"/>
        <v>1.9673431636390036E-2</v>
      </c>
      <c r="AX9" s="5">
        <f t="shared" si="27"/>
        <v>0.27870694818219222</v>
      </c>
      <c r="AY9" s="5">
        <f t="shared" si="28"/>
        <v>16.264261258099282</v>
      </c>
      <c r="AZ9" s="5"/>
      <c r="BA9" s="150">
        <f t="shared" si="100"/>
        <v>1.6591288299861611</v>
      </c>
      <c r="BB9" s="150">
        <f t="shared" si="29"/>
        <v>0.35107260104592758</v>
      </c>
      <c r="BC9" s="150">
        <f t="shared" si="30"/>
        <v>0.33397071882585938</v>
      </c>
      <c r="BD9" s="150"/>
      <c r="BE9" s="456">
        <f t="shared" si="31"/>
        <v>9.3592088132702419E-3</v>
      </c>
      <c r="BF9" s="456">
        <f t="shared" si="32"/>
        <v>0.18281172141728297</v>
      </c>
      <c r="BG9" s="456">
        <f t="shared" si="33"/>
        <v>1.521603093761794E-2</v>
      </c>
      <c r="BH9" s="456">
        <f t="shared" si="34"/>
        <v>8.0817457568808058E-3</v>
      </c>
      <c r="BI9">
        <f t="shared" si="35"/>
        <v>5.3819971471233017E-3</v>
      </c>
      <c r="BJ9" s="144">
        <f t="shared" si="101"/>
        <v>20.598028084741241</v>
      </c>
      <c r="BK9">
        <f t="shared" si="36"/>
        <v>0.20323159822996964</v>
      </c>
      <c r="BL9" s="144">
        <f t="shared" si="102"/>
        <v>203.23159822996965</v>
      </c>
      <c r="BM9" s="150">
        <f t="shared" si="37"/>
        <v>4.4374999999999998E-2</v>
      </c>
      <c r="BN9" s="150">
        <f t="shared" si="38"/>
        <v>1.4199999999999999E-2</v>
      </c>
      <c r="BO9" s="456"/>
      <c r="BQ9" s="144">
        <f t="shared" si="103"/>
        <v>58.574999999999996</v>
      </c>
      <c r="BR9" s="456">
        <f t="shared" si="39"/>
        <v>4.1290627117368719E-3</v>
      </c>
      <c r="BS9" s="456">
        <f t="shared" si="104"/>
        <v>2.4650394241030608E-2</v>
      </c>
      <c r="BT9" s="456">
        <f t="shared" si="40"/>
        <v>3.3460932309918364E-3</v>
      </c>
      <c r="BU9" s="456">
        <f t="shared" si="41"/>
        <v>0.1320016116784353</v>
      </c>
      <c r="BV9" s="456">
        <f t="shared" si="42"/>
        <v>0.17228006124655584</v>
      </c>
      <c r="BW9" s="538">
        <f t="shared" si="43"/>
        <v>4.9383563855246769E-3</v>
      </c>
      <c r="BX9" s="144">
        <f t="shared" si="105"/>
        <v>177.2184176320805</v>
      </c>
      <c r="BY9" s="150">
        <f t="shared" si="106"/>
        <v>0.43902501586205017</v>
      </c>
      <c r="BZ9" s="5">
        <f t="shared" si="107"/>
        <v>3.6399999999999997</v>
      </c>
      <c r="CA9" s="150">
        <f t="shared" si="108"/>
        <v>0.89237010948576689</v>
      </c>
      <c r="CB9" s="5">
        <f t="shared" si="109"/>
        <v>89.237010948576696</v>
      </c>
      <c r="CC9">
        <f t="shared" si="110"/>
        <v>4</v>
      </c>
      <c r="CE9" s="59">
        <f t="shared" si="44"/>
        <v>-50</v>
      </c>
      <c r="CF9">
        <f t="shared" si="45"/>
        <v>-50</v>
      </c>
      <c r="CG9" s="150">
        <f t="shared" si="46"/>
        <v>6.2408001141121883E-2</v>
      </c>
      <c r="CH9" s="150">
        <f t="shared" si="47"/>
        <v>1.6911141320657911E-2</v>
      </c>
      <c r="CI9" s="147">
        <v>4</v>
      </c>
      <c r="CJ9" s="188">
        <f t="shared" si="133"/>
        <v>0.02</v>
      </c>
      <c r="CK9" s="188">
        <f t="shared" si="111"/>
        <v>0.02</v>
      </c>
      <c r="CL9" s="188">
        <f t="shared" si="48"/>
        <v>3.4</v>
      </c>
      <c r="CM9" s="188">
        <f t="shared" si="134"/>
        <v>0.24</v>
      </c>
      <c r="CN9" s="465">
        <f t="shared" si="112"/>
        <v>12</v>
      </c>
      <c r="CO9" s="379">
        <f t="shared" si="49"/>
        <v>8.625</v>
      </c>
      <c r="CP9" s="379">
        <f t="shared" si="50"/>
        <v>20.625</v>
      </c>
      <c r="CQ9" s="379"/>
      <c r="CR9" s="188">
        <f t="shared" si="113"/>
        <v>0.4156318480642805</v>
      </c>
      <c r="CS9" s="149">
        <f t="shared" si="114"/>
        <v>155.29102015588504</v>
      </c>
      <c r="CT9" s="149">
        <f t="shared" si="51"/>
        <v>10.961719069827179</v>
      </c>
      <c r="CU9" s="188">
        <f t="shared" si="52"/>
        <v>0.91347658915226493</v>
      </c>
      <c r="CV9" s="188">
        <f t="shared" si="53"/>
        <v>12.940918346323754</v>
      </c>
      <c r="CW9" s="379">
        <f t="shared" si="54"/>
        <v>170</v>
      </c>
      <c r="CX9" s="188">
        <f t="shared" si="55"/>
        <v>1.459625073227885</v>
      </c>
      <c r="CY9" s="188">
        <f t="shared" si="56"/>
        <v>0.18245313415348563</v>
      </c>
      <c r="CZ9" s="188">
        <f t="shared" si="57"/>
        <v>0.25384783882224088</v>
      </c>
      <c r="DA9" s="172">
        <f t="shared" si="58"/>
        <v>250.90909090909091</v>
      </c>
      <c r="DB9" s="379">
        <f t="shared" si="115"/>
        <v>350</v>
      </c>
      <c r="DD9" s="188">
        <f t="shared" si="59"/>
        <v>13.333333333333332</v>
      </c>
      <c r="DE9" s="150">
        <f t="shared" si="60"/>
        <v>2.318840579710145</v>
      </c>
      <c r="DF9" s="150">
        <f t="shared" si="61"/>
        <v>0.18115218115218115</v>
      </c>
      <c r="DG9" s="150"/>
      <c r="DH9" s="150">
        <f t="shared" si="62"/>
        <v>2.3188405797101455</v>
      </c>
      <c r="DI9" s="314">
        <f t="shared" si="63"/>
        <v>27.701470588235289</v>
      </c>
      <c r="DJ9" s="456">
        <f t="shared" si="64"/>
        <v>0.18115218115218121</v>
      </c>
      <c r="DL9" s="150">
        <f t="shared" si="65"/>
        <v>3.723797345005051</v>
      </c>
      <c r="DM9" s="150">
        <f t="shared" si="66"/>
        <v>13.333333333333334</v>
      </c>
      <c r="DN9" s="150">
        <f t="shared" si="67"/>
        <v>1.015829411764706</v>
      </c>
      <c r="DP9" s="314">
        <f t="shared" si="68"/>
        <v>20</v>
      </c>
      <c r="DQ9" s="144">
        <f t="shared" si="69"/>
        <v>27.701470588235289</v>
      </c>
      <c r="DS9">
        <f t="shared" si="116"/>
        <v>20</v>
      </c>
      <c r="DT9" s="144">
        <f t="shared" si="70"/>
        <v>27.701470588235289</v>
      </c>
      <c r="DU9" s="144"/>
      <c r="DV9" s="5">
        <f t="shared" si="117"/>
        <v>36.099166533949152</v>
      </c>
      <c r="DW9" s="5">
        <f t="shared" si="71"/>
        <v>1.666666666666667</v>
      </c>
      <c r="DX9" s="5">
        <f t="shared" si="118"/>
        <v>34.432499867282488</v>
      </c>
      <c r="DY9" s="150">
        <f t="shared" si="119"/>
        <v>4.6169117647058819E-2</v>
      </c>
      <c r="EA9" s="5">
        <f t="shared" si="72"/>
        <v>1.9607843137254905E-2</v>
      </c>
      <c r="EB9" s="5">
        <f t="shared" si="73"/>
        <v>0.27777777777777785</v>
      </c>
      <c r="EC9" s="5">
        <f t="shared" si="74"/>
        <v>16.259791603994504</v>
      </c>
      <c r="ED9" s="5"/>
      <c r="EE9" s="150">
        <f t="shared" si="120"/>
        <v>1.6540700445925198</v>
      </c>
      <c r="EF9" s="150">
        <f t="shared" si="75"/>
        <v>0.35112466410745596</v>
      </c>
      <c r="EG9" s="150">
        <f t="shared" si="76"/>
        <v>0.33402024572722139</v>
      </c>
      <c r="EH9" s="150"/>
      <c r="EI9" s="456">
        <f t="shared" si="77"/>
        <v>9.3022222222222221E-3</v>
      </c>
      <c r="EJ9" s="456">
        <f t="shared" si="78"/>
        <v>0.23158429411764703</v>
      </c>
      <c r="EK9" s="456">
        <f t="shared" si="79"/>
        <v>6.3436367647058817E-3</v>
      </c>
      <c r="EL9" s="456">
        <f t="shared" si="80"/>
        <v>8.0720029325597412E-3</v>
      </c>
      <c r="EM9">
        <f t="shared" si="81"/>
        <v>5.4000000000000003E-3</v>
      </c>
      <c r="EN9" s="144">
        <f t="shared" si="121"/>
        <v>11.743636764705881</v>
      </c>
      <c r="EO9">
        <f t="shared" si="82"/>
        <v>0.26379680183893373</v>
      </c>
      <c r="EP9" s="144">
        <f t="shared" si="122"/>
        <v>263.79680183893373</v>
      </c>
      <c r="EQ9" s="150">
        <f t="shared" si="83"/>
        <v>4.4374999999999998E-2</v>
      </c>
      <c r="ER9" s="150">
        <f t="shared" si="84"/>
        <v>1.4199999999999999E-2</v>
      </c>
      <c r="ES9" s="456"/>
      <c r="EU9" s="144">
        <f t="shared" si="123"/>
        <v>58.574999999999996</v>
      </c>
      <c r="EV9" s="456">
        <f t="shared" si="85"/>
        <v>4.1039215686274515E-3</v>
      </c>
      <c r="EW9" s="456">
        <f t="shared" si="124"/>
        <v>2.4657705948914754E-2</v>
      </c>
      <c r="EX9" s="456">
        <f t="shared" si="86"/>
        <v>3.3470857366702006E-3</v>
      </c>
      <c r="EY9" s="456">
        <f t="shared" si="87"/>
        <v>0.13109131154875608</v>
      </c>
      <c r="EZ9" s="456">
        <f t="shared" si="88"/>
        <v>0.17134625259933114</v>
      </c>
      <c r="FA9" s="538">
        <f t="shared" si="89"/>
        <v>4.9247058823529413E-3</v>
      </c>
      <c r="FB9" s="144">
        <f t="shared" si="125"/>
        <v>176.27095848168409</v>
      </c>
      <c r="FC9" s="150">
        <f t="shared" si="126"/>
        <v>0.49864276032061783</v>
      </c>
      <c r="FD9" s="5">
        <f t="shared" si="127"/>
        <v>3.6399999999999997</v>
      </c>
      <c r="FE9" s="150">
        <f t="shared" si="128"/>
        <v>0.87951538965832632</v>
      </c>
      <c r="FF9" s="5">
        <f t="shared" si="129"/>
        <v>87.951538965832626</v>
      </c>
      <c r="FG9">
        <f t="shared" si="130"/>
        <v>4</v>
      </c>
      <c r="FI9" s="59">
        <f t="shared" si="90"/>
        <v>-50</v>
      </c>
      <c r="FJ9">
        <f t="shared" si="91"/>
        <v>-50</v>
      </c>
      <c r="FL9">
        <f t="shared" si="92"/>
        <v>6.2408001141121876E-2</v>
      </c>
    </row>
    <row r="10" spans="2:169">
      <c r="E10" s="147">
        <v>5</v>
      </c>
      <c r="F10" s="188">
        <f t="shared" si="131"/>
        <v>2.5000000000000001E-2</v>
      </c>
      <c r="G10" s="188">
        <f t="shared" si="93"/>
        <v>2.5000000000000001E-2</v>
      </c>
      <c r="H10" s="188">
        <f t="shared" si="0"/>
        <v>4.25</v>
      </c>
      <c r="I10" s="188">
        <f t="shared" si="132"/>
        <v>0.30000000000000004</v>
      </c>
      <c r="J10" s="465">
        <f t="shared" si="1"/>
        <v>11.959993660274005</v>
      </c>
      <c r="K10" s="379">
        <f t="shared" si="2"/>
        <v>8.6489071312417067</v>
      </c>
      <c r="L10" s="149">
        <f t="shared" si="3"/>
        <v>20.608900791515712</v>
      </c>
      <c r="M10" s="379"/>
      <c r="N10" s="188">
        <f t="shared" si="4"/>
        <v>0.41966853151150574</v>
      </c>
      <c r="O10" s="149">
        <f t="shared" si="94"/>
        <v>156.27648460988988</v>
      </c>
      <c r="P10" s="149">
        <f t="shared" si="5"/>
        <v>11.031281266580462</v>
      </c>
      <c r="Q10" s="188">
        <f t="shared" si="6"/>
        <v>0.91927343888170521</v>
      </c>
      <c r="R10" s="188">
        <f t="shared" si="7"/>
        <v>13.02304038415749</v>
      </c>
      <c r="S10" s="379">
        <f t="shared" si="8"/>
        <v>170</v>
      </c>
      <c r="T10" s="188">
        <f t="shared" si="9"/>
        <v>1.8130260226969728</v>
      </c>
      <c r="U10" s="188">
        <f t="shared" si="10"/>
        <v>0.22738632739234699</v>
      </c>
      <c r="V10" s="188">
        <f t="shared" si="11"/>
        <v>0.31443730320815927</v>
      </c>
      <c r="W10" s="172">
        <f t="shared" si="12"/>
        <v>250.96164881470551</v>
      </c>
      <c r="X10" s="379">
        <f t="shared" si="95"/>
        <v>350</v>
      </c>
      <c r="Z10" s="188">
        <f t="shared" si="13"/>
        <v>13.333333333333332</v>
      </c>
      <c r="AA10" s="150">
        <f t="shared" si="14"/>
        <v>2.3124308882628317</v>
      </c>
      <c r="AB10" s="150">
        <f t="shared" si="15"/>
        <v>0.1806892850605202</v>
      </c>
      <c r="AC10" s="150"/>
      <c r="AD10" s="150">
        <f t="shared" si="16"/>
        <v>2.3124308882628322</v>
      </c>
      <c r="AE10" s="314">
        <f t="shared" si="17"/>
        <v>34.722818335720376</v>
      </c>
      <c r="AF10" s="456">
        <f t="shared" si="18"/>
        <v>0.18068928506052023</v>
      </c>
      <c r="AH10" s="150">
        <f t="shared" si="19"/>
        <v>4.1633319989322652</v>
      </c>
      <c r="AI10" s="150">
        <f t="shared" si="20"/>
        <v>13.333333333333334</v>
      </c>
      <c r="AJ10" s="150">
        <f t="shared" si="21"/>
        <v>1.0198416104775545</v>
      </c>
      <c r="AL10" s="314">
        <f t="shared" si="22"/>
        <v>25</v>
      </c>
      <c r="AM10" s="144">
        <f t="shared" si="23"/>
        <v>34.722818335720376</v>
      </c>
      <c r="AO10">
        <f t="shared" si="96"/>
        <v>25</v>
      </c>
      <c r="AP10" s="144">
        <f t="shared" si="24"/>
        <v>34.722818335720376</v>
      </c>
      <c r="AQ10" s="144"/>
      <c r="AR10" s="5">
        <f t="shared" si="97"/>
        <v>28.799505568108533</v>
      </c>
      <c r="AS10" s="5">
        <f t="shared" si="25"/>
        <v>1.6722416890931528</v>
      </c>
      <c r="AT10" s="5">
        <f t="shared" si="98"/>
        <v>27.127263879015381</v>
      </c>
      <c r="AU10" s="150">
        <f t="shared" si="99"/>
        <v>5.8064944383799742E-2</v>
      </c>
      <c r="AW10" s="5">
        <f t="shared" si="26"/>
        <v>2.4591789545487543E-2</v>
      </c>
      <c r="AX10" s="5">
        <f t="shared" si="27"/>
        <v>0.34838368522774016</v>
      </c>
      <c r="AY10" s="5">
        <f t="shared" si="28"/>
        <v>16.066183472538455</v>
      </c>
      <c r="AZ10" s="5"/>
      <c r="BA10" s="150">
        <f t="shared" si="100"/>
        <v>1.8549624236393736</v>
      </c>
      <c r="BB10" s="150">
        <f t="shared" si="29"/>
        <v>0.34892824578039972</v>
      </c>
      <c r="BC10" s="150">
        <f t="shared" si="30"/>
        <v>0.33193082204293534</v>
      </c>
      <c r="BD10" s="150"/>
      <c r="BE10" s="456">
        <f t="shared" si="31"/>
        <v>1.1699011016587799E-2</v>
      </c>
      <c r="BF10" s="456">
        <f t="shared" si="32"/>
        <v>0.22851465177160368</v>
      </c>
      <c r="BG10" s="456">
        <f t="shared" si="33"/>
        <v>1.9020038672022427E-2</v>
      </c>
      <c r="BH10" s="456">
        <f t="shared" si="34"/>
        <v>1.0102182196101006E-2</v>
      </c>
      <c r="BI10">
        <f t="shared" si="35"/>
        <v>5.3819971471233017E-3</v>
      </c>
      <c r="BJ10" s="144">
        <f t="shared" si="101"/>
        <v>24.40203581914573</v>
      </c>
      <c r="BK10">
        <f t="shared" si="36"/>
        <v>0.25418112141370669</v>
      </c>
      <c r="BL10" s="144">
        <f t="shared" si="102"/>
        <v>254.18112141370668</v>
      </c>
      <c r="BM10" s="150">
        <f t="shared" si="37"/>
        <v>5.5468749999999997E-2</v>
      </c>
      <c r="BN10" s="150">
        <f t="shared" si="38"/>
        <v>1.7750000000000002E-2</v>
      </c>
      <c r="BO10" s="456"/>
      <c r="BQ10" s="144">
        <f t="shared" si="103"/>
        <v>73.21875</v>
      </c>
      <c r="BR10" s="456">
        <f t="shared" si="39"/>
        <v>5.1613283896710885E-3</v>
      </c>
      <c r="BS10" s="456">
        <f t="shared" si="104"/>
        <v>2.4350184140677408E-2</v>
      </c>
      <c r="BT10" s="456">
        <f t="shared" si="40"/>
        <v>3.3053421186629642E-3</v>
      </c>
      <c r="BU10" s="456">
        <f t="shared" si="41"/>
        <v>0.23059732566602448</v>
      </c>
      <c r="BV10" s="456">
        <f t="shared" si="42"/>
        <v>0.27200433155981468</v>
      </c>
      <c r="BW10" s="538">
        <f t="shared" si="43"/>
        <v>6.172945481905846E-3</v>
      </c>
      <c r="BX10" s="144">
        <f t="shared" si="105"/>
        <v>278.17727704172052</v>
      </c>
      <c r="BY10" s="150">
        <f t="shared" si="106"/>
        <v>0.60557714845542721</v>
      </c>
      <c r="BZ10" s="5">
        <f t="shared" si="107"/>
        <v>4.55</v>
      </c>
      <c r="CA10" s="150">
        <f t="shared" si="108"/>
        <v>0.88253940712789969</v>
      </c>
      <c r="CB10" s="5">
        <f t="shared" si="109"/>
        <v>88.253940712789969</v>
      </c>
      <c r="CC10">
        <f t="shared" si="110"/>
        <v>5</v>
      </c>
      <c r="CE10" s="59">
        <f t="shared" si="44"/>
        <v>-50</v>
      </c>
      <c r="CF10">
        <f t="shared" si="45"/>
        <v>-50</v>
      </c>
      <c r="CG10" s="150">
        <f t="shared" si="46"/>
        <v>7.8010001426402339E-2</v>
      </c>
      <c r="CH10" s="150">
        <f t="shared" si="47"/>
        <v>2.1138926650822388E-2</v>
      </c>
      <c r="CI10" s="147">
        <v>5</v>
      </c>
      <c r="CJ10" s="188">
        <f t="shared" si="133"/>
        <v>2.5000000000000001E-2</v>
      </c>
      <c r="CK10" s="188">
        <f t="shared" si="111"/>
        <v>2.5000000000000001E-2</v>
      </c>
      <c r="CL10" s="188">
        <f t="shared" si="48"/>
        <v>4.25</v>
      </c>
      <c r="CM10" s="188">
        <f t="shared" si="134"/>
        <v>0.30000000000000004</v>
      </c>
      <c r="CN10" s="465">
        <f t="shared" si="112"/>
        <v>12</v>
      </c>
      <c r="CO10" s="379">
        <f t="shared" si="49"/>
        <v>8.625</v>
      </c>
      <c r="CP10" s="379">
        <f t="shared" si="50"/>
        <v>20.625</v>
      </c>
      <c r="CQ10" s="379"/>
      <c r="CR10" s="188">
        <f t="shared" si="113"/>
        <v>0.4156318480642805</v>
      </c>
      <c r="CS10" s="149">
        <f t="shared" si="114"/>
        <v>155.29102015588504</v>
      </c>
      <c r="CT10" s="149">
        <f t="shared" si="51"/>
        <v>10.961719069827179</v>
      </c>
      <c r="CU10" s="188">
        <f t="shared" si="52"/>
        <v>0.91347658915226493</v>
      </c>
      <c r="CV10" s="188">
        <f t="shared" si="53"/>
        <v>12.940918346323754</v>
      </c>
      <c r="CW10" s="379">
        <f t="shared" si="54"/>
        <v>170</v>
      </c>
      <c r="CX10" s="188">
        <f t="shared" si="55"/>
        <v>1.8245313415348563</v>
      </c>
      <c r="CY10" s="188">
        <f t="shared" si="56"/>
        <v>0.22806641769185704</v>
      </c>
      <c r="CZ10" s="188">
        <f t="shared" si="57"/>
        <v>0.31730979852780111</v>
      </c>
      <c r="DA10" s="172">
        <f t="shared" si="58"/>
        <v>250.90909090909091</v>
      </c>
      <c r="DB10" s="379">
        <f t="shared" si="115"/>
        <v>350</v>
      </c>
      <c r="DD10" s="188">
        <f t="shared" si="59"/>
        <v>13.333333333333332</v>
      </c>
      <c r="DE10" s="150">
        <f t="shared" si="60"/>
        <v>2.318840579710145</v>
      </c>
      <c r="DF10" s="150">
        <f t="shared" si="61"/>
        <v>0.18115218115218115</v>
      </c>
      <c r="DG10" s="150"/>
      <c r="DH10" s="150">
        <f t="shared" si="62"/>
        <v>2.3188405797101455</v>
      </c>
      <c r="DI10" s="314">
        <f t="shared" si="63"/>
        <v>34.626838235294102</v>
      </c>
      <c r="DJ10" s="456">
        <f t="shared" si="64"/>
        <v>0.18115218115218121</v>
      </c>
      <c r="DL10" s="150">
        <f t="shared" si="65"/>
        <v>4.1633319989322652</v>
      </c>
      <c r="DM10" s="150">
        <f t="shared" si="66"/>
        <v>13.333333333333334</v>
      </c>
      <c r="DN10" s="150">
        <f t="shared" si="67"/>
        <v>1.0197867647058823</v>
      </c>
      <c r="DP10" s="314">
        <f t="shared" si="68"/>
        <v>25</v>
      </c>
      <c r="DQ10" s="144">
        <f t="shared" si="69"/>
        <v>34.626838235294102</v>
      </c>
      <c r="DS10">
        <f t="shared" si="116"/>
        <v>25</v>
      </c>
      <c r="DT10" s="144">
        <f t="shared" si="70"/>
        <v>34.626838235294102</v>
      </c>
      <c r="DU10" s="144"/>
      <c r="DV10" s="5">
        <f t="shared" si="117"/>
        <v>28.879333227159325</v>
      </c>
      <c r="DW10" s="5">
        <f t="shared" si="71"/>
        <v>1.666666666666667</v>
      </c>
      <c r="DX10" s="5">
        <f t="shared" si="118"/>
        <v>27.212666560492657</v>
      </c>
      <c r="DY10" s="150">
        <f t="shared" si="119"/>
        <v>5.771139705882352E-2</v>
      </c>
      <c r="EA10" s="5">
        <f t="shared" si="72"/>
        <v>2.4509803921568634E-2</v>
      </c>
      <c r="EB10" s="5">
        <f t="shared" si="73"/>
        <v>0.34722222222222232</v>
      </c>
      <c r="EC10" s="5">
        <f t="shared" si="74"/>
        <v>16.063032344735248</v>
      </c>
      <c r="ED10" s="5"/>
      <c r="EE10" s="150">
        <f t="shared" si="120"/>
        <v>1.8493065296274913</v>
      </c>
      <c r="EF10" s="150">
        <f t="shared" si="75"/>
        <v>0.34899372326399059</v>
      </c>
      <c r="EG10" s="150">
        <f t="shared" si="76"/>
        <v>0.33199310990646164</v>
      </c>
      <c r="EH10" s="150"/>
      <c r="EI10" s="456">
        <f t="shared" si="77"/>
        <v>1.1627777777777775E-2</v>
      </c>
      <c r="EJ10" s="456">
        <f t="shared" si="78"/>
        <v>0.2894803676470587</v>
      </c>
      <c r="EK10" s="456">
        <f t="shared" si="79"/>
        <v>7.9295459558823504E-3</v>
      </c>
      <c r="EL10" s="456">
        <f t="shared" si="80"/>
        <v>1.0090003665699673E-2</v>
      </c>
      <c r="EM10">
        <f t="shared" si="81"/>
        <v>5.4000000000000003E-3</v>
      </c>
      <c r="EN10" s="144">
        <f t="shared" si="121"/>
        <v>13.329545955882351</v>
      </c>
      <c r="EO10">
        <f t="shared" si="82"/>
        <v>0.32857496882729581</v>
      </c>
      <c r="EP10" s="144">
        <f t="shared" si="122"/>
        <v>328.57496882729583</v>
      </c>
      <c r="EQ10" s="150">
        <f t="shared" si="83"/>
        <v>5.5468749999999997E-2</v>
      </c>
      <c r="ER10" s="150">
        <f t="shared" si="84"/>
        <v>1.7750000000000002E-2</v>
      </c>
      <c r="ES10" s="456"/>
      <c r="EU10" s="144">
        <f t="shared" si="123"/>
        <v>73.21875</v>
      </c>
      <c r="EV10" s="456">
        <f t="shared" si="85"/>
        <v>5.1299019607843133E-3</v>
      </c>
      <c r="EW10" s="456">
        <f t="shared" si="124"/>
        <v>2.4359323775532571E-2</v>
      </c>
      <c r="EX10" s="456">
        <f t="shared" si="86"/>
        <v>3.3065827507609172E-3</v>
      </c>
      <c r="EY10" s="456">
        <f t="shared" si="87"/>
        <v>0.2290070967832982</v>
      </c>
      <c r="EZ10" s="456">
        <f t="shared" si="88"/>
        <v>0.27038329440659176</v>
      </c>
      <c r="FA10" s="538">
        <f t="shared" si="89"/>
        <v>6.1558823529411751E-3</v>
      </c>
      <c r="FB10" s="144">
        <f t="shared" si="125"/>
        <v>276.53917675953295</v>
      </c>
      <c r="FC10" s="150">
        <f t="shared" si="126"/>
        <v>0.67833289558682874</v>
      </c>
      <c r="FD10" s="5">
        <f t="shared" si="127"/>
        <v>4.55</v>
      </c>
      <c r="FE10" s="150">
        <f t="shared" si="128"/>
        <v>0.87025828134252869</v>
      </c>
      <c r="FF10" s="5">
        <f t="shared" si="129"/>
        <v>87.025828134252876</v>
      </c>
      <c r="FG10">
        <f t="shared" si="130"/>
        <v>5</v>
      </c>
      <c r="FI10" s="59">
        <f t="shared" si="90"/>
        <v>-50</v>
      </c>
      <c r="FJ10">
        <f t="shared" si="91"/>
        <v>-50</v>
      </c>
      <c r="FL10">
        <f t="shared" si="92"/>
        <v>7.8010001426402326E-2</v>
      </c>
    </row>
    <row r="11" spans="2:169">
      <c r="E11" s="147">
        <v>6</v>
      </c>
      <c r="F11" s="188">
        <f t="shared" si="131"/>
        <v>0.03</v>
      </c>
      <c r="G11" s="188">
        <f t="shared" si="93"/>
        <v>0.03</v>
      </c>
      <c r="H11" s="188">
        <f t="shared" si="0"/>
        <v>5.0999999999999996</v>
      </c>
      <c r="I11" s="188">
        <f t="shared" si="132"/>
        <v>0.36</v>
      </c>
      <c r="J11" s="465">
        <f t="shared" si="1"/>
        <v>11.959993660274005</v>
      </c>
      <c r="K11" s="379">
        <f t="shared" si="2"/>
        <v>8.6489071312417067</v>
      </c>
      <c r="L11" s="149">
        <f t="shared" si="3"/>
        <v>20.608900791515712</v>
      </c>
      <c r="M11" s="379"/>
      <c r="N11" s="188">
        <f t="shared" si="4"/>
        <v>0.41966853151150574</v>
      </c>
      <c r="O11" s="149">
        <f t="shared" si="94"/>
        <v>156.27648460988988</v>
      </c>
      <c r="P11" s="149">
        <f t="shared" si="5"/>
        <v>11.031281266580462</v>
      </c>
      <c r="Q11" s="188">
        <f t="shared" si="6"/>
        <v>0.91927343888170521</v>
      </c>
      <c r="R11" s="188">
        <f t="shared" si="7"/>
        <v>13.02304038415749</v>
      </c>
      <c r="S11" s="379">
        <f t="shared" si="8"/>
        <v>170</v>
      </c>
      <c r="T11" s="188">
        <f t="shared" si="9"/>
        <v>2.1756312272363676</v>
      </c>
      <c r="U11" s="188">
        <f t="shared" si="10"/>
        <v>0.27286359287081646</v>
      </c>
      <c r="V11" s="188">
        <f t="shared" si="11"/>
        <v>0.37732476384979119</v>
      </c>
      <c r="W11" s="172">
        <f t="shared" si="12"/>
        <v>250.96164881470551</v>
      </c>
      <c r="X11" s="379">
        <f t="shared" si="95"/>
        <v>350</v>
      </c>
      <c r="Z11" s="188">
        <f t="shared" si="13"/>
        <v>13.333333333333332</v>
      </c>
      <c r="AA11" s="150">
        <f t="shared" si="14"/>
        <v>2.3124308882628317</v>
      </c>
      <c r="AB11" s="150">
        <f t="shared" si="15"/>
        <v>0.1806892850605202</v>
      </c>
      <c r="AC11" s="150"/>
      <c r="AD11" s="150">
        <f t="shared" si="16"/>
        <v>2.3124308882628322</v>
      </c>
      <c r="AE11" s="314">
        <f t="shared" si="17"/>
        <v>41.66738200286445</v>
      </c>
      <c r="AF11" s="456">
        <f t="shared" si="18"/>
        <v>0.18068928506052023</v>
      </c>
      <c r="AH11" s="150">
        <f t="shared" si="19"/>
        <v>4.5607017003965522</v>
      </c>
      <c r="AI11" s="150">
        <f t="shared" si="20"/>
        <v>13.333333333333334</v>
      </c>
      <c r="AJ11" s="150">
        <f t="shared" si="21"/>
        <v>1.0238099325730654</v>
      </c>
      <c r="AL11" s="314">
        <f t="shared" si="22"/>
        <v>30</v>
      </c>
      <c r="AM11" s="144">
        <f t="shared" si="23"/>
        <v>41.66738200286445</v>
      </c>
      <c r="AO11">
        <f t="shared" si="96"/>
        <v>30</v>
      </c>
      <c r="AP11" s="144">
        <f t="shared" si="24"/>
        <v>41.66738200286445</v>
      </c>
      <c r="AQ11" s="144"/>
      <c r="AR11" s="5">
        <f t="shared" si="97"/>
        <v>23.999587973423779</v>
      </c>
      <c r="AS11" s="5">
        <f t="shared" si="25"/>
        <v>1.6722416890931528</v>
      </c>
      <c r="AT11" s="5">
        <f t="shared" si="98"/>
        <v>22.327346284330627</v>
      </c>
      <c r="AU11" s="150">
        <f t="shared" si="99"/>
        <v>6.9677933260559682E-2</v>
      </c>
      <c r="AW11" s="5">
        <f t="shared" si="26"/>
        <v>2.9510147454585047E-2</v>
      </c>
      <c r="AX11" s="5">
        <f t="shared" si="27"/>
        <v>0.41806042227328816</v>
      </c>
      <c r="AY11" s="5">
        <f t="shared" si="28"/>
        <v>15.868105686977625</v>
      </c>
      <c r="AZ11" s="5"/>
      <c r="BA11" s="150">
        <f t="shared" si="100"/>
        <v>2.032009525503478</v>
      </c>
      <c r="BB11" s="150">
        <f t="shared" si="29"/>
        <v>0.34677063053497043</v>
      </c>
      <c r="BC11" s="150">
        <f t="shared" si="30"/>
        <v>0.3298783112166308</v>
      </c>
      <c r="BD11" s="150"/>
      <c r="BE11" s="456">
        <f t="shared" si="31"/>
        <v>1.4038813219905357E-2</v>
      </c>
      <c r="BF11" s="456">
        <f t="shared" si="32"/>
        <v>0.27421758212592445</v>
      </c>
      <c r="BG11" s="456">
        <f t="shared" si="33"/>
        <v>2.282404640642691E-2</v>
      </c>
      <c r="BH11" s="456">
        <f t="shared" si="34"/>
        <v>1.2122618635321207E-2</v>
      </c>
      <c r="BI11">
        <f t="shared" si="35"/>
        <v>5.3819971471233017E-3</v>
      </c>
      <c r="BJ11" s="144">
        <f t="shared" si="101"/>
        <v>28.206043553550213</v>
      </c>
      <c r="BK11">
        <f t="shared" si="36"/>
        <v>0.30518748364150877</v>
      </c>
      <c r="BL11" s="144">
        <f t="shared" si="102"/>
        <v>305.18748364150878</v>
      </c>
      <c r="BM11" s="150">
        <f t="shared" si="37"/>
        <v>6.6562499999999997E-2</v>
      </c>
      <c r="BN11" s="150">
        <f t="shared" si="38"/>
        <v>2.1299999999999999E-2</v>
      </c>
      <c r="BO11" s="456"/>
      <c r="BQ11" s="144">
        <f t="shared" si="103"/>
        <v>87.862499999999997</v>
      </c>
      <c r="BR11" s="456">
        <f t="shared" si="39"/>
        <v>6.1935940676053043E-3</v>
      </c>
      <c r="BS11" s="456">
        <f t="shared" si="104"/>
        <v>2.4049974040324194E-2</v>
      </c>
      <c r="BT11" s="456">
        <f t="shared" si="40"/>
        <v>3.2645910063340894E-3</v>
      </c>
      <c r="BU11" s="456">
        <f t="shared" si="41"/>
        <v>0.36375366806682247</v>
      </c>
      <c r="BV11" s="456">
        <f t="shared" si="42"/>
        <v>0.40639318436728783</v>
      </c>
      <c r="BW11" s="538">
        <f t="shared" si="43"/>
        <v>7.407534578287015E-3</v>
      </c>
      <c r="BX11" s="144">
        <f t="shared" si="105"/>
        <v>413.80071894557483</v>
      </c>
      <c r="BY11" s="150">
        <f t="shared" si="106"/>
        <v>0.80685070258708358</v>
      </c>
      <c r="BZ11" s="5">
        <f t="shared" si="107"/>
        <v>5.46</v>
      </c>
      <c r="CA11" s="150">
        <f t="shared" si="108"/>
        <v>0.87125100933807165</v>
      </c>
      <c r="CB11" s="5">
        <f t="shared" si="109"/>
        <v>87.125100933807161</v>
      </c>
      <c r="CC11">
        <f t="shared" si="110"/>
        <v>6</v>
      </c>
      <c r="CE11" s="59">
        <f t="shared" si="44"/>
        <v>-50</v>
      </c>
      <c r="CF11">
        <f t="shared" si="45"/>
        <v>-50</v>
      </c>
      <c r="CG11" s="150">
        <f t="shared" si="46"/>
        <v>9.361200171168281E-2</v>
      </c>
      <c r="CH11" s="150">
        <f t="shared" si="47"/>
        <v>2.5366711980986861E-2</v>
      </c>
      <c r="CI11" s="147">
        <v>6</v>
      </c>
      <c r="CJ11" s="188">
        <f t="shared" si="133"/>
        <v>0.03</v>
      </c>
      <c r="CK11" s="188">
        <f t="shared" si="111"/>
        <v>0.03</v>
      </c>
      <c r="CL11" s="188">
        <f t="shared" si="48"/>
        <v>5.0999999999999996</v>
      </c>
      <c r="CM11" s="188">
        <f t="shared" si="134"/>
        <v>0.36</v>
      </c>
      <c r="CN11" s="465">
        <f t="shared" si="112"/>
        <v>12</v>
      </c>
      <c r="CO11" s="379">
        <f t="shared" si="49"/>
        <v>8.625</v>
      </c>
      <c r="CP11" s="379">
        <f t="shared" si="50"/>
        <v>20.625</v>
      </c>
      <c r="CQ11" s="379"/>
      <c r="CR11" s="188">
        <f t="shared" si="113"/>
        <v>0.4156318480642805</v>
      </c>
      <c r="CS11" s="149">
        <f t="shared" si="114"/>
        <v>155.29102015588504</v>
      </c>
      <c r="CT11" s="149">
        <f t="shared" si="51"/>
        <v>10.961719069827179</v>
      </c>
      <c r="CU11" s="188">
        <f t="shared" si="52"/>
        <v>0.91347658915226493</v>
      </c>
      <c r="CV11" s="188">
        <f t="shared" si="53"/>
        <v>12.940918346323754</v>
      </c>
      <c r="CW11" s="379">
        <f t="shared" si="54"/>
        <v>170</v>
      </c>
      <c r="CX11" s="188">
        <f t="shared" si="55"/>
        <v>2.1894376098418276</v>
      </c>
      <c r="CY11" s="188">
        <f t="shared" si="56"/>
        <v>0.27367970123022844</v>
      </c>
      <c r="CZ11" s="188">
        <f t="shared" si="57"/>
        <v>0.38077175823336129</v>
      </c>
      <c r="DA11" s="172">
        <f t="shared" si="58"/>
        <v>250.90909090909091</v>
      </c>
      <c r="DB11" s="379">
        <f t="shared" si="115"/>
        <v>350</v>
      </c>
      <c r="DD11" s="188">
        <f t="shared" si="59"/>
        <v>13.333333333333332</v>
      </c>
      <c r="DE11" s="150">
        <f t="shared" si="60"/>
        <v>2.318840579710145</v>
      </c>
      <c r="DF11" s="150">
        <f t="shared" si="61"/>
        <v>0.18115218115218115</v>
      </c>
      <c r="DG11" s="150"/>
      <c r="DH11" s="150">
        <f t="shared" si="62"/>
        <v>2.3188405797101455</v>
      </c>
      <c r="DI11" s="314">
        <f t="shared" si="63"/>
        <v>41.552205882352922</v>
      </c>
      <c r="DJ11" s="456">
        <f t="shared" si="64"/>
        <v>0.18115218115218121</v>
      </c>
      <c r="DL11" s="150">
        <f t="shared" si="65"/>
        <v>4.5607017003965522</v>
      </c>
      <c r="DM11" s="150">
        <f t="shared" si="66"/>
        <v>13.333333333333334</v>
      </c>
      <c r="DN11" s="150">
        <f t="shared" si="67"/>
        <v>1.0237441176470587</v>
      </c>
      <c r="DP11" s="314">
        <f t="shared" si="68"/>
        <v>30</v>
      </c>
      <c r="DQ11" s="144">
        <f t="shared" si="69"/>
        <v>41.552205882352922</v>
      </c>
      <c r="DS11">
        <f t="shared" si="116"/>
        <v>30</v>
      </c>
      <c r="DT11" s="144">
        <f t="shared" si="70"/>
        <v>41.552205882352922</v>
      </c>
      <c r="DU11" s="144"/>
      <c r="DV11" s="5">
        <f t="shared" si="117"/>
        <v>24.066111022632771</v>
      </c>
      <c r="DW11" s="5">
        <f t="shared" si="71"/>
        <v>1.666666666666667</v>
      </c>
      <c r="DX11" s="5">
        <f t="shared" si="118"/>
        <v>22.399444355966104</v>
      </c>
      <c r="DY11" s="150">
        <f t="shared" si="119"/>
        <v>6.9253676470588221E-2</v>
      </c>
      <c r="EA11" s="5">
        <f t="shared" si="72"/>
        <v>2.9411764705882356E-2</v>
      </c>
      <c r="EB11" s="5">
        <f t="shared" si="73"/>
        <v>0.41666666666666674</v>
      </c>
      <c r="EC11" s="5">
        <f t="shared" si="74"/>
        <v>15.866273085475989</v>
      </c>
      <c r="ED11" s="5"/>
      <c r="EE11" s="150">
        <f t="shared" si="120"/>
        <v>2.0258138040371456</v>
      </c>
      <c r="EF11" s="150">
        <f t="shared" si="75"/>
        <v>0.34684969080388695</v>
      </c>
      <c r="EG11" s="150">
        <f t="shared" si="76"/>
        <v>0.32995352020406521</v>
      </c>
      <c r="EH11" s="150"/>
      <c r="EI11" s="456">
        <f t="shared" si="77"/>
        <v>1.3953333333333331E-2</v>
      </c>
      <c r="EJ11" s="456">
        <f t="shared" si="78"/>
        <v>0.34737644117647043</v>
      </c>
      <c r="EK11" s="456">
        <f t="shared" si="79"/>
        <v>9.515455147058819E-3</v>
      </c>
      <c r="EL11" s="456">
        <f t="shared" si="80"/>
        <v>1.2108004398839608E-2</v>
      </c>
      <c r="EM11">
        <f t="shared" si="81"/>
        <v>5.4000000000000003E-3</v>
      </c>
      <c r="EN11" s="144">
        <f t="shared" si="121"/>
        <v>14.91545514705882</v>
      </c>
      <c r="EO11">
        <f t="shared" si="82"/>
        <v>0.39342496054850823</v>
      </c>
      <c r="EP11" s="144">
        <f t="shared" si="122"/>
        <v>393.42496054850824</v>
      </c>
      <c r="EQ11" s="150">
        <f t="shared" si="83"/>
        <v>6.6562499999999997E-2</v>
      </c>
      <c r="ER11" s="150">
        <f t="shared" si="84"/>
        <v>2.1299999999999999E-2</v>
      </c>
      <c r="ES11" s="456"/>
      <c r="EU11" s="144">
        <f t="shared" si="123"/>
        <v>87.862499999999997</v>
      </c>
      <c r="EV11" s="456">
        <f t="shared" si="85"/>
        <v>6.155882352941176E-3</v>
      </c>
      <c r="EW11" s="456">
        <f t="shared" si="124"/>
        <v>2.4060941602150398E-2</v>
      </c>
      <c r="EX11" s="456">
        <f t="shared" si="86"/>
        <v>3.2660797648516341E-3</v>
      </c>
      <c r="EY11" s="456">
        <f t="shared" si="87"/>
        <v>0.36124517588250604</v>
      </c>
      <c r="EZ11" s="456">
        <f t="shared" si="88"/>
        <v>0.40384573071276886</v>
      </c>
      <c r="FA11" s="538">
        <f t="shared" si="89"/>
        <v>7.3870588235294098E-3</v>
      </c>
      <c r="FB11" s="144">
        <f t="shared" si="125"/>
        <v>411.2327895362983</v>
      </c>
      <c r="FC11" s="150">
        <f t="shared" si="126"/>
        <v>0.89252025008480651</v>
      </c>
      <c r="FD11" s="5">
        <f t="shared" si="127"/>
        <v>5.46</v>
      </c>
      <c r="FE11" s="150">
        <f t="shared" si="128"/>
        <v>0.85950139236897494</v>
      </c>
      <c r="FF11" s="5">
        <f t="shared" si="129"/>
        <v>85.950139236897499</v>
      </c>
      <c r="FG11">
        <f t="shared" si="130"/>
        <v>6</v>
      </c>
      <c r="FI11" s="59">
        <f t="shared" si="90"/>
        <v>-50</v>
      </c>
      <c r="FJ11">
        <f t="shared" si="91"/>
        <v>-50</v>
      </c>
      <c r="FL11">
        <f t="shared" si="92"/>
        <v>9.3612001711682782E-2</v>
      </c>
    </row>
    <row r="12" spans="2:169">
      <c r="E12" s="147">
        <v>7</v>
      </c>
      <c r="F12" s="188">
        <f t="shared" si="131"/>
        <v>3.5000000000000003E-2</v>
      </c>
      <c r="G12" s="188">
        <f t="shared" si="93"/>
        <v>3.5000000000000003E-2</v>
      </c>
      <c r="H12" s="188">
        <f t="shared" si="0"/>
        <v>5.95</v>
      </c>
      <c r="I12" s="188">
        <f t="shared" si="132"/>
        <v>0.42000000000000004</v>
      </c>
      <c r="J12" s="465">
        <f t="shared" si="1"/>
        <v>11.959993660274005</v>
      </c>
      <c r="K12" s="379">
        <f t="shared" si="2"/>
        <v>8.6489071312417067</v>
      </c>
      <c r="L12" s="149">
        <f t="shared" si="3"/>
        <v>20.608900791515712</v>
      </c>
      <c r="M12" s="379"/>
      <c r="N12" s="188">
        <f t="shared" si="4"/>
        <v>0.41966853151150574</v>
      </c>
      <c r="O12" s="149">
        <f t="shared" si="94"/>
        <v>156.27648460988988</v>
      </c>
      <c r="P12" s="149">
        <f t="shared" si="5"/>
        <v>11.031281266580462</v>
      </c>
      <c r="Q12" s="188">
        <f t="shared" si="6"/>
        <v>0.91927343888170521</v>
      </c>
      <c r="R12" s="188">
        <f t="shared" si="7"/>
        <v>13.02304038415749</v>
      </c>
      <c r="S12" s="379">
        <f t="shared" si="8"/>
        <v>170</v>
      </c>
      <c r="T12" s="188">
        <f t="shared" si="9"/>
        <v>2.5382364317757622</v>
      </c>
      <c r="U12" s="188">
        <f t="shared" si="10"/>
        <v>0.31834085834928583</v>
      </c>
      <c r="V12" s="188">
        <f t="shared" si="11"/>
        <v>0.44021222449142294</v>
      </c>
      <c r="W12" s="172">
        <f t="shared" si="12"/>
        <v>250.96164881470551</v>
      </c>
      <c r="X12" s="379">
        <f t="shared" si="95"/>
        <v>350</v>
      </c>
      <c r="Z12" s="188">
        <f t="shared" si="13"/>
        <v>13.333333333333332</v>
      </c>
      <c r="AA12" s="150">
        <f t="shared" si="14"/>
        <v>2.3124308882628317</v>
      </c>
      <c r="AB12" s="150">
        <f t="shared" si="15"/>
        <v>0.1806892850605202</v>
      </c>
      <c r="AC12" s="150"/>
      <c r="AD12" s="150">
        <f t="shared" si="16"/>
        <v>2.3124308882628322</v>
      </c>
      <c r="AE12" s="314">
        <f t="shared" si="17"/>
        <v>48.611945670008538</v>
      </c>
      <c r="AF12" s="456">
        <f t="shared" si="18"/>
        <v>0.18068928506052023</v>
      </c>
      <c r="AH12" s="150">
        <f t="shared" si="19"/>
        <v>4.9261208538429777</v>
      </c>
      <c r="AI12" s="150">
        <f t="shared" si="20"/>
        <v>13.333333333333334</v>
      </c>
      <c r="AJ12" s="150">
        <f t="shared" si="21"/>
        <v>1.0277782546685763</v>
      </c>
      <c r="AL12" s="314">
        <f t="shared" si="22"/>
        <v>35</v>
      </c>
      <c r="AM12" s="144">
        <f t="shared" si="23"/>
        <v>48.611945670008538</v>
      </c>
      <c r="AO12">
        <f t="shared" si="96"/>
        <v>35</v>
      </c>
      <c r="AP12" s="144">
        <f t="shared" si="24"/>
        <v>48.611945670008538</v>
      </c>
      <c r="AQ12" s="144"/>
      <c r="AR12" s="5">
        <f t="shared" si="97"/>
        <v>20.571075405791802</v>
      </c>
      <c r="AS12" s="5">
        <f t="shared" si="25"/>
        <v>1.6722416890931528</v>
      </c>
      <c r="AT12" s="5">
        <f t="shared" si="98"/>
        <v>18.89883371669865</v>
      </c>
      <c r="AU12" s="150">
        <f t="shared" si="99"/>
        <v>8.1290922137319657E-2</v>
      </c>
      <c r="AW12" s="5">
        <f t="shared" si="26"/>
        <v>3.4428505363682568E-2</v>
      </c>
      <c r="AX12" s="5">
        <f t="shared" si="27"/>
        <v>0.48773715931883632</v>
      </c>
      <c r="AY12" s="5">
        <f t="shared" si="28"/>
        <v>15.670027901416791</v>
      </c>
      <c r="AZ12" s="5"/>
      <c r="BA12" s="150">
        <f t="shared" si="100"/>
        <v>2.194821138580473</v>
      </c>
      <c r="BB12" s="150">
        <f t="shared" si="29"/>
        <v>0.34459950623855357</v>
      </c>
      <c r="BC12" s="150">
        <f t="shared" si="30"/>
        <v>0.32781294940891814</v>
      </c>
      <c r="BD12" s="150"/>
      <c r="BE12" s="456">
        <f t="shared" si="31"/>
        <v>1.6378615423222925E-2</v>
      </c>
      <c r="BF12" s="456">
        <f t="shared" si="32"/>
        <v>0.31992051248024528</v>
      </c>
      <c r="BG12" s="456">
        <f t="shared" si="33"/>
        <v>2.66280541408314E-2</v>
      </c>
      <c r="BH12" s="456">
        <f t="shared" si="34"/>
        <v>1.4143055074541413E-2</v>
      </c>
      <c r="BI12">
        <f t="shared" si="35"/>
        <v>5.3819971471233017E-3</v>
      </c>
      <c r="BJ12" s="144">
        <f t="shared" si="101"/>
        <v>32.010051287954703</v>
      </c>
      <c r="BK12">
        <f t="shared" si="36"/>
        <v>0.35625078008050781</v>
      </c>
      <c r="BL12" s="144">
        <f t="shared" si="102"/>
        <v>356.25078008050781</v>
      </c>
      <c r="BM12" s="150">
        <f t="shared" si="37"/>
        <v>7.765625000000001E-2</v>
      </c>
      <c r="BN12" s="150">
        <f t="shared" si="38"/>
        <v>2.4850000000000004E-2</v>
      </c>
      <c r="BO12" s="456"/>
      <c r="BQ12" s="144">
        <f t="shared" si="103"/>
        <v>102.50625000000002</v>
      </c>
      <c r="BR12" s="456">
        <f t="shared" si="39"/>
        <v>7.2258597455395262E-3</v>
      </c>
      <c r="BS12" s="456">
        <f t="shared" si="104"/>
        <v>2.3749763939970983E-2</v>
      </c>
      <c r="BT12" s="456">
        <f t="shared" si="40"/>
        <v>3.2238398940052176E-3</v>
      </c>
      <c r="BU12" s="456">
        <f t="shared" si="41"/>
        <v>0.53477901315256604</v>
      </c>
      <c r="BV12" s="456">
        <f t="shared" si="42"/>
        <v>0.57876983742925225</v>
      </c>
      <c r="BW12" s="538">
        <f t="shared" si="43"/>
        <v>8.6421236746681857E-3</v>
      </c>
      <c r="BX12" s="144">
        <f t="shared" si="105"/>
        <v>587.41196110392048</v>
      </c>
      <c r="BY12" s="150">
        <f t="shared" si="106"/>
        <v>1.0461689911844281</v>
      </c>
      <c r="BZ12" s="5">
        <f t="shared" si="107"/>
        <v>6.37</v>
      </c>
      <c r="CA12" s="150">
        <f t="shared" si="108"/>
        <v>0.85893404095456771</v>
      </c>
      <c r="CB12" s="5">
        <f t="shared" si="109"/>
        <v>85.893404095456773</v>
      </c>
      <c r="CC12">
        <f t="shared" si="110"/>
        <v>7.0000000000000009</v>
      </c>
      <c r="CE12" s="59">
        <f t="shared" si="44"/>
        <v>-50</v>
      </c>
      <c r="CF12">
        <f t="shared" si="45"/>
        <v>-50</v>
      </c>
      <c r="CG12" s="150">
        <f t="shared" si="46"/>
        <v>0.10921400199696328</v>
      </c>
      <c r="CH12" s="150">
        <f t="shared" si="47"/>
        <v>2.9594497311151342E-2</v>
      </c>
      <c r="CI12" s="147">
        <v>7</v>
      </c>
      <c r="CJ12" s="188">
        <f t="shared" si="133"/>
        <v>3.5000000000000003E-2</v>
      </c>
      <c r="CK12" s="188">
        <f t="shared" si="111"/>
        <v>3.5000000000000003E-2</v>
      </c>
      <c r="CL12" s="188">
        <f t="shared" si="48"/>
        <v>5.95</v>
      </c>
      <c r="CM12" s="188">
        <f t="shared" si="134"/>
        <v>0.42000000000000004</v>
      </c>
      <c r="CN12" s="465">
        <f t="shared" si="112"/>
        <v>12</v>
      </c>
      <c r="CO12" s="379">
        <f t="shared" si="49"/>
        <v>8.625</v>
      </c>
      <c r="CP12" s="379">
        <f t="shared" si="50"/>
        <v>20.625</v>
      </c>
      <c r="CQ12" s="379"/>
      <c r="CR12" s="188">
        <f t="shared" si="113"/>
        <v>0.4156318480642805</v>
      </c>
      <c r="CS12" s="149">
        <f t="shared" si="114"/>
        <v>155.29102015588504</v>
      </c>
      <c r="CT12" s="149">
        <f t="shared" si="51"/>
        <v>10.961719069827179</v>
      </c>
      <c r="CU12" s="188">
        <f t="shared" si="52"/>
        <v>0.91347658915226493</v>
      </c>
      <c r="CV12" s="188">
        <f t="shared" si="53"/>
        <v>12.940918346323754</v>
      </c>
      <c r="CW12" s="379">
        <f t="shared" si="54"/>
        <v>170</v>
      </c>
      <c r="CX12" s="188">
        <f t="shared" si="55"/>
        <v>2.5543438781487988</v>
      </c>
      <c r="CY12" s="188">
        <f t="shared" si="56"/>
        <v>0.31929298476859985</v>
      </c>
      <c r="CZ12" s="188">
        <f t="shared" si="57"/>
        <v>0.44423371793892152</v>
      </c>
      <c r="DA12" s="172">
        <f t="shared" si="58"/>
        <v>250.90909090909091</v>
      </c>
      <c r="DB12" s="379">
        <f t="shared" si="115"/>
        <v>350</v>
      </c>
      <c r="DD12" s="188">
        <f t="shared" si="59"/>
        <v>13.333333333333332</v>
      </c>
      <c r="DE12" s="150">
        <f t="shared" si="60"/>
        <v>2.318840579710145</v>
      </c>
      <c r="DF12" s="150">
        <f t="shared" si="61"/>
        <v>0.18115218115218115</v>
      </c>
      <c r="DG12" s="150"/>
      <c r="DH12" s="150">
        <f t="shared" si="62"/>
        <v>2.3188405797101455</v>
      </c>
      <c r="DI12" s="314">
        <f t="shared" si="63"/>
        <v>48.477573529411757</v>
      </c>
      <c r="DJ12" s="456">
        <f t="shared" si="64"/>
        <v>0.18115218115218121</v>
      </c>
      <c r="DL12" s="150">
        <f t="shared" si="65"/>
        <v>4.9261208538429777</v>
      </c>
      <c r="DM12" s="150">
        <f t="shared" si="66"/>
        <v>13.333333333333334</v>
      </c>
      <c r="DN12" s="150">
        <f t="shared" si="67"/>
        <v>1.0277014705882352</v>
      </c>
      <c r="DP12" s="314">
        <f t="shared" si="68"/>
        <v>35</v>
      </c>
      <c r="DQ12" s="144">
        <f t="shared" si="69"/>
        <v>48.477573529411757</v>
      </c>
      <c r="DS12">
        <f t="shared" si="116"/>
        <v>35</v>
      </c>
      <c r="DT12" s="144">
        <f t="shared" si="70"/>
        <v>48.477573529411757</v>
      </c>
      <c r="DU12" s="144"/>
      <c r="DV12" s="5">
        <f t="shared" si="117"/>
        <v>20.628095162256656</v>
      </c>
      <c r="DW12" s="5">
        <f t="shared" si="71"/>
        <v>1.666666666666667</v>
      </c>
      <c r="DX12" s="5">
        <f t="shared" si="118"/>
        <v>18.961428495589988</v>
      </c>
      <c r="DY12" s="150">
        <f t="shared" si="119"/>
        <v>8.0795955882352943E-2</v>
      </c>
      <c r="EA12" s="5">
        <f t="shared" si="72"/>
        <v>3.4313725490196081E-2</v>
      </c>
      <c r="EB12" s="5">
        <f t="shared" si="73"/>
        <v>0.48611111111111127</v>
      </c>
      <c r="EC12" s="5">
        <f t="shared" si="74"/>
        <v>15.669513826216724</v>
      </c>
      <c r="ED12" s="5"/>
      <c r="EE12" s="150">
        <f t="shared" si="120"/>
        <v>2.1881289945366627</v>
      </c>
      <c r="EF12" s="150">
        <f t="shared" si="75"/>
        <v>0.34469232243239928</v>
      </c>
      <c r="EG12" s="150">
        <f t="shared" si="76"/>
        <v>0.3279012442256739</v>
      </c>
      <c r="EH12" s="150"/>
      <c r="EI12" s="456">
        <f t="shared" si="77"/>
        <v>1.6278888888888888E-2</v>
      </c>
      <c r="EJ12" s="456">
        <f t="shared" si="78"/>
        <v>0.40527251470588233</v>
      </c>
      <c r="EK12" s="456">
        <f t="shared" si="79"/>
        <v>1.1101364338235293E-2</v>
      </c>
      <c r="EL12" s="456">
        <f t="shared" si="80"/>
        <v>1.4126005131979546E-2</v>
      </c>
      <c r="EM12">
        <f t="shared" si="81"/>
        <v>5.4000000000000003E-3</v>
      </c>
      <c r="EN12" s="144">
        <f t="shared" si="121"/>
        <v>16.501364338235291</v>
      </c>
      <c r="EO12">
        <f t="shared" si="82"/>
        <v>0.45834689652556904</v>
      </c>
      <c r="EP12" s="144">
        <f t="shared" si="122"/>
        <v>458.34689652556904</v>
      </c>
      <c r="EQ12" s="150">
        <f t="shared" si="83"/>
        <v>7.765625000000001E-2</v>
      </c>
      <c r="ER12" s="150">
        <f t="shared" si="84"/>
        <v>2.4850000000000004E-2</v>
      </c>
      <c r="ES12" s="456"/>
      <c r="EU12" s="144">
        <f t="shared" si="123"/>
        <v>102.50625000000002</v>
      </c>
      <c r="EV12" s="456">
        <f t="shared" si="85"/>
        <v>7.1818627450980395E-3</v>
      </c>
      <c r="EW12" s="456">
        <f t="shared" si="124"/>
        <v>2.3762559428768221E-2</v>
      </c>
      <c r="EX12" s="456">
        <f t="shared" si="86"/>
        <v>3.2255767789423511E-3</v>
      </c>
      <c r="EY12" s="456">
        <f t="shared" si="87"/>
        <v>0.53109110814267468</v>
      </c>
      <c r="EZ12" s="456">
        <f t="shared" si="88"/>
        <v>0.57503381924426977</v>
      </c>
      <c r="FA12" s="538">
        <f t="shared" si="89"/>
        <v>8.6182352941176488E-3</v>
      </c>
      <c r="FB12" s="144">
        <f t="shared" si="125"/>
        <v>583.65205453838746</v>
      </c>
      <c r="FC12" s="150">
        <f t="shared" si="126"/>
        <v>1.1445052010639567</v>
      </c>
      <c r="FD12" s="5">
        <f t="shared" si="127"/>
        <v>6.37</v>
      </c>
      <c r="FE12" s="150">
        <f t="shared" si="128"/>
        <v>0.84769387066204849</v>
      </c>
      <c r="FF12" s="5">
        <f t="shared" si="129"/>
        <v>84.769387066204843</v>
      </c>
      <c r="FG12">
        <f t="shared" si="130"/>
        <v>7.0000000000000009</v>
      </c>
      <c r="FI12" s="59">
        <f t="shared" si="90"/>
        <v>-50</v>
      </c>
      <c r="FJ12">
        <f t="shared" si="91"/>
        <v>-50</v>
      </c>
      <c r="FL12">
        <f t="shared" si="92"/>
        <v>0.10921400199696328</v>
      </c>
    </row>
    <row r="13" spans="2:169" s="59" customFormat="1">
      <c r="E13" s="147">
        <v>8</v>
      </c>
      <c r="F13" s="188">
        <f t="shared" si="131"/>
        <v>0.04</v>
      </c>
      <c r="G13" s="188">
        <f t="shared" si="93"/>
        <v>0.04</v>
      </c>
      <c r="H13" s="188">
        <f t="shared" si="0"/>
        <v>6.8</v>
      </c>
      <c r="I13" s="188">
        <f t="shared" si="132"/>
        <v>0.48</v>
      </c>
      <c r="J13" s="465">
        <f t="shared" si="1"/>
        <v>11.959993660274005</v>
      </c>
      <c r="K13" s="379">
        <f t="shared" si="2"/>
        <v>8.6489071312417067</v>
      </c>
      <c r="L13" s="149">
        <f t="shared" si="3"/>
        <v>20.608900791515712</v>
      </c>
      <c r="M13" s="379"/>
      <c r="N13" s="188">
        <f t="shared" si="4"/>
        <v>0.41966853151150574</v>
      </c>
      <c r="O13" s="149">
        <f t="shared" si="94"/>
        <v>156.27648460988988</v>
      </c>
      <c r="P13" s="149">
        <f t="shared" si="5"/>
        <v>11.031281266580462</v>
      </c>
      <c r="Q13" s="188">
        <f t="shared" si="6"/>
        <v>0.91927343888170521</v>
      </c>
      <c r="R13" s="188">
        <f t="shared" si="7"/>
        <v>13.02304038415749</v>
      </c>
      <c r="S13" s="379">
        <f t="shared" si="8"/>
        <v>170</v>
      </c>
      <c r="T13" s="188">
        <f t="shared" si="9"/>
        <v>2.9008416363151563</v>
      </c>
      <c r="U13" s="188">
        <f t="shared" si="10"/>
        <v>0.36381812382775519</v>
      </c>
      <c r="V13" s="188">
        <f t="shared" si="11"/>
        <v>0.50309968513305481</v>
      </c>
      <c r="W13" s="172">
        <f t="shared" si="12"/>
        <v>250.96164881470551</v>
      </c>
      <c r="X13" s="379">
        <f t="shared" si="95"/>
        <v>350</v>
      </c>
      <c r="Z13" s="188">
        <f t="shared" si="13"/>
        <v>13.333333333333332</v>
      </c>
      <c r="AA13" s="150">
        <f t="shared" si="14"/>
        <v>2.3124308882628317</v>
      </c>
      <c r="AB13" s="150">
        <f t="shared" si="15"/>
        <v>0.1806892850605202</v>
      </c>
      <c r="AC13" s="462"/>
      <c r="AD13" s="150">
        <f t="shared" si="16"/>
        <v>2.3124308882628322</v>
      </c>
      <c r="AE13" s="314">
        <f t="shared" si="17"/>
        <v>55.556509337152605</v>
      </c>
      <c r="AF13" s="456">
        <f t="shared" si="18"/>
        <v>0.18068928506052023</v>
      </c>
      <c r="AG13"/>
      <c r="AH13" s="150">
        <f t="shared" si="19"/>
        <v>5.2662447088350666</v>
      </c>
      <c r="AI13" s="150">
        <f t="shared" si="20"/>
        <v>13.333333333333334</v>
      </c>
      <c r="AJ13" s="150">
        <f t="shared" si="21"/>
        <v>1.0317465767640872</v>
      </c>
      <c r="AL13" s="314">
        <f t="shared" si="22"/>
        <v>40</v>
      </c>
      <c r="AM13" s="144">
        <f t="shared" si="23"/>
        <v>55.556509337152605</v>
      </c>
      <c r="AO13">
        <f t="shared" si="96"/>
        <v>40</v>
      </c>
      <c r="AP13" s="144">
        <f t="shared" si="24"/>
        <v>55.556509337152605</v>
      </c>
      <c r="AQ13" s="144"/>
      <c r="AR13" s="5">
        <f t="shared" si="97"/>
        <v>17.999690980067832</v>
      </c>
      <c r="AS13" s="5">
        <f t="shared" si="25"/>
        <v>1.6722416890931528</v>
      </c>
      <c r="AT13" s="5">
        <f t="shared" si="98"/>
        <v>16.32744929097468</v>
      </c>
      <c r="AU13" s="150">
        <f t="shared" si="99"/>
        <v>9.290391101407959E-2</v>
      </c>
      <c r="AW13" s="5">
        <f t="shared" si="26"/>
        <v>3.9346863272780072E-2</v>
      </c>
      <c r="AX13" s="5">
        <f t="shared" si="27"/>
        <v>0.55741389636438443</v>
      </c>
      <c r="AY13" s="5">
        <f t="shared" si="28"/>
        <v>15.471950115855966</v>
      </c>
      <c r="AZ13" s="5"/>
      <c r="BA13" s="150">
        <f t="shared" si="100"/>
        <v>2.3463624930906342</v>
      </c>
      <c r="BB13" s="150">
        <f t="shared" si="29"/>
        <v>0.34241461592357431</v>
      </c>
      <c r="BC13" s="150">
        <f t="shared" si="30"/>
        <v>0.32573449216994427</v>
      </c>
      <c r="BD13" s="150"/>
      <c r="BE13" s="456">
        <f t="shared" si="31"/>
        <v>1.8718417626540487E-2</v>
      </c>
      <c r="BF13" s="456">
        <f t="shared" si="32"/>
        <v>0.36562344283456594</v>
      </c>
      <c r="BG13" s="456">
        <f t="shared" si="33"/>
        <v>3.043206187523588E-2</v>
      </c>
      <c r="BH13" s="456">
        <f t="shared" si="34"/>
        <v>1.6163491513761612E-2</v>
      </c>
      <c r="BI13">
        <f t="shared" si="35"/>
        <v>5.3819971471233017E-3</v>
      </c>
      <c r="BJ13" s="144">
        <f t="shared" si="101"/>
        <v>35.814059022359181</v>
      </c>
      <c r="BK13">
        <f t="shared" si="36"/>
        <v>0.40737110611040889</v>
      </c>
      <c r="BL13" s="144">
        <f t="shared" si="102"/>
        <v>407.3711061104089</v>
      </c>
      <c r="BM13" s="150">
        <f t="shared" si="37"/>
        <v>8.8749999999999996E-2</v>
      </c>
      <c r="BN13" s="150">
        <f t="shared" si="38"/>
        <v>2.8399999999999998E-2</v>
      </c>
      <c r="BO13" s="456"/>
      <c r="BQ13" s="144">
        <f t="shared" si="103"/>
        <v>117.14999999999999</v>
      </c>
      <c r="BR13" s="456">
        <f t="shared" si="39"/>
        <v>8.2581254234737455E-3</v>
      </c>
      <c r="BS13" s="456">
        <f t="shared" si="104"/>
        <v>2.3449553839617783E-2</v>
      </c>
      <c r="BT13" s="456">
        <f t="shared" si="40"/>
        <v>3.1830887816763445E-3</v>
      </c>
      <c r="BU13" s="456">
        <f t="shared" si="41"/>
        <v>0.74671387796299926</v>
      </c>
      <c r="BV13" s="456">
        <f t="shared" si="42"/>
        <v>0.79218963873311188</v>
      </c>
      <c r="BW13" s="538">
        <f t="shared" si="43"/>
        <v>9.8767127710493539E-3</v>
      </c>
      <c r="BX13" s="144">
        <f t="shared" si="105"/>
        <v>802.06635150416128</v>
      </c>
      <c r="BY13" s="150">
        <f t="shared" si="106"/>
        <v>1.32658745761457</v>
      </c>
      <c r="BZ13" s="5">
        <f t="shared" si="107"/>
        <v>7.2799999999999994</v>
      </c>
      <c r="CA13" s="150">
        <f t="shared" si="108"/>
        <v>0.84586371030937602</v>
      </c>
      <c r="CB13" s="5">
        <f t="shared" si="109"/>
        <v>84.586371030937599</v>
      </c>
      <c r="CC13">
        <f t="shared" si="110"/>
        <v>8</v>
      </c>
      <c r="CE13" s="59">
        <f t="shared" si="44"/>
        <v>-50</v>
      </c>
      <c r="CF13">
        <f t="shared" si="45"/>
        <v>-50</v>
      </c>
      <c r="CG13" s="150">
        <f t="shared" si="46"/>
        <v>0.12481600228224377</v>
      </c>
      <c r="CH13" s="150">
        <f t="shared" si="47"/>
        <v>3.3822282641315822E-2</v>
      </c>
      <c r="CI13" s="147">
        <v>8</v>
      </c>
      <c r="CJ13" s="188">
        <f t="shared" si="133"/>
        <v>0.04</v>
      </c>
      <c r="CK13" s="188">
        <f t="shared" si="111"/>
        <v>0.04</v>
      </c>
      <c r="CL13" s="188">
        <f t="shared" si="48"/>
        <v>6.8</v>
      </c>
      <c r="CM13" s="188">
        <f t="shared" si="134"/>
        <v>0.48</v>
      </c>
      <c r="CN13" s="465">
        <f t="shared" si="112"/>
        <v>12</v>
      </c>
      <c r="CO13" s="379">
        <f t="shared" si="49"/>
        <v>8.625</v>
      </c>
      <c r="CP13" s="379">
        <f t="shared" si="50"/>
        <v>20.625</v>
      </c>
      <c r="CQ13" s="379"/>
      <c r="CR13" s="188">
        <f t="shared" si="113"/>
        <v>0.4156318480642805</v>
      </c>
      <c r="CS13" s="149">
        <f t="shared" si="114"/>
        <v>155.29102015588504</v>
      </c>
      <c r="CT13" s="149">
        <f t="shared" si="51"/>
        <v>10.961719069827179</v>
      </c>
      <c r="CU13" s="188">
        <f t="shared" si="52"/>
        <v>0.91347658915226493</v>
      </c>
      <c r="CV13" s="188">
        <f t="shared" si="53"/>
        <v>12.940918346323754</v>
      </c>
      <c r="CW13" s="379">
        <f t="shared" si="54"/>
        <v>170</v>
      </c>
      <c r="CX13" s="188">
        <f t="shared" si="55"/>
        <v>2.9192501464557701</v>
      </c>
      <c r="CY13" s="188">
        <f t="shared" si="56"/>
        <v>0.36490626830697126</v>
      </c>
      <c r="CZ13" s="188">
        <f t="shared" si="57"/>
        <v>0.50769567764448176</v>
      </c>
      <c r="DA13" s="172">
        <f t="shared" si="58"/>
        <v>250.90909090909091</v>
      </c>
      <c r="DB13" s="379">
        <f t="shared" si="115"/>
        <v>350</v>
      </c>
      <c r="DD13" s="188">
        <f t="shared" si="59"/>
        <v>13.333333333333332</v>
      </c>
      <c r="DE13" s="150">
        <f t="shared" si="60"/>
        <v>2.318840579710145</v>
      </c>
      <c r="DF13" s="150">
        <f t="shared" si="61"/>
        <v>0.18115218115218115</v>
      </c>
      <c r="DG13" s="462"/>
      <c r="DH13" s="150">
        <f t="shared" si="62"/>
        <v>2.3188405797101455</v>
      </c>
      <c r="DI13" s="314">
        <f t="shared" si="63"/>
        <v>55.402941176470577</v>
      </c>
      <c r="DJ13" s="456">
        <f t="shared" si="64"/>
        <v>0.18115218115218121</v>
      </c>
      <c r="DK13"/>
      <c r="DL13" s="150">
        <f t="shared" si="65"/>
        <v>5.2662447088350666</v>
      </c>
      <c r="DM13" s="150">
        <f t="shared" si="66"/>
        <v>13.333333333333334</v>
      </c>
      <c r="DN13" s="150">
        <f t="shared" si="67"/>
        <v>1.0316588235294117</v>
      </c>
      <c r="DP13" s="314">
        <f t="shared" si="68"/>
        <v>40</v>
      </c>
      <c r="DQ13" s="144">
        <f t="shared" si="69"/>
        <v>55.402941176470577</v>
      </c>
      <c r="DS13">
        <f t="shared" si="116"/>
        <v>40</v>
      </c>
      <c r="DT13" s="144">
        <f t="shared" si="70"/>
        <v>55.402941176470577</v>
      </c>
      <c r="DU13" s="144"/>
      <c r="DV13" s="5">
        <f t="shared" si="117"/>
        <v>18.049583266974576</v>
      </c>
      <c r="DW13" s="5">
        <f t="shared" si="71"/>
        <v>1.666666666666667</v>
      </c>
      <c r="DX13" s="5">
        <f t="shared" si="118"/>
        <v>16.382916600307908</v>
      </c>
      <c r="DY13" s="150">
        <f t="shared" si="119"/>
        <v>9.2338235294117638E-2</v>
      </c>
      <c r="EA13" s="5">
        <f t="shared" si="72"/>
        <v>3.921568627450981E-2</v>
      </c>
      <c r="EB13" s="5">
        <f t="shared" si="73"/>
        <v>0.55555555555555569</v>
      </c>
      <c r="EC13" s="5">
        <f t="shared" si="74"/>
        <v>15.472754566957468</v>
      </c>
      <c r="ED13" s="5"/>
      <c r="EE13" s="150">
        <f t="shared" si="120"/>
        <v>2.3392082901778117</v>
      </c>
      <c r="EF13" s="150">
        <f t="shared" si="75"/>
        <v>0.34252136616119327</v>
      </c>
      <c r="EG13" s="150">
        <f t="shared" si="76"/>
        <v>0.32583604225812041</v>
      </c>
      <c r="EH13" s="150"/>
      <c r="EI13" s="456">
        <f t="shared" si="77"/>
        <v>1.8604444444444444E-2</v>
      </c>
      <c r="EJ13" s="456">
        <f t="shared" si="78"/>
        <v>0.46316858823529405</v>
      </c>
      <c r="EK13" s="456">
        <f t="shared" si="79"/>
        <v>1.2687273529411763E-2</v>
      </c>
      <c r="EL13" s="456">
        <f t="shared" si="80"/>
        <v>1.6144005865119482E-2</v>
      </c>
      <c r="EM13">
        <f t="shared" si="81"/>
        <v>5.4000000000000003E-3</v>
      </c>
      <c r="EN13" s="144">
        <f t="shared" si="121"/>
        <v>18.087273529411764</v>
      </c>
      <c r="EO13">
        <f t="shared" si="82"/>
        <v>0.5233408965468197</v>
      </c>
      <c r="EP13" s="144">
        <f t="shared" si="122"/>
        <v>523.34089654681975</v>
      </c>
      <c r="EQ13" s="150">
        <f t="shared" si="83"/>
        <v>8.8749999999999996E-2</v>
      </c>
      <c r="ER13" s="150">
        <f t="shared" si="84"/>
        <v>2.8399999999999998E-2</v>
      </c>
      <c r="ES13" s="456"/>
      <c r="EU13" s="144">
        <f t="shared" si="123"/>
        <v>117.14999999999999</v>
      </c>
      <c r="EV13" s="456">
        <f t="shared" si="85"/>
        <v>8.207843137254903E-3</v>
      </c>
      <c r="EW13" s="456">
        <f t="shared" si="124"/>
        <v>2.3464177255386048E-2</v>
      </c>
      <c r="EX13" s="456">
        <f t="shared" si="86"/>
        <v>3.1850737930330685E-3</v>
      </c>
      <c r="EY13" s="456">
        <f t="shared" si="87"/>
        <v>0.74156444280611111</v>
      </c>
      <c r="EZ13" s="456">
        <f t="shared" si="88"/>
        <v>0.78698179147056291</v>
      </c>
      <c r="FA13" s="538">
        <f t="shared" si="89"/>
        <v>9.8494117647058826E-3</v>
      </c>
      <c r="FB13" s="144">
        <f t="shared" si="125"/>
        <v>796.83120323526884</v>
      </c>
      <c r="FC13" s="150">
        <f t="shared" si="126"/>
        <v>1.4373220997820884</v>
      </c>
      <c r="FD13" s="5">
        <f t="shared" si="127"/>
        <v>7.2799999999999994</v>
      </c>
      <c r="FE13" s="150">
        <f t="shared" si="128"/>
        <v>0.83511884919131096</v>
      </c>
      <c r="FF13" s="5">
        <f t="shared" si="129"/>
        <v>83.511884919131091</v>
      </c>
      <c r="FG13">
        <f t="shared" si="130"/>
        <v>8</v>
      </c>
      <c r="FI13" s="59">
        <f t="shared" si="90"/>
        <v>-50</v>
      </c>
      <c r="FJ13">
        <f t="shared" si="91"/>
        <v>-50</v>
      </c>
      <c r="FL13">
        <f t="shared" si="92"/>
        <v>0.12481600228224375</v>
      </c>
    </row>
    <row r="14" spans="2:169">
      <c r="E14" s="147">
        <v>9</v>
      </c>
      <c r="F14" s="188">
        <f t="shared" si="131"/>
        <v>4.4999999999999998E-2</v>
      </c>
      <c r="G14" s="188">
        <f t="shared" si="93"/>
        <v>4.4999999999999998E-2</v>
      </c>
      <c r="H14" s="188">
        <f t="shared" si="0"/>
        <v>7.6499999999999995</v>
      </c>
      <c r="I14" s="188">
        <f t="shared" si="132"/>
        <v>0.54</v>
      </c>
      <c r="J14" s="465">
        <f t="shared" si="1"/>
        <v>11.959993660274005</v>
      </c>
      <c r="K14" s="379">
        <f t="shared" si="2"/>
        <v>8.6489071312417067</v>
      </c>
      <c r="L14" s="149">
        <f t="shared" si="3"/>
        <v>20.608900791515712</v>
      </c>
      <c r="M14" s="379"/>
      <c r="N14" s="188">
        <f t="shared" si="4"/>
        <v>0.41966853151150574</v>
      </c>
      <c r="O14" s="149">
        <f t="shared" si="94"/>
        <v>156.27648460988988</v>
      </c>
      <c r="P14" s="149">
        <f t="shared" si="5"/>
        <v>11.031281266580462</v>
      </c>
      <c r="Q14" s="188">
        <f t="shared" si="6"/>
        <v>0.91927343888170521</v>
      </c>
      <c r="R14" s="188">
        <f t="shared" si="7"/>
        <v>13.02304038415749</v>
      </c>
      <c r="S14" s="379">
        <f t="shared" si="8"/>
        <v>170</v>
      </c>
      <c r="T14" s="188">
        <f t="shared" si="9"/>
        <v>3.2634468408545509</v>
      </c>
      <c r="U14" s="188">
        <f t="shared" si="10"/>
        <v>0.40929538930622456</v>
      </c>
      <c r="V14" s="188">
        <f t="shared" si="11"/>
        <v>0.56598714577468656</v>
      </c>
      <c r="W14" s="172">
        <f t="shared" si="12"/>
        <v>250.96164881470551</v>
      </c>
      <c r="X14" s="379">
        <f t="shared" si="95"/>
        <v>350</v>
      </c>
      <c r="Z14" s="188">
        <f t="shared" si="13"/>
        <v>13.333333333333332</v>
      </c>
      <c r="AA14" s="150">
        <f t="shared" si="14"/>
        <v>2.3124308882628317</v>
      </c>
      <c r="AB14" s="150">
        <f t="shared" si="15"/>
        <v>0.1806892850605202</v>
      </c>
      <c r="AC14" s="150"/>
      <c r="AD14" s="150">
        <f t="shared" si="16"/>
        <v>2.3124308882628322</v>
      </c>
      <c r="AE14" s="314">
        <f t="shared" si="17"/>
        <v>62.501073004296671</v>
      </c>
      <c r="AF14" s="456">
        <f t="shared" si="18"/>
        <v>0.18068928506052023</v>
      </c>
      <c r="AH14" s="150">
        <f t="shared" si="19"/>
        <v>5.5856960175075763</v>
      </c>
      <c r="AI14" s="150">
        <f t="shared" si="20"/>
        <v>13.333333333333334</v>
      </c>
      <c r="AJ14" s="150">
        <f t="shared" si="21"/>
        <v>1.0357148988595981</v>
      </c>
      <c r="AL14" s="314">
        <f t="shared" si="22"/>
        <v>45</v>
      </c>
      <c r="AM14" s="144">
        <f t="shared" si="23"/>
        <v>62.501073004296671</v>
      </c>
      <c r="AO14">
        <f t="shared" si="96"/>
        <v>45</v>
      </c>
      <c r="AP14" s="144">
        <f t="shared" si="24"/>
        <v>62.501073004296671</v>
      </c>
      <c r="AQ14" s="144"/>
      <c r="AR14" s="5">
        <f t="shared" si="97"/>
        <v>15.999725315615851</v>
      </c>
      <c r="AS14" s="5">
        <f t="shared" si="25"/>
        <v>1.6722416890931528</v>
      </c>
      <c r="AT14" s="5">
        <f t="shared" si="98"/>
        <v>14.327483626522699</v>
      </c>
      <c r="AU14" s="150">
        <f t="shared" si="99"/>
        <v>0.10451689989083952</v>
      </c>
      <c r="AW14" s="5">
        <f t="shared" si="26"/>
        <v>4.4265221181877576E-2</v>
      </c>
      <c r="AX14" s="5">
        <f t="shared" si="27"/>
        <v>0.62709063340993232</v>
      </c>
      <c r="AY14" s="5">
        <f t="shared" si="28"/>
        <v>15.273872330295138</v>
      </c>
      <c r="AZ14" s="5"/>
      <c r="BA14" s="150">
        <f t="shared" si="100"/>
        <v>2.4886932449792414</v>
      </c>
      <c r="BB14" s="150">
        <f t="shared" si="29"/>
        <v>0.34021569437097238</v>
      </c>
      <c r="BC14" s="150">
        <f t="shared" si="30"/>
        <v>0.32364268720032746</v>
      </c>
      <c r="BD14" s="150"/>
      <c r="BE14" s="456">
        <f t="shared" si="31"/>
        <v>2.1058219829858039E-2</v>
      </c>
      <c r="BF14" s="456">
        <f t="shared" si="32"/>
        <v>0.41132637318888665</v>
      </c>
      <c r="BG14" s="456">
        <f t="shared" si="33"/>
        <v>3.423606960964036E-2</v>
      </c>
      <c r="BH14" s="456">
        <f t="shared" si="34"/>
        <v>1.8183927952981807E-2</v>
      </c>
      <c r="BI14">
        <f t="shared" si="35"/>
        <v>5.3819971471233017E-3</v>
      </c>
      <c r="BJ14" s="144">
        <f t="shared" si="101"/>
        <v>39.61806675676366</v>
      </c>
      <c r="BK14">
        <f t="shared" si="36"/>
        <v>0.45854855732408417</v>
      </c>
      <c r="BL14" s="144">
        <f t="shared" si="102"/>
        <v>458.54855732408419</v>
      </c>
      <c r="BM14" s="150">
        <f t="shared" si="37"/>
        <v>9.9843749999999981E-2</v>
      </c>
      <c r="BN14" s="150">
        <f t="shared" si="38"/>
        <v>3.1949999999999999E-2</v>
      </c>
      <c r="BO14" s="456"/>
      <c r="BQ14" s="144">
        <f t="shared" si="103"/>
        <v>131.79374999999999</v>
      </c>
      <c r="BR14" s="456">
        <f t="shared" si="39"/>
        <v>9.2903911014079604E-3</v>
      </c>
      <c r="BS14" s="456">
        <f t="shared" si="104"/>
        <v>2.3149343739264579E-2</v>
      </c>
      <c r="BT14" s="456">
        <f t="shared" si="40"/>
        <v>3.1423376693474701E-3</v>
      </c>
      <c r="BU14" s="456">
        <f t="shared" si="41"/>
        <v>1.0023872386831185</v>
      </c>
      <c r="BV14" s="456">
        <f t="shared" si="42"/>
        <v>1.0494964693532662</v>
      </c>
      <c r="BW14" s="538">
        <f t="shared" si="43"/>
        <v>1.1111301867430522E-2</v>
      </c>
      <c r="BX14" s="144">
        <f t="shared" si="105"/>
        <v>1060.6077712206968</v>
      </c>
      <c r="BY14" s="150">
        <f t="shared" si="106"/>
        <v>1.650950078544781</v>
      </c>
      <c r="BZ14" s="5">
        <f t="shared" si="107"/>
        <v>8.19</v>
      </c>
      <c r="CA14" s="150">
        <f t="shared" si="108"/>
        <v>0.83223671847048797</v>
      </c>
      <c r="CB14" s="5">
        <f t="shared" si="109"/>
        <v>83.223671847048792</v>
      </c>
      <c r="CC14">
        <f t="shared" si="110"/>
        <v>9</v>
      </c>
      <c r="CE14" s="59">
        <f t="shared" si="44"/>
        <v>-50</v>
      </c>
      <c r="CF14">
        <f t="shared" si="45"/>
        <v>-50</v>
      </c>
      <c r="CG14" s="150">
        <f t="shared" si="46"/>
        <v>0.14041800256752421</v>
      </c>
      <c r="CH14" s="150">
        <f t="shared" si="47"/>
        <v>3.8050067971480292E-2</v>
      </c>
      <c r="CI14" s="147">
        <v>9</v>
      </c>
      <c r="CJ14" s="188">
        <f t="shared" si="133"/>
        <v>4.4999999999999998E-2</v>
      </c>
      <c r="CK14" s="188">
        <f t="shared" si="111"/>
        <v>4.4999999999999998E-2</v>
      </c>
      <c r="CL14" s="188">
        <f t="shared" si="48"/>
        <v>7.6499999999999995</v>
      </c>
      <c r="CM14" s="188">
        <f t="shared" si="134"/>
        <v>0.54</v>
      </c>
      <c r="CN14" s="465">
        <f t="shared" si="112"/>
        <v>12</v>
      </c>
      <c r="CO14" s="379">
        <f t="shared" si="49"/>
        <v>8.625</v>
      </c>
      <c r="CP14" s="379">
        <f t="shared" si="50"/>
        <v>20.625</v>
      </c>
      <c r="CQ14" s="379"/>
      <c r="CR14" s="188">
        <f t="shared" si="113"/>
        <v>0.4156318480642805</v>
      </c>
      <c r="CS14" s="149">
        <f t="shared" si="114"/>
        <v>155.29102015588504</v>
      </c>
      <c r="CT14" s="149">
        <f t="shared" si="51"/>
        <v>10.961719069827179</v>
      </c>
      <c r="CU14" s="188">
        <f t="shared" si="52"/>
        <v>0.91347658915226493</v>
      </c>
      <c r="CV14" s="188">
        <f t="shared" si="53"/>
        <v>12.940918346323754</v>
      </c>
      <c r="CW14" s="379">
        <f t="shared" si="54"/>
        <v>170</v>
      </c>
      <c r="CX14" s="188">
        <f t="shared" si="55"/>
        <v>3.2841564147627413</v>
      </c>
      <c r="CY14" s="188">
        <f t="shared" si="56"/>
        <v>0.41051955184534272</v>
      </c>
      <c r="CZ14" s="188">
        <f t="shared" si="57"/>
        <v>0.5711576373500421</v>
      </c>
      <c r="DA14" s="172">
        <f t="shared" si="58"/>
        <v>250.90909090909091</v>
      </c>
      <c r="DB14" s="379">
        <f t="shared" si="115"/>
        <v>350</v>
      </c>
      <c r="DD14" s="188">
        <f t="shared" si="59"/>
        <v>13.333333333333332</v>
      </c>
      <c r="DE14" s="150">
        <f t="shared" si="60"/>
        <v>2.318840579710145</v>
      </c>
      <c r="DF14" s="150">
        <f t="shared" si="61"/>
        <v>0.18115218115218115</v>
      </c>
      <c r="DG14" s="150"/>
      <c r="DH14" s="150">
        <f t="shared" si="62"/>
        <v>2.3188405797101455</v>
      </c>
      <c r="DI14" s="314">
        <f t="shared" si="63"/>
        <v>62.32830882352939</v>
      </c>
      <c r="DJ14" s="456">
        <f t="shared" si="64"/>
        <v>0.18115218115218121</v>
      </c>
      <c r="DL14" s="150">
        <f t="shared" si="65"/>
        <v>5.5856960175075763</v>
      </c>
      <c r="DM14" s="150">
        <f t="shared" si="66"/>
        <v>13.333333333333334</v>
      </c>
      <c r="DN14" s="150">
        <f t="shared" si="67"/>
        <v>1.0356161764705882</v>
      </c>
      <c r="DP14" s="314">
        <f t="shared" si="68"/>
        <v>45</v>
      </c>
      <c r="DQ14" s="144">
        <f t="shared" si="69"/>
        <v>62.32830882352939</v>
      </c>
      <c r="DS14">
        <f t="shared" si="116"/>
        <v>45</v>
      </c>
      <c r="DT14" s="144">
        <f t="shared" si="70"/>
        <v>62.32830882352939</v>
      </c>
      <c r="DU14" s="144"/>
      <c r="DV14" s="5">
        <f t="shared" si="117"/>
        <v>16.044074015088512</v>
      </c>
      <c r="DW14" s="5">
        <f t="shared" si="71"/>
        <v>1.666666666666667</v>
      </c>
      <c r="DX14" s="5">
        <f t="shared" si="118"/>
        <v>14.377407348421844</v>
      </c>
      <c r="DY14" s="150">
        <f t="shared" si="119"/>
        <v>0.10388051470588235</v>
      </c>
      <c r="EA14" s="5">
        <f t="shared" si="72"/>
        <v>4.4117647058823539E-2</v>
      </c>
      <c r="EB14" s="5">
        <f t="shared" si="73"/>
        <v>0.62500000000000011</v>
      </c>
      <c r="EC14" s="5">
        <f t="shared" si="74"/>
        <v>15.275995307698205</v>
      </c>
      <c r="ED14" s="5"/>
      <c r="EE14" s="150">
        <f t="shared" si="120"/>
        <v>2.4811050668887797</v>
      </c>
      <c r="EF14" s="150">
        <f t="shared" si="75"/>
        <v>0.34033656196479883</v>
      </c>
      <c r="EG14" s="150">
        <f t="shared" si="76"/>
        <v>0.32375766694261654</v>
      </c>
      <c r="EH14" s="150"/>
      <c r="EI14" s="456">
        <f t="shared" si="77"/>
        <v>2.0929999999999997E-2</v>
      </c>
      <c r="EJ14" s="456">
        <f t="shared" si="78"/>
        <v>0.52106466176470578</v>
      </c>
      <c r="EK14" s="456">
        <f t="shared" si="79"/>
        <v>1.427318272058823E-2</v>
      </c>
      <c r="EL14" s="456">
        <f t="shared" si="80"/>
        <v>1.8162006598259416E-2</v>
      </c>
      <c r="EM14">
        <f t="shared" si="81"/>
        <v>5.4000000000000003E-3</v>
      </c>
      <c r="EN14" s="144">
        <f t="shared" si="121"/>
        <v>19.673182720588233</v>
      </c>
      <c r="EO14">
        <f t="shared" si="82"/>
        <v>0.58840708066668224</v>
      </c>
      <c r="EP14" s="144">
        <f t="shared" si="122"/>
        <v>588.40708066668219</v>
      </c>
      <c r="EQ14" s="150">
        <f t="shared" si="83"/>
        <v>9.9843749999999981E-2</v>
      </c>
      <c r="ER14" s="150">
        <f t="shared" si="84"/>
        <v>3.1949999999999999E-2</v>
      </c>
      <c r="ES14" s="456"/>
      <c r="EU14" s="144">
        <f t="shared" si="123"/>
        <v>131.79374999999999</v>
      </c>
      <c r="EV14" s="456">
        <f t="shared" si="85"/>
        <v>9.2338235294117648E-3</v>
      </c>
      <c r="EW14" s="456">
        <f t="shared" si="124"/>
        <v>2.3165795082003872E-2</v>
      </c>
      <c r="EX14" s="456">
        <f t="shared" si="86"/>
        <v>3.1445708071237864E-3</v>
      </c>
      <c r="EY14" s="456">
        <f t="shared" si="87"/>
        <v>0.99547464707336497</v>
      </c>
      <c r="EZ14" s="456">
        <f t="shared" si="88"/>
        <v>1.042513866780538</v>
      </c>
      <c r="FA14" s="538">
        <f t="shared" si="89"/>
        <v>1.1080588235294116E-2</v>
      </c>
      <c r="FB14" s="144">
        <f t="shared" si="125"/>
        <v>1053.594455015832</v>
      </c>
      <c r="FC14" s="150">
        <f t="shared" si="126"/>
        <v>1.7737952856825143</v>
      </c>
      <c r="FD14" s="5">
        <f t="shared" si="127"/>
        <v>8.19</v>
      </c>
      <c r="FE14" s="150">
        <f t="shared" si="128"/>
        <v>0.82197594040983846</v>
      </c>
      <c r="FF14" s="5">
        <f t="shared" si="129"/>
        <v>82.197594040983844</v>
      </c>
      <c r="FG14">
        <f t="shared" si="130"/>
        <v>9</v>
      </c>
      <c r="FI14" s="59">
        <f t="shared" si="90"/>
        <v>-50</v>
      </c>
      <c r="FJ14">
        <f t="shared" si="91"/>
        <v>-50</v>
      </c>
      <c r="FL14">
        <f t="shared" si="92"/>
        <v>0.14041800256752418</v>
      </c>
    </row>
    <row r="15" spans="2:169">
      <c r="E15" s="147">
        <v>10</v>
      </c>
      <c r="F15" s="188">
        <f t="shared" si="131"/>
        <v>0.05</v>
      </c>
      <c r="G15" s="188">
        <f t="shared" si="93"/>
        <v>0.05</v>
      </c>
      <c r="H15" s="188">
        <f t="shared" si="0"/>
        <v>8.5</v>
      </c>
      <c r="I15" s="188">
        <f t="shared" si="132"/>
        <v>0.60000000000000009</v>
      </c>
      <c r="J15" s="465">
        <f t="shared" si="1"/>
        <v>11.959993660274005</v>
      </c>
      <c r="K15" s="379">
        <f t="shared" si="2"/>
        <v>8.6489071312417067</v>
      </c>
      <c r="L15" s="149">
        <f t="shared" si="3"/>
        <v>20.608900791515712</v>
      </c>
      <c r="M15" s="379"/>
      <c r="N15" s="188">
        <f t="shared" si="4"/>
        <v>0.41966853151150574</v>
      </c>
      <c r="O15" s="149">
        <f t="shared" si="94"/>
        <v>156.27648460988988</v>
      </c>
      <c r="P15" s="149">
        <f t="shared" si="5"/>
        <v>11.031281266580462</v>
      </c>
      <c r="Q15" s="188">
        <f t="shared" si="6"/>
        <v>0.91927343888170521</v>
      </c>
      <c r="R15" s="188">
        <f t="shared" si="7"/>
        <v>13.02304038415749</v>
      </c>
      <c r="S15" s="379">
        <f t="shared" si="8"/>
        <v>170</v>
      </c>
      <c r="T15" s="188">
        <f t="shared" si="9"/>
        <v>3.6260520453939455</v>
      </c>
      <c r="U15" s="188">
        <f t="shared" si="10"/>
        <v>0.45477265478469397</v>
      </c>
      <c r="V15" s="188">
        <f t="shared" si="11"/>
        <v>0.62887460641631854</v>
      </c>
      <c r="W15" s="172">
        <f t="shared" si="12"/>
        <v>250.96164881470551</v>
      </c>
      <c r="X15" s="379">
        <f t="shared" si="95"/>
        <v>350</v>
      </c>
      <c r="Z15" s="188">
        <f t="shared" si="13"/>
        <v>13.333333333333332</v>
      </c>
      <c r="AA15" s="150">
        <f t="shared" si="14"/>
        <v>2.3124308882628317</v>
      </c>
      <c r="AB15" s="150">
        <f t="shared" si="15"/>
        <v>0.1806892850605202</v>
      </c>
      <c r="AC15" s="150"/>
      <c r="AD15" s="150">
        <f t="shared" si="16"/>
        <v>2.3124308882628322</v>
      </c>
      <c r="AE15" s="314">
        <f t="shared" si="17"/>
        <v>69.445636671440752</v>
      </c>
      <c r="AF15" s="456">
        <f t="shared" si="18"/>
        <v>0.18068928506052023</v>
      </c>
      <c r="AH15" s="150">
        <f t="shared" si="19"/>
        <v>5.8878405775518976</v>
      </c>
      <c r="AI15" s="150">
        <f t="shared" si="20"/>
        <v>13.333333333333334</v>
      </c>
      <c r="AJ15" s="150">
        <f t="shared" si="21"/>
        <v>1.039683220955109</v>
      </c>
      <c r="AL15" s="314">
        <f t="shared" si="22"/>
        <v>50</v>
      </c>
      <c r="AM15" s="144">
        <f t="shared" si="23"/>
        <v>69.445636671440752</v>
      </c>
      <c r="AO15">
        <f t="shared" si="96"/>
        <v>50</v>
      </c>
      <c r="AP15" s="144">
        <f t="shared" si="24"/>
        <v>69.445636671440752</v>
      </c>
      <c r="AQ15" s="144"/>
      <c r="AR15" s="5">
        <f t="shared" si="97"/>
        <v>14.399752784054266</v>
      </c>
      <c r="AS15" s="5">
        <f t="shared" si="25"/>
        <v>1.6722416890931528</v>
      </c>
      <c r="AT15" s="5">
        <f t="shared" si="98"/>
        <v>12.727511094961113</v>
      </c>
      <c r="AU15" s="150">
        <f t="shared" si="99"/>
        <v>0.11612988876759948</v>
      </c>
      <c r="AW15" s="5">
        <f t="shared" si="26"/>
        <v>4.9183579090975087E-2</v>
      </c>
      <c r="AX15" s="5">
        <f t="shared" si="27"/>
        <v>0.69676737045548032</v>
      </c>
      <c r="AY15" s="5">
        <f t="shared" si="28"/>
        <v>15.075794544734306</v>
      </c>
      <c r="AZ15" s="5"/>
      <c r="BA15" s="150">
        <f t="shared" si="100"/>
        <v>2.623313017203269</v>
      </c>
      <c r="BB15" s="150">
        <f t="shared" si="29"/>
        <v>0.33800246773441889</v>
      </c>
      <c r="BC15" s="150">
        <f t="shared" si="30"/>
        <v>0.32153727399367971</v>
      </c>
      <c r="BD15" s="150"/>
      <c r="BE15" s="456">
        <f t="shared" si="31"/>
        <v>2.3398022033175602E-2</v>
      </c>
      <c r="BF15" s="456">
        <f t="shared" si="32"/>
        <v>0.45702930354320737</v>
      </c>
      <c r="BG15" s="456">
        <f t="shared" si="33"/>
        <v>3.8040077344044854E-2</v>
      </c>
      <c r="BH15" s="456">
        <f t="shared" si="34"/>
        <v>2.0204364392202013E-2</v>
      </c>
      <c r="BI15">
        <f t="shared" si="35"/>
        <v>5.3819971471233017E-3</v>
      </c>
      <c r="BJ15" s="144">
        <f t="shared" si="101"/>
        <v>43.422074491168154</v>
      </c>
      <c r="BK15">
        <f t="shared" si="36"/>
        <v>0.5097832295281689</v>
      </c>
      <c r="BL15" s="144">
        <f t="shared" si="102"/>
        <v>509.78322952816887</v>
      </c>
      <c r="BM15" s="150">
        <f t="shared" si="37"/>
        <v>0.11093749999999999</v>
      </c>
      <c r="BN15" s="150">
        <f t="shared" si="38"/>
        <v>3.5500000000000004E-2</v>
      </c>
      <c r="BO15" s="456"/>
      <c r="BQ15" s="144">
        <f t="shared" si="103"/>
        <v>146.4375</v>
      </c>
      <c r="BR15" s="456">
        <f t="shared" si="39"/>
        <v>1.0322656779342179E-2</v>
      </c>
      <c r="BS15" s="456">
        <f t="shared" si="104"/>
        <v>2.2849133638911376E-2</v>
      </c>
      <c r="BT15" s="456">
        <f t="shared" si="40"/>
        <v>3.1015865570185996E-3</v>
      </c>
      <c r="BU15" s="456">
        <f t="shared" si="41"/>
        <v>1.3044554616154278</v>
      </c>
      <c r="BV15" s="456">
        <f t="shared" si="42"/>
        <v>1.3533617290793893</v>
      </c>
      <c r="BW15" s="538">
        <f t="shared" si="43"/>
        <v>1.2345890963811692E-2</v>
      </c>
      <c r="BX15" s="144">
        <f t="shared" si="105"/>
        <v>1365.7076200432009</v>
      </c>
      <c r="BY15" s="150">
        <f t="shared" si="106"/>
        <v>2.02192834957137</v>
      </c>
      <c r="BZ15" s="5">
        <f t="shared" si="107"/>
        <v>9.1</v>
      </c>
      <c r="CA15" s="150">
        <f t="shared" si="108"/>
        <v>0.81820343684831476</v>
      </c>
      <c r="CB15" s="5">
        <f t="shared" si="109"/>
        <v>81.820343684831471</v>
      </c>
      <c r="CC15">
        <f t="shared" si="110"/>
        <v>10</v>
      </c>
      <c r="CE15" s="59">
        <f t="shared" si="44"/>
        <v>-50</v>
      </c>
      <c r="CF15">
        <f t="shared" si="45"/>
        <v>-50</v>
      </c>
      <c r="CG15" s="150">
        <f t="shared" si="46"/>
        <v>0.15602000285280468</v>
      </c>
      <c r="CH15" s="150">
        <f t="shared" si="47"/>
        <v>4.2277853301644776E-2</v>
      </c>
      <c r="CI15" s="147">
        <v>10</v>
      </c>
      <c r="CJ15" s="188">
        <f t="shared" si="133"/>
        <v>0.05</v>
      </c>
      <c r="CK15" s="188">
        <f t="shared" si="111"/>
        <v>0.05</v>
      </c>
      <c r="CL15" s="188">
        <f t="shared" si="48"/>
        <v>8.5</v>
      </c>
      <c r="CM15" s="188">
        <f t="shared" si="134"/>
        <v>0.60000000000000009</v>
      </c>
      <c r="CN15" s="465">
        <f t="shared" si="112"/>
        <v>12</v>
      </c>
      <c r="CO15" s="379">
        <f t="shared" si="49"/>
        <v>8.625</v>
      </c>
      <c r="CP15" s="379">
        <f t="shared" si="50"/>
        <v>20.625</v>
      </c>
      <c r="CQ15" s="379"/>
      <c r="CR15" s="188">
        <f t="shared" si="113"/>
        <v>0.4156318480642805</v>
      </c>
      <c r="CS15" s="149">
        <f t="shared" si="114"/>
        <v>155.29102015588504</v>
      </c>
      <c r="CT15" s="149">
        <f t="shared" si="51"/>
        <v>10.961719069827179</v>
      </c>
      <c r="CU15" s="188">
        <f t="shared" si="52"/>
        <v>0.91347658915226493</v>
      </c>
      <c r="CV15" s="188">
        <f t="shared" si="53"/>
        <v>12.940918346323754</v>
      </c>
      <c r="CW15" s="379">
        <f t="shared" si="54"/>
        <v>170</v>
      </c>
      <c r="CX15" s="188">
        <f t="shared" si="55"/>
        <v>3.6490626830697126</v>
      </c>
      <c r="CY15" s="188">
        <f t="shared" si="56"/>
        <v>0.45613283538371407</v>
      </c>
      <c r="CZ15" s="188">
        <f t="shared" si="57"/>
        <v>0.63461959705560222</v>
      </c>
      <c r="DA15" s="172">
        <f t="shared" si="58"/>
        <v>250.90909090909091</v>
      </c>
      <c r="DB15" s="379">
        <f t="shared" si="115"/>
        <v>350</v>
      </c>
      <c r="DD15" s="188">
        <f t="shared" si="59"/>
        <v>13.333333333333332</v>
      </c>
      <c r="DE15" s="150">
        <f t="shared" si="60"/>
        <v>2.318840579710145</v>
      </c>
      <c r="DF15" s="150">
        <f t="shared" si="61"/>
        <v>0.18115218115218115</v>
      </c>
      <c r="DG15" s="150"/>
      <c r="DH15" s="150">
        <f t="shared" si="62"/>
        <v>2.3188405797101455</v>
      </c>
      <c r="DI15" s="314">
        <f t="shared" si="63"/>
        <v>69.253676470588204</v>
      </c>
      <c r="DJ15" s="456">
        <f t="shared" si="64"/>
        <v>0.18115218115218121</v>
      </c>
      <c r="DL15" s="150">
        <f t="shared" si="65"/>
        <v>5.8878405775518976</v>
      </c>
      <c r="DM15" s="150">
        <f t="shared" si="66"/>
        <v>13.333333333333334</v>
      </c>
      <c r="DN15" s="150">
        <f t="shared" si="67"/>
        <v>1.0395735294117647</v>
      </c>
      <c r="DP15" s="314">
        <f t="shared" si="68"/>
        <v>50</v>
      </c>
      <c r="DQ15" s="144">
        <f t="shared" si="69"/>
        <v>69.253676470588204</v>
      </c>
      <c r="DS15">
        <f t="shared" si="116"/>
        <v>50</v>
      </c>
      <c r="DT15" s="144">
        <f t="shared" si="70"/>
        <v>69.253676470588204</v>
      </c>
      <c r="DU15" s="144"/>
      <c r="DV15" s="5">
        <f t="shared" si="117"/>
        <v>14.439666613579663</v>
      </c>
      <c r="DW15" s="5">
        <f t="shared" si="71"/>
        <v>1.666666666666667</v>
      </c>
      <c r="DX15" s="5">
        <f t="shared" si="118"/>
        <v>12.772999946912996</v>
      </c>
      <c r="DY15" s="150">
        <f t="shared" si="119"/>
        <v>0.11542279411764704</v>
      </c>
      <c r="EA15" s="5">
        <f t="shared" si="72"/>
        <v>4.9019607843137268E-2</v>
      </c>
      <c r="EB15" s="5">
        <f t="shared" si="73"/>
        <v>0.69444444444444464</v>
      </c>
      <c r="EC15" s="5">
        <f t="shared" si="74"/>
        <v>15.079236048438952</v>
      </c>
      <c r="ED15" s="5"/>
      <c r="EE15" s="150">
        <f t="shared" si="120"/>
        <v>2.6153143751843202</v>
      </c>
      <c r="EF15" s="150">
        <f t="shared" si="75"/>
        <v>0.33813764141708408</v>
      </c>
      <c r="EG15" s="150">
        <f t="shared" si="76"/>
        <v>0.32166586292893562</v>
      </c>
      <c r="EH15" s="150"/>
      <c r="EI15" s="456">
        <f t="shared" si="77"/>
        <v>2.3255555555555554E-2</v>
      </c>
      <c r="EJ15" s="456">
        <f t="shared" si="78"/>
        <v>0.5789607352941174</v>
      </c>
      <c r="EK15" s="456">
        <f t="shared" si="79"/>
        <v>1.5859091911764701E-2</v>
      </c>
      <c r="EL15" s="456">
        <f t="shared" si="80"/>
        <v>2.0180007331399345E-2</v>
      </c>
      <c r="EM15">
        <f t="shared" si="81"/>
        <v>5.4000000000000003E-3</v>
      </c>
      <c r="EN15" s="144">
        <f t="shared" si="121"/>
        <v>21.259091911764699</v>
      </c>
      <c r="EO15">
        <f t="shared" si="82"/>
        <v>0.65354556920639828</v>
      </c>
      <c r="EP15" s="144">
        <f t="shared" si="122"/>
        <v>653.54556920639823</v>
      </c>
      <c r="EQ15" s="150">
        <f t="shared" si="83"/>
        <v>0.11093749999999999</v>
      </c>
      <c r="ER15" s="150">
        <f t="shared" si="84"/>
        <v>3.5500000000000004E-2</v>
      </c>
      <c r="ES15" s="456"/>
      <c r="EU15" s="144">
        <f t="shared" si="123"/>
        <v>146.4375</v>
      </c>
      <c r="EV15" s="456">
        <f t="shared" si="85"/>
        <v>1.0259803921568627E-2</v>
      </c>
      <c r="EW15" s="456">
        <f t="shared" si="124"/>
        <v>2.2867412908621709E-2</v>
      </c>
      <c r="EX15" s="456">
        <f t="shared" si="86"/>
        <v>3.1040678212145038E-3</v>
      </c>
      <c r="EY15" s="456">
        <f t="shared" si="87"/>
        <v>1.2954597686025144</v>
      </c>
      <c r="EZ15" s="456">
        <f t="shared" si="88"/>
        <v>1.3442829694838085</v>
      </c>
      <c r="FA15" s="538">
        <f t="shared" si="89"/>
        <v>1.231176470588235E-2</v>
      </c>
      <c r="FB15" s="144">
        <f t="shared" si="125"/>
        <v>1356.5947341896908</v>
      </c>
      <c r="FC15" s="150">
        <f t="shared" si="126"/>
        <v>2.1565778033960887</v>
      </c>
      <c r="FD15" s="5">
        <f t="shared" si="127"/>
        <v>9.1</v>
      </c>
      <c r="FE15" s="150">
        <f t="shared" si="128"/>
        <v>0.8084162130745054</v>
      </c>
      <c r="FF15" s="5">
        <f t="shared" si="129"/>
        <v>80.841621307450538</v>
      </c>
      <c r="FG15">
        <f t="shared" si="130"/>
        <v>10</v>
      </c>
      <c r="FI15" s="59">
        <f t="shared" si="90"/>
        <v>-50</v>
      </c>
      <c r="FJ15">
        <f t="shared" si="91"/>
        <v>-50</v>
      </c>
      <c r="FL15">
        <f t="shared" si="92"/>
        <v>0.15602000285280465</v>
      </c>
    </row>
    <row r="16" spans="2:169">
      <c r="E16" s="147">
        <v>11</v>
      </c>
      <c r="F16" s="188">
        <f t="shared" si="131"/>
        <v>5.5E-2</v>
      </c>
      <c r="G16" s="188">
        <f t="shared" si="93"/>
        <v>5.5E-2</v>
      </c>
      <c r="H16" s="188">
        <f t="shared" si="0"/>
        <v>9.35</v>
      </c>
      <c r="I16" s="188">
        <f t="shared" si="132"/>
        <v>0.66</v>
      </c>
      <c r="J16" s="465">
        <f t="shared" si="1"/>
        <v>11.959993660274005</v>
      </c>
      <c r="K16" s="379">
        <f t="shared" si="2"/>
        <v>8.6489071312417067</v>
      </c>
      <c r="L16" s="149">
        <f t="shared" si="3"/>
        <v>20.608900791515712</v>
      </c>
      <c r="M16" s="379"/>
      <c r="N16" s="188">
        <f t="shared" si="4"/>
        <v>0.41966853151150574</v>
      </c>
      <c r="O16" s="149">
        <f t="shared" si="94"/>
        <v>156.27648460988988</v>
      </c>
      <c r="P16" s="149">
        <f t="shared" si="5"/>
        <v>11.031281266580462</v>
      </c>
      <c r="Q16" s="188">
        <f t="shared" si="6"/>
        <v>0.91927343888170521</v>
      </c>
      <c r="R16" s="188">
        <f t="shared" si="7"/>
        <v>13.02304038415749</v>
      </c>
      <c r="S16" s="379">
        <f t="shared" si="8"/>
        <v>170</v>
      </c>
      <c r="T16" s="188">
        <f t="shared" si="9"/>
        <v>3.9886572499333401</v>
      </c>
      <c r="U16" s="188">
        <f t="shared" si="10"/>
        <v>0.50024992026316328</v>
      </c>
      <c r="V16" s="188">
        <f t="shared" si="11"/>
        <v>0.69176206705795029</v>
      </c>
      <c r="W16" s="172">
        <f t="shared" si="12"/>
        <v>250.96164881470551</v>
      </c>
      <c r="X16" s="379">
        <f t="shared" si="95"/>
        <v>350</v>
      </c>
      <c r="Z16" s="188">
        <f t="shared" si="13"/>
        <v>13.333333333333332</v>
      </c>
      <c r="AA16" s="150">
        <f t="shared" si="14"/>
        <v>2.3124308882628317</v>
      </c>
      <c r="AB16" s="150">
        <f t="shared" si="15"/>
        <v>0.1806892850605202</v>
      </c>
      <c r="AC16" s="150"/>
      <c r="AD16" s="150">
        <f t="shared" si="16"/>
        <v>2.3124308882628322</v>
      </c>
      <c r="AE16" s="314">
        <f t="shared" si="17"/>
        <v>76.390200338584819</v>
      </c>
      <c r="AF16" s="456">
        <f t="shared" si="18"/>
        <v>0.18068928506052023</v>
      </c>
      <c r="AH16" s="150">
        <f t="shared" si="19"/>
        <v>6.1752192943516855</v>
      </c>
      <c r="AI16" s="150">
        <f t="shared" si="20"/>
        <v>13.333333333333334</v>
      </c>
      <c r="AJ16" s="150">
        <f t="shared" si="21"/>
        <v>1.0436515430506199</v>
      </c>
      <c r="AL16" s="314">
        <f t="shared" si="22"/>
        <v>55</v>
      </c>
      <c r="AM16" s="144">
        <f t="shared" si="23"/>
        <v>76.390200338584819</v>
      </c>
      <c r="AO16">
        <f t="shared" si="96"/>
        <v>55</v>
      </c>
      <c r="AP16" s="144">
        <f t="shared" si="24"/>
        <v>76.390200338584819</v>
      </c>
      <c r="AQ16" s="144"/>
      <c r="AR16" s="5">
        <f t="shared" si="97"/>
        <v>13.090684349140243</v>
      </c>
      <c r="AS16" s="5">
        <f t="shared" si="25"/>
        <v>1.6722416890931528</v>
      </c>
      <c r="AT16" s="5">
        <f t="shared" si="98"/>
        <v>11.418442660047091</v>
      </c>
      <c r="AU16" s="150">
        <f t="shared" si="99"/>
        <v>0.1277428776443594</v>
      </c>
      <c r="AW16" s="5">
        <f t="shared" si="26"/>
        <v>5.410193700007259E-2</v>
      </c>
      <c r="AX16" s="5">
        <f t="shared" si="27"/>
        <v>0.76644410750102843</v>
      </c>
      <c r="AY16" s="5">
        <f t="shared" si="28"/>
        <v>14.877716759173481</v>
      </c>
      <c r="AZ16" s="5"/>
      <c r="BA16" s="150">
        <f t="shared" si="100"/>
        <v>2.7513539039627251</v>
      </c>
      <c r="BB16" s="150">
        <f t="shared" si="29"/>
        <v>0.33577465314223887</v>
      </c>
      <c r="BC16" s="150">
        <f t="shared" si="30"/>
        <v>0.31941798345792016</v>
      </c>
      <c r="BD16" s="150"/>
      <c r="BE16" s="456">
        <f t="shared" si="31"/>
        <v>2.5737824236493154E-2</v>
      </c>
      <c r="BF16" s="456">
        <f t="shared" si="32"/>
        <v>0.50273223389752808</v>
      </c>
      <c r="BG16" s="456">
        <f t="shared" si="33"/>
        <v>4.1844085078449333E-2</v>
      </c>
      <c r="BH16" s="456">
        <f t="shared" si="34"/>
        <v>2.2224800831422208E-2</v>
      </c>
      <c r="BI16">
        <f t="shared" si="35"/>
        <v>5.3819971471233017E-3</v>
      </c>
      <c r="BJ16" s="144">
        <f t="shared" si="101"/>
        <v>47.226082225572632</v>
      </c>
      <c r="BK16">
        <f t="shared" si="36"/>
        <v>0.56107521874365862</v>
      </c>
      <c r="BL16" s="144">
        <f t="shared" si="102"/>
        <v>561.07521874365864</v>
      </c>
      <c r="BM16" s="150">
        <f t="shared" si="37"/>
        <v>0.12203125000000001</v>
      </c>
      <c r="BN16" s="150">
        <f t="shared" si="38"/>
        <v>3.9050000000000001E-2</v>
      </c>
      <c r="BO16" s="456"/>
      <c r="BQ16" s="144">
        <f t="shared" si="103"/>
        <v>161.08125000000001</v>
      </c>
      <c r="BR16" s="456">
        <f t="shared" si="39"/>
        <v>1.1354922457276392E-2</v>
      </c>
      <c r="BS16" s="456">
        <f t="shared" si="104"/>
        <v>2.2548923538558165E-2</v>
      </c>
      <c r="BT16" s="456">
        <f t="shared" si="40"/>
        <v>3.0608354446897243E-3</v>
      </c>
      <c r="BU16" s="456">
        <f t="shared" si="41"/>
        <v>1.65543056052523</v>
      </c>
      <c r="BV16" s="456">
        <f t="shared" si="42"/>
        <v>1.7063126297351685</v>
      </c>
      <c r="BW16" s="538">
        <f t="shared" si="43"/>
        <v>1.358048006019286E-2</v>
      </c>
      <c r="BX16" s="144">
        <f t="shared" si="105"/>
        <v>1719.8931097953614</v>
      </c>
      <c r="BY16" s="150">
        <f t="shared" si="106"/>
        <v>2.4420495785390202</v>
      </c>
      <c r="BZ16" s="5">
        <f t="shared" si="107"/>
        <v>10.01</v>
      </c>
      <c r="CA16" s="150">
        <f t="shared" si="108"/>
        <v>0.80388372507383299</v>
      </c>
      <c r="CB16" s="5">
        <f t="shared" si="109"/>
        <v>80.388372507383295</v>
      </c>
      <c r="CC16">
        <f t="shared" si="110"/>
        <v>11</v>
      </c>
      <c r="CE16" s="59">
        <f t="shared" si="44"/>
        <v>-50</v>
      </c>
      <c r="CF16">
        <f t="shared" si="45"/>
        <v>-50</v>
      </c>
      <c r="CG16" s="150">
        <f t="shared" si="46"/>
        <v>0.17162200313808512</v>
      </c>
      <c r="CH16" s="150">
        <f t="shared" si="47"/>
        <v>4.6505638631809246E-2</v>
      </c>
      <c r="CI16" s="147">
        <v>11</v>
      </c>
      <c r="CJ16" s="188">
        <f t="shared" si="133"/>
        <v>5.5E-2</v>
      </c>
      <c r="CK16" s="188">
        <f t="shared" si="111"/>
        <v>5.5E-2</v>
      </c>
      <c r="CL16" s="188">
        <f t="shared" si="48"/>
        <v>9.35</v>
      </c>
      <c r="CM16" s="188">
        <f t="shared" si="134"/>
        <v>0.66</v>
      </c>
      <c r="CN16" s="465">
        <f t="shared" si="112"/>
        <v>12</v>
      </c>
      <c r="CO16" s="379">
        <f t="shared" si="49"/>
        <v>8.625</v>
      </c>
      <c r="CP16" s="379">
        <f t="shared" si="50"/>
        <v>20.625</v>
      </c>
      <c r="CQ16" s="379"/>
      <c r="CR16" s="188">
        <f t="shared" si="113"/>
        <v>0.4156318480642805</v>
      </c>
      <c r="CS16" s="149">
        <f t="shared" si="114"/>
        <v>155.29102015588504</v>
      </c>
      <c r="CT16" s="149">
        <f t="shared" si="51"/>
        <v>10.961719069827179</v>
      </c>
      <c r="CU16" s="188">
        <f t="shared" si="52"/>
        <v>0.91347658915226493</v>
      </c>
      <c r="CV16" s="188">
        <f t="shared" si="53"/>
        <v>12.940918346323754</v>
      </c>
      <c r="CW16" s="379">
        <f t="shared" si="54"/>
        <v>170</v>
      </c>
      <c r="CX16" s="188">
        <f t="shared" si="55"/>
        <v>4.0139689513766843</v>
      </c>
      <c r="CY16" s="188">
        <f t="shared" si="56"/>
        <v>0.50174611892208554</v>
      </c>
      <c r="CZ16" s="188">
        <f t="shared" si="57"/>
        <v>0.69808155676116246</v>
      </c>
      <c r="DA16" s="172">
        <f t="shared" si="58"/>
        <v>250.90909090909091</v>
      </c>
      <c r="DB16" s="379">
        <f t="shared" si="115"/>
        <v>350</v>
      </c>
      <c r="DD16" s="188">
        <f t="shared" si="59"/>
        <v>13.333333333333332</v>
      </c>
      <c r="DE16" s="150">
        <f t="shared" si="60"/>
        <v>2.318840579710145</v>
      </c>
      <c r="DF16" s="150">
        <f t="shared" si="61"/>
        <v>0.18115218115218115</v>
      </c>
      <c r="DG16" s="150"/>
      <c r="DH16" s="150">
        <f t="shared" si="62"/>
        <v>2.3188405797101455</v>
      </c>
      <c r="DI16" s="314">
        <f t="shared" si="63"/>
        <v>76.179044117647024</v>
      </c>
      <c r="DJ16" s="456">
        <f t="shared" si="64"/>
        <v>0.18115218115218121</v>
      </c>
      <c r="DL16" s="150">
        <f t="shared" si="65"/>
        <v>6.1752192943516855</v>
      </c>
      <c r="DM16" s="150">
        <f t="shared" si="66"/>
        <v>13.333333333333334</v>
      </c>
      <c r="DN16" s="150">
        <f t="shared" si="67"/>
        <v>1.0435308823529412</v>
      </c>
      <c r="DP16" s="314">
        <f t="shared" si="68"/>
        <v>55</v>
      </c>
      <c r="DQ16" s="144">
        <f t="shared" si="69"/>
        <v>76.179044117647024</v>
      </c>
      <c r="DS16">
        <f t="shared" si="116"/>
        <v>55</v>
      </c>
      <c r="DT16" s="144">
        <f t="shared" si="70"/>
        <v>76.179044117647024</v>
      </c>
      <c r="DU16" s="144"/>
      <c r="DV16" s="5">
        <f t="shared" si="117"/>
        <v>13.126969648708785</v>
      </c>
      <c r="DW16" s="5">
        <f t="shared" si="71"/>
        <v>1.666666666666667</v>
      </c>
      <c r="DX16" s="5">
        <f t="shared" si="118"/>
        <v>11.460302982042119</v>
      </c>
      <c r="DY16" s="150">
        <f t="shared" si="119"/>
        <v>0.12696507352941172</v>
      </c>
      <c r="EA16" s="5">
        <f t="shared" si="72"/>
        <v>5.3921568627450997E-2</v>
      </c>
      <c r="EB16" s="5">
        <f t="shared" si="73"/>
        <v>0.76388888888888906</v>
      </c>
      <c r="EC16" s="5">
        <f t="shared" si="74"/>
        <v>14.882476789179693</v>
      </c>
      <c r="ED16" s="5"/>
      <c r="EE16" s="150">
        <f t="shared" si="120"/>
        <v>2.7429648574399064</v>
      </c>
      <c r="EF16" s="150">
        <f t="shared" si="75"/>
        <v>0.33592432730631117</v>
      </c>
      <c r="EG16" s="150">
        <f t="shared" si="76"/>
        <v>0.31956036650922065</v>
      </c>
      <c r="EH16" s="150"/>
      <c r="EI16" s="456">
        <f t="shared" si="77"/>
        <v>2.5581111111111107E-2</v>
      </c>
      <c r="EJ16" s="456">
        <f t="shared" si="78"/>
        <v>0.63685680882352924</v>
      </c>
      <c r="EK16" s="456">
        <f t="shared" si="79"/>
        <v>1.7445001102941168E-2</v>
      </c>
      <c r="EL16" s="456">
        <f t="shared" si="80"/>
        <v>2.2198008064539282E-2</v>
      </c>
      <c r="EM16">
        <f t="shared" si="81"/>
        <v>5.4000000000000003E-3</v>
      </c>
      <c r="EN16" s="144">
        <f t="shared" si="121"/>
        <v>22.845001102941165</v>
      </c>
      <c r="EO16">
        <f t="shared" si="82"/>
        <v>0.718756482754771</v>
      </c>
      <c r="EP16" s="144">
        <f t="shared" si="122"/>
        <v>718.75648275477101</v>
      </c>
      <c r="EQ16" s="150">
        <f t="shared" si="83"/>
        <v>0.12203125000000001</v>
      </c>
      <c r="ER16" s="150">
        <f t="shared" si="84"/>
        <v>3.9050000000000001E-2</v>
      </c>
      <c r="ES16" s="456"/>
      <c r="EU16" s="144">
        <f t="shared" si="123"/>
        <v>161.08125000000001</v>
      </c>
      <c r="EV16" s="456">
        <f t="shared" si="85"/>
        <v>1.1285784313725488E-2</v>
      </c>
      <c r="EW16" s="456">
        <f t="shared" si="124"/>
        <v>2.2569030735239536E-2</v>
      </c>
      <c r="EX16" s="456">
        <f t="shared" si="86"/>
        <v>3.0635648353052225E-3</v>
      </c>
      <c r="EY16" s="456">
        <f t="shared" si="87"/>
        <v>1.6440144979881144</v>
      </c>
      <c r="EZ16" s="456">
        <f t="shared" si="88"/>
        <v>1.6947988271990055</v>
      </c>
      <c r="FA16" s="538">
        <f t="shared" si="89"/>
        <v>1.3542941176470584E-2</v>
      </c>
      <c r="FB16" s="144">
        <f t="shared" si="125"/>
        <v>1708.341768375476</v>
      </c>
      <c r="FC16" s="150">
        <f t="shared" si="126"/>
        <v>2.5881795011302473</v>
      </c>
      <c r="FD16" s="5">
        <f t="shared" si="127"/>
        <v>10.01</v>
      </c>
      <c r="FE16" s="150">
        <f t="shared" si="128"/>
        <v>0.79455924557210444</v>
      </c>
      <c r="FF16" s="5">
        <f t="shared" si="129"/>
        <v>79.455924557210437</v>
      </c>
      <c r="FG16">
        <f t="shared" si="130"/>
        <v>11</v>
      </c>
      <c r="FI16" s="59">
        <f t="shared" si="90"/>
        <v>-50</v>
      </c>
      <c r="FJ16">
        <f t="shared" si="91"/>
        <v>-50</v>
      </c>
      <c r="FL16">
        <f t="shared" si="92"/>
        <v>0.17162200313808512</v>
      </c>
    </row>
    <row r="17" spans="5:168">
      <c r="E17" s="147">
        <v>12</v>
      </c>
      <c r="F17" s="188">
        <f t="shared" si="131"/>
        <v>0.06</v>
      </c>
      <c r="G17" s="188">
        <f t="shared" si="93"/>
        <v>0.06</v>
      </c>
      <c r="H17" s="188">
        <f t="shared" si="0"/>
        <v>10.199999999999999</v>
      </c>
      <c r="I17" s="188">
        <f t="shared" si="132"/>
        <v>0.72</v>
      </c>
      <c r="J17" s="465">
        <f t="shared" si="1"/>
        <v>11.959993660274005</v>
      </c>
      <c r="K17" s="379">
        <f t="shared" si="2"/>
        <v>8.6489071312417067</v>
      </c>
      <c r="L17" s="149">
        <f t="shared" si="3"/>
        <v>20.608900791515712</v>
      </c>
      <c r="M17" s="379"/>
      <c r="N17" s="188">
        <f t="shared" si="4"/>
        <v>0.41966853151150574</v>
      </c>
      <c r="O17" s="149">
        <f t="shared" si="94"/>
        <v>156.27648460988988</v>
      </c>
      <c r="P17" s="149">
        <f t="shared" si="5"/>
        <v>11.031281266580462</v>
      </c>
      <c r="Q17" s="188">
        <f t="shared" si="6"/>
        <v>0.91927343888170521</v>
      </c>
      <c r="R17" s="188">
        <f t="shared" si="7"/>
        <v>13.02304038415749</v>
      </c>
      <c r="S17" s="379">
        <f t="shared" si="8"/>
        <v>170</v>
      </c>
      <c r="T17" s="188">
        <f t="shared" si="9"/>
        <v>4.3512624544727352</v>
      </c>
      <c r="U17" s="188">
        <f t="shared" si="10"/>
        <v>0.54572718574163293</v>
      </c>
      <c r="V17" s="188">
        <f t="shared" si="11"/>
        <v>0.75464952769958238</v>
      </c>
      <c r="W17" s="172">
        <f t="shared" si="12"/>
        <v>250.96164881470551</v>
      </c>
      <c r="X17" s="379">
        <f t="shared" si="95"/>
        <v>350</v>
      </c>
      <c r="Z17" s="188">
        <f t="shared" si="13"/>
        <v>13.333333333333332</v>
      </c>
      <c r="AA17" s="150">
        <f t="shared" si="14"/>
        <v>2.3124308882628317</v>
      </c>
      <c r="AB17" s="150">
        <f t="shared" si="15"/>
        <v>0.1806892850605202</v>
      </c>
      <c r="AC17" s="150"/>
      <c r="AD17" s="150">
        <f t="shared" si="16"/>
        <v>2.3124308882628322</v>
      </c>
      <c r="AE17" s="314">
        <f t="shared" si="17"/>
        <v>83.3347640057289</v>
      </c>
      <c r="AF17" s="456">
        <f t="shared" si="18"/>
        <v>0.18068928506052023</v>
      </c>
      <c r="AH17" s="150">
        <f t="shared" si="19"/>
        <v>6.4498061986388402</v>
      </c>
      <c r="AI17" s="150">
        <f t="shared" si="20"/>
        <v>13.333333333333334</v>
      </c>
      <c r="AJ17" s="150">
        <f t="shared" si="21"/>
        <v>1.0476198651461308</v>
      </c>
      <c r="AL17" s="314">
        <f t="shared" si="22"/>
        <v>60</v>
      </c>
      <c r="AM17" s="144">
        <f t="shared" si="23"/>
        <v>83.3347640057289</v>
      </c>
      <c r="AO17">
        <f t="shared" si="96"/>
        <v>60</v>
      </c>
      <c r="AP17" s="144">
        <f t="shared" si="24"/>
        <v>83.3347640057289</v>
      </c>
      <c r="AQ17" s="144"/>
      <c r="AR17" s="5">
        <f t="shared" si="97"/>
        <v>11.999793986711889</v>
      </c>
      <c r="AS17" s="5">
        <f t="shared" si="25"/>
        <v>1.6722416890931528</v>
      </c>
      <c r="AT17" s="5">
        <f t="shared" si="98"/>
        <v>10.327552297618737</v>
      </c>
      <c r="AU17" s="150">
        <f t="shared" si="99"/>
        <v>0.13935586652111936</v>
      </c>
      <c r="AW17" s="5">
        <f t="shared" si="26"/>
        <v>5.9020294909170094E-2</v>
      </c>
      <c r="AX17" s="5">
        <f t="shared" si="27"/>
        <v>0.83612084454657631</v>
      </c>
      <c r="AY17" s="5">
        <f t="shared" si="28"/>
        <v>14.679638973612649</v>
      </c>
      <c r="AZ17" s="5"/>
      <c r="BA17" s="150">
        <f t="shared" si="100"/>
        <v>2.8736954298383361</v>
      </c>
      <c r="BB17" s="150">
        <f t="shared" si="29"/>
        <v>0.33353195827540244</v>
      </c>
      <c r="BC17" s="150">
        <f t="shared" si="30"/>
        <v>0.3172845375138249</v>
      </c>
      <c r="BD17" s="150"/>
      <c r="BE17" s="456">
        <f t="shared" si="31"/>
        <v>2.8077626439810714E-2</v>
      </c>
      <c r="BF17" s="456">
        <f t="shared" si="32"/>
        <v>0.54843516425184891</v>
      </c>
      <c r="BG17" s="456">
        <f t="shared" si="33"/>
        <v>4.564809281285382E-2</v>
      </c>
      <c r="BH17" s="456">
        <f t="shared" si="34"/>
        <v>2.4245237270642414E-2</v>
      </c>
      <c r="BI17">
        <f t="shared" si="35"/>
        <v>5.3819971471233017E-3</v>
      </c>
      <c r="BJ17" s="144">
        <f t="shared" si="101"/>
        <v>51.030089959977118</v>
      </c>
      <c r="BK17">
        <f t="shared" si="36"/>
        <v>0.61242462120650965</v>
      </c>
      <c r="BL17" s="144">
        <f t="shared" si="102"/>
        <v>612.42462120650964</v>
      </c>
      <c r="BM17" s="150">
        <f t="shared" si="37"/>
        <v>0.13312499999999999</v>
      </c>
      <c r="BN17" s="150">
        <f t="shared" si="38"/>
        <v>4.2599999999999999E-2</v>
      </c>
      <c r="BO17" s="456"/>
      <c r="BQ17" s="144">
        <f t="shared" si="103"/>
        <v>175.72499999999999</v>
      </c>
      <c r="BR17" s="456">
        <f t="shared" si="39"/>
        <v>1.2387188135210609E-2</v>
      </c>
      <c r="BS17" s="456">
        <f t="shared" si="104"/>
        <v>2.2248713438204962E-2</v>
      </c>
      <c r="BT17" s="456">
        <f t="shared" si="40"/>
        <v>3.020084332360853E-3</v>
      </c>
      <c r="BU17" s="456">
        <f t="shared" si="41"/>
        <v>2.0577014829722442</v>
      </c>
      <c r="BV17" s="456">
        <f t="shared" si="42"/>
        <v>2.1107535058367151</v>
      </c>
      <c r="BW17" s="538">
        <f t="shared" si="43"/>
        <v>1.481506915657403E-2</v>
      </c>
      <c r="BX17" s="144">
        <f t="shared" si="105"/>
        <v>2125.5685749932891</v>
      </c>
      <c r="BY17" s="150">
        <f t="shared" si="106"/>
        <v>2.9137181961997984</v>
      </c>
      <c r="BZ17" s="5">
        <f t="shared" si="107"/>
        <v>10.92</v>
      </c>
      <c r="CA17" s="150">
        <f t="shared" si="108"/>
        <v>0.7893756288168271</v>
      </c>
      <c r="CB17" s="5">
        <f t="shared" si="109"/>
        <v>78.937562881682709</v>
      </c>
      <c r="CC17">
        <f t="shared" si="110"/>
        <v>12</v>
      </c>
      <c r="CE17" s="59">
        <f t="shared" si="44"/>
        <v>-50</v>
      </c>
      <c r="CF17">
        <f t="shared" si="45"/>
        <v>-50</v>
      </c>
      <c r="CG17" s="150">
        <f t="shared" si="46"/>
        <v>0.18722400342336562</v>
      </c>
      <c r="CH17" s="150">
        <f t="shared" si="47"/>
        <v>5.0733423961973723E-2</v>
      </c>
      <c r="CI17" s="147">
        <v>12</v>
      </c>
      <c r="CJ17" s="188">
        <f t="shared" si="133"/>
        <v>0.06</v>
      </c>
      <c r="CK17" s="188">
        <f t="shared" si="111"/>
        <v>0.06</v>
      </c>
      <c r="CL17" s="188">
        <f t="shared" si="48"/>
        <v>10.199999999999999</v>
      </c>
      <c r="CM17" s="188">
        <f t="shared" si="134"/>
        <v>0.72</v>
      </c>
      <c r="CN17" s="465">
        <f t="shared" si="112"/>
        <v>12</v>
      </c>
      <c r="CO17" s="379">
        <f t="shared" si="49"/>
        <v>8.625</v>
      </c>
      <c r="CP17" s="379">
        <f t="shared" si="50"/>
        <v>20.625</v>
      </c>
      <c r="CQ17" s="379"/>
      <c r="CR17" s="188">
        <f t="shared" si="113"/>
        <v>0.4156318480642805</v>
      </c>
      <c r="CS17" s="149">
        <f t="shared" si="114"/>
        <v>155.29102015588504</v>
      </c>
      <c r="CT17" s="149">
        <f t="shared" si="51"/>
        <v>10.961719069827179</v>
      </c>
      <c r="CU17" s="188">
        <f t="shared" si="52"/>
        <v>0.91347658915226493</v>
      </c>
      <c r="CV17" s="188">
        <f t="shared" si="53"/>
        <v>12.940918346323754</v>
      </c>
      <c r="CW17" s="379">
        <f t="shared" si="54"/>
        <v>170</v>
      </c>
      <c r="CX17" s="188">
        <f t="shared" si="55"/>
        <v>4.3788752196836551</v>
      </c>
      <c r="CY17" s="188">
        <f t="shared" si="56"/>
        <v>0.54735940246045689</v>
      </c>
      <c r="CZ17" s="188">
        <f t="shared" si="57"/>
        <v>0.76154351646672258</v>
      </c>
      <c r="DA17" s="172">
        <f t="shared" si="58"/>
        <v>250.90909090909091</v>
      </c>
      <c r="DB17" s="379">
        <f t="shared" si="115"/>
        <v>350</v>
      </c>
      <c r="DD17" s="188">
        <f t="shared" si="59"/>
        <v>13.333333333333332</v>
      </c>
      <c r="DE17" s="150">
        <f t="shared" si="60"/>
        <v>2.318840579710145</v>
      </c>
      <c r="DF17" s="150">
        <f t="shared" si="61"/>
        <v>0.18115218115218115</v>
      </c>
      <c r="DG17" s="150"/>
      <c r="DH17" s="150">
        <f t="shared" si="62"/>
        <v>2.3188405797101455</v>
      </c>
      <c r="DI17" s="314">
        <f t="shared" si="63"/>
        <v>83.104411764705844</v>
      </c>
      <c r="DJ17" s="456">
        <f t="shared" si="64"/>
        <v>0.18115218115218121</v>
      </c>
      <c r="DL17" s="150">
        <f t="shared" si="65"/>
        <v>6.4498061986388402</v>
      </c>
      <c r="DM17" s="150">
        <f t="shared" si="66"/>
        <v>13.333333333333334</v>
      </c>
      <c r="DN17" s="150">
        <f t="shared" si="67"/>
        <v>1.0474882352941177</v>
      </c>
      <c r="DP17" s="314">
        <f t="shared" si="68"/>
        <v>60</v>
      </c>
      <c r="DQ17" s="144">
        <f t="shared" si="69"/>
        <v>83.104411764705844</v>
      </c>
      <c r="DS17">
        <f t="shared" si="116"/>
        <v>60</v>
      </c>
      <c r="DT17" s="144">
        <f t="shared" si="70"/>
        <v>83.104411764705844</v>
      </c>
      <c r="DU17" s="144"/>
      <c r="DV17" s="5">
        <f t="shared" si="117"/>
        <v>12.033055511316386</v>
      </c>
      <c r="DW17" s="5">
        <f t="shared" si="71"/>
        <v>1.666666666666667</v>
      </c>
      <c r="DX17" s="5">
        <f t="shared" si="118"/>
        <v>10.36638884464972</v>
      </c>
      <c r="DY17" s="150">
        <f t="shared" si="119"/>
        <v>0.13850735294117644</v>
      </c>
      <c r="EA17" s="5">
        <f t="shared" si="72"/>
        <v>5.8823529411764712E-2</v>
      </c>
      <c r="EB17" s="5">
        <f t="shared" si="73"/>
        <v>0.83333333333333348</v>
      </c>
      <c r="EC17" s="5">
        <f t="shared" si="74"/>
        <v>14.685717529920435</v>
      </c>
      <c r="ED17" s="5"/>
      <c r="EE17" s="150">
        <f t="shared" si="120"/>
        <v>2.8649333565119623</v>
      </c>
      <c r="EF17" s="150">
        <f t="shared" si="75"/>
        <v>0.33369633322721237</v>
      </c>
      <c r="EG17" s="150">
        <f t="shared" si="76"/>
        <v>0.3174409052299309</v>
      </c>
      <c r="EH17" s="150"/>
      <c r="EI17" s="456">
        <f t="shared" si="77"/>
        <v>2.7906666666666656E-2</v>
      </c>
      <c r="EJ17" s="456">
        <f t="shared" si="78"/>
        <v>0.69475288235294086</v>
      </c>
      <c r="EK17" s="456">
        <f t="shared" si="79"/>
        <v>1.9030910294117638E-2</v>
      </c>
      <c r="EL17" s="456">
        <f t="shared" si="80"/>
        <v>2.4216008797679215E-2</v>
      </c>
      <c r="EM17">
        <f t="shared" si="81"/>
        <v>5.4000000000000003E-3</v>
      </c>
      <c r="EN17" s="144">
        <f t="shared" si="121"/>
        <v>24.430910294117641</v>
      </c>
      <c r="EO17">
        <f t="shared" si="82"/>
        <v>0.78403994216890827</v>
      </c>
      <c r="EP17" s="144">
        <f t="shared" si="122"/>
        <v>784.03994216890828</v>
      </c>
      <c r="EQ17" s="150">
        <f t="shared" si="83"/>
        <v>0.13312499999999999</v>
      </c>
      <c r="ER17" s="150">
        <f t="shared" si="84"/>
        <v>4.2599999999999999E-2</v>
      </c>
      <c r="ES17" s="456"/>
      <c r="EU17" s="144">
        <f t="shared" si="123"/>
        <v>175.72499999999999</v>
      </c>
      <c r="EV17" s="456">
        <f t="shared" si="85"/>
        <v>1.231176470588235E-2</v>
      </c>
      <c r="EW17" s="456">
        <f t="shared" si="124"/>
        <v>2.2270648561857353E-2</v>
      </c>
      <c r="EX17" s="456">
        <f t="shared" si="86"/>
        <v>3.0230618493959391E-3</v>
      </c>
      <c r="EY17" s="456">
        <f t="shared" si="87"/>
        <v>2.0435113082995717</v>
      </c>
      <c r="EZ17" s="456">
        <f t="shared" si="88"/>
        <v>2.0964491347063832</v>
      </c>
      <c r="FA17" s="538">
        <f t="shared" si="89"/>
        <v>1.477411764705882E-2</v>
      </c>
      <c r="FB17" s="144">
        <f t="shared" si="125"/>
        <v>2111.2232523534421</v>
      </c>
      <c r="FC17" s="150">
        <f t="shared" si="126"/>
        <v>3.0709881945223505</v>
      </c>
      <c r="FD17" s="5">
        <f t="shared" si="127"/>
        <v>10.92</v>
      </c>
      <c r="FE17" s="150">
        <f t="shared" si="128"/>
        <v>0.78050240970650797</v>
      </c>
      <c r="FF17" s="5">
        <f t="shared" si="129"/>
        <v>78.05024097065079</v>
      </c>
      <c r="FG17">
        <f t="shared" si="130"/>
        <v>12</v>
      </c>
      <c r="FI17" s="59">
        <f t="shared" si="90"/>
        <v>-50</v>
      </c>
      <c r="FJ17">
        <f t="shared" si="91"/>
        <v>-50</v>
      </c>
      <c r="FL17">
        <f t="shared" si="92"/>
        <v>0.18722400342336556</v>
      </c>
    </row>
    <row r="18" spans="5:168">
      <c r="E18" s="147">
        <v>13</v>
      </c>
      <c r="F18" s="188">
        <f t="shared" si="131"/>
        <v>6.5000000000000002E-2</v>
      </c>
      <c r="G18" s="188">
        <f t="shared" si="93"/>
        <v>6.5000000000000002E-2</v>
      </c>
      <c r="H18" s="188">
        <f t="shared" si="0"/>
        <v>11.05</v>
      </c>
      <c r="I18" s="188">
        <f t="shared" si="132"/>
        <v>0.78</v>
      </c>
      <c r="J18" s="465">
        <f t="shared" si="1"/>
        <v>11.959993660274005</v>
      </c>
      <c r="K18" s="379">
        <f t="shared" si="2"/>
        <v>8.6489071312417067</v>
      </c>
      <c r="L18" s="149">
        <f t="shared" si="3"/>
        <v>20.608900791515712</v>
      </c>
      <c r="M18" s="379"/>
      <c r="N18" s="188">
        <f t="shared" si="4"/>
        <v>0.41966853151150574</v>
      </c>
      <c r="O18" s="149">
        <f t="shared" si="94"/>
        <v>156.27648460988988</v>
      </c>
      <c r="P18" s="149">
        <f t="shared" si="5"/>
        <v>11.031281266580462</v>
      </c>
      <c r="Q18" s="188">
        <f t="shared" si="6"/>
        <v>0.91927343888170521</v>
      </c>
      <c r="R18" s="188">
        <f t="shared" si="7"/>
        <v>13.02304038415749</v>
      </c>
      <c r="S18" s="379">
        <f t="shared" si="8"/>
        <v>170</v>
      </c>
      <c r="T18" s="188">
        <f t="shared" si="9"/>
        <v>4.7138676590121298</v>
      </c>
      <c r="U18" s="188">
        <f t="shared" si="10"/>
        <v>0.59120445122010223</v>
      </c>
      <c r="V18" s="188">
        <f t="shared" si="11"/>
        <v>0.81753698834121413</v>
      </c>
      <c r="W18" s="172">
        <f t="shared" si="12"/>
        <v>250.96164881470551</v>
      </c>
      <c r="X18" s="379">
        <f t="shared" si="95"/>
        <v>350</v>
      </c>
      <c r="Z18" s="188">
        <f t="shared" si="13"/>
        <v>13.333333333333332</v>
      </c>
      <c r="AA18" s="150">
        <f t="shared" si="14"/>
        <v>2.3124308882628317</v>
      </c>
      <c r="AB18" s="150">
        <f t="shared" si="15"/>
        <v>0.1806892850605202</v>
      </c>
      <c r="AC18" s="150"/>
      <c r="AD18" s="150">
        <f t="shared" si="16"/>
        <v>2.3124308882628322</v>
      </c>
      <c r="AE18" s="314">
        <f t="shared" si="17"/>
        <v>90.279327672872981</v>
      </c>
      <c r="AF18" s="456">
        <f t="shared" si="18"/>
        <v>0.18068928506052023</v>
      </c>
      <c r="AH18" s="150">
        <f t="shared" si="19"/>
        <v>6.7131711334261892</v>
      </c>
      <c r="AI18" s="150">
        <f t="shared" si="20"/>
        <v>13.333333333333334</v>
      </c>
      <c r="AJ18" s="150">
        <f t="shared" si="21"/>
        <v>1.0515881872416417</v>
      </c>
      <c r="AL18" s="314">
        <f t="shared" si="22"/>
        <v>65</v>
      </c>
      <c r="AM18" s="144">
        <f t="shared" si="23"/>
        <v>90.279327672872981</v>
      </c>
      <c r="AO18">
        <f t="shared" si="96"/>
        <v>65</v>
      </c>
      <c r="AP18" s="144">
        <f t="shared" si="24"/>
        <v>90.279327672872981</v>
      </c>
      <c r="AQ18" s="144"/>
      <c r="AR18" s="5">
        <f t="shared" si="97"/>
        <v>11.076732910810975</v>
      </c>
      <c r="AS18" s="5">
        <f t="shared" si="25"/>
        <v>1.6722416890931528</v>
      </c>
      <c r="AT18" s="5">
        <f t="shared" si="98"/>
        <v>9.4044912217178229</v>
      </c>
      <c r="AU18" s="150">
        <f t="shared" si="99"/>
        <v>0.1509688553978793</v>
      </c>
      <c r="AW18" s="5">
        <f t="shared" si="26"/>
        <v>6.3938652818267619E-2</v>
      </c>
      <c r="AX18" s="5">
        <f t="shared" si="27"/>
        <v>0.90579758159212453</v>
      </c>
      <c r="AY18" s="5">
        <f t="shared" si="28"/>
        <v>14.481561188051824</v>
      </c>
      <c r="AZ18" s="5"/>
      <c r="BA18" s="150">
        <f t="shared" si="100"/>
        <v>2.9910370345578392</v>
      </c>
      <c r="BB18" s="150">
        <f t="shared" si="29"/>
        <v>0.33127408091980087</v>
      </c>
      <c r="BC18" s="150">
        <f t="shared" si="30"/>
        <v>0.31513664866911201</v>
      </c>
      <c r="BD18" s="150"/>
      <c r="BE18" s="456">
        <f t="shared" si="31"/>
        <v>3.0417428643128276E-2</v>
      </c>
      <c r="BF18" s="456">
        <f t="shared" si="32"/>
        <v>0.59413809460616973</v>
      </c>
      <c r="BG18" s="456">
        <f t="shared" si="33"/>
        <v>4.9452100547258307E-2</v>
      </c>
      <c r="BH18" s="456">
        <f t="shared" si="34"/>
        <v>2.6265673709862616E-2</v>
      </c>
      <c r="BI18">
        <f t="shared" si="35"/>
        <v>5.3819971471233017E-3</v>
      </c>
      <c r="BJ18" s="144">
        <f t="shared" si="101"/>
        <v>54.834097694381605</v>
      </c>
      <c r="BK18">
        <f t="shared" si="36"/>
        <v>0.66383153336824063</v>
      </c>
      <c r="BL18" s="144">
        <f t="shared" si="102"/>
        <v>663.83153336824068</v>
      </c>
      <c r="BM18" s="150">
        <f t="shared" si="37"/>
        <v>0.14421875000000001</v>
      </c>
      <c r="BN18" s="150">
        <f t="shared" si="38"/>
        <v>4.6150000000000004E-2</v>
      </c>
      <c r="BO18" s="456"/>
      <c r="BQ18" s="144">
        <f t="shared" si="103"/>
        <v>190.36875000000001</v>
      </c>
      <c r="BR18" s="456">
        <f t="shared" si="39"/>
        <v>1.3419453813144829E-2</v>
      </c>
      <c r="BS18" s="456">
        <f t="shared" si="104"/>
        <v>2.1948503337851755E-2</v>
      </c>
      <c r="BT18" s="456">
        <f t="shared" si="40"/>
        <v>2.9793332200319799E-3</v>
      </c>
      <c r="BU18" s="456">
        <f t="shared" si="41"/>
        <v>2.5135506221947477</v>
      </c>
      <c r="BV18" s="456">
        <f t="shared" si="42"/>
        <v>2.5689823432046563</v>
      </c>
      <c r="BW18" s="538">
        <f t="shared" si="43"/>
        <v>1.60496582529552E-2</v>
      </c>
      <c r="BX18" s="144">
        <f t="shared" si="105"/>
        <v>2585.0320014576114</v>
      </c>
      <c r="BY18" s="150">
        <f t="shared" si="106"/>
        <v>3.4392322848258519</v>
      </c>
      <c r="BZ18" s="5">
        <f t="shared" si="107"/>
        <v>11.83</v>
      </c>
      <c r="CA18" s="150">
        <f t="shared" si="108"/>
        <v>0.77476062838839199</v>
      </c>
      <c r="CB18" s="5">
        <f t="shared" si="109"/>
        <v>77.476062838839198</v>
      </c>
      <c r="CC18">
        <f t="shared" si="110"/>
        <v>13</v>
      </c>
      <c r="CE18" s="59">
        <f t="shared" si="44"/>
        <v>-50</v>
      </c>
      <c r="CF18">
        <f t="shared" si="45"/>
        <v>-50</v>
      </c>
      <c r="CG18" s="150">
        <f t="shared" si="46"/>
        <v>0.20282600370864609</v>
      </c>
      <c r="CH18" s="150">
        <f t="shared" si="47"/>
        <v>5.4961209292138213E-2</v>
      </c>
      <c r="CI18" s="147">
        <v>13</v>
      </c>
      <c r="CJ18" s="188">
        <f t="shared" si="133"/>
        <v>6.5000000000000002E-2</v>
      </c>
      <c r="CK18" s="188">
        <f t="shared" si="111"/>
        <v>6.5000000000000002E-2</v>
      </c>
      <c r="CL18" s="188">
        <f t="shared" si="48"/>
        <v>11.05</v>
      </c>
      <c r="CM18" s="188">
        <f t="shared" si="134"/>
        <v>0.78</v>
      </c>
      <c r="CN18" s="465">
        <f t="shared" si="112"/>
        <v>12</v>
      </c>
      <c r="CO18" s="379">
        <f t="shared" si="49"/>
        <v>8.625</v>
      </c>
      <c r="CP18" s="379">
        <f t="shared" si="50"/>
        <v>20.625</v>
      </c>
      <c r="CQ18" s="379"/>
      <c r="CR18" s="188">
        <f t="shared" si="113"/>
        <v>0.4156318480642805</v>
      </c>
      <c r="CS18" s="149">
        <f t="shared" si="114"/>
        <v>155.29102015588504</v>
      </c>
      <c r="CT18" s="149">
        <f t="shared" si="51"/>
        <v>10.961719069827179</v>
      </c>
      <c r="CU18" s="188">
        <f t="shared" si="52"/>
        <v>0.91347658915226493</v>
      </c>
      <c r="CV18" s="188">
        <f t="shared" si="53"/>
        <v>12.940918346323754</v>
      </c>
      <c r="CW18" s="379">
        <f t="shared" si="54"/>
        <v>170</v>
      </c>
      <c r="CX18" s="188">
        <f t="shared" si="55"/>
        <v>4.7437814879906268</v>
      </c>
      <c r="CY18" s="188">
        <f t="shared" si="56"/>
        <v>0.59297268599882835</v>
      </c>
      <c r="CZ18" s="188">
        <f t="shared" si="57"/>
        <v>0.82500547617228304</v>
      </c>
      <c r="DA18" s="172">
        <f t="shared" si="58"/>
        <v>250.90909090909091</v>
      </c>
      <c r="DB18" s="379">
        <f t="shared" si="115"/>
        <v>350</v>
      </c>
      <c r="DD18" s="188">
        <f t="shared" si="59"/>
        <v>13.333333333333332</v>
      </c>
      <c r="DE18" s="150">
        <f t="shared" si="60"/>
        <v>2.318840579710145</v>
      </c>
      <c r="DF18" s="150">
        <f t="shared" si="61"/>
        <v>0.18115218115218115</v>
      </c>
      <c r="DG18" s="150"/>
      <c r="DH18" s="150">
        <f t="shared" si="62"/>
        <v>2.3188405797101455</v>
      </c>
      <c r="DI18" s="314">
        <f t="shared" si="63"/>
        <v>90.029779411764679</v>
      </c>
      <c r="DJ18" s="456">
        <f t="shared" si="64"/>
        <v>0.18115218115218121</v>
      </c>
      <c r="DL18" s="150">
        <f t="shared" si="65"/>
        <v>6.7131711334261892</v>
      </c>
      <c r="DM18" s="150">
        <f t="shared" si="66"/>
        <v>13.333333333333334</v>
      </c>
      <c r="DN18" s="150">
        <f t="shared" si="67"/>
        <v>1.051445588235294</v>
      </c>
      <c r="DP18" s="314">
        <f t="shared" si="68"/>
        <v>65</v>
      </c>
      <c r="DQ18" s="144">
        <f t="shared" si="69"/>
        <v>90.029779411764679</v>
      </c>
      <c r="DS18">
        <f t="shared" si="116"/>
        <v>65</v>
      </c>
      <c r="DT18" s="144">
        <f t="shared" si="70"/>
        <v>90.029779411764679</v>
      </c>
      <c r="DU18" s="144"/>
      <c r="DV18" s="5">
        <f t="shared" si="117"/>
        <v>11.107435856599739</v>
      </c>
      <c r="DW18" s="5">
        <f t="shared" si="71"/>
        <v>1.666666666666667</v>
      </c>
      <c r="DX18" s="5">
        <f t="shared" si="118"/>
        <v>9.4407691899330715</v>
      </c>
      <c r="DY18" s="150">
        <f t="shared" si="119"/>
        <v>0.15004963235294116</v>
      </c>
      <c r="EA18" s="5">
        <f t="shared" si="72"/>
        <v>6.3725490196078455E-2</v>
      </c>
      <c r="EB18" s="5">
        <f t="shared" si="73"/>
        <v>0.9027777777777779</v>
      </c>
      <c r="EC18" s="5">
        <f t="shared" si="74"/>
        <v>14.48895827066117</v>
      </c>
      <c r="ED18" s="5"/>
      <c r="EE18" s="150">
        <f t="shared" si="120"/>
        <v>2.981917179493669</v>
      </c>
      <c r="EF18" s="150">
        <f t="shared" si="75"/>
        <v>0.33145336314838614</v>
      </c>
      <c r="EG18" s="150">
        <f t="shared" si="76"/>
        <v>0.31530719748031216</v>
      </c>
      <c r="EH18" s="150"/>
      <c r="EI18" s="456">
        <f t="shared" si="77"/>
        <v>3.0232222222222226E-2</v>
      </c>
      <c r="EJ18" s="456">
        <f t="shared" si="78"/>
        <v>0.7526489558823527</v>
      </c>
      <c r="EK18" s="456">
        <f t="shared" si="79"/>
        <v>2.0616819485294112E-2</v>
      </c>
      <c r="EL18" s="456">
        <f t="shared" si="80"/>
        <v>2.6234009530819155E-2</v>
      </c>
      <c r="EM18">
        <f t="shared" si="81"/>
        <v>5.4000000000000003E-3</v>
      </c>
      <c r="EN18" s="144">
        <f t="shared" si="121"/>
        <v>26.016819485294114</v>
      </c>
      <c r="EO18">
        <f t="shared" si="82"/>
        <v>0.84939606857497019</v>
      </c>
      <c r="EP18" s="144">
        <f t="shared" si="122"/>
        <v>849.39606857497017</v>
      </c>
      <c r="EQ18" s="150">
        <f t="shared" si="83"/>
        <v>0.14421875000000001</v>
      </c>
      <c r="ER18" s="150">
        <f t="shared" si="84"/>
        <v>4.6150000000000004E-2</v>
      </c>
      <c r="ES18" s="456"/>
      <c r="EU18" s="144">
        <f t="shared" si="123"/>
        <v>190.36875000000001</v>
      </c>
      <c r="EV18" s="456">
        <f t="shared" si="85"/>
        <v>1.3337745098039217E-2</v>
      </c>
      <c r="EW18" s="456">
        <f t="shared" si="124"/>
        <v>2.1972266388475187E-2</v>
      </c>
      <c r="EX18" s="456">
        <f t="shared" si="86"/>
        <v>2.9825588634866569E-3</v>
      </c>
      <c r="EY18" s="456">
        <f t="shared" si="87"/>
        <v>2.496216853097192</v>
      </c>
      <c r="EZ18" s="456">
        <f t="shared" si="88"/>
        <v>2.5515159687096705</v>
      </c>
      <c r="FA18" s="538">
        <f t="shared" si="89"/>
        <v>1.6005294117647055E-2</v>
      </c>
      <c r="FB18" s="144">
        <f t="shared" si="125"/>
        <v>2567.5212628273175</v>
      </c>
      <c r="FC18" s="150">
        <f t="shared" si="126"/>
        <v>3.6072860814022873</v>
      </c>
      <c r="FD18" s="5">
        <f t="shared" si="127"/>
        <v>11.83</v>
      </c>
      <c r="FE18" s="150">
        <f t="shared" si="128"/>
        <v>0.76632640851632061</v>
      </c>
      <c r="FF18" s="5">
        <f t="shared" si="129"/>
        <v>76.632640851632061</v>
      </c>
      <c r="FG18">
        <f t="shared" si="130"/>
        <v>13</v>
      </c>
      <c r="FI18" s="59">
        <f t="shared" si="90"/>
        <v>-50</v>
      </c>
      <c r="FJ18">
        <f t="shared" si="91"/>
        <v>-50</v>
      </c>
      <c r="FL18">
        <f t="shared" si="92"/>
        <v>0.20282600370864609</v>
      </c>
    </row>
    <row r="19" spans="5:168">
      <c r="E19" s="147">
        <v>14</v>
      </c>
      <c r="F19" s="188">
        <f t="shared" si="131"/>
        <v>7.0000000000000007E-2</v>
      </c>
      <c r="G19" s="188">
        <f t="shared" si="93"/>
        <v>7.0000000000000007E-2</v>
      </c>
      <c r="H19" s="188">
        <f t="shared" si="0"/>
        <v>11.9</v>
      </c>
      <c r="I19" s="188">
        <f t="shared" si="132"/>
        <v>0.84000000000000008</v>
      </c>
      <c r="J19" s="465">
        <f t="shared" si="1"/>
        <v>11.959993660274005</v>
      </c>
      <c r="K19" s="379">
        <f t="shared" si="2"/>
        <v>8.6489071312417067</v>
      </c>
      <c r="L19" s="149">
        <f t="shared" si="3"/>
        <v>20.608900791515712</v>
      </c>
      <c r="M19" s="379"/>
      <c r="N19" s="188">
        <f t="shared" si="4"/>
        <v>0.41966853151150574</v>
      </c>
      <c r="O19" s="149">
        <f t="shared" si="94"/>
        <v>156.27648460988988</v>
      </c>
      <c r="P19" s="149">
        <f t="shared" si="5"/>
        <v>11.031281266580462</v>
      </c>
      <c r="Q19" s="188">
        <f t="shared" si="6"/>
        <v>0.91927343888170521</v>
      </c>
      <c r="R19" s="188">
        <f t="shared" si="7"/>
        <v>13.02304038415749</v>
      </c>
      <c r="S19" s="379">
        <f t="shared" si="8"/>
        <v>170</v>
      </c>
      <c r="T19" s="188">
        <f t="shared" si="9"/>
        <v>5.0764728635515244</v>
      </c>
      <c r="U19" s="188">
        <f t="shared" si="10"/>
        <v>0.63668171669857165</v>
      </c>
      <c r="V19" s="188">
        <f t="shared" si="11"/>
        <v>0.88042444898284589</v>
      </c>
      <c r="W19" s="172">
        <f t="shared" si="12"/>
        <v>250.96164881470551</v>
      </c>
      <c r="X19" s="379">
        <f t="shared" si="95"/>
        <v>350</v>
      </c>
      <c r="Z19" s="188">
        <f t="shared" si="13"/>
        <v>13.333333333333332</v>
      </c>
      <c r="AA19" s="150">
        <f t="shared" si="14"/>
        <v>2.3124308882628317</v>
      </c>
      <c r="AB19" s="150">
        <f t="shared" si="15"/>
        <v>0.1806892850605202</v>
      </c>
      <c r="AC19" s="150"/>
      <c r="AD19" s="150">
        <f t="shared" si="16"/>
        <v>2.3124308882628322</v>
      </c>
      <c r="AE19" s="314">
        <f t="shared" si="17"/>
        <v>97.223891340017076</v>
      </c>
      <c r="AF19" s="456">
        <f t="shared" si="18"/>
        <v>0.18068928506052023</v>
      </c>
      <c r="AH19" s="150">
        <f t="shared" si="19"/>
        <v>6.9665869213936702</v>
      </c>
      <c r="AI19" s="150">
        <f t="shared" si="20"/>
        <v>13.333333333333334</v>
      </c>
      <c r="AJ19" s="150">
        <f t="shared" si="21"/>
        <v>1.0555565093371526</v>
      </c>
      <c r="AL19" s="314">
        <f t="shared" si="22"/>
        <v>70</v>
      </c>
      <c r="AM19" s="144">
        <f t="shared" si="23"/>
        <v>97.223891340017076</v>
      </c>
      <c r="AO19">
        <f t="shared" si="96"/>
        <v>70</v>
      </c>
      <c r="AP19" s="144">
        <f t="shared" si="24"/>
        <v>97.223891340017076</v>
      </c>
      <c r="AQ19" s="144"/>
      <c r="AR19" s="5">
        <f t="shared" si="97"/>
        <v>10.285537702895901</v>
      </c>
      <c r="AS19" s="5">
        <f t="shared" si="25"/>
        <v>1.6722416890931528</v>
      </c>
      <c r="AT19" s="5">
        <f t="shared" si="98"/>
        <v>8.6132960138027492</v>
      </c>
      <c r="AU19" s="150">
        <f t="shared" si="99"/>
        <v>0.16258184427463931</v>
      </c>
      <c r="AW19" s="5">
        <f t="shared" si="26"/>
        <v>6.8857010727365137E-2</v>
      </c>
      <c r="AX19" s="5">
        <f t="shared" si="27"/>
        <v>0.97547431863767264</v>
      </c>
      <c r="AY19" s="5">
        <f t="shared" si="28"/>
        <v>14.283483402490987</v>
      </c>
      <c r="AZ19" s="5"/>
      <c r="BA19" s="150">
        <f t="shared" si="100"/>
        <v>3.1039458211636632</v>
      </c>
      <c r="BB19" s="150">
        <f t="shared" si="29"/>
        <v>0.32900070849086738</v>
      </c>
      <c r="BC19" s="150">
        <f t="shared" si="30"/>
        <v>0.31297401956622034</v>
      </c>
      <c r="BD19" s="150"/>
      <c r="BE19" s="456">
        <f t="shared" si="31"/>
        <v>3.2757230846445849E-2</v>
      </c>
      <c r="BF19" s="456">
        <f t="shared" si="32"/>
        <v>0.63984102496049056</v>
      </c>
      <c r="BG19" s="456">
        <f t="shared" si="33"/>
        <v>5.3256108281662801E-2</v>
      </c>
      <c r="BH19" s="456">
        <f t="shared" si="34"/>
        <v>2.8286110149082826E-2</v>
      </c>
      <c r="BI19">
        <f t="shared" si="35"/>
        <v>5.3819971471233017E-3</v>
      </c>
      <c r="BJ19" s="144">
        <f t="shared" si="101"/>
        <v>58.638105428786098</v>
      </c>
      <c r="BK19">
        <f t="shared" si="36"/>
        <v>0.71529605189653667</v>
      </c>
      <c r="BL19" s="144">
        <f t="shared" si="102"/>
        <v>715.29605189653671</v>
      </c>
      <c r="BM19" s="150">
        <f t="shared" si="37"/>
        <v>0.15531250000000002</v>
      </c>
      <c r="BN19" s="150">
        <f t="shared" si="38"/>
        <v>4.9700000000000008E-2</v>
      </c>
      <c r="BO19" s="456"/>
      <c r="BQ19" s="144">
        <f t="shared" si="103"/>
        <v>205.01250000000005</v>
      </c>
      <c r="BR19" s="456">
        <f t="shared" si="39"/>
        <v>1.4451719491079052E-2</v>
      </c>
      <c r="BS19" s="456">
        <f t="shared" si="104"/>
        <v>2.1648293237498541E-2</v>
      </c>
      <c r="BT19" s="456">
        <f t="shared" si="40"/>
        <v>2.9385821077031059E-3</v>
      </c>
      <c r="BU19" s="456">
        <f t="shared" si="41"/>
        <v>3.0251669330914384</v>
      </c>
      <c r="BV19" s="456">
        <f t="shared" si="42"/>
        <v>3.0832039065368209</v>
      </c>
      <c r="BW19" s="538">
        <f t="shared" si="43"/>
        <v>1.7284247349336371E-2</v>
      </c>
      <c r="BX19" s="144">
        <f t="shared" si="105"/>
        <v>3100.4881538861569</v>
      </c>
      <c r="BY19" s="150">
        <f t="shared" si="106"/>
        <v>4.0207967057826943</v>
      </c>
      <c r="BZ19" s="5">
        <f t="shared" si="107"/>
        <v>12.74</v>
      </c>
      <c r="CA19" s="150">
        <f t="shared" si="108"/>
        <v>0.76010706553134988</v>
      </c>
      <c r="CB19" s="5">
        <f t="shared" si="109"/>
        <v>76.010706553134995</v>
      </c>
      <c r="CC19">
        <f t="shared" si="110"/>
        <v>14.000000000000002</v>
      </c>
      <c r="CE19" s="59">
        <f t="shared" si="44"/>
        <v>-50</v>
      </c>
      <c r="CF19">
        <f t="shared" si="45"/>
        <v>-50</v>
      </c>
      <c r="CG19" s="150">
        <f t="shared" si="46"/>
        <v>0.21842800399392656</v>
      </c>
      <c r="CH19" s="150">
        <f t="shared" si="47"/>
        <v>5.9188994622302683E-2</v>
      </c>
      <c r="CI19" s="147">
        <v>14</v>
      </c>
      <c r="CJ19" s="188">
        <f t="shared" si="133"/>
        <v>7.0000000000000007E-2</v>
      </c>
      <c r="CK19" s="188">
        <f t="shared" si="111"/>
        <v>7.0000000000000007E-2</v>
      </c>
      <c r="CL19" s="188">
        <f t="shared" si="48"/>
        <v>11.9</v>
      </c>
      <c r="CM19" s="188">
        <f t="shared" si="134"/>
        <v>0.84000000000000008</v>
      </c>
      <c r="CN19" s="465">
        <f t="shared" si="112"/>
        <v>12</v>
      </c>
      <c r="CO19" s="379">
        <f t="shared" si="49"/>
        <v>8.625</v>
      </c>
      <c r="CP19" s="379">
        <f t="shared" si="50"/>
        <v>20.625</v>
      </c>
      <c r="CQ19" s="379"/>
      <c r="CR19" s="188">
        <f t="shared" si="113"/>
        <v>0.4156318480642805</v>
      </c>
      <c r="CS19" s="149">
        <f t="shared" si="114"/>
        <v>155.29102015588504</v>
      </c>
      <c r="CT19" s="149">
        <f t="shared" si="51"/>
        <v>10.961719069827179</v>
      </c>
      <c r="CU19" s="188">
        <f t="shared" si="52"/>
        <v>0.91347658915226493</v>
      </c>
      <c r="CV19" s="188">
        <f t="shared" si="53"/>
        <v>12.940918346323754</v>
      </c>
      <c r="CW19" s="379">
        <f t="shared" si="54"/>
        <v>170</v>
      </c>
      <c r="CX19" s="188">
        <f t="shared" si="55"/>
        <v>5.1086877562975976</v>
      </c>
      <c r="CY19" s="188">
        <f t="shared" si="56"/>
        <v>0.6385859695371997</v>
      </c>
      <c r="CZ19" s="188">
        <f t="shared" si="57"/>
        <v>0.88846743587784305</v>
      </c>
      <c r="DA19" s="172">
        <f t="shared" si="58"/>
        <v>250.90909090909091</v>
      </c>
      <c r="DB19" s="379">
        <f t="shared" si="115"/>
        <v>350</v>
      </c>
      <c r="DD19" s="188">
        <f t="shared" si="59"/>
        <v>13.333333333333332</v>
      </c>
      <c r="DE19" s="150">
        <f t="shared" si="60"/>
        <v>2.318840579710145</v>
      </c>
      <c r="DF19" s="150">
        <f t="shared" si="61"/>
        <v>0.18115218115218115</v>
      </c>
      <c r="DG19" s="150"/>
      <c r="DH19" s="150">
        <f t="shared" si="62"/>
        <v>2.3188405797101455</v>
      </c>
      <c r="DI19" s="314">
        <f t="shared" si="63"/>
        <v>96.955147058823513</v>
      </c>
      <c r="DJ19" s="456">
        <f t="shared" si="64"/>
        <v>0.18115218115218121</v>
      </c>
      <c r="DL19" s="150">
        <f t="shared" si="65"/>
        <v>6.9665869213936702</v>
      </c>
      <c r="DM19" s="150">
        <f t="shared" si="66"/>
        <v>13.333333333333334</v>
      </c>
      <c r="DN19" s="150">
        <f t="shared" si="67"/>
        <v>1.0554029411764705</v>
      </c>
      <c r="DP19" s="314">
        <f t="shared" si="68"/>
        <v>70</v>
      </c>
      <c r="DQ19" s="144">
        <f t="shared" si="69"/>
        <v>96.955147058823513</v>
      </c>
      <c r="DS19">
        <f t="shared" si="116"/>
        <v>70</v>
      </c>
      <c r="DT19" s="144">
        <f t="shared" si="70"/>
        <v>96.955147058823513</v>
      </c>
      <c r="DU19" s="144"/>
      <c r="DV19" s="5">
        <f t="shared" si="117"/>
        <v>10.314047581128328</v>
      </c>
      <c r="DW19" s="5">
        <f t="shared" si="71"/>
        <v>1.666666666666667</v>
      </c>
      <c r="DX19" s="5">
        <f t="shared" si="118"/>
        <v>8.6473809144616602</v>
      </c>
      <c r="DY19" s="150">
        <f t="shared" si="119"/>
        <v>0.16159191176470589</v>
      </c>
      <c r="EA19" s="5">
        <f t="shared" si="72"/>
        <v>6.8627450980392163E-2</v>
      </c>
      <c r="EB19" s="5">
        <f t="shared" si="73"/>
        <v>0.97222222222222254</v>
      </c>
      <c r="EC19" s="5">
        <f t="shared" si="74"/>
        <v>14.292199011401907</v>
      </c>
      <c r="ED19" s="5"/>
      <c r="EE19" s="150">
        <f t="shared" si="120"/>
        <v>3.0944817002955523</v>
      </c>
      <c r="EF19" s="150">
        <f t="shared" si="75"/>
        <v>0.32919511095316262</v>
      </c>
      <c r="EG19" s="150">
        <f t="shared" si="76"/>
        <v>0.31315895205562805</v>
      </c>
      <c r="EH19" s="150"/>
      <c r="EI19" s="456">
        <f t="shared" si="77"/>
        <v>3.2557777777777776E-2</v>
      </c>
      <c r="EJ19" s="456">
        <f t="shared" si="78"/>
        <v>0.81054502941176465</v>
      </c>
      <c r="EK19" s="456">
        <f t="shared" si="79"/>
        <v>2.2202728676470586E-2</v>
      </c>
      <c r="EL19" s="456">
        <f t="shared" si="80"/>
        <v>2.8252010263959092E-2</v>
      </c>
      <c r="EM19">
        <f t="shared" si="81"/>
        <v>5.4000000000000003E-3</v>
      </c>
      <c r="EN19" s="144">
        <f t="shared" si="121"/>
        <v>27.602728676470587</v>
      </c>
      <c r="EO19">
        <f t="shared" si="82"/>
        <v>0.91482498336891849</v>
      </c>
      <c r="EP19" s="144">
        <f t="shared" si="122"/>
        <v>914.82498336891854</v>
      </c>
      <c r="EQ19" s="150">
        <f t="shared" si="83"/>
        <v>0.15531250000000002</v>
      </c>
      <c r="ER19" s="150">
        <f t="shared" si="84"/>
        <v>4.9700000000000008E-2</v>
      </c>
      <c r="ES19" s="456"/>
      <c r="EU19" s="144">
        <f t="shared" si="123"/>
        <v>205.01250000000005</v>
      </c>
      <c r="EV19" s="456">
        <f t="shared" si="85"/>
        <v>1.4363725490196079E-2</v>
      </c>
      <c r="EW19" s="456">
        <f t="shared" si="124"/>
        <v>2.167388421509301E-2</v>
      </c>
      <c r="EX19" s="456">
        <f t="shared" si="86"/>
        <v>2.9420558775773739E-3</v>
      </c>
      <c r="EY19" s="456">
        <f t="shared" si="87"/>
        <v>3.0043049919645104</v>
      </c>
      <c r="EZ19" s="456">
        <f t="shared" si="88"/>
        <v>3.0621888249952574</v>
      </c>
      <c r="FA19" s="538">
        <f t="shared" si="89"/>
        <v>1.7236470588235298E-2</v>
      </c>
      <c r="FB19" s="144">
        <f t="shared" si="125"/>
        <v>3079.4252955834922</v>
      </c>
      <c r="FC19" s="150">
        <f t="shared" si="126"/>
        <v>4.1992627789524111</v>
      </c>
      <c r="FD19" s="5">
        <f t="shared" si="127"/>
        <v>12.74</v>
      </c>
      <c r="FE19" s="150">
        <f t="shared" si="128"/>
        <v>0.75209884670009763</v>
      </c>
      <c r="FF19" s="5">
        <f t="shared" si="129"/>
        <v>75.209884670009757</v>
      </c>
      <c r="FG19">
        <f t="shared" si="130"/>
        <v>14.000000000000002</v>
      </c>
      <c r="FI19" s="59">
        <f t="shared" si="90"/>
        <v>-50</v>
      </c>
      <c r="FJ19">
        <f t="shared" si="91"/>
        <v>-50</v>
      </c>
      <c r="FL19">
        <f t="shared" si="92"/>
        <v>0.21842800399392656</v>
      </c>
    </row>
    <row r="20" spans="5:168">
      <c r="E20" s="147">
        <v>15</v>
      </c>
      <c r="F20" s="188">
        <f t="shared" si="131"/>
        <v>7.4999999999999997E-2</v>
      </c>
      <c r="G20" s="188">
        <f t="shared" si="93"/>
        <v>7.4999999999999997E-2</v>
      </c>
      <c r="H20" s="188">
        <f t="shared" si="0"/>
        <v>12.75</v>
      </c>
      <c r="I20" s="188">
        <f t="shared" si="132"/>
        <v>0.89999999999999991</v>
      </c>
      <c r="J20" s="465">
        <f t="shared" si="1"/>
        <v>11.959993660274005</v>
      </c>
      <c r="K20" s="379">
        <f t="shared" si="2"/>
        <v>8.6489071312417067</v>
      </c>
      <c r="L20" s="149">
        <f t="shared" si="3"/>
        <v>20.608900791515712</v>
      </c>
      <c r="M20" s="379"/>
      <c r="N20" s="188">
        <f t="shared" si="4"/>
        <v>0.41966853151150574</v>
      </c>
      <c r="O20" s="149">
        <f t="shared" si="94"/>
        <v>156.27648460988988</v>
      </c>
      <c r="P20" s="149">
        <f t="shared" si="5"/>
        <v>11.031281266580462</v>
      </c>
      <c r="Q20" s="188">
        <f t="shared" si="6"/>
        <v>0.91927343888170521</v>
      </c>
      <c r="R20" s="188">
        <f t="shared" si="7"/>
        <v>13.02304038415749</v>
      </c>
      <c r="S20" s="379">
        <f t="shared" si="8"/>
        <v>170</v>
      </c>
      <c r="T20" s="188">
        <f t="shared" si="9"/>
        <v>5.439078068090919</v>
      </c>
      <c r="U20" s="188">
        <f t="shared" si="10"/>
        <v>0.68215898217704096</v>
      </c>
      <c r="V20" s="188">
        <f t="shared" si="11"/>
        <v>0.94331190962447775</v>
      </c>
      <c r="W20" s="172">
        <f t="shared" si="12"/>
        <v>250.96164881470551</v>
      </c>
      <c r="X20" s="379">
        <f t="shared" si="95"/>
        <v>350</v>
      </c>
      <c r="Z20" s="188">
        <f t="shared" si="13"/>
        <v>13.333333333333332</v>
      </c>
      <c r="AA20" s="150">
        <f t="shared" si="14"/>
        <v>2.3124308882628317</v>
      </c>
      <c r="AB20" s="150">
        <f t="shared" si="15"/>
        <v>0.1806892850605202</v>
      </c>
      <c r="AC20" s="150"/>
      <c r="AD20" s="150">
        <f t="shared" si="16"/>
        <v>2.3124308882628322</v>
      </c>
      <c r="AE20" s="314">
        <f t="shared" si="17"/>
        <v>104.16845500716113</v>
      </c>
      <c r="AF20" s="456">
        <f t="shared" si="18"/>
        <v>0.18068928506052023</v>
      </c>
      <c r="AH20" s="150">
        <f t="shared" si="19"/>
        <v>7.2111025509279782</v>
      </c>
      <c r="AI20" s="150">
        <f t="shared" si="20"/>
        <v>13.333333333333334</v>
      </c>
      <c r="AJ20" s="150">
        <f t="shared" si="21"/>
        <v>1.0595248314326635</v>
      </c>
      <c r="AL20" s="314">
        <f t="shared" si="22"/>
        <v>75</v>
      </c>
      <c r="AM20" s="144">
        <f t="shared" si="23"/>
        <v>104.16845500716113</v>
      </c>
      <c r="AO20">
        <f t="shared" si="96"/>
        <v>75</v>
      </c>
      <c r="AP20" s="144">
        <f t="shared" si="24"/>
        <v>104.16845500716113</v>
      </c>
      <c r="AQ20" s="144"/>
      <c r="AR20" s="5">
        <f t="shared" si="97"/>
        <v>9.5998351893695109</v>
      </c>
      <c r="AS20" s="5">
        <f t="shared" si="25"/>
        <v>1.6722416890931528</v>
      </c>
      <c r="AT20" s="5">
        <f t="shared" si="98"/>
        <v>7.927593500276358</v>
      </c>
      <c r="AU20" s="150">
        <f t="shared" si="99"/>
        <v>0.17419483315139922</v>
      </c>
      <c r="AW20" s="5">
        <f t="shared" si="26"/>
        <v>7.3775368636462627E-2</v>
      </c>
      <c r="AX20" s="5">
        <f t="shared" si="27"/>
        <v>1.0451510556832204</v>
      </c>
      <c r="AY20" s="5">
        <f t="shared" si="28"/>
        <v>14.08540561693016</v>
      </c>
      <c r="AZ20" s="5"/>
      <c r="BA20" s="150">
        <f t="shared" si="100"/>
        <v>3.212889163874499</v>
      </c>
      <c r="BB20" s="150">
        <f t="shared" si="29"/>
        <v>0.32671151752842548</v>
      </c>
      <c r="BC20" s="150">
        <f t="shared" si="30"/>
        <v>0.31079634250176502</v>
      </c>
      <c r="BD20" s="150"/>
      <c r="BE20" s="456">
        <f t="shared" si="31"/>
        <v>3.5097033049763401E-2</v>
      </c>
      <c r="BF20" s="456">
        <f t="shared" si="32"/>
        <v>0.68554395531481116</v>
      </c>
      <c r="BG20" s="456">
        <f t="shared" si="33"/>
        <v>5.7060116016067274E-2</v>
      </c>
      <c r="BH20" s="456">
        <f t="shared" si="34"/>
        <v>3.0306546588303018E-2</v>
      </c>
      <c r="BI20">
        <f t="shared" si="35"/>
        <v>5.3819971471233017E-3</v>
      </c>
      <c r="BJ20" s="144">
        <f t="shared" si="101"/>
        <v>62.442113163190569</v>
      </c>
      <c r="BK20">
        <f t="shared" si="36"/>
        <v>0.76681827367585453</v>
      </c>
      <c r="BL20" s="144">
        <f t="shared" si="102"/>
        <v>766.81827367585458</v>
      </c>
      <c r="BM20" s="150">
        <f t="shared" si="37"/>
        <v>0.16640624999999998</v>
      </c>
      <c r="BN20" s="150">
        <f t="shared" si="38"/>
        <v>5.3249999999999999E-2</v>
      </c>
      <c r="BO20" s="456"/>
      <c r="BQ20" s="144">
        <f t="shared" si="103"/>
        <v>219.65624999999997</v>
      </c>
      <c r="BR20" s="456">
        <f t="shared" si="39"/>
        <v>1.5483985169013266E-2</v>
      </c>
      <c r="BS20" s="456">
        <f t="shared" si="104"/>
        <v>2.1348083137145334E-2</v>
      </c>
      <c r="BT20" s="456">
        <f t="shared" si="40"/>
        <v>2.8978309953742328E-3</v>
      </c>
      <c r="BU20" s="456">
        <f t="shared" si="41"/>
        <v>3.5946565572875477</v>
      </c>
      <c r="BV20" s="456">
        <f t="shared" si="42"/>
        <v>3.6555403724927942</v>
      </c>
      <c r="BW20" s="538">
        <f t="shared" si="43"/>
        <v>1.8518836445717536E-2</v>
      </c>
      <c r="BX20" s="144">
        <f t="shared" si="105"/>
        <v>3674.0592089385113</v>
      </c>
      <c r="BY20" s="150">
        <f t="shared" si="106"/>
        <v>4.6605337326143657</v>
      </c>
      <c r="BZ20" s="5">
        <f t="shared" si="107"/>
        <v>13.65</v>
      </c>
      <c r="CA20" s="150">
        <f t="shared" si="108"/>
        <v>0.74547253506252986</v>
      </c>
      <c r="CB20" s="5">
        <f t="shared" si="109"/>
        <v>74.547253506252986</v>
      </c>
      <c r="CC20">
        <f t="shared" si="110"/>
        <v>15</v>
      </c>
      <c r="CE20" s="59">
        <f t="shared" si="44"/>
        <v>-50</v>
      </c>
      <c r="CF20">
        <f t="shared" si="45"/>
        <v>-50</v>
      </c>
      <c r="CG20" s="150">
        <f t="shared" si="46"/>
        <v>0.234030004279207</v>
      </c>
      <c r="CH20" s="150">
        <f t="shared" si="47"/>
        <v>6.3416779952467153E-2</v>
      </c>
      <c r="CI20" s="147">
        <v>15</v>
      </c>
      <c r="CJ20" s="188">
        <f t="shared" si="133"/>
        <v>7.4999999999999997E-2</v>
      </c>
      <c r="CK20" s="188">
        <f t="shared" si="111"/>
        <v>7.4999999999999997E-2</v>
      </c>
      <c r="CL20" s="188">
        <f t="shared" si="48"/>
        <v>12.75</v>
      </c>
      <c r="CM20" s="188">
        <f t="shared" si="134"/>
        <v>0.89999999999999991</v>
      </c>
      <c r="CN20" s="465">
        <f t="shared" si="112"/>
        <v>12</v>
      </c>
      <c r="CO20" s="379">
        <f t="shared" si="49"/>
        <v>8.625</v>
      </c>
      <c r="CP20" s="379">
        <f t="shared" si="50"/>
        <v>20.625</v>
      </c>
      <c r="CQ20" s="379"/>
      <c r="CR20" s="188">
        <f t="shared" si="113"/>
        <v>0.4156318480642805</v>
      </c>
      <c r="CS20" s="149">
        <f t="shared" si="114"/>
        <v>155.29102015588504</v>
      </c>
      <c r="CT20" s="149">
        <f t="shared" si="51"/>
        <v>10.961719069827179</v>
      </c>
      <c r="CU20" s="188">
        <f t="shared" si="52"/>
        <v>0.91347658915226493</v>
      </c>
      <c r="CV20" s="188">
        <f t="shared" si="53"/>
        <v>12.940918346323754</v>
      </c>
      <c r="CW20" s="379">
        <f t="shared" si="54"/>
        <v>170</v>
      </c>
      <c r="CX20" s="188">
        <f t="shared" si="55"/>
        <v>5.4735940246045693</v>
      </c>
      <c r="CY20" s="188">
        <f t="shared" si="56"/>
        <v>0.68419925307557117</v>
      </c>
      <c r="CZ20" s="188">
        <f t="shared" si="57"/>
        <v>0.95192939558340339</v>
      </c>
      <c r="DA20" s="172">
        <f t="shared" si="58"/>
        <v>250.90909090909091</v>
      </c>
      <c r="DB20" s="379">
        <f t="shared" si="115"/>
        <v>350</v>
      </c>
      <c r="DD20" s="188">
        <f t="shared" si="59"/>
        <v>13.333333333333332</v>
      </c>
      <c r="DE20" s="150">
        <f t="shared" si="60"/>
        <v>2.318840579710145</v>
      </c>
      <c r="DF20" s="150">
        <f t="shared" si="61"/>
        <v>0.18115218115218115</v>
      </c>
      <c r="DG20" s="150"/>
      <c r="DH20" s="150">
        <f t="shared" si="62"/>
        <v>2.3188405797101455</v>
      </c>
      <c r="DI20" s="314">
        <f t="shared" si="63"/>
        <v>103.88051470588231</v>
      </c>
      <c r="DJ20" s="456">
        <f t="shared" si="64"/>
        <v>0.18115218115218121</v>
      </c>
      <c r="DL20" s="150">
        <f t="shared" si="65"/>
        <v>7.2111025509279782</v>
      </c>
      <c r="DM20" s="150">
        <f t="shared" si="66"/>
        <v>13.333333333333334</v>
      </c>
      <c r="DN20" s="150">
        <f t="shared" si="67"/>
        <v>1.059360294117647</v>
      </c>
      <c r="DP20" s="314">
        <f t="shared" si="68"/>
        <v>75</v>
      </c>
      <c r="DQ20" s="144">
        <f t="shared" si="69"/>
        <v>103.88051470588231</v>
      </c>
      <c r="DS20">
        <f t="shared" si="116"/>
        <v>75</v>
      </c>
      <c r="DT20" s="144">
        <f t="shared" si="70"/>
        <v>103.88051470588231</v>
      </c>
      <c r="DU20" s="144"/>
      <c r="DV20" s="5">
        <f t="shared" si="117"/>
        <v>9.6264444090531089</v>
      </c>
      <c r="DW20" s="5">
        <f t="shared" si="71"/>
        <v>1.666666666666667</v>
      </c>
      <c r="DX20" s="5">
        <f t="shared" si="118"/>
        <v>7.959777742386442</v>
      </c>
      <c r="DY20" s="150">
        <f t="shared" si="119"/>
        <v>0.17313419117647055</v>
      </c>
      <c r="EA20" s="5">
        <f t="shared" si="72"/>
        <v>7.3529411764705899E-2</v>
      </c>
      <c r="EB20" s="5">
        <f t="shared" si="73"/>
        <v>1.041666666666667</v>
      </c>
      <c r="EC20" s="5">
        <f t="shared" si="74"/>
        <v>14.095439752142655</v>
      </c>
      <c r="ED20" s="5"/>
      <c r="EE20" s="150">
        <f t="shared" si="120"/>
        <v>3.2030928680836941</v>
      </c>
      <c r="EF20" s="150">
        <f t="shared" si="75"/>
        <v>0.32692125995192511</v>
      </c>
      <c r="EG20" s="150">
        <f t="shared" si="76"/>
        <v>0.31099586769323756</v>
      </c>
      <c r="EH20" s="150"/>
      <c r="EI20" s="456">
        <f t="shared" si="77"/>
        <v>3.4883333333333329E-2</v>
      </c>
      <c r="EJ20" s="456">
        <f t="shared" si="78"/>
        <v>0.86844110294117605</v>
      </c>
      <c r="EK20" s="456">
        <f t="shared" si="79"/>
        <v>2.3788637867647049E-2</v>
      </c>
      <c r="EL20" s="456">
        <f t="shared" si="80"/>
        <v>3.0270010997099021E-2</v>
      </c>
      <c r="EM20">
        <f t="shared" si="81"/>
        <v>5.4000000000000003E-3</v>
      </c>
      <c r="EN20" s="144">
        <f t="shared" si="121"/>
        <v>29.188637867647049</v>
      </c>
      <c r="EO20">
        <f t="shared" si="82"/>
        <v>0.98032680821726648</v>
      </c>
      <c r="EP20" s="144">
        <f t="shared" si="122"/>
        <v>980.32680821726649</v>
      </c>
      <c r="EQ20" s="150">
        <f t="shared" si="83"/>
        <v>0.16640624999999998</v>
      </c>
      <c r="ER20" s="150">
        <f t="shared" si="84"/>
        <v>5.3249999999999999E-2</v>
      </c>
      <c r="ES20" s="456"/>
      <c r="EU20" s="144">
        <f t="shared" si="123"/>
        <v>219.65624999999997</v>
      </c>
      <c r="EV20" s="456">
        <f t="shared" si="85"/>
        <v>1.5389705882352939E-2</v>
      </c>
      <c r="EW20" s="456">
        <f t="shared" si="124"/>
        <v>2.1375502041710841E-2</v>
      </c>
      <c r="EX20" s="456">
        <f t="shared" si="86"/>
        <v>2.9015528916680917E-3</v>
      </c>
      <c r="EY20" s="456">
        <f t="shared" si="87"/>
        <v>3.569867342302639</v>
      </c>
      <c r="EZ20" s="456">
        <f t="shared" si="88"/>
        <v>3.6305751782918132</v>
      </c>
      <c r="FA20" s="538">
        <f t="shared" si="89"/>
        <v>1.8467647058823526E-2</v>
      </c>
      <c r="FB20" s="144">
        <f t="shared" si="125"/>
        <v>3649.042825350637</v>
      </c>
      <c r="FC20" s="150">
        <f t="shared" si="126"/>
        <v>4.8490258835679034</v>
      </c>
      <c r="FD20" s="5">
        <f t="shared" si="127"/>
        <v>13.65</v>
      </c>
      <c r="FE20" s="150">
        <f t="shared" si="128"/>
        <v>0.7378766906923927</v>
      </c>
      <c r="FF20" s="5">
        <f t="shared" si="129"/>
        <v>73.787669069239271</v>
      </c>
      <c r="FG20">
        <f t="shared" si="130"/>
        <v>15</v>
      </c>
      <c r="FI20" s="59">
        <f t="shared" si="90"/>
        <v>-50</v>
      </c>
      <c r="FJ20">
        <f t="shared" si="91"/>
        <v>-50</v>
      </c>
      <c r="FL20">
        <f t="shared" si="92"/>
        <v>0.23403000427920698</v>
      </c>
    </row>
    <row r="21" spans="5:168" s="59" customFormat="1">
      <c r="E21" s="147">
        <v>16</v>
      </c>
      <c r="F21" s="188">
        <f t="shared" si="131"/>
        <v>0.08</v>
      </c>
      <c r="G21" s="188">
        <f t="shared" si="93"/>
        <v>0.08</v>
      </c>
      <c r="H21" s="188">
        <f t="shared" si="0"/>
        <v>13.6</v>
      </c>
      <c r="I21" s="188">
        <f t="shared" si="132"/>
        <v>0.96</v>
      </c>
      <c r="J21" s="465">
        <f t="shared" si="1"/>
        <v>11.959993660274005</v>
      </c>
      <c r="K21" s="379">
        <f t="shared" si="2"/>
        <v>8.6489071312417067</v>
      </c>
      <c r="L21" s="149">
        <f t="shared" si="3"/>
        <v>20.608900791515712</v>
      </c>
      <c r="M21" s="379"/>
      <c r="N21" s="188">
        <f t="shared" si="4"/>
        <v>0.41966853151150574</v>
      </c>
      <c r="O21" s="149">
        <f t="shared" si="94"/>
        <v>156.27648460988988</v>
      </c>
      <c r="P21" s="149">
        <f t="shared" si="5"/>
        <v>11.031281266580462</v>
      </c>
      <c r="Q21" s="188">
        <f t="shared" si="6"/>
        <v>0.91927343888170521</v>
      </c>
      <c r="R21" s="188">
        <f t="shared" si="7"/>
        <v>13.02304038415749</v>
      </c>
      <c r="S21" s="379">
        <f t="shared" si="8"/>
        <v>170</v>
      </c>
      <c r="T21" s="188">
        <f t="shared" si="9"/>
        <v>5.8016832726303127</v>
      </c>
      <c r="U21" s="188">
        <f t="shared" si="10"/>
        <v>0.72763624765551038</v>
      </c>
      <c r="V21" s="188">
        <f t="shared" si="11"/>
        <v>1.0061993702661096</v>
      </c>
      <c r="W21" s="172">
        <f t="shared" si="12"/>
        <v>250.96164881470551</v>
      </c>
      <c r="X21" s="379">
        <f t="shared" si="95"/>
        <v>350</v>
      </c>
      <c r="Z21" s="188">
        <f t="shared" si="13"/>
        <v>13.333333333333332</v>
      </c>
      <c r="AA21" s="150">
        <f t="shared" si="14"/>
        <v>2.3124308882628317</v>
      </c>
      <c r="AB21" s="150">
        <f t="shared" si="15"/>
        <v>0.1806892850605202</v>
      </c>
      <c r="AC21" s="462"/>
      <c r="AD21" s="150">
        <f t="shared" si="16"/>
        <v>2.3124308882628322</v>
      </c>
      <c r="AE21" s="314">
        <f t="shared" si="17"/>
        <v>111.11301867430521</v>
      </c>
      <c r="AF21" s="456">
        <f t="shared" si="18"/>
        <v>0.18068928506052023</v>
      </c>
      <c r="AG21"/>
      <c r="AH21" s="150">
        <f t="shared" si="19"/>
        <v>7.447594690010102</v>
      </c>
      <c r="AI21" s="150">
        <f t="shared" si="20"/>
        <v>13.333333333333334</v>
      </c>
      <c r="AJ21" s="150">
        <f t="shared" si="21"/>
        <v>1.0634931535281744</v>
      </c>
      <c r="AL21" s="314">
        <f t="shared" si="22"/>
        <v>80</v>
      </c>
      <c r="AM21" s="144">
        <f t="shared" si="23"/>
        <v>111.11301867430521</v>
      </c>
      <c r="AO21">
        <f t="shared" si="96"/>
        <v>80</v>
      </c>
      <c r="AP21" s="144">
        <f t="shared" si="24"/>
        <v>111.11301867430521</v>
      </c>
      <c r="AQ21" s="144"/>
      <c r="AR21" s="5">
        <f t="shared" si="97"/>
        <v>8.9998454900339162</v>
      </c>
      <c r="AS21" s="5">
        <f t="shared" si="25"/>
        <v>1.6722416890931528</v>
      </c>
      <c r="AT21" s="5">
        <f t="shared" si="98"/>
        <v>7.3276038009407634</v>
      </c>
      <c r="AU21" s="150">
        <f t="shared" si="99"/>
        <v>0.18580782202815918</v>
      </c>
      <c r="AW21" s="5">
        <f t="shared" si="26"/>
        <v>7.8693726545560144E-2</v>
      </c>
      <c r="AX21" s="5">
        <f t="shared" si="27"/>
        <v>1.1148277927287689</v>
      </c>
      <c r="AY21" s="5">
        <f t="shared" si="28"/>
        <v>13.88732783136933</v>
      </c>
      <c r="AZ21" s="5"/>
      <c r="BA21" s="150">
        <f t="shared" si="100"/>
        <v>3.3182576599723221</v>
      </c>
      <c r="BB21" s="150">
        <f t="shared" si="29"/>
        <v>0.32440617315945242</v>
      </c>
      <c r="BC21" s="150">
        <f t="shared" si="30"/>
        <v>0.30860329891547167</v>
      </c>
      <c r="BD21" s="150"/>
      <c r="BE21" s="456">
        <f t="shared" si="31"/>
        <v>3.7436835253080968E-2</v>
      </c>
      <c r="BF21" s="456">
        <f t="shared" si="32"/>
        <v>0.73124688566913187</v>
      </c>
      <c r="BG21" s="456">
        <f t="shared" si="33"/>
        <v>6.086412375047176E-2</v>
      </c>
      <c r="BH21" s="456">
        <f t="shared" si="34"/>
        <v>3.2326983027523223E-2</v>
      </c>
      <c r="BI21">
        <f t="shared" si="35"/>
        <v>5.3819971471233017E-3</v>
      </c>
      <c r="BJ21" s="144">
        <f t="shared" si="101"/>
        <v>66.246120897595063</v>
      </c>
      <c r="BK21">
        <f t="shared" si="36"/>
        <v>0.81839829580803247</v>
      </c>
      <c r="BL21" s="144">
        <f t="shared" si="102"/>
        <v>818.39829580803246</v>
      </c>
      <c r="BM21" s="150">
        <f t="shared" si="37"/>
        <v>0.17749999999999999</v>
      </c>
      <c r="BN21" s="150">
        <f t="shared" si="38"/>
        <v>5.6799999999999996E-2</v>
      </c>
      <c r="BO21" s="456"/>
      <c r="BQ21" s="144">
        <f t="shared" si="103"/>
        <v>234.29999999999998</v>
      </c>
      <c r="BR21" s="456">
        <f t="shared" si="39"/>
        <v>1.6516250846947488E-2</v>
      </c>
      <c r="BS21" s="456">
        <f t="shared" si="104"/>
        <v>2.1047873036792127E-2</v>
      </c>
      <c r="BT21" s="456">
        <f t="shared" si="40"/>
        <v>2.8570798830453584E-3</v>
      </c>
      <c r="BU21" s="456">
        <f t="shared" si="41"/>
        <v>4.2240515737099242</v>
      </c>
      <c r="BV21" s="456">
        <f t="shared" si="42"/>
        <v>4.2880400857460241</v>
      </c>
      <c r="BW21" s="538">
        <f t="shared" si="43"/>
        <v>1.9753425542098708E-2</v>
      </c>
      <c r="BX21" s="144">
        <f t="shared" si="105"/>
        <v>4307.7935112881232</v>
      </c>
      <c r="BY21" s="150">
        <f t="shared" si="106"/>
        <v>5.3604918070961558</v>
      </c>
      <c r="BZ21" s="5">
        <f t="shared" si="107"/>
        <v>14.559999999999999</v>
      </c>
      <c r="CA21" s="150">
        <f t="shared" si="108"/>
        <v>0.73090564936822389</v>
      </c>
      <c r="CB21" s="5">
        <f t="shared" si="109"/>
        <v>73.090564936822389</v>
      </c>
      <c r="CC21">
        <f t="shared" si="110"/>
        <v>16</v>
      </c>
      <c r="CE21" s="59">
        <f t="shared" si="44"/>
        <v>-50</v>
      </c>
      <c r="CF21">
        <f t="shared" si="45"/>
        <v>-50</v>
      </c>
      <c r="CG21" s="150">
        <f t="shared" si="46"/>
        <v>0.24963200456448753</v>
      </c>
      <c r="CH21" s="150">
        <f t="shared" si="47"/>
        <v>6.7644565282631644E-2</v>
      </c>
      <c r="CI21" s="147">
        <v>16</v>
      </c>
      <c r="CJ21" s="188">
        <f t="shared" si="133"/>
        <v>0.08</v>
      </c>
      <c r="CK21" s="188">
        <f t="shared" si="111"/>
        <v>0.08</v>
      </c>
      <c r="CL21" s="188">
        <f t="shared" si="48"/>
        <v>13.6</v>
      </c>
      <c r="CM21" s="188">
        <f t="shared" si="134"/>
        <v>0.96</v>
      </c>
      <c r="CN21" s="465">
        <f t="shared" si="112"/>
        <v>12</v>
      </c>
      <c r="CO21" s="379">
        <f t="shared" si="49"/>
        <v>8.625</v>
      </c>
      <c r="CP21" s="379">
        <f t="shared" si="50"/>
        <v>20.625</v>
      </c>
      <c r="CQ21" s="379"/>
      <c r="CR21" s="188">
        <f t="shared" si="113"/>
        <v>0.4156318480642805</v>
      </c>
      <c r="CS21" s="149">
        <f t="shared" si="114"/>
        <v>155.29102015588504</v>
      </c>
      <c r="CT21" s="149">
        <f t="shared" si="51"/>
        <v>10.961719069827179</v>
      </c>
      <c r="CU21" s="188">
        <f t="shared" si="52"/>
        <v>0.91347658915226493</v>
      </c>
      <c r="CV21" s="188">
        <f t="shared" si="53"/>
        <v>12.940918346323754</v>
      </c>
      <c r="CW21" s="379">
        <f t="shared" si="54"/>
        <v>170</v>
      </c>
      <c r="CX21" s="188">
        <f t="shared" si="55"/>
        <v>5.8385002929115402</v>
      </c>
      <c r="CY21" s="188">
        <f t="shared" si="56"/>
        <v>0.72981253661394252</v>
      </c>
      <c r="CZ21" s="188">
        <f t="shared" si="57"/>
        <v>1.0153913552889635</v>
      </c>
      <c r="DA21" s="172">
        <f t="shared" si="58"/>
        <v>250.90909090909091</v>
      </c>
      <c r="DB21" s="379">
        <f t="shared" si="115"/>
        <v>350</v>
      </c>
      <c r="DD21" s="188">
        <f t="shared" si="59"/>
        <v>13.333333333333332</v>
      </c>
      <c r="DE21" s="150">
        <f t="shared" si="60"/>
        <v>2.318840579710145</v>
      </c>
      <c r="DF21" s="150">
        <f t="shared" si="61"/>
        <v>0.18115218115218115</v>
      </c>
      <c r="DG21" s="462"/>
      <c r="DH21" s="150">
        <f t="shared" si="62"/>
        <v>2.3188405797101455</v>
      </c>
      <c r="DI21" s="314">
        <f t="shared" si="63"/>
        <v>110.80588235294115</v>
      </c>
      <c r="DJ21" s="456">
        <f t="shared" si="64"/>
        <v>0.18115218115218121</v>
      </c>
      <c r="DK21"/>
      <c r="DL21" s="150">
        <f t="shared" si="65"/>
        <v>7.447594690010102</v>
      </c>
      <c r="DM21" s="150">
        <f t="shared" si="66"/>
        <v>13.333333333333334</v>
      </c>
      <c r="DN21" s="150">
        <f t="shared" si="67"/>
        <v>1.0633176470588235</v>
      </c>
      <c r="DP21" s="314">
        <f t="shared" si="68"/>
        <v>80</v>
      </c>
      <c r="DQ21" s="144">
        <f t="shared" si="69"/>
        <v>110.80588235294115</v>
      </c>
      <c r="DS21">
        <f t="shared" si="116"/>
        <v>80</v>
      </c>
      <c r="DT21" s="144">
        <f t="shared" si="70"/>
        <v>110.80588235294115</v>
      </c>
      <c r="DU21" s="144"/>
      <c r="DV21" s="5">
        <f t="shared" si="117"/>
        <v>9.024791633487288</v>
      </c>
      <c r="DW21" s="5">
        <f t="shared" si="71"/>
        <v>1.666666666666667</v>
      </c>
      <c r="DX21" s="5">
        <f t="shared" si="118"/>
        <v>7.358124966820621</v>
      </c>
      <c r="DY21" s="150">
        <f t="shared" si="119"/>
        <v>0.18467647058823528</v>
      </c>
      <c r="EA21" s="5">
        <f t="shared" si="72"/>
        <v>7.8431372549019621E-2</v>
      </c>
      <c r="EB21" s="5">
        <f t="shared" si="73"/>
        <v>1.1111111111111114</v>
      </c>
      <c r="EC21" s="5">
        <f t="shared" si="74"/>
        <v>13.898680492883393</v>
      </c>
      <c r="ED21" s="5"/>
      <c r="EE21" s="150">
        <f t="shared" si="120"/>
        <v>3.3081400891850397</v>
      </c>
      <c r="EF21" s="150">
        <f t="shared" si="75"/>
        <v>0.32463148236368472</v>
      </c>
      <c r="EG21" s="150">
        <f t="shared" si="76"/>
        <v>0.30881763257942429</v>
      </c>
      <c r="EH21" s="150"/>
      <c r="EI21" s="456">
        <f t="shared" si="77"/>
        <v>3.7208888888888889E-2</v>
      </c>
      <c r="EJ21" s="456">
        <f t="shared" si="78"/>
        <v>0.92633717647058811</v>
      </c>
      <c r="EK21" s="456">
        <f t="shared" si="79"/>
        <v>2.5374547058823527E-2</v>
      </c>
      <c r="EL21" s="456">
        <f t="shared" si="80"/>
        <v>3.2288011730238965E-2</v>
      </c>
      <c r="EM21">
        <f t="shared" si="81"/>
        <v>5.4000000000000003E-3</v>
      </c>
      <c r="EN21" s="144">
        <f t="shared" si="121"/>
        <v>30.774547058823529</v>
      </c>
      <c r="EO21">
        <f t="shared" si="82"/>
        <v>1.0459016650578361</v>
      </c>
      <c r="EP21" s="144">
        <f t="shared" si="122"/>
        <v>1045.901665057836</v>
      </c>
      <c r="EQ21" s="150">
        <f t="shared" si="83"/>
        <v>0.17749999999999999</v>
      </c>
      <c r="ER21" s="150">
        <f t="shared" si="84"/>
        <v>5.6799999999999996E-2</v>
      </c>
      <c r="ES21" s="456"/>
      <c r="EU21" s="144">
        <f t="shared" si="123"/>
        <v>234.29999999999998</v>
      </c>
      <c r="EV21" s="456">
        <f t="shared" si="85"/>
        <v>1.6415686274509806E-2</v>
      </c>
      <c r="EW21" s="456">
        <f t="shared" si="124"/>
        <v>2.1077119868328671E-2</v>
      </c>
      <c r="EX21" s="456">
        <f t="shared" si="86"/>
        <v>2.8610499057588087E-3</v>
      </c>
      <c r="EY21" s="456">
        <f t="shared" si="87"/>
        <v>4.1949219695601965</v>
      </c>
      <c r="EZ21" s="456">
        <f t="shared" si="88"/>
        <v>4.258709178030303</v>
      </c>
      <c r="FA21" s="538">
        <f t="shared" si="89"/>
        <v>1.9698823529411765E-2</v>
      </c>
      <c r="FB21" s="144">
        <f t="shared" si="125"/>
        <v>4278.4080015597146</v>
      </c>
      <c r="FC21" s="150">
        <f t="shared" si="126"/>
        <v>5.5586096666175511</v>
      </c>
      <c r="FD21" s="5">
        <f t="shared" si="127"/>
        <v>14.559999999999999</v>
      </c>
      <c r="FE21" s="150">
        <f t="shared" si="128"/>
        <v>0.72370806140541344</v>
      </c>
      <c r="FF21" s="5">
        <f t="shared" si="129"/>
        <v>72.370806140541347</v>
      </c>
      <c r="FG21">
        <f t="shared" si="130"/>
        <v>16</v>
      </c>
      <c r="FI21" s="59">
        <f t="shared" si="90"/>
        <v>-50</v>
      </c>
      <c r="FJ21">
        <f t="shared" si="91"/>
        <v>-50</v>
      </c>
      <c r="FL21">
        <f t="shared" si="92"/>
        <v>0.2496320045644875</v>
      </c>
    </row>
    <row r="22" spans="5:168">
      <c r="E22" s="147">
        <v>17</v>
      </c>
      <c r="F22" s="188">
        <f t="shared" si="131"/>
        <v>8.5000000000000006E-2</v>
      </c>
      <c r="G22" s="188">
        <f t="shared" si="93"/>
        <v>8.5000000000000006E-2</v>
      </c>
      <c r="H22" s="188">
        <f t="shared" si="0"/>
        <v>14.450000000000001</v>
      </c>
      <c r="I22" s="188">
        <f t="shared" si="132"/>
        <v>1.02</v>
      </c>
      <c r="J22" s="465">
        <f t="shared" si="1"/>
        <v>11.959993660274005</v>
      </c>
      <c r="K22" s="379">
        <f t="shared" si="2"/>
        <v>8.6489071312417067</v>
      </c>
      <c r="L22" s="149">
        <f t="shared" si="3"/>
        <v>20.608900791515712</v>
      </c>
      <c r="M22" s="379"/>
      <c r="N22" s="188">
        <f t="shared" si="4"/>
        <v>0.41966853151150574</v>
      </c>
      <c r="O22" s="149">
        <f t="shared" si="94"/>
        <v>156.27648460988988</v>
      </c>
      <c r="P22" s="149">
        <f t="shared" si="5"/>
        <v>11.031281266580462</v>
      </c>
      <c r="Q22" s="188">
        <f t="shared" si="6"/>
        <v>0.91927343888170521</v>
      </c>
      <c r="R22" s="188">
        <f t="shared" si="7"/>
        <v>13.02304038415749</v>
      </c>
      <c r="S22" s="379">
        <f t="shared" si="8"/>
        <v>170</v>
      </c>
      <c r="T22" s="188">
        <f t="shared" si="9"/>
        <v>6.1642884771697082</v>
      </c>
      <c r="U22" s="188">
        <f t="shared" si="10"/>
        <v>0.7731135131339798</v>
      </c>
      <c r="V22" s="188">
        <f t="shared" si="11"/>
        <v>1.0690868309077417</v>
      </c>
      <c r="W22" s="172">
        <f t="shared" si="12"/>
        <v>250.96164881470551</v>
      </c>
      <c r="X22" s="379">
        <f t="shared" si="95"/>
        <v>350</v>
      </c>
      <c r="Z22" s="188">
        <f t="shared" si="13"/>
        <v>13.333333333333332</v>
      </c>
      <c r="AA22" s="150">
        <f t="shared" si="14"/>
        <v>2.3124308882628317</v>
      </c>
      <c r="AB22" s="150">
        <f t="shared" si="15"/>
        <v>0.1806892850605202</v>
      </c>
      <c r="AC22" s="150"/>
      <c r="AD22" s="150">
        <f t="shared" si="16"/>
        <v>2.3124308882628322</v>
      </c>
      <c r="AE22" s="314">
        <f t="shared" si="17"/>
        <v>118.0575823414493</v>
      </c>
      <c r="AF22" s="456">
        <f t="shared" si="18"/>
        <v>0.18068928506052023</v>
      </c>
      <c r="AH22" s="150">
        <f t="shared" si="19"/>
        <v>7.6768048909252169</v>
      </c>
      <c r="AI22" s="150">
        <f t="shared" si="20"/>
        <v>13.333333333333334</v>
      </c>
      <c r="AJ22" s="150">
        <f t="shared" si="21"/>
        <v>1.0674614756236853</v>
      </c>
      <c r="AL22" s="314">
        <f t="shared" si="22"/>
        <v>85</v>
      </c>
      <c r="AM22" s="144">
        <f t="shared" si="23"/>
        <v>118.0575823414493</v>
      </c>
      <c r="AO22">
        <f t="shared" si="96"/>
        <v>85</v>
      </c>
      <c r="AP22" s="144">
        <f t="shared" si="24"/>
        <v>118.0575823414493</v>
      </c>
      <c r="AQ22" s="144"/>
      <c r="AR22" s="5">
        <f t="shared" si="97"/>
        <v>8.4704428141495676</v>
      </c>
      <c r="AS22" s="5">
        <f t="shared" si="25"/>
        <v>1.6722416890931528</v>
      </c>
      <c r="AT22" s="5">
        <f t="shared" si="98"/>
        <v>6.7982011250564147</v>
      </c>
      <c r="AU22" s="150">
        <f t="shared" si="99"/>
        <v>0.19742081090491914</v>
      </c>
      <c r="AW22" s="5">
        <f t="shared" si="26"/>
        <v>8.3612084454657648E-2</v>
      </c>
      <c r="AX22" s="5">
        <f t="shared" si="27"/>
        <v>1.1845045297743166</v>
      </c>
      <c r="AY22" s="5">
        <f t="shared" si="28"/>
        <v>13.689250045808501</v>
      </c>
      <c r="AZ22" s="5"/>
      <c r="BA22" s="150">
        <f t="shared" si="100"/>
        <v>3.4203817062701933</v>
      </c>
      <c r="BB22" s="150">
        <f t="shared" si="29"/>
        <v>0.32208432852623331</v>
      </c>
      <c r="BC22" s="150">
        <f t="shared" si="30"/>
        <v>0.30639455884618699</v>
      </c>
      <c r="BD22" s="150"/>
      <c r="BE22" s="456">
        <f t="shared" si="31"/>
        <v>3.9776637456398513E-2</v>
      </c>
      <c r="BF22" s="456">
        <f t="shared" si="32"/>
        <v>0.77694981602345281</v>
      </c>
      <c r="BG22" s="456">
        <f t="shared" si="33"/>
        <v>6.4668131484876268E-2</v>
      </c>
      <c r="BH22" s="456">
        <f t="shared" si="34"/>
        <v>3.4347419466743426E-2</v>
      </c>
      <c r="BI22">
        <f t="shared" si="35"/>
        <v>5.3819971471233017E-3</v>
      </c>
      <c r="BJ22" s="144">
        <f t="shared" si="101"/>
        <v>70.05012863199957</v>
      </c>
      <c r="BK22">
        <f t="shared" si="36"/>
        <v>0.87003621561289779</v>
      </c>
      <c r="BL22" s="144">
        <f t="shared" si="102"/>
        <v>870.03621561289776</v>
      </c>
      <c r="BM22" s="150">
        <f t="shared" si="37"/>
        <v>0.18859375</v>
      </c>
      <c r="BN22" s="150">
        <f t="shared" si="38"/>
        <v>6.0350000000000001E-2</v>
      </c>
      <c r="BO22" s="456"/>
      <c r="BQ22" s="144">
        <f t="shared" si="103"/>
        <v>248.94375000000002</v>
      </c>
      <c r="BR22" s="456">
        <f t="shared" si="39"/>
        <v>1.7548516524881697E-2</v>
      </c>
      <c r="BS22" s="456">
        <f t="shared" si="104"/>
        <v>2.074766293643892E-2</v>
      </c>
      <c r="BT22" s="456">
        <f t="shared" si="40"/>
        <v>2.8163287707164862E-3</v>
      </c>
      <c r="BU22" s="456">
        <f t="shared" si="41"/>
        <v>4.9153173076832823</v>
      </c>
      <c r="BV22" s="456">
        <f t="shared" si="42"/>
        <v>4.9826848717154917</v>
      </c>
      <c r="BW22" s="538">
        <f t="shared" si="43"/>
        <v>2.0988014638479879E-2</v>
      </c>
      <c r="BX22" s="144">
        <f t="shared" si="105"/>
        <v>5003.6728863539711</v>
      </c>
      <c r="BY22" s="150">
        <f t="shared" si="106"/>
        <v>6.122652851966869</v>
      </c>
      <c r="BZ22" s="5">
        <f t="shared" si="107"/>
        <v>15.47</v>
      </c>
      <c r="CA22" s="150">
        <f t="shared" si="108"/>
        <v>0.71644740023645792</v>
      </c>
      <c r="CB22" s="5">
        <f t="shared" si="109"/>
        <v>71.644740023645795</v>
      </c>
      <c r="CC22">
        <f t="shared" si="110"/>
        <v>17</v>
      </c>
      <c r="CE22" s="59">
        <f t="shared" si="44"/>
        <v>-50</v>
      </c>
      <c r="CF22">
        <f t="shared" si="45"/>
        <v>-50</v>
      </c>
      <c r="CG22" s="150">
        <f t="shared" si="46"/>
        <v>0.26523400484976795</v>
      </c>
      <c r="CH22" s="150">
        <f t="shared" si="47"/>
        <v>7.1872350612796107E-2</v>
      </c>
      <c r="CI22" s="147">
        <v>17</v>
      </c>
      <c r="CJ22" s="188">
        <f t="shared" si="133"/>
        <v>8.5000000000000006E-2</v>
      </c>
      <c r="CK22" s="188">
        <f t="shared" si="111"/>
        <v>8.5000000000000006E-2</v>
      </c>
      <c r="CL22" s="188">
        <f t="shared" si="48"/>
        <v>14.450000000000001</v>
      </c>
      <c r="CM22" s="188">
        <f t="shared" si="134"/>
        <v>1.02</v>
      </c>
      <c r="CN22" s="465">
        <f t="shared" si="112"/>
        <v>12</v>
      </c>
      <c r="CO22" s="379">
        <f t="shared" si="49"/>
        <v>8.625</v>
      </c>
      <c r="CP22" s="379">
        <f t="shared" si="50"/>
        <v>20.625</v>
      </c>
      <c r="CQ22" s="379"/>
      <c r="CR22" s="188">
        <f t="shared" si="113"/>
        <v>0.4156318480642805</v>
      </c>
      <c r="CS22" s="149">
        <f t="shared" si="114"/>
        <v>155.29102015588504</v>
      </c>
      <c r="CT22" s="149">
        <f t="shared" si="51"/>
        <v>10.961719069827179</v>
      </c>
      <c r="CU22" s="188">
        <f t="shared" si="52"/>
        <v>0.91347658915226493</v>
      </c>
      <c r="CV22" s="188">
        <f t="shared" si="53"/>
        <v>12.940918346323754</v>
      </c>
      <c r="CW22" s="379">
        <f t="shared" si="54"/>
        <v>170</v>
      </c>
      <c r="CX22" s="188">
        <f t="shared" si="55"/>
        <v>6.2034065612185119</v>
      </c>
      <c r="CY22" s="188">
        <f t="shared" si="56"/>
        <v>0.77542582015231409</v>
      </c>
      <c r="CZ22" s="188">
        <f t="shared" si="57"/>
        <v>1.0788533149945239</v>
      </c>
      <c r="DA22" s="172">
        <f t="shared" si="58"/>
        <v>250.90909090909091</v>
      </c>
      <c r="DB22" s="379">
        <f t="shared" si="115"/>
        <v>350</v>
      </c>
      <c r="DD22" s="188">
        <f t="shared" si="59"/>
        <v>13.333333333333332</v>
      </c>
      <c r="DE22" s="150">
        <f t="shared" si="60"/>
        <v>2.318840579710145</v>
      </c>
      <c r="DF22" s="150">
        <f t="shared" si="61"/>
        <v>0.18115218115218115</v>
      </c>
      <c r="DG22" s="150"/>
      <c r="DH22" s="150">
        <f t="shared" si="62"/>
        <v>2.3188405797101455</v>
      </c>
      <c r="DI22" s="314">
        <f t="shared" si="63"/>
        <v>117.73124999999997</v>
      </c>
      <c r="DJ22" s="456">
        <f t="shared" si="64"/>
        <v>0.18115218115218121</v>
      </c>
      <c r="DL22" s="150">
        <f t="shared" si="65"/>
        <v>7.6768048909252169</v>
      </c>
      <c r="DM22" s="150">
        <f t="shared" si="66"/>
        <v>13.333333333333334</v>
      </c>
      <c r="DN22" s="150">
        <f t="shared" si="67"/>
        <v>1.067275</v>
      </c>
      <c r="DP22" s="314">
        <f t="shared" si="68"/>
        <v>85</v>
      </c>
      <c r="DQ22" s="144">
        <f t="shared" si="69"/>
        <v>117.73124999999997</v>
      </c>
      <c r="DS22">
        <f t="shared" si="116"/>
        <v>85</v>
      </c>
      <c r="DT22" s="144">
        <f t="shared" si="70"/>
        <v>117.73124999999997</v>
      </c>
      <c r="DU22" s="144"/>
      <c r="DV22" s="5">
        <f t="shared" si="117"/>
        <v>8.4939215373997996</v>
      </c>
      <c r="DW22" s="5">
        <f t="shared" si="71"/>
        <v>1.666666666666667</v>
      </c>
      <c r="DX22" s="5">
        <f t="shared" si="118"/>
        <v>6.8272548707331326</v>
      </c>
      <c r="DY22" s="150">
        <f t="shared" si="119"/>
        <v>0.19621875</v>
      </c>
      <c r="EA22" s="5">
        <f t="shared" si="72"/>
        <v>8.3333333333333343E-2</v>
      </c>
      <c r="EB22" s="5">
        <f t="shared" si="73"/>
        <v>1.1805555555555558</v>
      </c>
      <c r="EC22" s="5">
        <f t="shared" si="74"/>
        <v>13.701921233624134</v>
      </c>
      <c r="ED22" s="5"/>
      <c r="EE22" s="150">
        <f t="shared" si="120"/>
        <v>3.4099527530125369</v>
      </c>
      <c r="EF22" s="150">
        <f t="shared" si="75"/>
        <v>0.32232543876450775</v>
      </c>
      <c r="EG22" s="150">
        <f t="shared" si="76"/>
        <v>0.30662392382469256</v>
      </c>
      <c r="EH22" s="150"/>
      <c r="EI22" s="456">
        <f t="shared" si="77"/>
        <v>3.9534444444444448E-2</v>
      </c>
      <c r="EJ22" s="456">
        <f t="shared" si="78"/>
        <v>0.98423324999999984</v>
      </c>
      <c r="EK22" s="456">
        <f t="shared" si="79"/>
        <v>2.6960456249999997E-2</v>
      </c>
      <c r="EL22" s="456">
        <f t="shared" si="80"/>
        <v>3.4306012463378895E-2</v>
      </c>
      <c r="EM22">
        <f t="shared" si="81"/>
        <v>5.4000000000000003E-3</v>
      </c>
      <c r="EN22" s="144">
        <f t="shared" si="121"/>
        <v>32.360456249999999</v>
      </c>
      <c r="EO22">
        <f t="shared" si="82"/>
        <v>1.1115496761005108</v>
      </c>
      <c r="EP22" s="144">
        <f t="shared" si="122"/>
        <v>1111.5496761005109</v>
      </c>
      <c r="EQ22" s="150">
        <f t="shared" si="83"/>
        <v>0.18859375</v>
      </c>
      <c r="ER22" s="150">
        <f t="shared" si="84"/>
        <v>6.0350000000000001E-2</v>
      </c>
      <c r="ES22" s="456"/>
      <c r="EU22" s="144">
        <f t="shared" si="123"/>
        <v>248.94375000000002</v>
      </c>
      <c r="EV22" s="456">
        <f t="shared" si="85"/>
        <v>1.7441666666666671E-2</v>
      </c>
      <c r="EW22" s="456">
        <f t="shared" si="124"/>
        <v>2.0778737694946488E-2</v>
      </c>
      <c r="EX22" s="456">
        <f t="shared" si="86"/>
        <v>2.8205469198495257E-3</v>
      </c>
      <c r="EY22" s="456">
        <f t="shared" si="87"/>
        <v>4.8814206459250924</v>
      </c>
      <c r="EZ22" s="456">
        <f t="shared" si="88"/>
        <v>4.9485589107275958</v>
      </c>
      <c r="FA22" s="538">
        <f t="shared" si="89"/>
        <v>2.0930000000000001E-2</v>
      </c>
      <c r="FB22" s="144">
        <f t="shared" si="125"/>
        <v>4969.4889107275958</v>
      </c>
      <c r="FC22" s="150">
        <f t="shared" si="126"/>
        <v>6.3299823368281061</v>
      </c>
      <c r="FD22" s="5">
        <f t="shared" si="127"/>
        <v>15.47</v>
      </c>
      <c r="FE22" s="150">
        <f t="shared" si="128"/>
        <v>0.70963360249450924</v>
      </c>
      <c r="FF22" s="5">
        <f t="shared" si="129"/>
        <v>70.963360249450929</v>
      </c>
      <c r="FG22">
        <f t="shared" si="130"/>
        <v>17</v>
      </c>
      <c r="FI22" s="59">
        <f t="shared" si="90"/>
        <v>-50</v>
      </c>
      <c r="FJ22">
        <f t="shared" si="91"/>
        <v>-50</v>
      </c>
      <c r="FL22">
        <f t="shared" si="92"/>
        <v>0.26523400484976795</v>
      </c>
    </row>
    <row r="23" spans="5:168">
      <c r="E23" s="147">
        <v>18</v>
      </c>
      <c r="F23" s="188">
        <f t="shared" si="131"/>
        <v>0.09</v>
      </c>
      <c r="G23" s="188">
        <f t="shared" si="93"/>
        <v>0.09</v>
      </c>
      <c r="H23" s="188">
        <f t="shared" si="0"/>
        <v>15.299999999999999</v>
      </c>
      <c r="I23" s="188">
        <f t="shared" si="132"/>
        <v>1.08</v>
      </c>
      <c r="J23" s="465">
        <f t="shared" si="1"/>
        <v>11.959993660274005</v>
      </c>
      <c r="K23" s="379">
        <f t="shared" si="2"/>
        <v>8.6489071312417067</v>
      </c>
      <c r="L23" s="149">
        <f t="shared" si="3"/>
        <v>20.608900791515712</v>
      </c>
      <c r="M23" s="379"/>
      <c r="N23" s="188">
        <f t="shared" si="4"/>
        <v>0.41966853151150574</v>
      </c>
      <c r="O23" s="149">
        <f t="shared" si="94"/>
        <v>156.27648460988988</v>
      </c>
      <c r="P23" s="149">
        <f t="shared" si="5"/>
        <v>11.031281266580462</v>
      </c>
      <c r="Q23" s="188">
        <f t="shared" si="6"/>
        <v>0.91927343888170521</v>
      </c>
      <c r="R23" s="188">
        <f t="shared" si="7"/>
        <v>13.02304038415749</v>
      </c>
      <c r="S23" s="379">
        <f t="shared" si="8"/>
        <v>170</v>
      </c>
      <c r="T23" s="188">
        <f t="shared" si="9"/>
        <v>6.5268936817091019</v>
      </c>
      <c r="U23" s="188">
        <f t="shared" si="10"/>
        <v>0.81859077861244911</v>
      </c>
      <c r="V23" s="188">
        <f t="shared" si="11"/>
        <v>1.1319742915493731</v>
      </c>
      <c r="W23" s="172">
        <f t="shared" si="12"/>
        <v>250.96164881470551</v>
      </c>
      <c r="X23" s="379">
        <f t="shared" si="95"/>
        <v>350</v>
      </c>
      <c r="Z23" s="188">
        <f t="shared" si="13"/>
        <v>13.333333333333332</v>
      </c>
      <c r="AA23" s="150">
        <f t="shared" si="14"/>
        <v>2.3124308882628317</v>
      </c>
      <c r="AB23" s="150">
        <f t="shared" si="15"/>
        <v>0.1806892850605202</v>
      </c>
      <c r="AC23" s="150"/>
      <c r="AD23" s="150">
        <f t="shared" si="16"/>
        <v>2.3124308882628322</v>
      </c>
      <c r="AE23" s="314">
        <f t="shared" si="17"/>
        <v>125.00214600859334</v>
      </c>
      <c r="AF23" s="456">
        <f t="shared" si="18"/>
        <v>0.18068928506052023</v>
      </c>
      <c r="AH23" s="150">
        <f t="shared" si="19"/>
        <v>7.8993670632525994</v>
      </c>
      <c r="AI23" s="150">
        <f t="shared" si="20"/>
        <v>13.333333333333334</v>
      </c>
      <c r="AJ23" s="150">
        <f t="shared" si="21"/>
        <v>1.0714297977191962</v>
      </c>
      <c r="AL23" s="314">
        <f t="shared" si="22"/>
        <v>90</v>
      </c>
      <c r="AM23" s="144">
        <f t="shared" si="23"/>
        <v>125.00214600859334</v>
      </c>
      <c r="AO23">
        <f t="shared" si="96"/>
        <v>90</v>
      </c>
      <c r="AP23" s="144">
        <f t="shared" si="24"/>
        <v>125.00214600859334</v>
      </c>
      <c r="AQ23" s="144"/>
      <c r="AR23" s="5">
        <f t="shared" si="97"/>
        <v>7.9998626578079257</v>
      </c>
      <c r="AS23" s="5">
        <f t="shared" si="25"/>
        <v>1.6722416890931528</v>
      </c>
      <c r="AT23" s="5">
        <f t="shared" si="98"/>
        <v>6.3276209687147729</v>
      </c>
      <c r="AU23" s="150">
        <f t="shared" si="99"/>
        <v>0.20903379978167905</v>
      </c>
      <c r="AW23" s="5">
        <f t="shared" si="26"/>
        <v>8.8530442363755152E-2</v>
      </c>
      <c r="AX23" s="5">
        <f t="shared" si="27"/>
        <v>1.2541812668198646</v>
      </c>
      <c r="AY23" s="5">
        <f t="shared" si="28"/>
        <v>13.491172260247673</v>
      </c>
      <c r="AZ23" s="5"/>
      <c r="BA23" s="150">
        <f t="shared" si="100"/>
        <v>3.5195437396359504</v>
      </c>
      <c r="BB23" s="150">
        <f t="shared" si="29"/>
        <v>0.31974562417713953</v>
      </c>
      <c r="BC23" s="150">
        <f t="shared" si="30"/>
        <v>0.304169780352334</v>
      </c>
      <c r="BD23" s="150"/>
      <c r="BE23" s="456">
        <f t="shared" si="31"/>
        <v>4.2116439659716072E-2</v>
      </c>
      <c r="BF23" s="456">
        <f t="shared" si="32"/>
        <v>0.8226527463777733</v>
      </c>
      <c r="BG23" s="456">
        <f t="shared" si="33"/>
        <v>6.847213921928072E-2</v>
      </c>
      <c r="BH23" s="456">
        <f t="shared" si="34"/>
        <v>3.6367855905963614E-2</v>
      </c>
      <c r="BI23">
        <f t="shared" si="35"/>
        <v>5.3819971471233017E-3</v>
      </c>
      <c r="BJ23" s="144">
        <f t="shared" si="101"/>
        <v>73.85413636640402</v>
      </c>
      <c r="BK23">
        <f t="shared" si="36"/>
        <v>0.92173213062888004</v>
      </c>
      <c r="BL23" s="144">
        <f t="shared" si="102"/>
        <v>921.73213062887999</v>
      </c>
      <c r="BM23" s="150">
        <f t="shared" si="37"/>
        <v>0.19968749999999996</v>
      </c>
      <c r="BN23" s="150">
        <f t="shared" si="38"/>
        <v>6.3899999999999998E-2</v>
      </c>
      <c r="BO23" s="456"/>
      <c r="BQ23" s="144">
        <f t="shared" si="103"/>
        <v>263.58749999999998</v>
      </c>
      <c r="BR23" s="456">
        <f t="shared" si="39"/>
        <v>1.8580782202815917E-2</v>
      </c>
      <c r="BS23" s="456">
        <f t="shared" si="104"/>
        <v>2.0447452836085712E-2</v>
      </c>
      <c r="BT23" s="456">
        <f t="shared" si="40"/>
        <v>2.7755776583876131E-3</v>
      </c>
      <c r="BU23" s="456">
        <f t="shared" si="41"/>
        <v>5.6703585107815373</v>
      </c>
      <c r="BV23" s="456">
        <f t="shared" si="42"/>
        <v>5.7413962186979655</v>
      </c>
      <c r="BW23" s="538">
        <f t="shared" si="43"/>
        <v>2.2222603734861044E-2</v>
      </c>
      <c r="BX23" s="144">
        <f t="shared" si="105"/>
        <v>5763.6188224328271</v>
      </c>
      <c r="BY23" s="150">
        <f t="shared" si="106"/>
        <v>6.9489384530617064</v>
      </c>
      <c r="BZ23" s="5">
        <f t="shared" si="107"/>
        <v>16.38</v>
      </c>
      <c r="CA23" s="150">
        <f t="shared" si="108"/>
        <v>0.70213224802135288</v>
      </c>
      <c r="CB23" s="5">
        <f t="shared" si="109"/>
        <v>70.213224802135286</v>
      </c>
      <c r="CC23">
        <f t="shared" si="110"/>
        <v>18</v>
      </c>
      <c r="CE23" s="59">
        <f t="shared" si="44"/>
        <v>-50</v>
      </c>
      <c r="CF23">
        <f t="shared" si="45"/>
        <v>-50</v>
      </c>
      <c r="CG23" s="150">
        <f t="shared" si="46"/>
        <v>0.28083600513504842</v>
      </c>
      <c r="CH23" s="150">
        <f t="shared" si="47"/>
        <v>7.6100135942960584E-2</v>
      </c>
      <c r="CI23" s="147">
        <v>18</v>
      </c>
      <c r="CJ23" s="188">
        <f t="shared" si="133"/>
        <v>0.09</v>
      </c>
      <c r="CK23" s="188">
        <f t="shared" si="111"/>
        <v>0.09</v>
      </c>
      <c r="CL23" s="188">
        <f t="shared" si="48"/>
        <v>15.299999999999999</v>
      </c>
      <c r="CM23" s="188">
        <f t="shared" si="134"/>
        <v>1.08</v>
      </c>
      <c r="CN23" s="465">
        <f t="shared" si="112"/>
        <v>12</v>
      </c>
      <c r="CO23" s="379">
        <f t="shared" si="49"/>
        <v>8.625</v>
      </c>
      <c r="CP23" s="379">
        <f t="shared" si="50"/>
        <v>20.625</v>
      </c>
      <c r="CQ23" s="379"/>
      <c r="CR23" s="188">
        <f t="shared" si="113"/>
        <v>0.4156318480642805</v>
      </c>
      <c r="CS23" s="149">
        <f t="shared" si="114"/>
        <v>155.29102015588504</v>
      </c>
      <c r="CT23" s="149">
        <f t="shared" si="51"/>
        <v>10.961719069827179</v>
      </c>
      <c r="CU23" s="188">
        <f t="shared" si="52"/>
        <v>0.91347658915226493</v>
      </c>
      <c r="CV23" s="188">
        <f t="shared" si="53"/>
        <v>12.940918346323754</v>
      </c>
      <c r="CW23" s="379">
        <f t="shared" si="54"/>
        <v>170</v>
      </c>
      <c r="CX23" s="188">
        <f t="shared" si="55"/>
        <v>6.5683128295254827</v>
      </c>
      <c r="CY23" s="188">
        <f t="shared" si="56"/>
        <v>0.82103910369068545</v>
      </c>
      <c r="CZ23" s="188">
        <f t="shared" si="57"/>
        <v>1.1423152747000842</v>
      </c>
      <c r="DA23" s="172">
        <f t="shared" si="58"/>
        <v>250.90909090909091</v>
      </c>
      <c r="DB23" s="379">
        <f t="shared" si="115"/>
        <v>350</v>
      </c>
      <c r="DD23" s="188">
        <f t="shared" si="59"/>
        <v>13.333333333333332</v>
      </c>
      <c r="DE23" s="150">
        <f t="shared" si="60"/>
        <v>2.318840579710145</v>
      </c>
      <c r="DF23" s="150">
        <f t="shared" si="61"/>
        <v>0.18115218115218115</v>
      </c>
      <c r="DG23" s="150"/>
      <c r="DH23" s="150">
        <f t="shared" si="62"/>
        <v>2.3188405797101455</v>
      </c>
      <c r="DI23" s="314">
        <f t="shared" si="63"/>
        <v>124.65661764705878</v>
      </c>
      <c r="DJ23" s="456">
        <f t="shared" si="64"/>
        <v>0.18115218115218121</v>
      </c>
      <c r="DL23" s="150">
        <f t="shared" si="65"/>
        <v>7.8993670632525994</v>
      </c>
      <c r="DM23" s="150">
        <f t="shared" si="66"/>
        <v>13.333333333333334</v>
      </c>
      <c r="DN23" s="150">
        <f t="shared" si="67"/>
        <v>1.0712323529411765</v>
      </c>
      <c r="DP23" s="314">
        <f t="shared" si="68"/>
        <v>90</v>
      </c>
      <c r="DQ23" s="144">
        <f t="shared" si="69"/>
        <v>124.65661764705878</v>
      </c>
      <c r="DS23">
        <f t="shared" si="116"/>
        <v>90</v>
      </c>
      <c r="DT23" s="144">
        <f t="shared" si="70"/>
        <v>124.65661764705878</v>
      </c>
      <c r="DU23" s="144"/>
      <c r="DV23" s="5">
        <f t="shared" si="117"/>
        <v>8.022037007544256</v>
      </c>
      <c r="DW23" s="5">
        <f t="shared" si="71"/>
        <v>1.666666666666667</v>
      </c>
      <c r="DX23" s="5">
        <f t="shared" si="118"/>
        <v>6.355370340877589</v>
      </c>
      <c r="DY23" s="150">
        <f t="shared" si="119"/>
        <v>0.20776102941176469</v>
      </c>
      <c r="EA23" s="5">
        <f t="shared" si="72"/>
        <v>8.8235294117647078E-2</v>
      </c>
      <c r="EB23" s="5">
        <f t="shared" si="73"/>
        <v>1.2500000000000002</v>
      </c>
      <c r="EC23" s="5">
        <f t="shared" si="74"/>
        <v>13.505161974364873</v>
      </c>
      <c r="ED23" s="5"/>
      <c r="EE23" s="150">
        <f t="shared" si="120"/>
        <v>3.508812435266718</v>
      </c>
      <c r="EF23" s="150">
        <f t="shared" si="75"/>
        <v>0.32000277750016731</v>
      </c>
      <c r="EG23" s="150">
        <f t="shared" si="76"/>
        <v>0.30441440690503041</v>
      </c>
      <c r="EH23" s="150"/>
      <c r="EI23" s="456">
        <f t="shared" si="77"/>
        <v>4.1860000000000015E-2</v>
      </c>
      <c r="EJ23" s="456">
        <f t="shared" si="78"/>
        <v>1.0421293235294116</v>
      </c>
      <c r="EK23" s="456">
        <f t="shared" si="79"/>
        <v>2.8546365441176461E-2</v>
      </c>
      <c r="EL23" s="456">
        <f t="shared" si="80"/>
        <v>3.6324013196518831E-2</v>
      </c>
      <c r="EM23">
        <f t="shared" si="81"/>
        <v>5.4000000000000003E-3</v>
      </c>
      <c r="EN23" s="144">
        <f t="shared" si="121"/>
        <v>33.946365441176461</v>
      </c>
      <c r="EO23">
        <f t="shared" si="82"/>
        <v>1.1772709638279986</v>
      </c>
      <c r="EP23" s="144">
        <f t="shared" si="122"/>
        <v>1177.2709638279985</v>
      </c>
      <c r="EQ23" s="150">
        <f t="shared" si="83"/>
        <v>0.19968749999999996</v>
      </c>
      <c r="ER23" s="150">
        <f t="shared" si="84"/>
        <v>6.3899999999999998E-2</v>
      </c>
      <c r="ES23" s="456"/>
      <c r="EU23" s="144">
        <f t="shared" si="123"/>
        <v>263.58749999999998</v>
      </c>
      <c r="EV23" s="456">
        <f t="shared" si="85"/>
        <v>1.8467647058823537E-2</v>
      </c>
      <c r="EW23" s="456">
        <f t="shared" si="124"/>
        <v>2.0480355521564318E-2</v>
      </c>
      <c r="EX23" s="456">
        <f t="shared" si="86"/>
        <v>2.7800439339402427E-3</v>
      </c>
      <c r="EY23" s="456">
        <f t="shared" si="87"/>
        <v>5.6312549875588989</v>
      </c>
      <c r="EZ23" s="456">
        <f t="shared" si="88"/>
        <v>5.7020325395596219</v>
      </c>
      <c r="FA23" s="538">
        <f t="shared" si="89"/>
        <v>2.2161176470588233E-2</v>
      </c>
      <c r="FB23" s="144">
        <f t="shared" si="125"/>
        <v>5724.1937160302095</v>
      </c>
      <c r="FC23" s="150">
        <f t="shared" si="126"/>
        <v>7.1650521798582085</v>
      </c>
      <c r="FD23" s="5">
        <f t="shared" si="127"/>
        <v>16.38</v>
      </c>
      <c r="FE23" s="150">
        <f t="shared" si="128"/>
        <v>0.69568756420138211</v>
      </c>
      <c r="FF23" s="5">
        <f t="shared" si="129"/>
        <v>69.568756420138214</v>
      </c>
      <c r="FG23">
        <f t="shared" si="130"/>
        <v>18</v>
      </c>
      <c r="FI23" s="59">
        <f t="shared" si="90"/>
        <v>-50</v>
      </c>
      <c r="FJ23">
        <f t="shared" si="91"/>
        <v>-50</v>
      </c>
      <c r="FL23">
        <f t="shared" si="92"/>
        <v>0.28083600513504836</v>
      </c>
    </row>
    <row r="24" spans="5:168">
      <c r="E24" s="147">
        <v>19</v>
      </c>
      <c r="F24" s="188">
        <f t="shared" si="131"/>
        <v>9.5000000000000001E-2</v>
      </c>
      <c r="G24" s="188">
        <f t="shared" si="93"/>
        <v>9.5000000000000001E-2</v>
      </c>
      <c r="H24" s="188">
        <f t="shared" si="0"/>
        <v>16.149999999999999</v>
      </c>
      <c r="I24" s="188">
        <f t="shared" si="132"/>
        <v>1.1400000000000001</v>
      </c>
      <c r="J24" s="465">
        <f t="shared" si="1"/>
        <v>11.959993660274005</v>
      </c>
      <c r="K24" s="379">
        <f t="shared" si="2"/>
        <v>8.6489071312417067</v>
      </c>
      <c r="L24" s="149">
        <f t="shared" si="3"/>
        <v>20.608900791515712</v>
      </c>
      <c r="M24" s="379"/>
      <c r="N24" s="188">
        <f t="shared" si="4"/>
        <v>0.41966853151150574</v>
      </c>
      <c r="O24" s="149">
        <f t="shared" si="94"/>
        <v>156.27648460988988</v>
      </c>
      <c r="P24" s="149">
        <f t="shared" si="5"/>
        <v>11.031281266580462</v>
      </c>
      <c r="Q24" s="188">
        <f t="shared" si="6"/>
        <v>0.91927343888170521</v>
      </c>
      <c r="R24" s="188">
        <f t="shared" si="7"/>
        <v>13.02304038415749</v>
      </c>
      <c r="S24" s="379">
        <f t="shared" si="8"/>
        <v>170</v>
      </c>
      <c r="T24" s="188">
        <f t="shared" si="9"/>
        <v>6.8894988862484965</v>
      </c>
      <c r="U24" s="188">
        <f t="shared" si="10"/>
        <v>0.86406804409091853</v>
      </c>
      <c r="V24" s="188">
        <f t="shared" si="11"/>
        <v>1.1948617521910052</v>
      </c>
      <c r="W24" s="172">
        <f t="shared" si="12"/>
        <v>250.96164881470551</v>
      </c>
      <c r="X24" s="379">
        <f t="shared" si="95"/>
        <v>350</v>
      </c>
      <c r="Z24" s="188">
        <f t="shared" si="13"/>
        <v>13.333333333333332</v>
      </c>
      <c r="AA24" s="150">
        <f t="shared" si="14"/>
        <v>2.3124308882628317</v>
      </c>
      <c r="AB24" s="150">
        <f t="shared" si="15"/>
        <v>0.1806892850605202</v>
      </c>
      <c r="AC24" s="150"/>
      <c r="AD24" s="150">
        <f t="shared" si="16"/>
        <v>2.3124308882628322</v>
      </c>
      <c r="AE24" s="314">
        <f t="shared" si="17"/>
        <v>131.94670967573745</v>
      </c>
      <c r="AF24" s="456">
        <f t="shared" si="18"/>
        <v>0.18068928506052023</v>
      </c>
      <c r="AH24" s="150">
        <f t="shared" si="19"/>
        <v>8.1158281565510411</v>
      </c>
      <c r="AI24" s="150">
        <f t="shared" si="20"/>
        <v>13.333333333333334</v>
      </c>
      <c r="AJ24" s="150">
        <f t="shared" si="21"/>
        <v>1.0753981198147071</v>
      </c>
      <c r="AL24" s="314">
        <f t="shared" si="22"/>
        <v>95</v>
      </c>
      <c r="AM24" s="144">
        <f t="shared" si="23"/>
        <v>131.94670967573745</v>
      </c>
      <c r="AO24">
        <f t="shared" si="96"/>
        <v>95</v>
      </c>
      <c r="AP24" s="144">
        <f t="shared" si="24"/>
        <v>131.94670967573745</v>
      </c>
      <c r="AQ24" s="144"/>
      <c r="AR24" s="5">
        <f t="shared" si="97"/>
        <v>7.5788172547654025</v>
      </c>
      <c r="AS24" s="5">
        <f t="shared" si="25"/>
        <v>1.6722416890931528</v>
      </c>
      <c r="AT24" s="5">
        <f t="shared" si="98"/>
        <v>5.9065755656722496</v>
      </c>
      <c r="AU24" s="150">
        <f t="shared" si="99"/>
        <v>0.22064678865843904</v>
      </c>
      <c r="AW24" s="5">
        <f t="shared" si="26"/>
        <v>9.3448800272852656E-2</v>
      </c>
      <c r="AX24" s="5">
        <f t="shared" si="27"/>
        <v>1.3238580038654126</v>
      </c>
      <c r="AY24" s="5">
        <f t="shared" si="28"/>
        <v>13.293094474686839</v>
      </c>
      <c r="AZ24" s="5"/>
      <c r="BA24" s="150">
        <f t="shared" si="100"/>
        <v>3.6159874521122757</v>
      </c>
      <c r="BB24" s="150">
        <f t="shared" si="29"/>
        <v>0.31738968741700246</v>
      </c>
      <c r="BC24" s="150">
        <f t="shared" si="30"/>
        <v>0.30192860889393153</v>
      </c>
      <c r="BD24" s="150"/>
      <c r="BE24" s="456">
        <f t="shared" si="31"/>
        <v>4.4456241863033652E-2</v>
      </c>
      <c r="BF24" s="456">
        <f t="shared" si="32"/>
        <v>0.86835567673209424</v>
      </c>
      <c r="BG24" s="456">
        <f t="shared" si="33"/>
        <v>7.2276146953685227E-2</v>
      </c>
      <c r="BH24" s="456">
        <f t="shared" si="34"/>
        <v>3.8388292345183823E-2</v>
      </c>
      <c r="BI24">
        <f t="shared" si="35"/>
        <v>5.3819971471233017E-3</v>
      </c>
      <c r="BJ24" s="144">
        <f t="shared" si="101"/>
        <v>77.658144100808528</v>
      </c>
      <c r="BK24">
        <f t="shared" si="36"/>
        <v>0.97348613861362676</v>
      </c>
      <c r="BL24" s="144">
        <f t="shared" si="102"/>
        <v>973.48613861362674</v>
      </c>
      <c r="BM24" s="150">
        <f t="shared" si="37"/>
        <v>0.21078124999999998</v>
      </c>
      <c r="BN24" s="150">
        <f t="shared" si="38"/>
        <v>6.745000000000001E-2</v>
      </c>
      <c r="BO24" s="456"/>
      <c r="BQ24" s="144">
        <f t="shared" si="103"/>
        <v>278.23124999999999</v>
      </c>
      <c r="BR24" s="456">
        <f t="shared" si="39"/>
        <v>1.9613047880750141E-2</v>
      </c>
      <c r="BS24" s="456">
        <f t="shared" si="104"/>
        <v>2.0147242735732509E-2</v>
      </c>
      <c r="BT24" s="456">
        <f t="shared" si="40"/>
        <v>2.73482654605874E-3</v>
      </c>
      <c r="BU24" s="456">
        <f t="shared" si="41"/>
        <v>6.4910246416993127</v>
      </c>
      <c r="BV24" s="456">
        <f t="shared" si="42"/>
        <v>6.5660405600122012</v>
      </c>
      <c r="BW24" s="538">
        <f t="shared" si="43"/>
        <v>2.3457192831242219E-2</v>
      </c>
      <c r="BX24" s="144">
        <f t="shared" si="105"/>
        <v>6589.4977528434429</v>
      </c>
      <c r="BY24" s="150">
        <f t="shared" si="106"/>
        <v>7.8412151414570701</v>
      </c>
      <c r="BZ24" s="5">
        <f t="shared" si="107"/>
        <v>17.29</v>
      </c>
      <c r="CA24" s="150">
        <f t="shared" si="108"/>
        <v>0.68798901695278514</v>
      </c>
      <c r="CB24" s="5">
        <f t="shared" si="109"/>
        <v>68.798901695278516</v>
      </c>
      <c r="CC24">
        <f t="shared" si="110"/>
        <v>19</v>
      </c>
      <c r="CE24" s="59">
        <f t="shared" si="44"/>
        <v>-50</v>
      </c>
      <c r="CF24">
        <f t="shared" si="45"/>
        <v>-50</v>
      </c>
      <c r="CG24" s="150">
        <f t="shared" si="46"/>
        <v>0.29643800542032883</v>
      </c>
      <c r="CH24" s="150">
        <f t="shared" si="47"/>
        <v>8.0327921273125061E-2</v>
      </c>
      <c r="CI24" s="147">
        <v>19</v>
      </c>
      <c r="CJ24" s="188">
        <f t="shared" si="133"/>
        <v>9.5000000000000001E-2</v>
      </c>
      <c r="CK24" s="188">
        <f t="shared" si="111"/>
        <v>9.5000000000000001E-2</v>
      </c>
      <c r="CL24" s="188">
        <f t="shared" si="48"/>
        <v>16.149999999999999</v>
      </c>
      <c r="CM24" s="188">
        <f t="shared" si="134"/>
        <v>1.1400000000000001</v>
      </c>
      <c r="CN24" s="465">
        <f t="shared" si="112"/>
        <v>12</v>
      </c>
      <c r="CO24" s="379">
        <f t="shared" si="49"/>
        <v>8.625</v>
      </c>
      <c r="CP24" s="379">
        <f t="shared" si="50"/>
        <v>20.625</v>
      </c>
      <c r="CQ24" s="379"/>
      <c r="CR24" s="188">
        <f t="shared" si="113"/>
        <v>0.4156318480642805</v>
      </c>
      <c r="CS24" s="149">
        <f t="shared" si="114"/>
        <v>155.29102015588504</v>
      </c>
      <c r="CT24" s="149">
        <f t="shared" si="51"/>
        <v>10.961719069827179</v>
      </c>
      <c r="CU24" s="188">
        <f t="shared" si="52"/>
        <v>0.91347658915226493</v>
      </c>
      <c r="CV24" s="188">
        <f t="shared" si="53"/>
        <v>12.940918346323754</v>
      </c>
      <c r="CW24" s="379">
        <f t="shared" si="54"/>
        <v>170</v>
      </c>
      <c r="CX24" s="188">
        <f t="shared" si="55"/>
        <v>6.9332190978324544</v>
      </c>
      <c r="CY24" s="188">
        <f t="shared" si="56"/>
        <v>0.86665238722905669</v>
      </c>
      <c r="CZ24" s="188">
        <f t="shared" si="57"/>
        <v>1.2057772344056443</v>
      </c>
      <c r="DA24" s="172">
        <f t="shared" si="58"/>
        <v>250.90909090909091</v>
      </c>
      <c r="DB24" s="379">
        <f t="shared" si="115"/>
        <v>350</v>
      </c>
      <c r="DD24" s="188">
        <f t="shared" si="59"/>
        <v>13.333333333333332</v>
      </c>
      <c r="DE24" s="150">
        <f t="shared" si="60"/>
        <v>2.318840579710145</v>
      </c>
      <c r="DF24" s="150">
        <f t="shared" si="61"/>
        <v>0.18115218115218115</v>
      </c>
      <c r="DG24" s="150"/>
      <c r="DH24" s="150">
        <f t="shared" si="62"/>
        <v>2.3188405797101455</v>
      </c>
      <c r="DI24" s="314">
        <f t="shared" si="63"/>
        <v>131.5819852941176</v>
      </c>
      <c r="DJ24" s="456">
        <f t="shared" si="64"/>
        <v>0.18115218115218121</v>
      </c>
      <c r="DL24" s="150">
        <f t="shared" si="65"/>
        <v>8.1158281565510411</v>
      </c>
      <c r="DM24" s="150">
        <f t="shared" si="66"/>
        <v>13.333333333333334</v>
      </c>
      <c r="DN24" s="150">
        <f t="shared" si="67"/>
        <v>1.075189705882353</v>
      </c>
      <c r="DP24" s="314">
        <f t="shared" si="68"/>
        <v>95</v>
      </c>
      <c r="DQ24" s="144">
        <f t="shared" si="69"/>
        <v>131.5819852941176</v>
      </c>
      <c r="DS24">
        <f t="shared" si="116"/>
        <v>95</v>
      </c>
      <c r="DT24" s="144">
        <f t="shared" si="70"/>
        <v>131.5819852941176</v>
      </c>
      <c r="DU24" s="144"/>
      <c r="DV24" s="5">
        <f t="shared" si="117"/>
        <v>7.5998245334629804</v>
      </c>
      <c r="DW24" s="5">
        <f t="shared" si="71"/>
        <v>1.666666666666667</v>
      </c>
      <c r="DX24" s="5">
        <f t="shared" si="118"/>
        <v>5.9331578667963134</v>
      </c>
      <c r="DY24" s="150">
        <f t="shared" si="119"/>
        <v>0.21930330882352936</v>
      </c>
      <c r="EA24" s="5">
        <f t="shared" si="72"/>
        <v>9.31372549019608E-2</v>
      </c>
      <c r="EB24" s="5">
        <f t="shared" si="73"/>
        <v>1.3194444444444446</v>
      </c>
      <c r="EC24" s="5">
        <f t="shared" si="74"/>
        <v>13.308402715105617</v>
      </c>
      <c r="ED24" s="5"/>
      <c r="EE24" s="150">
        <f t="shared" si="120"/>
        <v>3.6049620849583048</v>
      </c>
      <c r="EF24" s="150">
        <f t="shared" si="75"/>
        <v>0.31766313406014041</v>
      </c>
      <c r="EG24" s="150">
        <f t="shared" si="76"/>
        <v>0.30218873506640193</v>
      </c>
      <c r="EH24" s="150"/>
      <c r="EI24" s="456">
        <f t="shared" si="77"/>
        <v>4.4185555555555554E-2</v>
      </c>
      <c r="EJ24" s="456">
        <f t="shared" si="78"/>
        <v>1.1000253970588232</v>
      </c>
      <c r="EK24" s="456">
        <f t="shared" si="79"/>
        <v>3.0132274632352931E-2</v>
      </c>
      <c r="EL24" s="456">
        <f t="shared" si="80"/>
        <v>3.8342013929658761E-2</v>
      </c>
      <c r="EM24">
        <f t="shared" si="81"/>
        <v>5.4000000000000003E-3</v>
      </c>
      <c r="EN24" s="144">
        <f t="shared" si="121"/>
        <v>35.53227463235293</v>
      </c>
      <c r="EO24">
        <f t="shared" si="82"/>
        <v>1.2430656509965905</v>
      </c>
      <c r="EP24" s="144">
        <f t="shared" si="122"/>
        <v>1243.0656509965904</v>
      </c>
      <c r="EQ24" s="150">
        <f t="shared" si="83"/>
        <v>0.21078124999999998</v>
      </c>
      <c r="ER24" s="150">
        <f t="shared" si="84"/>
        <v>6.745000000000001E-2</v>
      </c>
      <c r="ES24" s="456"/>
      <c r="EU24" s="144">
        <f t="shared" si="123"/>
        <v>278.23124999999999</v>
      </c>
      <c r="EV24" s="456">
        <f t="shared" si="85"/>
        <v>1.9493627450980395E-2</v>
      </c>
      <c r="EW24" s="456">
        <f t="shared" si="124"/>
        <v>2.0181973348182149E-2</v>
      </c>
      <c r="EX24" s="456">
        <f t="shared" si="86"/>
        <v>2.7395409480309614E-3</v>
      </c>
      <c r="EY24" s="456">
        <f t="shared" si="87"/>
        <v>6.4462616990506607</v>
      </c>
      <c r="EZ24" s="456">
        <f t="shared" si="88"/>
        <v>6.5209835501460258</v>
      </c>
      <c r="FA24" s="538">
        <f t="shared" si="89"/>
        <v>2.3392352941176468E-2</v>
      </c>
      <c r="FB24" s="144">
        <f t="shared" si="125"/>
        <v>6544.3759030872016</v>
      </c>
      <c r="FC24" s="150">
        <f t="shared" si="126"/>
        <v>8.0656728040837926</v>
      </c>
      <c r="FD24" s="5">
        <f t="shared" si="127"/>
        <v>17.29</v>
      </c>
      <c r="FE24" s="150">
        <f t="shared" si="128"/>
        <v>0.68189868727187819</v>
      </c>
      <c r="FF24" s="5">
        <f t="shared" si="129"/>
        <v>68.189868727187815</v>
      </c>
      <c r="FG24">
        <f t="shared" si="130"/>
        <v>19</v>
      </c>
      <c r="FI24" s="59">
        <f t="shared" si="90"/>
        <v>-50</v>
      </c>
      <c r="FJ24">
        <f t="shared" si="91"/>
        <v>-50</v>
      </c>
      <c r="FL24">
        <f t="shared" si="92"/>
        <v>0.29643800542032889</v>
      </c>
    </row>
    <row r="25" spans="5:168">
      <c r="E25" s="147">
        <v>20</v>
      </c>
      <c r="F25" s="188">
        <f t="shared" si="131"/>
        <v>0.1</v>
      </c>
      <c r="G25" s="188">
        <f t="shared" si="93"/>
        <v>0.1</v>
      </c>
      <c r="H25" s="188">
        <f t="shared" si="0"/>
        <v>17</v>
      </c>
      <c r="I25" s="188">
        <f t="shared" si="132"/>
        <v>1.2000000000000002</v>
      </c>
      <c r="J25" s="465">
        <f t="shared" si="1"/>
        <v>11.959993660274005</v>
      </c>
      <c r="K25" s="379">
        <f t="shared" si="2"/>
        <v>8.6489071312417067</v>
      </c>
      <c r="L25" s="149">
        <f t="shared" si="3"/>
        <v>20.608900791515712</v>
      </c>
      <c r="M25" s="379"/>
      <c r="N25" s="188">
        <f t="shared" si="4"/>
        <v>0.41966853151150574</v>
      </c>
      <c r="O25" s="149">
        <f t="shared" si="94"/>
        <v>156.27648460988988</v>
      </c>
      <c r="P25" s="149">
        <f t="shared" si="5"/>
        <v>11.031281266580462</v>
      </c>
      <c r="Q25" s="188">
        <f t="shared" si="6"/>
        <v>0.91927343888170521</v>
      </c>
      <c r="R25" s="188">
        <f t="shared" si="7"/>
        <v>13.02304038415749</v>
      </c>
      <c r="S25" s="379">
        <f t="shared" si="8"/>
        <v>170</v>
      </c>
      <c r="T25" s="188">
        <f t="shared" si="9"/>
        <v>7.2521040907878911</v>
      </c>
      <c r="U25" s="188">
        <f t="shared" si="10"/>
        <v>0.90954530956938795</v>
      </c>
      <c r="V25" s="188">
        <f t="shared" si="11"/>
        <v>1.2577492128326371</v>
      </c>
      <c r="W25" s="172">
        <f t="shared" si="12"/>
        <v>250.96164881470551</v>
      </c>
      <c r="X25" s="379">
        <f t="shared" si="95"/>
        <v>350</v>
      </c>
      <c r="Z25" s="188">
        <f t="shared" si="13"/>
        <v>13.333333333333332</v>
      </c>
      <c r="AA25" s="150">
        <f t="shared" si="14"/>
        <v>2.3124308882628317</v>
      </c>
      <c r="AB25" s="150">
        <f t="shared" si="15"/>
        <v>0.1806892850605202</v>
      </c>
      <c r="AC25" s="150"/>
      <c r="AD25" s="150">
        <f t="shared" si="16"/>
        <v>2.3124308882628322</v>
      </c>
      <c r="AE25" s="314">
        <f t="shared" si="17"/>
        <v>138.8912733428815</v>
      </c>
      <c r="AF25" s="456">
        <f t="shared" si="18"/>
        <v>0.18068928506052023</v>
      </c>
      <c r="AH25" s="150">
        <f t="shared" si="19"/>
        <v>8.3266639978645305</v>
      </c>
      <c r="AI25" s="150">
        <f t="shared" si="20"/>
        <v>13.333333333333334</v>
      </c>
      <c r="AJ25" s="150">
        <f t="shared" si="21"/>
        <v>1.079366441910218</v>
      </c>
      <c r="AL25" s="314">
        <f t="shared" si="22"/>
        <v>100</v>
      </c>
      <c r="AM25" s="144">
        <f t="shared" si="23"/>
        <v>138.8912733428815</v>
      </c>
      <c r="AO25">
        <f t="shared" si="96"/>
        <v>100</v>
      </c>
      <c r="AP25" s="144">
        <f t="shared" si="24"/>
        <v>138.8912733428815</v>
      </c>
      <c r="AQ25" s="144"/>
      <c r="AR25" s="5">
        <f t="shared" si="97"/>
        <v>7.1998763920271331</v>
      </c>
      <c r="AS25" s="5">
        <f t="shared" si="25"/>
        <v>1.6722416890931528</v>
      </c>
      <c r="AT25" s="5">
        <f t="shared" si="98"/>
        <v>5.5276347029339803</v>
      </c>
      <c r="AU25" s="150">
        <f t="shared" si="99"/>
        <v>0.23225977753519897</v>
      </c>
      <c r="AW25" s="5">
        <f t="shared" si="26"/>
        <v>9.8367158181950173E-2</v>
      </c>
      <c r="AX25" s="5">
        <f t="shared" si="27"/>
        <v>1.3935347409109606</v>
      </c>
      <c r="AY25" s="5">
        <f t="shared" si="28"/>
        <v>13.095016689126014</v>
      </c>
      <c r="AZ25" s="5"/>
      <c r="BA25" s="150">
        <f t="shared" si="100"/>
        <v>3.7099248472787472</v>
      </c>
      <c r="BB25" s="150">
        <f t="shared" si="29"/>
        <v>0.31501613161375797</v>
      </c>
      <c r="BC25" s="150">
        <f t="shared" si="30"/>
        <v>0.29967067667301417</v>
      </c>
      <c r="BD25" s="150"/>
      <c r="BE25" s="456">
        <f t="shared" si="31"/>
        <v>4.6796044066351197E-2</v>
      </c>
      <c r="BF25" s="456">
        <f t="shared" si="32"/>
        <v>0.91405860708641473</v>
      </c>
      <c r="BG25" s="456">
        <f t="shared" si="33"/>
        <v>7.6080154688089707E-2</v>
      </c>
      <c r="BH25" s="456">
        <f t="shared" si="34"/>
        <v>4.0408728784404026E-2</v>
      </c>
      <c r="BI25">
        <f t="shared" si="35"/>
        <v>5.3819971471233017E-3</v>
      </c>
      <c r="BJ25" s="144">
        <f t="shared" si="101"/>
        <v>81.462151835213007</v>
      </c>
      <c r="BK25">
        <f t="shared" si="36"/>
        <v>1.0252983375446156</v>
      </c>
      <c r="BL25" s="144">
        <f t="shared" si="102"/>
        <v>1025.2983375446156</v>
      </c>
      <c r="BM25" s="150">
        <f t="shared" si="37"/>
        <v>0.22187499999999999</v>
      </c>
      <c r="BN25" s="150">
        <f t="shared" si="38"/>
        <v>7.1000000000000008E-2</v>
      </c>
      <c r="BO25" s="456"/>
      <c r="BQ25" s="144">
        <f t="shared" si="103"/>
        <v>292.875</v>
      </c>
      <c r="BR25" s="456">
        <f t="shared" si="39"/>
        <v>2.0645313558684354E-2</v>
      </c>
      <c r="BS25" s="456">
        <f t="shared" si="104"/>
        <v>1.9847032635379298E-2</v>
      </c>
      <c r="BT25" s="456">
        <f t="shared" si="40"/>
        <v>2.694075433729866E-3</v>
      </c>
      <c r="BU25" s="456">
        <f t="shared" si="41"/>
        <v>7.3791144213127859</v>
      </c>
      <c r="BV25" s="456">
        <f t="shared" si="42"/>
        <v>7.4584338295750117</v>
      </c>
      <c r="BW25" s="538">
        <f t="shared" si="43"/>
        <v>2.4691781927623384E-2</v>
      </c>
      <c r="BX25" s="144">
        <f t="shared" si="105"/>
        <v>7483.1256115026354</v>
      </c>
      <c r="BY25" s="150">
        <f t="shared" si="106"/>
        <v>8.8012989490472506</v>
      </c>
      <c r="BZ25" s="5">
        <f t="shared" si="107"/>
        <v>18.2</v>
      </c>
      <c r="CA25" s="150">
        <f t="shared" si="108"/>
        <v>0.67404164645353826</v>
      </c>
      <c r="CB25" s="5">
        <f t="shared" si="109"/>
        <v>67.404164645353831</v>
      </c>
      <c r="CC25">
        <f t="shared" si="110"/>
        <v>20</v>
      </c>
      <c r="CE25" s="59">
        <f t="shared" si="44"/>
        <v>-50</v>
      </c>
      <c r="CF25">
        <f t="shared" si="45"/>
        <v>-50</v>
      </c>
      <c r="CG25" s="150">
        <f t="shared" si="46"/>
        <v>0.31204000570560936</v>
      </c>
      <c r="CH25" s="150">
        <f t="shared" si="47"/>
        <v>8.4555706603289552E-2</v>
      </c>
      <c r="CI25" s="147">
        <v>20</v>
      </c>
      <c r="CJ25" s="188">
        <f t="shared" si="133"/>
        <v>0.1</v>
      </c>
      <c r="CK25" s="188">
        <f t="shared" si="111"/>
        <v>0.1</v>
      </c>
      <c r="CL25" s="188">
        <f t="shared" si="48"/>
        <v>17</v>
      </c>
      <c r="CM25" s="188">
        <f t="shared" si="134"/>
        <v>1.2000000000000002</v>
      </c>
      <c r="CN25" s="465">
        <f t="shared" si="112"/>
        <v>12</v>
      </c>
      <c r="CO25" s="379">
        <f t="shared" si="49"/>
        <v>8.625</v>
      </c>
      <c r="CP25" s="379">
        <f t="shared" si="50"/>
        <v>20.625</v>
      </c>
      <c r="CQ25" s="379"/>
      <c r="CR25" s="188">
        <f t="shared" si="113"/>
        <v>0.4156318480642805</v>
      </c>
      <c r="CS25" s="149">
        <f t="shared" si="114"/>
        <v>155.29102015588504</v>
      </c>
      <c r="CT25" s="149">
        <f t="shared" si="51"/>
        <v>10.961719069827179</v>
      </c>
      <c r="CU25" s="188">
        <f t="shared" si="52"/>
        <v>0.91347658915226493</v>
      </c>
      <c r="CV25" s="188">
        <f t="shared" si="53"/>
        <v>12.940918346323754</v>
      </c>
      <c r="CW25" s="379">
        <f t="shared" si="54"/>
        <v>170</v>
      </c>
      <c r="CX25" s="188">
        <f t="shared" si="55"/>
        <v>7.2981253661394252</v>
      </c>
      <c r="CY25" s="188">
        <f t="shared" si="56"/>
        <v>0.91226567076742815</v>
      </c>
      <c r="CZ25" s="188">
        <f t="shared" si="57"/>
        <v>1.2692391941112044</v>
      </c>
      <c r="DA25" s="172">
        <f t="shared" si="58"/>
        <v>250.90909090909091</v>
      </c>
      <c r="DB25" s="379">
        <f t="shared" si="115"/>
        <v>350</v>
      </c>
      <c r="DD25" s="188">
        <f t="shared" si="59"/>
        <v>13.333333333333332</v>
      </c>
      <c r="DE25" s="150">
        <f t="shared" si="60"/>
        <v>2.318840579710145</v>
      </c>
      <c r="DF25" s="150">
        <f t="shared" si="61"/>
        <v>0.18115218115218115</v>
      </c>
      <c r="DG25" s="150"/>
      <c r="DH25" s="150">
        <f t="shared" si="62"/>
        <v>2.3188405797101455</v>
      </c>
      <c r="DI25" s="314">
        <f t="shared" si="63"/>
        <v>138.50735294117641</v>
      </c>
      <c r="DJ25" s="456">
        <f t="shared" si="64"/>
        <v>0.18115218115218121</v>
      </c>
      <c r="DL25" s="150">
        <f t="shared" si="65"/>
        <v>8.3266639978645305</v>
      </c>
      <c r="DM25" s="150">
        <f t="shared" si="66"/>
        <v>13.333333333333334</v>
      </c>
      <c r="DN25" s="150">
        <f t="shared" si="67"/>
        <v>1.0791470588235295</v>
      </c>
      <c r="DP25" s="314">
        <f t="shared" si="68"/>
        <v>100</v>
      </c>
      <c r="DQ25" s="144">
        <f t="shared" si="69"/>
        <v>138.50735294117641</v>
      </c>
      <c r="DS25">
        <f t="shared" si="116"/>
        <v>100</v>
      </c>
      <c r="DT25" s="144">
        <f t="shared" si="70"/>
        <v>138.50735294117641</v>
      </c>
      <c r="DU25" s="144"/>
      <c r="DV25" s="5">
        <f t="shared" si="117"/>
        <v>7.2198333067898313</v>
      </c>
      <c r="DW25" s="5">
        <f t="shared" si="71"/>
        <v>1.666666666666667</v>
      </c>
      <c r="DX25" s="5">
        <f t="shared" si="118"/>
        <v>5.5531666401231643</v>
      </c>
      <c r="DY25" s="150">
        <f t="shared" si="119"/>
        <v>0.23084558823529408</v>
      </c>
      <c r="EA25" s="5">
        <f t="shared" si="72"/>
        <v>9.8039215686274536E-2</v>
      </c>
      <c r="EB25" s="5">
        <f t="shared" si="73"/>
        <v>1.3888888888888893</v>
      </c>
      <c r="EC25" s="5">
        <f t="shared" si="74"/>
        <v>13.111643455846359</v>
      </c>
      <c r="ED25" s="5"/>
      <c r="EE25" s="150">
        <f t="shared" si="120"/>
        <v>3.6986130592549826</v>
      </c>
      <c r="EF25" s="150">
        <f t="shared" si="75"/>
        <v>0.31530613040979694</v>
      </c>
      <c r="EG25" s="150">
        <f t="shared" si="76"/>
        <v>0.29994654868946674</v>
      </c>
      <c r="EH25" s="150"/>
      <c r="EI25" s="456">
        <f t="shared" si="77"/>
        <v>4.65111111111111E-2</v>
      </c>
      <c r="EJ25" s="456">
        <f t="shared" si="78"/>
        <v>1.1579214705882348</v>
      </c>
      <c r="EK25" s="456">
        <f t="shared" si="79"/>
        <v>3.1718183823529401E-2</v>
      </c>
      <c r="EL25" s="456">
        <f t="shared" si="80"/>
        <v>4.0360014662798691E-2</v>
      </c>
      <c r="EM25">
        <f t="shared" si="81"/>
        <v>5.4000000000000003E-3</v>
      </c>
      <c r="EN25" s="144">
        <f t="shared" si="121"/>
        <v>37.118183823529407</v>
      </c>
      <c r="EO25">
        <f t="shared" si="82"/>
        <v>1.3089338606369272</v>
      </c>
      <c r="EP25" s="144">
        <f t="shared" si="122"/>
        <v>1308.9338606369272</v>
      </c>
      <c r="EQ25" s="150">
        <f t="shared" si="83"/>
        <v>0.22187499999999999</v>
      </c>
      <c r="ER25" s="150">
        <f t="shared" si="84"/>
        <v>7.1000000000000008E-2</v>
      </c>
      <c r="ES25" s="456"/>
      <c r="EU25" s="144">
        <f t="shared" si="123"/>
        <v>292.875</v>
      </c>
      <c r="EV25" s="456">
        <f t="shared" si="85"/>
        <v>2.0519607843137253E-2</v>
      </c>
      <c r="EW25" s="456">
        <f t="shared" si="124"/>
        <v>1.9883591174799976E-2</v>
      </c>
      <c r="EX25" s="456">
        <f t="shared" si="86"/>
        <v>2.6990379621216788E-3</v>
      </c>
      <c r="EY25" s="456">
        <f t="shared" si="87"/>
        <v>7.328227097065545</v>
      </c>
      <c r="EZ25" s="456">
        <f t="shared" si="88"/>
        <v>7.4072152747716595</v>
      </c>
      <c r="FA25" s="538">
        <f t="shared" si="89"/>
        <v>2.46235294117647E-2</v>
      </c>
      <c r="FB25" s="144">
        <f t="shared" si="125"/>
        <v>7431.8388041834241</v>
      </c>
      <c r="FC25" s="150">
        <f t="shared" si="126"/>
        <v>9.0336476648203519</v>
      </c>
      <c r="FD25" s="5">
        <f t="shared" si="127"/>
        <v>18.2</v>
      </c>
      <c r="FE25" s="150">
        <f t="shared" si="128"/>
        <v>0.66829094008990353</v>
      </c>
      <c r="FF25" s="5">
        <f t="shared" si="129"/>
        <v>66.829094008990353</v>
      </c>
      <c r="FG25">
        <f t="shared" si="130"/>
        <v>20</v>
      </c>
      <c r="FI25" s="59">
        <f t="shared" si="90"/>
        <v>-50</v>
      </c>
      <c r="FJ25">
        <f t="shared" si="91"/>
        <v>-50</v>
      </c>
      <c r="FL25">
        <f t="shared" si="92"/>
        <v>0.3120400057056093</v>
      </c>
    </row>
    <row r="26" spans="5:168">
      <c r="E26" s="147">
        <v>21</v>
      </c>
      <c r="F26" s="188">
        <f t="shared" si="131"/>
        <v>0.105</v>
      </c>
      <c r="G26" s="188">
        <f t="shared" si="93"/>
        <v>0.105</v>
      </c>
      <c r="H26" s="188">
        <f t="shared" si="0"/>
        <v>17.849999999999998</v>
      </c>
      <c r="I26" s="188">
        <f t="shared" si="132"/>
        <v>1.26</v>
      </c>
      <c r="J26" s="465">
        <f t="shared" si="1"/>
        <v>11.959993660274005</v>
      </c>
      <c r="K26" s="379">
        <f t="shared" si="2"/>
        <v>8.6489071312417067</v>
      </c>
      <c r="L26" s="149">
        <f t="shared" si="3"/>
        <v>20.608900791515712</v>
      </c>
      <c r="M26" s="379"/>
      <c r="N26" s="188">
        <f t="shared" si="4"/>
        <v>0.41966853151150574</v>
      </c>
      <c r="O26" s="149">
        <f t="shared" si="94"/>
        <v>156.27648460988988</v>
      </c>
      <c r="P26" s="149">
        <f t="shared" si="5"/>
        <v>11.031281266580462</v>
      </c>
      <c r="Q26" s="188">
        <f t="shared" si="6"/>
        <v>0.91927343888170521</v>
      </c>
      <c r="R26" s="188">
        <f t="shared" si="7"/>
        <v>13.02304038415749</v>
      </c>
      <c r="S26" s="379">
        <f t="shared" si="8"/>
        <v>170</v>
      </c>
      <c r="T26" s="188">
        <f t="shared" si="9"/>
        <v>7.6147092953272857</v>
      </c>
      <c r="U26" s="188">
        <f t="shared" si="10"/>
        <v>0.95502257504785737</v>
      </c>
      <c r="V26" s="188">
        <f t="shared" si="11"/>
        <v>1.3206366734742689</v>
      </c>
      <c r="W26" s="172">
        <f t="shared" si="12"/>
        <v>250.96164881470551</v>
      </c>
      <c r="X26" s="379">
        <f t="shared" si="95"/>
        <v>350</v>
      </c>
      <c r="Z26" s="188">
        <f t="shared" si="13"/>
        <v>13.333333333333332</v>
      </c>
      <c r="AA26" s="150">
        <f t="shared" si="14"/>
        <v>2.3124308882628317</v>
      </c>
      <c r="AB26" s="150">
        <f t="shared" si="15"/>
        <v>0.1806892850605202</v>
      </c>
      <c r="AC26" s="150"/>
      <c r="AD26" s="150">
        <f t="shared" si="16"/>
        <v>2.3124308882628322</v>
      </c>
      <c r="AE26" s="314">
        <f t="shared" si="17"/>
        <v>145.83583701002559</v>
      </c>
      <c r="AF26" s="456">
        <f t="shared" si="18"/>
        <v>0.18068928506052023</v>
      </c>
      <c r="AH26" s="150">
        <f t="shared" si="19"/>
        <v>8.5322916030806173</v>
      </c>
      <c r="AI26" s="150">
        <f t="shared" si="20"/>
        <v>13.333333333333334</v>
      </c>
      <c r="AJ26" s="150">
        <f t="shared" si="21"/>
        <v>1.0833347640057289</v>
      </c>
      <c r="AL26" s="314">
        <f t="shared" si="22"/>
        <v>105</v>
      </c>
      <c r="AM26" s="144">
        <f t="shared" si="23"/>
        <v>145.83583701002559</v>
      </c>
      <c r="AO26">
        <f t="shared" si="96"/>
        <v>105</v>
      </c>
      <c r="AP26" s="144">
        <f t="shared" si="24"/>
        <v>145.83583701002559</v>
      </c>
      <c r="AQ26" s="144"/>
      <c r="AR26" s="5">
        <f t="shared" si="97"/>
        <v>6.8570251352639353</v>
      </c>
      <c r="AS26" s="5">
        <f t="shared" si="25"/>
        <v>1.6722416890931528</v>
      </c>
      <c r="AT26" s="5">
        <f t="shared" si="98"/>
        <v>5.1847834461707825</v>
      </c>
      <c r="AU26" s="150">
        <f t="shared" si="99"/>
        <v>0.24387276641195893</v>
      </c>
      <c r="AW26" s="5">
        <f t="shared" si="26"/>
        <v>0.10328551609104768</v>
      </c>
      <c r="AX26" s="5">
        <f t="shared" si="27"/>
        <v>1.4632114779565089</v>
      </c>
      <c r="AY26" s="5">
        <f t="shared" si="28"/>
        <v>12.89693890356518</v>
      </c>
      <c r="AZ26" s="5"/>
      <c r="BA26" s="150">
        <f t="shared" si="100"/>
        <v>3.8015417255475503</v>
      </c>
      <c r="BB26" s="150">
        <f t="shared" si="29"/>
        <v>0.31262455545770951</v>
      </c>
      <c r="BC26" s="150">
        <f t="shared" si="30"/>
        <v>0.29739560192897913</v>
      </c>
      <c r="BD26" s="150"/>
      <c r="BE26" s="456">
        <f t="shared" si="31"/>
        <v>4.9135846269668756E-2</v>
      </c>
      <c r="BF26" s="456">
        <f t="shared" si="32"/>
        <v>0.95976153744073556</v>
      </c>
      <c r="BG26" s="456">
        <f t="shared" si="33"/>
        <v>7.9884162422494187E-2</v>
      </c>
      <c r="BH26" s="456">
        <f t="shared" si="34"/>
        <v>4.2429165223624228E-2</v>
      </c>
      <c r="BI26">
        <f t="shared" si="35"/>
        <v>5.3819971471233017E-3</v>
      </c>
      <c r="BJ26" s="144">
        <f t="shared" si="101"/>
        <v>85.266159569617486</v>
      </c>
      <c r="BK26">
        <f t="shared" si="36"/>
        <v>1.0771688256197778</v>
      </c>
      <c r="BL26" s="144">
        <f t="shared" si="102"/>
        <v>1077.1688256197779</v>
      </c>
      <c r="BM26" s="150">
        <f t="shared" si="37"/>
        <v>0.23296875</v>
      </c>
      <c r="BN26" s="150">
        <f t="shared" si="38"/>
        <v>7.4550000000000005E-2</v>
      </c>
      <c r="BO26" s="456"/>
      <c r="BQ26" s="144">
        <f t="shared" si="103"/>
        <v>307.51875000000001</v>
      </c>
      <c r="BR26" s="456">
        <f t="shared" si="39"/>
        <v>2.1677579236618571E-2</v>
      </c>
      <c r="BS26" s="456">
        <f t="shared" si="104"/>
        <v>1.9546822535026098E-2</v>
      </c>
      <c r="BT26" s="456">
        <f t="shared" si="40"/>
        <v>2.6533243214009942E-3</v>
      </c>
      <c r="BU26" s="456">
        <f t="shared" si="41"/>
        <v>8.3363797944161</v>
      </c>
      <c r="BV26" s="456">
        <f t="shared" si="42"/>
        <v>8.4203454235798496</v>
      </c>
      <c r="BW26" s="538">
        <f t="shared" si="43"/>
        <v>2.5926371024004555E-2</v>
      </c>
      <c r="BX26" s="144">
        <f t="shared" si="105"/>
        <v>8446.2717946038538</v>
      </c>
      <c r="BY26" s="150">
        <f t="shared" si="106"/>
        <v>9.8309593702236313</v>
      </c>
      <c r="BZ26" s="5">
        <f t="shared" si="107"/>
        <v>19.11</v>
      </c>
      <c r="CA26" s="150">
        <f t="shared" si="108"/>
        <v>0.66030983132029919</v>
      </c>
      <c r="CB26" s="5">
        <f t="shared" si="109"/>
        <v>66.030983132029917</v>
      </c>
      <c r="CC26">
        <f t="shared" si="110"/>
        <v>21</v>
      </c>
      <c r="CE26" s="59">
        <f t="shared" si="44"/>
        <v>-50</v>
      </c>
      <c r="CF26">
        <f t="shared" si="45"/>
        <v>-50</v>
      </c>
      <c r="CG26" s="150">
        <f t="shared" si="46"/>
        <v>0.32764200599088977</v>
      </c>
      <c r="CH26" s="150">
        <f t="shared" si="47"/>
        <v>8.8783491933454001E-2</v>
      </c>
      <c r="CI26" s="147">
        <v>21</v>
      </c>
      <c r="CJ26" s="188">
        <f t="shared" si="133"/>
        <v>0.105</v>
      </c>
      <c r="CK26" s="188">
        <f t="shared" si="111"/>
        <v>0.105</v>
      </c>
      <c r="CL26" s="188">
        <f t="shared" si="48"/>
        <v>17.849999999999998</v>
      </c>
      <c r="CM26" s="188">
        <f t="shared" si="134"/>
        <v>1.26</v>
      </c>
      <c r="CN26" s="465">
        <f t="shared" si="112"/>
        <v>12</v>
      </c>
      <c r="CO26" s="379">
        <f t="shared" si="49"/>
        <v>8.625</v>
      </c>
      <c r="CP26" s="379">
        <f t="shared" si="50"/>
        <v>20.625</v>
      </c>
      <c r="CQ26" s="379"/>
      <c r="CR26" s="188">
        <f t="shared" si="113"/>
        <v>0.4156318480642805</v>
      </c>
      <c r="CS26" s="149">
        <f t="shared" si="114"/>
        <v>155.29102015588504</v>
      </c>
      <c r="CT26" s="149">
        <f t="shared" si="51"/>
        <v>10.961719069827179</v>
      </c>
      <c r="CU26" s="188">
        <f t="shared" si="52"/>
        <v>0.91347658915226493</v>
      </c>
      <c r="CV26" s="188">
        <f t="shared" si="53"/>
        <v>12.940918346323754</v>
      </c>
      <c r="CW26" s="379">
        <f t="shared" si="54"/>
        <v>170</v>
      </c>
      <c r="CX26" s="188">
        <f t="shared" si="55"/>
        <v>7.6630316344463969</v>
      </c>
      <c r="CY26" s="188">
        <f t="shared" si="56"/>
        <v>0.95787895430579972</v>
      </c>
      <c r="CZ26" s="188">
        <f t="shared" si="57"/>
        <v>1.3327011538167646</v>
      </c>
      <c r="DA26" s="172">
        <f t="shared" si="58"/>
        <v>250.90909090909091</v>
      </c>
      <c r="DB26" s="379">
        <f t="shared" si="115"/>
        <v>350</v>
      </c>
      <c r="DD26" s="188">
        <f t="shared" si="59"/>
        <v>13.333333333333332</v>
      </c>
      <c r="DE26" s="150">
        <f t="shared" si="60"/>
        <v>2.318840579710145</v>
      </c>
      <c r="DF26" s="150">
        <f t="shared" si="61"/>
        <v>0.18115218115218115</v>
      </c>
      <c r="DG26" s="150"/>
      <c r="DH26" s="150">
        <f t="shared" si="62"/>
        <v>2.3188405797101455</v>
      </c>
      <c r="DI26" s="314">
        <f t="shared" si="63"/>
        <v>145.43272058823524</v>
      </c>
      <c r="DJ26" s="456">
        <f t="shared" si="64"/>
        <v>0.18115218115218121</v>
      </c>
      <c r="DL26" s="150">
        <f t="shared" si="65"/>
        <v>8.5322916030806173</v>
      </c>
      <c r="DM26" s="150">
        <f t="shared" si="66"/>
        <v>13.333333333333334</v>
      </c>
      <c r="DN26" s="150">
        <f t="shared" si="67"/>
        <v>1.083104411764706</v>
      </c>
      <c r="DP26" s="314">
        <f t="shared" si="68"/>
        <v>105</v>
      </c>
      <c r="DQ26" s="144">
        <f t="shared" si="69"/>
        <v>145.43272058823524</v>
      </c>
      <c r="DS26">
        <f t="shared" si="116"/>
        <v>105</v>
      </c>
      <c r="DT26" s="144">
        <f t="shared" si="70"/>
        <v>145.43272058823524</v>
      </c>
      <c r="DU26" s="144"/>
      <c r="DV26" s="5">
        <f t="shared" si="117"/>
        <v>6.8760317207522208</v>
      </c>
      <c r="DW26" s="5">
        <f t="shared" si="71"/>
        <v>1.666666666666667</v>
      </c>
      <c r="DX26" s="5">
        <f t="shared" si="118"/>
        <v>5.2093650540855538</v>
      </c>
      <c r="DY26" s="150">
        <f t="shared" si="119"/>
        <v>0.24238786764705875</v>
      </c>
      <c r="EA26" s="5">
        <f t="shared" si="72"/>
        <v>0.10294117647058824</v>
      </c>
      <c r="EB26" s="5">
        <f t="shared" si="73"/>
        <v>1.4583333333333335</v>
      </c>
      <c r="EC26" s="5">
        <f t="shared" si="74"/>
        <v>12.914884196587099</v>
      </c>
      <c r="ED26" s="5"/>
      <c r="EE26" s="150">
        <f t="shared" si="120"/>
        <v>3.7899505920521013</v>
      </c>
      <c r="EF26" s="150">
        <f t="shared" si="75"/>
        <v>0.31293137427731499</v>
      </c>
      <c r="EG26" s="150">
        <f t="shared" si="76"/>
        <v>0.29768747461123252</v>
      </c>
      <c r="EH26" s="150"/>
      <c r="EI26" s="456">
        <f t="shared" si="77"/>
        <v>4.8836666666666646E-2</v>
      </c>
      <c r="EJ26" s="456">
        <f t="shared" si="78"/>
        <v>1.2158175441176466</v>
      </c>
      <c r="EK26" s="456">
        <f t="shared" si="79"/>
        <v>3.3304093014705868E-2</v>
      </c>
      <c r="EL26" s="456">
        <f t="shared" si="80"/>
        <v>4.2378015395938634E-2</v>
      </c>
      <c r="EM26">
        <f t="shared" si="81"/>
        <v>5.4000000000000003E-3</v>
      </c>
      <c r="EN26" s="144">
        <f t="shared" si="121"/>
        <v>38.704093014705869</v>
      </c>
      <c r="EO26">
        <f t="shared" si="82"/>
        <v>1.3748757160547651</v>
      </c>
      <c r="EP26" s="144">
        <f t="shared" si="122"/>
        <v>1374.875716054765</v>
      </c>
      <c r="EQ26" s="150">
        <f t="shared" si="83"/>
        <v>0.23296875</v>
      </c>
      <c r="ER26" s="150">
        <f t="shared" si="84"/>
        <v>7.4550000000000005E-2</v>
      </c>
      <c r="ES26" s="456"/>
      <c r="EU26" s="144">
        <f t="shared" si="123"/>
        <v>307.51875000000001</v>
      </c>
      <c r="EV26" s="456">
        <f t="shared" si="85"/>
        <v>2.1545588235294108E-2</v>
      </c>
      <c r="EW26" s="456">
        <f t="shared" si="124"/>
        <v>1.9585209001417803E-2</v>
      </c>
      <c r="EX26" s="456">
        <f t="shared" si="86"/>
        <v>2.6585349762123962E-3</v>
      </c>
      <c r="EY26" s="456">
        <f t="shared" si="87"/>
        <v>8.2788910447605222</v>
      </c>
      <c r="EZ26" s="456">
        <f t="shared" si="88"/>
        <v>8.3624848268010545</v>
      </c>
      <c r="FA26" s="538">
        <f t="shared" si="89"/>
        <v>2.5854705882352939E-2</v>
      </c>
      <c r="FB26" s="144">
        <f t="shared" si="125"/>
        <v>8388.339532683407</v>
      </c>
      <c r="FC26" s="150">
        <f t="shared" si="126"/>
        <v>10.070733998738172</v>
      </c>
      <c r="FD26" s="5">
        <f t="shared" si="127"/>
        <v>19.11</v>
      </c>
      <c r="FE26" s="150">
        <f t="shared" si="128"/>
        <v>0.65488414379248827</v>
      </c>
      <c r="FF26" s="5">
        <f t="shared" si="129"/>
        <v>65.488414379248823</v>
      </c>
      <c r="FG26">
        <f t="shared" si="130"/>
        <v>21</v>
      </c>
      <c r="FI26" s="59">
        <f t="shared" si="90"/>
        <v>-50</v>
      </c>
      <c r="FJ26">
        <f t="shared" si="91"/>
        <v>-50</v>
      </c>
      <c r="FL26">
        <f t="shared" si="92"/>
        <v>0.32764200599088977</v>
      </c>
    </row>
    <row r="27" spans="5:168">
      <c r="E27" s="147">
        <v>22</v>
      </c>
      <c r="F27" s="188">
        <f t="shared" si="131"/>
        <v>0.11</v>
      </c>
      <c r="G27" s="188">
        <f t="shared" si="93"/>
        <v>0.11</v>
      </c>
      <c r="H27" s="188">
        <f t="shared" si="0"/>
        <v>18.7</v>
      </c>
      <c r="I27" s="188">
        <f t="shared" si="132"/>
        <v>1.32</v>
      </c>
      <c r="J27" s="465">
        <f t="shared" si="1"/>
        <v>11.959993660274005</v>
      </c>
      <c r="K27" s="379">
        <f t="shared" si="2"/>
        <v>8.6489071312417067</v>
      </c>
      <c r="L27" s="149">
        <f t="shared" si="3"/>
        <v>20.608900791515712</v>
      </c>
      <c r="M27" s="379"/>
      <c r="N27" s="188">
        <f t="shared" si="4"/>
        <v>0.41966853151150574</v>
      </c>
      <c r="O27" s="149">
        <f t="shared" si="94"/>
        <v>156.27648460988988</v>
      </c>
      <c r="P27" s="149">
        <f t="shared" si="5"/>
        <v>11.031281266580462</v>
      </c>
      <c r="Q27" s="188">
        <f t="shared" si="6"/>
        <v>0.91927343888170521</v>
      </c>
      <c r="R27" s="188">
        <f t="shared" si="7"/>
        <v>13.02304038415749</v>
      </c>
      <c r="S27" s="379">
        <f t="shared" si="8"/>
        <v>170</v>
      </c>
      <c r="T27" s="188">
        <f t="shared" si="9"/>
        <v>7.9773144998666803</v>
      </c>
      <c r="U27" s="188">
        <f t="shared" si="10"/>
        <v>1.0004998405263266</v>
      </c>
      <c r="V27" s="188">
        <f t="shared" si="11"/>
        <v>1.3835241341159006</v>
      </c>
      <c r="W27" s="172">
        <f t="shared" si="12"/>
        <v>250.96164881470551</v>
      </c>
      <c r="X27" s="379">
        <f t="shared" si="95"/>
        <v>350</v>
      </c>
      <c r="Z27" s="188">
        <f t="shared" si="13"/>
        <v>13.333333333333332</v>
      </c>
      <c r="AA27" s="150">
        <f t="shared" si="14"/>
        <v>2.3124308882628317</v>
      </c>
      <c r="AB27" s="150">
        <f t="shared" si="15"/>
        <v>0.1806892850605202</v>
      </c>
      <c r="AC27" s="150"/>
      <c r="AD27" s="150">
        <f t="shared" si="16"/>
        <v>2.3124308882628322</v>
      </c>
      <c r="AE27" s="314">
        <f t="shared" si="17"/>
        <v>152.78040067716964</v>
      </c>
      <c r="AF27" s="456">
        <f t="shared" si="18"/>
        <v>0.18068928506052023</v>
      </c>
      <c r="AH27" s="150">
        <f t="shared" si="19"/>
        <v>8.7330788767001675</v>
      </c>
      <c r="AI27" s="150">
        <f t="shared" si="20"/>
        <v>13.333333333333334</v>
      </c>
      <c r="AJ27" s="150">
        <f t="shared" si="21"/>
        <v>1.0873030861012398</v>
      </c>
      <c r="AL27" s="314">
        <f t="shared" si="22"/>
        <v>110</v>
      </c>
      <c r="AM27" s="144">
        <f t="shared" si="23"/>
        <v>152.78040067716964</v>
      </c>
      <c r="AO27">
        <f t="shared" si="96"/>
        <v>110</v>
      </c>
      <c r="AP27" s="144">
        <f t="shared" si="24"/>
        <v>152.78040067716964</v>
      </c>
      <c r="AQ27" s="144"/>
      <c r="AR27" s="5">
        <f t="shared" si="97"/>
        <v>6.5453421745701217</v>
      </c>
      <c r="AS27" s="5">
        <f t="shared" si="25"/>
        <v>1.6722416890931528</v>
      </c>
      <c r="AT27" s="5">
        <f t="shared" si="98"/>
        <v>4.8731004854769688</v>
      </c>
      <c r="AU27" s="150">
        <f t="shared" si="99"/>
        <v>0.25548575528871881</v>
      </c>
      <c r="AW27" s="5">
        <f t="shared" si="26"/>
        <v>0.10820387400014518</v>
      </c>
      <c r="AX27" s="5">
        <f t="shared" si="27"/>
        <v>1.5328882150020569</v>
      </c>
      <c r="AY27" s="5">
        <f t="shared" si="28"/>
        <v>12.698861118004356</v>
      </c>
      <c r="AZ27" s="5"/>
      <c r="BA27" s="150">
        <f t="shared" si="100"/>
        <v>3.8910020058722479</v>
      </c>
      <c r="BB27" s="150">
        <f t="shared" si="29"/>
        <v>0.31021454216939032</v>
      </c>
      <c r="BC27" s="150">
        <f t="shared" si="30"/>
        <v>0.29510298818503578</v>
      </c>
      <c r="BD27" s="150"/>
      <c r="BE27" s="456">
        <f t="shared" si="31"/>
        <v>5.1475648472986309E-2</v>
      </c>
      <c r="BF27" s="456">
        <f t="shared" si="32"/>
        <v>1.0054644677950562</v>
      </c>
      <c r="BG27" s="456">
        <f t="shared" si="33"/>
        <v>8.3688170156898667E-2</v>
      </c>
      <c r="BH27" s="456">
        <f t="shared" si="34"/>
        <v>4.4449601662844417E-2</v>
      </c>
      <c r="BI27">
        <f t="shared" si="35"/>
        <v>5.3819971471233017E-3</v>
      </c>
      <c r="BJ27" s="144">
        <f t="shared" si="101"/>
        <v>89.070167304021965</v>
      </c>
      <c r="BK27">
        <f t="shared" si="36"/>
        <v>1.129097701258114</v>
      </c>
      <c r="BL27" s="144">
        <f t="shared" si="102"/>
        <v>1129.0977012581141</v>
      </c>
      <c r="BM27" s="150">
        <f t="shared" si="37"/>
        <v>0.24406250000000002</v>
      </c>
      <c r="BN27" s="150">
        <f t="shared" si="38"/>
        <v>7.8100000000000003E-2</v>
      </c>
      <c r="BO27" s="456"/>
      <c r="BQ27" s="144">
        <f t="shared" si="103"/>
        <v>322.16250000000002</v>
      </c>
      <c r="BR27" s="456">
        <f t="shared" si="39"/>
        <v>2.2709844914552788E-2</v>
      </c>
      <c r="BS27" s="456">
        <f t="shared" si="104"/>
        <v>1.9246612434672891E-2</v>
      </c>
      <c r="BT27" s="456">
        <f t="shared" si="40"/>
        <v>2.6125732090721211E-3</v>
      </c>
      <c r="BU27" s="456">
        <f t="shared" si="41"/>
        <v>9.3645294010467115</v>
      </c>
      <c r="BV27" s="456">
        <f t="shared" si="42"/>
        <v>9.4535016713287892</v>
      </c>
      <c r="BW27" s="538">
        <f t="shared" si="43"/>
        <v>2.716096012038572E-2</v>
      </c>
      <c r="BX27" s="144">
        <f t="shared" si="105"/>
        <v>9480.662631449175</v>
      </c>
      <c r="BY27" s="150">
        <f t="shared" si="106"/>
        <v>10.931922832707288</v>
      </c>
      <c r="BZ27" s="5">
        <f t="shared" si="107"/>
        <v>20.02</v>
      </c>
      <c r="CA27" s="150">
        <f t="shared" si="108"/>
        <v>0.64680957329231292</v>
      </c>
      <c r="CB27" s="5">
        <f t="shared" si="109"/>
        <v>64.68095732923129</v>
      </c>
      <c r="CC27">
        <f t="shared" si="110"/>
        <v>22</v>
      </c>
      <c r="CE27" s="59">
        <f t="shared" si="44"/>
        <v>-50</v>
      </c>
      <c r="CF27">
        <f t="shared" si="45"/>
        <v>-50</v>
      </c>
      <c r="CG27" s="150">
        <f t="shared" si="46"/>
        <v>0.34324400627617024</v>
      </c>
      <c r="CH27" s="150">
        <f t="shared" si="47"/>
        <v>9.3011277263618491E-2</v>
      </c>
      <c r="CI27" s="147">
        <v>22</v>
      </c>
      <c r="CJ27" s="188">
        <f t="shared" si="133"/>
        <v>0.11</v>
      </c>
      <c r="CK27" s="188">
        <f t="shared" si="111"/>
        <v>0.11</v>
      </c>
      <c r="CL27" s="188">
        <f t="shared" si="48"/>
        <v>18.7</v>
      </c>
      <c r="CM27" s="188">
        <f t="shared" si="134"/>
        <v>1.32</v>
      </c>
      <c r="CN27" s="465">
        <f t="shared" si="112"/>
        <v>12</v>
      </c>
      <c r="CO27" s="379">
        <f t="shared" si="49"/>
        <v>8.625</v>
      </c>
      <c r="CP27" s="379">
        <f t="shared" si="50"/>
        <v>20.625</v>
      </c>
      <c r="CQ27" s="379"/>
      <c r="CR27" s="188">
        <f t="shared" si="113"/>
        <v>0.4156318480642805</v>
      </c>
      <c r="CS27" s="149">
        <f t="shared" si="114"/>
        <v>155.29102015588504</v>
      </c>
      <c r="CT27" s="149">
        <f t="shared" si="51"/>
        <v>10.961719069827179</v>
      </c>
      <c r="CU27" s="188">
        <f t="shared" si="52"/>
        <v>0.91347658915226493</v>
      </c>
      <c r="CV27" s="188">
        <f t="shared" si="53"/>
        <v>12.940918346323754</v>
      </c>
      <c r="CW27" s="379">
        <f t="shared" si="54"/>
        <v>170</v>
      </c>
      <c r="CX27" s="188">
        <f t="shared" si="55"/>
        <v>8.0279379027533686</v>
      </c>
      <c r="CY27" s="188">
        <f t="shared" si="56"/>
        <v>1.0034922378441711</v>
      </c>
      <c r="CZ27" s="188">
        <f t="shared" si="57"/>
        <v>1.3961631135223249</v>
      </c>
      <c r="DA27" s="172">
        <f t="shared" si="58"/>
        <v>250.90909090909091</v>
      </c>
      <c r="DB27" s="379">
        <f t="shared" si="115"/>
        <v>350</v>
      </c>
      <c r="DD27" s="188">
        <f t="shared" si="59"/>
        <v>13.333333333333332</v>
      </c>
      <c r="DE27" s="150">
        <f t="shared" si="60"/>
        <v>2.318840579710145</v>
      </c>
      <c r="DF27" s="150">
        <f t="shared" si="61"/>
        <v>0.18115218115218115</v>
      </c>
      <c r="DG27" s="150"/>
      <c r="DH27" s="150">
        <f t="shared" si="62"/>
        <v>2.3188405797101455</v>
      </c>
      <c r="DI27" s="314">
        <f t="shared" si="63"/>
        <v>152.35808823529405</v>
      </c>
      <c r="DJ27" s="456">
        <f t="shared" si="64"/>
        <v>0.18115218115218121</v>
      </c>
      <c r="DL27" s="150">
        <f t="shared" si="65"/>
        <v>8.7330788767001675</v>
      </c>
      <c r="DM27" s="150">
        <f t="shared" si="66"/>
        <v>13.333333333333334</v>
      </c>
      <c r="DN27" s="150">
        <f t="shared" si="67"/>
        <v>1.0870617647058822</v>
      </c>
      <c r="DP27" s="314">
        <f t="shared" si="68"/>
        <v>110</v>
      </c>
      <c r="DQ27" s="144">
        <f t="shared" si="69"/>
        <v>152.35808823529405</v>
      </c>
      <c r="DS27">
        <f t="shared" si="116"/>
        <v>110</v>
      </c>
      <c r="DT27" s="144">
        <f t="shared" si="70"/>
        <v>152.35808823529405</v>
      </c>
      <c r="DU27" s="144"/>
      <c r="DV27" s="5">
        <f t="shared" si="117"/>
        <v>6.5634848243543926</v>
      </c>
      <c r="DW27" s="5">
        <f t="shared" si="71"/>
        <v>1.666666666666667</v>
      </c>
      <c r="DX27" s="5">
        <f t="shared" si="118"/>
        <v>4.8968181576877257</v>
      </c>
      <c r="DY27" s="150">
        <f t="shared" si="119"/>
        <v>0.25393014705882344</v>
      </c>
      <c r="EA27" s="5">
        <f t="shared" si="72"/>
        <v>0.10784313725490199</v>
      </c>
      <c r="EB27" s="5">
        <f t="shared" si="73"/>
        <v>1.5277777777777781</v>
      </c>
      <c r="EC27" s="5">
        <f t="shared" si="74"/>
        <v>12.718124937327842</v>
      </c>
      <c r="ED27" s="5"/>
      <c r="EE27" s="150">
        <f t="shared" si="120"/>
        <v>3.8791381025042981</v>
      </c>
      <c r="EF27" s="150">
        <f t="shared" si="75"/>
        <v>0.31053845839151412</v>
      </c>
      <c r="EG27" s="150">
        <f t="shared" si="76"/>
        <v>0.29541112540001563</v>
      </c>
      <c r="EH27" s="150"/>
      <c r="EI27" s="456">
        <f t="shared" si="77"/>
        <v>5.1162222222222192E-2</v>
      </c>
      <c r="EJ27" s="456">
        <f t="shared" si="78"/>
        <v>1.2737136176470585</v>
      </c>
      <c r="EK27" s="456">
        <f t="shared" si="79"/>
        <v>3.4890002205882335E-2</v>
      </c>
      <c r="EL27" s="456">
        <f t="shared" si="80"/>
        <v>4.4396016129078564E-2</v>
      </c>
      <c r="EM27">
        <f t="shared" si="81"/>
        <v>5.4000000000000003E-3</v>
      </c>
      <c r="EN27" s="144">
        <f t="shared" si="121"/>
        <v>40.290002205882338</v>
      </c>
      <c r="EO27">
        <f t="shared" si="82"/>
        <v>1.4408913408317454</v>
      </c>
      <c r="EP27" s="144">
        <f t="shared" si="122"/>
        <v>1440.8913408317453</v>
      </c>
      <c r="EQ27" s="150">
        <f t="shared" si="83"/>
        <v>0.24406250000000002</v>
      </c>
      <c r="ER27" s="150">
        <f t="shared" si="84"/>
        <v>7.8100000000000003E-2</v>
      </c>
      <c r="ES27" s="456"/>
      <c r="EU27" s="144">
        <f t="shared" si="123"/>
        <v>322.16250000000002</v>
      </c>
      <c r="EV27" s="456">
        <f t="shared" si="85"/>
        <v>2.257156862745097E-2</v>
      </c>
      <c r="EW27" s="456">
        <f t="shared" si="124"/>
        <v>1.928682682803563E-2</v>
      </c>
      <c r="EX27" s="456">
        <f t="shared" si="86"/>
        <v>2.6180319903031128E-3</v>
      </c>
      <c r="EY27" s="456">
        <f t="shared" si="87"/>
        <v>9.2999503991711574</v>
      </c>
      <c r="EZ27" s="456">
        <f t="shared" si="88"/>
        <v>9.3885065476271272</v>
      </c>
      <c r="FA27" s="538">
        <f t="shared" si="89"/>
        <v>2.7085882352941168E-2</v>
      </c>
      <c r="FB27" s="144">
        <f t="shared" si="125"/>
        <v>9415.5924299800681</v>
      </c>
      <c r="FC27" s="150">
        <f t="shared" si="126"/>
        <v>11.178646270811813</v>
      </c>
      <c r="FD27" s="5">
        <f t="shared" si="127"/>
        <v>20.02</v>
      </c>
      <c r="FE27" s="150">
        <f t="shared" si="128"/>
        <v>0.64169450899316416</v>
      </c>
      <c r="FF27" s="5">
        <f t="shared" si="129"/>
        <v>64.169450899316416</v>
      </c>
      <c r="FG27">
        <f t="shared" si="130"/>
        <v>22</v>
      </c>
      <c r="FI27" s="59">
        <f t="shared" si="90"/>
        <v>-50</v>
      </c>
      <c r="FJ27">
        <f t="shared" si="91"/>
        <v>-50</v>
      </c>
      <c r="FL27">
        <f t="shared" si="92"/>
        <v>0.34324400627617024</v>
      </c>
    </row>
    <row r="28" spans="5:168">
      <c r="E28" s="147">
        <v>23</v>
      </c>
      <c r="F28" s="188">
        <f t="shared" si="131"/>
        <v>0.115</v>
      </c>
      <c r="G28" s="188">
        <f t="shared" si="93"/>
        <v>0.115</v>
      </c>
      <c r="H28" s="188">
        <f t="shared" si="0"/>
        <v>19.55</v>
      </c>
      <c r="I28" s="188">
        <f t="shared" si="132"/>
        <v>1.3800000000000001</v>
      </c>
      <c r="J28" s="465">
        <f t="shared" si="1"/>
        <v>11.959993660274005</v>
      </c>
      <c r="K28" s="379">
        <f t="shared" si="2"/>
        <v>8.6489071312417067</v>
      </c>
      <c r="L28" s="149">
        <f t="shared" si="3"/>
        <v>20.608900791515712</v>
      </c>
      <c r="M28" s="379"/>
      <c r="N28" s="188">
        <f t="shared" si="4"/>
        <v>0.41966853151150574</v>
      </c>
      <c r="O28" s="149">
        <f t="shared" si="94"/>
        <v>156.27648460988988</v>
      </c>
      <c r="P28" s="149">
        <f t="shared" si="5"/>
        <v>11.031281266580462</v>
      </c>
      <c r="Q28" s="188">
        <f t="shared" si="6"/>
        <v>0.91927343888170521</v>
      </c>
      <c r="R28" s="188">
        <f t="shared" si="7"/>
        <v>13.02304038415749</v>
      </c>
      <c r="S28" s="379">
        <f t="shared" si="8"/>
        <v>170</v>
      </c>
      <c r="T28" s="188">
        <f t="shared" si="9"/>
        <v>8.3399197044060749</v>
      </c>
      <c r="U28" s="188">
        <f t="shared" si="10"/>
        <v>1.045977106004796</v>
      </c>
      <c r="V28" s="188">
        <f t="shared" si="11"/>
        <v>1.4464115947575327</v>
      </c>
      <c r="W28" s="172">
        <f t="shared" si="12"/>
        <v>250.96164881470551</v>
      </c>
      <c r="X28" s="379">
        <f t="shared" si="95"/>
        <v>350</v>
      </c>
      <c r="Z28" s="188">
        <f t="shared" si="13"/>
        <v>13.333333333333332</v>
      </c>
      <c r="AA28" s="150">
        <f t="shared" si="14"/>
        <v>2.3124308882628317</v>
      </c>
      <c r="AB28" s="150">
        <f t="shared" si="15"/>
        <v>0.1806892850605202</v>
      </c>
      <c r="AC28" s="150"/>
      <c r="AD28" s="150">
        <f t="shared" si="16"/>
        <v>2.3124308882628322</v>
      </c>
      <c r="AE28" s="314">
        <f t="shared" si="17"/>
        <v>159.72496434431372</v>
      </c>
      <c r="AF28" s="456">
        <f t="shared" si="18"/>
        <v>0.18068928506052023</v>
      </c>
      <c r="AH28" s="150">
        <f t="shared" si="19"/>
        <v>8.9293523468017177</v>
      </c>
      <c r="AI28" s="150">
        <f t="shared" si="20"/>
        <v>13.333333333333334</v>
      </c>
      <c r="AJ28" s="150">
        <f t="shared" si="21"/>
        <v>1.0912714081967507</v>
      </c>
      <c r="AL28" s="314">
        <f t="shared" si="22"/>
        <v>115</v>
      </c>
      <c r="AM28" s="144">
        <f t="shared" si="23"/>
        <v>159.72496434431372</v>
      </c>
      <c r="AO28">
        <f t="shared" si="96"/>
        <v>115</v>
      </c>
      <c r="AP28" s="144">
        <f t="shared" si="24"/>
        <v>159.72496434431372</v>
      </c>
      <c r="AQ28" s="144"/>
      <c r="AR28" s="5">
        <f t="shared" si="97"/>
        <v>6.2607620800235937</v>
      </c>
      <c r="AS28" s="5">
        <f t="shared" si="25"/>
        <v>1.6722416890931528</v>
      </c>
      <c r="AT28" s="5">
        <f t="shared" si="98"/>
        <v>4.5885203909304408</v>
      </c>
      <c r="AU28" s="150">
        <f t="shared" si="99"/>
        <v>0.2670987441654788</v>
      </c>
      <c r="AW28" s="5">
        <f t="shared" si="26"/>
        <v>0.1131222319092427</v>
      </c>
      <c r="AX28" s="5">
        <f t="shared" si="27"/>
        <v>1.6025649520476049</v>
      </c>
      <c r="AY28" s="5">
        <f t="shared" si="28"/>
        <v>12.500783332443525</v>
      </c>
      <c r="AZ28" s="5"/>
      <c r="BA28" s="150">
        <f t="shared" si="100"/>
        <v>3.9784511720422899</v>
      </c>
      <c r="BB28" s="150">
        <f t="shared" si="29"/>
        <v>0.30778565865159857</v>
      </c>
      <c r="BC28" s="150">
        <f t="shared" si="30"/>
        <v>0.29279242344154827</v>
      </c>
      <c r="BD28" s="150"/>
      <c r="BE28" s="456">
        <f t="shared" si="31"/>
        <v>5.3815450676303875E-2</v>
      </c>
      <c r="BF28" s="456">
        <f t="shared" si="32"/>
        <v>1.051167398149377</v>
      </c>
      <c r="BG28" s="456">
        <f t="shared" si="33"/>
        <v>8.7492177891303147E-2</v>
      </c>
      <c r="BH28" s="456">
        <f t="shared" si="34"/>
        <v>4.6470038102064619E-2</v>
      </c>
      <c r="BI28">
        <f t="shared" si="35"/>
        <v>5.3819971471233017E-3</v>
      </c>
      <c r="BJ28" s="144">
        <f t="shared" si="101"/>
        <v>92.874175038426444</v>
      </c>
      <c r="BK28">
        <f t="shared" si="36"/>
        <v>1.1810850631003194</v>
      </c>
      <c r="BL28" s="144">
        <f t="shared" si="102"/>
        <v>1181.0850631003193</v>
      </c>
      <c r="BM28" s="150">
        <f t="shared" si="37"/>
        <v>0.25515625000000003</v>
      </c>
      <c r="BN28" s="150">
        <f t="shared" si="38"/>
        <v>8.165E-2</v>
      </c>
      <c r="BO28" s="456"/>
      <c r="BQ28" s="144">
        <f t="shared" si="103"/>
        <v>336.80625000000003</v>
      </c>
      <c r="BR28" s="456">
        <f t="shared" si="39"/>
        <v>2.3742110592487004E-2</v>
      </c>
      <c r="BS28" s="456">
        <f t="shared" si="104"/>
        <v>1.894640233431967E-2</v>
      </c>
      <c r="BT28" s="456">
        <f t="shared" si="40"/>
        <v>2.5718220967432467E-3</v>
      </c>
      <c r="BU28" s="456">
        <f t="shared" si="41"/>
        <v>10.465231638431653</v>
      </c>
      <c r="BV28" s="456">
        <f t="shared" si="42"/>
        <v>10.559588896353649</v>
      </c>
      <c r="BW28" s="538">
        <f t="shared" si="43"/>
        <v>2.8395549216766888E-2</v>
      </c>
      <c r="BX28" s="144">
        <f t="shared" si="105"/>
        <v>10587.984445570415</v>
      </c>
      <c r="BY28" s="150">
        <f t="shared" si="106"/>
        <v>12.105875758670734</v>
      </c>
      <c r="BZ28" s="5">
        <f t="shared" si="107"/>
        <v>20.93</v>
      </c>
      <c r="CA28" s="150">
        <f t="shared" si="108"/>
        <v>0.63355366005414959</v>
      </c>
      <c r="CB28" s="5">
        <f t="shared" si="109"/>
        <v>63.355366005414957</v>
      </c>
      <c r="CC28">
        <f t="shared" si="110"/>
        <v>23</v>
      </c>
      <c r="CE28" s="59">
        <f t="shared" si="44"/>
        <v>-50</v>
      </c>
      <c r="CF28">
        <f t="shared" si="45"/>
        <v>-50</v>
      </c>
      <c r="CG28" s="150">
        <f t="shared" si="46"/>
        <v>0.35884600656145077</v>
      </c>
      <c r="CH28" s="150">
        <f t="shared" si="47"/>
        <v>9.7239062593782968E-2</v>
      </c>
      <c r="CI28" s="147">
        <v>23</v>
      </c>
      <c r="CJ28" s="188">
        <f t="shared" si="133"/>
        <v>0.115</v>
      </c>
      <c r="CK28" s="188">
        <f t="shared" si="111"/>
        <v>0.115</v>
      </c>
      <c r="CL28" s="188">
        <f t="shared" si="48"/>
        <v>19.55</v>
      </c>
      <c r="CM28" s="188">
        <f t="shared" si="134"/>
        <v>1.3800000000000001</v>
      </c>
      <c r="CN28" s="465">
        <f t="shared" si="112"/>
        <v>12</v>
      </c>
      <c r="CO28" s="379">
        <f t="shared" si="49"/>
        <v>8.625</v>
      </c>
      <c r="CP28" s="379">
        <f t="shared" si="50"/>
        <v>20.625</v>
      </c>
      <c r="CQ28" s="379"/>
      <c r="CR28" s="188">
        <f t="shared" si="113"/>
        <v>0.4156318480642805</v>
      </c>
      <c r="CS28" s="149">
        <f t="shared" si="114"/>
        <v>155.29102015588504</v>
      </c>
      <c r="CT28" s="149">
        <f t="shared" si="51"/>
        <v>10.961719069827179</v>
      </c>
      <c r="CU28" s="188">
        <f t="shared" si="52"/>
        <v>0.91347658915226493</v>
      </c>
      <c r="CV28" s="188">
        <f t="shared" si="53"/>
        <v>12.940918346323754</v>
      </c>
      <c r="CW28" s="379">
        <f t="shared" si="54"/>
        <v>170</v>
      </c>
      <c r="CX28" s="188">
        <f t="shared" si="55"/>
        <v>8.3928441710603394</v>
      </c>
      <c r="CY28" s="188">
        <f t="shared" si="56"/>
        <v>1.0491055213825426</v>
      </c>
      <c r="CZ28" s="188">
        <f t="shared" si="57"/>
        <v>1.4596250732278853</v>
      </c>
      <c r="DA28" s="172">
        <f t="shared" si="58"/>
        <v>250.90909090909091</v>
      </c>
      <c r="DB28" s="379">
        <f t="shared" si="115"/>
        <v>350</v>
      </c>
      <c r="DD28" s="188">
        <f t="shared" si="59"/>
        <v>13.333333333333332</v>
      </c>
      <c r="DE28" s="150">
        <f t="shared" si="60"/>
        <v>2.318840579710145</v>
      </c>
      <c r="DF28" s="150">
        <f t="shared" si="61"/>
        <v>0.18115218115218115</v>
      </c>
      <c r="DG28" s="150"/>
      <c r="DH28" s="150">
        <f t="shared" si="62"/>
        <v>2.3188405797101455</v>
      </c>
      <c r="DI28" s="314">
        <f t="shared" si="63"/>
        <v>159.28345588235288</v>
      </c>
      <c r="DJ28" s="456">
        <f t="shared" si="64"/>
        <v>0.18115218115218121</v>
      </c>
      <c r="DL28" s="150">
        <f t="shared" si="65"/>
        <v>8.9293523468017177</v>
      </c>
      <c r="DM28" s="150">
        <f t="shared" si="66"/>
        <v>13.333333333333334</v>
      </c>
      <c r="DN28" s="150">
        <f t="shared" si="67"/>
        <v>1.0910191176470587</v>
      </c>
      <c r="DP28" s="314">
        <f t="shared" si="68"/>
        <v>115</v>
      </c>
      <c r="DQ28" s="144">
        <f t="shared" si="69"/>
        <v>159.28345588235288</v>
      </c>
      <c r="DS28">
        <f t="shared" si="116"/>
        <v>115</v>
      </c>
      <c r="DT28" s="144">
        <f t="shared" si="70"/>
        <v>159.28345588235288</v>
      </c>
      <c r="DU28" s="144"/>
      <c r="DV28" s="5">
        <f t="shared" si="117"/>
        <v>6.2781159189476794</v>
      </c>
      <c r="DW28" s="5">
        <f t="shared" si="71"/>
        <v>1.666666666666667</v>
      </c>
      <c r="DX28" s="5">
        <f t="shared" si="118"/>
        <v>4.6114492522810124</v>
      </c>
      <c r="DY28" s="150">
        <f t="shared" si="119"/>
        <v>0.26547242647058816</v>
      </c>
      <c r="EA28" s="5">
        <f t="shared" si="72"/>
        <v>0.1127450980392157</v>
      </c>
      <c r="EB28" s="5">
        <f t="shared" si="73"/>
        <v>1.5972222222222225</v>
      </c>
      <c r="EC28" s="5">
        <f t="shared" si="74"/>
        <v>12.52136567806858</v>
      </c>
      <c r="ED28" s="5"/>
      <c r="EE28" s="150">
        <f t="shared" si="120"/>
        <v>3.9663206308120409</v>
      </c>
      <c r="EF28" s="150">
        <f t="shared" si="75"/>
        <v>0.3081269596664129</v>
      </c>
      <c r="EG28" s="150">
        <f t="shared" si="76"/>
        <v>0.29311709857972185</v>
      </c>
      <c r="EH28" s="150"/>
      <c r="EI28" s="456">
        <f t="shared" si="77"/>
        <v>5.3487777777777766E-2</v>
      </c>
      <c r="EJ28" s="456">
        <f t="shared" si="78"/>
        <v>1.3316096911764701</v>
      </c>
      <c r="EK28" s="456">
        <f t="shared" si="79"/>
        <v>3.6475911397058809E-2</v>
      </c>
      <c r="EL28" s="456">
        <f t="shared" si="80"/>
        <v>4.64140168622185E-2</v>
      </c>
      <c r="EM28">
        <f t="shared" si="81"/>
        <v>5.4000000000000003E-3</v>
      </c>
      <c r="EN28" s="144">
        <f t="shared" si="121"/>
        <v>41.875911397058815</v>
      </c>
      <c r="EO28">
        <f t="shared" si="82"/>
        <v>1.5069808588261657</v>
      </c>
      <c r="EP28" s="144">
        <f t="shared" si="122"/>
        <v>1506.9808588261658</v>
      </c>
      <c r="EQ28" s="150">
        <f t="shared" si="83"/>
        <v>0.25515625000000003</v>
      </c>
      <c r="ER28" s="150">
        <f t="shared" si="84"/>
        <v>8.165E-2</v>
      </c>
      <c r="ES28" s="456"/>
      <c r="EU28" s="144">
        <f t="shared" si="123"/>
        <v>336.80625000000003</v>
      </c>
      <c r="EV28" s="456">
        <f t="shared" si="85"/>
        <v>2.3597549019607839E-2</v>
      </c>
      <c r="EW28" s="456">
        <f t="shared" si="124"/>
        <v>1.898844465465345E-2</v>
      </c>
      <c r="EX28" s="456">
        <f t="shared" si="86"/>
        <v>2.5775290043938311E-3</v>
      </c>
      <c r="EY28" s="456">
        <f t="shared" si="87"/>
        <v>10.393062052042078</v>
      </c>
      <c r="EZ28" s="456">
        <f t="shared" si="88"/>
        <v>10.486955046730253</v>
      </c>
      <c r="FA28" s="538">
        <f t="shared" si="89"/>
        <v>2.8317058823529407E-2</v>
      </c>
      <c r="FB28" s="144">
        <f t="shared" si="125"/>
        <v>10515.272105553782</v>
      </c>
      <c r="FC28" s="150">
        <f t="shared" si="126"/>
        <v>12.359059214379947</v>
      </c>
      <c r="FD28" s="5">
        <f t="shared" si="127"/>
        <v>20.93</v>
      </c>
      <c r="FE28" s="150">
        <f t="shared" si="128"/>
        <v>0.62873510077926209</v>
      </c>
      <c r="FF28" s="5">
        <f t="shared" si="129"/>
        <v>62.873510077926213</v>
      </c>
      <c r="FG28">
        <f t="shared" si="130"/>
        <v>23</v>
      </c>
      <c r="FI28" s="59">
        <f t="shared" si="90"/>
        <v>-50</v>
      </c>
      <c r="FJ28">
        <f t="shared" si="91"/>
        <v>-50</v>
      </c>
      <c r="FL28">
        <f t="shared" si="92"/>
        <v>0.35884600656145077</v>
      </c>
    </row>
    <row r="29" spans="5:168">
      <c r="E29" s="147">
        <v>24</v>
      </c>
      <c r="F29" s="188">
        <f t="shared" si="131"/>
        <v>0.12</v>
      </c>
      <c r="G29" s="188">
        <f t="shared" si="93"/>
        <v>0.12</v>
      </c>
      <c r="H29" s="188">
        <f t="shared" si="0"/>
        <v>20.399999999999999</v>
      </c>
      <c r="I29" s="188">
        <f t="shared" si="132"/>
        <v>1.44</v>
      </c>
      <c r="J29" s="465">
        <f t="shared" si="1"/>
        <v>11.959993660274005</v>
      </c>
      <c r="K29" s="379">
        <f t="shared" si="2"/>
        <v>8.6489071312417067</v>
      </c>
      <c r="L29" s="149">
        <f t="shared" si="3"/>
        <v>20.608900791515712</v>
      </c>
      <c r="M29" s="379"/>
      <c r="N29" s="188">
        <f t="shared" si="4"/>
        <v>0.41966853151150574</v>
      </c>
      <c r="O29" s="149">
        <f t="shared" si="94"/>
        <v>156.27648460988988</v>
      </c>
      <c r="P29" s="149">
        <f t="shared" si="5"/>
        <v>11.031281266580462</v>
      </c>
      <c r="Q29" s="188">
        <f t="shared" si="6"/>
        <v>0.91927343888170521</v>
      </c>
      <c r="R29" s="188">
        <f t="shared" si="7"/>
        <v>13.02304038415749</v>
      </c>
      <c r="S29" s="379">
        <f t="shared" si="8"/>
        <v>170</v>
      </c>
      <c r="T29" s="188">
        <f t="shared" si="9"/>
        <v>8.7025249089454704</v>
      </c>
      <c r="U29" s="188">
        <f t="shared" si="10"/>
        <v>1.0914543714832659</v>
      </c>
      <c r="V29" s="188">
        <f t="shared" si="11"/>
        <v>1.5092990553991648</v>
      </c>
      <c r="W29" s="172">
        <f t="shared" si="12"/>
        <v>250.96164881470551</v>
      </c>
      <c r="X29" s="379">
        <f t="shared" si="95"/>
        <v>350</v>
      </c>
      <c r="Z29" s="188">
        <f t="shared" si="13"/>
        <v>13.333333333333332</v>
      </c>
      <c r="AA29" s="150">
        <f t="shared" si="14"/>
        <v>2.3124308882628317</v>
      </c>
      <c r="AB29" s="150">
        <f t="shared" si="15"/>
        <v>0.1806892850605202</v>
      </c>
      <c r="AC29" s="150"/>
      <c r="AD29" s="150">
        <f t="shared" si="16"/>
        <v>2.3124308882628322</v>
      </c>
      <c r="AE29" s="314">
        <f t="shared" si="17"/>
        <v>166.6695280114578</v>
      </c>
      <c r="AF29" s="456">
        <f t="shared" si="18"/>
        <v>0.18068928506052023</v>
      </c>
      <c r="AH29" s="150">
        <f t="shared" si="19"/>
        <v>9.1214034007931044</v>
      </c>
      <c r="AI29" s="150">
        <f t="shared" si="20"/>
        <v>13.333333333333334</v>
      </c>
      <c r="AJ29" s="150">
        <f t="shared" si="21"/>
        <v>1.0952397302922616</v>
      </c>
      <c r="AL29" s="314">
        <f t="shared" si="22"/>
        <v>120</v>
      </c>
      <c r="AM29" s="144">
        <f t="shared" si="23"/>
        <v>166.6695280114578</v>
      </c>
      <c r="AO29">
        <f t="shared" si="96"/>
        <v>120</v>
      </c>
      <c r="AP29" s="144">
        <f t="shared" si="24"/>
        <v>166.6695280114578</v>
      </c>
      <c r="AQ29" s="144"/>
      <c r="AR29" s="5">
        <f t="shared" si="97"/>
        <v>5.9998969933559447</v>
      </c>
      <c r="AS29" s="5">
        <f t="shared" si="25"/>
        <v>1.6722416890931528</v>
      </c>
      <c r="AT29" s="5">
        <f t="shared" si="98"/>
        <v>4.3276553042627919</v>
      </c>
      <c r="AU29" s="150">
        <f t="shared" si="99"/>
        <v>0.27871173304223873</v>
      </c>
      <c r="AW29" s="5">
        <f t="shared" si="26"/>
        <v>0.11804058981834019</v>
      </c>
      <c r="AX29" s="5">
        <f t="shared" si="27"/>
        <v>1.6722416890931526</v>
      </c>
      <c r="AY29" s="5">
        <f t="shared" si="28"/>
        <v>12.302705546882697</v>
      </c>
      <c r="AZ29" s="5"/>
      <c r="BA29" s="150">
        <f t="shared" si="100"/>
        <v>4.064019051006956</v>
      </c>
      <c r="BB29" s="150">
        <f t="shared" si="29"/>
        <v>0.30533745458071854</v>
      </c>
      <c r="BC29" s="150">
        <f t="shared" si="30"/>
        <v>0.29046347931162103</v>
      </c>
      <c r="BD29" s="150"/>
      <c r="BE29" s="456">
        <f t="shared" si="31"/>
        <v>5.6155252879621427E-2</v>
      </c>
      <c r="BF29" s="456">
        <f t="shared" si="32"/>
        <v>1.0968703285036978</v>
      </c>
      <c r="BG29" s="456">
        <f t="shared" si="33"/>
        <v>9.129618562570764E-2</v>
      </c>
      <c r="BH29" s="456">
        <f t="shared" si="34"/>
        <v>4.8490474541284828E-2</v>
      </c>
      <c r="BI29">
        <f t="shared" si="35"/>
        <v>5.3819971471233017E-3</v>
      </c>
      <c r="BJ29" s="144">
        <f t="shared" si="101"/>
        <v>96.678182772830937</v>
      </c>
      <c r="BK29">
        <f t="shared" si="36"/>
        <v>1.2331310100094075</v>
      </c>
      <c r="BL29" s="144">
        <f t="shared" si="102"/>
        <v>1233.1310100094074</v>
      </c>
      <c r="BM29" s="150">
        <f t="shared" si="37"/>
        <v>0.26624999999999999</v>
      </c>
      <c r="BN29" s="150">
        <f t="shared" si="38"/>
        <v>8.5199999999999998E-2</v>
      </c>
      <c r="BO29" s="456"/>
      <c r="BQ29" s="144">
        <f t="shared" si="103"/>
        <v>351.45</v>
      </c>
      <c r="BR29" s="456">
        <f t="shared" si="39"/>
        <v>2.4774376270421217E-2</v>
      </c>
      <c r="BS29" s="456">
        <f t="shared" si="104"/>
        <v>1.8646192233966474E-2</v>
      </c>
      <c r="BT29" s="456">
        <f t="shared" si="40"/>
        <v>2.531070984414375E-3</v>
      </c>
      <c r="BU29" s="456">
        <f t="shared" si="41"/>
        <v>11.640117378138324</v>
      </c>
      <c r="BV29" s="456">
        <f t="shared" si="42"/>
        <v>11.740256132488945</v>
      </c>
      <c r="BW29" s="538">
        <f t="shared" si="43"/>
        <v>2.963013831314806E-2</v>
      </c>
      <c r="BX29" s="144">
        <f t="shared" si="105"/>
        <v>11769.886270802093</v>
      </c>
      <c r="BY29" s="150">
        <f t="shared" si="106"/>
        <v>13.354467280811502</v>
      </c>
      <c r="BZ29" s="5">
        <f t="shared" si="107"/>
        <v>21.84</v>
      </c>
      <c r="CA29" s="150">
        <f t="shared" si="108"/>
        <v>0.62055208353466007</v>
      </c>
      <c r="CB29" s="5">
        <f t="shared" si="109"/>
        <v>62.055208353466007</v>
      </c>
      <c r="CC29">
        <f t="shared" si="110"/>
        <v>24</v>
      </c>
      <c r="CE29" s="59">
        <f t="shared" si="44"/>
        <v>-50</v>
      </c>
      <c r="CF29">
        <f t="shared" si="45"/>
        <v>-50</v>
      </c>
      <c r="CG29" s="150">
        <f t="shared" si="46"/>
        <v>0.37444800684673124</v>
      </c>
      <c r="CH29" s="150">
        <f t="shared" si="47"/>
        <v>0.10146684792394745</v>
      </c>
      <c r="CI29" s="147">
        <v>24</v>
      </c>
      <c r="CJ29" s="188">
        <f t="shared" si="133"/>
        <v>0.12</v>
      </c>
      <c r="CK29" s="188">
        <f t="shared" si="111"/>
        <v>0.12</v>
      </c>
      <c r="CL29" s="188">
        <f t="shared" si="48"/>
        <v>20.399999999999999</v>
      </c>
      <c r="CM29" s="188">
        <f t="shared" si="134"/>
        <v>1.44</v>
      </c>
      <c r="CN29" s="465">
        <f t="shared" si="112"/>
        <v>12</v>
      </c>
      <c r="CO29" s="379">
        <f t="shared" si="49"/>
        <v>8.625</v>
      </c>
      <c r="CP29" s="379">
        <f t="shared" si="50"/>
        <v>20.625</v>
      </c>
      <c r="CQ29" s="379"/>
      <c r="CR29" s="188">
        <f t="shared" si="113"/>
        <v>0.4156318480642805</v>
      </c>
      <c r="CS29" s="149">
        <f t="shared" si="114"/>
        <v>155.29102015588504</v>
      </c>
      <c r="CT29" s="149">
        <f t="shared" si="51"/>
        <v>10.961719069827179</v>
      </c>
      <c r="CU29" s="188">
        <f t="shared" si="52"/>
        <v>0.91347658915226493</v>
      </c>
      <c r="CV29" s="188">
        <f t="shared" si="53"/>
        <v>12.940918346323754</v>
      </c>
      <c r="CW29" s="379">
        <f t="shared" si="54"/>
        <v>170</v>
      </c>
      <c r="CX29" s="188">
        <f t="shared" si="55"/>
        <v>8.7577504393673102</v>
      </c>
      <c r="CY29" s="188">
        <f t="shared" si="56"/>
        <v>1.0947188049209138</v>
      </c>
      <c r="CZ29" s="188">
        <f t="shared" si="57"/>
        <v>1.5230870329334452</v>
      </c>
      <c r="DA29" s="172">
        <f t="shared" si="58"/>
        <v>250.90909090909091</v>
      </c>
      <c r="DB29" s="379">
        <f t="shared" si="115"/>
        <v>350</v>
      </c>
      <c r="DD29" s="188">
        <f t="shared" si="59"/>
        <v>13.333333333333332</v>
      </c>
      <c r="DE29" s="150">
        <f t="shared" si="60"/>
        <v>2.318840579710145</v>
      </c>
      <c r="DF29" s="150">
        <f t="shared" si="61"/>
        <v>0.18115218115218115</v>
      </c>
      <c r="DG29" s="150"/>
      <c r="DH29" s="150">
        <f t="shared" si="62"/>
        <v>2.3188405797101455</v>
      </c>
      <c r="DI29" s="314">
        <f t="shared" si="63"/>
        <v>166.20882352941169</v>
      </c>
      <c r="DJ29" s="456">
        <f t="shared" si="64"/>
        <v>0.18115218115218121</v>
      </c>
      <c r="DL29" s="150">
        <f t="shared" si="65"/>
        <v>9.1214034007931044</v>
      </c>
      <c r="DM29" s="150">
        <f t="shared" si="66"/>
        <v>13.333333333333334</v>
      </c>
      <c r="DN29" s="150">
        <f t="shared" si="67"/>
        <v>1.0949764705882352</v>
      </c>
      <c r="DP29" s="314">
        <f t="shared" si="68"/>
        <v>120</v>
      </c>
      <c r="DQ29" s="144">
        <f t="shared" si="69"/>
        <v>166.20882352941169</v>
      </c>
      <c r="DS29">
        <f t="shared" si="116"/>
        <v>120</v>
      </c>
      <c r="DT29" s="144">
        <f t="shared" si="70"/>
        <v>166.20882352941169</v>
      </c>
      <c r="DU29" s="144"/>
      <c r="DV29" s="5">
        <f t="shared" si="117"/>
        <v>6.0165277556581929</v>
      </c>
      <c r="DW29" s="5">
        <f t="shared" si="71"/>
        <v>1.666666666666667</v>
      </c>
      <c r="DX29" s="5">
        <f t="shared" si="118"/>
        <v>4.3498610889915259</v>
      </c>
      <c r="DY29" s="150">
        <f t="shared" si="119"/>
        <v>0.27701470588235289</v>
      </c>
      <c r="EA29" s="5">
        <f t="shared" si="72"/>
        <v>0.11764705882352942</v>
      </c>
      <c r="EB29" s="5">
        <f t="shared" si="73"/>
        <v>1.666666666666667</v>
      </c>
      <c r="EC29" s="5">
        <f t="shared" si="74"/>
        <v>12.324606418809323</v>
      </c>
      <c r="ED29" s="5"/>
      <c r="EE29" s="150">
        <f t="shared" si="120"/>
        <v>4.0516276080742912</v>
      </c>
      <c r="EF29" s="150">
        <f t="shared" si="75"/>
        <v>0.30569643832788823</v>
      </c>
      <c r="EG29" s="150">
        <f t="shared" si="76"/>
        <v>0.29080497579904807</v>
      </c>
      <c r="EH29" s="150"/>
      <c r="EI29" s="456">
        <f t="shared" si="77"/>
        <v>5.5813333333333326E-2</v>
      </c>
      <c r="EJ29" s="456">
        <f t="shared" si="78"/>
        <v>1.3895057647058817</v>
      </c>
      <c r="EK29" s="456">
        <f t="shared" si="79"/>
        <v>3.8061820588235276E-2</v>
      </c>
      <c r="EL29" s="456">
        <f t="shared" si="80"/>
        <v>4.843201759535843E-2</v>
      </c>
      <c r="EM29">
        <f t="shared" si="81"/>
        <v>5.4000000000000003E-3</v>
      </c>
      <c r="EN29" s="144">
        <f t="shared" si="121"/>
        <v>43.461820588235277</v>
      </c>
      <c r="EO29">
        <f t="shared" si="82"/>
        <v>1.5731443941737568</v>
      </c>
      <c r="EP29" s="144">
        <f t="shared" si="122"/>
        <v>1573.1443941737568</v>
      </c>
      <c r="EQ29" s="150">
        <f t="shared" si="83"/>
        <v>0.26624999999999999</v>
      </c>
      <c r="ER29" s="150">
        <f t="shared" si="84"/>
        <v>8.5199999999999998E-2</v>
      </c>
      <c r="ES29" s="456"/>
      <c r="EU29" s="144">
        <f t="shared" si="123"/>
        <v>351.45</v>
      </c>
      <c r="EV29" s="456">
        <f t="shared" si="85"/>
        <v>2.4623529411764704E-2</v>
      </c>
      <c r="EW29" s="456">
        <f t="shared" si="124"/>
        <v>1.8690062481271277E-2</v>
      </c>
      <c r="EX29" s="456">
        <f t="shared" si="86"/>
        <v>2.537026018484548E-3</v>
      </c>
      <c r="EY29" s="456">
        <f t="shared" si="87"/>
        <v>11.559845628240177</v>
      </c>
      <c r="EZ29" s="456">
        <f t="shared" si="88"/>
        <v>11.659467899065799</v>
      </c>
      <c r="FA29" s="538">
        <f t="shared" si="89"/>
        <v>2.9548235294117639E-2</v>
      </c>
      <c r="FB29" s="144">
        <f t="shared" si="125"/>
        <v>11689.016134359916</v>
      </c>
      <c r="FC29" s="150">
        <f t="shared" si="126"/>
        <v>13.613610528533671</v>
      </c>
      <c r="FD29" s="5">
        <f t="shared" si="127"/>
        <v>21.84</v>
      </c>
      <c r="FE29" s="150">
        <f t="shared" si="128"/>
        <v>0.6160162441684971</v>
      </c>
      <c r="FF29" s="5">
        <f t="shared" si="129"/>
        <v>61.60162441684971</v>
      </c>
      <c r="FG29">
        <f t="shared" si="130"/>
        <v>24</v>
      </c>
      <c r="FI29" s="59">
        <f t="shared" si="90"/>
        <v>-50</v>
      </c>
      <c r="FJ29">
        <f t="shared" si="91"/>
        <v>-50</v>
      </c>
      <c r="FL29">
        <f t="shared" si="92"/>
        <v>0.37444800684673113</v>
      </c>
    </row>
    <row r="30" spans="5:168">
      <c r="E30" s="147">
        <v>25</v>
      </c>
      <c r="F30" s="188">
        <f t="shared" si="131"/>
        <v>0.125</v>
      </c>
      <c r="G30" s="188">
        <f t="shared" si="93"/>
        <v>0.125</v>
      </c>
      <c r="H30" s="188">
        <f t="shared" si="0"/>
        <v>21.25</v>
      </c>
      <c r="I30" s="188">
        <f t="shared" si="132"/>
        <v>1.5</v>
      </c>
      <c r="J30" s="465">
        <f t="shared" si="1"/>
        <v>11.959993660274005</v>
      </c>
      <c r="K30" s="379">
        <f t="shared" si="2"/>
        <v>8.6489071312417067</v>
      </c>
      <c r="L30" s="149">
        <f t="shared" si="3"/>
        <v>20.608900791515712</v>
      </c>
      <c r="M30" s="379"/>
      <c r="N30" s="188">
        <f t="shared" si="4"/>
        <v>0.41966853151150574</v>
      </c>
      <c r="O30" s="149">
        <f t="shared" si="94"/>
        <v>156.27648460988988</v>
      </c>
      <c r="P30" s="149">
        <f t="shared" si="5"/>
        <v>11.031281266580462</v>
      </c>
      <c r="Q30" s="188">
        <f t="shared" si="6"/>
        <v>0.91927343888170521</v>
      </c>
      <c r="R30" s="188">
        <f t="shared" si="7"/>
        <v>13.02304038415749</v>
      </c>
      <c r="S30" s="379">
        <f t="shared" si="8"/>
        <v>170</v>
      </c>
      <c r="T30" s="188">
        <f t="shared" si="9"/>
        <v>9.0651301134848641</v>
      </c>
      <c r="U30" s="188">
        <f t="shared" si="10"/>
        <v>1.136931636961735</v>
      </c>
      <c r="V30" s="188">
        <f t="shared" si="11"/>
        <v>1.5721865160407962</v>
      </c>
      <c r="W30" s="172">
        <f t="shared" si="12"/>
        <v>250.96164881470551</v>
      </c>
      <c r="X30" s="379">
        <f t="shared" si="95"/>
        <v>343.74678077887262</v>
      </c>
      <c r="Z30" s="188">
        <f t="shared" si="13"/>
        <v>13.333333333333332</v>
      </c>
      <c r="AA30" s="150">
        <f t="shared" si="14"/>
        <v>2.3124308882628317</v>
      </c>
      <c r="AB30" s="150">
        <f t="shared" si="15"/>
        <v>0.1806892850605202</v>
      </c>
      <c r="AC30" s="150"/>
      <c r="AD30" s="150">
        <f t="shared" si="16"/>
        <v>2.3124308882628322</v>
      </c>
      <c r="AE30" s="314">
        <f t="shared" si="17"/>
        <v>173.61409167860191</v>
      </c>
      <c r="AF30" s="456">
        <f t="shared" si="18"/>
        <v>0.18068928506052023</v>
      </c>
      <c r="AH30" s="150">
        <f t="shared" si="19"/>
        <v>9.3094933625126277</v>
      </c>
      <c r="AI30" s="150">
        <f t="shared" si="20"/>
        <v>13.333333333333334</v>
      </c>
      <c r="AJ30" s="150">
        <f t="shared" si="21"/>
        <v>1.0992080523877725</v>
      </c>
      <c r="AL30" s="314">
        <f t="shared" si="22"/>
        <v>125</v>
      </c>
      <c r="AM30" s="144">
        <f t="shared" si="23"/>
        <v>173.61409167860191</v>
      </c>
      <c r="AO30">
        <f t="shared" si="96"/>
        <v>125</v>
      </c>
      <c r="AP30" s="144">
        <f t="shared" si="24"/>
        <v>173.61409167860191</v>
      </c>
      <c r="AQ30" s="144"/>
      <c r="AR30" s="5">
        <f t="shared" si="97"/>
        <v>5.7599011136217051</v>
      </c>
      <c r="AS30" s="5">
        <f t="shared" si="25"/>
        <v>1.6722416890931528</v>
      </c>
      <c r="AT30" s="5">
        <f t="shared" si="98"/>
        <v>4.0876594245285522</v>
      </c>
      <c r="AU30" s="150">
        <f t="shared" si="99"/>
        <v>0.29032472191899877</v>
      </c>
      <c r="AW30" s="5">
        <f t="shared" si="26"/>
        <v>0.12295894772743771</v>
      </c>
      <c r="AX30" s="5">
        <f t="shared" si="27"/>
        <v>1.7419184261387008</v>
      </c>
      <c r="AY30" s="5">
        <f t="shared" si="28"/>
        <v>12.104627761321861</v>
      </c>
      <c r="AZ30" s="5"/>
      <c r="BA30" s="150">
        <f t="shared" si="100"/>
        <v>4.1478220749654025</v>
      </c>
      <c r="BB30" s="150">
        <f t="shared" si="29"/>
        <v>0.30286946143192828</v>
      </c>
      <c r="BC30" s="150">
        <f t="shared" si="30"/>
        <v>0.28811571009379205</v>
      </c>
      <c r="BD30" s="150"/>
      <c r="BE30" s="456">
        <f t="shared" si="31"/>
        <v>5.8495055082939007E-2</v>
      </c>
      <c r="BF30" s="456">
        <f t="shared" si="32"/>
        <v>1.1425732588580189</v>
      </c>
      <c r="BG30" s="456">
        <f t="shared" si="33"/>
        <v>9.5100193360112134E-2</v>
      </c>
      <c r="BH30" s="456">
        <f t="shared" si="34"/>
        <v>5.0510910980505037E-2</v>
      </c>
      <c r="BI30">
        <f t="shared" si="35"/>
        <v>5.3819971471233017E-3</v>
      </c>
      <c r="BJ30" s="144">
        <f t="shared" si="101"/>
        <v>100.48219050723543</v>
      </c>
      <c r="BK30">
        <f t="shared" si="36"/>
        <v>1.2852356410713368</v>
      </c>
      <c r="BL30" s="144">
        <f t="shared" si="102"/>
        <v>1285.2356410713369</v>
      </c>
      <c r="BM30" s="150">
        <f t="shared" si="37"/>
        <v>0.27734375</v>
      </c>
      <c r="BN30" s="150">
        <f t="shared" si="38"/>
        <v>8.8749999999999996E-2</v>
      </c>
      <c r="BO30" s="456"/>
      <c r="BQ30" s="144">
        <f t="shared" si="103"/>
        <v>366.09375</v>
      </c>
      <c r="BR30" s="456">
        <f t="shared" si="39"/>
        <v>2.5806641948355444E-2</v>
      </c>
      <c r="BS30" s="456">
        <f t="shared" si="104"/>
        <v>1.834598213361326E-2</v>
      </c>
      <c r="BT30" s="456">
        <f t="shared" si="40"/>
        <v>2.490319872085501E-3</v>
      </c>
      <c r="BU30" s="456">
        <f t="shared" si="41"/>
        <v>12.890782390472213</v>
      </c>
      <c r="BV30" s="456">
        <f t="shared" si="42"/>
        <v>12.997117546999958</v>
      </c>
      <c r="BW30" s="538">
        <f t="shared" si="43"/>
        <v>3.0864727409529231E-2</v>
      </c>
      <c r="BX30" s="144">
        <f t="shared" si="105"/>
        <v>13027.982274409487</v>
      </c>
      <c r="BY30" s="150">
        <f t="shared" si="106"/>
        <v>14.679311665480824</v>
      </c>
      <c r="BZ30" s="5">
        <f t="shared" si="107"/>
        <v>22.75</v>
      </c>
      <c r="CA30" s="150">
        <f t="shared" si="108"/>
        <v>0.60781240657923141</v>
      </c>
      <c r="CB30" s="5">
        <f t="shared" si="109"/>
        <v>60.781240657923142</v>
      </c>
      <c r="CC30">
        <f t="shared" si="110"/>
        <v>25</v>
      </c>
      <c r="CE30" s="59">
        <f t="shared" si="44"/>
        <v>-50</v>
      </c>
      <c r="CF30">
        <f t="shared" si="45"/>
        <v>-50</v>
      </c>
      <c r="CG30" s="150">
        <f t="shared" si="46"/>
        <v>0.39005000713201171</v>
      </c>
      <c r="CH30" s="150">
        <f t="shared" si="47"/>
        <v>0.10569463325411192</v>
      </c>
      <c r="CI30" s="147">
        <v>25</v>
      </c>
      <c r="CJ30" s="188">
        <f t="shared" si="133"/>
        <v>0.125</v>
      </c>
      <c r="CK30" s="188">
        <f t="shared" si="111"/>
        <v>0.125</v>
      </c>
      <c r="CL30" s="188">
        <f t="shared" si="48"/>
        <v>21.25</v>
      </c>
      <c r="CM30" s="188">
        <f t="shared" si="134"/>
        <v>1.5</v>
      </c>
      <c r="CN30" s="465">
        <f t="shared" si="112"/>
        <v>12</v>
      </c>
      <c r="CO30" s="379">
        <f t="shared" si="49"/>
        <v>8.625</v>
      </c>
      <c r="CP30" s="379">
        <f t="shared" si="50"/>
        <v>20.625</v>
      </c>
      <c r="CQ30" s="379"/>
      <c r="CR30" s="188">
        <f t="shared" si="113"/>
        <v>0.4156318480642805</v>
      </c>
      <c r="CS30" s="149">
        <f t="shared" si="114"/>
        <v>155.29102015588504</v>
      </c>
      <c r="CT30" s="149">
        <f t="shared" si="51"/>
        <v>10.961719069827179</v>
      </c>
      <c r="CU30" s="188">
        <f t="shared" si="52"/>
        <v>0.91347658915226493</v>
      </c>
      <c r="CV30" s="188">
        <f t="shared" si="53"/>
        <v>12.940918346323754</v>
      </c>
      <c r="CW30" s="379">
        <f t="shared" si="54"/>
        <v>170</v>
      </c>
      <c r="CX30" s="188">
        <f t="shared" si="55"/>
        <v>9.1226567076742828</v>
      </c>
      <c r="CY30" s="188">
        <f t="shared" si="56"/>
        <v>1.1403320884592854</v>
      </c>
      <c r="CZ30" s="188">
        <f t="shared" si="57"/>
        <v>1.5865489926390057</v>
      </c>
      <c r="DA30" s="172">
        <f t="shared" si="58"/>
        <v>250.90909090909091</v>
      </c>
      <c r="DB30" s="379">
        <f t="shared" si="115"/>
        <v>350</v>
      </c>
      <c r="DD30" s="188">
        <f t="shared" si="59"/>
        <v>13.333333333333332</v>
      </c>
      <c r="DE30" s="150">
        <f t="shared" si="60"/>
        <v>2.318840579710145</v>
      </c>
      <c r="DF30" s="150">
        <f t="shared" si="61"/>
        <v>0.18115218115218115</v>
      </c>
      <c r="DG30" s="150"/>
      <c r="DH30" s="150">
        <f t="shared" si="62"/>
        <v>2.3188405797101455</v>
      </c>
      <c r="DI30" s="314">
        <f t="shared" si="63"/>
        <v>173.13419117647052</v>
      </c>
      <c r="DJ30" s="456">
        <f t="shared" si="64"/>
        <v>0.18115218115218121</v>
      </c>
      <c r="DL30" s="150">
        <f t="shared" si="65"/>
        <v>9.3094933625126277</v>
      </c>
      <c r="DM30" s="150">
        <f t="shared" si="66"/>
        <v>13.333333333333334</v>
      </c>
      <c r="DN30" s="150">
        <f t="shared" si="67"/>
        <v>1.0989338235294117</v>
      </c>
      <c r="DP30" s="314">
        <f t="shared" si="68"/>
        <v>125</v>
      </c>
      <c r="DQ30" s="144">
        <f t="shared" si="69"/>
        <v>173.13419117647052</v>
      </c>
      <c r="DS30">
        <f t="shared" si="116"/>
        <v>125</v>
      </c>
      <c r="DT30" s="144">
        <f t="shared" si="70"/>
        <v>173.13419117647052</v>
      </c>
      <c r="DU30" s="144"/>
      <c r="DV30" s="5">
        <f t="shared" si="117"/>
        <v>5.775866645431865</v>
      </c>
      <c r="DW30" s="5">
        <f t="shared" si="71"/>
        <v>1.666666666666667</v>
      </c>
      <c r="DX30" s="5">
        <f t="shared" si="118"/>
        <v>4.109199978765198</v>
      </c>
      <c r="DY30" s="150">
        <f t="shared" si="119"/>
        <v>0.28855698529411761</v>
      </c>
      <c r="EA30" s="5">
        <f t="shared" si="72"/>
        <v>0.12254901960784316</v>
      </c>
      <c r="EB30" s="5">
        <f t="shared" si="73"/>
        <v>1.7361111111111114</v>
      </c>
      <c r="EC30" s="5">
        <f t="shared" si="74"/>
        <v>12.127847159550061</v>
      </c>
      <c r="ED30" s="5"/>
      <c r="EE30" s="150">
        <f t="shared" si="120"/>
        <v>4.1351751114813</v>
      </c>
      <c r="EF30" s="150">
        <f t="shared" si="75"/>
        <v>0.30324643697732961</v>
      </c>
      <c r="EG30" s="150">
        <f t="shared" si="76"/>
        <v>0.28847432194075012</v>
      </c>
      <c r="EH30" s="150"/>
      <c r="EI30" s="456">
        <f t="shared" si="77"/>
        <v>5.81388888888889E-2</v>
      </c>
      <c r="EJ30" s="456">
        <f t="shared" si="78"/>
        <v>1.4474018382352936</v>
      </c>
      <c r="EK30" s="456">
        <f t="shared" si="79"/>
        <v>3.964772977941175E-2</v>
      </c>
      <c r="EL30" s="456">
        <f t="shared" si="80"/>
        <v>5.0450018328498374E-2</v>
      </c>
      <c r="EM30">
        <f t="shared" si="81"/>
        <v>5.4000000000000003E-3</v>
      </c>
      <c r="EN30" s="144">
        <f t="shared" si="121"/>
        <v>45.047729779411753</v>
      </c>
      <c r="EO30">
        <f t="shared" si="82"/>
        <v>1.639382071288457</v>
      </c>
      <c r="EP30" s="144">
        <f t="shared" si="122"/>
        <v>1639.3820712884569</v>
      </c>
      <c r="EQ30" s="150">
        <f t="shared" si="83"/>
        <v>0.27734375</v>
      </c>
      <c r="ER30" s="150">
        <f t="shared" si="84"/>
        <v>8.8749999999999996E-2</v>
      </c>
      <c r="ES30" s="456"/>
      <c r="EU30" s="144">
        <f t="shared" si="123"/>
        <v>366.09375</v>
      </c>
      <c r="EV30" s="456">
        <f t="shared" si="85"/>
        <v>2.5649509803921576E-2</v>
      </c>
      <c r="EW30" s="456">
        <f t="shared" si="124"/>
        <v>1.8391680307889107E-2</v>
      </c>
      <c r="EX30" s="456">
        <f t="shared" si="86"/>
        <v>2.4965230325752663E-3</v>
      </c>
      <c r="EY30" s="456">
        <f t="shared" si="87"/>
        <v>12.801885893433225</v>
      </c>
      <c r="EZ30" s="456">
        <f t="shared" si="88"/>
        <v>12.907648051523502</v>
      </c>
      <c r="FA30" s="538">
        <f t="shared" si="89"/>
        <v>3.0779411764705882E-2</v>
      </c>
      <c r="FB30" s="144">
        <f t="shared" si="125"/>
        <v>12938.427463288208</v>
      </c>
      <c r="FC30" s="150">
        <f t="shared" si="126"/>
        <v>14.943903284576665</v>
      </c>
      <c r="FD30" s="5">
        <f t="shared" si="127"/>
        <v>22.75</v>
      </c>
      <c r="FE30" s="150">
        <f t="shared" si="128"/>
        <v>0.60354587924325398</v>
      </c>
      <c r="FF30" s="5">
        <f t="shared" si="129"/>
        <v>60.354587924325401</v>
      </c>
      <c r="FG30">
        <f t="shared" si="130"/>
        <v>25</v>
      </c>
      <c r="FI30" s="59">
        <f t="shared" si="90"/>
        <v>-50</v>
      </c>
      <c r="FJ30">
        <f t="shared" si="91"/>
        <v>-50</v>
      </c>
      <c r="FL30">
        <f t="shared" si="92"/>
        <v>0.39005000713201166</v>
      </c>
    </row>
    <row r="31" spans="5:168">
      <c r="E31" s="147">
        <v>26</v>
      </c>
      <c r="F31" s="188">
        <f t="shared" si="131"/>
        <v>0.13</v>
      </c>
      <c r="G31" s="188">
        <f t="shared" si="93"/>
        <v>0.13</v>
      </c>
      <c r="H31" s="188">
        <f t="shared" si="0"/>
        <v>22.1</v>
      </c>
      <c r="I31" s="188">
        <f t="shared" si="132"/>
        <v>1.56</v>
      </c>
      <c r="J31" s="465">
        <f t="shared" si="1"/>
        <v>11.959993660274005</v>
      </c>
      <c r="K31" s="379">
        <f t="shared" si="2"/>
        <v>8.6489071312417067</v>
      </c>
      <c r="L31" s="149">
        <f t="shared" si="3"/>
        <v>20.608900791515712</v>
      </c>
      <c r="M31" s="379"/>
      <c r="N31" s="188">
        <f t="shared" si="4"/>
        <v>0.41966853151150574</v>
      </c>
      <c r="O31" s="149">
        <f t="shared" si="94"/>
        <v>156.27648460988988</v>
      </c>
      <c r="P31" s="149">
        <f t="shared" si="5"/>
        <v>11.031281266580462</v>
      </c>
      <c r="Q31" s="188">
        <f t="shared" si="6"/>
        <v>0.91927343888170521</v>
      </c>
      <c r="R31" s="188">
        <f t="shared" si="7"/>
        <v>13.02304038415749</v>
      </c>
      <c r="S31" s="379">
        <f t="shared" si="8"/>
        <v>170</v>
      </c>
      <c r="T31" s="188">
        <f t="shared" si="9"/>
        <v>9.4277353180242596</v>
      </c>
      <c r="U31" s="188">
        <f t="shared" si="10"/>
        <v>1.1824089024402045</v>
      </c>
      <c r="V31" s="188">
        <f t="shared" si="11"/>
        <v>1.6350739766824283</v>
      </c>
      <c r="W31" s="172">
        <f t="shared" si="12"/>
        <v>250.96164881470551</v>
      </c>
      <c r="X31" s="379">
        <f t="shared" si="95"/>
        <v>331.40204602942481</v>
      </c>
      <c r="Z31" s="188">
        <f t="shared" si="13"/>
        <v>13.333333333333332</v>
      </c>
      <c r="AA31" s="150">
        <f t="shared" si="14"/>
        <v>2.3124308882628317</v>
      </c>
      <c r="AB31" s="150">
        <f t="shared" si="15"/>
        <v>0.1806892850605202</v>
      </c>
      <c r="AC31" s="150"/>
      <c r="AD31" s="150">
        <f t="shared" si="16"/>
        <v>2.3124308882628322</v>
      </c>
      <c r="AE31" s="314">
        <f t="shared" si="17"/>
        <v>180.55865534574596</v>
      </c>
      <c r="AF31" s="456">
        <f t="shared" si="18"/>
        <v>0.18068928506052023</v>
      </c>
      <c r="AH31" s="150">
        <f t="shared" si="19"/>
        <v>9.4938576634228795</v>
      </c>
      <c r="AI31" s="150">
        <f t="shared" si="20"/>
        <v>13.333333333333334</v>
      </c>
      <c r="AJ31" s="150">
        <f t="shared" si="21"/>
        <v>1.1031763744832834</v>
      </c>
      <c r="AL31" s="314">
        <f t="shared" si="22"/>
        <v>130</v>
      </c>
      <c r="AM31" s="144">
        <f t="shared" si="23"/>
        <v>180.55865534574596</v>
      </c>
      <c r="AO31">
        <f t="shared" si="96"/>
        <v>130</v>
      </c>
      <c r="AP31" s="144">
        <f t="shared" si="24"/>
        <v>180.55865534574596</v>
      </c>
      <c r="AQ31" s="144"/>
      <c r="AR31" s="5">
        <f t="shared" si="97"/>
        <v>5.5383664554054874</v>
      </c>
      <c r="AS31" s="5">
        <f t="shared" si="25"/>
        <v>1.6722416890931528</v>
      </c>
      <c r="AT31" s="5">
        <f t="shared" si="98"/>
        <v>3.8661247663123346</v>
      </c>
      <c r="AU31" s="150">
        <f t="shared" si="99"/>
        <v>0.3019377107957586</v>
      </c>
      <c r="AW31" s="5">
        <f t="shared" si="26"/>
        <v>0.12787730563653524</v>
      </c>
      <c r="AX31" s="5">
        <f t="shared" si="27"/>
        <v>1.8115951631842491</v>
      </c>
      <c r="AY31" s="5">
        <f t="shared" si="28"/>
        <v>11.906549975761042</v>
      </c>
      <c r="AZ31" s="5"/>
      <c r="BA31" s="150">
        <f t="shared" si="100"/>
        <v>4.2299651398318998</v>
      </c>
      <c r="BB31" s="150">
        <f t="shared" si="29"/>
        <v>0.30038119143232034</v>
      </c>
      <c r="BC31" s="150">
        <f t="shared" si="30"/>
        <v>0.28574865177615033</v>
      </c>
      <c r="BD31" s="150"/>
      <c r="BE31" s="456">
        <f t="shared" si="31"/>
        <v>6.0834857286256552E-2</v>
      </c>
      <c r="BF31" s="456">
        <f t="shared" si="32"/>
        <v>1.1882761892123395</v>
      </c>
      <c r="BG31" s="456">
        <f t="shared" si="33"/>
        <v>9.8904201094516614E-2</v>
      </c>
      <c r="BH31" s="456">
        <f t="shared" si="34"/>
        <v>5.2531347419725233E-2</v>
      </c>
      <c r="BI31">
        <f t="shared" si="35"/>
        <v>5.3819971471233017E-3</v>
      </c>
      <c r="BJ31" s="144">
        <f t="shared" si="101"/>
        <v>104.28619824163991</v>
      </c>
      <c r="BK31">
        <f t="shared" si="36"/>
        <v>1.3373990555956383</v>
      </c>
      <c r="BL31" s="144">
        <f t="shared" si="102"/>
        <v>1337.3990555956384</v>
      </c>
      <c r="BM31" s="150">
        <f t="shared" si="37"/>
        <v>0.28843750000000001</v>
      </c>
      <c r="BN31" s="150">
        <f t="shared" si="38"/>
        <v>9.2300000000000007E-2</v>
      </c>
      <c r="BO31" s="456"/>
      <c r="BQ31" s="144">
        <f t="shared" si="103"/>
        <v>380.73750000000001</v>
      </c>
      <c r="BR31" s="456">
        <f t="shared" si="39"/>
        <v>2.6838907626289658E-2</v>
      </c>
      <c r="BS31" s="456">
        <f t="shared" si="104"/>
        <v>1.8045772033260056E-2</v>
      </c>
      <c r="BT31" s="456">
        <f t="shared" si="40"/>
        <v>2.4495687597566283E-3</v>
      </c>
      <c r="BU31" s="456">
        <f t="shared" si="41"/>
        <v>14.218789518476566</v>
      </c>
      <c r="BV31" s="456">
        <f t="shared" si="42"/>
        <v>14.331754613168044</v>
      </c>
      <c r="BW31" s="538">
        <f t="shared" si="43"/>
        <v>3.20993165059104E-2</v>
      </c>
      <c r="BX31" s="144">
        <f t="shared" si="105"/>
        <v>14363.853929673955</v>
      </c>
      <c r="BY31" s="150">
        <f t="shared" si="106"/>
        <v>16.081990485269593</v>
      </c>
      <c r="BZ31" s="5">
        <f t="shared" si="107"/>
        <v>23.66</v>
      </c>
      <c r="CA31" s="150">
        <f t="shared" si="108"/>
        <v>0.59534008516180381</v>
      </c>
      <c r="CB31" s="5">
        <f t="shared" si="109"/>
        <v>59.534008516180378</v>
      </c>
      <c r="CC31">
        <f t="shared" si="110"/>
        <v>26</v>
      </c>
      <c r="CE31" s="59">
        <f t="shared" si="44"/>
        <v>-50</v>
      </c>
      <c r="CF31">
        <f t="shared" si="45"/>
        <v>-50</v>
      </c>
      <c r="CG31" s="150">
        <f t="shared" si="46"/>
        <v>0.40565200741729218</v>
      </c>
      <c r="CH31" s="150">
        <f t="shared" si="47"/>
        <v>0.10992241858427643</v>
      </c>
      <c r="CI31" s="147">
        <v>26</v>
      </c>
      <c r="CJ31" s="188">
        <f t="shared" si="133"/>
        <v>0.13</v>
      </c>
      <c r="CK31" s="188">
        <f t="shared" si="111"/>
        <v>0.13</v>
      </c>
      <c r="CL31" s="188">
        <f t="shared" si="48"/>
        <v>22.1</v>
      </c>
      <c r="CM31" s="188">
        <f t="shared" si="134"/>
        <v>1.56</v>
      </c>
      <c r="CN31" s="465">
        <f t="shared" si="112"/>
        <v>12</v>
      </c>
      <c r="CO31" s="379">
        <f t="shared" si="49"/>
        <v>8.625</v>
      </c>
      <c r="CP31" s="379">
        <f t="shared" si="50"/>
        <v>20.625</v>
      </c>
      <c r="CQ31" s="379"/>
      <c r="CR31" s="188">
        <f t="shared" si="113"/>
        <v>0.4156318480642805</v>
      </c>
      <c r="CS31" s="149">
        <f t="shared" si="114"/>
        <v>155.29102015588504</v>
      </c>
      <c r="CT31" s="149">
        <f t="shared" si="51"/>
        <v>10.961719069827179</v>
      </c>
      <c r="CU31" s="188">
        <f t="shared" si="52"/>
        <v>0.91347658915226493</v>
      </c>
      <c r="CV31" s="188">
        <f t="shared" si="53"/>
        <v>12.940918346323754</v>
      </c>
      <c r="CW31" s="379">
        <f t="shared" si="54"/>
        <v>170</v>
      </c>
      <c r="CX31" s="188">
        <f t="shared" si="55"/>
        <v>9.4875629759812536</v>
      </c>
      <c r="CY31" s="188">
        <f t="shared" si="56"/>
        <v>1.1859453719976567</v>
      </c>
      <c r="CZ31" s="188">
        <f t="shared" si="57"/>
        <v>1.6500109523445661</v>
      </c>
      <c r="DA31" s="172">
        <f t="shared" si="58"/>
        <v>250.90909090909091</v>
      </c>
      <c r="DB31" s="379">
        <f t="shared" si="115"/>
        <v>350</v>
      </c>
      <c r="DD31" s="188">
        <f t="shared" si="59"/>
        <v>13.333333333333332</v>
      </c>
      <c r="DE31" s="150">
        <f t="shared" si="60"/>
        <v>2.318840579710145</v>
      </c>
      <c r="DF31" s="150">
        <f t="shared" si="61"/>
        <v>0.18115218115218115</v>
      </c>
      <c r="DG31" s="150"/>
      <c r="DH31" s="150">
        <f t="shared" si="62"/>
        <v>2.3188405797101455</v>
      </c>
      <c r="DI31" s="314">
        <f t="shared" si="63"/>
        <v>180.05955882352936</v>
      </c>
      <c r="DJ31" s="456">
        <f t="shared" si="64"/>
        <v>0.18115218115218121</v>
      </c>
      <c r="DL31" s="150">
        <f t="shared" si="65"/>
        <v>9.4938576634228795</v>
      </c>
      <c r="DM31" s="150">
        <f t="shared" si="66"/>
        <v>13.333333333333334</v>
      </c>
      <c r="DN31" s="150">
        <f t="shared" si="67"/>
        <v>1.1028911764705882</v>
      </c>
      <c r="DP31" s="314">
        <f t="shared" si="68"/>
        <v>130</v>
      </c>
      <c r="DQ31" s="144">
        <f t="shared" si="69"/>
        <v>180.05955882352936</v>
      </c>
      <c r="DS31">
        <f t="shared" si="116"/>
        <v>130</v>
      </c>
      <c r="DT31" s="144">
        <f t="shared" si="70"/>
        <v>180.05955882352936</v>
      </c>
      <c r="DU31" s="144"/>
      <c r="DV31" s="5">
        <f t="shared" si="117"/>
        <v>5.5537179282998697</v>
      </c>
      <c r="DW31" s="5">
        <f t="shared" si="71"/>
        <v>1.666666666666667</v>
      </c>
      <c r="DX31" s="5">
        <f t="shared" si="118"/>
        <v>3.8870512616332027</v>
      </c>
      <c r="DY31" s="150">
        <f t="shared" si="119"/>
        <v>0.30009926470588233</v>
      </c>
      <c r="EA31" s="5">
        <f t="shared" si="72"/>
        <v>0.12745098039215691</v>
      </c>
      <c r="EB31" s="5">
        <f t="shared" si="73"/>
        <v>1.8055555555555558</v>
      </c>
      <c r="EC31" s="5">
        <f t="shared" si="74"/>
        <v>11.931087900290802</v>
      </c>
      <c r="ED31" s="5"/>
      <c r="EE31" s="150">
        <f t="shared" si="120"/>
        <v>4.2170677171132738</v>
      </c>
      <c r="EF31" s="150">
        <f t="shared" si="75"/>
        <v>0.30077647958664361</v>
      </c>
      <c r="EG31" s="150">
        <f t="shared" si="76"/>
        <v>0.28612468416560305</v>
      </c>
      <c r="EH31" s="150"/>
      <c r="EI31" s="456">
        <f t="shared" si="77"/>
        <v>6.0464444444444453E-2</v>
      </c>
      <c r="EJ31" s="456">
        <f t="shared" si="78"/>
        <v>1.5052979117647054</v>
      </c>
      <c r="EK31" s="456">
        <f t="shared" si="79"/>
        <v>4.1233638970588224E-2</v>
      </c>
      <c r="EL31" s="456">
        <f t="shared" si="80"/>
        <v>5.246801906163831E-2</v>
      </c>
      <c r="EM31">
        <f t="shared" si="81"/>
        <v>5.4000000000000003E-3</v>
      </c>
      <c r="EN31" s="144">
        <f t="shared" si="121"/>
        <v>46.633638970588223</v>
      </c>
      <c r="EO31">
        <f t="shared" si="82"/>
        <v>1.7056940148631943</v>
      </c>
      <c r="EP31" s="144">
        <f t="shared" si="122"/>
        <v>1705.6940148631943</v>
      </c>
      <c r="EQ31" s="150">
        <f t="shared" si="83"/>
        <v>0.28843750000000001</v>
      </c>
      <c r="ER31" s="150">
        <f t="shared" si="84"/>
        <v>9.2300000000000007E-2</v>
      </c>
      <c r="ES31" s="456"/>
      <c r="EU31" s="144">
        <f t="shared" si="123"/>
        <v>380.73750000000001</v>
      </c>
      <c r="EV31" s="456">
        <f t="shared" si="85"/>
        <v>2.6675490196078434E-2</v>
      </c>
      <c r="EW31" s="456">
        <f t="shared" si="124"/>
        <v>1.8093298134506927E-2</v>
      </c>
      <c r="EX31" s="456">
        <f t="shared" si="86"/>
        <v>2.4560200466659829E-3</v>
      </c>
      <c r="EY31" s="456">
        <f t="shared" si="87"/>
        <v>14.120734913097312</v>
      </c>
      <c r="EZ31" s="456">
        <f t="shared" si="88"/>
        <v>14.233065980569357</v>
      </c>
      <c r="FA31" s="538">
        <f t="shared" si="89"/>
        <v>3.201058823529411E-2</v>
      </c>
      <c r="FB31" s="144">
        <f t="shared" si="125"/>
        <v>14265.076568804652</v>
      </c>
      <c r="FC31" s="150">
        <f t="shared" si="126"/>
        <v>16.351508083667845</v>
      </c>
      <c r="FD31" s="5">
        <f t="shared" si="127"/>
        <v>23.66</v>
      </c>
      <c r="FE31" s="150">
        <f t="shared" si="128"/>
        <v>0.59132987315860985</v>
      </c>
      <c r="FF31" s="5">
        <f t="shared" si="129"/>
        <v>59.132987315860987</v>
      </c>
      <c r="FG31">
        <f t="shared" si="130"/>
        <v>26</v>
      </c>
      <c r="FI31" s="59">
        <f t="shared" si="90"/>
        <v>-50</v>
      </c>
      <c r="FJ31">
        <f t="shared" si="91"/>
        <v>-50</v>
      </c>
      <c r="FL31">
        <f t="shared" si="92"/>
        <v>0.40565200741729218</v>
      </c>
    </row>
    <row r="32" spans="5:168">
      <c r="E32" s="147">
        <v>27</v>
      </c>
      <c r="F32" s="188">
        <f t="shared" si="131"/>
        <v>0.13500000000000001</v>
      </c>
      <c r="G32" s="188">
        <f t="shared" si="93"/>
        <v>0.13500000000000001</v>
      </c>
      <c r="H32" s="188">
        <f t="shared" si="0"/>
        <v>22.950000000000003</v>
      </c>
      <c r="I32" s="188">
        <f t="shared" si="132"/>
        <v>1.62</v>
      </c>
      <c r="J32" s="465">
        <f t="shared" si="1"/>
        <v>11.959993660274005</v>
      </c>
      <c r="K32" s="379">
        <f t="shared" si="2"/>
        <v>8.6489071312417067</v>
      </c>
      <c r="L32" s="149">
        <f t="shared" si="3"/>
        <v>20.608900791515712</v>
      </c>
      <c r="M32" s="379"/>
      <c r="N32" s="188">
        <f t="shared" si="4"/>
        <v>0.41966853151150574</v>
      </c>
      <c r="O32" s="149">
        <f t="shared" si="94"/>
        <v>156.27648460988988</v>
      </c>
      <c r="P32" s="149">
        <f t="shared" si="5"/>
        <v>11.031281266580462</v>
      </c>
      <c r="Q32" s="188">
        <f t="shared" si="6"/>
        <v>0.91927343888170521</v>
      </c>
      <c r="R32" s="188">
        <f t="shared" si="7"/>
        <v>13.02304038415749</v>
      </c>
      <c r="S32" s="379">
        <f t="shared" si="8"/>
        <v>170</v>
      </c>
      <c r="T32" s="188">
        <f t="shared" si="9"/>
        <v>9.7903405225636551</v>
      </c>
      <c r="U32" s="188">
        <f t="shared" si="10"/>
        <v>1.2278861679186739</v>
      </c>
      <c r="V32" s="188">
        <f t="shared" si="11"/>
        <v>1.6979614373240604</v>
      </c>
      <c r="W32" s="172">
        <f t="shared" si="12"/>
        <v>250.96164881470551</v>
      </c>
      <c r="X32" s="379">
        <f t="shared" si="95"/>
        <v>319.91322875842695</v>
      </c>
      <c r="Z32" s="188">
        <f t="shared" si="13"/>
        <v>13.333333333333332</v>
      </c>
      <c r="AA32" s="150">
        <f t="shared" si="14"/>
        <v>2.3124308882628317</v>
      </c>
      <c r="AB32" s="150">
        <f t="shared" si="15"/>
        <v>0.1806892850605202</v>
      </c>
      <c r="AC32" s="150"/>
      <c r="AD32" s="150">
        <f t="shared" si="16"/>
        <v>2.3124308882628322</v>
      </c>
      <c r="AE32" s="314">
        <f t="shared" si="17"/>
        <v>187.50321901289004</v>
      </c>
      <c r="AF32" s="456">
        <f t="shared" si="18"/>
        <v>0.18068928506052023</v>
      </c>
      <c r="AH32" s="150">
        <f t="shared" si="19"/>
        <v>9.6747092979582607</v>
      </c>
      <c r="AI32" s="150">
        <f t="shared" si="20"/>
        <v>13.333333333333334</v>
      </c>
      <c r="AJ32" s="150">
        <f t="shared" si="21"/>
        <v>1.1071446965787943</v>
      </c>
      <c r="AL32" s="314">
        <f t="shared" si="22"/>
        <v>135</v>
      </c>
      <c r="AM32" s="144">
        <f t="shared" si="23"/>
        <v>187.50321901289004</v>
      </c>
      <c r="AO32">
        <f t="shared" si="96"/>
        <v>135</v>
      </c>
      <c r="AP32" s="144">
        <f t="shared" si="24"/>
        <v>187.50321901289004</v>
      </c>
      <c r="AQ32" s="144"/>
      <c r="AR32" s="5">
        <f t="shared" si="97"/>
        <v>5.3332417718719496</v>
      </c>
      <c r="AS32" s="5">
        <f t="shared" si="25"/>
        <v>1.6722416890931528</v>
      </c>
      <c r="AT32" s="5">
        <f t="shared" si="98"/>
        <v>3.6610000827787967</v>
      </c>
      <c r="AU32" s="150">
        <f t="shared" si="99"/>
        <v>0.31355069967251864</v>
      </c>
      <c r="AW32" s="5">
        <f t="shared" si="26"/>
        <v>0.13279566354563271</v>
      </c>
      <c r="AX32" s="5">
        <f t="shared" si="27"/>
        <v>1.8812719002297971</v>
      </c>
      <c r="AY32" s="5">
        <f t="shared" si="28"/>
        <v>11.708472190200208</v>
      </c>
      <c r="AZ32" s="5"/>
      <c r="BA32" s="150">
        <f t="shared" si="100"/>
        <v>4.3105431447575056</v>
      </c>
      <c r="BB32" s="150">
        <f t="shared" si="29"/>
        <v>0.29787213643530719</v>
      </c>
      <c r="BC32" s="150">
        <f t="shared" si="30"/>
        <v>0.2833618209655725</v>
      </c>
      <c r="BD32" s="150"/>
      <c r="BE32" s="456">
        <f t="shared" si="31"/>
        <v>6.3174659489574139E-2</v>
      </c>
      <c r="BF32" s="456">
        <f t="shared" si="32"/>
        <v>1.2339791195666603</v>
      </c>
      <c r="BG32" s="456">
        <f t="shared" si="33"/>
        <v>0.10270820882892111</v>
      </c>
      <c r="BH32" s="456">
        <f t="shared" si="34"/>
        <v>5.4551783858945435E-2</v>
      </c>
      <c r="BI32">
        <f t="shared" si="35"/>
        <v>5.3819971471233017E-3</v>
      </c>
      <c r="BJ32" s="144">
        <f t="shared" si="101"/>
        <v>108.0902059760444</v>
      </c>
      <c r="BK32">
        <f t="shared" si="36"/>
        <v>1.3896213531160502</v>
      </c>
      <c r="BL32" s="144">
        <f t="shared" si="102"/>
        <v>1389.6213531160502</v>
      </c>
      <c r="BM32" s="150">
        <f t="shared" si="37"/>
        <v>0.29953125000000003</v>
      </c>
      <c r="BN32" s="150">
        <f t="shared" si="38"/>
        <v>9.5850000000000005E-2</v>
      </c>
      <c r="BO32" s="456"/>
      <c r="BQ32" s="144">
        <f t="shared" si="103"/>
        <v>395.38125000000002</v>
      </c>
      <c r="BR32" s="456">
        <f t="shared" si="39"/>
        <v>2.7871173304223888E-2</v>
      </c>
      <c r="BS32" s="456">
        <f t="shared" si="104"/>
        <v>1.7745561932906852E-2</v>
      </c>
      <c r="BT32" s="456">
        <f t="shared" si="40"/>
        <v>2.4088176474277548E-3</v>
      </c>
      <c r="BU32" s="456">
        <f t="shared" si="41"/>
        <v>15.62567063632051</v>
      </c>
      <c r="BV32" s="456">
        <f t="shared" si="42"/>
        <v>15.745718067156529</v>
      </c>
      <c r="BW32" s="538">
        <f t="shared" si="43"/>
        <v>3.3333905602291568E-2</v>
      </c>
      <c r="BX32" s="144">
        <f t="shared" si="105"/>
        <v>15779.05197275882</v>
      </c>
      <c r="BY32" s="150">
        <f t="shared" si="106"/>
        <v>17.56405457587487</v>
      </c>
      <c r="BZ32" s="5">
        <f t="shared" si="107"/>
        <v>24.570000000000004</v>
      </c>
      <c r="CA32" s="150">
        <f t="shared" si="108"/>
        <v>0.58313875195073916</v>
      </c>
      <c r="CB32" s="5">
        <f t="shared" si="109"/>
        <v>58.313875195073919</v>
      </c>
      <c r="CC32">
        <f t="shared" si="110"/>
        <v>27</v>
      </c>
      <c r="CE32" s="59">
        <f t="shared" si="44"/>
        <v>-50</v>
      </c>
      <c r="CF32">
        <f t="shared" si="45"/>
        <v>-50</v>
      </c>
      <c r="CG32" s="150">
        <f t="shared" si="46"/>
        <v>0.42125400770257265</v>
      </c>
      <c r="CH32" s="150">
        <f t="shared" si="47"/>
        <v>0.11415020391444088</v>
      </c>
      <c r="CI32" s="147">
        <v>27</v>
      </c>
      <c r="CJ32" s="188">
        <f t="shared" si="133"/>
        <v>0.13500000000000001</v>
      </c>
      <c r="CK32" s="188">
        <f t="shared" si="111"/>
        <v>0.13500000000000001</v>
      </c>
      <c r="CL32" s="188">
        <f t="shared" si="48"/>
        <v>22.950000000000003</v>
      </c>
      <c r="CM32" s="188">
        <f t="shared" si="134"/>
        <v>1.62</v>
      </c>
      <c r="CN32" s="465">
        <f t="shared" si="112"/>
        <v>12</v>
      </c>
      <c r="CO32" s="379">
        <f t="shared" si="49"/>
        <v>8.625</v>
      </c>
      <c r="CP32" s="379">
        <f t="shared" si="50"/>
        <v>20.625</v>
      </c>
      <c r="CQ32" s="379"/>
      <c r="CR32" s="188">
        <f t="shared" si="113"/>
        <v>0.4156318480642805</v>
      </c>
      <c r="CS32" s="149">
        <f t="shared" si="114"/>
        <v>155.29102015588504</v>
      </c>
      <c r="CT32" s="149">
        <f t="shared" si="51"/>
        <v>10.961719069827179</v>
      </c>
      <c r="CU32" s="188">
        <f t="shared" si="52"/>
        <v>0.91347658915226493</v>
      </c>
      <c r="CV32" s="188">
        <f t="shared" si="53"/>
        <v>12.940918346323754</v>
      </c>
      <c r="CW32" s="379">
        <f t="shared" si="54"/>
        <v>170</v>
      </c>
      <c r="CX32" s="188">
        <f t="shared" si="55"/>
        <v>9.8524692442882262</v>
      </c>
      <c r="CY32" s="188">
        <f t="shared" si="56"/>
        <v>1.2315586555360283</v>
      </c>
      <c r="CZ32" s="188">
        <f t="shared" si="57"/>
        <v>1.7134729120501264</v>
      </c>
      <c r="DA32" s="172">
        <f t="shared" si="58"/>
        <v>250.90909090909091</v>
      </c>
      <c r="DB32" s="379">
        <f t="shared" si="115"/>
        <v>339.55493414952872</v>
      </c>
      <c r="DD32" s="188">
        <f t="shared" si="59"/>
        <v>13.333333333333332</v>
      </c>
      <c r="DE32" s="150">
        <f t="shared" si="60"/>
        <v>2.318840579710145</v>
      </c>
      <c r="DF32" s="150">
        <f t="shared" si="61"/>
        <v>0.18115218115218115</v>
      </c>
      <c r="DG32" s="150"/>
      <c r="DH32" s="150">
        <f t="shared" si="62"/>
        <v>2.3188405797101455</v>
      </c>
      <c r="DI32" s="314">
        <f t="shared" si="63"/>
        <v>186.98492647058816</v>
      </c>
      <c r="DJ32" s="456">
        <f t="shared" si="64"/>
        <v>0.18115218115218121</v>
      </c>
      <c r="DL32" s="150">
        <f t="shared" si="65"/>
        <v>9.6747092979582607</v>
      </c>
      <c r="DM32" s="150">
        <f t="shared" si="66"/>
        <v>13.333333333333334</v>
      </c>
      <c r="DN32" s="150">
        <f t="shared" si="67"/>
        <v>1.1068485294117647</v>
      </c>
      <c r="DP32" s="314">
        <f t="shared" si="68"/>
        <v>135</v>
      </c>
      <c r="DQ32" s="144">
        <f t="shared" si="69"/>
        <v>186.98492647058816</v>
      </c>
      <c r="DS32">
        <f t="shared" si="116"/>
        <v>135</v>
      </c>
      <c r="DT32" s="144">
        <f t="shared" si="70"/>
        <v>186.98492647058816</v>
      </c>
      <c r="DU32" s="144"/>
      <c r="DV32" s="5">
        <f t="shared" si="117"/>
        <v>5.3480246716961712</v>
      </c>
      <c r="DW32" s="5">
        <f t="shared" si="71"/>
        <v>1.666666666666667</v>
      </c>
      <c r="DX32" s="5">
        <f t="shared" si="118"/>
        <v>3.6813580050295043</v>
      </c>
      <c r="DY32" s="150">
        <f t="shared" si="119"/>
        <v>0.311641544117647</v>
      </c>
      <c r="EA32" s="5">
        <f t="shared" si="72"/>
        <v>0.13235294117647062</v>
      </c>
      <c r="EB32" s="5">
        <f t="shared" si="73"/>
        <v>1.8750000000000007</v>
      </c>
      <c r="EC32" s="5">
        <f t="shared" si="74"/>
        <v>11.734328641031546</v>
      </c>
      <c r="ED32" s="5"/>
      <c r="EE32" s="150">
        <f t="shared" si="120"/>
        <v>4.2974000347679446</v>
      </c>
      <c r="EF32" s="150">
        <f t="shared" si="75"/>
        <v>0.29828607041835492</v>
      </c>
      <c r="EG32" s="150">
        <f t="shared" si="76"/>
        <v>0.28375559088510782</v>
      </c>
      <c r="EH32" s="150"/>
      <c r="EI32" s="456">
        <f t="shared" si="77"/>
        <v>6.2789999999999999E-2</v>
      </c>
      <c r="EJ32" s="456">
        <f t="shared" si="78"/>
        <v>1.5631939852941172</v>
      </c>
      <c r="EK32" s="456">
        <f t="shared" si="79"/>
        <v>4.2819548161764691E-2</v>
      </c>
      <c r="EL32" s="456">
        <f t="shared" si="80"/>
        <v>5.4486019794778233E-2</v>
      </c>
      <c r="EM32">
        <f t="shared" si="81"/>
        <v>5.4000000000000003E-3</v>
      </c>
      <c r="EN32" s="144">
        <f t="shared" si="121"/>
        <v>48.219548161764692</v>
      </c>
      <c r="EO32">
        <f t="shared" si="82"/>
        <v>1.772080349870667</v>
      </c>
      <c r="EP32" s="144">
        <f t="shared" si="122"/>
        <v>1772.0803498706671</v>
      </c>
      <c r="EQ32" s="150">
        <f t="shared" si="83"/>
        <v>0.29953125000000003</v>
      </c>
      <c r="ER32" s="150">
        <f t="shared" si="84"/>
        <v>9.5850000000000005E-2</v>
      </c>
      <c r="ES32" s="456"/>
      <c r="EU32" s="144">
        <f t="shared" si="123"/>
        <v>395.38125000000002</v>
      </c>
      <c r="EV32" s="456">
        <f t="shared" si="85"/>
        <v>2.7701470588235296E-2</v>
      </c>
      <c r="EW32" s="456">
        <f t="shared" si="124"/>
        <v>1.7794915961124758E-2</v>
      </c>
      <c r="EX32" s="456">
        <f t="shared" si="86"/>
        <v>2.4155170607567007E-3</v>
      </c>
      <c r="EY32" s="456">
        <f t="shared" si="87"/>
        <v>15.517913997399905</v>
      </c>
      <c r="EZ32" s="456">
        <f t="shared" si="88"/>
        <v>15.637261635653539</v>
      </c>
      <c r="FA32" s="538">
        <f t="shared" si="89"/>
        <v>3.3241764705882346E-2</v>
      </c>
      <c r="FB32" s="144">
        <f t="shared" si="125"/>
        <v>15670.503400359423</v>
      </c>
      <c r="FC32" s="150">
        <f t="shared" si="126"/>
        <v>17.837965000230088</v>
      </c>
      <c r="FD32" s="5">
        <f t="shared" si="127"/>
        <v>24.570000000000004</v>
      </c>
      <c r="FE32" s="150">
        <f t="shared" si="128"/>
        <v>0.57937229480043895</v>
      </c>
      <c r="FF32" s="5">
        <f t="shared" si="129"/>
        <v>57.937229480043897</v>
      </c>
      <c r="FG32">
        <f t="shared" si="130"/>
        <v>27</v>
      </c>
      <c r="FI32" s="59">
        <f t="shared" si="90"/>
        <v>-50</v>
      </c>
      <c r="FJ32">
        <f t="shared" si="91"/>
        <v>-50</v>
      </c>
      <c r="FL32">
        <f t="shared" si="92"/>
        <v>0.42125400770257265</v>
      </c>
    </row>
    <row r="33" spans="5:168">
      <c r="E33" s="147">
        <v>28</v>
      </c>
      <c r="F33" s="188">
        <f t="shared" si="131"/>
        <v>0.14000000000000001</v>
      </c>
      <c r="G33" s="188">
        <f t="shared" si="93"/>
        <v>0.14000000000000001</v>
      </c>
      <c r="H33" s="188">
        <f t="shared" si="0"/>
        <v>23.8</v>
      </c>
      <c r="I33" s="188">
        <f t="shared" si="132"/>
        <v>1.6800000000000002</v>
      </c>
      <c r="J33" s="465">
        <f t="shared" si="1"/>
        <v>11.959993660274005</v>
      </c>
      <c r="K33" s="379">
        <f t="shared" si="2"/>
        <v>8.6489071312417067</v>
      </c>
      <c r="L33" s="149">
        <f t="shared" si="3"/>
        <v>20.608900791515712</v>
      </c>
      <c r="M33" s="379"/>
      <c r="N33" s="188">
        <f t="shared" si="4"/>
        <v>0.41966853151150574</v>
      </c>
      <c r="O33" s="149">
        <f t="shared" si="94"/>
        <v>156.27648460988988</v>
      </c>
      <c r="P33" s="149">
        <f t="shared" si="5"/>
        <v>11.031281266580462</v>
      </c>
      <c r="Q33" s="188">
        <f t="shared" si="6"/>
        <v>0.91927343888170521</v>
      </c>
      <c r="R33" s="188">
        <f t="shared" si="7"/>
        <v>13.02304038415749</v>
      </c>
      <c r="S33" s="379">
        <f t="shared" si="8"/>
        <v>170</v>
      </c>
      <c r="T33" s="188">
        <f t="shared" si="9"/>
        <v>10.152945727103049</v>
      </c>
      <c r="U33" s="188">
        <f t="shared" si="10"/>
        <v>1.2733634333971433</v>
      </c>
      <c r="V33" s="188">
        <f t="shared" si="11"/>
        <v>1.7608488979656918</v>
      </c>
      <c r="W33" s="172">
        <f t="shared" si="12"/>
        <v>250.96164881470551</v>
      </c>
      <c r="X33" s="379">
        <f t="shared" si="95"/>
        <v>309.19429448177857</v>
      </c>
      <c r="Z33" s="188">
        <f t="shared" si="13"/>
        <v>13.333333333333332</v>
      </c>
      <c r="AA33" s="150">
        <f t="shared" si="14"/>
        <v>2.3124308882628317</v>
      </c>
      <c r="AB33" s="150">
        <f t="shared" si="15"/>
        <v>0.1806892850605202</v>
      </c>
      <c r="AC33" s="150"/>
      <c r="AD33" s="150">
        <f t="shared" si="16"/>
        <v>2.3124308882628322</v>
      </c>
      <c r="AE33" s="314">
        <f t="shared" si="17"/>
        <v>194.44778268003415</v>
      </c>
      <c r="AF33" s="456">
        <f t="shared" si="18"/>
        <v>0.18068928506052023</v>
      </c>
      <c r="AH33" s="150">
        <f t="shared" si="19"/>
        <v>9.8522417076859554</v>
      </c>
      <c r="AI33" s="150">
        <f t="shared" si="20"/>
        <v>13.333333333333334</v>
      </c>
      <c r="AJ33" s="150">
        <f t="shared" si="21"/>
        <v>1.1111130186743052</v>
      </c>
      <c r="AL33" s="314">
        <f t="shared" si="22"/>
        <v>140</v>
      </c>
      <c r="AM33" s="144">
        <f t="shared" si="23"/>
        <v>194.44778268003415</v>
      </c>
      <c r="AO33">
        <f t="shared" si="96"/>
        <v>140</v>
      </c>
      <c r="AP33" s="144">
        <f t="shared" si="24"/>
        <v>194.44778268003415</v>
      </c>
      <c r="AQ33" s="144"/>
      <c r="AR33" s="5">
        <f t="shared" si="97"/>
        <v>5.1427688514479506</v>
      </c>
      <c r="AS33" s="5">
        <f t="shared" si="25"/>
        <v>1.6722416890931528</v>
      </c>
      <c r="AT33" s="5">
        <f t="shared" si="98"/>
        <v>3.4705271623547977</v>
      </c>
      <c r="AU33" s="150">
        <f t="shared" si="99"/>
        <v>0.32516368854927863</v>
      </c>
      <c r="AW33" s="5">
        <f t="shared" si="26"/>
        <v>0.13771402145473027</v>
      </c>
      <c r="AX33" s="5">
        <f t="shared" si="27"/>
        <v>1.9509486372753453</v>
      </c>
      <c r="AY33" s="5">
        <f t="shared" si="28"/>
        <v>11.510394404639374</v>
      </c>
      <c r="AZ33" s="5"/>
      <c r="BA33" s="150">
        <f t="shared" si="100"/>
        <v>4.389642277160946</v>
      </c>
      <c r="BB33" s="150">
        <f t="shared" si="29"/>
        <v>0.2953417667089574</v>
      </c>
      <c r="BC33" s="150">
        <f t="shared" si="30"/>
        <v>0.28095471373508352</v>
      </c>
      <c r="BD33" s="150"/>
      <c r="BE33" s="456">
        <f t="shared" si="31"/>
        <v>6.5514461692891698E-2</v>
      </c>
      <c r="BF33" s="456">
        <f t="shared" si="32"/>
        <v>1.2796820499209811</v>
      </c>
      <c r="BG33" s="456">
        <f t="shared" si="33"/>
        <v>0.1065122165633256</v>
      </c>
      <c r="BH33" s="456">
        <f t="shared" si="34"/>
        <v>5.6572220298165651E-2</v>
      </c>
      <c r="BI33">
        <f t="shared" si="35"/>
        <v>5.3819971471233017E-3</v>
      </c>
      <c r="BJ33" s="144">
        <f t="shared" si="101"/>
        <v>111.89421371044889</v>
      </c>
      <c r="BK33">
        <f t="shared" si="36"/>
        <v>1.4419026333911469</v>
      </c>
      <c r="BL33" s="144">
        <f t="shared" si="102"/>
        <v>1441.902633391147</v>
      </c>
      <c r="BM33" s="150">
        <f t="shared" si="37"/>
        <v>0.31062500000000004</v>
      </c>
      <c r="BN33" s="150">
        <f t="shared" si="38"/>
        <v>9.9400000000000016E-2</v>
      </c>
      <c r="BO33" s="456"/>
      <c r="BQ33" s="144">
        <f t="shared" si="103"/>
        <v>410.02500000000009</v>
      </c>
      <c r="BR33" s="456">
        <f t="shared" si="39"/>
        <v>2.8903438982158105E-2</v>
      </c>
      <c r="BS33" s="456">
        <f t="shared" si="104"/>
        <v>1.7445351832553645E-2</v>
      </c>
      <c r="BT33" s="456">
        <f t="shared" si="40"/>
        <v>2.3680665350988817E-3</v>
      </c>
      <c r="BU33" s="456">
        <f t="shared" si="41"/>
        <v>17.112928420882124</v>
      </c>
      <c r="BV33" s="456">
        <f t="shared" si="42"/>
        <v>17.240529677992523</v>
      </c>
      <c r="BW33" s="538">
        <f t="shared" si="43"/>
        <v>3.4568494698672743E-2</v>
      </c>
      <c r="BX33" s="144">
        <f t="shared" si="105"/>
        <v>17275.098172691196</v>
      </c>
      <c r="BY33" s="150">
        <f t="shared" si="106"/>
        <v>19.12702580608234</v>
      </c>
      <c r="BZ33" s="5">
        <f t="shared" si="107"/>
        <v>25.48</v>
      </c>
      <c r="CA33" s="150">
        <f t="shared" si="108"/>
        <v>0.57121046605455827</v>
      </c>
      <c r="CB33" s="5">
        <f t="shared" si="109"/>
        <v>57.121046605455831</v>
      </c>
      <c r="CC33">
        <f t="shared" si="110"/>
        <v>28.000000000000004</v>
      </c>
      <c r="CE33" s="59">
        <f t="shared" si="44"/>
        <v>-50</v>
      </c>
      <c r="CF33">
        <f t="shared" si="45"/>
        <v>-50</v>
      </c>
      <c r="CG33" s="150">
        <f t="shared" si="46"/>
        <v>0.43685600798785312</v>
      </c>
      <c r="CH33" s="150">
        <f t="shared" si="47"/>
        <v>0.11837798924460537</v>
      </c>
      <c r="CI33" s="147">
        <v>28</v>
      </c>
      <c r="CJ33" s="188">
        <f t="shared" si="133"/>
        <v>0.14000000000000001</v>
      </c>
      <c r="CK33" s="188">
        <f t="shared" si="111"/>
        <v>0.14000000000000001</v>
      </c>
      <c r="CL33" s="188">
        <f t="shared" si="48"/>
        <v>23.8</v>
      </c>
      <c r="CM33" s="188">
        <f t="shared" si="134"/>
        <v>1.6800000000000002</v>
      </c>
      <c r="CN33" s="465">
        <f t="shared" si="112"/>
        <v>12</v>
      </c>
      <c r="CO33" s="379">
        <f t="shared" si="49"/>
        <v>8.625</v>
      </c>
      <c r="CP33" s="379">
        <f t="shared" si="50"/>
        <v>20.625</v>
      </c>
      <c r="CQ33" s="379"/>
      <c r="CR33" s="188">
        <f t="shared" si="113"/>
        <v>0.4156318480642805</v>
      </c>
      <c r="CS33" s="149">
        <f t="shared" si="114"/>
        <v>155.29102015588504</v>
      </c>
      <c r="CT33" s="149">
        <f t="shared" si="51"/>
        <v>10.961719069827179</v>
      </c>
      <c r="CU33" s="188">
        <f t="shared" si="52"/>
        <v>0.91347658915226493</v>
      </c>
      <c r="CV33" s="188">
        <f t="shared" si="53"/>
        <v>12.940918346323754</v>
      </c>
      <c r="CW33" s="379">
        <f t="shared" si="54"/>
        <v>170</v>
      </c>
      <c r="CX33" s="188">
        <f t="shared" si="55"/>
        <v>10.217375512595195</v>
      </c>
      <c r="CY33" s="188">
        <f t="shared" si="56"/>
        <v>1.2771719390743994</v>
      </c>
      <c r="CZ33" s="188">
        <f t="shared" si="57"/>
        <v>1.7769348717556861</v>
      </c>
      <c r="DA33" s="172">
        <f t="shared" si="58"/>
        <v>250.90909090909091</v>
      </c>
      <c r="DB33" s="379">
        <f t="shared" si="115"/>
        <v>327.42797221561705</v>
      </c>
      <c r="DD33" s="188">
        <f t="shared" si="59"/>
        <v>13.333333333333332</v>
      </c>
      <c r="DE33" s="150">
        <f t="shared" si="60"/>
        <v>2.318840579710145</v>
      </c>
      <c r="DF33" s="150">
        <f t="shared" si="61"/>
        <v>0.18115218115218115</v>
      </c>
      <c r="DG33" s="150"/>
      <c r="DH33" s="150">
        <f t="shared" si="62"/>
        <v>2.3188405797101455</v>
      </c>
      <c r="DI33" s="314">
        <f t="shared" si="63"/>
        <v>193.91029411764703</v>
      </c>
      <c r="DJ33" s="456">
        <f t="shared" si="64"/>
        <v>0.18115218115218121</v>
      </c>
      <c r="DL33" s="150">
        <f t="shared" si="65"/>
        <v>9.8522417076859554</v>
      </c>
      <c r="DM33" s="150">
        <f t="shared" si="66"/>
        <v>13.333333333333334</v>
      </c>
      <c r="DN33" s="150">
        <f t="shared" si="67"/>
        <v>1.1108058823529412</v>
      </c>
      <c r="DP33" s="314">
        <f t="shared" si="68"/>
        <v>140</v>
      </c>
      <c r="DQ33" s="144">
        <f t="shared" si="69"/>
        <v>193.91029411764703</v>
      </c>
      <c r="DS33">
        <f t="shared" si="116"/>
        <v>140</v>
      </c>
      <c r="DT33" s="144">
        <f t="shared" si="70"/>
        <v>193.91029411764703</v>
      </c>
      <c r="DU33" s="144"/>
      <c r="DV33" s="5">
        <f t="shared" si="117"/>
        <v>5.157023790564164</v>
      </c>
      <c r="DW33" s="5">
        <f t="shared" si="71"/>
        <v>1.666666666666667</v>
      </c>
      <c r="DX33" s="5">
        <f t="shared" si="118"/>
        <v>3.4903571238974971</v>
      </c>
      <c r="DY33" s="150">
        <f t="shared" si="119"/>
        <v>0.32318382352941177</v>
      </c>
      <c r="EA33" s="5">
        <f t="shared" si="72"/>
        <v>0.13725490196078433</v>
      </c>
      <c r="EB33" s="5">
        <f t="shared" si="73"/>
        <v>1.9444444444444451</v>
      </c>
      <c r="EC33" s="5">
        <f t="shared" si="74"/>
        <v>11.537569381772281</v>
      </c>
      <c r="ED33" s="5"/>
      <c r="EE33" s="150">
        <f t="shared" si="120"/>
        <v>4.3762579890733253</v>
      </c>
      <c r="EF33" s="150">
        <f t="shared" si="75"/>
        <v>0.29577469286386371</v>
      </c>
      <c r="EG33" s="150">
        <f t="shared" si="76"/>
        <v>0.28136655065634092</v>
      </c>
      <c r="EH33" s="150"/>
      <c r="EI33" s="456">
        <f t="shared" si="77"/>
        <v>6.5115555555555552E-2</v>
      </c>
      <c r="EJ33" s="456">
        <f t="shared" si="78"/>
        <v>1.6210900588235293</v>
      </c>
      <c r="EK33" s="456">
        <f t="shared" si="79"/>
        <v>4.4405457352941172E-2</v>
      </c>
      <c r="EL33" s="456">
        <f t="shared" si="80"/>
        <v>5.6504020527918183E-2</v>
      </c>
      <c r="EM33">
        <f t="shared" si="81"/>
        <v>5.4000000000000003E-3</v>
      </c>
      <c r="EN33" s="144">
        <f t="shared" si="121"/>
        <v>49.805457352941175</v>
      </c>
      <c r="EO33">
        <f t="shared" si="82"/>
        <v>1.8385412015641307</v>
      </c>
      <c r="EP33" s="144">
        <f t="shared" si="122"/>
        <v>1838.5412015641307</v>
      </c>
      <c r="EQ33" s="150">
        <f t="shared" si="83"/>
        <v>0.31062500000000004</v>
      </c>
      <c r="ER33" s="150">
        <f t="shared" si="84"/>
        <v>9.9400000000000016E-2</v>
      </c>
      <c r="ES33" s="456"/>
      <c r="EU33" s="144">
        <f t="shared" si="123"/>
        <v>410.02500000000009</v>
      </c>
      <c r="EV33" s="456">
        <f t="shared" si="85"/>
        <v>2.8727450980392158E-2</v>
      </c>
      <c r="EW33" s="456">
        <f t="shared" si="124"/>
        <v>1.7496533787742585E-2</v>
      </c>
      <c r="EX33" s="456">
        <f t="shared" si="86"/>
        <v>2.3750140748474177E-3</v>
      </c>
      <c r="EY33" s="456">
        <f t="shared" si="87"/>
        <v>16.994915460565629</v>
      </c>
      <c r="EZ33" s="456">
        <f t="shared" si="88"/>
        <v>17.121746197020432</v>
      </c>
      <c r="FA33" s="538">
        <f t="shared" si="89"/>
        <v>3.4472941176470595E-2</v>
      </c>
      <c r="FB33" s="144">
        <f t="shared" si="125"/>
        <v>17156.219138196902</v>
      </c>
      <c r="FC33" s="150">
        <f t="shared" si="126"/>
        <v>19.404785339761034</v>
      </c>
      <c r="FD33" s="5">
        <f t="shared" si="127"/>
        <v>25.48</v>
      </c>
      <c r="FE33" s="150">
        <f t="shared" si="128"/>
        <v>0.56767565684286847</v>
      </c>
      <c r="FF33" s="5">
        <f t="shared" si="129"/>
        <v>56.767565684286851</v>
      </c>
      <c r="FG33">
        <f t="shared" si="130"/>
        <v>28.000000000000004</v>
      </c>
      <c r="FI33" s="59">
        <f t="shared" si="90"/>
        <v>-50</v>
      </c>
      <c r="FJ33">
        <f t="shared" si="91"/>
        <v>-50</v>
      </c>
      <c r="FL33">
        <f t="shared" si="92"/>
        <v>0.43685600798785312</v>
      </c>
    </row>
    <row r="34" spans="5:168">
      <c r="E34" s="147">
        <v>29</v>
      </c>
      <c r="F34" s="188">
        <f t="shared" si="131"/>
        <v>0.14499999999999999</v>
      </c>
      <c r="G34" s="188">
        <f t="shared" si="93"/>
        <v>0.14499999999999999</v>
      </c>
      <c r="H34" s="188">
        <f t="shared" si="0"/>
        <v>24.65</v>
      </c>
      <c r="I34" s="188">
        <f t="shared" si="132"/>
        <v>1.7399999999999998</v>
      </c>
      <c r="J34" s="465">
        <f t="shared" si="1"/>
        <v>11.959993660274005</v>
      </c>
      <c r="K34" s="379">
        <f t="shared" si="2"/>
        <v>8.6489071312417067</v>
      </c>
      <c r="L34" s="149">
        <f t="shared" si="3"/>
        <v>20.608900791515712</v>
      </c>
      <c r="M34" s="379"/>
      <c r="N34" s="188">
        <f t="shared" si="4"/>
        <v>0.41966853151150574</v>
      </c>
      <c r="O34" s="149">
        <f t="shared" si="94"/>
        <v>156.27648460988988</v>
      </c>
      <c r="P34" s="149">
        <f t="shared" si="5"/>
        <v>11.031281266580462</v>
      </c>
      <c r="Q34" s="188">
        <f t="shared" si="6"/>
        <v>0.91927343888170521</v>
      </c>
      <c r="R34" s="188">
        <f t="shared" si="7"/>
        <v>13.02304038415749</v>
      </c>
      <c r="S34" s="379">
        <f t="shared" si="8"/>
        <v>170</v>
      </c>
      <c r="T34" s="188">
        <f t="shared" si="9"/>
        <v>10.515550931642441</v>
      </c>
      <c r="U34" s="188">
        <f t="shared" si="10"/>
        <v>1.3188406988756125</v>
      </c>
      <c r="V34" s="188">
        <f t="shared" si="11"/>
        <v>1.8237363586073234</v>
      </c>
      <c r="W34" s="172">
        <f t="shared" si="12"/>
        <v>250.96164881470551</v>
      </c>
      <c r="X34" s="379">
        <f t="shared" si="95"/>
        <v>299.17036550027387</v>
      </c>
      <c r="Z34" s="188">
        <f t="shared" si="13"/>
        <v>13.333333333333332</v>
      </c>
      <c r="AA34" s="150">
        <f t="shared" si="14"/>
        <v>2.3124308882628317</v>
      </c>
      <c r="AB34" s="150">
        <f t="shared" si="15"/>
        <v>0.1806892850605202</v>
      </c>
      <c r="AC34" s="150"/>
      <c r="AD34" s="150">
        <f t="shared" si="16"/>
        <v>2.3124308882628322</v>
      </c>
      <c r="AE34" s="314">
        <f t="shared" si="17"/>
        <v>201.39234634717818</v>
      </c>
      <c r="AF34" s="456">
        <f t="shared" si="18"/>
        <v>0.18068928506052023</v>
      </c>
      <c r="AH34" s="150">
        <f t="shared" si="19"/>
        <v>10.026631205611052</v>
      </c>
      <c r="AI34" s="150">
        <f t="shared" si="20"/>
        <v>13.333333333333334</v>
      </c>
      <c r="AJ34" s="150">
        <f t="shared" si="21"/>
        <v>1.1150813407698161</v>
      </c>
      <c r="AL34" s="314">
        <f t="shared" si="22"/>
        <v>145</v>
      </c>
      <c r="AM34" s="144">
        <f t="shared" si="23"/>
        <v>201.39234634717818</v>
      </c>
      <c r="AO34">
        <f t="shared" si="96"/>
        <v>145</v>
      </c>
      <c r="AP34" s="144">
        <f t="shared" si="24"/>
        <v>201.39234634717818</v>
      </c>
      <c r="AQ34" s="144"/>
      <c r="AR34" s="5">
        <f t="shared" si="97"/>
        <v>4.9654319945014711</v>
      </c>
      <c r="AS34" s="5">
        <f t="shared" si="25"/>
        <v>1.6722416890931528</v>
      </c>
      <c r="AT34" s="5">
        <f t="shared" si="98"/>
        <v>3.2931903054083183</v>
      </c>
      <c r="AU34" s="150">
        <f t="shared" si="99"/>
        <v>0.33677667742603851</v>
      </c>
      <c r="AW34" s="5">
        <f t="shared" si="26"/>
        <v>0.14263237936382775</v>
      </c>
      <c r="AX34" s="5">
        <f t="shared" si="27"/>
        <v>2.0206253743208933</v>
      </c>
      <c r="AY34" s="5">
        <f t="shared" si="28"/>
        <v>11.312316619078548</v>
      </c>
      <c r="AZ34" s="5"/>
      <c r="BA34" s="150">
        <f t="shared" si="100"/>
        <v>4.4673410928718598</v>
      </c>
      <c r="BB34" s="150">
        <f t="shared" si="29"/>
        <v>0.29278952963007771</v>
      </c>
      <c r="BC34" s="150">
        <f t="shared" si="30"/>
        <v>0.27852680438155369</v>
      </c>
      <c r="BD34" s="150"/>
      <c r="BE34" s="456">
        <f t="shared" si="31"/>
        <v>6.7854263896209244E-2</v>
      </c>
      <c r="BF34" s="456">
        <f t="shared" si="32"/>
        <v>1.3253849802753015</v>
      </c>
      <c r="BG34" s="456">
        <f t="shared" si="33"/>
        <v>0.11031622429773007</v>
      </c>
      <c r="BH34" s="456">
        <f t="shared" si="34"/>
        <v>5.8592656737385833E-2</v>
      </c>
      <c r="BI34">
        <f t="shared" si="35"/>
        <v>5.3819971471233017E-3</v>
      </c>
      <c r="BJ34" s="144">
        <f t="shared" si="101"/>
        <v>115.69822144485336</v>
      </c>
      <c r="BK34">
        <f t="shared" si="36"/>
        <v>1.4942429964049757</v>
      </c>
      <c r="BL34" s="144">
        <f t="shared" si="102"/>
        <v>1494.2429964049757</v>
      </c>
      <c r="BM34" s="150">
        <f t="shared" si="37"/>
        <v>0.32171875</v>
      </c>
      <c r="BN34" s="150">
        <f t="shared" si="38"/>
        <v>0.10294999999999999</v>
      </c>
      <c r="BO34" s="456"/>
      <c r="BQ34" s="144">
        <f t="shared" si="103"/>
        <v>424.66874999999999</v>
      </c>
      <c r="BR34" s="456">
        <f t="shared" si="39"/>
        <v>2.9935704660092315E-2</v>
      </c>
      <c r="BS34" s="456">
        <f t="shared" si="104"/>
        <v>1.7145141732200431E-2</v>
      </c>
      <c r="BT34" s="456">
        <f t="shared" si="40"/>
        <v>2.3273154227700082E-3</v>
      </c>
      <c r="BU34" s="456">
        <f t="shared" si="41"/>
        <v>18.682037960566277</v>
      </c>
      <c r="BV34" s="456">
        <f t="shared" si="42"/>
        <v>18.817683854727278</v>
      </c>
      <c r="BW34" s="538">
        <f t="shared" si="43"/>
        <v>3.5803083795053904E-2</v>
      </c>
      <c r="BX34" s="144">
        <f t="shared" si="105"/>
        <v>18853.486938522332</v>
      </c>
      <c r="BY34" s="150">
        <f t="shared" si="106"/>
        <v>20.772398684927307</v>
      </c>
      <c r="BZ34" s="5">
        <f t="shared" si="107"/>
        <v>26.389999999999997</v>
      </c>
      <c r="CA34" s="150">
        <f t="shared" si="108"/>
        <v>0.55955593302836004</v>
      </c>
      <c r="CB34" s="5">
        <f t="shared" si="109"/>
        <v>55.955593302836007</v>
      </c>
      <c r="CC34">
        <f t="shared" si="110"/>
        <v>28.999999999999996</v>
      </c>
      <c r="CE34" s="59">
        <f t="shared" si="44"/>
        <v>-50</v>
      </c>
      <c r="CF34">
        <f t="shared" si="45"/>
        <v>-50</v>
      </c>
      <c r="CG34" s="150">
        <f t="shared" si="46"/>
        <v>0.45245800827313359</v>
      </c>
      <c r="CH34" s="150">
        <f t="shared" si="47"/>
        <v>0.12260577457476983</v>
      </c>
      <c r="CI34" s="147">
        <v>29</v>
      </c>
      <c r="CJ34" s="188">
        <f t="shared" si="133"/>
        <v>0.14499999999999999</v>
      </c>
      <c r="CK34" s="188">
        <f t="shared" si="111"/>
        <v>0.14499999999999999</v>
      </c>
      <c r="CL34" s="188">
        <f t="shared" si="48"/>
        <v>24.65</v>
      </c>
      <c r="CM34" s="188">
        <f t="shared" si="134"/>
        <v>1.7399999999999998</v>
      </c>
      <c r="CN34" s="465">
        <f t="shared" si="112"/>
        <v>12</v>
      </c>
      <c r="CO34" s="379">
        <f t="shared" si="49"/>
        <v>8.625</v>
      </c>
      <c r="CP34" s="379">
        <f t="shared" si="50"/>
        <v>20.625</v>
      </c>
      <c r="CQ34" s="379"/>
      <c r="CR34" s="188">
        <f t="shared" si="113"/>
        <v>0.4156318480642805</v>
      </c>
      <c r="CS34" s="149">
        <f t="shared" si="114"/>
        <v>155.29102015588504</v>
      </c>
      <c r="CT34" s="149">
        <f t="shared" si="51"/>
        <v>10.961719069827179</v>
      </c>
      <c r="CU34" s="188">
        <f t="shared" si="52"/>
        <v>0.91347658915226493</v>
      </c>
      <c r="CV34" s="188">
        <f t="shared" si="53"/>
        <v>12.940918346323754</v>
      </c>
      <c r="CW34" s="379">
        <f t="shared" si="54"/>
        <v>170</v>
      </c>
      <c r="CX34" s="188">
        <f t="shared" si="55"/>
        <v>10.582281780902166</v>
      </c>
      <c r="CY34" s="188">
        <f t="shared" si="56"/>
        <v>1.3227852226127708</v>
      </c>
      <c r="CZ34" s="188">
        <f t="shared" si="57"/>
        <v>1.8403968314612462</v>
      </c>
      <c r="DA34" s="172">
        <f t="shared" si="58"/>
        <v>250.90909090909091</v>
      </c>
      <c r="DB34" s="379">
        <f t="shared" si="115"/>
        <v>316.13735248404402</v>
      </c>
      <c r="DD34" s="188">
        <f t="shared" si="59"/>
        <v>13.333333333333332</v>
      </c>
      <c r="DE34" s="150">
        <f t="shared" si="60"/>
        <v>2.318840579710145</v>
      </c>
      <c r="DF34" s="150">
        <f t="shared" si="61"/>
        <v>0.18115218115218115</v>
      </c>
      <c r="DG34" s="150"/>
      <c r="DH34" s="150">
        <f t="shared" si="62"/>
        <v>2.3188405797101455</v>
      </c>
      <c r="DI34" s="314">
        <f t="shared" si="63"/>
        <v>200.8356617647058</v>
      </c>
      <c r="DJ34" s="456">
        <f t="shared" si="64"/>
        <v>0.18115218115218121</v>
      </c>
      <c r="DL34" s="150">
        <f t="shared" si="65"/>
        <v>10.026631205611052</v>
      </c>
      <c r="DM34" s="150">
        <f t="shared" si="66"/>
        <v>13.333333333333334</v>
      </c>
      <c r="DN34" s="150">
        <f t="shared" si="67"/>
        <v>1.1147632352941177</v>
      </c>
      <c r="DP34" s="314">
        <f t="shared" si="68"/>
        <v>145</v>
      </c>
      <c r="DQ34" s="144">
        <f t="shared" si="69"/>
        <v>200.8356617647058</v>
      </c>
      <c r="DS34">
        <f t="shared" si="116"/>
        <v>145</v>
      </c>
      <c r="DT34" s="144">
        <f t="shared" si="70"/>
        <v>200.8356617647058</v>
      </c>
      <c r="DU34" s="144"/>
      <c r="DV34" s="5">
        <f t="shared" si="117"/>
        <v>4.9791953839929874</v>
      </c>
      <c r="DW34" s="5">
        <f t="shared" si="71"/>
        <v>1.666666666666667</v>
      </c>
      <c r="DX34" s="5">
        <f t="shared" si="118"/>
        <v>3.3125287173263205</v>
      </c>
      <c r="DY34" s="150">
        <f t="shared" si="119"/>
        <v>0.33472610294117638</v>
      </c>
      <c r="EA34" s="5">
        <f t="shared" si="72"/>
        <v>0.14215686274509803</v>
      </c>
      <c r="EB34" s="5">
        <f t="shared" si="73"/>
        <v>2.0138888888888893</v>
      </c>
      <c r="EC34" s="5">
        <f t="shared" si="74"/>
        <v>11.340810122513027</v>
      </c>
      <c r="ED34" s="5"/>
      <c r="EE34" s="150">
        <f t="shared" si="120"/>
        <v>4.4537198963375184</v>
      </c>
      <c r="EF34" s="150">
        <f t="shared" si="75"/>
        <v>0.29324180819215068</v>
      </c>
      <c r="EG34" s="150">
        <f t="shared" si="76"/>
        <v>0.27895705099161389</v>
      </c>
      <c r="EH34" s="150"/>
      <c r="EI34" s="456">
        <f t="shared" si="77"/>
        <v>6.7441111111111091E-2</v>
      </c>
      <c r="EJ34" s="456">
        <f t="shared" si="78"/>
        <v>1.6789861323529405</v>
      </c>
      <c r="EK34" s="456">
        <f t="shared" si="79"/>
        <v>4.5991366544117632E-2</v>
      </c>
      <c r="EL34" s="456">
        <f t="shared" si="80"/>
        <v>5.8522021261058106E-2</v>
      </c>
      <c r="EM34">
        <f t="shared" si="81"/>
        <v>5.4000000000000003E-3</v>
      </c>
      <c r="EN34" s="144">
        <f t="shared" si="121"/>
        <v>51.391366544117631</v>
      </c>
      <c r="EO34">
        <f t="shared" si="82"/>
        <v>1.9050766954781835</v>
      </c>
      <c r="EP34" s="144">
        <f t="shared" si="122"/>
        <v>1905.0766954781834</v>
      </c>
      <c r="EQ34" s="150">
        <f t="shared" si="83"/>
        <v>0.32171875</v>
      </c>
      <c r="ER34" s="150">
        <f t="shared" si="84"/>
        <v>0.10294999999999999</v>
      </c>
      <c r="ES34" s="456"/>
      <c r="EU34" s="144">
        <f t="shared" si="123"/>
        <v>424.66874999999999</v>
      </c>
      <c r="EV34" s="456">
        <f t="shared" si="85"/>
        <v>2.9753431372549013E-2</v>
      </c>
      <c r="EW34" s="456">
        <f t="shared" si="124"/>
        <v>1.7198151614360419E-2</v>
      </c>
      <c r="EX34" s="456">
        <f t="shared" si="86"/>
        <v>2.334511088938136E-3</v>
      </c>
      <c r="EY34" s="456">
        <f t="shared" si="87"/>
        <v>18.553204218599518</v>
      </c>
      <c r="EZ34" s="456">
        <f t="shared" si="88"/>
        <v>18.68800367181829</v>
      </c>
      <c r="FA34" s="538">
        <f t="shared" si="89"/>
        <v>3.5704117647058817E-2</v>
      </c>
      <c r="FB34" s="144">
        <f t="shared" si="125"/>
        <v>18723.707789465348</v>
      </c>
      <c r="FC34" s="150">
        <f t="shared" si="126"/>
        <v>21.053453234943532</v>
      </c>
      <c r="FD34" s="5">
        <f t="shared" si="127"/>
        <v>26.389999999999997</v>
      </c>
      <c r="FE34" s="150">
        <f t="shared" si="128"/>
        <v>0.556241129188357</v>
      </c>
      <c r="FF34" s="5">
        <f t="shared" si="129"/>
        <v>55.624112918835699</v>
      </c>
      <c r="FG34">
        <f t="shared" si="130"/>
        <v>28.999999999999996</v>
      </c>
      <c r="FI34" s="59">
        <f t="shared" si="90"/>
        <v>-50</v>
      </c>
      <c r="FJ34">
        <f t="shared" si="91"/>
        <v>-50</v>
      </c>
      <c r="FL34">
        <f t="shared" si="92"/>
        <v>0.45245800827313354</v>
      </c>
    </row>
    <row r="35" spans="5:168">
      <c r="E35" s="147">
        <v>30</v>
      </c>
      <c r="F35" s="188">
        <f t="shared" si="131"/>
        <v>0.15</v>
      </c>
      <c r="G35" s="188">
        <f t="shared" si="93"/>
        <v>0.15</v>
      </c>
      <c r="H35" s="188">
        <f t="shared" si="0"/>
        <v>25.5</v>
      </c>
      <c r="I35" s="188">
        <f t="shared" si="132"/>
        <v>1.7999999999999998</v>
      </c>
      <c r="J35" s="465">
        <f t="shared" si="1"/>
        <v>11.959993660274005</v>
      </c>
      <c r="K35" s="379">
        <f t="shared" si="2"/>
        <v>8.6489071312417067</v>
      </c>
      <c r="L35" s="149">
        <f t="shared" si="3"/>
        <v>20.608900791515712</v>
      </c>
      <c r="M35" s="379"/>
      <c r="N35" s="188">
        <f t="shared" si="4"/>
        <v>0.41966853151150574</v>
      </c>
      <c r="O35" s="149">
        <f t="shared" si="94"/>
        <v>156.27648460988988</v>
      </c>
      <c r="P35" s="149">
        <f t="shared" si="5"/>
        <v>11.031281266580462</v>
      </c>
      <c r="Q35" s="188">
        <f t="shared" si="6"/>
        <v>0.91927343888170521</v>
      </c>
      <c r="R35" s="188">
        <f t="shared" si="7"/>
        <v>13.02304038415749</v>
      </c>
      <c r="S35" s="379">
        <f t="shared" si="8"/>
        <v>170</v>
      </c>
      <c r="T35" s="188">
        <f t="shared" si="9"/>
        <v>10.878156136181838</v>
      </c>
      <c r="U35" s="188">
        <f t="shared" si="10"/>
        <v>1.3643179643540819</v>
      </c>
      <c r="V35" s="188">
        <f t="shared" si="11"/>
        <v>1.8866238192489555</v>
      </c>
      <c r="W35" s="172">
        <f t="shared" si="12"/>
        <v>250.96164881470551</v>
      </c>
      <c r="X35" s="379">
        <f t="shared" si="95"/>
        <v>289.77596920105856</v>
      </c>
      <c r="Z35" s="188">
        <f t="shared" si="13"/>
        <v>13.333333333333332</v>
      </c>
      <c r="AA35" s="150">
        <f t="shared" si="14"/>
        <v>2.3124308882628317</v>
      </c>
      <c r="AB35" s="150">
        <f t="shared" si="15"/>
        <v>0.1806892850605202</v>
      </c>
      <c r="AC35" s="150"/>
      <c r="AD35" s="150">
        <f t="shared" si="16"/>
        <v>2.3124308882628322</v>
      </c>
      <c r="AE35" s="314">
        <f t="shared" si="17"/>
        <v>208.33691001432226</v>
      </c>
      <c r="AF35" s="456">
        <f t="shared" si="18"/>
        <v>0.18068928506052023</v>
      </c>
      <c r="AH35" s="150">
        <f t="shared" si="19"/>
        <v>10.198039027185569</v>
      </c>
      <c r="AI35" s="150">
        <f t="shared" si="20"/>
        <v>13.333333333333334</v>
      </c>
      <c r="AJ35" s="150">
        <f t="shared" si="21"/>
        <v>1.119049662865327</v>
      </c>
      <c r="AL35" s="314">
        <f t="shared" si="22"/>
        <v>150</v>
      </c>
      <c r="AM35" s="144">
        <f t="shared" si="23"/>
        <v>208.33691001432226</v>
      </c>
      <c r="AO35">
        <f t="shared" si="96"/>
        <v>150</v>
      </c>
      <c r="AP35" s="144">
        <f t="shared" si="24"/>
        <v>208.33691001432226</v>
      </c>
      <c r="AQ35" s="144"/>
      <c r="AR35" s="5">
        <f t="shared" si="97"/>
        <v>4.7999175946847554</v>
      </c>
      <c r="AS35" s="5">
        <f t="shared" si="25"/>
        <v>1.6722416890931528</v>
      </c>
      <c r="AT35" s="5">
        <f t="shared" si="98"/>
        <v>3.1276759055916026</v>
      </c>
      <c r="AU35" s="150">
        <f t="shared" si="99"/>
        <v>0.34838966630279844</v>
      </c>
      <c r="AW35" s="5">
        <f t="shared" si="26"/>
        <v>0.14755073727292525</v>
      </c>
      <c r="AX35" s="5">
        <f t="shared" si="27"/>
        <v>2.0903021113664408</v>
      </c>
      <c r="AY35" s="5">
        <f t="shared" si="28"/>
        <v>11.114238833517721</v>
      </c>
      <c r="AZ35" s="5"/>
      <c r="BA35" s="150">
        <f t="shared" si="100"/>
        <v>4.5437114299528698</v>
      </c>
      <c r="BB35" s="150">
        <f t="shared" si="29"/>
        <v>0.29021484827492222</v>
      </c>
      <c r="BC35" s="150">
        <f t="shared" si="30"/>
        <v>0.2760775440850593</v>
      </c>
      <c r="BD35" s="150"/>
      <c r="BE35" s="456">
        <f t="shared" si="31"/>
        <v>7.0194066099526803E-2</v>
      </c>
      <c r="BF35" s="456">
        <f t="shared" si="32"/>
        <v>1.3710879106296223</v>
      </c>
      <c r="BG35" s="456">
        <f t="shared" si="33"/>
        <v>0.11412023203213455</v>
      </c>
      <c r="BH35" s="456">
        <f t="shared" si="34"/>
        <v>6.0613093176606035E-2</v>
      </c>
      <c r="BI35">
        <f t="shared" si="35"/>
        <v>5.3819971471233017E-3</v>
      </c>
      <c r="BJ35" s="144">
        <f t="shared" si="101"/>
        <v>119.50222917925785</v>
      </c>
      <c r="BK35">
        <f t="shared" si="36"/>
        <v>1.5466425423676957</v>
      </c>
      <c r="BL35" s="144">
        <f t="shared" si="102"/>
        <v>1546.6425423676958</v>
      </c>
      <c r="BM35" s="150">
        <f t="shared" si="37"/>
        <v>0.33281249999999996</v>
      </c>
      <c r="BN35" s="150">
        <f t="shared" si="38"/>
        <v>0.1065</v>
      </c>
      <c r="BO35" s="456"/>
      <c r="BQ35" s="144">
        <f t="shared" si="103"/>
        <v>439.31249999999994</v>
      </c>
      <c r="BR35" s="456">
        <f t="shared" si="39"/>
        <v>3.0967970338026531E-2</v>
      </c>
      <c r="BS35" s="456">
        <f t="shared" si="104"/>
        <v>1.6844931631847228E-2</v>
      </c>
      <c r="BT35" s="456">
        <f t="shared" si="40"/>
        <v>2.2865643104411355E-3</v>
      </c>
      <c r="BU35" s="456">
        <f t="shared" si="41"/>
        <v>20.334448221557736</v>
      </c>
      <c r="BV35" s="456">
        <f t="shared" si="42"/>
        <v>20.478649110993537</v>
      </c>
      <c r="BW35" s="538">
        <f t="shared" si="43"/>
        <v>3.7037672891435072E-2</v>
      </c>
      <c r="BX35" s="144">
        <f t="shared" si="105"/>
        <v>20515.686783884972</v>
      </c>
      <c r="BY35" s="150">
        <f t="shared" si="106"/>
        <v>22.501641826252669</v>
      </c>
      <c r="BZ35" s="5">
        <f t="shared" si="107"/>
        <v>27.3</v>
      </c>
      <c r="CA35" s="150">
        <f t="shared" si="108"/>
        <v>0.54817469864234381</v>
      </c>
      <c r="CB35" s="5">
        <f t="shared" si="109"/>
        <v>54.817469864234383</v>
      </c>
      <c r="CC35">
        <f t="shared" si="110"/>
        <v>30</v>
      </c>
      <c r="CE35" s="59">
        <f t="shared" si="44"/>
        <v>-50</v>
      </c>
      <c r="CF35">
        <f t="shared" si="45"/>
        <v>-50</v>
      </c>
      <c r="CG35" s="150">
        <f t="shared" si="46"/>
        <v>0.46806000855841401</v>
      </c>
      <c r="CH35" s="150">
        <f t="shared" si="47"/>
        <v>0.12683355990493431</v>
      </c>
      <c r="CI35" s="147">
        <v>30</v>
      </c>
      <c r="CJ35" s="188">
        <f t="shared" si="133"/>
        <v>0.15</v>
      </c>
      <c r="CK35" s="188">
        <f t="shared" si="111"/>
        <v>0.15</v>
      </c>
      <c r="CL35" s="188">
        <f t="shared" si="48"/>
        <v>25.5</v>
      </c>
      <c r="CM35" s="188">
        <f t="shared" si="134"/>
        <v>1.7999999999999998</v>
      </c>
      <c r="CN35" s="465">
        <f t="shared" si="112"/>
        <v>12</v>
      </c>
      <c r="CO35" s="379">
        <f t="shared" si="49"/>
        <v>8.625</v>
      </c>
      <c r="CP35" s="379">
        <f t="shared" si="50"/>
        <v>20.625</v>
      </c>
      <c r="CQ35" s="379"/>
      <c r="CR35" s="188">
        <f t="shared" si="113"/>
        <v>0.4156318480642805</v>
      </c>
      <c r="CS35" s="149">
        <f t="shared" si="114"/>
        <v>155.29102015588504</v>
      </c>
      <c r="CT35" s="149">
        <f t="shared" si="51"/>
        <v>10.961719069827179</v>
      </c>
      <c r="CU35" s="188">
        <f t="shared" si="52"/>
        <v>0.91347658915226493</v>
      </c>
      <c r="CV35" s="188">
        <f t="shared" si="53"/>
        <v>12.940918346323754</v>
      </c>
      <c r="CW35" s="379">
        <f t="shared" si="54"/>
        <v>170</v>
      </c>
      <c r="CX35" s="188">
        <f t="shared" si="55"/>
        <v>10.947188049209139</v>
      </c>
      <c r="CY35" s="188">
        <f t="shared" si="56"/>
        <v>1.3683985061511423</v>
      </c>
      <c r="CZ35" s="188">
        <f t="shared" si="57"/>
        <v>1.9038587911668068</v>
      </c>
      <c r="DA35" s="172">
        <f t="shared" si="58"/>
        <v>250.90909090909091</v>
      </c>
      <c r="DB35" s="379">
        <f t="shared" si="115"/>
        <v>305.59944073457586</v>
      </c>
      <c r="DD35" s="188">
        <f t="shared" si="59"/>
        <v>13.333333333333332</v>
      </c>
      <c r="DE35" s="150">
        <f t="shared" si="60"/>
        <v>2.318840579710145</v>
      </c>
      <c r="DF35" s="150">
        <f t="shared" si="61"/>
        <v>0.18115218115218115</v>
      </c>
      <c r="DG35" s="150"/>
      <c r="DH35" s="150">
        <f t="shared" si="62"/>
        <v>2.3188405797101455</v>
      </c>
      <c r="DI35" s="314">
        <f t="shared" si="63"/>
        <v>207.76102941176461</v>
      </c>
      <c r="DJ35" s="456">
        <f t="shared" si="64"/>
        <v>0.18115218115218121</v>
      </c>
      <c r="DL35" s="150">
        <f t="shared" si="65"/>
        <v>10.198039027185569</v>
      </c>
      <c r="DM35" s="150">
        <f t="shared" si="66"/>
        <v>13.333333333333334</v>
      </c>
      <c r="DN35" s="150">
        <f t="shared" si="67"/>
        <v>1.118720588235294</v>
      </c>
      <c r="DP35" s="314">
        <f t="shared" si="68"/>
        <v>150</v>
      </c>
      <c r="DQ35" s="144">
        <f t="shared" si="69"/>
        <v>207.76102941176461</v>
      </c>
      <c r="DS35">
        <f t="shared" si="116"/>
        <v>150</v>
      </c>
      <c r="DT35" s="144">
        <f t="shared" si="70"/>
        <v>207.76102941176461</v>
      </c>
      <c r="DU35" s="144"/>
      <c r="DV35" s="5">
        <f t="shared" si="117"/>
        <v>4.8132222045265545</v>
      </c>
      <c r="DW35" s="5">
        <f t="shared" si="71"/>
        <v>1.666666666666667</v>
      </c>
      <c r="DX35" s="5">
        <f t="shared" si="118"/>
        <v>3.1465555378598875</v>
      </c>
      <c r="DY35" s="150">
        <f t="shared" si="119"/>
        <v>0.34626838235294111</v>
      </c>
      <c r="EA35" s="5">
        <f t="shared" si="72"/>
        <v>0.1470588235294118</v>
      </c>
      <c r="EB35" s="5">
        <f t="shared" si="73"/>
        <v>2.0833333333333339</v>
      </c>
      <c r="EC35" s="5">
        <f t="shared" si="74"/>
        <v>11.144050863253767</v>
      </c>
      <c r="ED35" s="5"/>
      <c r="EE35" s="150">
        <f t="shared" si="120"/>
        <v>4.5298573755844957</v>
      </c>
      <c r="EF35" s="150">
        <f t="shared" si="75"/>
        <v>0.29068685420034251</v>
      </c>
      <c r="EG35" s="150">
        <f t="shared" si="76"/>
        <v>0.2765265570747743</v>
      </c>
      <c r="EH35" s="150"/>
      <c r="EI35" s="456">
        <f t="shared" si="77"/>
        <v>6.9766666666666657E-2</v>
      </c>
      <c r="EJ35" s="456">
        <f t="shared" si="78"/>
        <v>1.7368822058823521</v>
      </c>
      <c r="EK35" s="456">
        <f t="shared" si="79"/>
        <v>4.7577275735294099E-2</v>
      </c>
      <c r="EL35" s="456">
        <f t="shared" si="80"/>
        <v>6.0540021994198043E-2</v>
      </c>
      <c r="EM35">
        <f t="shared" si="81"/>
        <v>5.4000000000000003E-3</v>
      </c>
      <c r="EN35" s="144">
        <f t="shared" si="121"/>
        <v>52.9772757352941</v>
      </c>
      <c r="EO35">
        <f t="shared" si="82"/>
        <v>1.9716869574295595</v>
      </c>
      <c r="EP35" s="144">
        <f t="shared" si="122"/>
        <v>1971.6869574295595</v>
      </c>
      <c r="EQ35" s="150">
        <f t="shared" si="83"/>
        <v>0.33281249999999996</v>
      </c>
      <c r="ER35" s="150">
        <f t="shared" si="84"/>
        <v>0.1065</v>
      </c>
      <c r="ES35" s="456"/>
      <c r="EU35" s="144">
        <f t="shared" si="123"/>
        <v>439.31249999999994</v>
      </c>
      <c r="EV35" s="456">
        <f t="shared" si="85"/>
        <v>3.0779411764705882E-2</v>
      </c>
      <c r="EW35" s="456">
        <f t="shared" si="124"/>
        <v>1.6899769440978239E-2</v>
      </c>
      <c r="EX35" s="456">
        <f t="shared" si="86"/>
        <v>2.2940081030288521E-3</v>
      </c>
      <c r="EY35" s="456">
        <f t="shared" si="87"/>
        <v>20.194219245428737</v>
      </c>
      <c r="EZ35" s="456">
        <f t="shared" si="88"/>
        <v>20.337492348587581</v>
      </c>
      <c r="FA35" s="538">
        <f t="shared" si="89"/>
        <v>3.6935294117647052E-2</v>
      </c>
      <c r="FB35" s="144">
        <f t="shared" si="125"/>
        <v>20374.427642705228</v>
      </c>
      <c r="FC35" s="150">
        <f t="shared" si="126"/>
        <v>22.78542710013479</v>
      </c>
      <c r="FD35" s="5">
        <f t="shared" si="127"/>
        <v>27.3</v>
      </c>
      <c r="FE35" s="150">
        <f t="shared" si="128"/>
        <v>0.54506872718524801</v>
      </c>
      <c r="FF35" s="5">
        <f t="shared" si="129"/>
        <v>54.506872718524804</v>
      </c>
      <c r="FG35">
        <f t="shared" si="130"/>
        <v>30</v>
      </c>
      <c r="FI35" s="59">
        <f t="shared" si="90"/>
        <v>-50</v>
      </c>
      <c r="FJ35">
        <f t="shared" si="91"/>
        <v>-50</v>
      </c>
      <c r="FL35">
        <f t="shared" si="92"/>
        <v>0.46806000855841395</v>
      </c>
    </row>
    <row r="36" spans="5:168">
      <c r="E36" s="147">
        <v>31</v>
      </c>
      <c r="F36" s="188">
        <f t="shared" si="131"/>
        <v>0.155</v>
      </c>
      <c r="G36" s="188">
        <f t="shared" si="93"/>
        <v>0.155</v>
      </c>
      <c r="H36" s="188">
        <f t="shared" si="0"/>
        <v>26.35</v>
      </c>
      <c r="I36" s="188">
        <f t="shared" si="132"/>
        <v>1.8599999999999999</v>
      </c>
      <c r="J36" s="465">
        <f t="shared" si="1"/>
        <v>11.959993660274005</v>
      </c>
      <c r="K36" s="379">
        <f t="shared" si="2"/>
        <v>8.6489071312417067</v>
      </c>
      <c r="L36" s="149">
        <f t="shared" si="3"/>
        <v>20.608900791515712</v>
      </c>
      <c r="M36" s="379"/>
      <c r="N36" s="188">
        <f t="shared" si="4"/>
        <v>0.41966853151150574</v>
      </c>
      <c r="O36" s="149">
        <f t="shared" si="94"/>
        <v>156.27648460988988</v>
      </c>
      <c r="P36" s="149">
        <f t="shared" si="5"/>
        <v>11.031281266580462</v>
      </c>
      <c r="Q36" s="188">
        <f t="shared" si="6"/>
        <v>0.91927343888170521</v>
      </c>
      <c r="R36" s="188">
        <f t="shared" si="7"/>
        <v>13.02304038415749</v>
      </c>
      <c r="S36" s="379">
        <f t="shared" si="8"/>
        <v>170</v>
      </c>
      <c r="T36" s="188">
        <f t="shared" si="9"/>
        <v>11.240761340721232</v>
      </c>
      <c r="U36" s="188">
        <f t="shared" si="10"/>
        <v>1.4097952298325513</v>
      </c>
      <c r="V36" s="188">
        <f t="shared" si="11"/>
        <v>1.9495112798905874</v>
      </c>
      <c r="W36" s="172">
        <f t="shared" si="12"/>
        <v>250.96164881470551</v>
      </c>
      <c r="X36" s="379">
        <f t="shared" si="95"/>
        <v>280.95360634669959</v>
      </c>
      <c r="Z36" s="188">
        <f t="shared" si="13"/>
        <v>13.333333333333332</v>
      </c>
      <c r="AA36" s="150">
        <f t="shared" si="14"/>
        <v>2.3124308882628317</v>
      </c>
      <c r="AB36" s="150">
        <f t="shared" si="15"/>
        <v>0.1806892850605202</v>
      </c>
      <c r="AC36" s="150"/>
      <c r="AD36" s="150">
        <f t="shared" si="16"/>
        <v>2.3124308882628322</v>
      </c>
      <c r="AE36" s="314">
        <f t="shared" si="17"/>
        <v>215.28147368146637</v>
      </c>
      <c r="AF36" s="456">
        <f t="shared" si="18"/>
        <v>0.18068928506052023</v>
      </c>
      <c r="AH36" s="150">
        <f t="shared" si="19"/>
        <v>10.366613075960087</v>
      </c>
      <c r="AI36" s="150">
        <f t="shared" si="20"/>
        <v>13.333333333333334</v>
      </c>
      <c r="AJ36" s="150">
        <f t="shared" si="21"/>
        <v>1.1230179849608379</v>
      </c>
      <c r="AL36" s="314">
        <f t="shared" si="22"/>
        <v>155</v>
      </c>
      <c r="AM36" s="144">
        <f t="shared" si="23"/>
        <v>215.28147368146637</v>
      </c>
      <c r="AO36">
        <f t="shared" si="96"/>
        <v>155</v>
      </c>
      <c r="AP36" s="144">
        <f t="shared" si="24"/>
        <v>215.28147368146637</v>
      </c>
      <c r="AQ36" s="144"/>
      <c r="AR36" s="5">
        <f t="shared" si="97"/>
        <v>4.645081543243311</v>
      </c>
      <c r="AS36" s="5">
        <f t="shared" si="25"/>
        <v>1.6722416890931528</v>
      </c>
      <c r="AT36" s="5">
        <f t="shared" si="98"/>
        <v>2.9728398541501582</v>
      </c>
      <c r="AU36" s="150">
        <f t="shared" si="99"/>
        <v>0.36000265517955843</v>
      </c>
      <c r="AW36" s="5">
        <f t="shared" si="26"/>
        <v>0.15246909518202276</v>
      </c>
      <c r="AX36" s="5">
        <f t="shared" si="27"/>
        <v>2.1599788484119888</v>
      </c>
      <c r="AY36" s="5">
        <f t="shared" si="28"/>
        <v>10.916161047956889</v>
      </c>
      <c r="AZ36" s="5"/>
      <c r="BA36" s="150">
        <f t="shared" si="100"/>
        <v>4.6188191864704091</v>
      </c>
      <c r="BB36" s="150">
        <f t="shared" si="29"/>
        <v>0.28761711989634781</v>
      </c>
      <c r="BC36" s="150">
        <f t="shared" si="30"/>
        <v>0.27360635946022055</v>
      </c>
      <c r="BD36" s="150"/>
      <c r="BE36" s="456">
        <f t="shared" si="31"/>
        <v>7.2533868302844376E-2</v>
      </c>
      <c r="BF36" s="456">
        <f t="shared" si="32"/>
        <v>1.4167908409839431</v>
      </c>
      <c r="BG36" s="456">
        <f t="shared" si="33"/>
        <v>0.11792423976653905</v>
      </c>
      <c r="BH36" s="456">
        <f t="shared" si="34"/>
        <v>6.2633529615826244E-2</v>
      </c>
      <c r="BI36">
        <f t="shared" si="35"/>
        <v>5.3819971471233017E-3</v>
      </c>
      <c r="BJ36" s="144">
        <f t="shared" si="101"/>
        <v>123.30623691366236</v>
      </c>
      <c r="BK36">
        <f t="shared" si="36"/>
        <v>1.5991013717162152</v>
      </c>
      <c r="BL36" s="144">
        <f t="shared" si="102"/>
        <v>1599.1013717162152</v>
      </c>
      <c r="BM36" s="150">
        <f t="shared" si="37"/>
        <v>0.34390624999999997</v>
      </c>
      <c r="BN36" s="150">
        <f t="shared" si="38"/>
        <v>0.11005</v>
      </c>
      <c r="BO36" s="456"/>
      <c r="BQ36" s="144">
        <f t="shared" si="103"/>
        <v>453.95624999999995</v>
      </c>
      <c r="BR36" s="456">
        <f t="shared" si="39"/>
        <v>3.2000236015960755E-2</v>
      </c>
      <c r="BS36" s="456">
        <f t="shared" si="104"/>
        <v>1.6544721531494024E-2</v>
      </c>
      <c r="BT36" s="456">
        <f t="shared" si="40"/>
        <v>2.2458131981122624E-3</v>
      </c>
      <c r="BU36" s="456">
        <f t="shared" si="41"/>
        <v>22.071583388596455</v>
      </c>
      <c r="BV36" s="456">
        <f t="shared" si="42"/>
        <v>22.224869404061106</v>
      </c>
      <c r="BW36" s="538">
        <f t="shared" si="43"/>
        <v>3.8272261987816247E-2</v>
      </c>
      <c r="BX36" s="144">
        <f t="shared" si="105"/>
        <v>22263.141666048923</v>
      </c>
      <c r="BY36" s="150">
        <f t="shared" si="106"/>
        <v>24.316199287765141</v>
      </c>
      <c r="BZ36" s="5">
        <f t="shared" si="107"/>
        <v>28.21</v>
      </c>
      <c r="CA36" s="150">
        <f t="shared" si="108"/>
        <v>0.53706531945041991</v>
      </c>
      <c r="CB36" s="5">
        <f t="shared" si="109"/>
        <v>53.706531945041988</v>
      </c>
      <c r="CC36">
        <f t="shared" si="110"/>
        <v>31</v>
      </c>
      <c r="CE36" s="59">
        <f t="shared" si="44"/>
        <v>-50</v>
      </c>
      <c r="CF36">
        <f t="shared" si="45"/>
        <v>-50</v>
      </c>
      <c r="CG36" s="150">
        <f t="shared" si="46"/>
        <v>0.48366200884369454</v>
      </c>
      <c r="CH36" s="150">
        <f t="shared" si="47"/>
        <v>0.1310613452350988</v>
      </c>
      <c r="CI36" s="147">
        <v>31</v>
      </c>
      <c r="CJ36" s="188">
        <f t="shared" si="133"/>
        <v>0.155</v>
      </c>
      <c r="CK36" s="188">
        <f t="shared" si="111"/>
        <v>0.155</v>
      </c>
      <c r="CL36" s="188">
        <f t="shared" si="48"/>
        <v>26.35</v>
      </c>
      <c r="CM36" s="188">
        <f t="shared" si="134"/>
        <v>1.8599999999999999</v>
      </c>
      <c r="CN36" s="465">
        <f t="shared" si="112"/>
        <v>12</v>
      </c>
      <c r="CO36" s="379">
        <f t="shared" si="49"/>
        <v>8.625</v>
      </c>
      <c r="CP36" s="379">
        <f t="shared" si="50"/>
        <v>20.625</v>
      </c>
      <c r="CQ36" s="379"/>
      <c r="CR36" s="188">
        <f t="shared" si="113"/>
        <v>0.4156318480642805</v>
      </c>
      <c r="CS36" s="149">
        <f t="shared" si="114"/>
        <v>155.29102015588504</v>
      </c>
      <c r="CT36" s="149">
        <f t="shared" si="51"/>
        <v>10.961719069827179</v>
      </c>
      <c r="CU36" s="188">
        <f t="shared" si="52"/>
        <v>0.91347658915226493</v>
      </c>
      <c r="CV36" s="188">
        <f t="shared" si="53"/>
        <v>12.940918346323754</v>
      </c>
      <c r="CW36" s="379">
        <f t="shared" si="54"/>
        <v>170</v>
      </c>
      <c r="CX36" s="188">
        <f t="shared" si="55"/>
        <v>11.312094317516109</v>
      </c>
      <c r="CY36" s="188">
        <f t="shared" si="56"/>
        <v>1.4140117896895137</v>
      </c>
      <c r="CZ36" s="188">
        <f t="shared" si="57"/>
        <v>1.9673207508723667</v>
      </c>
      <c r="DA36" s="172">
        <f t="shared" si="58"/>
        <v>250.90909090909091</v>
      </c>
      <c r="DB36" s="379">
        <f t="shared" si="115"/>
        <v>295.74139425926705</v>
      </c>
      <c r="DD36" s="188">
        <f t="shared" si="59"/>
        <v>13.333333333333332</v>
      </c>
      <c r="DE36" s="150">
        <f t="shared" si="60"/>
        <v>2.318840579710145</v>
      </c>
      <c r="DF36" s="150">
        <f t="shared" si="61"/>
        <v>0.18115218115218115</v>
      </c>
      <c r="DG36" s="150"/>
      <c r="DH36" s="150">
        <f t="shared" si="62"/>
        <v>2.3188405797101455</v>
      </c>
      <c r="DI36" s="314">
        <f t="shared" si="63"/>
        <v>214.68639705882347</v>
      </c>
      <c r="DJ36" s="456">
        <f t="shared" si="64"/>
        <v>0.18115218115218121</v>
      </c>
      <c r="DL36" s="150">
        <f t="shared" si="65"/>
        <v>10.366613075960087</v>
      </c>
      <c r="DM36" s="150">
        <f t="shared" si="66"/>
        <v>13.333333333333334</v>
      </c>
      <c r="DN36" s="150">
        <f t="shared" si="67"/>
        <v>1.1226779411764705</v>
      </c>
      <c r="DP36" s="314">
        <f t="shared" si="68"/>
        <v>155</v>
      </c>
      <c r="DQ36" s="144">
        <f t="shared" si="69"/>
        <v>214.68639705882347</v>
      </c>
      <c r="DS36">
        <f t="shared" si="116"/>
        <v>155</v>
      </c>
      <c r="DT36" s="144">
        <f t="shared" si="70"/>
        <v>214.68639705882347</v>
      </c>
      <c r="DU36" s="144"/>
      <c r="DV36" s="5">
        <f t="shared" si="117"/>
        <v>4.6579569721224718</v>
      </c>
      <c r="DW36" s="5">
        <f t="shared" si="71"/>
        <v>1.666666666666667</v>
      </c>
      <c r="DX36" s="5">
        <f t="shared" si="118"/>
        <v>2.9912903054558049</v>
      </c>
      <c r="DY36" s="150">
        <f t="shared" si="119"/>
        <v>0.35781066176470583</v>
      </c>
      <c r="EA36" s="5">
        <f t="shared" si="72"/>
        <v>0.15196078431372551</v>
      </c>
      <c r="EB36" s="5">
        <f t="shared" si="73"/>
        <v>2.1527777777777781</v>
      </c>
      <c r="EC36" s="5">
        <f t="shared" si="74"/>
        <v>10.947291603994506</v>
      </c>
      <c r="ED36" s="5"/>
      <c r="EE36" s="150">
        <f t="shared" si="120"/>
        <v>4.6047361239534492</v>
      </c>
      <c r="EF36" s="150">
        <f t="shared" si="75"/>
        <v>0.28810924375656588</v>
      </c>
      <c r="EG36" s="150">
        <f t="shared" si="76"/>
        <v>0.27407451037504199</v>
      </c>
      <c r="EH36" s="150"/>
      <c r="EI36" s="456">
        <f t="shared" si="77"/>
        <v>7.2092222222222238E-2</v>
      </c>
      <c r="EJ36" s="456">
        <f t="shared" si="78"/>
        <v>1.7947782794117642</v>
      </c>
      <c r="EK36" s="456">
        <f t="shared" si="79"/>
        <v>4.9163184926470579E-2</v>
      </c>
      <c r="EL36" s="456">
        <f t="shared" si="80"/>
        <v>6.2558022727337986E-2</v>
      </c>
      <c r="EM36">
        <f t="shared" si="81"/>
        <v>5.4000000000000003E-3</v>
      </c>
      <c r="EN36" s="144">
        <f t="shared" si="121"/>
        <v>54.563184926470583</v>
      </c>
      <c r="EO36">
        <f t="shared" si="82"/>
        <v>2.0383721135179202</v>
      </c>
      <c r="EP36" s="144">
        <f t="shared" si="122"/>
        <v>2038.3721135179203</v>
      </c>
      <c r="EQ36" s="150">
        <f t="shared" si="83"/>
        <v>0.34390624999999997</v>
      </c>
      <c r="ER36" s="150">
        <f t="shared" si="84"/>
        <v>0.11005</v>
      </c>
      <c r="ES36" s="456"/>
      <c r="EU36" s="144">
        <f t="shared" si="123"/>
        <v>453.95624999999995</v>
      </c>
      <c r="EV36" s="456">
        <f t="shared" si="85"/>
        <v>3.1805392156862754E-2</v>
      </c>
      <c r="EW36" s="456">
        <f t="shared" si="124"/>
        <v>1.6601387267596062E-2</v>
      </c>
      <c r="EX36" s="456">
        <f t="shared" si="86"/>
        <v>2.2535051171195699E-3</v>
      </c>
      <c r="EY36" s="456">
        <f t="shared" si="87"/>
        <v>21.91937490443177</v>
      </c>
      <c r="EZ36" s="456">
        <f t="shared" si="88"/>
        <v>22.071646127111368</v>
      </c>
      <c r="FA36" s="538">
        <f t="shared" si="89"/>
        <v>3.8166470588235288E-2</v>
      </c>
      <c r="FB36" s="144">
        <f t="shared" si="125"/>
        <v>22109.812597699602</v>
      </c>
      <c r="FC36" s="150">
        <f t="shared" si="126"/>
        <v>24.602140961217522</v>
      </c>
      <c r="FD36" s="5">
        <f t="shared" si="127"/>
        <v>28.21</v>
      </c>
      <c r="FE36" s="150">
        <f t="shared" si="128"/>
        <v>0.53415747755267018</v>
      </c>
      <c r="FF36" s="5">
        <f t="shared" si="129"/>
        <v>53.41574775526702</v>
      </c>
      <c r="FG36">
        <f t="shared" si="130"/>
        <v>31</v>
      </c>
      <c r="FI36" s="59">
        <f t="shared" si="90"/>
        <v>-50</v>
      </c>
      <c r="FJ36">
        <f t="shared" si="91"/>
        <v>-50</v>
      </c>
      <c r="FL36">
        <f t="shared" si="92"/>
        <v>0.48366200884369448</v>
      </c>
    </row>
    <row r="37" spans="5:168">
      <c r="E37" s="147">
        <v>32</v>
      </c>
      <c r="F37" s="188">
        <f t="shared" si="131"/>
        <v>0.16</v>
      </c>
      <c r="G37" s="188">
        <f t="shared" si="93"/>
        <v>0.16</v>
      </c>
      <c r="H37" s="188">
        <f t="shared" ref="H37:H68" si="135">F37*Vout</f>
        <v>27.2</v>
      </c>
      <c r="I37" s="188">
        <f t="shared" si="132"/>
        <v>1.92</v>
      </c>
      <c r="J37" s="465">
        <f t="shared" ref="J37:J68" si="136">Vin-(F37/CG37/Nps+G37/CH37/(Nps/Nsec1sec2))*(Rdcr_pri+RON/1000)</f>
        <v>11.959993660274005</v>
      </c>
      <c r="K37" s="379">
        <f t="shared" ref="K37:K68" si="137">MAX((S37+Vfwd2+Rdcr_sec*F37/CG37)*Nps,(Vout2+Vfwd22+Rdcr_sec2*G37/CH37)*Nps/Nsec1sec2)</f>
        <v>8.6489071312417067</v>
      </c>
      <c r="L37" s="149">
        <f t="shared" ref="L37:L68" si="138">MAX((Vout+Vfwd2+F37/CG37*Rdcr_sec)*Nps+J37, (Vout2+Vfwd22+G37/CH37*Rdcr_sec2)*Nps/Nsec1sec2+J37)</f>
        <v>20.608900791515712</v>
      </c>
      <c r="M37" s="379"/>
      <c r="N37" s="188">
        <f t="shared" ref="N37:N68" si="139">MAX((Vout+Vfwd2+F37/CG37*Rdcr_sec)*Nps/((Vout+Vfwd2+F37/CG37*Rdcr_sec)*Nps+J37), (Vout2+Vfwd22+G37/CH37*Rdcr_sec2)*Nps/Nsec1sec2/((Vout2+Vfwd22+G37/CH37*Rdcr_sec2)*Nps/Nsec1sec2+J37))</f>
        <v>0.41966853151150574</v>
      </c>
      <c r="O37" s="149">
        <f t="shared" si="94"/>
        <v>156.27648460988988</v>
      </c>
      <c r="P37" s="149">
        <f t="shared" ref="P37:P68" si="140">N37*J37*Isw_max*0.5*Efficiency*(Pout2/Pout_total)</f>
        <v>11.031281266580462</v>
      </c>
      <c r="Q37" s="188">
        <f t="shared" si="6"/>
        <v>0.91927343888170521</v>
      </c>
      <c r="R37" s="188">
        <f t="shared" ref="R37:R68" si="141">O37/Vout2</f>
        <v>13.02304038415749</v>
      </c>
      <c r="S37" s="379">
        <f t="shared" ref="S37:S68" si="142">MIN(Vout,O37/F37)</f>
        <v>170</v>
      </c>
      <c r="T37" s="188">
        <f t="shared" ref="T37:T68" si="143">MIN(2*(Vout*F37+Vout2*G37)/(Efficiency*J37*N37), Isw_max)</f>
        <v>11.603366545260625</v>
      </c>
      <c r="U37" s="188">
        <f t="shared" si="10"/>
        <v>1.4552724953110208</v>
      </c>
      <c r="V37" s="188">
        <f t="shared" si="11"/>
        <v>2.0123987405322192</v>
      </c>
      <c r="W37" s="172">
        <f t="shared" si="12"/>
        <v>250.96164881470551</v>
      </c>
      <c r="X37" s="379">
        <f t="shared" si="95"/>
        <v>272.65257317156681</v>
      </c>
      <c r="Z37" s="188">
        <f t="shared" si="13"/>
        <v>13.333333333333332</v>
      </c>
      <c r="AA37" s="150">
        <f t="shared" si="14"/>
        <v>2.3124308882628317</v>
      </c>
      <c r="AB37" s="150">
        <f t="shared" ref="AB37:AB68" si="144">0.5*AA37*Z37*Nps*W37/1000*(Pout/Pout_total)</f>
        <v>0.1806892850605202</v>
      </c>
      <c r="AC37" s="150"/>
      <c r="AD37" s="150">
        <f t="shared" si="16"/>
        <v>2.3124308882628322</v>
      </c>
      <c r="AE37" s="314">
        <f t="shared" ref="AE37:AE68" si="145">MAX(10, F37/(0.5*AD37/1000000*Isw_min*Nps)/1000*Pout_total/Pout)</f>
        <v>222.22603734861042</v>
      </c>
      <c r="AF37" s="456">
        <f t="shared" ref="AF37:AF68" si="146">0.5*AD37/1000000*Isw_min*Nps*W37*1000*(Pout/Pout_total)</f>
        <v>0.18068928506052023</v>
      </c>
      <c r="AH37" s="150">
        <f t="shared" ref="AH37:AH68" si="147">SQRT((H37+I37)/(0.5*L*Fsw_DCM))</f>
        <v>10.532489417670133</v>
      </c>
      <c r="AI37" s="150">
        <f t="shared" ref="AI37:AI68" si="148">MAX(IF(F37&gt;AB37,T37,AH37),Isw_min)</f>
        <v>13.333333333333334</v>
      </c>
      <c r="AJ37" s="150">
        <f t="shared" ref="AJ37:AJ68" si="149">IF(F37&gt;AF37, (AI37-Isw_min)/1.08*0.8+1.2, AE37*0.2/350+1)</f>
        <v>1.1269863070563488</v>
      </c>
      <c r="AL37" s="314">
        <f t="shared" ref="AL37:AL68" si="150">F37*1000</f>
        <v>160</v>
      </c>
      <c r="AM37" s="144">
        <f t="shared" ref="AM37:AM68" si="151">IF(F37&gt;AF37, X37, AE37)</f>
        <v>222.22603734861042</v>
      </c>
      <c r="AO37">
        <f t="shared" si="96"/>
        <v>160</v>
      </c>
      <c r="AP37" s="144">
        <f t="shared" si="24"/>
        <v>222.22603734861042</v>
      </c>
      <c r="AQ37" s="144"/>
      <c r="AR37" s="5">
        <f t="shared" si="97"/>
        <v>4.4999227450169581</v>
      </c>
      <c r="AS37" s="5">
        <f t="shared" si="25"/>
        <v>1.6722416890931528</v>
      </c>
      <c r="AT37" s="5">
        <f t="shared" si="98"/>
        <v>2.8276810559238053</v>
      </c>
      <c r="AU37" s="150">
        <f t="shared" si="99"/>
        <v>0.37161564405631836</v>
      </c>
      <c r="AW37" s="5">
        <f t="shared" ref="AW37:AW68" si="152">F37*AS37/Vout_ripple*1000</f>
        <v>0.15738745309112029</v>
      </c>
      <c r="AX37" s="5">
        <f t="shared" ref="AX37:AX68" si="153">G37*AS37/Vout_ripple2*1000</f>
        <v>2.2296555854575377</v>
      </c>
      <c r="AY37" s="5">
        <f t="shared" si="28"/>
        <v>10.71808326239606</v>
      </c>
      <c r="AZ37" s="5"/>
      <c r="BA37" s="150">
        <f t="shared" si="100"/>
        <v>4.6927249861812683</v>
      </c>
      <c r="BB37" s="150">
        <f t="shared" ref="BB37:BB68" si="154">AI37*Npri_sec1*SQRT((1-AU37)/3)*(Pout/Pout_total)</f>
        <v>0.28499571427602916</v>
      </c>
      <c r="BC37" s="150">
        <f t="shared" ref="BC37:BC68" si="155">AI37*Npri_sec2*SQRT((1-AU37)/3)*(Pout2/Pout_total)</f>
        <v>0.27111265098868581</v>
      </c>
      <c r="BD37" s="150"/>
      <c r="BE37" s="456">
        <f t="shared" si="31"/>
        <v>7.4873670506161949E-2</v>
      </c>
      <c r="BF37" s="456">
        <f t="shared" ref="BF37:BF68" si="156">0.5*L37*AI37*AM37*1000*Tfall</f>
        <v>1.4624937713382637</v>
      </c>
      <c r="BG37" s="456">
        <f t="shared" ref="BG37:BG68" si="157">Qg*Vdd*AM37*1000*0+Qg*J37*AM37*1000</f>
        <v>0.12172824750094352</v>
      </c>
      <c r="BH37" s="456">
        <f t="shared" si="34"/>
        <v>6.4653966055046447E-2</v>
      </c>
      <c r="BI37">
        <f t="shared" si="35"/>
        <v>5.3819971471233017E-3</v>
      </c>
      <c r="BJ37" s="144">
        <f t="shared" si="101"/>
        <v>127.11024464806684</v>
      </c>
      <c r="BK37">
        <f t="shared" ref="BK37:BK68" si="158">(BF37+BG37*0+BH37+BI37*0+BE37*(1+RdsonTC*(Ta-25)))/(1-BE37*RdsonTC*ThetaJA)</f>
        <v>1.651619585114833</v>
      </c>
      <c r="BL37" s="144">
        <f t="shared" si="102"/>
        <v>1651.6195851148329</v>
      </c>
      <c r="BM37" s="150">
        <f t="shared" ref="BM37:BM68" si="159">Vfwd2*F37*(1+Diode_TC/1000*(Ta-25))</f>
        <v>0.35499999999999998</v>
      </c>
      <c r="BN37" s="150">
        <f t="shared" ref="BN37:BN68" si="160">Vfwd22*G37*(1+Diode_TC/1000*(Ta-25))</f>
        <v>0.11359999999999999</v>
      </c>
      <c r="BO37" s="456"/>
      <c r="BQ37" s="144">
        <f t="shared" si="103"/>
        <v>468.59999999999997</v>
      </c>
      <c r="BR37" s="456">
        <f t="shared" si="39"/>
        <v>3.3032501693894982E-2</v>
      </c>
      <c r="BS37" s="456">
        <f t="shared" si="104"/>
        <v>1.624451143114081E-2</v>
      </c>
      <c r="BT37" s="456">
        <f t="shared" ref="BT37:BT68" si="161">Rdcr_sec2*BC37^2</f>
        <v>2.2050620857833889E-3</v>
      </c>
      <c r="BU37" s="456">
        <f t="shared" si="41"/>
        <v>23.894844094815991</v>
      </c>
      <c r="BV37" s="456">
        <f t="shared" ref="BV37:BV68" si="162">(BU37+(BR37+BS37+BT37)*(1+Ltc*(Ta-25)))/(1-(BR37+BS37+BT37)*Ltc*ThetaCa)</f>
        <v>24.057765362942948</v>
      </c>
      <c r="BW37" s="538">
        <f t="shared" ref="BW37:BW68" si="163">0.5*Lleak*0.000000001*AI37^2*AM37*1000</f>
        <v>3.9506851084197415E-2</v>
      </c>
      <c r="BX37" s="144">
        <f t="shared" si="105"/>
        <v>24097.272214027147</v>
      </c>
      <c r="BY37" s="150">
        <f t="shared" si="106"/>
        <v>26.217491799141978</v>
      </c>
      <c r="BZ37" s="5">
        <f t="shared" si="107"/>
        <v>29.119999999999997</v>
      </c>
      <c r="CA37" s="150">
        <f t="shared" si="108"/>
        <v>0.52622551281681895</v>
      </c>
      <c r="CB37" s="5">
        <f t="shared" si="109"/>
        <v>52.622551281681893</v>
      </c>
      <c r="CC37">
        <f t="shared" si="110"/>
        <v>32</v>
      </c>
      <c r="CE37" s="59">
        <f t="shared" ref="CE37:CE68" si="164">IF(ABS(F37-Ioutmax_Vinnom)&lt;Iout/200, AM37, -50)</f>
        <v>-50</v>
      </c>
      <c r="CF37">
        <f t="shared" ref="CF37:CF68" si="165">IF(ABS(F37-Ioutmax_Vinnom)&lt;Iout/200, (O37+P37)*CA37, -50)</f>
        <v>-50</v>
      </c>
      <c r="CG37" s="150">
        <f t="shared" ref="CG37:CG68" si="166">MIN(SQRT(2*DT37*1000*Ls1_*(CL37+CJ37*Vfwd1))/(CW37+Vfwd1), 1-DY37)</f>
        <v>0.49926400912897506</v>
      </c>
      <c r="CH37" s="150">
        <f t="shared" ref="CH37:CH68" si="167">MIN(SQRT(2*DT37*1000*Ls2_*(CM37+CK37*Vfwd22))/(Vout2+Vfwd22), 1-DY37)</f>
        <v>0.13528913056526329</v>
      </c>
      <c r="CI37" s="147">
        <v>32</v>
      </c>
      <c r="CJ37" s="188">
        <f t="shared" si="133"/>
        <v>0.16</v>
      </c>
      <c r="CK37" s="188">
        <f t="shared" si="111"/>
        <v>0.16</v>
      </c>
      <c r="CL37" s="188">
        <f t="shared" si="48"/>
        <v>27.2</v>
      </c>
      <c r="CM37" s="188">
        <f t="shared" si="134"/>
        <v>1.92</v>
      </c>
      <c r="CN37" s="465">
        <f t="shared" si="112"/>
        <v>12</v>
      </c>
      <c r="CO37" s="379">
        <f t="shared" ref="CO37:CO68" si="168">(CW37+Vfwd2)*Nps</f>
        <v>8.625</v>
      </c>
      <c r="CP37" s="379">
        <f t="shared" ref="CP37:CP68" si="169">(Vout+Vfwd2)*Nps+CN37</f>
        <v>20.625</v>
      </c>
      <c r="CQ37" s="379"/>
      <c r="CR37" s="188">
        <f t="shared" si="113"/>
        <v>0.4156318480642805</v>
      </c>
      <c r="CS37" s="149">
        <f t="shared" si="114"/>
        <v>155.29102015588504</v>
      </c>
      <c r="CT37" s="149">
        <f t="shared" si="51"/>
        <v>10.961719069827179</v>
      </c>
      <c r="CU37" s="188">
        <f t="shared" si="52"/>
        <v>0.91347658915226493</v>
      </c>
      <c r="CV37" s="188">
        <f t="shared" si="53"/>
        <v>12.940918346323754</v>
      </c>
      <c r="CW37" s="379">
        <f t="shared" si="54"/>
        <v>170</v>
      </c>
      <c r="CX37" s="188">
        <f t="shared" si="55"/>
        <v>11.67700058582308</v>
      </c>
      <c r="CY37" s="188">
        <f t="shared" si="56"/>
        <v>1.459625073227885</v>
      </c>
      <c r="CZ37" s="188">
        <f t="shared" si="57"/>
        <v>2.030782710577927</v>
      </c>
      <c r="DA37" s="172">
        <f t="shared" si="58"/>
        <v>250.90909090909091</v>
      </c>
      <c r="DB37" s="379">
        <f t="shared" si="115"/>
        <v>286.49947568866492</v>
      </c>
      <c r="DD37" s="188">
        <f t="shared" si="59"/>
        <v>13.333333333333332</v>
      </c>
      <c r="DE37" s="150">
        <f t="shared" si="60"/>
        <v>2.318840579710145</v>
      </c>
      <c r="DF37" s="150">
        <f t="shared" si="61"/>
        <v>0.18115218115218115</v>
      </c>
      <c r="DG37" s="150"/>
      <c r="DH37" s="150">
        <f t="shared" si="62"/>
        <v>2.3188405797101455</v>
      </c>
      <c r="DI37" s="314">
        <f t="shared" si="63"/>
        <v>221.61176470588231</v>
      </c>
      <c r="DJ37" s="456">
        <f t="shared" si="64"/>
        <v>0.18115218115218121</v>
      </c>
      <c r="DL37" s="150">
        <f t="shared" si="65"/>
        <v>10.532489417670133</v>
      </c>
      <c r="DM37" s="150">
        <f t="shared" si="66"/>
        <v>13.333333333333334</v>
      </c>
      <c r="DN37" s="150">
        <f t="shared" si="67"/>
        <v>1.126635294117647</v>
      </c>
      <c r="DP37" s="314">
        <f t="shared" si="68"/>
        <v>160</v>
      </c>
      <c r="DQ37" s="144">
        <f t="shared" si="69"/>
        <v>221.61176470588231</v>
      </c>
      <c r="DS37">
        <f t="shared" si="116"/>
        <v>160</v>
      </c>
      <c r="DT37" s="144">
        <f t="shared" si="70"/>
        <v>221.61176470588231</v>
      </c>
      <c r="DU37" s="144"/>
      <c r="DV37" s="5">
        <f t="shared" si="117"/>
        <v>4.512395816743644</v>
      </c>
      <c r="DW37" s="5">
        <f t="shared" si="71"/>
        <v>1.666666666666667</v>
      </c>
      <c r="DX37" s="5">
        <f t="shared" si="118"/>
        <v>2.845729150076977</v>
      </c>
      <c r="DY37" s="150">
        <f t="shared" si="119"/>
        <v>0.36935294117647055</v>
      </c>
      <c r="EA37" s="5">
        <f t="shared" si="72"/>
        <v>0.15686274509803924</v>
      </c>
      <c r="EB37" s="5">
        <f t="shared" si="73"/>
        <v>2.2222222222222228</v>
      </c>
      <c r="EC37" s="5">
        <f t="shared" si="74"/>
        <v>10.750532344735245</v>
      </c>
      <c r="ED37" s="5"/>
      <c r="EE37" s="150">
        <f t="shared" si="120"/>
        <v>4.6784165803556235</v>
      </c>
      <c r="EF37" s="150">
        <f t="shared" si="75"/>
        <v>0.28550836322438866</v>
      </c>
      <c r="EG37" s="150">
        <f t="shared" si="76"/>
        <v>0.27160032714820065</v>
      </c>
      <c r="EH37" s="150"/>
      <c r="EI37" s="456">
        <f t="shared" si="77"/>
        <v>7.4417777777777777E-2</v>
      </c>
      <c r="EJ37" s="456">
        <f t="shared" si="78"/>
        <v>1.8526743529411762</v>
      </c>
      <c r="EK37" s="456">
        <f t="shared" si="79"/>
        <v>5.0749094117647053E-2</v>
      </c>
      <c r="EL37" s="456">
        <f t="shared" si="80"/>
        <v>6.457602346047793E-2</v>
      </c>
      <c r="EM37">
        <f t="shared" si="81"/>
        <v>5.4000000000000003E-3</v>
      </c>
      <c r="EN37" s="144">
        <f t="shared" si="121"/>
        <v>56.149094117647053</v>
      </c>
      <c r="EO37">
        <f t="shared" si="82"/>
        <v>2.1051322901266492</v>
      </c>
      <c r="EP37" s="144">
        <f t="shared" si="122"/>
        <v>2105.132290126649</v>
      </c>
      <c r="EQ37" s="150">
        <f t="shared" si="83"/>
        <v>0.35499999999999998</v>
      </c>
      <c r="ER37" s="150">
        <f t="shared" ref="ER37:ER68" si="170">Vfwd22*CK37*(1+Diode_TC/1000*(Ta-25))</f>
        <v>0.11359999999999999</v>
      </c>
      <c r="ES37" s="456"/>
      <c r="EU37" s="144">
        <f t="shared" si="123"/>
        <v>468.59999999999997</v>
      </c>
      <c r="EV37" s="456">
        <f t="shared" si="85"/>
        <v>3.2831372549019612E-2</v>
      </c>
      <c r="EW37" s="456">
        <f t="shared" si="124"/>
        <v>1.6303005094213893E-2</v>
      </c>
      <c r="EX37" s="456">
        <f t="shared" si="86"/>
        <v>2.2130021312102882E-3</v>
      </c>
      <c r="EY37" s="456">
        <f t="shared" si="87"/>
        <v>23.730062169795527</v>
      </c>
      <c r="EZ37" s="456">
        <f t="shared" si="88"/>
        <v>23.891875738079595</v>
      </c>
      <c r="FA37" s="538">
        <f t="shared" si="89"/>
        <v>3.939764705882353E-2</v>
      </c>
      <c r="FB37" s="144">
        <f t="shared" si="125"/>
        <v>23931.273385138418</v>
      </c>
      <c r="FC37" s="150">
        <f t="shared" si="126"/>
        <v>26.505005675265068</v>
      </c>
      <c r="FD37" s="5">
        <f t="shared" si="127"/>
        <v>29.119999999999997</v>
      </c>
      <c r="FE37" s="150">
        <f t="shared" si="128"/>
        <v>0.52350556456570163</v>
      </c>
      <c r="FF37" s="5">
        <f t="shared" si="129"/>
        <v>52.35055645657016</v>
      </c>
      <c r="FG37">
        <f t="shared" si="130"/>
        <v>32</v>
      </c>
      <c r="FI37" s="59">
        <f t="shared" si="90"/>
        <v>-50</v>
      </c>
      <c r="FJ37">
        <f t="shared" si="91"/>
        <v>-50</v>
      </c>
      <c r="FL37">
        <f t="shared" si="92"/>
        <v>0.49926400912897501</v>
      </c>
    </row>
    <row r="38" spans="5:168">
      <c r="E38" s="147">
        <v>33</v>
      </c>
      <c r="F38" s="188">
        <f t="shared" si="131"/>
        <v>0.16500000000000001</v>
      </c>
      <c r="G38" s="188">
        <f t="shared" ref="G38:G69" si="171">IF(PLOT_TYPE=1, E38/100*Iout2, min_I*EXP(Q38*rr/100))</f>
        <v>0.16500000000000001</v>
      </c>
      <c r="H38" s="188">
        <f t="shared" si="135"/>
        <v>28.05</v>
      </c>
      <c r="I38" s="188">
        <f t="shared" si="132"/>
        <v>1.98</v>
      </c>
      <c r="J38" s="465">
        <f t="shared" si="136"/>
        <v>11.959993660274005</v>
      </c>
      <c r="K38" s="379">
        <f t="shared" si="137"/>
        <v>8.6489071312417067</v>
      </c>
      <c r="L38" s="149">
        <f t="shared" si="138"/>
        <v>20.608900791515712</v>
      </c>
      <c r="M38" s="379"/>
      <c r="N38" s="188">
        <f t="shared" si="139"/>
        <v>0.41966853151150574</v>
      </c>
      <c r="O38" s="149">
        <f t="shared" ref="O38:O69" si="172">N38*J38*Isw_max*0.5*Efficiency*Pout/(Pout+Pout2)</f>
        <v>156.27648460988988</v>
      </c>
      <c r="P38" s="149">
        <f t="shared" si="140"/>
        <v>11.031281266580462</v>
      </c>
      <c r="Q38" s="188">
        <f t="shared" si="6"/>
        <v>0.91927343888170521</v>
      </c>
      <c r="R38" s="188">
        <f t="shared" si="141"/>
        <v>13.02304038415749</v>
      </c>
      <c r="S38" s="379">
        <f t="shared" si="142"/>
        <v>170</v>
      </c>
      <c r="T38" s="188">
        <f t="shared" si="143"/>
        <v>11.965971749800021</v>
      </c>
      <c r="U38" s="188">
        <f t="shared" si="10"/>
        <v>1.5007497607894902</v>
      </c>
      <c r="V38" s="188">
        <f t="shared" si="11"/>
        <v>2.0752862011738511</v>
      </c>
      <c r="W38" s="172">
        <f t="shared" si="12"/>
        <v>250.96164881470551</v>
      </c>
      <c r="X38" s="379">
        <f t="shared" si="95"/>
        <v>264.82798629916977</v>
      </c>
      <c r="Z38" s="188">
        <f t="shared" si="13"/>
        <v>13.333333333333332</v>
      </c>
      <c r="AA38" s="150">
        <f t="shared" si="14"/>
        <v>2.3124308882628317</v>
      </c>
      <c r="AB38" s="150">
        <f t="shared" si="144"/>
        <v>0.1806892850605202</v>
      </c>
      <c r="AC38" s="150"/>
      <c r="AD38" s="150">
        <f t="shared" si="16"/>
        <v>2.3124308882628322</v>
      </c>
      <c r="AE38" s="314">
        <f t="shared" si="145"/>
        <v>229.1706010157545</v>
      </c>
      <c r="AF38" s="456">
        <f t="shared" si="146"/>
        <v>0.18068928506052023</v>
      </c>
      <c r="AH38" s="150">
        <f t="shared" si="147"/>
        <v>10.69579356569675</v>
      </c>
      <c r="AI38" s="150">
        <f t="shared" si="148"/>
        <v>13.333333333333334</v>
      </c>
      <c r="AJ38" s="150">
        <f t="shared" si="149"/>
        <v>1.1309546291518597</v>
      </c>
      <c r="AL38" s="314">
        <f t="shared" si="150"/>
        <v>165</v>
      </c>
      <c r="AM38" s="144">
        <f t="shared" si="151"/>
        <v>229.1706010157545</v>
      </c>
      <c r="AO38">
        <f t="shared" si="96"/>
        <v>165</v>
      </c>
      <c r="AP38" s="144">
        <f t="shared" si="24"/>
        <v>229.1706010157545</v>
      </c>
      <c r="AQ38" s="144"/>
      <c r="AR38" s="5">
        <f t="shared" si="97"/>
        <v>4.363561449713413</v>
      </c>
      <c r="AS38" s="5">
        <f t="shared" si="25"/>
        <v>1.6722416890931528</v>
      </c>
      <c r="AT38" s="5">
        <f t="shared" si="98"/>
        <v>2.6913197606202601</v>
      </c>
      <c r="AU38" s="150">
        <f t="shared" si="99"/>
        <v>0.38322863293307835</v>
      </c>
      <c r="AW38" s="5">
        <f t="shared" si="152"/>
        <v>0.16230581100021779</v>
      </c>
      <c r="AX38" s="5">
        <f t="shared" si="153"/>
        <v>2.2993323225030853</v>
      </c>
      <c r="AY38" s="5">
        <f t="shared" si="28"/>
        <v>10.520005476835228</v>
      </c>
      <c r="AZ38" s="5"/>
      <c r="BA38" s="150">
        <f t="shared" si="100"/>
        <v>4.7654847512664222</v>
      </c>
      <c r="BB38" s="150">
        <f t="shared" si="154"/>
        <v>0.28234997193897154</v>
      </c>
      <c r="BC38" s="150">
        <f t="shared" si="155"/>
        <v>0.26859579132062089</v>
      </c>
      <c r="BD38" s="150"/>
      <c r="BE38" s="456">
        <f t="shared" si="31"/>
        <v>7.7213472709479494E-2</v>
      </c>
      <c r="BF38" s="456">
        <f t="shared" si="156"/>
        <v>1.5081967016925846</v>
      </c>
      <c r="BG38" s="456">
        <f t="shared" si="157"/>
        <v>0.12553225523534803</v>
      </c>
      <c r="BH38" s="456">
        <f t="shared" si="34"/>
        <v>6.6674402494266635E-2</v>
      </c>
      <c r="BI38">
        <f t="shared" si="35"/>
        <v>5.3819971471233017E-3</v>
      </c>
      <c r="BJ38" s="144">
        <f t="shared" si="101"/>
        <v>130.91425238247135</v>
      </c>
      <c r="BK38">
        <f t="shared" si="158"/>
        <v>1.7041972834558854</v>
      </c>
      <c r="BL38" s="144">
        <f t="shared" si="102"/>
        <v>1704.1972834558853</v>
      </c>
      <c r="BM38" s="150">
        <f t="shared" si="159"/>
        <v>0.36609375</v>
      </c>
      <c r="BN38" s="150">
        <f t="shared" si="160"/>
        <v>0.11715</v>
      </c>
      <c r="BO38" s="456"/>
      <c r="BQ38" s="144">
        <f t="shared" si="103"/>
        <v>483.24374999999998</v>
      </c>
      <c r="BR38" s="456">
        <f t="shared" si="39"/>
        <v>3.4064767371829188E-2</v>
      </c>
      <c r="BS38" s="456">
        <f t="shared" si="104"/>
        <v>1.5944301330787603E-2</v>
      </c>
      <c r="BT38" s="456">
        <f t="shared" si="161"/>
        <v>2.1643109734545154E-3</v>
      </c>
      <c r="BU38" s="456">
        <f t="shared" si="41"/>
        <v>25.805608553087346</v>
      </c>
      <c r="BV38" s="456">
        <f t="shared" si="162"/>
        <v>25.97873541800309</v>
      </c>
      <c r="BW38" s="538">
        <f t="shared" si="163"/>
        <v>4.0741440180578584E-2</v>
      </c>
      <c r="BX38" s="144">
        <f t="shared" si="105"/>
        <v>26019.476858183669</v>
      </c>
      <c r="BY38" s="150">
        <f t="shared" si="106"/>
        <v>28.206917891639556</v>
      </c>
      <c r="BZ38" s="5">
        <f t="shared" si="107"/>
        <v>30.03</v>
      </c>
      <c r="CA38" s="150">
        <f t="shared" si="108"/>
        <v>0.51565228874021651</v>
      </c>
      <c r="CB38" s="5">
        <f t="shared" si="109"/>
        <v>51.565228874021649</v>
      </c>
      <c r="CC38">
        <f t="shared" ref="CC38:CC69" si="173">F38/Iout*100</f>
        <v>33</v>
      </c>
      <c r="CE38" s="59">
        <f t="shared" si="164"/>
        <v>-50</v>
      </c>
      <c r="CF38">
        <f t="shared" si="165"/>
        <v>-50</v>
      </c>
      <c r="CG38" s="150">
        <f t="shared" si="166"/>
        <v>0.51486600941425553</v>
      </c>
      <c r="CH38" s="150">
        <f t="shared" si="167"/>
        <v>0.13951691589542778</v>
      </c>
      <c r="CI38" s="147">
        <v>33</v>
      </c>
      <c r="CJ38" s="188">
        <f t="shared" si="133"/>
        <v>0.16500000000000001</v>
      </c>
      <c r="CK38" s="188">
        <f t="shared" si="111"/>
        <v>0.16500000000000001</v>
      </c>
      <c r="CL38" s="188">
        <f t="shared" si="48"/>
        <v>28.05</v>
      </c>
      <c r="CM38" s="188">
        <f t="shared" si="134"/>
        <v>1.98</v>
      </c>
      <c r="CN38" s="465">
        <f t="shared" si="112"/>
        <v>12</v>
      </c>
      <c r="CO38" s="379">
        <f t="shared" si="168"/>
        <v>8.625</v>
      </c>
      <c r="CP38" s="379">
        <f t="shared" si="169"/>
        <v>20.625</v>
      </c>
      <c r="CQ38" s="379"/>
      <c r="CR38" s="188">
        <f t="shared" si="113"/>
        <v>0.4156318480642805</v>
      </c>
      <c r="CS38" s="149">
        <f t="shared" si="114"/>
        <v>155.29102015588504</v>
      </c>
      <c r="CT38" s="149">
        <f t="shared" si="51"/>
        <v>10.961719069827179</v>
      </c>
      <c r="CU38" s="188">
        <f t="shared" si="52"/>
        <v>0.91347658915226493</v>
      </c>
      <c r="CV38" s="188">
        <f t="shared" si="53"/>
        <v>12.940918346323754</v>
      </c>
      <c r="CW38" s="379">
        <f t="shared" si="54"/>
        <v>170</v>
      </c>
      <c r="CX38" s="188">
        <f t="shared" si="55"/>
        <v>12.041906854130053</v>
      </c>
      <c r="CY38" s="188">
        <f t="shared" si="56"/>
        <v>1.5052383567662568</v>
      </c>
      <c r="CZ38" s="188">
        <f t="shared" si="57"/>
        <v>2.0942446702834876</v>
      </c>
      <c r="DA38" s="172">
        <f t="shared" si="58"/>
        <v>250.90909090909091</v>
      </c>
      <c r="DB38" s="379">
        <f t="shared" si="115"/>
        <v>277.81767339506894</v>
      </c>
      <c r="DD38" s="188">
        <f t="shared" si="59"/>
        <v>13.333333333333332</v>
      </c>
      <c r="DE38" s="150">
        <f t="shared" si="60"/>
        <v>2.318840579710145</v>
      </c>
      <c r="DF38" s="150">
        <f t="shared" si="61"/>
        <v>0.18115218115218115</v>
      </c>
      <c r="DG38" s="150"/>
      <c r="DH38" s="150">
        <f t="shared" si="62"/>
        <v>2.3188405797101455</v>
      </c>
      <c r="DI38" s="314">
        <f t="shared" si="63"/>
        <v>228.53713235294114</v>
      </c>
      <c r="DJ38" s="456">
        <f t="shared" si="64"/>
        <v>0.18115218115218121</v>
      </c>
      <c r="DL38" s="150">
        <f t="shared" si="65"/>
        <v>10.69579356569675</v>
      </c>
      <c r="DM38" s="150">
        <f t="shared" si="66"/>
        <v>13.333333333333334</v>
      </c>
      <c r="DN38" s="150">
        <f t="shared" si="67"/>
        <v>1.1305926470588235</v>
      </c>
      <c r="DP38" s="314">
        <f t="shared" si="68"/>
        <v>165</v>
      </c>
      <c r="DQ38" s="144">
        <f t="shared" si="69"/>
        <v>228.53713235294114</v>
      </c>
      <c r="DS38">
        <f t="shared" si="116"/>
        <v>165</v>
      </c>
      <c r="DT38" s="144">
        <f t="shared" si="70"/>
        <v>228.53713235294114</v>
      </c>
      <c r="DU38" s="144"/>
      <c r="DV38" s="5">
        <f t="shared" si="117"/>
        <v>4.3756565495695936</v>
      </c>
      <c r="DW38" s="5">
        <f t="shared" si="71"/>
        <v>1.666666666666667</v>
      </c>
      <c r="DX38" s="5">
        <f t="shared" si="118"/>
        <v>2.7089898829029266</v>
      </c>
      <c r="DY38" s="150">
        <f t="shared" si="119"/>
        <v>0.38089522058823533</v>
      </c>
      <c r="EA38" s="5">
        <f t="shared" si="72"/>
        <v>0.16176470588235298</v>
      </c>
      <c r="EB38" s="5">
        <f t="shared" si="73"/>
        <v>2.291666666666667</v>
      </c>
      <c r="EC38" s="5">
        <f t="shared" si="74"/>
        <v>10.553773085475983</v>
      </c>
      <c r="ED38" s="5"/>
      <c r="EE38" s="150">
        <f t="shared" si="120"/>
        <v>4.7509544964618406</v>
      </c>
      <c r="EF38" s="150">
        <f t="shared" si="75"/>
        <v>0.28288357075687265</v>
      </c>
      <c r="EG38" s="150">
        <f t="shared" si="76"/>
        <v>0.26910339681375295</v>
      </c>
      <c r="EH38" s="150"/>
      <c r="EI38" s="456">
        <f t="shared" si="77"/>
        <v>7.6743333333333344E-2</v>
      </c>
      <c r="EJ38" s="456">
        <f t="shared" si="78"/>
        <v>1.9105704264705878</v>
      </c>
      <c r="EK38" s="456">
        <f t="shared" si="79"/>
        <v>5.2335003308823527E-2</v>
      </c>
      <c r="EL38" s="456">
        <f t="shared" si="80"/>
        <v>6.659402419361786E-2</v>
      </c>
      <c r="EM38">
        <f t="shared" si="81"/>
        <v>5.4000000000000003E-3</v>
      </c>
      <c r="EN38" s="144">
        <f t="shared" si="121"/>
        <v>57.735003308823529</v>
      </c>
      <c r="EO38">
        <f t="shared" si="82"/>
        <v>2.171967613923651</v>
      </c>
      <c r="EP38" s="144">
        <f t="shared" si="122"/>
        <v>2171.9676139236508</v>
      </c>
      <c r="EQ38" s="150">
        <f t="shared" si="83"/>
        <v>0.36609375</v>
      </c>
      <c r="ER38" s="150">
        <f t="shared" si="170"/>
        <v>0.11715</v>
      </c>
      <c r="ES38" s="456"/>
      <c r="EU38" s="144">
        <f t="shared" si="123"/>
        <v>483.24374999999998</v>
      </c>
      <c r="EV38" s="456">
        <f t="shared" si="85"/>
        <v>3.3857352941176477E-2</v>
      </c>
      <c r="EW38" s="456">
        <f t="shared" si="124"/>
        <v>1.6004622920831716E-2</v>
      </c>
      <c r="EX38" s="456">
        <f t="shared" si="86"/>
        <v>2.1724991453010052E-3</v>
      </c>
      <c r="EY38" s="456">
        <f t="shared" si="87"/>
        <v>25.627649750057333</v>
      </c>
      <c r="EZ38" s="456">
        <f t="shared" si="88"/>
        <v>25.799569864933293</v>
      </c>
      <c r="FA38" s="538">
        <f t="shared" si="89"/>
        <v>4.0628823529411773E-2</v>
      </c>
      <c r="FB38" s="144">
        <f t="shared" si="125"/>
        <v>25840.198688462708</v>
      </c>
      <c r="FC38" s="150">
        <f t="shared" si="126"/>
        <v>28.495410052386358</v>
      </c>
      <c r="FD38" s="5">
        <f t="shared" si="127"/>
        <v>30.03</v>
      </c>
      <c r="FE38" s="150">
        <f t="shared" si="128"/>
        <v>0.5131104587412546</v>
      </c>
      <c r="FF38" s="5">
        <f t="shared" si="129"/>
        <v>51.311045874125462</v>
      </c>
      <c r="FG38">
        <f t="shared" si="130"/>
        <v>33</v>
      </c>
      <c r="FI38" s="59">
        <f t="shared" si="90"/>
        <v>-50</v>
      </c>
      <c r="FJ38">
        <f t="shared" si="91"/>
        <v>-50</v>
      </c>
      <c r="FL38">
        <f t="shared" si="92"/>
        <v>0.51486600941425542</v>
      </c>
    </row>
    <row r="39" spans="5:168">
      <c r="E39" s="147">
        <v>34</v>
      </c>
      <c r="F39" s="188">
        <f t="shared" si="131"/>
        <v>0.17</v>
      </c>
      <c r="G39" s="188">
        <f t="shared" si="171"/>
        <v>0.17</v>
      </c>
      <c r="H39" s="188">
        <f t="shared" si="135"/>
        <v>28.900000000000002</v>
      </c>
      <c r="I39" s="188">
        <f t="shared" si="132"/>
        <v>2.04</v>
      </c>
      <c r="J39" s="465">
        <f t="shared" si="136"/>
        <v>11.959993660274005</v>
      </c>
      <c r="K39" s="379">
        <f t="shared" si="137"/>
        <v>8.6489071312417067</v>
      </c>
      <c r="L39" s="149">
        <f t="shared" si="138"/>
        <v>20.608900791515712</v>
      </c>
      <c r="M39" s="379"/>
      <c r="N39" s="188">
        <f t="shared" si="139"/>
        <v>0.41966853151150574</v>
      </c>
      <c r="O39" s="149">
        <f t="shared" si="172"/>
        <v>156.27648460988988</v>
      </c>
      <c r="P39" s="149">
        <f t="shared" si="140"/>
        <v>11.031281266580462</v>
      </c>
      <c r="Q39" s="188">
        <f t="shared" si="6"/>
        <v>0.91927343888170521</v>
      </c>
      <c r="R39" s="188">
        <f t="shared" si="141"/>
        <v>13.02304038415749</v>
      </c>
      <c r="S39" s="379">
        <f t="shared" si="142"/>
        <v>170</v>
      </c>
      <c r="T39" s="188">
        <f t="shared" si="143"/>
        <v>12.328576954339416</v>
      </c>
      <c r="U39" s="188">
        <f t="shared" si="10"/>
        <v>1.5462270262679596</v>
      </c>
      <c r="V39" s="188">
        <f t="shared" si="11"/>
        <v>2.1381736618154834</v>
      </c>
      <c r="W39" s="172">
        <f t="shared" si="12"/>
        <v>250.96164881470551</v>
      </c>
      <c r="X39" s="379">
        <f t="shared" si="95"/>
        <v>257.43997087318979</v>
      </c>
      <c r="Z39" s="188">
        <f t="shared" si="13"/>
        <v>13.333333333333332</v>
      </c>
      <c r="AA39" s="150">
        <f t="shared" si="14"/>
        <v>2.3124308882628317</v>
      </c>
      <c r="AB39" s="150">
        <f t="shared" si="144"/>
        <v>0.1806892850605202</v>
      </c>
      <c r="AC39" s="150"/>
      <c r="AD39" s="150">
        <f t="shared" si="16"/>
        <v>2.3124308882628322</v>
      </c>
      <c r="AE39" s="314">
        <f t="shared" si="145"/>
        <v>236.11516468289861</v>
      </c>
      <c r="AF39" s="456">
        <f t="shared" si="146"/>
        <v>0.18068928506052023</v>
      </c>
      <c r="AH39" s="150">
        <f t="shared" si="147"/>
        <v>10.85664159243855</v>
      </c>
      <c r="AI39" s="150">
        <f t="shared" si="148"/>
        <v>13.333333333333334</v>
      </c>
      <c r="AJ39" s="150">
        <f t="shared" si="149"/>
        <v>1.1349229512473706</v>
      </c>
      <c r="AL39" s="314">
        <f t="shared" si="150"/>
        <v>170</v>
      </c>
      <c r="AM39" s="144">
        <f t="shared" si="151"/>
        <v>236.11516468289861</v>
      </c>
      <c r="AO39">
        <f t="shared" si="96"/>
        <v>170</v>
      </c>
      <c r="AP39" s="144">
        <f t="shared" si="24"/>
        <v>236.11516468289861</v>
      </c>
      <c r="AQ39" s="144"/>
      <c r="AR39" s="5">
        <f t="shared" si="97"/>
        <v>4.2352214070747838</v>
      </c>
      <c r="AS39" s="5">
        <f t="shared" si="25"/>
        <v>1.6722416890931528</v>
      </c>
      <c r="AT39" s="5">
        <f t="shared" si="98"/>
        <v>2.5629797179816309</v>
      </c>
      <c r="AU39" s="150">
        <f t="shared" si="99"/>
        <v>0.39484162180983828</v>
      </c>
      <c r="AW39" s="5">
        <f t="shared" si="152"/>
        <v>0.1672241689093153</v>
      </c>
      <c r="AX39" s="5">
        <f t="shared" si="153"/>
        <v>2.3690090595486333</v>
      </c>
      <c r="AY39" s="5">
        <f t="shared" si="28"/>
        <v>10.321927691274402</v>
      </c>
      <c r="AZ39" s="5"/>
      <c r="BA39" s="150">
        <f t="shared" si="100"/>
        <v>4.8371501975001356</v>
      </c>
      <c r="BB39" s="150">
        <f t="shared" si="154"/>
        <v>0.27967920221598885</v>
      </c>
      <c r="BC39" s="150">
        <f t="shared" si="155"/>
        <v>0.26605512343157028</v>
      </c>
      <c r="BD39" s="150"/>
      <c r="BE39" s="456">
        <f t="shared" si="31"/>
        <v>7.955327491279704E-2</v>
      </c>
      <c r="BF39" s="456">
        <f t="shared" si="156"/>
        <v>1.5538996320469056</v>
      </c>
      <c r="BG39" s="456">
        <f t="shared" si="157"/>
        <v>0.12933626296975254</v>
      </c>
      <c r="BH39" s="456">
        <f t="shared" si="34"/>
        <v>6.8694838933486851E-2</v>
      </c>
      <c r="BI39">
        <f t="shared" si="35"/>
        <v>5.3819971471233017E-3</v>
      </c>
      <c r="BJ39" s="144">
        <f t="shared" si="101"/>
        <v>134.71826011687585</v>
      </c>
      <c r="BK39">
        <f t="shared" si="158"/>
        <v>1.7568345678603896</v>
      </c>
      <c r="BL39" s="144">
        <f t="shared" si="102"/>
        <v>1756.8345678603896</v>
      </c>
      <c r="BM39" s="150">
        <f t="shared" si="159"/>
        <v>0.37718750000000001</v>
      </c>
      <c r="BN39" s="150">
        <f t="shared" si="160"/>
        <v>0.1207</v>
      </c>
      <c r="BO39" s="456"/>
      <c r="BQ39" s="144">
        <f t="shared" si="103"/>
        <v>497.88750000000005</v>
      </c>
      <c r="BR39" s="456">
        <f t="shared" si="39"/>
        <v>3.5097033049763401E-2</v>
      </c>
      <c r="BS39" s="456">
        <f t="shared" si="104"/>
        <v>1.56440912304344E-2</v>
      </c>
      <c r="BT39" s="456">
        <f t="shared" si="161"/>
        <v>2.1235598611256431E-3</v>
      </c>
      <c r="BU39" s="456">
        <f t="shared" si="41"/>
        <v>27.80523359957165</v>
      </c>
      <c r="BV39" s="456">
        <f t="shared" si="162"/>
        <v>27.989156842776922</v>
      </c>
      <c r="BW39" s="538">
        <f t="shared" si="163"/>
        <v>4.1976029276959759E-2</v>
      </c>
      <c r="BX39" s="144">
        <f t="shared" si="105"/>
        <v>28031.13287205388</v>
      </c>
      <c r="BY39" s="150">
        <f t="shared" si="106"/>
        <v>30.28585493991427</v>
      </c>
      <c r="BZ39" s="5">
        <f t="shared" si="107"/>
        <v>30.94</v>
      </c>
      <c r="CA39" s="150">
        <f t="shared" si="108"/>
        <v>0.50534206554345129</v>
      </c>
      <c r="CB39" s="5">
        <f t="shared" si="109"/>
        <v>50.534206554345133</v>
      </c>
      <c r="CC39">
        <f t="shared" si="173"/>
        <v>34</v>
      </c>
      <c r="CE39" s="59">
        <f t="shared" si="164"/>
        <v>-50</v>
      </c>
      <c r="CF39">
        <f t="shared" si="165"/>
        <v>-50</v>
      </c>
      <c r="CG39" s="150">
        <f t="shared" si="166"/>
        <v>0.53046800969953589</v>
      </c>
      <c r="CH39" s="150">
        <f t="shared" si="167"/>
        <v>0.14374470122559221</v>
      </c>
      <c r="CI39" s="147">
        <v>34</v>
      </c>
      <c r="CJ39" s="188">
        <f t="shared" si="133"/>
        <v>0.17</v>
      </c>
      <c r="CK39" s="188">
        <f t="shared" si="111"/>
        <v>0.17</v>
      </c>
      <c r="CL39" s="188">
        <f t="shared" si="48"/>
        <v>28.900000000000002</v>
      </c>
      <c r="CM39" s="188">
        <f t="shared" si="134"/>
        <v>2.04</v>
      </c>
      <c r="CN39" s="465">
        <f t="shared" si="112"/>
        <v>12</v>
      </c>
      <c r="CO39" s="379">
        <f t="shared" si="168"/>
        <v>8.625</v>
      </c>
      <c r="CP39" s="379">
        <f t="shared" si="169"/>
        <v>20.625</v>
      </c>
      <c r="CQ39" s="379"/>
      <c r="CR39" s="188">
        <f t="shared" si="113"/>
        <v>0.4156318480642805</v>
      </c>
      <c r="CS39" s="149">
        <f t="shared" si="114"/>
        <v>155.29102015588504</v>
      </c>
      <c r="CT39" s="149">
        <f t="shared" si="51"/>
        <v>10.961719069827179</v>
      </c>
      <c r="CU39" s="188">
        <f t="shared" si="52"/>
        <v>0.91347658915226493</v>
      </c>
      <c r="CV39" s="188">
        <f t="shared" si="53"/>
        <v>12.940918346323754</v>
      </c>
      <c r="CW39" s="379">
        <f t="shared" si="54"/>
        <v>170</v>
      </c>
      <c r="CX39" s="188">
        <f t="shared" si="55"/>
        <v>12.406813122437024</v>
      </c>
      <c r="CY39" s="188">
        <f t="shared" si="56"/>
        <v>1.5508516403046282</v>
      </c>
      <c r="CZ39" s="188">
        <f t="shared" si="57"/>
        <v>2.1577066299890477</v>
      </c>
      <c r="DA39" s="172">
        <f t="shared" si="58"/>
        <v>250.90909090909091</v>
      </c>
      <c r="DB39" s="379">
        <f t="shared" si="115"/>
        <v>269.64656535403753</v>
      </c>
      <c r="DD39" s="188">
        <f t="shared" si="59"/>
        <v>13.333333333333332</v>
      </c>
      <c r="DE39" s="150">
        <f t="shared" si="60"/>
        <v>2.318840579710145</v>
      </c>
      <c r="DF39" s="150">
        <f t="shared" si="61"/>
        <v>0.18115218115218115</v>
      </c>
      <c r="DG39" s="150"/>
      <c r="DH39" s="150">
        <f t="shared" si="62"/>
        <v>2.3188405797101455</v>
      </c>
      <c r="DI39" s="314">
        <f t="shared" si="63"/>
        <v>235.46249999999995</v>
      </c>
      <c r="DJ39" s="456">
        <f t="shared" si="64"/>
        <v>0.18115218115218121</v>
      </c>
      <c r="DL39" s="150">
        <f t="shared" si="65"/>
        <v>10.85664159243855</v>
      </c>
      <c r="DM39" s="150">
        <f t="shared" si="66"/>
        <v>13.333333333333334</v>
      </c>
      <c r="DN39" s="150">
        <f t="shared" si="67"/>
        <v>1.1345499999999999</v>
      </c>
      <c r="DP39" s="314">
        <f t="shared" si="68"/>
        <v>170</v>
      </c>
      <c r="DQ39" s="144">
        <f t="shared" si="69"/>
        <v>235.46249999999995</v>
      </c>
      <c r="DS39">
        <f t="shared" si="116"/>
        <v>170</v>
      </c>
      <c r="DT39" s="144">
        <f t="shared" si="70"/>
        <v>235.46249999999995</v>
      </c>
      <c r="DU39" s="144"/>
      <c r="DV39" s="5">
        <f t="shared" si="117"/>
        <v>4.2469607686998998</v>
      </c>
      <c r="DW39" s="5">
        <f t="shared" si="71"/>
        <v>1.666666666666667</v>
      </c>
      <c r="DX39" s="5">
        <f t="shared" si="118"/>
        <v>2.5802941020332328</v>
      </c>
      <c r="DY39" s="150">
        <f t="shared" si="119"/>
        <v>0.39243749999999999</v>
      </c>
      <c r="EA39" s="5">
        <f t="shared" si="72"/>
        <v>0.16666666666666669</v>
      </c>
      <c r="EB39" s="5">
        <f t="shared" si="73"/>
        <v>2.3611111111111116</v>
      </c>
      <c r="EC39" s="5">
        <f t="shared" si="74"/>
        <v>10.357013826216726</v>
      </c>
      <c r="ED39" s="5"/>
      <c r="EE39" s="150">
        <f t="shared" si="120"/>
        <v>4.8224014303618024</v>
      </c>
      <c r="EF39" s="150">
        <f t="shared" si="75"/>
        <v>0.28023419444680148</v>
      </c>
      <c r="EG39" s="150">
        <f t="shared" si="76"/>
        <v>0.26658308019525689</v>
      </c>
      <c r="EH39" s="150"/>
      <c r="EI39" s="456">
        <f t="shared" si="77"/>
        <v>7.9068888888888883E-2</v>
      </c>
      <c r="EJ39" s="456">
        <f t="shared" si="78"/>
        <v>1.9684664999999997</v>
      </c>
      <c r="EK39" s="456">
        <f t="shared" si="79"/>
        <v>5.3920912499999994E-2</v>
      </c>
      <c r="EL39" s="456">
        <f t="shared" si="80"/>
        <v>6.8612024926757789E-2</v>
      </c>
      <c r="EM39">
        <f t="shared" si="81"/>
        <v>5.4000000000000003E-3</v>
      </c>
      <c r="EN39" s="144">
        <f t="shared" si="121"/>
        <v>59.320912499999999</v>
      </c>
      <c r="EO39">
        <f t="shared" si="82"/>
        <v>2.2388782118621551</v>
      </c>
      <c r="EP39" s="144">
        <f t="shared" si="122"/>
        <v>2238.8782118621552</v>
      </c>
      <c r="EQ39" s="150">
        <f t="shared" si="83"/>
        <v>0.37718750000000001</v>
      </c>
      <c r="ER39" s="150">
        <f t="shared" si="170"/>
        <v>0.1207</v>
      </c>
      <c r="ES39" s="456"/>
      <c r="EU39" s="144">
        <f t="shared" si="123"/>
        <v>497.88750000000005</v>
      </c>
      <c r="EV39" s="456">
        <f t="shared" si="85"/>
        <v>3.4883333333333336E-2</v>
      </c>
      <c r="EW39" s="456">
        <f t="shared" si="124"/>
        <v>1.570624074744955E-2</v>
      </c>
      <c r="EX39" s="456">
        <f t="shared" si="86"/>
        <v>2.1319961593917231E-3</v>
      </c>
      <c r="EY39" s="456">
        <f t="shared" si="87"/>
        <v>27.613485124461231</v>
      </c>
      <c r="EZ39" s="456">
        <f t="shared" si="88"/>
        <v>27.79609617852535</v>
      </c>
      <c r="FA39" s="538">
        <f t="shared" si="89"/>
        <v>4.1860000000000001E-2</v>
      </c>
      <c r="FB39" s="144">
        <f t="shared" si="125"/>
        <v>27837.95617852535</v>
      </c>
      <c r="FC39" s="150">
        <f t="shared" si="126"/>
        <v>30.574721890387504</v>
      </c>
      <c r="FD39" s="5">
        <f t="shared" si="127"/>
        <v>30.94</v>
      </c>
      <c r="FE39" s="150">
        <f t="shared" si="128"/>
        <v>0.50296903000117099</v>
      </c>
      <c r="FF39" s="5">
        <f t="shared" si="129"/>
        <v>50.296903000117098</v>
      </c>
      <c r="FG39">
        <f t="shared" si="130"/>
        <v>34</v>
      </c>
      <c r="FI39" s="59">
        <f t="shared" si="90"/>
        <v>-50</v>
      </c>
      <c r="FJ39">
        <f t="shared" si="91"/>
        <v>-50</v>
      </c>
      <c r="FL39">
        <f t="shared" si="92"/>
        <v>0.53046800969953589</v>
      </c>
    </row>
    <row r="40" spans="5:168">
      <c r="E40" s="147">
        <v>35</v>
      </c>
      <c r="F40" s="188">
        <f t="shared" ref="F40:F71" si="174">IF(PLOT_TYPE=1, E40/100*Iout_max, min_I*EXP(O40*rr/100))</f>
        <v>0.17499999999999999</v>
      </c>
      <c r="G40" s="188">
        <f t="shared" si="171"/>
        <v>0.17499999999999999</v>
      </c>
      <c r="H40" s="188">
        <f t="shared" si="135"/>
        <v>29.749999999999996</v>
      </c>
      <c r="I40" s="188">
        <f t="shared" ref="I40:I71" si="175">Vout2*G40</f>
        <v>2.0999999999999996</v>
      </c>
      <c r="J40" s="465">
        <f t="shared" si="136"/>
        <v>11.959993660274005</v>
      </c>
      <c r="K40" s="379">
        <f t="shared" si="137"/>
        <v>8.6489071312417067</v>
      </c>
      <c r="L40" s="149">
        <f t="shared" si="138"/>
        <v>20.608900791515712</v>
      </c>
      <c r="M40" s="379"/>
      <c r="N40" s="188">
        <f t="shared" si="139"/>
        <v>0.41966853151150574</v>
      </c>
      <c r="O40" s="149">
        <f t="shared" si="172"/>
        <v>156.27648460988988</v>
      </c>
      <c r="P40" s="149">
        <f t="shared" si="140"/>
        <v>11.031281266580462</v>
      </c>
      <c r="Q40" s="188">
        <f t="shared" si="6"/>
        <v>0.91927343888170521</v>
      </c>
      <c r="R40" s="188">
        <f t="shared" si="141"/>
        <v>13.02304038415749</v>
      </c>
      <c r="S40" s="379">
        <f t="shared" si="142"/>
        <v>170</v>
      </c>
      <c r="T40" s="188">
        <f t="shared" si="143"/>
        <v>12.691182158878808</v>
      </c>
      <c r="U40" s="188">
        <f t="shared" si="10"/>
        <v>1.5917042917464286</v>
      </c>
      <c r="V40" s="188">
        <f t="shared" si="11"/>
        <v>2.2010611224571144</v>
      </c>
      <c r="W40" s="172">
        <f t="shared" si="12"/>
        <v>250.96164881470551</v>
      </c>
      <c r="X40" s="379">
        <f t="shared" si="95"/>
        <v>250.45298089456503</v>
      </c>
      <c r="Z40" s="188">
        <f t="shared" si="13"/>
        <v>13.333333333333332</v>
      </c>
      <c r="AA40" s="150">
        <f t="shared" si="14"/>
        <v>2.3124308882628317</v>
      </c>
      <c r="AB40" s="150">
        <f t="shared" si="144"/>
        <v>0.1806892850605202</v>
      </c>
      <c r="AC40" s="150"/>
      <c r="AD40" s="150">
        <f t="shared" si="16"/>
        <v>2.3124308882628322</v>
      </c>
      <c r="AE40" s="314">
        <f t="shared" si="145"/>
        <v>243.0597283500426</v>
      </c>
      <c r="AF40" s="456">
        <f t="shared" si="146"/>
        <v>0.18068928506052023</v>
      </c>
      <c r="AH40" s="150">
        <f t="shared" si="147"/>
        <v>11.015141094572202</v>
      </c>
      <c r="AI40" s="150">
        <f t="shared" si="148"/>
        <v>13.333333333333334</v>
      </c>
      <c r="AJ40" s="150">
        <f t="shared" si="149"/>
        <v>1.1388912733428815</v>
      </c>
      <c r="AL40" s="314">
        <f t="shared" si="150"/>
        <v>175</v>
      </c>
      <c r="AM40" s="144">
        <f t="shared" si="151"/>
        <v>243.0597283500426</v>
      </c>
      <c r="AO40">
        <f t="shared" si="96"/>
        <v>175</v>
      </c>
      <c r="AP40" s="144">
        <f t="shared" si="24"/>
        <v>243.0597283500426</v>
      </c>
      <c r="AQ40" s="144"/>
      <c r="AR40" s="5">
        <f t="shared" si="97"/>
        <v>4.1142150811583624</v>
      </c>
      <c r="AS40" s="5">
        <f t="shared" si="25"/>
        <v>1.6722416890931528</v>
      </c>
      <c r="AT40" s="5">
        <f t="shared" si="98"/>
        <v>2.4419733920652096</v>
      </c>
      <c r="AU40" s="150">
        <f t="shared" si="99"/>
        <v>0.40645461068659811</v>
      </c>
      <c r="AW40" s="5">
        <f t="shared" si="152"/>
        <v>0.17214252681841277</v>
      </c>
      <c r="AX40" s="5">
        <f t="shared" si="153"/>
        <v>2.4386857965941813</v>
      </c>
      <c r="AY40" s="5">
        <f t="shared" si="28"/>
        <v>10.123849905713575</v>
      </c>
      <c r="AZ40" s="5"/>
      <c r="BA40" s="150">
        <f t="shared" si="100"/>
        <v>4.9077692643194233</v>
      </c>
      <c r="BB40" s="150">
        <f t="shared" si="154"/>
        <v>0.27698268113801988</v>
      </c>
      <c r="BC40" s="150">
        <f t="shared" si="155"/>
        <v>0.26348995861934787</v>
      </c>
      <c r="BD40" s="150"/>
      <c r="BE40" s="456">
        <f t="shared" si="31"/>
        <v>8.1893077116114599E-2</v>
      </c>
      <c r="BF40" s="456">
        <f t="shared" si="156"/>
        <v>1.599602562401226</v>
      </c>
      <c r="BG40" s="456">
        <f t="shared" si="157"/>
        <v>0.13314027070415696</v>
      </c>
      <c r="BH40" s="456">
        <f t="shared" si="34"/>
        <v>7.071527537270704E-2</v>
      </c>
      <c r="BI40">
        <f t="shared" si="35"/>
        <v>5.3819971471233017E-3</v>
      </c>
      <c r="BJ40" s="144">
        <f t="shared" si="101"/>
        <v>138.52226785128028</v>
      </c>
      <c r="BK40">
        <f t="shared" si="158"/>
        <v>1.8095315396786908</v>
      </c>
      <c r="BL40" s="144">
        <f t="shared" si="102"/>
        <v>1809.5315396786909</v>
      </c>
      <c r="BM40" s="150">
        <f t="shared" si="159"/>
        <v>0.38828124999999997</v>
      </c>
      <c r="BN40" s="150">
        <f t="shared" si="160"/>
        <v>0.12424999999999999</v>
      </c>
      <c r="BO40" s="456"/>
      <c r="BQ40" s="144">
        <f t="shared" si="103"/>
        <v>512.53125</v>
      </c>
      <c r="BR40" s="456">
        <f t="shared" si="39"/>
        <v>3.6129298727697622E-2</v>
      </c>
      <c r="BS40" s="456">
        <f t="shared" si="104"/>
        <v>1.5343881130081199E-2</v>
      </c>
      <c r="BT40" s="456">
        <f t="shared" si="161"/>
        <v>2.0828087487967696E-3</v>
      </c>
      <c r="BU40" s="456">
        <f t="shared" si="41"/>
        <v>29.895055658734737</v>
      </c>
      <c r="BV40" s="456">
        <f t="shared" si="162"/>
        <v>30.090386717262668</v>
      </c>
      <c r="BW40" s="538">
        <f t="shared" si="163"/>
        <v>4.321061837334092E-2</v>
      </c>
      <c r="BX40" s="144">
        <f t="shared" si="105"/>
        <v>30133.597335636008</v>
      </c>
      <c r="BY40" s="150">
        <f t="shared" si="106"/>
        <v>32.455660125314701</v>
      </c>
      <c r="BZ40" s="5">
        <f t="shared" si="107"/>
        <v>31.849999999999994</v>
      </c>
      <c r="CA40" s="150">
        <f t="shared" si="108"/>
        <v>0.49529077126232413</v>
      </c>
      <c r="CB40" s="5">
        <f t="shared" si="109"/>
        <v>49.529077126232416</v>
      </c>
      <c r="CC40">
        <f t="shared" si="173"/>
        <v>35</v>
      </c>
      <c r="CE40" s="59">
        <f t="shared" si="164"/>
        <v>-50</v>
      </c>
      <c r="CF40">
        <f t="shared" si="165"/>
        <v>-50</v>
      </c>
      <c r="CG40" s="150">
        <f t="shared" si="166"/>
        <v>0.54607000998481636</v>
      </c>
      <c r="CH40" s="150">
        <f t="shared" si="167"/>
        <v>0.14797248655575668</v>
      </c>
      <c r="CI40" s="147">
        <v>35</v>
      </c>
      <c r="CJ40" s="188">
        <f t="shared" si="133"/>
        <v>0.17499999999999999</v>
      </c>
      <c r="CK40" s="188">
        <f t="shared" si="111"/>
        <v>0.17499999999999999</v>
      </c>
      <c r="CL40" s="188">
        <f t="shared" si="48"/>
        <v>29.749999999999996</v>
      </c>
      <c r="CM40" s="188">
        <f t="shared" si="134"/>
        <v>2.0999999999999996</v>
      </c>
      <c r="CN40" s="465">
        <f t="shared" si="112"/>
        <v>12</v>
      </c>
      <c r="CO40" s="379">
        <f t="shared" si="168"/>
        <v>8.625</v>
      </c>
      <c r="CP40" s="379">
        <f t="shared" si="169"/>
        <v>20.625</v>
      </c>
      <c r="CQ40" s="379"/>
      <c r="CR40" s="188">
        <f t="shared" si="113"/>
        <v>0.4156318480642805</v>
      </c>
      <c r="CS40" s="149">
        <f t="shared" si="114"/>
        <v>155.29102015588504</v>
      </c>
      <c r="CT40" s="149">
        <f t="shared" si="51"/>
        <v>10.961719069827179</v>
      </c>
      <c r="CU40" s="188">
        <f t="shared" si="52"/>
        <v>0.91347658915226493</v>
      </c>
      <c r="CV40" s="188">
        <f t="shared" si="53"/>
        <v>12.940918346323754</v>
      </c>
      <c r="CW40" s="379">
        <f t="shared" si="54"/>
        <v>170</v>
      </c>
      <c r="CX40" s="188">
        <f t="shared" si="55"/>
        <v>12.771719390743993</v>
      </c>
      <c r="CY40" s="188">
        <f t="shared" si="56"/>
        <v>1.5964649238429991</v>
      </c>
      <c r="CZ40" s="188">
        <f t="shared" si="57"/>
        <v>2.2211685896946074</v>
      </c>
      <c r="DA40" s="172">
        <f t="shared" si="58"/>
        <v>250.90909090909091</v>
      </c>
      <c r="DB40" s="379">
        <f t="shared" si="115"/>
        <v>261.94237777249367</v>
      </c>
      <c r="DD40" s="188">
        <f t="shared" si="59"/>
        <v>13.333333333333332</v>
      </c>
      <c r="DE40" s="150">
        <f t="shared" si="60"/>
        <v>2.318840579710145</v>
      </c>
      <c r="DF40" s="150">
        <f t="shared" si="61"/>
        <v>0.18115218115218115</v>
      </c>
      <c r="DG40" s="150"/>
      <c r="DH40" s="150">
        <f t="shared" si="62"/>
        <v>2.3188405797101455</v>
      </c>
      <c r="DI40" s="314">
        <f t="shared" si="63"/>
        <v>242.38786764705873</v>
      </c>
      <c r="DJ40" s="456">
        <f t="shared" si="64"/>
        <v>0.18115218115218121</v>
      </c>
      <c r="DL40" s="150">
        <f t="shared" si="65"/>
        <v>11.015141094572202</v>
      </c>
      <c r="DM40" s="150">
        <f t="shared" si="66"/>
        <v>13.333333333333334</v>
      </c>
      <c r="DN40" s="150">
        <f t="shared" si="67"/>
        <v>1.1385073529411764</v>
      </c>
      <c r="DP40" s="314">
        <f t="shared" si="68"/>
        <v>175</v>
      </c>
      <c r="DQ40" s="144">
        <f t="shared" si="69"/>
        <v>242.38786764705873</v>
      </c>
      <c r="DS40">
        <f t="shared" si="116"/>
        <v>175</v>
      </c>
      <c r="DT40" s="144">
        <f t="shared" si="70"/>
        <v>242.38786764705873</v>
      </c>
      <c r="DU40" s="144"/>
      <c r="DV40" s="5">
        <f t="shared" si="117"/>
        <v>4.1256190324513318</v>
      </c>
      <c r="DW40" s="5">
        <f t="shared" si="71"/>
        <v>1.666666666666667</v>
      </c>
      <c r="DX40" s="5">
        <f t="shared" si="118"/>
        <v>2.4589523657846648</v>
      </c>
      <c r="DY40" s="150">
        <f t="shared" si="119"/>
        <v>0.40397977941176466</v>
      </c>
      <c r="EA40" s="5">
        <f t="shared" si="72"/>
        <v>0.17156862745098039</v>
      </c>
      <c r="EB40" s="5">
        <f t="shared" si="73"/>
        <v>2.4305555555555558</v>
      </c>
      <c r="EC40" s="5">
        <f t="shared" si="74"/>
        <v>10.160254566957466</v>
      </c>
      <c r="ED40" s="5"/>
      <c r="EE40" s="150">
        <f t="shared" si="120"/>
        <v>4.8928051753222439</v>
      </c>
      <c r="EF40" s="150">
        <f t="shared" si="75"/>
        <v>0.27755953031797859</v>
      </c>
      <c r="EG40" s="150">
        <f t="shared" si="76"/>
        <v>0.26403870760947401</v>
      </c>
      <c r="EH40" s="150"/>
      <c r="EI40" s="456">
        <f t="shared" si="77"/>
        <v>8.139444444444445E-2</v>
      </c>
      <c r="EJ40" s="456">
        <f t="shared" si="78"/>
        <v>2.0263625735294108</v>
      </c>
      <c r="EK40" s="456">
        <f t="shared" si="79"/>
        <v>5.5506821691176447E-2</v>
      </c>
      <c r="EL40" s="456">
        <f t="shared" si="80"/>
        <v>7.0630025659897719E-2</v>
      </c>
      <c r="EM40">
        <f t="shared" si="81"/>
        <v>5.4000000000000003E-3</v>
      </c>
      <c r="EN40" s="144">
        <f t="shared" si="121"/>
        <v>60.906821691176447</v>
      </c>
      <c r="EO40">
        <f t="shared" si="82"/>
        <v>2.305864211181516</v>
      </c>
      <c r="EP40" s="144">
        <f t="shared" si="122"/>
        <v>2305.8642111815161</v>
      </c>
      <c r="EQ40" s="150">
        <f t="shared" si="83"/>
        <v>0.38828124999999997</v>
      </c>
      <c r="ER40" s="150">
        <f t="shared" si="170"/>
        <v>0.12424999999999999</v>
      </c>
      <c r="ES40" s="456"/>
      <c r="EU40" s="144">
        <f t="shared" si="123"/>
        <v>512.53125</v>
      </c>
      <c r="EV40" s="456">
        <f t="shared" si="85"/>
        <v>3.5909313725490201E-2</v>
      </c>
      <c r="EW40" s="456">
        <f t="shared" si="124"/>
        <v>1.5407858574067373E-2</v>
      </c>
      <c r="EX40" s="456">
        <f t="shared" si="86"/>
        <v>2.0914931734824392E-3</v>
      </c>
      <c r="EY40" s="456">
        <f t="shared" si="87"/>
        <v>29.688895501317869</v>
      </c>
      <c r="EZ40" s="456">
        <f t="shared" si="88"/>
        <v>29.882802293792931</v>
      </c>
      <c r="FA40" s="538">
        <f t="shared" si="89"/>
        <v>4.309117647058823E-2</v>
      </c>
      <c r="FB40" s="144">
        <f t="shared" si="125"/>
        <v>29925.89347026352</v>
      </c>
      <c r="FC40" s="150">
        <f t="shared" si="126"/>
        <v>32.744288931445034</v>
      </c>
      <c r="FD40" s="5">
        <f t="shared" si="127"/>
        <v>31.849999999999994</v>
      </c>
      <c r="FE40" s="150">
        <f t="shared" si="128"/>
        <v>0.49307764706262069</v>
      </c>
      <c r="FF40" s="5">
        <f t="shared" si="129"/>
        <v>49.30776470626207</v>
      </c>
      <c r="FG40">
        <f t="shared" si="130"/>
        <v>35</v>
      </c>
      <c r="FI40" s="59">
        <f t="shared" si="90"/>
        <v>-50</v>
      </c>
      <c r="FJ40">
        <f t="shared" si="91"/>
        <v>-50</v>
      </c>
      <c r="FL40">
        <f t="shared" si="92"/>
        <v>0.54607000998481625</v>
      </c>
    </row>
    <row r="41" spans="5:168">
      <c r="E41" s="147">
        <v>36</v>
      </c>
      <c r="F41" s="188">
        <f t="shared" si="174"/>
        <v>0.18</v>
      </c>
      <c r="G41" s="188">
        <f t="shared" si="171"/>
        <v>0.18</v>
      </c>
      <c r="H41" s="188">
        <f t="shared" si="135"/>
        <v>30.599999999999998</v>
      </c>
      <c r="I41" s="188">
        <f t="shared" si="175"/>
        <v>2.16</v>
      </c>
      <c r="J41" s="465">
        <f t="shared" si="136"/>
        <v>11.959993660274005</v>
      </c>
      <c r="K41" s="379">
        <f t="shared" si="137"/>
        <v>8.6489071312417067</v>
      </c>
      <c r="L41" s="149">
        <f t="shared" si="138"/>
        <v>20.608900791515712</v>
      </c>
      <c r="M41" s="379"/>
      <c r="N41" s="188">
        <f t="shared" si="139"/>
        <v>0.41966853151150574</v>
      </c>
      <c r="O41" s="149">
        <f t="shared" si="172"/>
        <v>156.27648460988988</v>
      </c>
      <c r="P41" s="149">
        <f t="shared" si="140"/>
        <v>11.031281266580462</v>
      </c>
      <c r="Q41" s="188">
        <f t="shared" si="6"/>
        <v>0.91927343888170521</v>
      </c>
      <c r="R41" s="188">
        <f t="shared" si="141"/>
        <v>13.02304038415749</v>
      </c>
      <c r="S41" s="379">
        <f t="shared" si="142"/>
        <v>170</v>
      </c>
      <c r="T41" s="188">
        <f t="shared" si="143"/>
        <v>13.053787363418204</v>
      </c>
      <c r="U41" s="188">
        <f t="shared" si="10"/>
        <v>1.6371815572248982</v>
      </c>
      <c r="V41" s="188">
        <f t="shared" si="11"/>
        <v>2.2639485830987462</v>
      </c>
      <c r="W41" s="172">
        <f t="shared" si="12"/>
        <v>250.96164881470551</v>
      </c>
      <c r="X41" s="379">
        <f t="shared" si="95"/>
        <v>243.8352273115342</v>
      </c>
      <c r="Z41" s="188">
        <f t="shared" si="13"/>
        <v>13.333333333333332</v>
      </c>
      <c r="AA41" s="150">
        <f t="shared" si="14"/>
        <v>2.3124308882628317</v>
      </c>
      <c r="AB41" s="150">
        <f t="shared" si="144"/>
        <v>0.1806892850605202</v>
      </c>
      <c r="AC41" s="150"/>
      <c r="AD41" s="150">
        <f t="shared" si="16"/>
        <v>2.3124308882628322</v>
      </c>
      <c r="AE41" s="314">
        <f t="shared" si="145"/>
        <v>250.00429201718669</v>
      </c>
      <c r="AF41" s="456">
        <f t="shared" si="146"/>
        <v>0.18068928506052023</v>
      </c>
      <c r="AH41" s="150">
        <f t="shared" si="147"/>
        <v>11.171392035015153</v>
      </c>
      <c r="AI41" s="150">
        <f t="shared" si="148"/>
        <v>13.333333333333334</v>
      </c>
      <c r="AJ41" s="150">
        <f t="shared" si="149"/>
        <v>1.1428595954383924</v>
      </c>
      <c r="AL41" s="314">
        <f t="shared" si="150"/>
        <v>180</v>
      </c>
      <c r="AM41" s="144">
        <f t="shared" si="151"/>
        <v>250.00429201718669</v>
      </c>
      <c r="AO41">
        <f t="shared" si="96"/>
        <v>180</v>
      </c>
      <c r="AP41" s="144">
        <f t="shared" si="24"/>
        <v>250.00429201718669</v>
      </c>
      <c r="AQ41" s="144"/>
      <c r="AR41" s="5">
        <f t="shared" si="97"/>
        <v>3.9999313289039629</v>
      </c>
      <c r="AS41" s="5">
        <f t="shared" si="25"/>
        <v>1.6722416890931528</v>
      </c>
      <c r="AT41" s="5">
        <f t="shared" si="98"/>
        <v>2.32768963981081</v>
      </c>
      <c r="AU41" s="150">
        <f t="shared" si="99"/>
        <v>0.41806759956335809</v>
      </c>
      <c r="AW41" s="5">
        <f t="shared" si="152"/>
        <v>0.1770608847275103</v>
      </c>
      <c r="AX41" s="5">
        <f t="shared" si="153"/>
        <v>2.5083625336397293</v>
      </c>
      <c r="AY41" s="5">
        <f t="shared" si="28"/>
        <v>9.9257721201527431</v>
      </c>
      <c r="AZ41" s="5"/>
      <c r="BA41" s="150">
        <f t="shared" si="100"/>
        <v>4.9773864899584828</v>
      </c>
      <c r="BB41" s="150">
        <f t="shared" si="154"/>
        <v>0.27425964914409107</v>
      </c>
      <c r="BC41" s="150">
        <f t="shared" si="155"/>
        <v>0.26089957432365279</v>
      </c>
      <c r="BD41" s="150"/>
      <c r="BE41" s="456">
        <f t="shared" si="31"/>
        <v>8.4232879319432158E-2</v>
      </c>
      <c r="BF41" s="456">
        <f t="shared" si="156"/>
        <v>1.6453054927555466</v>
      </c>
      <c r="BG41" s="456">
        <f t="shared" si="157"/>
        <v>0.13694427843856144</v>
      </c>
      <c r="BH41" s="456">
        <f t="shared" si="34"/>
        <v>7.2735711811927228E-2</v>
      </c>
      <c r="BI41">
        <f t="shared" si="35"/>
        <v>5.3819971471233017E-3</v>
      </c>
      <c r="BJ41" s="144">
        <f t="shared" si="101"/>
        <v>142.32627558568475</v>
      </c>
      <c r="BK41">
        <f t="shared" si="158"/>
        <v>1.8622883004911188</v>
      </c>
      <c r="BL41" s="144">
        <f t="shared" si="102"/>
        <v>1862.2883004911189</v>
      </c>
      <c r="BM41" s="150">
        <f t="shared" si="159"/>
        <v>0.39937499999999992</v>
      </c>
      <c r="BN41" s="150">
        <f t="shared" si="160"/>
        <v>0.1278</v>
      </c>
      <c r="BO41" s="456"/>
      <c r="BQ41" s="144">
        <f t="shared" si="103"/>
        <v>527.17499999999995</v>
      </c>
      <c r="BR41" s="456">
        <f t="shared" si="39"/>
        <v>3.7161564405631842E-2</v>
      </c>
      <c r="BS41" s="456">
        <f t="shared" si="104"/>
        <v>1.5043671029727987E-2</v>
      </c>
      <c r="BT41" s="456">
        <f t="shared" si="161"/>
        <v>2.0420576364678969E-3</v>
      </c>
      <c r="BU41" s="456">
        <f t="shared" si="41"/>
        <v>32.0763916378598</v>
      </c>
      <c r="BV41" s="456">
        <f t="shared" si="162"/>
        <v>32.28376282072464</v>
      </c>
      <c r="BW41" s="538">
        <f t="shared" si="163"/>
        <v>4.4445207469722088E-2</v>
      </c>
      <c r="BX41" s="144">
        <f t="shared" si="105"/>
        <v>32328.20802819436</v>
      </c>
      <c r="BY41" s="150">
        <f t="shared" si="106"/>
        <v>34.717671328685476</v>
      </c>
      <c r="BZ41" s="5">
        <f t="shared" si="107"/>
        <v>32.76</v>
      </c>
      <c r="CA41" s="150">
        <f t="shared" si="108"/>
        <v>0.48549393236208754</v>
      </c>
      <c r="CB41" s="5">
        <f t="shared" si="109"/>
        <v>48.549393236208758</v>
      </c>
      <c r="CC41">
        <f t="shared" si="173"/>
        <v>36</v>
      </c>
      <c r="CE41" s="59">
        <f t="shared" si="164"/>
        <v>-50</v>
      </c>
      <c r="CF41">
        <f t="shared" si="165"/>
        <v>-50</v>
      </c>
      <c r="CG41" s="150">
        <f t="shared" si="166"/>
        <v>0.56167201027009683</v>
      </c>
      <c r="CH41" s="150">
        <f t="shared" si="167"/>
        <v>0.15220027188592117</v>
      </c>
      <c r="CI41" s="147">
        <v>36</v>
      </c>
      <c r="CJ41" s="188">
        <f t="shared" si="133"/>
        <v>0.18</v>
      </c>
      <c r="CK41" s="188">
        <f t="shared" si="111"/>
        <v>0.18</v>
      </c>
      <c r="CL41" s="188">
        <f t="shared" si="48"/>
        <v>30.599999999999998</v>
      </c>
      <c r="CM41" s="188">
        <f t="shared" si="134"/>
        <v>2.16</v>
      </c>
      <c r="CN41" s="465">
        <f t="shared" si="112"/>
        <v>12</v>
      </c>
      <c r="CO41" s="379">
        <f t="shared" si="168"/>
        <v>8.625</v>
      </c>
      <c r="CP41" s="379">
        <f t="shared" si="169"/>
        <v>20.625</v>
      </c>
      <c r="CQ41" s="379"/>
      <c r="CR41" s="188">
        <f t="shared" si="113"/>
        <v>0.4156318480642805</v>
      </c>
      <c r="CS41" s="149">
        <f t="shared" si="114"/>
        <v>155.29102015588504</v>
      </c>
      <c r="CT41" s="149">
        <f t="shared" si="51"/>
        <v>10.961719069827179</v>
      </c>
      <c r="CU41" s="188">
        <f t="shared" si="52"/>
        <v>0.91347658915226493</v>
      </c>
      <c r="CV41" s="188">
        <f t="shared" si="53"/>
        <v>12.940918346323754</v>
      </c>
      <c r="CW41" s="379">
        <f t="shared" si="54"/>
        <v>170</v>
      </c>
      <c r="CX41" s="188">
        <f t="shared" si="55"/>
        <v>13.136625659050965</v>
      </c>
      <c r="CY41" s="188">
        <f t="shared" si="56"/>
        <v>1.6420782073813709</v>
      </c>
      <c r="CZ41" s="188">
        <f t="shared" si="57"/>
        <v>2.2846305494001684</v>
      </c>
      <c r="DA41" s="172">
        <f t="shared" si="58"/>
        <v>250.90909090909091</v>
      </c>
      <c r="DB41" s="379">
        <f t="shared" si="115"/>
        <v>254.6662006121465</v>
      </c>
      <c r="DD41" s="188">
        <f t="shared" si="59"/>
        <v>13.333333333333332</v>
      </c>
      <c r="DE41" s="150">
        <f t="shared" si="60"/>
        <v>2.318840579710145</v>
      </c>
      <c r="DF41" s="150">
        <f t="shared" si="61"/>
        <v>0.18115218115218115</v>
      </c>
      <c r="DG41" s="150"/>
      <c r="DH41" s="150">
        <f t="shared" si="62"/>
        <v>2.3188405797101455</v>
      </c>
      <c r="DI41" s="314">
        <f t="shared" si="63"/>
        <v>249.31323529411756</v>
      </c>
      <c r="DJ41" s="456">
        <f t="shared" si="64"/>
        <v>0.18115218115218121</v>
      </c>
      <c r="DL41" s="150">
        <f t="shared" si="65"/>
        <v>11.171392035015153</v>
      </c>
      <c r="DM41" s="150">
        <f t="shared" si="66"/>
        <v>13.333333333333334</v>
      </c>
      <c r="DN41" s="150">
        <f t="shared" si="67"/>
        <v>1.1424647058823529</v>
      </c>
      <c r="DP41" s="314">
        <f t="shared" si="68"/>
        <v>180</v>
      </c>
      <c r="DQ41" s="144">
        <f t="shared" si="69"/>
        <v>249.31323529411756</v>
      </c>
      <c r="DS41">
        <f t="shared" si="116"/>
        <v>180</v>
      </c>
      <c r="DT41" s="144">
        <f t="shared" si="70"/>
        <v>249.31323529411756</v>
      </c>
      <c r="DU41" s="144"/>
      <c r="DV41" s="5">
        <f t="shared" si="117"/>
        <v>4.011018503772128</v>
      </c>
      <c r="DW41" s="5">
        <f t="shared" si="71"/>
        <v>1.666666666666667</v>
      </c>
      <c r="DX41" s="5">
        <f t="shared" si="118"/>
        <v>2.344351837105461</v>
      </c>
      <c r="DY41" s="150">
        <f t="shared" si="119"/>
        <v>0.41552205882352938</v>
      </c>
      <c r="EA41" s="5">
        <f t="shared" si="72"/>
        <v>0.17647058823529416</v>
      </c>
      <c r="EB41" s="5">
        <f t="shared" si="73"/>
        <v>2.5000000000000004</v>
      </c>
      <c r="EC41" s="5">
        <f t="shared" si="74"/>
        <v>9.9634953076982082</v>
      </c>
      <c r="ED41" s="5"/>
      <c r="EE41" s="150">
        <f t="shared" si="120"/>
        <v>4.9622101337775595</v>
      </c>
      <c r="EF41" s="150">
        <f t="shared" si="75"/>
        <v>0.27485884014058198</v>
      </c>
      <c r="EG41" s="150">
        <f t="shared" si="76"/>
        <v>0.26146957678814547</v>
      </c>
      <c r="EH41" s="150"/>
      <c r="EI41" s="456">
        <f t="shared" si="77"/>
        <v>8.3719999999999989E-2</v>
      </c>
      <c r="EJ41" s="456">
        <f t="shared" si="78"/>
        <v>2.0842586470588231</v>
      </c>
      <c r="EK41" s="456">
        <f t="shared" si="79"/>
        <v>5.7092730882352921E-2</v>
      </c>
      <c r="EL41" s="456">
        <f t="shared" si="80"/>
        <v>7.2648026393037662E-2</v>
      </c>
      <c r="EM41">
        <f t="shared" si="81"/>
        <v>5.4000000000000003E-3</v>
      </c>
      <c r="EN41" s="144">
        <f t="shared" si="121"/>
        <v>62.492730882352923</v>
      </c>
      <c r="EO41">
        <f t="shared" si="82"/>
        <v>2.3729257394080232</v>
      </c>
      <c r="EP41" s="144">
        <f t="shared" si="122"/>
        <v>2372.9257394080232</v>
      </c>
      <c r="EQ41" s="150">
        <f t="shared" si="83"/>
        <v>0.39937499999999992</v>
      </c>
      <c r="ER41" s="150">
        <f t="shared" si="170"/>
        <v>0.1278</v>
      </c>
      <c r="ES41" s="456"/>
      <c r="EU41" s="144">
        <f t="shared" si="123"/>
        <v>527.17499999999995</v>
      </c>
      <c r="EV41" s="456">
        <f t="shared" si="85"/>
        <v>3.6935294117647059E-2</v>
      </c>
      <c r="EW41" s="456">
        <f t="shared" si="124"/>
        <v>1.5109476400685202E-2</v>
      </c>
      <c r="EX41" s="456">
        <f t="shared" si="86"/>
        <v>2.050990187573157E-3</v>
      </c>
      <c r="EY41" s="456">
        <f t="shared" si="87"/>
        <v>31.85518870634769</v>
      </c>
      <c r="EZ41" s="456">
        <f t="shared" si="88"/>
        <v>32.061016656425736</v>
      </c>
      <c r="FA41" s="538">
        <f t="shared" si="89"/>
        <v>4.4322352941176466E-2</v>
      </c>
      <c r="FB41" s="144">
        <f t="shared" si="125"/>
        <v>32105.339009366915</v>
      </c>
      <c r="FC41" s="150">
        <f t="shared" si="126"/>
        <v>35.00543974877494</v>
      </c>
      <c r="FD41" s="5">
        <f t="shared" si="127"/>
        <v>32.76</v>
      </c>
      <c r="FE41" s="150">
        <f t="shared" si="128"/>
        <v>0.48343226460936872</v>
      </c>
      <c r="FF41" s="5">
        <f t="shared" si="129"/>
        <v>48.343226460936876</v>
      </c>
      <c r="FG41">
        <f t="shared" si="130"/>
        <v>36</v>
      </c>
      <c r="FI41" s="59">
        <f t="shared" si="90"/>
        <v>-50</v>
      </c>
      <c r="FJ41">
        <f t="shared" si="91"/>
        <v>-50</v>
      </c>
      <c r="FL41">
        <f t="shared" si="92"/>
        <v>0.56167201027009672</v>
      </c>
    </row>
    <row r="42" spans="5:168">
      <c r="E42" s="147">
        <v>37</v>
      </c>
      <c r="F42" s="188">
        <f t="shared" si="174"/>
        <v>0.185</v>
      </c>
      <c r="G42" s="188">
        <f t="shared" si="171"/>
        <v>0.185</v>
      </c>
      <c r="H42" s="188">
        <f t="shared" si="135"/>
        <v>31.45</v>
      </c>
      <c r="I42" s="188">
        <f t="shared" si="175"/>
        <v>2.2199999999999998</v>
      </c>
      <c r="J42" s="465">
        <f t="shared" si="136"/>
        <v>11.959316804787299</v>
      </c>
      <c r="K42" s="379">
        <f t="shared" si="137"/>
        <v>8.649311608958568</v>
      </c>
      <c r="L42" s="149">
        <f t="shared" si="138"/>
        <v>20.608628413745869</v>
      </c>
      <c r="M42" s="379"/>
      <c r="N42" s="188">
        <f t="shared" si="139"/>
        <v>0.4196937047586104</v>
      </c>
      <c r="O42" s="149">
        <f t="shared" si="172"/>
        <v>156.27701391046247</v>
      </c>
      <c r="P42" s="149">
        <f t="shared" si="140"/>
        <v>11.031318628973821</v>
      </c>
      <c r="Q42" s="188">
        <f t="shared" si="6"/>
        <v>0.91927655241448514</v>
      </c>
      <c r="R42" s="188">
        <f t="shared" si="141"/>
        <v>13.023084492538539</v>
      </c>
      <c r="S42" s="379">
        <f t="shared" si="142"/>
        <v>170</v>
      </c>
      <c r="T42" s="188">
        <f t="shared" si="143"/>
        <v>13.416347127466446</v>
      </c>
      <c r="U42" s="188">
        <f t="shared" si="10"/>
        <v>1.6827483559214562</v>
      </c>
      <c r="V42" s="188">
        <f t="shared" si="11"/>
        <v>2.3267193507464334</v>
      </c>
      <c r="W42" s="172">
        <f t="shared" si="12"/>
        <v>250.96249880915445</v>
      </c>
      <c r="X42" s="379">
        <f t="shared" si="95"/>
        <v>237.55972718735387</v>
      </c>
      <c r="Z42" s="188">
        <f t="shared" si="13"/>
        <v>13.333333333333332</v>
      </c>
      <c r="AA42" s="150">
        <f t="shared" si="14"/>
        <v>2.3123227493948648</v>
      </c>
      <c r="AB42" s="150">
        <f t="shared" si="144"/>
        <v>0.18068144723633006</v>
      </c>
      <c r="AC42" s="150"/>
      <c r="AD42" s="150">
        <f t="shared" si="16"/>
        <v>2.3123227493948653</v>
      </c>
      <c r="AE42" s="314">
        <f t="shared" si="145"/>
        <v>256.96087224144259</v>
      </c>
      <c r="AF42" s="456">
        <f t="shared" si="146"/>
        <v>0.18068144723633014</v>
      </c>
      <c r="AH42" s="150">
        <f t="shared" si="147"/>
        <v>11.325487480310359</v>
      </c>
      <c r="AI42" s="150">
        <f t="shared" si="148"/>
        <v>13.416347127466446</v>
      </c>
      <c r="AJ42" s="150">
        <f t="shared" si="149"/>
        <v>1.2614916993578609</v>
      </c>
      <c r="AL42" s="314">
        <f t="shared" si="150"/>
        <v>185</v>
      </c>
      <c r="AM42" s="144">
        <f t="shared" si="151"/>
        <v>237.55972718735387</v>
      </c>
      <c r="AO42">
        <f t="shared" si="96"/>
        <v>185</v>
      </c>
      <c r="AP42" s="144">
        <f t="shared" si="24"/>
        <v>237.55972718735387</v>
      </c>
      <c r="AQ42" s="144"/>
      <c r="AR42" s="5">
        <f t="shared" si="97"/>
        <v>4.2094677066678896</v>
      </c>
      <c r="AS42" s="5">
        <f t="shared" si="25"/>
        <v>1.6827483559214562</v>
      </c>
      <c r="AT42" s="5">
        <f t="shared" si="98"/>
        <v>2.5267193507464336</v>
      </c>
      <c r="AU42" s="150">
        <f t="shared" si="99"/>
        <v>0.3997532403576694</v>
      </c>
      <c r="AW42" s="5">
        <f t="shared" si="152"/>
        <v>0.18312261520321732</v>
      </c>
      <c r="AX42" s="5">
        <f t="shared" si="153"/>
        <v>2.594237048712245</v>
      </c>
      <c r="AY42" s="5">
        <f t="shared" si="28"/>
        <v>11.074395647356358</v>
      </c>
      <c r="AZ42" s="5"/>
      <c r="BA42" s="150">
        <f t="shared" si="100"/>
        <v>4.8974459930460759</v>
      </c>
      <c r="BB42" s="150">
        <f t="shared" si="154"/>
        <v>0.28027612789426237</v>
      </c>
      <c r="BC42" s="150">
        <f t="shared" si="155"/>
        <v>0.26662297092882492</v>
      </c>
      <c r="BD42" s="150"/>
      <c r="BE42" s="456">
        <f t="shared" si="31"/>
        <v>8.1548922666330403E-2</v>
      </c>
      <c r="BF42" s="456">
        <f t="shared" si="156"/>
        <v>1.5731194865218729</v>
      </c>
      <c r="BG42" s="456">
        <f t="shared" si="157"/>
        <v>0.13012018331715225</v>
      </c>
      <c r="BH42" s="456">
        <f t="shared" si="34"/>
        <v>6.9113289936829747E-2</v>
      </c>
      <c r="BI42">
        <f t="shared" si="35"/>
        <v>5.3816925621542845E-3</v>
      </c>
      <c r="BJ42" s="144">
        <f t="shared" si="101"/>
        <v>135.50187587930654</v>
      </c>
      <c r="BK42">
        <f t="shared" si="158"/>
        <v>1.7802949458889994</v>
      </c>
      <c r="BL42" s="144">
        <f t="shared" si="102"/>
        <v>1780.2949458889993</v>
      </c>
      <c r="BM42" s="150">
        <f t="shared" si="159"/>
        <v>0.41046874999999999</v>
      </c>
      <c r="BN42" s="150">
        <f t="shared" si="160"/>
        <v>0.13134999999999999</v>
      </c>
      <c r="BO42" s="456"/>
      <c r="BQ42" s="144">
        <f t="shared" si="103"/>
        <v>541.81875000000002</v>
      </c>
      <c r="BR42" s="456">
        <f t="shared" si="39"/>
        <v>3.5977465882204594E-2</v>
      </c>
      <c r="BS42" s="456">
        <f t="shared" si="104"/>
        <v>1.5710941573480183E-2</v>
      </c>
      <c r="BT42" s="456">
        <f t="shared" si="161"/>
        <v>2.1326342588073905E-3</v>
      </c>
      <c r="BU42" s="456">
        <f t="shared" si="41"/>
        <v>28.673965945476699</v>
      </c>
      <c r="BV42" s="456">
        <f t="shared" si="162"/>
        <v>28.864987533051039</v>
      </c>
      <c r="BW42" s="538">
        <f t="shared" si="163"/>
        <v>4.2760363729493829E-2</v>
      </c>
      <c r="BX42" s="144">
        <f t="shared" si="105"/>
        <v>28907.747896780533</v>
      </c>
      <c r="BY42" s="150">
        <f t="shared" si="106"/>
        <v>31.229861592669529</v>
      </c>
      <c r="BZ42" s="5">
        <f t="shared" si="107"/>
        <v>33.67</v>
      </c>
      <c r="CA42" s="150">
        <f t="shared" si="108"/>
        <v>0.51879925740555111</v>
      </c>
      <c r="CB42" s="5">
        <f t="shared" si="109"/>
        <v>51.879925740555109</v>
      </c>
      <c r="CC42">
        <f t="shared" si="173"/>
        <v>37</v>
      </c>
      <c r="CE42" s="59">
        <f t="shared" si="164"/>
        <v>-50</v>
      </c>
      <c r="CF42">
        <f t="shared" si="165"/>
        <v>-50</v>
      </c>
      <c r="CG42" s="150">
        <f t="shared" si="166"/>
        <v>0.56766977275315578</v>
      </c>
      <c r="CH42" s="150">
        <f t="shared" si="167"/>
        <v>0.15382552837714239</v>
      </c>
      <c r="CI42" s="147">
        <v>37</v>
      </c>
      <c r="CJ42" s="188">
        <f t="shared" si="133"/>
        <v>0.185</v>
      </c>
      <c r="CK42" s="188">
        <f t="shared" si="111"/>
        <v>0.185</v>
      </c>
      <c r="CL42" s="188">
        <f t="shared" si="48"/>
        <v>31.45</v>
      </c>
      <c r="CM42" s="188">
        <f t="shared" si="134"/>
        <v>2.2199999999999998</v>
      </c>
      <c r="CN42" s="465">
        <f t="shared" si="112"/>
        <v>12</v>
      </c>
      <c r="CO42" s="379">
        <f t="shared" si="168"/>
        <v>8.625</v>
      </c>
      <c r="CP42" s="379">
        <f t="shared" si="169"/>
        <v>20.625</v>
      </c>
      <c r="CQ42" s="379"/>
      <c r="CR42" s="188">
        <f t="shared" si="113"/>
        <v>0.4156318480642805</v>
      </c>
      <c r="CS42" s="149">
        <f t="shared" si="114"/>
        <v>155.29102015588504</v>
      </c>
      <c r="CT42" s="149">
        <f t="shared" si="51"/>
        <v>10.961719069827179</v>
      </c>
      <c r="CU42" s="188">
        <f t="shared" si="52"/>
        <v>0.91347658915226493</v>
      </c>
      <c r="CV42" s="188">
        <f t="shared" si="53"/>
        <v>12.940918346323754</v>
      </c>
      <c r="CW42" s="379">
        <f t="shared" si="54"/>
        <v>170</v>
      </c>
      <c r="CX42" s="188">
        <f t="shared" si="55"/>
        <v>13.501531927357938</v>
      </c>
      <c r="CY42" s="188">
        <f t="shared" si="56"/>
        <v>1.6876914909197422</v>
      </c>
      <c r="CZ42" s="188">
        <f t="shared" si="57"/>
        <v>2.3480925091057281</v>
      </c>
      <c r="DA42" s="172">
        <f t="shared" si="58"/>
        <v>250.90909090909091</v>
      </c>
      <c r="DB42" s="379">
        <f t="shared" si="115"/>
        <v>247.78333032533178</v>
      </c>
      <c r="DD42" s="188">
        <f t="shared" si="59"/>
        <v>13.333333333333332</v>
      </c>
      <c r="DE42" s="150">
        <f t="shared" si="60"/>
        <v>2.318840579710145</v>
      </c>
      <c r="DF42" s="150">
        <f t="shared" si="61"/>
        <v>0.18115218115218115</v>
      </c>
      <c r="DG42" s="150"/>
      <c r="DH42" s="150">
        <f t="shared" si="62"/>
        <v>2.3188405797101455</v>
      </c>
      <c r="DI42" s="314">
        <f t="shared" si="63"/>
        <v>256.2386029411764</v>
      </c>
      <c r="DJ42" s="456">
        <f t="shared" si="64"/>
        <v>0.18115218115218121</v>
      </c>
      <c r="DL42" s="150">
        <f t="shared" si="65"/>
        <v>11.325487480310359</v>
      </c>
      <c r="DM42" s="150">
        <f t="shared" si="66"/>
        <v>13.501531927357938</v>
      </c>
      <c r="DN42" s="150">
        <f t="shared" si="67"/>
        <v>1.3245915511293362</v>
      </c>
      <c r="DP42" s="314">
        <f t="shared" si="68"/>
        <v>185</v>
      </c>
      <c r="DQ42" s="144">
        <f t="shared" si="69"/>
        <v>247.78333032533178</v>
      </c>
      <c r="DS42">
        <f t="shared" si="116"/>
        <v>185</v>
      </c>
      <c r="DT42" s="144">
        <f t="shared" si="70"/>
        <v>247.78333032533178</v>
      </c>
      <c r="DU42" s="144"/>
      <c r="DV42" s="5">
        <f t="shared" si="117"/>
        <v>4.0357840000254708</v>
      </c>
      <c r="DW42" s="5">
        <f t="shared" si="71"/>
        <v>1.6876914909197422</v>
      </c>
      <c r="DX42" s="5">
        <f t="shared" si="118"/>
        <v>2.3480925091057285</v>
      </c>
      <c r="DY42" s="150">
        <f t="shared" si="119"/>
        <v>0.41818181818181815</v>
      </c>
      <c r="EA42" s="5">
        <f t="shared" si="72"/>
        <v>0.1836605446000896</v>
      </c>
      <c r="EB42" s="5">
        <f t="shared" si="73"/>
        <v>2.6018577151679363</v>
      </c>
      <c r="EC42" s="5">
        <f t="shared" si="74"/>
        <v>10.25659852935766</v>
      </c>
      <c r="ED42" s="5"/>
      <c r="EE42" s="150">
        <f t="shared" si="120"/>
        <v>5.0408641520265292</v>
      </c>
      <c r="EF42" s="150">
        <f t="shared" si="75"/>
        <v>0.27769214971121103</v>
      </c>
      <c r="EG42" s="150">
        <f t="shared" si="76"/>
        <v>0.26416486668299943</v>
      </c>
      <c r="EH42" s="150"/>
      <c r="EI42" s="456">
        <f t="shared" si="77"/>
        <v>8.639505875723287E-2</v>
      </c>
      <c r="EJ42" s="456">
        <f t="shared" si="78"/>
        <v>2.0975999999999999</v>
      </c>
      <c r="EK42" s="456">
        <f t="shared" si="79"/>
        <v>5.6742382644500974E-2</v>
      </c>
      <c r="EL42" s="456">
        <f t="shared" si="80"/>
        <v>7.2202223439896906E-2</v>
      </c>
      <c r="EM42">
        <f t="shared" si="81"/>
        <v>5.4000000000000003E-3</v>
      </c>
      <c r="EN42" s="144">
        <f t="shared" si="121"/>
        <v>62.142382644500977</v>
      </c>
      <c r="EO42">
        <f t="shared" si="82"/>
        <v>2.390742210043606</v>
      </c>
      <c r="EP42" s="144">
        <f t="shared" si="122"/>
        <v>2390.7422100436061</v>
      </c>
      <c r="EQ42" s="150">
        <f t="shared" si="83"/>
        <v>0.41046874999999999</v>
      </c>
      <c r="ER42" s="150">
        <f t="shared" si="170"/>
        <v>0.13134999999999999</v>
      </c>
      <c r="ES42" s="456"/>
      <c r="EU42" s="144">
        <f t="shared" si="123"/>
        <v>541.81875000000002</v>
      </c>
      <c r="EV42" s="456">
        <f t="shared" si="85"/>
        <v>3.8115467098779207E-2</v>
      </c>
      <c r="EW42" s="456">
        <f t="shared" si="124"/>
        <v>1.5422586002246731E-2</v>
      </c>
      <c r="EX42" s="456">
        <f t="shared" si="86"/>
        <v>2.0934923036894058E-3</v>
      </c>
      <c r="EY42" s="456">
        <f t="shared" si="87"/>
        <v>32.367401730078967</v>
      </c>
      <c r="EZ42" s="456">
        <f t="shared" si="88"/>
        <v>32.581389088494831</v>
      </c>
      <c r="FA42" s="538">
        <f t="shared" si="89"/>
        <v>4.5168761356979288E-2</v>
      </c>
      <c r="FB42" s="144">
        <f t="shared" si="125"/>
        <v>32626.557849851808</v>
      </c>
      <c r="FC42" s="150">
        <f t="shared" si="126"/>
        <v>35.559118809895409</v>
      </c>
      <c r="FD42" s="5">
        <f t="shared" si="127"/>
        <v>33.67</v>
      </c>
      <c r="FE42" s="150">
        <f t="shared" si="128"/>
        <v>0.48635603888673662</v>
      </c>
      <c r="FF42" s="5">
        <f t="shared" si="129"/>
        <v>48.635603888673664</v>
      </c>
      <c r="FG42">
        <f t="shared" si="130"/>
        <v>37</v>
      </c>
      <c r="FI42" s="59">
        <f t="shared" si="90"/>
        <v>-50</v>
      </c>
      <c r="FJ42">
        <f t="shared" si="91"/>
        <v>-50</v>
      </c>
      <c r="FL42">
        <f t="shared" si="92"/>
        <v>0.56766977275315578</v>
      </c>
    </row>
    <row r="43" spans="5:168">
      <c r="E43" s="147">
        <v>38</v>
      </c>
      <c r="F43" s="188">
        <f t="shared" si="174"/>
        <v>0.19</v>
      </c>
      <c r="G43" s="188">
        <f t="shared" si="171"/>
        <v>0.19</v>
      </c>
      <c r="H43" s="188">
        <f t="shared" si="135"/>
        <v>32.299999999999997</v>
      </c>
      <c r="I43" s="188">
        <f t="shared" si="175"/>
        <v>2.2800000000000002</v>
      </c>
      <c r="J43" s="465">
        <f t="shared" si="136"/>
        <v>11.958217258970741</v>
      </c>
      <c r="K43" s="379">
        <f t="shared" si="137"/>
        <v>8.6499686794709625</v>
      </c>
      <c r="L43" s="149">
        <f t="shared" si="138"/>
        <v>20.608185938441704</v>
      </c>
      <c r="M43" s="379"/>
      <c r="N43" s="188">
        <f t="shared" si="139"/>
        <v>0.41973459989681328</v>
      </c>
      <c r="O43" s="149">
        <f t="shared" si="172"/>
        <v>156.27787202096206</v>
      </c>
      <c r="P43" s="149">
        <f t="shared" si="140"/>
        <v>11.031379201479675</v>
      </c>
      <c r="Q43" s="188">
        <f t="shared" si="6"/>
        <v>0.91928160012330629</v>
      </c>
      <c r="R43" s="188">
        <f t="shared" si="141"/>
        <v>13.023156001746839</v>
      </c>
      <c r="S43" s="379">
        <f t="shared" si="142"/>
        <v>170</v>
      </c>
      <c r="T43" s="188">
        <f t="shared" si="143"/>
        <v>13.77887544465988</v>
      </c>
      <c r="U43" s="188">
        <f t="shared" si="10"/>
        <v>1.7283774595653039</v>
      </c>
      <c r="V43" s="188">
        <f t="shared" si="11"/>
        <v>2.3894090178663987</v>
      </c>
      <c r="W43" s="172">
        <f t="shared" si="12"/>
        <v>250.9638768336626</v>
      </c>
      <c r="X43" s="379">
        <f t="shared" si="95"/>
        <v>231.60015096318938</v>
      </c>
      <c r="Z43" s="188">
        <f t="shared" si="13"/>
        <v>13.333333333333334</v>
      </c>
      <c r="AA43" s="150">
        <f t="shared" si="14"/>
        <v>2.3121471003087164</v>
      </c>
      <c r="AB43" s="150">
        <f t="shared" si="144"/>
        <v>0.18066871431784204</v>
      </c>
      <c r="AC43" s="150"/>
      <c r="AD43" s="150">
        <f t="shared" si="16"/>
        <v>2.3121471003087164</v>
      </c>
      <c r="AE43" s="314">
        <f t="shared" si="145"/>
        <v>263.92580906126983</v>
      </c>
      <c r="AF43" s="456">
        <f t="shared" si="146"/>
        <v>0.18066871431784207</v>
      </c>
      <c r="AH43" s="150">
        <f t="shared" si="147"/>
        <v>11.477514248883915</v>
      </c>
      <c r="AI43" s="150">
        <f t="shared" si="148"/>
        <v>13.77887544465988</v>
      </c>
      <c r="AJ43" s="150">
        <f t="shared" si="149"/>
        <v>1.5300311935752191</v>
      </c>
      <c r="AL43" s="314">
        <f t="shared" si="150"/>
        <v>190</v>
      </c>
      <c r="AM43" s="144">
        <f t="shared" si="151"/>
        <v>231.60015096318938</v>
      </c>
      <c r="AO43">
        <f t="shared" si="96"/>
        <v>190</v>
      </c>
      <c r="AP43" s="144">
        <f t="shared" si="24"/>
        <v>231.60015096318938</v>
      </c>
      <c r="AQ43" s="144"/>
      <c r="AR43" s="5">
        <f t="shared" si="97"/>
        <v>4.3177864774317021</v>
      </c>
      <c r="AS43" s="5">
        <f t="shared" si="25"/>
        <v>1.7283774595653039</v>
      </c>
      <c r="AT43" s="5">
        <f t="shared" si="98"/>
        <v>2.589409017866398</v>
      </c>
      <c r="AU43" s="150">
        <f t="shared" si="99"/>
        <v>0.40029248055669814</v>
      </c>
      <c r="AW43" s="5">
        <f t="shared" si="152"/>
        <v>0.19317159842200457</v>
      </c>
      <c r="AX43" s="5">
        <f t="shared" si="153"/>
        <v>2.7365976443117312</v>
      </c>
      <c r="AY43" s="5">
        <f t="shared" si="28"/>
        <v>11.656964895044823</v>
      </c>
      <c r="AZ43" s="5"/>
      <c r="BA43" s="150">
        <f t="shared" si="100"/>
        <v>5.0331730551186569</v>
      </c>
      <c r="BB43" s="150">
        <f t="shared" si="154"/>
        <v>0.28772025187840944</v>
      </c>
      <c r="BC43" s="150">
        <f t="shared" si="155"/>
        <v>0.27370446754977362</v>
      </c>
      <c r="BD43" s="150"/>
      <c r="BE43" s="456">
        <f t="shared" si="31"/>
        <v>8.6131625409426399E-2</v>
      </c>
      <c r="BF43" s="456">
        <f t="shared" si="156"/>
        <v>1.5750628722970637</v>
      </c>
      <c r="BG43" s="456">
        <f t="shared" si="157"/>
        <v>0.1268442414472134</v>
      </c>
      <c r="BH43" s="456">
        <f t="shared" si="34"/>
        <v>6.7376576163931293E-2</v>
      </c>
      <c r="BI43">
        <f t="shared" si="35"/>
        <v>5.381197766536833E-3</v>
      </c>
      <c r="BJ43" s="144">
        <f t="shared" si="101"/>
        <v>132.22543921375024</v>
      </c>
      <c r="BK43">
        <f t="shared" si="158"/>
        <v>1.7884265368180241</v>
      </c>
      <c r="BL43" s="144">
        <f t="shared" si="102"/>
        <v>1788.426536818024</v>
      </c>
      <c r="BM43" s="150">
        <f t="shared" si="159"/>
        <v>0.42156249999999995</v>
      </c>
      <c r="BN43" s="150">
        <f t="shared" si="160"/>
        <v>0.13490000000000002</v>
      </c>
      <c r="BO43" s="456"/>
      <c r="BQ43" s="144">
        <f t="shared" si="103"/>
        <v>556.46249999999998</v>
      </c>
      <c r="BR43" s="456">
        <f t="shared" si="39"/>
        <v>3.7999246504158708E-2</v>
      </c>
      <c r="BS43" s="456">
        <f t="shared" si="104"/>
        <v>1.6556588668195076E-2</v>
      </c>
      <c r="BT43" s="456">
        <f t="shared" si="161"/>
        <v>2.2474240667011525E-3</v>
      </c>
      <c r="BU43" s="456">
        <f t="shared" si="41"/>
        <v>28.764149378191117</v>
      </c>
      <c r="BV43" s="456">
        <f t="shared" si="162"/>
        <v>28.966215455302095</v>
      </c>
      <c r="BW43" s="538">
        <f t="shared" si="163"/>
        <v>4.3971004474584775E-2</v>
      </c>
      <c r="BX43" s="144">
        <f t="shared" si="105"/>
        <v>29010.18645977668</v>
      </c>
      <c r="BY43" s="150">
        <f t="shared" si="106"/>
        <v>31.355075496594704</v>
      </c>
      <c r="BZ43" s="5">
        <f t="shared" si="107"/>
        <v>34.58</v>
      </c>
      <c r="CA43" s="150">
        <f t="shared" si="108"/>
        <v>0.52445530303193366</v>
      </c>
      <c r="CB43" s="5">
        <f t="shared" si="109"/>
        <v>52.445530303193365</v>
      </c>
      <c r="CC43">
        <f t="shared" si="173"/>
        <v>38</v>
      </c>
      <c r="CE43" s="59">
        <f t="shared" si="164"/>
        <v>-50</v>
      </c>
      <c r="CF43">
        <f t="shared" si="165"/>
        <v>-50</v>
      </c>
      <c r="CG43" s="150">
        <f t="shared" si="166"/>
        <v>0.56766977275315589</v>
      </c>
      <c r="CH43" s="150">
        <f t="shared" si="167"/>
        <v>0.15382552837714242</v>
      </c>
      <c r="CI43" s="147">
        <v>38</v>
      </c>
      <c r="CJ43" s="188">
        <f t="shared" si="133"/>
        <v>0.19</v>
      </c>
      <c r="CK43" s="188">
        <f t="shared" si="111"/>
        <v>0.19</v>
      </c>
      <c r="CL43" s="188">
        <f t="shared" si="48"/>
        <v>32.299999999999997</v>
      </c>
      <c r="CM43" s="188">
        <f t="shared" si="134"/>
        <v>2.2800000000000002</v>
      </c>
      <c r="CN43" s="465">
        <f t="shared" si="112"/>
        <v>12</v>
      </c>
      <c r="CO43" s="379">
        <f t="shared" si="168"/>
        <v>8.625</v>
      </c>
      <c r="CP43" s="379">
        <f t="shared" si="169"/>
        <v>20.625</v>
      </c>
      <c r="CQ43" s="379"/>
      <c r="CR43" s="188">
        <f t="shared" si="113"/>
        <v>0.4156318480642805</v>
      </c>
      <c r="CS43" s="149">
        <f t="shared" si="114"/>
        <v>155.29102015588504</v>
      </c>
      <c r="CT43" s="149">
        <f t="shared" si="51"/>
        <v>10.961719069827179</v>
      </c>
      <c r="CU43" s="188">
        <f t="shared" si="52"/>
        <v>0.91347658915226493</v>
      </c>
      <c r="CV43" s="188">
        <f t="shared" si="53"/>
        <v>12.940918346323754</v>
      </c>
      <c r="CW43" s="379">
        <f t="shared" si="54"/>
        <v>170</v>
      </c>
      <c r="CX43" s="188">
        <f t="shared" si="55"/>
        <v>13.866438195664909</v>
      </c>
      <c r="CY43" s="188">
        <f t="shared" si="56"/>
        <v>1.7333047744581134</v>
      </c>
      <c r="CZ43" s="188">
        <f t="shared" si="57"/>
        <v>2.4115544688112887</v>
      </c>
      <c r="DA43" s="172">
        <f t="shared" si="58"/>
        <v>250.90909090909091</v>
      </c>
      <c r="DB43" s="379">
        <f t="shared" si="115"/>
        <v>241.262716369402</v>
      </c>
      <c r="DD43" s="188">
        <f t="shared" si="59"/>
        <v>13.333333333333332</v>
      </c>
      <c r="DE43" s="150">
        <f t="shared" si="60"/>
        <v>2.318840579710145</v>
      </c>
      <c r="DF43" s="150">
        <f t="shared" si="61"/>
        <v>0.18115218115218115</v>
      </c>
      <c r="DG43" s="150"/>
      <c r="DH43" s="150">
        <f t="shared" si="62"/>
        <v>2.3188405797101455</v>
      </c>
      <c r="DI43" s="314">
        <f t="shared" si="63"/>
        <v>263.1639705882352</v>
      </c>
      <c r="DJ43" s="456">
        <f t="shared" si="64"/>
        <v>0.18115218115218121</v>
      </c>
      <c r="DL43" s="150">
        <f t="shared" si="65"/>
        <v>11.477514248883915</v>
      </c>
      <c r="DM43" s="150">
        <f t="shared" si="66"/>
        <v>13.866438195664909</v>
      </c>
      <c r="DN43" s="150">
        <f t="shared" si="67"/>
        <v>1.5948924906159814</v>
      </c>
      <c r="DP43" s="314">
        <f t="shared" si="68"/>
        <v>190</v>
      </c>
      <c r="DQ43" s="144">
        <f t="shared" si="69"/>
        <v>241.262716369402</v>
      </c>
      <c r="DS43">
        <f t="shared" si="116"/>
        <v>190</v>
      </c>
      <c r="DT43" s="144">
        <f t="shared" si="70"/>
        <v>241.262716369402</v>
      </c>
      <c r="DU43" s="144"/>
      <c r="DV43" s="5">
        <f t="shared" si="117"/>
        <v>4.1448592432694022</v>
      </c>
      <c r="DW43" s="5">
        <f t="shared" si="71"/>
        <v>1.7333047744581134</v>
      </c>
      <c r="DX43" s="5">
        <f t="shared" si="118"/>
        <v>2.4115544688112891</v>
      </c>
      <c r="DY43" s="150">
        <f t="shared" si="119"/>
        <v>0.4181818181818181</v>
      </c>
      <c r="EA43" s="5">
        <f t="shared" si="72"/>
        <v>0.19372229832178914</v>
      </c>
      <c r="EB43" s="5">
        <f t="shared" si="73"/>
        <v>2.744399226225346</v>
      </c>
      <c r="EC43" s="5">
        <f t="shared" si="74"/>
        <v>10.818501297583975</v>
      </c>
      <c r="ED43" s="5"/>
      <c r="EE43" s="150">
        <f t="shared" si="120"/>
        <v>5.1771037237029214</v>
      </c>
      <c r="EF43" s="150">
        <f t="shared" si="75"/>
        <v>0.28519734294664911</v>
      </c>
      <c r="EG43" s="150">
        <f t="shared" si="76"/>
        <v>0.27130445767443184</v>
      </c>
      <c r="EH43" s="150"/>
      <c r="EI43" s="456">
        <f t="shared" si="77"/>
        <v>9.1128170084327415E-2</v>
      </c>
      <c r="EJ43" s="456">
        <f t="shared" si="78"/>
        <v>2.0975999999999999</v>
      </c>
      <c r="EK43" s="456">
        <f t="shared" si="79"/>
        <v>5.5249162048593058E-2</v>
      </c>
      <c r="EL43" s="456">
        <f t="shared" si="80"/>
        <v>7.0302164928320685E-2</v>
      </c>
      <c r="EM43">
        <f t="shared" si="81"/>
        <v>5.4000000000000003E-3</v>
      </c>
      <c r="EN43" s="144">
        <f t="shared" si="121"/>
        <v>60.649162048593062</v>
      </c>
      <c r="EO43">
        <f t="shared" si="82"/>
        <v>2.3961660170909354</v>
      </c>
      <c r="EP43" s="144">
        <f t="shared" si="122"/>
        <v>2396.1660170909354</v>
      </c>
      <c r="EQ43" s="150">
        <f t="shared" si="83"/>
        <v>0.42156249999999995</v>
      </c>
      <c r="ER43" s="150">
        <f t="shared" si="170"/>
        <v>0.13490000000000002</v>
      </c>
      <c r="ES43" s="456"/>
      <c r="EU43" s="144">
        <f t="shared" si="123"/>
        <v>556.46249999999998</v>
      </c>
      <c r="EV43" s="456">
        <f t="shared" si="85"/>
        <v>4.0203604448967985E-2</v>
      </c>
      <c r="EW43" s="456">
        <f t="shared" si="124"/>
        <v>1.6267504884765718E-2</v>
      </c>
      <c r="EX43" s="456">
        <f t="shared" si="86"/>
        <v>2.2081832626205272E-3</v>
      </c>
      <c r="EY43" s="456">
        <f t="shared" si="87"/>
        <v>32.367401730078996</v>
      </c>
      <c r="EZ43" s="456">
        <f t="shared" si="88"/>
        <v>32.593167574236929</v>
      </c>
      <c r="FA43" s="538">
        <f t="shared" si="89"/>
        <v>4.6389538690951693E-2</v>
      </c>
      <c r="FB43" s="144">
        <f t="shared" si="125"/>
        <v>32639.557112927883</v>
      </c>
      <c r="FC43" s="150">
        <f t="shared" si="126"/>
        <v>35.592185630018818</v>
      </c>
      <c r="FD43" s="5">
        <f t="shared" si="127"/>
        <v>34.58</v>
      </c>
      <c r="FE43" s="150">
        <f t="shared" si="128"/>
        <v>0.49278784306822404</v>
      </c>
      <c r="FF43" s="5">
        <f t="shared" si="129"/>
        <v>49.278784306822402</v>
      </c>
      <c r="FG43">
        <f t="shared" si="130"/>
        <v>38</v>
      </c>
      <c r="FI43" s="59">
        <f t="shared" si="90"/>
        <v>-50</v>
      </c>
      <c r="FJ43">
        <f t="shared" si="91"/>
        <v>-50</v>
      </c>
      <c r="FL43">
        <f t="shared" si="92"/>
        <v>0.56766977275315589</v>
      </c>
    </row>
    <row r="44" spans="5:168">
      <c r="E44" s="147">
        <v>39</v>
      </c>
      <c r="F44" s="188">
        <f t="shared" si="174"/>
        <v>0.19500000000000001</v>
      </c>
      <c r="G44" s="188">
        <f t="shared" si="171"/>
        <v>0.19500000000000001</v>
      </c>
      <c r="H44" s="188">
        <f t="shared" si="135"/>
        <v>33.15</v>
      </c>
      <c r="I44" s="188">
        <f t="shared" si="175"/>
        <v>2.34</v>
      </c>
      <c r="J44" s="465">
        <f t="shared" si="136"/>
        <v>11.957117713154181</v>
      </c>
      <c r="K44" s="379">
        <f t="shared" si="137"/>
        <v>8.6506257499833552</v>
      </c>
      <c r="L44" s="149">
        <f t="shared" si="138"/>
        <v>20.607743463137538</v>
      </c>
      <c r="M44" s="379"/>
      <c r="N44" s="188">
        <f t="shared" si="139"/>
        <v>0.41977549679116072</v>
      </c>
      <c r="O44" s="149">
        <f t="shared" si="172"/>
        <v>156.2787279851733</v>
      </c>
      <c r="P44" s="149">
        <f t="shared" si="140"/>
        <v>11.031439622482822</v>
      </c>
      <c r="Q44" s="188">
        <f t="shared" si="6"/>
        <v>0.91928663520690179</v>
      </c>
      <c r="R44" s="188">
        <f t="shared" si="141"/>
        <v>13.023227332097775</v>
      </c>
      <c r="S44" s="379">
        <f t="shared" si="142"/>
        <v>170</v>
      </c>
      <c r="T44" s="188">
        <f t="shared" si="143"/>
        <v>14.141399974855631</v>
      </c>
      <c r="U44" s="188">
        <f t="shared" si="10"/>
        <v>1.7740144800069784</v>
      </c>
      <c r="V44" s="188">
        <f t="shared" si="11"/>
        <v>2.4520885049644252</v>
      </c>
      <c r="W44" s="172">
        <f t="shared" si="12"/>
        <v>250.96525141148422</v>
      </c>
      <c r="X44" s="379">
        <f t="shared" si="95"/>
        <v>225.93238417529975</v>
      </c>
      <c r="Z44" s="188">
        <f t="shared" si="13"/>
        <v>13.333333333333334</v>
      </c>
      <c r="AA44" s="150">
        <f t="shared" si="14"/>
        <v>2.3119714779059173</v>
      </c>
      <c r="AB44" s="150">
        <f t="shared" si="144"/>
        <v>0.18065598085256901</v>
      </c>
      <c r="AC44" s="150"/>
      <c r="AD44" s="150">
        <f t="shared" si="16"/>
        <v>2.3119714779059173</v>
      </c>
      <c r="AE44" s="314">
        <f t="shared" si="145"/>
        <v>270.89180105903756</v>
      </c>
      <c r="AF44" s="456">
        <f t="shared" si="146"/>
        <v>0.18065598085256901</v>
      </c>
      <c r="AH44" s="150">
        <f t="shared" si="147"/>
        <v>11.627553482998906</v>
      </c>
      <c r="AI44" s="150">
        <f t="shared" si="148"/>
        <v>14.141399974855631</v>
      </c>
      <c r="AJ44" s="150">
        <f t="shared" si="149"/>
        <v>1.7985678826091087</v>
      </c>
      <c r="AL44" s="314">
        <f t="shared" si="150"/>
        <v>195</v>
      </c>
      <c r="AM44" s="144">
        <f t="shared" si="151"/>
        <v>225.93238417529975</v>
      </c>
      <c r="AO44">
        <f t="shared" si="96"/>
        <v>195</v>
      </c>
      <c r="AP44" s="144">
        <f t="shared" si="24"/>
        <v>225.93238417529975</v>
      </c>
      <c r="AQ44" s="144"/>
      <c r="AR44" s="5">
        <f t="shared" si="97"/>
        <v>4.4261029849714033</v>
      </c>
      <c r="AS44" s="5">
        <f t="shared" si="25"/>
        <v>1.7740144800069784</v>
      </c>
      <c r="AT44" s="5">
        <f t="shared" si="98"/>
        <v>2.6520885049644249</v>
      </c>
      <c r="AU44" s="150">
        <f t="shared" si="99"/>
        <v>0.40080732102948124</v>
      </c>
      <c r="AW44" s="5">
        <f t="shared" si="152"/>
        <v>0.20348989623609459</v>
      </c>
      <c r="AX44" s="5">
        <f t="shared" si="153"/>
        <v>2.88277353001134</v>
      </c>
      <c r="AY44" s="5">
        <f t="shared" si="28"/>
        <v>12.254449058244798</v>
      </c>
      <c r="AZ44" s="5"/>
      <c r="BA44" s="150">
        <f t="shared" si="100"/>
        <v>5.1689175110367547</v>
      </c>
      <c r="BB44" s="150">
        <f t="shared" si="154"/>
        <v>0.29516344162623798</v>
      </c>
      <c r="BC44" s="150">
        <f t="shared" si="155"/>
        <v>0.28078507544407744</v>
      </c>
      <c r="BD44" s="150"/>
      <c r="BE44" s="456">
        <f t="shared" si="31"/>
        <v>9.0840208002068157E-2</v>
      </c>
      <c r="BF44" s="456">
        <f t="shared" si="156"/>
        <v>1.5769097863174075</v>
      </c>
      <c r="BG44" s="456">
        <f t="shared" si="157"/>
        <v>0.12372870516613155</v>
      </c>
      <c r="BH44" s="456">
        <f t="shared" si="34"/>
        <v>6.572490022890505E-2</v>
      </c>
      <c r="BI44">
        <f t="shared" si="35"/>
        <v>5.3807029709193816E-3</v>
      </c>
      <c r="BJ44" s="144">
        <f t="shared" si="101"/>
        <v>129.10940813705093</v>
      </c>
      <c r="BK44">
        <f t="shared" si="158"/>
        <v>1.7967828531489687</v>
      </c>
      <c r="BL44" s="144">
        <f t="shared" si="102"/>
        <v>1796.7828531489686</v>
      </c>
      <c r="BM44" s="150">
        <f t="shared" si="159"/>
        <v>0.43265625000000002</v>
      </c>
      <c r="BN44" s="150">
        <f t="shared" si="160"/>
        <v>0.13845000000000002</v>
      </c>
      <c r="BO44" s="456"/>
      <c r="BQ44" s="144">
        <f t="shared" si="103"/>
        <v>571.10625000000005</v>
      </c>
      <c r="BR44" s="456">
        <f t="shared" si="39"/>
        <v>4.0076562353853602E-2</v>
      </c>
      <c r="BS44" s="456">
        <f t="shared" si="104"/>
        <v>1.7424291454529121E-2</v>
      </c>
      <c r="BT44" s="456">
        <f t="shared" si="161"/>
        <v>2.3652077577640874E-3</v>
      </c>
      <c r="BU44" s="456">
        <f t="shared" si="41"/>
        <v>28.850094003817706</v>
      </c>
      <c r="BV44" s="456">
        <f t="shared" si="162"/>
        <v>29.063521405101071</v>
      </c>
      <c r="BW44" s="538">
        <f t="shared" si="163"/>
        <v>4.5181775916164978E-2</v>
      </c>
      <c r="BX44" s="144">
        <f t="shared" si="105"/>
        <v>29108.703181017238</v>
      </c>
      <c r="BY44" s="150">
        <f t="shared" si="106"/>
        <v>31.476592284166205</v>
      </c>
      <c r="BZ44" s="5">
        <f t="shared" si="107"/>
        <v>35.489999999999995</v>
      </c>
      <c r="CA44" s="150">
        <f t="shared" si="108"/>
        <v>0.5299657454481429</v>
      </c>
      <c r="CB44" s="5">
        <f t="shared" si="109"/>
        <v>52.996574544814287</v>
      </c>
      <c r="CC44">
        <f t="shared" si="173"/>
        <v>39</v>
      </c>
      <c r="CE44" s="59">
        <f t="shared" si="164"/>
        <v>-50</v>
      </c>
      <c r="CF44">
        <f t="shared" si="165"/>
        <v>-50</v>
      </c>
      <c r="CG44" s="150">
        <f t="shared" si="166"/>
        <v>0.56766977275315589</v>
      </c>
      <c r="CH44" s="150">
        <f t="shared" si="167"/>
        <v>0.15382552837714245</v>
      </c>
      <c r="CI44" s="147">
        <v>39</v>
      </c>
      <c r="CJ44" s="188">
        <f t="shared" si="133"/>
        <v>0.19500000000000001</v>
      </c>
      <c r="CK44" s="188">
        <f t="shared" si="111"/>
        <v>0.19500000000000001</v>
      </c>
      <c r="CL44" s="188">
        <f t="shared" si="48"/>
        <v>33.15</v>
      </c>
      <c r="CM44" s="188">
        <f t="shared" si="134"/>
        <v>2.34</v>
      </c>
      <c r="CN44" s="465">
        <f t="shared" si="112"/>
        <v>12</v>
      </c>
      <c r="CO44" s="379">
        <f t="shared" si="168"/>
        <v>8.625</v>
      </c>
      <c r="CP44" s="379">
        <f t="shared" si="169"/>
        <v>20.625</v>
      </c>
      <c r="CQ44" s="379"/>
      <c r="CR44" s="188">
        <f t="shared" si="113"/>
        <v>0.4156318480642805</v>
      </c>
      <c r="CS44" s="149">
        <f t="shared" si="114"/>
        <v>155.29102015588504</v>
      </c>
      <c r="CT44" s="149">
        <f t="shared" si="51"/>
        <v>10.961719069827179</v>
      </c>
      <c r="CU44" s="188">
        <f t="shared" si="52"/>
        <v>0.91347658915226493</v>
      </c>
      <c r="CV44" s="188">
        <f t="shared" si="53"/>
        <v>12.940918346323754</v>
      </c>
      <c r="CW44" s="379">
        <f t="shared" si="54"/>
        <v>170</v>
      </c>
      <c r="CX44" s="188">
        <f t="shared" si="55"/>
        <v>14.231344463971878</v>
      </c>
      <c r="CY44" s="188">
        <f t="shared" si="56"/>
        <v>1.7789180579964847</v>
      </c>
      <c r="CZ44" s="188">
        <f t="shared" si="57"/>
        <v>2.4750164285168483</v>
      </c>
      <c r="DA44" s="172">
        <f t="shared" si="58"/>
        <v>250.90909090909091</v>
      </c>
      <c r="DB44" s="379">
        <f t="shared" si="115"/>
        <v>235.07649287275072</v>
      </c>
      <c r="DD44" s="188">
        <f t="shared" si="59"/>
        <v>13.333333333333332</v>
      </c>
      <c r="DE44" s="150">
        <f t="shared" si="60"/>
        <v>2.318840579710145</v>
      </c>
      <c r="DF44" s="150">
        <f t="shared" si="61"/>
        <v>0.18115218115218115</v>
      </c>
      <c r="DG44" s="150"/>
      <c r="DH44" s="150">
        <f t="shared" si="62"/>
        <v>2.3188405797101455</v>
      </c>
      <c r="DI44" s="314">
        <f t="shared" si="63"/>
        <v>270.08933823529401</v>
      </c>
      <c r="DJ44" s="456">
        <f t="shared" si="64"/>
        <v>0.18115218115218121</v>
      </c>
      <c r="DL44" s="150">
        <f t="shared" si="65"/>
        <v>11.627553482998906</v>
      </c>
      <c r="DM44" s="150">
        <f t="shared" si="66"/>
        <v>14.231344463971878</v>
      </c>
      <c r="DN44" s="150">
        <f t="shared" si="67"/>
        <v>1.8651934301026252</v>
      </c>
      <c r="DP44" s="314">
        <f t="shared" si="68"/>
        <v>195</v>
      </c>
      <c r="DQ44" s="144">
        <f t="shared" si="69"/>
        <v>235.07649287275072</v>
      </c>
      <c r="DS44">
        <f t="shared" si="116"/>
        <v>195</v>
      </c>
      <c r="DT44" s="144">
        <f t="shared" si="70"/>
        <v>235.07649287275072</v>
      </c>
      <c r="DU44" s="144"/>
      <c r="DV44" s="5">
        <f t="shared" si="117"/>
        <v>4.2539344865133328</v>
      </c>
      <c r="DW44" s="5">
        <f t="shared" si="71"/>
        <v>1.7789180579964847</v>
      </c>
      <c r="DX44" s="5">
        <f t="shared" si="118"/>
        <v>2.4750164285168479</v>
      </c>
      <c r="DY44" s="150">
        <f t="shared" si="119"/>
        <v>0.41818181818181821</v>
      </c>
      <c r="EA44" s="5">
        <f t="shared" si="72"/>
        <v>0.20405236547606739</v>
      </c>
      <c r="EB44" s="5">
        <f t="shared" si="73"/>
        <v>2.890741844244288</v>
      </c>
      <c r="EC44" s="5">
        <f t="shared" si="74"/>
        <v>11.395388139629651</v>
      </c>
      <c r="ED44" s="5"/>
      <c r="EE44" s="150">
        <f t="shared" si="120"/>
        <v>5.3133432953793136</v>
      </c>
      <c r="EF44" s="150">
        <f t="shared" si="75"/>
        <v>0.29270253618208719</v>
      </c>
      <c r="EG44" s="150">
        <f t="shared" si="76"/>
        <v>0.2784440486658642</v>
      </c>
      <c r="EH44" s="150"/>
      <c r="EI44" s="456">
        <f t="shared" si="77"/>
        <v>9.5987497713477823E-2</v>
      </c>
      <c r="EJ44" s="456">
        <f t="shared" si="78"/>
        <v>2.0975999999999999</v>
      </c>
      <c r="EK44" s="456">
        <f t="shared" si="79"/>
        <v>5.3832516867859913E-2</v>
      </c>
      <c r="EL44" s="456">
        <f t="shared" si="80"/>
        <v>6.8499545314774021E-2</v>
      </c>
      <c r="EM44">
        <f t="shared" si="81"/>
        <v>5.4000000000000003E-3</v>
      </c>
      <c r="EN44" s="144">
        <f t="shared" si="121"/>
        <v>59.232516867859914</v>
      </c>
      <c r="EO44">
        <f t="shared" si="82"/>
        <v>2.4020181215246965</v>
      </c>
      <c r="EP44" s="144">
        <f t="shared" si="122"/>
        <v>2402.0181215246967</v>
      </c>
      <c r="EQ44" s="150">
        <f t="shared" si="83"/>
        <v>0.43265625000000002</v>
      </c>
      <c r="ER44" s="150">
        <f t="shared" si="170"/>
        <v>0.13845000000000002</v>
      </c>
      <c r="ES44" s="456"/>
      <c r="EU44" s="144">
        <f t="shared" si="123"/>
        <v>571.10625000000005</v>
      </c>
      <c r="EV44" s="456">
        <f t="shared" si="85"/>
        <v>4.2347425461828452E-2</v>
      </c>
      <c r="EW44" s="456">
        <f t="shared" si="124"/>
        <v>1.7134954937485212E-2</v>
      </c>
      <c r="EX44" s="456">
        <f t="shared" si="86"/>
        <v>2.3259326471231443E-3</v>
      </c>
      <c r="EY44" s="456">
        <f t="shared" si="87"/>
        <v>32.367401730078996</v>
      </c>
      <c r="EZ44" s="456">
        <f t="shared" si="88"/>
        <v>32.605266158069405</v>
      </c>
      <c r="FA44" s="538">
        <f t="shared" si="89"/>
        <v>4.7610316024924104E-2</v>
      </c>
      <c r="FB44" s="144">
        <f t="shared" si="125"/>
        <v>32652.876474094326</v>
      </c>
      <c r="FC44" s="150">
        <f t="shared" si="126"/>
        <v>35.626000845619025</v>
      </c>
      <c r="FD44" s="5">
        <f t="shared" si="127"/>
        <v>35.489999999999995</v>
      </c>
      <c r="FE44" s="150">
        <f t="shared" si="128"/>
        <v>0.49904380980368768</v>
      </c>
      <c r="FF44" s="5">
        <f t="shared" si="129"/>
        <v>49.904380980368771</v>
      </c>
      <c r="FG44">
        <f t="shared" si="130"/>
        <v>39</v>
      </c>
      <c r="FI44" s="59">
        <f t="shared" si="90"/>
        <v>-50</v>
      </c>
      <c r="FJ44">
        <f t="shared" si="91"/>
        <v>-50</v>
      </c>
      <c r="FL44">
        <f t="shared" si="92"/>
        <v>0.56766977275315589</v>
      </c>
    </row>
    <row r="45" spans="5:168">
      <c r="E45" s="147">
        <v>40</v>
      </c>
      <c r="F45" s="188">
        <f t="shared" si="174"/>
        <v>0.2</v>
      </c>
      <c r="G45" s="188">
        <f t="shared" si="171"/>
        <v>0.2</v>
      </c>
      <c r="H45" s="188">
        <f t="shared" si="135"/>
        <v>34</v>
      </c>
      <c r="I45" s="188">
        <f t="shared" si="175"/>
        <v>2.4000000000000004</v>
      </c>
      <c r="J45" s="465">
        <f t="shared" si="136"/>
        <v>11.956018167337621</v>
      </c>
      <c r="K45" s="379">
        <f t="shared" si="137"/>
        <v>8.6512828204957479</v>
      </c>
      <c r="L45" s="149">
        <f t="shared" si="138"/>
        <v>20.607300987833369</v>
      </c>
      <c r="M45" s="379"/>
      <c r="N45" s="188">
        <f t="shared" si="139"/>
        <v>0.41981639544176597</v>
      </c>
      <c r="O45" s="149">
        <f t="shared" si="172"/>
        <v>156.27958180295812</v>
      </c>
      <c r="P45" s="149">
        <f t="shared" si="140"/>
        <v>11.031499891973514</v>
      </c>
      <c r="Q45" s="188">
        <f t="shared" si="6"/>
        <v>0.91929165766445953</v>
      </c>
      <c r="R45" s="188">
        <f t="shared" si="141"/>
        <v>13.023298483579843</v>
      </c>
      <c r="S45" s="379">
        <f t="shared" si="142"/>
        <v>170</v>
      </c>
      <c r="T45" s="188">
        <f t="shared" si="143"/>
        <v>14.503920733065094</v>
      </c>
      <c r="U45" s="188">
        <f t="shared" si="10"/>
        <v>1.8196594213140329</v>
      </c>
      <c r="V45" s="188">
        <f t="shared" si="11"/>
        <v>2.5147578169627978</v>
      </c>
      <c r="W45" s="172">
        <f t="shared" si="12"/>
        <v>250.96662254239743</v>
      </c>
      <c r="X45" s="379">
        <f t="shared" si="95"/>
        <v>220.53550598709793</v>
      </c>
      <c r="Z45" s="188">
        <f t="shared" si="13"/>
        <v>13.333333333333332</v>
      </c>
      <c r="AA45" s="150">
        <f t="shared" si="14"/>
        <v>2.3117958821803875</v>
      </c>
      <c r="AB45" s="150">
        <f t="shared" si="144"/>
        <v>0.18064324684047578</v>
      </c>
      <c r="AC45" s="150"/>
      <c r="AD45" s="150">
        <f t="shared" si="16"/>
        <v>2.3117958821803875</v>
      </c>
      <c r="AE45" s="314">
        <f t="shared" si="145"/>
        <v>277.85884823474584</v>
      </c>
      <c r="AF45" s="456">
        <f t="shared" si="146"/>
        <v>0.18064324684047581</v>
      </c>
      <c r="AH45" s="150">
        <f t="shared" si="147"/>
        <v>11.775681155103795</v>
      </c>
      <c r="AI45" s="150">
        <f t="shared" si="148"/>
        <v>14.503920733065094</v>
      </c>
      <c r="AJ45" s="150">
        <f t="shared" si="149"/>
        <v>2.0671017775790812</v>
      </c>
      <c r="AL45" s="314">
        <f t="shared" si="150"/>
        <v>200</v>
      </c>
      <c r="AM45" s="144">
        <f t="shared" si="151"/>
        <v>220.53550598709793</v>
      </c>
      <c r="AO45">
        <f t="shared" si="96"/>
        <v>200</v>
      </c>
      <c r="AP45" s="144">
        <f t="shared" si="24"/>
        <v>220.53550598709793</v>
      </c>
      <c r="AQ45" s="144"/>
      <c r="AR45" s="5">
        <f t="shared" si="97"/>
        <v>4.5344172382768306</v>
      </c>
      <c r="AS45" s="5">
        <f t="shared" si="25"/>
        <v>1.8196594213140329</v>
      </c>
      <c r="AT45" s="5">
        <f t="shared" si="98"/>
        <v>2.7147578169627975</v>
      </c>
      <c r="AU45" s="150">
        <f t="shared" si="99"/>
        <v>0.40129951120368001</v>
      </c>
      <c r="AW45" s="5">
        <f t="shared" si="152"/>
        <v>0.21407757897812152</v>
      </c>
      <c r="AX45" s="5">
        <f t="shared" si="153"/>
        <v>3.0327657021900549</v>
      </c>
      <c r="AY45" s="5">
        <f t="shared" si="28"/>
        <v>12.866848656588729</v>
      </c>
      <c r="AZ45" s="5"/>
      <c r="BA45" s="150">
        <f t="shared" si="100"/>
        <v>5.3046789616659495</v>
      </c>
      <c r="BB45" s="150">
        <f t="shared" si="154"/>
        <v>0.30260572090756233</v>
      </c>
      <c r="BC45" s="150">
        <f t="shared" si="155"/>
        <v>0.2878648172236461</v>
      </c>
      <c r="BD45" s="150"/>
      <c r="BE45" s="456">
        <f t="shared" si="31"/>
        <v>9.567470421356053E-2</v>
      </c>
      <c r="BF45" s="456">
        <f t="shared" si="156"/>
        <v>1.5786671433254771</v>
      </c>
      <c r="BG45" s="456">
        <f t="shared" si="157"/>
        <v>0.12076207443851297</v>
      </c>
      <c r="BH45" s="456">
        <f t="shared" si="34"/>
        <v>6.415216547269223E-2</v>
      </c>
      <c r="BI45">
        <f t="shared" si="35"/>
        <v>5.3802081753019293E-3</v>
      </c>
      <c r="BJ45" s="144">
        <f t="shared" si="101"/>
        <v>126.14228261381491</v>
      </c>
      <c r="BK45">
        <f t="shared" si="158"/>
        <v>1.8053663297166309</v>
      </c>
      <c r="BL45" s="144">
        <f t="shared" si="102"/>
        <v>1805.3663297166308</v>
      </c>
      <c r="BM45" s="150">
        <f t="shared" si="159"/>
        <v>0.44374999999999998</v>
      </c>
      <c r="BN45" s="150">
        <f t="shared" si="160"/>
        <v>0.14200000000000002</v>
      </c>
      <c r="BO45" s="456"/>
      <c r="BQ45" s="144">
        <f t="shared" si="103"/>
        <v>585.75</v>
      </c>
      <c r="BR45" s="456">
        <f t="shared" si="39"/>
        <v>4.2209428329512001E-2</v>
      </c>
      <c r="BS45" s="456">
        <f t="shared" si="104"/>
        <v>1.8314044465197101E-2</v>
      </c>
      <c r="BT45" s="456">
        <f t="shared" si="161"/>
        <v>2.4859845898560951E-3</v>
      </c>
      <c r="BU45" s="456">
        <f t="shared" si="41"/>
        <v>28.932092789886212</v>
      </c>
      <c r="BV45" s="456">
        <f t="shared" si="162"/>
        <v>29.157198859361653</v>
      </c>
      <c r="BW45" s="538">
        <f t="shared" si="163"/>
        <v>4.6392668688551901E-2</v>
      </c>
      <c r="BX45" s="144">
        <f t="shared" si="105"/>
        <v>29203.591528050205</v>
      </c>
      <c r="BY45" s="150">
        <f t="shared" si="106"/>
        <v>31.594707857766835</v>
      </c>
      <c r="BZ45" s="5">
        <f t="shared" si="107"/>
        <v>36.4</v>
      </c>
      <c r="CA45" s="150">
        <f t="shared" si="108"/>
        <v>0.53533578048665942</v>
      </c>
      <c r="CB45" s="5">
        <f t="shared" si="109"/>
        <v>53.533578048665944</v>
      </c>
      <c r="CC45">
        <f t="shared" si="173"/>
        <v>40</v>
      </c>
      <c r="CE45" s="59">
        <f t="shared" si="164"/>
        <v>-50</v>
      </c>
      <c r="CF45">
        <f t="shared" si="165"/>
        <v>-50</v>
      </c>
      <c r="CG45" s="150">
        <f t="shared" si="166"/>
        <v>0.56766977275315589</v>
      </c>
      <c r="CH45" s="150">
        <f t="shared" si="167"/>
        <v>0.15382552837714245</v>
      </c>
      <c r="CI45" s="147">
        <v>40</v>
      </c>
      <c r="CJ45" s="188">
        <f t="shared" si="133"/>
        <v>0.2</v>
      </c>
      <c r="CK45" s="188">
        <f t="shared" si="111"/>
        <v>0.2</v>
      </c>
      <c r="CL45" s="188">
        <f t="shared" si="48"/>
        <v>34</v>
      </c>
      <c r="CM45" s="188">
        <f t="shared" si="134"/>
        <v>2.4000000000000004</v>
      </c>
      <c r="CN45" s="465">
        <f t="shared" si="112"/>
        <v>12</v>
      </c>
      <c r="CO45" s="379">
        <f t="shared" si="168"/>
        <v>8.625</v>
      </c>
      <c r="CP45" s="379">
        <f t="shared" si="169"/>
        <v>20.625</v>
      </c>
      <c r="CQ45" s="379"/>
      <c r="CR45" s="188">
        <f t="shared" si="113"/>
        <v>0.4156318480642805</v>
      </c>
      <c r="CS45" s="149">
        <f t="shared" si="114"/>
        <v>155.29102015588504</v>
      </c>
      <c r="CT45" s="149">
        <f t="shared" si="51"/>
        <v>10.961719069827179</v>
      </c>
      <c r="CU45" s="188">
        <f t="shared" si="52"/>
        <v>0.91347658915226493</v>
      </c>
      <c r="CV45" s="188">
        <f t="shared" si="53"/>
        <v>12.940918346323754</v>
      </c>
      <c r="CW45" s="379">
        <f t="shared" si="54"/>
        <v>170</v>
      </c>
      <c r="CX45" s="188">
        <f t="shared" si="55"/>
        <v>14.59625073227885</v>
      </c>
      <c r="CY45" s="188">
        <f t="shared" si="56"/>
        <v>1.8245313415348563</v>
      </c>
      <c r="CZ45" s="188">
        <f t="shared" si="57"/>
        <v>2.5384783882224089</v>
      </c>
      <c r="DA45" s="172">
        <f t="shared" si="58"/>
        <v>250.90909090909091</v>
      </c>
      <c r="DB45" s="379">
        <f t="shared" si="115"/>
        <v>229.19958055093193</v>
      </c>
      <c r="DD45" s="188">
        <f t="shared" si="59"/>
        <v>13.333333333333332</v>
      </c>
      <c r="DE45" s="150">
        <f t="shared" si="60"/>
        <v>2.318840579710145</v>
      </c>
      <c r="DF45" s="150">
        <f t="shared" si="61"/>
        <v>0.18115218115218115</v>
      </c>
      <c r="DG45" s="150"/>
      <c r="DH45" s="150">
        <f t="shared" si="62"/>
        <v>2.3188405797101455</v>
      </c>
      <c r="DI45" s="314">
        <f t="shared" si="63"/>
        <v>277.01470588235281</v>
      </c>
      <c r="DJ45" s="456">
        <f t="shared" si="64"/>
        <v>0.18115218115218121</v>
      </c>
      <c r="DL45" s="150">
        <f t="shared" si="65"/>
        <v>11.775681155103795</v>
      </c>
      <c r="DM45" s="150">
        <f t="shared" si="66"/>
        <v>14.59625073227885</v>
      </c>
      <c r="DN45" s="150">
        <f t="shared" si="67"/>
        <v>2.1354943695892716</v>
      </c>
      <c r="DP45" s="314">
        <f t="shared" si="68"/>
        <v>200</v>
      </c>
      <c r="DQ45" s="144">
        <f t="shared" si="69"/>
        <v>229.19958055093193</v>
      </c>
      <c r="DS45">
        <f t="shared" si="116"/>
        <v>200</v>
      </c>
      <c r="DT45" s="144">
        <f t="shared" si="70"/>
        <v>229.19958055093193</v>
      </c>
      <c r="DU45" s="144"/>
      <c r="DV45" s="5">
        <f t="shared" si="117"/>
        <v>4.3630097297572652</v>
      </c>
      <c r="DW45" s="5">
        <f t="shared" si="71"/>
        <v>1.8245313415348563</v>
      </c>
      <c r="DX45" s="5">
        <f t="shared" si="118"/>
        <v>2.5384783882224089</v>
      </c>
      <c r="DY45" s="150">
        <f t="shared" si="119"/>
        <v>0.41818181818181815</v>
      </c>
      <c r="EA45" s="5">
        <f t="shared" si="72"/>
        <v>0.21465074606292425</v>
      </c>
      <c r="EB45" s="5">
        <f t="shared" si="73"/>
        <v>3.0408855692247605</v>
      </c>
      <c r="EC45" s="5">
        <f t="shared" si="74"/>
        <v>11.987259055494709</v>
      </c>
      <c r="ED45" s="5"/>
      <c r="EE45" s="150">
        <f t="shared" si="120"/>
        <v>5.4495828670557067</v>
      </c>
      <c r="EF45" s="150">
        <f t="shared" si="75"/>
        <v>0.30020772941752533</v>
      </c>
      <c r="EG45" s="150">
        <f t="shared" si="76"/>
        <v>0.28558363965729661</v>
      </c>
      <c r="EH45" s="150"/>
      <c r="EI45" s="456">
        <f t="shared" si="77"/>
        <v>0.10097304164468413</v>
      </c>
      <c r="EJ45" s="456">
        <f t="shared" si="78"/>
        <v>2.0975999999999999</v>
      </c>
      <c r="EK45" s="456">
        <f t="shared" si="79"/>
        <v>5.2486703946163407E-2</v>
      </c>
      <c r="EL45" s="456">
        <f t="shared" si="80"/>
        <v>6.6787056681904669E-2</v>
      </c>
      <c r="EM45">
        <f t="shared" si="81"/>
        <v>5.4000000000000003E-3</v>
      </c>
      <c r="EN45" s="144">
        <f t="shared" si="121"/>
        <v>57.886703946163408</v>
      </c>
      <c r="EO45">
        <f t="shared" si="82"/>
        <v>2.4082872108738322</v>
      </c>
      <c r="EP45" s="144">
        <f t="shared" si="122"/>
        <v>2408.2872108738325</v>
      </c>
      <c r="EQ45" s="150">
        <f t="shared" si="83"/>
        <v>0.44374999999999998</v>
      </c>
      <c r="ER45" s="150">
        <f t="shared" si="170"/>
        <v>0.14200000000000002</v>
      </c>
      <c r="ES45" s="456"/>
      <c r="EU45" s="144">
        <f t="shared" si="123"/>
        <v>585.75</v>
      </c>
      <c r="EV45" s="456">
        <f t="shared" si="85"/>
        <v>4.4546930137360649E-2</v>
      </c>
      <c r="EW45" s="456">
        <f t="shared" si="124"/>
        <v>1.8024936160405219E-2</v>
      </c>
      <c r="EX45" s="456">
        <f t="shared" si="86"/>
        <v>2.446740457197259E-3</v>
      </c>
      <c r="EY45" s="456">
        <f t="shared" si="87"/>
        <v>32.367401730078967</v>
      </c>
      <c r="EZ45" s="456">
        <f t="shared" si="88"/>
        <v>32.617685318855429</v>
      </c>
      <c r="FA45" s="538">
        <f t="shared" si="89"/>
        <v>4.8831093358896523E-2</v>
      </c>
      <c r="FB45" s="144">
        <f t="shared" si="125"/>
        <v>32666.516412214329</v>
      </c>
      <c r="FC45" s="150">
        <f t="shared" si="126"/>
        <v>35.660553623088163</v>
      </c>
      <c r="FD45" s="5">
        <f t="shared" si="127"/>
        <v>36.4</v>
      </c>
      <c r="FE45" s="150">
        <f t="shared" si="128"/>
        <v>0.50513072922517011</v>
      </c>
      <c r="FF45" s="5">
        <f t="shared" si="129"/>
        <v>50.513072922517011</v>
      </c>
      <c r="FG45">
        <f t="shared" si="130"/>
        <v>40</v>
      </c>
      <c r="FI45" s="59">
        <f t="shared" si="90"/>
        <v>-50</v>
      </c>
      <c r="FJ45">
        <f t="shared" si="91"/>
        <v>-50</v>
      </c>
      <c r="FL45">
        <f t="shared" si="92"/>
        <v>0.56766977275315589</v>
      </c>
    </row>
    <row r="46" spans="5:168">
      <c r="E46" s="147">
        <v>41</v>
      </c>
      <c r="F46" s="188">
        <f t="shared" si="174"/>
        <v>0.20499999999999999</v>
      </c>
      <c r="G46" s="188">
        <f t="shared" si="171"/>
        <v>0.20499999999999999</v>
      </c>
      <c r="H46" s="188">
        <f t="shared" si="135"/>
        <v>34.85</v>
      </c>
      <c r="I46" s="188">
        <f t="shared" si="175"/>
        <v>2.46</v>
      </c>
      <c r="J46" s="465">
        <f t="shared" si="136"/>
        <v>11.954918621521063</v>
      </c>
      <c r="K46" s="379">
        <f t="shared" si="137"/>
        <v>8.6519398910081424</v>
      </c>
      <c r="L46" s="149">
        <f t="shared" si="138"/>
        <v>20.606858512529207</v>
      </c>
      <c r="M46" s="379"/>
      <c r="N46" s="188">
        <f t="shared" si="139"/>
        <v>0.41985729584874198</v>
      </c>
      <c r="O46" s="149">
        <f t="shared" si="172"/>
        <v>156.28043347417815</v>
      </c>
      <c r="P46" s="149">
        <f t="shared" si="140"/>
        <v>11.031560009941987</v>
      </c>
      <c r="Q46" s="188">
        <f t="shared" si="6"/>
        <v>0.91929666749516559</v>
      </c>
      <c r="R46" s="188">
        <f t="shared" si="141"/>
        <v>13.023369456181513</v>
      </c>
      <c r="S46" s="379">
        <f t="shared" si="142"/>
        <v>170</v>
      </c>
      <c r="T46" s="188">
        <f t="shared" si="143"/>
        <v>14.866437734300325</v>
      </c>
      <c r="U46" s="188">
        <f t="shared" si="10"/>
        <v>1.8653122875555996</v>
      </c>
      <c r="V46" s="188">
        <f t="shared" si="11"/>
        <v>2.5774169587824174</v>
      </c>
      <c r="W46" s="172">
        <f t="shared" si="12"/>
        <v>250.96799022618018</v>
      </c>
      <c r="X46" s="379">
        <f t="shared" si="95"/>
        <v>215.3905487356939</v>
      </c>
      <c r="Z46" s="188">
        <f t="shared" si="13"/>
        <v>13.333333333333334</v>
      </c>
      <c r="AA46" s="150">
        <f t="shared" si="14"/>
        <v>2.3116203131260495</v>
      </c>
      <c r="AB46" s="150">
        <f t="shared" si="144"/>
        <v>0.18063051228152721</v>
      </c>
      <c r="AC46" s="150"/>
      <c r="AD46" s="150">
        <f t="shared" si="16"/>
        <v>2.3116203131260495</v>
      </c>
      <c r="AE46" s="314">
        <f t="shared" si="145"/>
        <v>284.82695058839448</v>
      </c>
      <c r="AF46" s="456">
        <f t="shared" si="146"/>
        <v>0.18063051228152724</v>
      </c>
      <c r="AH46" s="150">
        <f t="shared" si="147"/>
        <v>11.921968517544967</v>
      </c>
      <c r="AI46" s="150">
        <f t="shared" si="148"/>
        <v>14.866437734300325</v>
      </c>
      <c r="AJ46" s="150">
        <f t="shared" si="149"/>
        <v>2.3356328896051783</v>
      </c>
      <c r="AL46" s="314">
        <f t="shared" si="150"/>
        <v>205</v>
      </c>
      <c r="AM46" s="144">
        <f t="shared" si="151"/>
        <v>215.3905487356939</v>
      </c>
      <c r="AO46">
        <f t="shared" si="96"/>
        <v>205</v>
      </c>
      <c r="AP46" s="144">
        <f t="shared" si="24"/>
        <v>215.3905487356939</v>
      </c>
      <c r="AQ46" s="144"/>
      <c r="AR46" s="5">
        <f t="shared" si="97"/>
        <v>4.6427292463380168</v>
      </c>
      <c r="AS46" s="5">
        <f t="shared" si="25"/>
        <v>1.8653122875555996</v>
      </c>
      <c r="AT46" s="5">
        <f t="shared" si="98"/>
        <v>2.7774169587824171</v>
      </c>
      <c r="AU46" s="150">
        <f t="shared" si="99"/>
        <v>0.40177063718003303</v>
      </c>
      <c r="AW46" s="5">
        <f t="shared" si="152"/>
        <v>0.2249347170287635</v>
      </c>
      <c r="AX46" s="5">
        <f t="shared" si="153"/>
        <v>3.1865751579074826</v>
      </c>
      <c r="AY46" s="5">
        <f t="shared" si="28"/>
        <v>13.494164212226696</v>
      </c>
      <c r="AZ46" s="5"/>
      <c r="BA46" s="150">
        <f t="shared" si="100"/>
        <v>5.4404570459173751</v>
      </c>
      <c r="BB46" s="150">
        <f t="shared" si="154"/>
        <v>0.31004711131544055</v>
      </c>
      <c r="BC46" s="150">
        <f t="shared" si="155"/>
        <v>0.29494371342966996</v>
      </c>
      <c r="BD46" s="150"/>
      <c r="BE46" s="456">
        <f t="shared" si="31"/>
        <v>0.10063514775280484</v>
      </c>
      <c r="BF46" s="456">
        <f t="shared" si="156"/>
        <v>1.5803412125020277</v>
      </c>
      <c r="BG46" s="456">
        <f t="shared" si="157"/>
        <v>0.11793392287468341</v>
      </c>
      <c r="BH46" s="456">
        <f t="shared" si="34"/>
        <v>6.265284442160414E-2</v>
      </c>
      <c r="BI46">
        <f t="shared" si="35"/>
        <v>5.3797133796844787E-3</v>
      </c>
      <c r="BJ46" s="144">
        <f t="shared" si="101"/>
        <v>123.31363625436788</v>
      </c>
      <c r="BK46">
        <f t="shared" si="158"/>
        <v>1.8141793763685004</v>
      </c>
      <c r="BL46" s="144">
        <f t="shared" si="102"/>
        <v>1814.1793763685002</v>
      </c>
      <c r="BM46" s="150">
        <f t="shared" si="159"/>
        <v>0.45484374999999994</v>
      </c>
      <c r="BN46" s="150">
        <f t="shared" si="160"/>
        <v>0.14555000000000001</v>
      </c>
      <c r="BO46" s="456"/>
      <c r="BQ46" s="144">
        <f t="shared" si="103"/>
        <v>600.39374999999995</v>
      </c>
      <c r="BR46" s="456">
        <f t="shared" si="39"/>
        <v>4.4397859302708016E-2</v>
      </c>
      <c r="BS46" s="456">
        <f t="shared" si="104"/>
        <v>1.9225842247009836E-2</v>
      </c>
      <c r="BT46" s="456">
        <f t="shared" si="161"/>
        <v>2.6097538227504982E-3</v>
      </c>
      <c r="BU46" s="456">
        <f t="shared" si="41"/>
        <v>29.010412333982007</v>
      </c>
      <c r="BV46" s="456">
        <f t="shared" si="162"/>
        <v>29.247514936668942</v>
      </c>
      <c r="BW46" s="538">
        <f t="shared" si="163"/>
        <v>4.7603674300445681E-2</v>
      </c>
      <c r="BX46" s="144">
        <f t="shared" si="105"/>
        <v>29295.118610969388</v>
      </c>
      <c r="BY46" s="150">
        <f t="shared" si="106"/>
        <v>31.709691737337891</v>
      </c>
      <c r="BZ46" s="5">
        <f t="shared" si="107"/>
        <v>37.31</v>
      </c>
      <c r="CA46" s="150">
        <f t="shared" si="108"/>
        <v>0.5405703656572004</v>
      </c>
      <c r="CB46" s="5">
        <f t="shared" si="109"/>
        <v>54.05703656572004</v>
      </c>
      <c r="CC46">
        <f t="shared" si="173"/>
        <v>41</v>
      </c>
      <c r="CE46" s="59">
        <f t="shared" si="164"/>
        <v>-50</v>
      </c>
      <c r="CF46">
        <f t="shared" si="165"/>
        <v>-50</v>
      </c>
      <c r="CG46" s="150">
        <f t="shared" si="166"/>
        <v>0.56766977275315589</v>
      </c>
      <c r="CH46" s="150">
        <f t="shared" si="167"/>
        <v>0.15382552837714242</v>
      </c>
      <c r="CI46" s="147">
        <v>41</v>
      </c>
      <c r="CJ46" s="188">
        <f t="shared" si="133"/>
        <v>0.20499999999999999</v>
      </c>
      <c r="CK46" s="188">
        <f t="shared" si="111"/>
        <v>0.20499999999999999</v>
      </c>
      <c r="CL46" s="188">
        <f t="shared" si="48"/>
        <v>34.85</v>
      </c>
      <c r="CM46" s="188">
        <f t="shared" si="134"/>
        <v>2.46</v>
      </c>
      <c r="CN46" s="465">
        <f t="shared" si="112"/>
        <v>12</v>
      </c>
      <c r="CO46" s="379">
        <f t="shared" si="168"/>
        <v>8.625</v>
      </c>
      <c r="CP46" s="379">
        <f t="shared" si="169"/>
        <v>20.625</v>
      </c>
      <c r="CQ46" s="379"/>
      <c r="CR46" s="188">
        <f t="shared" si="113"/>
        <v>0.4156318480642805</v>
      </c>
      <c r="CS46" s="149">
        <f t="shared" si="114"/>
        <v>155.29102015588504</v>
      </c>
      <c r="CT46" s="149">
        <f t="shared" si="51"/>
        <v>10.961719069827179</v>
      </c>
      <c r="CU46" s="188">
        <f t="shared" si="52"/>
        <v>0.91347658915226493</v>
      </c>
      <c r="CV46" s="188">
        <f t="shared" si="53"/>
        <v>12.940918346323754</v>
      </c>
      <c r="CW46" s="379">
        <f t="shared" si="54"/>
        <v>170</v>
      </c>
      <c r="CX46" s="188">
        <f t="shared" si="55"/>
        <v>14.961157000585823</v>
      </c>
      <c r="CY46" s="188">
        <f t="shared" si="56"/>
        <v>1.8701446250732281</v>
      </c>
      <c r="CZ46" s="188">
        <f t="shared" si="57"/>
        <v>2.6019403479279695</v>
      </c>
      <c r="DA46" s="172">
        <f t="shared" si="58"/>
        <v>250.90909090909091</v>
      </c>
      <c r="DB46" s="379">
        <f t="shared" si="115"/>
        <v>223.60934687895792</v>
      </c>
      <c r="DD46" s="188">
        <f t="shared" si="59"/>
        <v>13.333333333333332</v>
      </c>
      <c r="DE46" s="150">
        <f t="shared" si="60"/>
        <v>2.318840579710145</v>
      </c>
      <c r="DF46" s="150">
        <f t="shared" si="61"/>
        <v>0.18115218115218115</v>
      </c>
      <c r="DG46" s="150"/>
      <c r="DH46" s="150">
        <f t="shared" si="62"/>
        <v>2.3188405797101455</v>
      </c>
      <c r="DI46" s="314">
        <f t="shared" si="63"/>
        <v>283.94007352941162</v>
      </c>
      <c r="DJ46" s="456">
        <f t="shared" si="64"/>
        <v>0.18115218115218121</v>
      </c>
      <c r="DL46" s="150">
        <f t="shared" si="65"/>
        <v>11.921968517544967</v>
      </c>
      <c r="DM46" s="150">
        <f t="shared" si="66"/>
        <v>14.961157000585823</v>
      </c>
      <c r="DN46" s="150">
        <f t="shared" si="67"/>
        <v>2.4057953090759181</v>
      </c>
      <c r="DP46" s="314">
        <f t="shared" si="68"/>
        <v>205</v>
      </c>
      <c r="DQ46" s="144">
        <f t="shared" si="69"/>
        <v>223.60934687895792</v>
      </c>
      <c r="DS46">
        <f t="shared" si="116"/>
        <v>205</v>
      </c>
      <c r="DT46" s="144">
        <f t="shared" si="70"/>
        <v>223.60934687895792</v>
      </c>
      <c r="DU46" s="144"/>
      <c r="DV46" s="5">
        <f t="shared" si="117"/>
        <v>4.4720849730011984</v>
      </c>
      <c r="DW46" s="5">
        <f t="shared" si="71"/>
        <v>1.8701446250732281</v>
      </c>
      <c r="DX46" s="5">
        <f t="shared" si="118"/>
        <v>2.6019403479279704</v>
      </c>
      <c r="DY46" s="150">
        <f t="shared" si="119"/>
        <v>0.4181818181818181</v>
      </c>
      <c r="EA46" s="5">
        <f t="shared" si="72"/>
        <v>0.22551744008235985</v>
      </c>
      <c r="EB46" s="5">
        <f t="shared" si="73"/>
        <v>3.1948304011667643</v>
      </c>
      <c r="EC46" s="5">
        <f t="shared" si="74"/>
        <v>12.594114045179133</v>
      </c>
      <c r="ED46" s="5"/>
      <c r="EE46" s="150">
        <f t="shared" si="120"/>
        <v>5.5858224387320998</v>
      </c>
      <c r="EF46" s="150">
        <f t="shared" si="75"/>
        <v>0.30771292265296352</v>
      </c>
      <c r="EG46" s="150">
        <f t="shared" si="76"/>
        <v>0.29272323064872913</v>
      </c>
      <c r="EH46" s="150"/>
      <c r="EI46" s="456">
        <f t="shared" si="77"/>
        <v>0.10608480187794626</v>
      </c>
      <c r="EJ46" s="456">
        <f t="shared" si="78"/>
        <v>2.0975999999999995</v>
      </c>
      <c r="EK46" s="456">
        <f t="shared" si="79"/>
        <v>5.1206540435281361E-2</v>
      </c>
      <c r="EL46" s="456">
        <f t="shared" si="80"/>
        <v>6.5158104079906964E-2</v>
      </c>
      <c r="EM46">
        <f t="shared" si="81"/>
        <v>5.4000000000000003E-3</v>
      </c>
      <c r="EN46" s="144">
        <f t="shared" si="121"/>
        <v>56.60654043528136</v>
      </c>
      <c r="EO46">
        <f t="shared" si="82"/>
        <v>2.4149633015449075</v>
      </c>
      <c r="EP46" s="144">
        <f t="shared" si="122"/>
        <v>2414.9633015449076</v>
      </c>
      <c r="EQ46" s="150">
        <f t="shared" si="83"/>
        <v>0.45484374999999994</v>
      </c>
      <c r="ER46" s="150">
        <f t="shared" si="170"/>
        <v>0.14555000000000001</v>
      </c>
      <c r="ES46" s="456"/>
      <c r="EU46" s="144">
        <f t="shared" si="123"/>
        <v>600.39374999999995</v>
      </c>
      <c r="EV46" s="456">
        <f t="shared" si="85"/>
        <v>4.6802118475564536E-2</v>
      </c>
      <c r="EW46" s="456">
        <f t="shared" si="124"/>
        <v>1.8937448553525742E-2</v>
      </c>
      <c r="EX46" s="456">
        <f t="shared" si="86"/>
        <v>2.5706066928428721E-3</v>
      </c>
      <c r="EY46" s="456">
        <f t="shared" si="87"/>
        <v>32.367401730078967</v>
      </c>
      <c r="EZ46" s="456">
        <f t="shared" si="88"/>
        <v>32.630425548521373</v>
      </c>
      <c r="FA46" s="538">
        <f t="shared" si="89"/>
        <v>5.0051870692868934E-2</v>
      </c>
      <c r="FB46" s="144">
        <f t="shared" si="125"/>
        <v>32680.477419214243</v>
      </c>
      <c r="FC46" s="150">
        <f t="shared" si="126"/>
        <v>35.695834470759152</v>
      </c>
      <c r="FD46" s="5">
        <f t="shared" si="127"/>
        <v>37.31</v>
      </c>
      <c r="FE46" s="150">
        <f t="shared" si="128"/>
        <v>0.51105504471623686</v>
      </c>
      <c r="FF46" s="5">
        <f t="shared" si="129"/>
        <v>51.105504471623689</v>
      </c>
      <c r="FG46">
        <f t="shared" si="130"/>
        <v>41</v>
      </c>
      <c r="FI46" s="59">
        <f t="shared" si="90"/>
        <v>-50</v>
      </c>
      <c r="FJ46">
        <f t="shared" si="91"/>
        <v>-50</v>
      </c>
      <c r="FL46">
        <f t="shared" si="92"/>
        <v>0.56766977275315578</v>
      </c>
    </row>
    <row r="47" spans="5:168">
      <c r="E47" s="147">
        <v>42</v>
      </c>
      <c r="F47" s="188">
        <f t="shared" si="174"/>
        <v>0.21</v>
      </c>
      <c r="G47" s="188">
        <f t="shared" si="171"/>
        <v>0.21</v>
      </c>
      <c r="H47" s="188">
        <f t="shared" si="135"/>
        <v>35.699999999999996</v>
      </c>
      <c r="I47" s="188">
        <f t="shared" si="175"/>
        <v>2.52</v>
      </c>
      <c r="J47" s="465">
        <f t="shared" si="136"/>
        <v>11.953819075704503</v>
      </c>
      <c r="K47" s="379">
        <f t="shared" si="137"/>
        <v>8.6525969615205369</v>
      </c>
      <c r="L47" s="149">
        <f t="shared" si="138"/>
        <v>20.606416037225038</v>
      </c>
      <c r="M47" s="379"/>
      <c r="N47" s="188">
        <f t="shared" si="139"/>
        <v>0.41989819801220213</v>
      </c>
      <c r="O47" s="149">
        <f t="shared" si="172"/>
        <v>156.28128299869513</v>
      </c>
      <c r="P47" s="149">
        <f t="shared" si="140"/>
        <v>11.031619976378481</v>
      </c>
      <c r="Q47" s="188">
        <f t="shared" si="6"/>
        <v>0.91930166469820662</v>
      </c>
      <c r="R47" s="188">
        <f t="shared" si="141"/>
        <v>13.02344024989126</v>
      </c>
      <c r="S47" s="379">
        <f t="shared" si="142"/>
        <v>170</v>
      </c>
      <c r="T47" s="188">
        <f t="shared" si="143"/>
        <v>15.228950993574013</v>
      </c>
      <c r="U47" s="188">
        <f t="shared" si="10"/>
        <v>1.9109730828023874</v>
      </c>
      <c r="V47" s="188">
        <f t="shared" si="11"/>
        <v>2.640065935342804</v>
      </c>
      <c r="W47" s="172">
        <f t="shared" si="12"/>
        <v>250.9693544626104</v>
      </c>
      <c r="X47" s="379">
        <f t="shared" si="95"/>
        <v>210.48027519470898</v>
      </c>
      <c r="Z47" s="188">
        <f t="shared" si="13"/>
        <v>13.333333333333334</v>
      </c>
      <c r="AA47" s="150">
        <f t="shared" si="14"/>
        <v>2.3114447707368266</v>
      </c>
      <c r="AB47" s="150">
        <f t="shared" si="144"/>
        <v>0.180617777175688</v>
      </c>
      <c r="AC47" s="150"/>
      <c r="AD47" s="150">
        <f t="shared" si="16"/>
        <v>2.3114447707368266</v>
      </c>
      <c r="AE47" s="314">
        <f t="shared" si="145"/>
        <v>291.79610811998378</v>
      </c>
      <c r="AF47" s="456">
        <f t="shared" si="146"/>
        <v>0.18061777717568797</v>
      </c>
      <c r="AH47" s="150">
        <f t="shared" si="147"/>
        <v>12.066482503198685</v>
      </c>
      <c r="AI47" s="150">
        <f t="shared" si="148"/>
        <v>15.228950993574013</v>
      </c>
      <c r="AJ47" s="150">
        <f t="shared" si="149"/>
        <v>2.6041612298079109</v>
      </c>
      <c r="AL47" s="314">
        <f t="shared" si="150"/>
        <v>210</v>
      </c>
      <c r="AM47" s="144">
        <f t="shared" si="151"/>
        <v>210.48027519470898</v>
      </c>
      <c r="AO47">
        <f t="shared" si="96"/>
        <v>210</v>
      </c>
      <c r="AP47" s="144">
        <f t="shared" si="24"/>
        <v>210.48027519470898</v>
      </c>
      <c r="AQ47" s="144"/>
      <c r="AR47" s="5">
        <f t="shared" si="97"/>
        <v>4.7510390181451925</v>
      </c>
      <c r="AS47" s="5">
        <f t="shared" si="25"/>
        <v>1.9109730828023874</v>
      </c>
      <c r="AT47" s="5">
        <f t="shared" si="98"/>
        <v>2.840065935342805</v>
      </c>
      <c r="AU47" s="150">
        <f t="shared" si="99"/>
        <v>0.40222214035792786</v>
      </c>
      <c r="AW47" s="5">
        <f t="shared" si="152"/>
        <v>0.2360613808167655</v>
      </c>
      <c r="AX47" s="5">
        <f t="shared" si="153"/>
        <v>3.344202894904178</v>
      </c>
      <c r="AY47" s="5">
        <f t="shared" si="28"/>
        <v>14.13639624982677</v>
      </c>
      <c r="AZ47" s="5"/>
      <c r="BA47" s="150">
        <f t="shared" si="100"/>
        <v>5.5762514363767597</v>
      </c>
      <c r="BB47" s="150">
        <f t="shared" si="154"/>
        <v>0.31748763251235856</v>
      </c>
      <c r="BC47" s="150">
        <f t="shared" si="155"/>
        <v>0.30202178276681163</v>
      </c>
      <c r="BD47" s="150"/>
      <c r="BE47" s="456">
        <f t="shared" si="31"/>
        <v>0.10572157227775918</v>
      </c>
      <c r="BF47" s="456">
        <f t="shared" si="156"/>
        <v>1.5819376910849556</v>
      </c>
      <c r="BG47" s="456">
        <f t="shared" si="157"/>
        <v>0.1152347752936377</v>
      </c>
      <c r="BH47" s="456">
        <f t="shared" si="34"/>
        <v>6.1221913878221637E-2</v>
      </c>
      <c r="BI47">
        <f t="shared" si="35"/>
        <v>5.3792185840670264E-3</v>
      </c>
      <c r="BJ47" s="144">
        <f t="shared" si="101"/>
        <v>120.61399387770471</v>
      </c>
      <c r="BK47">
        <f t="shared" si="158"/>
        <v>1.8232243875261167</v>
      </c>
      <c r="BL47" s="144">
        <f t="shared" si="102"/>
        <v>1823.2243875261167</v>
      </c>
      <c r="BM47" s="150">
        <f t="shared" si="159"/>
        <v>0.4659375</v>
      </c>
      <c r="BN47" s="150">
        <f t="shared" si="160"/>
        <v>0.14910000000000001</v>
      </c>
      <c r="BO47" s="456"/>
      <c r="BQ47" s="144">
        <f t="shared" si="103"/>
        <v>615.03750000000002</v>
      </c>
      <c r="BR47" s="456">
        <f t="shared" si="39"/>
        <v>4.664187012254082E-2</v>
      </c>
      <c r="BS47" s="456">
        <f t="shared" si="104"/>
        <v>2.0159679359660489E-2</v>
      </c>
      <c r="BT47" s="456">
        <f t="shared" si="161"/>
        <v>2.7365147179692945E-3</v>
      </c>
      <c r="BU47" s="456">
        <f t="shared" si="41"/>
        <v>29.085295762378234</v>
      </c>
      <c r="BV47" s="456">
        <f t="shared" si="162"/>
        <v>29.334713296104695</v>
      </c>
      <c r="BW47" s="538">
        <f t="shared" si="163"/>
        <v>4.8814785035215517E-2</v>
      </c>
      <c r="BX47" s="144">
        <f t="shared" si="105"/>
        <v>29383.52808113991</v>
      </c>
      <c r="BY47" s="150">
        <f t="shared" si="106"/>
        <v>31.821789968666028</v>
      </c>
      <c r="BZ47" s="5">
        <f t="shared" si="107"/>
        <v>38.22</v>
      </c>
      <c r="CA47" s="150">
        <f t="shared" si="108"/>
        <v>0.54567423272732096</v>
      </c>
      <c r="CB47" s="5">
        <f t="shared" si="109"/>
        <v>54.5674232727321</v>
      </c>
      <c r="CC47">
        <f t="shared" si="173"/>
        <v>42</v>
      </c>
      <c r="CE47" s="59">
        <f t="shared" si="164"/>
        <v>-50</v>
      </c>
      <c r="CF47">
        <f t="shared" si="165"/>
        <v>-50</v>
      </c>
      <c r="CG47" s="150">
        <f t="shared" si="166"/>
        <v>0.56766977275315578</v>
      </c>
      <c r="CH47" s="150">
        <f t="shared" si="167"/>
        <v>0.15382552837714242</v>
      </c>
      <c r="CI47" s="147">
        <v>42</v>
      </c>
      <c r="CJ47" s="188">
        <f t="shared" si="133"/>
        <v>0.21</v>
      </c>
      <c r="CK47" s="188">
        <f t="shared" si="111"/>
        <v>0.21</v>
      </c>
      <c r="CL47" s="188">
        <f t="shared" si="48"/>
        <v>35.699999999999996</v>
      </c>
      <c r="CM47" s="188">
        <f t="shared" si="134"/>
        <v>2.52</v>
      </c>
      <c r="CN47" s="465">
        <f t="shared" si="112"/>
        <v>12</v>
      </c>
      <c r="CO47" s="379">
        <f t="shared" si="168"/>
        <v>8.625</v>
      </c>
      <c r="CP47" s="379">
        <f t="shared" si="169"/>
        <v>20.625</v>
      </c>
      <c r="CQ47" s="379"/>
      <c r="CR47" s="188">
        <f t="shared" si="113"/>
        <v>0.4156318480642805</v>
      </c>
      <c r="CS47" s="149">
        <f t="shared" si="114"/>
        <v>155.29102015588504</v>
      </c>
      <c r="CT47" s="149">
        <f t="shared" si="51"/>
        <v>10.961719069827179</v>
      </c>
      <c r="CU47" s="188">
        <f t="shared" si="52"/>
        <v>0.91347658915226493</v>
      </c>
      <c r="CV47" s="188">
        <f t="shared" si="53"/>
        <v>12.940918346323754</v>
      </c>
      <c r="CW47" s="379">
        <f t="shared" si="54"/>
        <v>170</v>
      </c>
      <c r="CX47" s="188">
        <f t="shared" si="55"/>
        <v>15.326063268892794</v>
      </c>
      <c r="CY47" s="188">
        <f t="shared" si="56"/>
        <v>1.9157579086115994</v>
      </c>
      <c r="CZ47" s="188">
        <f t="shared" si="57"/>
        <v>2.6654023076335291</v>
      </c>
      <c r="DA47" s="172">
        <f t="shared" si="58"/>
        <v>250.90909090909091</v>
      </c>
      <c r="DB47" s="379">
        <f t="shared" si="115"/>
        <v>218.28531481041134</v>
      </c>
      <c r="DD47" s="188">
        <f t="shared" si="59"/>
        <v>13.333333333333332</v>
      </c>
      <c r="DE47" s="150">
        <f t="shared" si="60"/>
        <v>2.318840579710145</v>
      </c>
      <c r="DF47" s="150">
        <f t="shared" si="61"/>
        <v>0.18115218115218115</v>
      </c>
      <c r="DG47" s="150"/>
      <c r="DH47" s="150">
        <f t="shared" si="62"/>
        <v>2.3188405797101455</v>
      </c>
      <c r="DI47" s="314">
        <f t="shared" si="63"/>
        <v>290.86544117647048</v>
      </c>
      <c r="DJ47" s="456">
        <f t="shared" si="64"/>
        <v>0.18115218115218121</v>
      </c>
      <c r="DL47" s="150">
        <f t="shared" si="65"/>
        <v>12.066482503198685</v>
      </c>
      <c r="DM47" s="150">
        <f t="shared" si="66"/>
        <v>15.326063268892794</v>
      </c>
      <c r="DN47" s="150">
        <f t="shared" si="67"/>
        <v>2.6760962485625628</v>
      </c>
      <c r="DP47" s="314">
        <f t="shared" si="68"/>
        <v>210</v>
      </c>
      <c r="DQ47" s="144">
        <f t="shared" si="69"/>
        <v>218.28531481041134</v>
      </c>
      <c r="DS47">
        <f t="shared" si="116"/>
        <v>210</v>
      </c>
      <c r="DT47" s="144">
        <f t="shared" si="70"/>
        <v>218.28531481041134</v>
      </c>
      <c r="DU47" s="144"/>
      <c r="DV47" s="5">
        <f t="shared" si="117"/>
        <v>4.5811602162451281</v>
      </c>
      <c r="DW47" s="5">
        <f t="shared" si="71"/>
        <v>1.9157579086115994</v>
      </c>
      <c r="DX47" s="5">
        <f t="shared" si="118"/>
        <v>2.6654023076335287</v>
      </c>
      <c r="DY47" s="150">
        <f t="shared" si="119"/>
        <v>0.41818181818181827</v>
      </c>
      <c r="EA47" s="5">
        <f t="shared" si="72"/>
        <v>0.23665244753437403</v>
      </c>
      <c r="EB47" s="5">
        <f t="shared" si="73"/>
        <v>3.352576340070299</v>
      </c>
      <c r="EC47" s="5">
        <f t="shared" si="74"/>
        <v>13.215953108682909</v>
      </c>
      <c r="ED47" s="5"/>
      <c r="EE47" s="150">
        <f t="shared" si="120"/>
        <v>5.7220620104084929</v>
      </c>
      <c r="EF47" s="150">
        <f t="shared" si="75"/>
        <v>0.31521811588840165</v>
      </c>
      <c r="EG47" s="150">
        <f t="shared" si="76"/>
        <v>0.29986282164016143</v>
      </c>
      <c r="EH47" s="150"/>
      <c r="EI47" s="456">
        <f t="shared" si="77"/>
        <v>0.11132277841326428</v>
      </c>
      <c r="EJ47" s="456">
        <f t="shared" si="78"/>
        <v>2.0975999999999999</v>
      </c>
      <c r="EK47" s="456">
        <f t="shared" si="79"/>
        <v>4.9987337091584191E-2</v>
      </c>
      <c r="EL47" s="456">
        <f t="shared" si="80"/>
        <v>6.3606720649432999E-2</v>
      </c>
      <c r="EM47">
        <f t="shared" si="81"/>
        <v>5.4000000000000003E-3</v>
      </c>
      <c r="EN47" s="144">
        <f t="shared" si="121"/>
        <v>55.387337091584193</v>
      </c>
      <c r="EO47">
        <f t="shared" si="82"/>
        <v>2.4220375881326546</v>
      </c>
      <c r="EP47" s="144">
        <f t="shared" si="122"/>
        <v>2422.0375881326545</v>
      </c>
      <c r="EQ47" s="150">
        <f t="shared" si="83"/>
        <v>0.4659375</v>
      </c>
      <c r="ER47" s="150">
        <f t="shared" si="170"/>
        <v>0.14910000000000001</v>
      </c>
      <c r="ES47" s="456"/>
      <c r="EU47" s="144">
        <f t="shared" si="123"/>
        <v>615.03750000000002</v>
      </c>
      <c r="EV47" s="456">
        <f t="shared" si="85"/>
        <v>4.9112990476440126E-2</v>
      </c>
      <c r="EW47" s="456">
        <f t="shared" si="124"/>
        <v>1.9872492116846763E-2</v>
      </c>
      <c r="EX47" s="456">
        <f t="shared" si="86"/>
        <v>2.6975313540599779E-3</v>
      </c>
      <c r="EY47" s="456">
        <f t="shared" si="87"/>
        <v>32.36740173007891</v>
      </c>
      <c r="EZ47" s="456">
        <f t="shared" si="88"/>
        <v>32.643487352105701</v>
      </c>
      <c r="FA47" s="538">
        <f t="shared" si="89"/>
        <v>5.1272648026841339E-2</v>
      </c>
      <c r="FB47" s="144">
        <f t="shared" si="125"/>
        <v>32694.760000132541</v>
      </c>
      <c r="FC47" s="150">
        <f t="shared" si="126"/>
        <v>35.731835088265193</v>
      </c>
      <c r="FD47" s="5">
        <f t="shared" si="127"/>
        <v>38.22</v>
      </c>
      <c r="FE47" s="150">
        <f t="shared" si="128"/>
        <v>0.51682287470463073</v>
      </c>
      <c r="FF47" s="5">
        <f t="shared" si="129"/>
        <v>51.682287470463073</v>
      </c>
      <c r="FG47">
        <f t="shared" si="130"/>
        <v>42</v>
      </c>
      <c r="FI47" s="59">
        <f t="shared" si="90"/>
        <v>-50</v>
      </c>
      <c r="FJ47">
        <f t="shared" si="91"/>
        <v>-50</v>
      </c>
      <c r="FL47">
        <f t="shared" si="92"/>
        <v>0.56766977275315589</v>
      </c>
    </row>
    <row r="48" spans="5:168">
      <c r="E48" s="147">
        <v>43</v>
      </c>
      <c r="F48" s="188">
        <f t="shared" si="174"/>
        <v>0.215</v>
      </c>
      <c r="G48" s="188">
        <f t="shared" si="171"/>
        <v>0.215</v>
      </c>
      <c r="H48" s="188">
        <f t="shared" si="135"/>
        <v>36.549999999999997</v>
      </c>
      <c r="I48" s="188">
        <f t="shared" si="175"/>
        <v>2.58</v>
      </c>
      <c r="J48" s="465">
        <f t="shared" si="136"/>
        <v>11.952719529887943</v>
      </c>
      <c r="K48" s="379">
        <f t="shared" si="137"/>
        <v>8.6532540320329314</v>
      </c>
      <c r="L48" s="149">
        <f t="shared" si="138"/>
        <v>20.605973561920877</v>
      </c>
      <c r="M48" s="379"/>
      <c r="N48" s="188">
        <f t="shared" si="139"/>
        <v>0.41993910193225931</v>
      </c>
      <c r="O48" s="149">
        <f t="shared" si="172"/>
        <v>156.28213037637076</v>
      </c>
      <c r="P48" s="149">
        <f t="shared" si="140"/>
        <v>11.031679791273231</v>
      </c>
      <c r="Q48" s="188">
        <f t="shared" si="6"/>
        <v>0.91930664927276917</v>
      </c>
      <c r="R48" s="188">
        <f t="shared" si="141"/>
        <v>13.023510864697563</v>
      </c>
      <c r="S48" s="379">
        <f t="shared" si="142"/>
        <v>170</v>
      </c>
      <c r="T48" s="188">
        <f t="shared" si="143"/>
        <v>15.591460525899517</v>
      </c>
      <c r="U48" s="188">
        <f t="shared" si="10"/>
        <v>1.9566418111266874</v>
      </c>
      <c r="V48" s="188">
        <f t="shared" si="11"/>
        <v>2.7027047515620968</v>
      </c>
      <c r="W48" s="172">
        <f t="shared" si="12"/>
        <v>250.97071525146598</v>
      </c>
      <c r="X48" s="379">
        <f t="shared" si="95"/>
        <v>205.78898563815912</v>
      </c>
      <c r="Z48" s="188">
        <f t="shared" si="13"/>
        <v>13.333333333333336</v>
      </c>
      <c r="AA48" s="150">
        <f t="shared" si="14"/>
        <v>2.3112692550066454</v>
      </c>
      <c r="AB48" s="150">
        <f t="shared" si="144"/>
        <v>0.18060504152292298</v>
      </c>
      <c r="AC48" s="150"/>
      <c r="AD48" s="150">
        <f t="shared" si="16"/>
        <v>2.3112692550066454</v>
      </c>
      <c r="AE48" s="314">
        <f t="shared" si="145"/>
        <v>298.7663208295134</v>
      </c>
      <c r="AF48" s="456">
        <f t="shared" si="146"/>
        <v>0.18060504152292298</v>
      </c>
      <c r="AH48" s="150">
        <f t="shared" si="147"/>
        <v>12.209286083414813</v>
      </c>
      <c r="AI48" s="150">
        <f t="shared" si="148"/>
        <v>15.591460525899517</v>
      </c>
      <c r="AJ48" s="150">
        <f t="shared" si="149"/>
        <v>2.8726868093082842</v>
      </c>
      <c r="AL48" s="314">
        <f t="shared" si="150"/>
        <v>215</v>
      </c>
      <c r="AM48" s="144">
        <f t="shared" si="151"/>
        <v>205.78898563815912</v>
      </c>
      <c r="AO48">
        <f t="shared" si="96"/>
        <v>215</v>
      </c>
      <c r="AP48" s="144">
        <f t="shared" si="24"/>
        <v>205.78898563815912</v>
      </c>
      <c r="AQ48" s="144"/>
      <c r="AR48" s="5">
        <f t="shared" si="97"/>
        <v>4.859346562688784</v>
      </c>
      <c r="AS48" s="5">
        <f t="shared" si="25"/>
        <v>1.9566418111266874</v>
      </c>
      <c r="AT48" s="5">
        <f t="shared" si="98"/>
        <v>2.9027047515620965</v>
      </c>
      <c r="AU48" s="150">
        <f t="shared" si="99"/>
        <v>0.40265533356897154</v>
      </c>
      <c r="AW48" s="5">
        <f t="shared" si="152"/>
        <v>0.2474576408189634</v>
      </c>
      <c r="AX48" s="5">
        <f t="shared" si="153"/>
        <v>3.5056499116019815</v>
      </c>
      <c r="AY48" s="5">
        <f t="shared" si="28"/>
        <v>14.793545296575314</v>
      </c>
      <c r="AZ48" s="5"/>
      <c r="BA48" s="150">
        <f t="shared" si="100"/>
        <v>5.7120618355226167</v>
      </c>
      <c r="BB48" s="150">
        <f t="shared" si="154"/>
        <v>0.32492730244373952</v>
      </c>
      <c r="BC48" s="150">
        <f t="shared" si="155"/>
        <v>0.30909904230631469</v>
      </c>
      <c r="BD48" s="150"/>
      <c r="BE48" s="456">
        <f t="shared" si="31"/>
        <v>0.11093401140363562</v>
      </c>
      <c r="BF48" s="456">
        <f t="shared" si="156"/>
        <v>1.5834617681384378</v>
      </c>
      <c r="BG48" s="456">
        <f t="shared" si="157"/>
        <v>0.11265600166742587</v>
      </c>
      <c r="BH48" s="456">
        <f t="shared" si="34"/>
        <v>5.9854798696792701E-2</v>
      </c>
      <c r="BI48">
        <f t="shared" si="35"/>
        <v>5.378723788449574E-3</v>
      </c>
      <c r="BJ48" s="144">
        <f t="shared" si="101"/>
        <v>118.03472545587545</v>
      </c>
      <c r="BK48">
        <f t="shared" si="158"/>
        <v>1.8325037506092769</v>
      </c>
      <c r="BL48" s="144">
        <f t="shared" si="102"/>
        <v>1832.5037506092769</v>
      </c>
      <c r="BM48" s="150">
        <f t="shared" si="159"/>
        <v>0.47703124999999996</v>
      </c>
      <c r="BN48" s="150">
        <f t="shared" si="160"/>
        <v>0.15265000000000001</v>
      </c>
      <c r="BO48" s="456"/>
      <c r="BQ48" s="144">
        <f t="shared" si="103"/>
        <v>629.68124999999998</v>
      </c>
      <c r="BR48" s="456">
        <f t="shared" si="39"/>
        <v>4.894147561925101E-2</v>
      </c>
      <c r="BS48" s="456">
        <f t="shared" si="104"/>
        <v>2.1115550374673078E-2</v>
      </c>
      <c r="BT48" s="456">
        <f t="shared" si="161"/>
        <v>2.8662665386404275E-3</v>
      </c>
      <c r="BU48" s="456">
        <f t="shared" si="41"/>
        <v>29.156965254942087</v>
      </c>
      <c r="BV48" s="456">
        <f t="shared" si="162"/>
        <v>29.419016662329462</v>
      </c>
      <c r="BW48" s="538">
        <f t="shared" si="163"/>
        <v>5.0025993864527704E-2</v>
      </c>
      <c r="BX48" s="144">
        <f t="shared" si="105"/>
        <v>29469.042656193989</v>
      </c>
      <c r="BY48" s="150">
        <f t="shared" si="106"/>
        <v>31.931227656803266</v>
      </c>
      <c r="BZ48" s="5">
        <f t="shared" si="107"/>
        <v>39.129999999999995</v>
      </c>
      <c r="CA48" s="150">
        <f t="shared" si="108"/>
        <v>0.55065189964043315</v>
      </c>
      <c r="CB48" s="5">
        <f t="shared" si="109"/>
        <v>55.065189964043313</v>
      </c>
      <c r="CC48">
        <f t="shared" si="173"/>
        <v>43</v>
      </c>
      <c r="CE48" s="59">
        <f t="shared" si="164"/>
        <v>-50</v>
      </c>
      <c r="CF48">
        <f t="shared" si="165"/>
        <v>-50</v>
      </c>
      <c r="CG48" s="150">
        <f t="shared" si="166"/>
        <v>0.56766977275315589</v>
      </c>
      <c r="CH48" s="150">
        <f t="shared" si="167"/>
        <v>0.15382552837714242</v>
      </c>
      <c r="CI48" s="147">
        <v>43</v>
      </c>
      <c r="CJ48" s="188">
        <f t="shared" si="133"/>
        <v>0.215</v>
      </c>
      <c r="CK48" s="188">
        <f t="shared" si="111"/>
        <v>0.215</v>
      </c>
      <c r="CL48" s="188">
        <f t="shared" si="48"/>
        <v>36.549999999999997</v>
      </c>
      <c r="CM48" s="188">
        <f t="shared" si="134"/>
        <v>2.58</v>
      </c>
      <c r="CN48" s="465">
        <f t="shared" si="112"/>
        <v>12</v>
      </c>
      <c r="CO48" s="379">
        <f t="shared" si="168"/>
        <v>8.625</v>
      </c>
      <c r="CP48" s="379">
        <f t="shared" si="169"/>
        <v>20.625</v>
      </c>
      <c r="CQ48" s="379"/>
      <c r="CR48" s="188">
        <f t="shared" si="113"/>
        <v>0.4156318480642805</v>
      </c>
      <c r="CS48" s="149">
        <f t="shared" si="114"/>
        <v>155.29102015588504</v>
      </c>
      <c r="CT48" s="149">
        <f t="shared" si="51"/>
        <v>10.961719069827179</v>
      </c>
      <c r="CU48" s="188">
        <f t="shared" si="52"/>
        <v>0.91347658915226493</v>
      </c>
      <c r="CV48" s="188">
        <f t="shared" si="53"/>
        <v>12.940918346323754</v>
      </c>
      <c r="CW48" s="379">
        <f t="shared" si="54"/>
        <v>170</v>
      </c>
      <c r="CX48" s="188">
        <f t="shared" si="55"/>
        <v>15.690969537199763</v>
      </c>
      <c r="CY48" s="188">
        <f t="shared" si="56"/>
        <v>1.9613711921499701</v>
      </c>
      <c r="CZ48" s="188">
        <f t="shared" si="57"/>
        <v>2.7288642673390893</v>
      </c>
      <c r="DA48" s="172">
        <f t="shared" si="58"/>
        <v>250.90909090909091</v>
      </c>
      <c r="DB48" s="379">
        <f t="shared" si="115"/>
        <v>213.20891214040179</v>
      </c>
      <c r="DD48" s="188">
        <f t="shared" si="59"/>
        <v>13.333333333333332</v>
      </c>
      <c r="DE48" s="150">
        <f t="shared" si="60"/>
        <v>2.318840579710145</v>
      </c>
      <c r="DF48" s="150">
        <f t="shared" si="61"/>
        <v>0.18115218115218115</v>
      </c>
      <c r="DG48" s="150"/>
      <c r="DH48" s="150">
        <f t="shared" si="62"/>
        <v>2.3188405797101455</v>
      </c>
      <c r="DI48" s="314">
        <f t="shared" si="63"/>
        <v>297.79080882352929</v>
      </c>
      <c r="DJ48" s="456">
        <f t="shared" si="64"/>
        <v>0.18115218115218121</v>
      </c>
      <c r="DL48" s="150">
        <f t="shared" si="65"/>
        <v>12.209286083414813</v>
      </c>
      <c r="DM48" s="150">
        <f t="shared" si="66"/>
        <v>15.690969537199763</v>
      </c>
      <c r="DN48" s="150">
        <f t="shared" si="67"/>
        <v>2.9463971880492066</v>
      </c>
      <c r="DP48" s="314">
        <f t="shared" si="68"/>
        <v>215</v>
      </c>
      <c r="DQ48" s="144">
        <f t="shared" si="69"/>
        <v>213.20891214040179</v>
      </c>
      <c r="DS48">
        <f t="shared" si="116"/>
        <v>215</v>
      </c>
      <c r="DT48" s="144">
        <f t="shared" si="70"/>
        <v>213.20891214040179</v>
      </c>
      <c r="DU48" s="144"/>
      <c r="DV48" s="5">
        <f t="shared" si="117"/>
        <v>4.6902354594890596</v>
      </c>
      <c r="DW48" s="5">
        <f t="shared" si="71"/>
        <v>1.9613711921499701</v>
      </c>
      <c r="DX48" s="5">
        <f t="shared" si="118"/>
        <v>2.7288642673390893</v>
      </c>
      <c r="DY48" s="150">
        <f t="shared" si="119"/>
        <v>0.41818181818181815</v>
      </c>
      <c r="EA48" s="5">
        <f t="shared" si="72"/>
        <v>0.24805576841896682</v>
      </c>
      <c r="EB48" s="5">
        <f t="shared" si="73"/>
        <v>3.5141233859353633</v>
      </c>
      <c r="EC48" s="5">
        <f t="shared" si="74"/>
        <v>13.852776246006066</v>
      </c>
      <c r="ED48" s="5"/>
      <c r="EE48" s="150">
        <f t="shared" si="120"/>
        <v>5.8583015820848834</v>
      </c>
      <c r="EF48" s="150">
        <f t="shared" si="75"/>
        <v>0.32272330912383973</v>
      </c>
      <c r="EG48" s="150">
        <f t="shared" si="76"/>
        <v>0.30700241263159389</v>
      </c>
      <c r="EH48" s="150"/>
      <c r="EI48" s="456">
        <f t="shared" si="77"/>
        <v>0.11668697125063802</v>
      </c>
      <c r="EJ48" s="456">
        <f t="shared" si="78"/>
        <v>2.0975999999999995</v>
      </c>
      <c r="EK48" s="456">
        <f t="shared" si="79"/>
        <v>4.8824840880152015E-2</v>
      </c>
      <c r="EL48" s="456">
        <f t="shared" si="80"/>
        <v>6.2127494587818285E-2</v>
      </c>
      <c r="EM48">
        <f t="shared" si="81"/>
        <v>5.4000000000000003E-3</v>
      </c>
      <c r="EN48" s="144">
        <f t="shared" si="121"/>
        <v>54.224840880152016</v>
      </c>
      <c r="EO48">
        <f t="shared" si="82"/>
        <v>2.4295023139139924</v>
      </c>
      <c r="EP48" s="144">
        <f t="shared" si="122"/>
        <v>2429.5023139139926</v>
      </c>
      <c r="EQ48" s="150">
        <f t="shared" si="83"/>
        <v>0.47703124999999996</v>
      </c>
      <c r="ER48" s="150">
        <f t="shared" si="170"/>
        <v>0.15265000000000001</v>
      </c>
      <c r="ES48" s="456"/>
      <c r="EU48" s="144">
        <f t="shared" si="123"/>
        <v>629.68124999999998</v>
      </c>
      <c r="EV48" s="456">
        <f t="shared" si="85"/>
        <v>5.147954613998737E-2</v>
      </c>
      <c r="EW48" s="456">
        <f t="shared" si="124"/>
        <v>2.0830066850368284E-2</v>
      </c>
      <c r="EX48" s="456">
        <f t="shared" si="86"/>
        <v>2.8275144408485831E-3</v>
      </c>
      <c r="EY48" s="456">
        <f t="shared" si="87"/>
        <v>32.367401730078939</v>
      </c>
      <c r="EZ48" s="456">
        <f t="shared" si="88"/>
        <v>32.656871247809718</v>
      </c>
      <c r="FA48" s="538">
        <f t="shared" si="89"/>
        <v>5.249342536081375E-2</v>
      </c>
      <c r="FB48" s="144">
        <f t="shared" si="125"/>
        <v>32709.364673170534</v>
      </c>
      <c r="FC48" s="150">
        <f t="shared" si="126"/>
        <v>35.768548237084524</v>
      </c>
      <c r="FD48" s="5">
        <f t="shared" si="127"/>
        <v>39.129999999999995</v>
      </c>
      <c r="FE48" s="150">
        <f t="shared" si="128"/>
        <v>0.52244003283131135</v>
      </c>
      <c r="FF48" s="5">
        <f t="shared" si="129"/>
        <v>52.244003283131136</v>
      </c>
      <c r="FG48">
        <f t="shared" si="130"/>
        <v>43</v>
      </c>
      <c r="FI48" s="59">
        <f t="shared" si="90"/>
        <v>-50</v>
      </c>
      <c r="FJ48">
        <f t="shared" si="91"/>
        <v>-50</v>
      </c>
      <c r="FL48">
        <f t="shared" si="92"/>
        <v>0.56766977275315589</v>
      </c>
    </row>
    <row r="49" spans="5:168">
      <c r="E49" s="147">
        <v>44</v>
      </c>
      <c r="F49" s="188">
        <f t="shared" si="174"/>
        <v>0.22</v>
      </c>
      <c r="G49" s="188">
        <f t="shared" si="171"/>
        <v>0.22</v>
      </c>
      <c r="H49" s="188">
        <f t="shared" si="135"/>
        <v>37.4</v>
      </c>
      <c r="I49" s="188">
        <f t="shared" si="175"/>
        <v>2.64</v>
      </c>
      <c r="J49" s="465">
        <f t="shared" si="136"/>
        <v>11.951619984071383</v>
      </c>
      <c r="K49" s="379">
        <f t="shared" si="137"/>
        <v>8.6539111025453241</v>
      </c>
      <c r="L49" s="149">
        <f t="shared" si="138"/>
        <v>20.605531086616708</v>
      </c>
      <c r="M49" s="379"/>
      <c r="N49" s="188">
        <f t="shared" si="139"/>
        <v>0.41998000760902687</v>
      </c>
      <c r="O49" s="149">
        <f t="shared" si="172"/>
        <v>156.28297560706676</v>
      </c>
      <c r="P49" s="149">
        <f t="shared" si="140"/>
        <v>11.031739454616478</v>
      </c>
      <c r="Q49" s="188">
        <f t="shared" si="6"/>
        <v>0.91931162121803978</v>
      </c>
      <c r="R49" s="188">
        <f t="shared" si="141"/>
        <v>13.023581300588896</v>
      </c>
      <c r="S49" s="379">
        <f t="shared" si="142"/>
        <v>170</v>
      </c>
      <c r="T49" s="188">
        <f t="shared" si="143"/>
        <v>15.953966346290827</v>
      </c>
      <c r="U49" s="188">
        <f t="shared" si="10"/>
        <v>2.0023184766023689</v>
      </c>
      <c r="V49" s="188">
        <f t="shared" si="11"/>
        <v>2.7653334123570525</v>
      </c>
      <c r="W49" s="172">
        <f t="shared" si="12"/>
        <v>250.97207259252482</v>
      </c>
      <c r="X49" s="379">
        <f t="shared" si="95"/>
        <v>201.30235015510937</v>
      </c>
      <c r="Z49" s="188">
        <f t="shared" si="13"/>
        <v>13.333333333333336</v>
      </c>
      <c r="AA49" s="150">
        <f t="shared" si="14"/>
        <v>2.3110937659294333</v>
      </c>
      <c r="AB49" s="150">
        <f t="shared" si="144"/>
        <v>0.18059230532319687</v>
      </c>
      <c r="AC49" s="150"/>
      <c r="AD49" s="150">
        <f t="shared" si="16"/>
        <v>2.3110937659294328</v>
      </c>
      <c r="AE49" s="314">
        <f t="shared" si="145"/>
        <v>305.73758871698362</v>
      </c>
      <c r="AF49" s="456">
        <f t="shared" si="146"/>
        <v>0.18059230532319678</v>
      </c>
      <c r="AH49" s="150">
        <f t="shared" si="147"/>
        <v>12.350438588703371</v>
      </c>
      <c r="AI49" s="150">
        <f t="shared" si="148"/>
        <v>15.953966346290827</v>
      </c>
      <c r="AJ49" s="150">
        <f t="shared" si="149"/>
        <v>3.141209639227772</v>
      </c>
      <c r="AL49" s="314">
        <f t="shared" si="150"/>
        <v>220</v>
      </c>
      <c r="AM49" s="144">
        <f t="shared" si="151"/>
        <v>201.30235015510937</v>
      </c>
      <c r="AO49">
        <f t="shared" si="96"/>
        <v>220</v>
      </c>
      <c r="AP49" s="144">
        <f t="shared" si="24"/>
        <v>201.30235015510937</v>
      </c>
      <c r="AQ49" s="144"/>
      <c r="AR49" s="5">
        <f t="shared" si="97"/>
        <v>4.9676518889594217</v>
      </c>
      <c r="AS49" s="5">
        <f t="shared" si="25"/>
        <v>2.0023184766023689</v>
      </c>
      <c r="AT49" s="5">
        <f t="shared" si="98"/>
        <v>2.9653334123570527</v>
      </c>
      <c r="AU49" s="150">
        <f t="shared" si="99"/>
        <v>0.40307141509905525</v>
      </c>
      <c r="AW49" s="5">
        <f t="shared" si="152"/>
        <v>0.25912356756030658</v>
      </c>
      <c r="AX49" s="5">
        <f t="shared" si="153"/>
        <v>3.6709172071043428</v>
      </c>
      <c r="AY49" s="5">
        <f t="shared" si="28"/>
        <v>15.46561188217737</v>
      </c>
      <c r="AZ49" s="5"/>
      <c r="BA49" s="150">
        <f t="shared" si="100"/>
        <v>5.8478879724429138</v>
      </c>
      <c r="BB49" s="150">
        <f t="shared" si="154"/>
        <v>0.33236613752372934</v>
      </c>
      <c r="BC49" s="150">
        <f t="shared" si="155"/>
        <v>0.31617550766273889</v>
      </c>
      <c r="BD49" s="150"/>
      <c r="BE49" s="456">
        <f t="shared" si="31"/>
        <v>0.11627249871002447</v>
      </c>
      <c r="BF49" s="456">
        <f t="shared" si="156"/>
        <v>1.5849181799761825</v>
      </c>
      <c r="BG49" s="456">
        <f t="shared" si="157"/>
        <v>0.11018972494570878</v>
      </c>
      <c r="BH49" s="456">
        <f t="shared" si="34"/>
        <v>5.8547322917099458E-2</v>
      </c>
      <c r="BI49">
        <f t="shared" si="35"/>
        <v>5.3782289928321226E-3</v>
      </c>
      <c r="BJ49" s="144">
        <f t="shared" si="101"/>
        <v>115.5679539385409</v>
      </c>
      <c r="BK49">
        <f t="shared" si="158"/>
        <v>1.842019853502157</v>
      </c>
      <c r="BL49" s="144">
        <f t="shared" si="102"/>
        <v>1842.019853502157</v>
      </c>
      <c r="BM49" s="150">
        <f t="shared" si="159"/>
        <v>0.48812500000000003</v>
      </c>
      <c r="BN49" s="150">
        <f t="shared" si="160"/>
        <v>0.15620000000000001</v>
      </c>
      <c r="BO49" s="456"/>
      <c r="BQ49" s="144">
        <f t="shared" si="103"/>
        <v>644.32500000000005</v>
      </c>
      <c r="BR49" s="456">
        <f t="shared" si="39"/>
        <v>5.1296690607363742E-2</v>
      </c>
      <c r="BS49" s="456">
        <f t="shared" si="104"/>
        <v>2.2093449874488514E-2</v>
      </c>
      <c r="BT49" s="456">
        <f t="shared" si="161"/>
        <v>2.9990085493737197E-3</v>
      </c>
      <c r="BU49" s="456">
        <f t="shared" si="41"/>
        <v>29.225624251286721</v>
      </c>
      <c r="BV49" s="456">
        <f t="shared" si="162"/>
        <v>29.500629031896036</v>
      </c>
      <c r="BW49" s="538">
        <f t="shared" si="163"/>
        <v>5.1237294373277169E-2</v>
      </c>
      <c r="BX49" s="144">
        <f t="shared" si="105"/>
        <v>29551.866326269312</v>
      </c>
      <c r="BY49" s="150">
        <f t="shared" si="106"/>
        <v>32.038211179771473</v>
      </c>
      <c r="BZ49" s="5">
        <f t="shared" si="107"/>
        <v>40.04</v>
      </c>
      <c r="CA49" s="150">
        <f t="shared" si="108"/>
        <v>0.55550768178937693</v>
      </c>
      <c r="CB49" s="5">
        <f t="shared" si="109"/>
        <v>55.550768178937695</v>
      </c>
      <c r="CC49">
        <f t="shared" si="173"/>
        <v>44</v>
      </c>
      <c r="CE49" s="59">
        <f t="shared" si="164"/>
        <v>-50</v>
      </c>
      <c r="CF49">
        <f t="shared" si="165"/>
        <v>-50</v>
      </c>
      <c r="CG49" s="150">
        <f t="shared" si="166"/>
        <v>0.56766977275315589</v>
      </c>
      <c r="CH49" s="150">
        <f t="shared" si="167"/>
        <v>0.15382552837714242</v>
      </c>
      <c r="CI49" s="147">
        <v>44</v>
      </c>
      <c r="CJ49" s="188">
        <f t="shared" si="133"/>
        <v>0.22</v>
      </c>
      <c r="CK49" s="188">
        <f t="shared" si="111"/>
        <v>0.22</v>
      </c>
      <c r="CL49" s="188">
        <f t="shared" si="48"/>
        <v>37.4</v>
      </c>
      <c r="CM49" s="188">
        <f t="shared" si="134"/>
        <v>2.64</v>
      </c>
      <c r="CN49" s="465">
        <f t="shared" si="112"/>
        <v>12</v>
      </c>
      <c r="CO49" s="379">
        <f t="shared" si="168"/>
        <v>8.625</v>
      </c>
      <c r="CP49" s="379">
        <f t="shared" si="169"/>
        <v>20.625</v>
      </c>
      <c r="CQ49" s="379"/>
      <c r="CR49" s="188">
        <f t="shared" si="113"/>
        <v>0.4156318480642805</v>
      </c>
      <c r="CS49" s="149">
        <f t="shared" si="114"/>
        <v>155.29102015588504</v>
      </c>
      <c r="CT49" s="149">
        <f t="shared" si="51"/>
        <v>10.961719069827179</v>
      </c>
      <c r="CU49" s="188">
        <f t="shared" si="52"/>
        <v>0.91347658915226493</v>
      </c>
      <c r="CV49" s="188">
        <f t="shared" si="53"/>
        <v>12.940918346323754</v>
      </c>
      <c r="CW49" s="379">
        <f t="shared" si="54"/>
        <v>170</v>
      </c>
      <c r="CX49" s="188">
        <f t="shared" si="55"/>
        <v>16.055875805506737</v>
      </c>
      <c r="CY49" s="188">
        <f t="shared" si="56"/>
        <v>2.0069844756883422</v>
      </c>
      <c r="CZ49" s="188">
        <f t="shared" si="57"/>
        <v>2.7923262270446498</v>
      </c>
      <c r="DA49" s="172">
        <f t="shared" si="58"/>
        <v>250.90909090909091</v>
      </c>
      <c r="DB49" s="379">
        <f t="shared" si="115"/>
        <v>208.36325504630173</v>
      </c>
      <c r="DD49" s="188">
        <f t="shared" si="59"/>
        <v>13.333333333333332</v>
      </c>
      <c r="DE49" s="150">
        <f t="shared" si="60"/>
        <v>2.318840579710145</v>
      </c>
      <c r="DF49" s="150">
        <f t="shared" si="61"/>
        <v>0.18115218115218115</v>
      </c>
      <c r="DG49" s="150"/>
      <c r="DH49" s="150">
        <f t="shared" si="62"/>
        <v>2.3188405797101455</v>
      </c>
      <c r="DI49" s="314">
        <f t="shared" si="63"/>
        <v>304.7161764705881</v>
      </c>
      <c r="DJ49" s="456">
        <f t="shared" si="64"/>
        <v>0.18115218115218121</v>
      </c>
      <c r="DL49" s="150">
        <f t="shared" si="65"/>
        <v>12.350438588703371</v>
      </c>
      <c r="DM49" s="150">
        <f t="shared" si="66"/>
        <v>16.055875805506737</v>
      </c>
      <c r="DN49" s="150">
        <f t="shared" si="67"/>
        <v>3.2166981275358539</v>
      </c>
      <c r="DP49" s="314">
        <f t="shared" si="68"/>
        <v>220</v>
      </c>
      <c r="DQ49" s="144">
        <f t="shared" si="69"/>
        <v>208.36325504630173</v>
      </c>
      <c r="DS49">
        <f t="shared" si="116"/>
        <v>220</v>
      </c>
      <c r="DT49" s="144">
        <f t="shared" si="70"/>
        <v>208.36325504630173</v>
      </c>
      <c r="DU49" s="144"/>
      <c r="DV49" s="5">
        <f t="shared" si="117"/>
        <v>4.799310702732992</v>
      </c>
      <c r="DW49" s="5">
        <f t="shared" si="71"/>
        <v>2.0069844756883422</v>
      </c>
      <c r="DX49" s="5">
        <f t="shared" si="118"/>
        <v>2.7923262270446498</v>
      </c>
      <c r="DY49" s="150">
        <f t="shared" si="119"/>
        <v>0.41818181818181821</v>
      </c>
      <c r="EA49" s="5">
        <f t="shared" si="72"/>
        <v>0.25972740273613842</v>
      </c>
      <c r="EB49" s="5">
        <f t="shared" si="73"/>
        <v>3.6794715387619603</v>
      </c>
      <c r="EC49" s="5">
        <f t="shared" si="74"/>
        <v>14.504583457148595</v>
      </c>
      <c r="ED49" s="5"/>
      <c r="EE49" s="150">
        <f t="shared" si="120"/>
        <v>5.9945411537612774</v>
      </c>
      <c r="EF49" s="150">
        <f t="shared" si="75"/>
        <v>0.33022850235927792</v>
      </c>
      <c r="EG49" s="150">
        <f t="shared" si="76"/>
        <v>0.31414200362302636</v>
      </c>
      <c r="EH49" s="150"/>
      <c r="EI49" s="456">
        <f t="shared" si="77"/>
        <v>0.12217738039006779</v>
      </c>
      <c r="EJ49" s="456">
        <f t="shared" si="78"/>
        <v>2.0975999999999999</v>
      </c>
      <c r="EK49" s="456">
        <f t="shared" si="79"/>
        <v>4.7715185405603093E-2</v>
      </c>
      <c r="EL49" s="456">
        <f t="shared" si="80"/>
        <v>6.0715506074458775E-2</v>
      </c>
      <c r="EM49">
        <f t="shared" si="81"/>
        <v>5.4000000000000003E-3</v>
      </c>
      <c r="EN49" s="144">
        <f t="shared" si="121"/>
        <v>53.115185405603093</v>
      </c>
      <c r="EO49">
        <f t="shared" si="82"/>
        <v>2.437350659161547</v>
      </c>
      <c r="EP49" s="144">
        <f t="shared" si="122"/>
        <v>2437.3506591615469</v>
      </c>
      <c r="EQ49" s="150">
        <f t="shared" si="83"/>
        <v>0.48812500000000003</v>
      </c>
      <c r="ER49" s="150">
        <f t="shared" si="170"/>
        <v>0.15620000000000001</v>
      </c>
      <c r="ES49" s="456"/>
      <c r="EU49" s="144">
        <f t="shared" si="123"/>
        <v>644.32500000000005</v>
      </c>
      <c r="EV49" s="456">
        <f t="shared" si="85"/>
        <v>5.390178546620638E-2</v>
      </c>
      <c r="EW49" s="456">
        <f t="shared" si="124"/>
        <v>2.1810172754090324E-2</v>
      </c>
      <c r="EX49" s="456">
        <f t="shared" si="86"/>
        <v>2.9605559532086849E-3</v>
      </c>
      <c r="EY49" s="456">
        <f t="shared" si="87"/>
        <v>32.367401730078932</v>
      </c>
      <c r="EZ49" s="456">
        <f t="shared" si="88"/>
        <v>32.670577767048862</v>
      </c>
      <c r="FA49" s="538">
        <f t="shared" si="89"/>
        <v>5.3714202694786176E-2</v>
      </c>
      <c r="FB49" s="144">
        <f t="shared" si="125"/>
        <v>32724.291969743645</v>
      </c>
      <c r="FC49" s="150">
        <f t="shared" si="126"/>
        <v>35.805967628905194</v>
      </c>
      <c r="FD49" s="5">
        <f t="shared" si="127"/>
        <v>40.04</v>
      </c>
      <c r="FE49" s="150">
        <f t="shared" si="128"/>
        <v>0.52791204663516755</v>
      </c>
      <c r="FF49" s="5">
        <f t="shared" si="129"/>
        <v>52.791204663516758</v>
      </c>
      <c r="FG49">
        <f t="shared" si="130"/>
        <v>44</v>
      </c>
      <c r="FI49" s="59">
        <f t="shared" si="90"/>
        <v>-50</v>
      </c>
      <c r="FJ49">
        <f t="shared" si="91"/>
        <v>-50</v>
      </c>
      <c r="FL49">
        <f t="shared" si="92"/>
        <v>0.56766977275315589</v>
      </c>
    </row>
    <row r="50" spans="5:168">
      <c r="E50" s="147">
        <v>45</v>
      </c>
      <c r="F50" s="188">
        <f t="shared" si="174"/>
        <v>0.22500000000000001</v>
      </c>
      <c r="G50" s="188">
        <f t="shared" si="171"/>
        <v>0.22500000000000001</v>
      </c>
      <c r="H50" s="188">
        <f t="shared" si="135"/>
        <v>38.25</v>
      </c>
      <c r="I50" s="188">
        <f t="shared" si="175"/>
        <v>2.7</v>
      </c>
      <c r="J50" s="465">
        <f t="shared" si="136"/>
        <v>11.950520438254825</v>
      </c>
      <c r="K50" s="379">
        <f t="shared" si="137"/>
        <v>8.6545681730577186</v>
      </c>
      <c r="L50" s="149">
        <f t="shared" si="138"/>
        <v>20.605088611312546</v>
      </c>
      <c r="M50" s="379"/>
      <c r="N50" s="188">
        <f t="shared" si="139"/>
        <v>0.42002091504261779</v>
      </c>
      <c r="O50" s="149">
        <f t="shared" si="172"/>
        <v>156.28381869064481</v>
      </c>
      <c r="P50" s="149">
        <f t="shared" si="140"/>
        <v>11.031798966398458</v>
      </c>
      <c r="Q50" s="188">
        <f t="shared" si="6"/>
        <v>0.91931658053320475</v>
      </c>
      <c r="R50" s="188">
        <f t="shared" si="141"/>
        <v>13.023651557553734</v>
      </c>
      <c r="S50" s="379">
        <f t="shared" si="142"/>
        <v>170</v>
      </c>
      <c r="T50" s="188">
        <f t="shared" si="143"/>
        <v>16.316468469762597</v>
      </c>
      <c r="U50" s="188">
        <f t="shared" si="10"/>
        <v>2.0480030833048821</v>
      </c>
      <c r="V50" s="188">
        <f t="shared" si="11"/>
        <v>2.827951922643047</v>
      </c>
      <c r="W50" s="172">
        <f t="shared" si="12"/>
        <v>250.97342648556489</v>
      </c>
      <c r="X50" s="379">
        <f t="shared" si="95"/>
        <v>197.0072624418882</v>
      </c>
      <c r="Z50" s="188">
        <f t="shared" si="13"/>
        <v>13.333333333333334</v>
      </c>
      <c r="AA50" s="150">
        <f t="shared" si="14"/>
        <v>2.3109183034991179</v>
      </c>
      <c r="AB50" s="150">
        <f t="shared" si="144"/>
        <v>0.18057956857647436</v>
      </c>
      <c r="AC50" s="150"/>
      <c r="AD50" s="150">
        <f t="shared" si="16"/>
        <v>2.3109183034991179</v>
      </c>
      <c r="AE50" s="314">
        <f t="shared" si="145"/>
        <v>312.70991178239439</v>
      </c>
      <c r="AF50" s="456">
        <f t="shared" si="146"/>
        <v>0.18057956857647431</v>
      </c>
      <c r="AH50" s="150">
        <f t="shared" si="147"/>
        <v>12.489995996796797</v>
      </c>
      <c r="AI50" s="150">
        <f t="shared" si="148"/>
        <v>16.316468469762597</v>
      </c>
      <c r="AJ50" s="150">
        <f t="shared" si="149"/>
        <v>3.4097297306883432</v>
      </c>
      <c r="AL50" s="314">
        <f t="shared" si="150"/>
        <v>225</v>
      </c>
      <c r="AM50" s="144">
        <f t="shared" si="151"/>
        <v>197.0072624418882</v>
      </c>
      <c r="AO50">
        <f t="shared" si="96"/>
        <v>225</v>
      </c>
      <c r="AP50" s="144">
        <f t="shared" si="24"/>
        <v>197.0072624418882</v>
      </c>
      <c r="AQ50" s="144"/>
      <c r="AR50" s="5">
        <f t="shared" si="97"/>
        <v>5.0759550059479297</v>
      </c>
      <c r="AS50" s="5">
        <f t="shared" si="25"/>
        <v>2.0480030833048821</v>
      </c>
      <c r="AT50" s="5">
        <f t="shared" si="98"/>
        <v>3.0279519226430476</v>
      </c>
      <c r="AU50" s="150">
        <f t="shared" si="99"/>
        <v>0.40347148091444113</v>
      </c>
      <c r="AW50" s="5">
        <f t="shared" si="152"/>
        <v>0.27105923161388146</v>
      </c>
      <c r="AX50" s="5">
        <f t="shared" si="153"/>
        <v>3.8400057811966541</v>
      </c>
      <c r="AY50" s="5">
        <f t="shared" si="28"/>
        <v>16.152596538856958</v>
      </c>
      <c r="AZ50" s="5"/>
      <c r="BA50" s="150">
        <f t="shared" si="100"/>
        <v>5.9837295999752769</v>
      </c>
      <c r="BB50" s="150">
        <f t="shared" si="154"/>
        <v>0.33980415279736848</v>
      </c>
      <c r="BC50" s="150">
        <f t="shared" si="155"/>
        <v>0.32325119314823192</v>
      </c>
      <c r="BD50" s="150"/>
      <c r="BE50" s="456">
        <f t="shared" si="31"/>
        <v>0.12173706774710896</v>
      </c>
      <c r="BF50" s="456">
        <f t="shared" si="156"/>
        <v>1.5863112584859531</v>
      </c>
      <c r="BG50" s="456">
        <f t="shared" si="157"/>
        <v>0.10782874068637591</v>
      </c>
      <c r="BH50" s="456">
        <f t="shared" si="34"/>
        <v>5.7295667157222278E-2</v>
      </c>
      <c r="BI50">
        <f t="shared" si="35"/>
        <v>5.3777341972146711E-3</v>
      </c>
      <c r="BJ50" s="144">
        <f t="shared" si="101"/>
        <v>113.20647488359057</v>
      </c>
      <c r="BK50">
        <f t="shared" si="158"/>
        <v>1.8517750912101021</v>
      </c>
      <c r="BL50" s="144">
        <f t="shared" si="102"/>
        <v>1851.7750912101021</v>
      </c>
      <c r="BM50" s="150">
        <f t="shared" si="159"/>
        <v>0.49921874999999999</v>
      </c>
      <c r="BN50" s="150">
        <f t="shared" si="160"/>
        <v>0.15975</v>
      </c>
      <c r="BO50" s="456"/>
      <c r="BQ50" s="144">
        <f t="shared" si="103"/>
        <v>658.96875</v>
      </c>
      <c r="BR50" s="456">
        <f t="shared" si="39"/>
        <v>5.370752988843043E-2</v>
      </c>
      <c r="BS50" s="456">
        <f t="shared" si="104"/>
        <v>2.3093372451667468E-2</v>
      </c>
      <c r="BT50" s="456">
        <f t="shared" si="161"/>
        <v>3.134740016152666E-3</v>
      </c>
      <c r="BU50" s="456">
        <f t="shared" si="41"/>
        <v>29.291459384104375</v>
      </c>
      <c r="BV50" s="456">
        <f t="shared" si="162"/>
        <v>29.579737606731999</v>
      </c>
      <c r="BW50" s="538">
        <f t="shared" si="163"/>
        <v>5.2448680694134595E-2</v>
      </c>
      <c r="BX50" s="144">
        <f t="shared" si="105"/>
        <v>29632.186287426135</v>
      </c>
      <c r="BY50" s="150">
        <f t="shared" si="106"/>
        <v>32.142930128636237</v>
      </c>
      <c r="BZ50" s="5">
        <f t="shared" si="107"/>
        <v>40.950000000000003</v>
      </c>
      <c r="CA50" s="150">
        <f t="shared" si="108"/>
        <v>0.56024570266826224</v>
      </c>
      <c r="CB50" s="5">
        <f t="shared" si="109"/>
        <v>56.024570266826224</v>
      </c>
      <c r="CC50">
        <f t="shared" si="173"/>
        <v>45</v>
      </c>
      <c r="CE50" s="59">
        <f t="shared" si="164"/>
        <v>-50</v>
      </c>
      <c r="CF50">
        <f t="shared" si="165"/>
        <v>-50</v>
      </c>
      <c r="CG50" s="150">
        <f t="shared" si="166"/>
        <v>0.56766977275315589</v>
      </c>
      <c r="CH50" s="150">
        <f t="shared" si="167"/>
        <v>0.15382552837714242</v>
      </c>
      <c r="CI50" s="147">
        <v>45</v>
      </c>
      <c r="CJ50" s="188">
        <f t="shared" si="133"/>
        <v>0.22500000000000001</v>
      </c>
      <c r="CK50" s="188">
        <f t="shared" si="111"/>
        <v>0.22500000000000001</v>
      </c>
      <c r="CL50" s="188">
        <f t="shared" si="48"/>
        <v>38.25</v>
      </c>
      <c r="CM50" s="188">
        <f t="shared" si="134"/>
        <v>2.7</v>
      </c>
      <c r="CN50" s="465">
        <f t="shared" si="112"/>
        <v>12</v>
      </c>
      <c r="CO50" s="379">
        <f t="shared" si="168"/>
        <v>8.625</v>
      </c>
      <c r="CP50" s="379">
        <f t="shared" si="169"/>
        <v>20.625</v>
      </c>
      <c r="CQ50" s="379"/>
      <c r="CR50" s="188">
        <f t="shared" si="113"/>
        <v>0.4156318480642805</v>
      </c>
      <c r="CS50" s="149">
        <f t="shared" si="114"/>
        <v>155.29102015588504</v>
      </c>
      <c r="CT50" s="149">
        <f t="shared" si="51"/>
        <v>10.961719069827179</v>
      </c>
      <c r="CU50" s="188">
        <f t="shared" si="52"/>
        <v>0.91347658915226493</v>
      </c>
      <c r="CV50" s="188">
        <f t="shared" si="53"/>
        <v>12.940918346323754</v>
      </c>
      <c r="CW50" s="379">
        <f t="shared" si="54"/>
        <v>170</v>
      </c>
      <c r="CX50" s="188">
        <f t="shared" si="55"/>
        <v>16.420782073813708</v>
      </c>
      <c r="CY50" s="188">
        <f t="shared" si="56"/>
        <v>2.0525977592267135</v>
      </c>
      <c r="CZ50" s="188">
        <f t="shared" si="57"/>
        <v>2.8557881867502104</v>
      </c>
      <c r="DA50" s="172">
        <f t="shared" si="58"/>
        <v>250.90909090909091</v>
      </c>
      <c r="DB50" s="379">
        <f t="shared" si="115"/>
        <v>203.73296048971724</v>
      </c>
      <c r="DD50" s="188">
        <f t="shared" si="59"/>
        <v>13.333333333333332</v>
      </c>
      <c r="DE50" s="150">
        <f t="shared" si="60"/>
        <v>2.318840579710145</v>
      </c>
      <c r="DF50" s="150">
        <f t="shared" si="61"/>
        <v>0.18115218115218115</v>
      </c>
      <c r="DG50" s="150"/>
      <c r="DH50" s="150">
        <f t="shared" si="62"/>
        <v>2.3188405797101455</v>
      </c>
      <c r="DI50" s="314">
        <f t="shared" si="63"/>
        <v>311.64154411764696</v>
      </c>
      <c r="DJ50" s="456">
        <f t="shared" si="64"/>
        <v>0.18115218115218121</v>
      </c>
      <c r="DL50" s="150">
        <f t="shared" si="65"/>
        <v>12.489995996796797</v>
      </c>
      <c r="DM50" s="150">
        <f t="shared" si="66"/>
        <v>16.420782073813708</v>
      </c>
      <c r="DN50" s="150">
        <f t="shared" si="67"/>
        <v>3.4869990670224995</v>
      </c>
      <c r="DP50" s="314">
        <f t="shared" si="68"/>
        <v>225</v>
      </c>
      <c r="DQ50" s="144">
        <f t="shared" si="69"/>
        <v>203.73296048971724</v>
      </c>
      <c r="DS50">
        <f t="shared" si="116"/>
        <v>225</v>
      </c>
      <c r="DT50" s="144">
        <f t="shared" si="70"/>
        <v>203.73296048971724</v>
      </c>
      <c r="DU50" s="144"/>
      <c r="DV50" s="5">
        <f t="shared" si="117"/>
        <v>4.9083859459769235</v>
      </c>
      <c r="DW50" s="5">
        <f t="shared" si="71"/>
        <v>2.0525977592267135</v>
      </c>
      <c r="DX50" s="5">
        <f t="shared" si="118"/>
        <v>2.85578818675021</v>
      </c>
      <c r="DY50" s="150">
        <f t="shared" si="119"/>
        <v>0.41818181818181821</v>
      </c>
      <c r="EA50" s="5">
        <f t="shared" si="72"/>
        <v>0.27166735048588853</v>
      </c>
      <c r="EB50" s="5">
        <f t="shared" si="73"/>
        <v>3.8486207985500882</v>
      </c>
      <c r="EC50" s="5">
        <f t="shared" si="74"/>
        <v>15.171374742110489</v>
      </c>
      <c r="ED50" s="5"/>
      <c r="EE50" s="150">
        <f t="shared" si="120"/>
        <v>6.1307807254376705</v>
      </c>
      <c r="EF50" s="150">
        <f t="shared" si="75"/>
        <v>0.33773369559471605</v>
      </c>
      <c r="EG50" s="150">
        <f t="shared" si="76"/>
        <v>0.32128159461445871</v>
      </c>
      <c r="EH50" s="150"/>
      <c r="EI50" s="456">
        <f t="shared" si="77"/>
        <v>0.12779400583155334</v>
      </c>
      <c r="EJ50" s="456">
        <f t="shared" si="78"/>
        <v>2.0975999999999995</v>
      </c>
      <c r="EK50" s="456">
        <f t="shared" si="79"/>
        <v>4.6654847952145251E-2</v>
      </c>
      <c r="EL50" s="456">
        <f t="shared" si="80"/>
        <v>5.9366272606137464E-2</v>
      </c>
      <c r="EM50">
        <f t="shared" si="81"/>
        <v>5.4000000000000003E-3</v>
      </c>
      <c r="EN50" s="144">
        <f t="shared" si="121"/>
        <v>52.054847952145252</v>
      </c>
      <c r="EO50">
        <f t="shared" si="82"/>
        <v>2.445576644510858</v>
      </c>
      <c r="EP50" s="144">
        <f t="shared" si="122"/>
        <v>2445.5766445108579</v>
      </c>
      <c r="EQ50" s="150">
        <f t="shared" si="83"/>
        <v>0.49921874999999999</v>
      </c>
      <c r="ER50" s="150">
        <f t="shared" si="170"/>
        <v>0.15975</v>
      </c>
      <c r="ES50" s="456"/>
      <c r="EU50" s="144">
        <f t="shared" si="123"/>
        <v>658.96875</v>
      </c>
      <c r="EV50" s="456">
        <f t="shared" si="85"/>
        <v>5.6379708455097072E-2</v>
      </c>
      <c r="EW50" s="456">
        <f t="shared" si="124"/>
        <v>2.2812809828012866E-2</v>
      </c>
      <c r="EX50" s="456">
        <f t="shared" si="86"/>
        <v>3.0966558911402816E-3</v>
      </c>
      <c r="EY50" s="456">
        <f t="shared" si="87"/>
        <v>32.367401730078967</v>
      </c>
      <c r="EZ50" s="456">
        <f t="shared" si="88"/>
        <v>32.684607454506306</v>
      </c>
      <c r="FA50" s="538">
        <f t="shared" si="89"/>
        <v>5.4934980028758594E-2</v>
      </c>
      <c r="FB50" s="144">
        <f t="shared" si="125"/>
        <v>32739.542434535069</v>
      </c>
      <c r="FC50" s="150">
        <f t="shared" si="126"/>
        <v>35.844087829045925</v>
      </c>
      <c r="FD50" s="5">
        <f t="shared" si="127"/>
        <v>40.950000000000003</v>
      </c>
      <c r="FE50" s="150">
        <f t="shared" si="128"/>
        <v>0.53324417487919462</v>
      </c>
      <c r="FF50" s="5">
        <f t="shared" si="129"/>
        <v>53.324417487919462</v>
      </c>
      <c r="FG50">
        <f t="shared" si="130"/>
        <v>45</v>
      </c>
      <c r="FI50" s="59">
        <f t="shared" si="90"/>
        <v>-50</v>
      </c>
      <c r="FJ50">
        <f t="shared" si="91"/>
        <v>-50</v>
      </c>
      <c r="FL50">
        <f t="shared" si="92"/>
        <v>0.56766977275315589</v>
      </c>
    </row>
    <row r="51" spans="5:168">
      <c r="E51" s="147">
        <v>46</v>
      </c>
      <c r="F51" s="188">
        <f t="shared" si="174"/>
        <v>0.23</v>
      </c>
      <c r="G51" s="188">
        <f t="shared" si="171"/>
        <v>0.23</v>
      </c>
      <c r="H51" s="188">
        <f t="shared" si="135"/>
        <v>39.1</v>
      </c>
      <c r="I51" s="188">
        <f t="shared" si="175"/>
        <v>2.7600000000000002</v>
      </c>
      <c r="J51" s="465">
        <f t="shared" si="136"/>
        <v>11.949420892438265</v>
      </c>
      <c r="K51" s="379">
        <f t="shared" si="137"/>
        <v>8.6552252435701114</v>
      </c>
      <c r="L51" s="149">
        <f t="shared" si="138"/>
        <v>20.604646136008377</v>
      </c>
      <c r="M51" s="379"/>
      <c r="N51" s="188">
        <f t="shared" si="139"/>
        <v>0.42006182423314548</v>
      </c>
      <c r="O51" s="149">
        <f t="shared" si="172"/>
        <v>156.28465962696657</v>
      </c>
      <c r="P51" s="149">
        <f t="shared" si="140"/>
        <v>11.031858326609406</v>
      </c>
      <c r="Q51" s="188">
        <f t="shared" si="6"/>
        <v>0.91932152721745042</v>
      </c>
      <c r="R51" s="188">
        <f t="shared" si="141"/>
        <v>13.023721635580548</v>
      </c>
      <c r="S51" s="379">
        <f t="shared" si="142"/>
        <v>170</v>
      </c>
      <c r="T51" s="188">
        <f t="shared" si="143"/>
        <v>16.678966911330129</v>
      </c>
      <c r="U51" s="188">
        <f t="shared" si="10"/>
        <v>2.0936956353112612</v>
      </c>
      <c r="V51" s="188">
        <f t="shared" si="11"/>
        <v>2.8905602873340785</v>
      </c>
      <c r="W51" s="172">
        <f t="shared" si="12"/>
        <v>250.97477693036396</v>
      </c>
      <c r="X51" s="379">
        <f t="shared" si="95"/>
        <v>192.8917119295561</v>
      </c>
      <c r="Z51" s="188">
        <f t="shared" si="13"/>
        <v>13.333333333333334</v>
      </c>
      <c r="AA51" s="150">
        <f t="shared" si="14"/>
        <v>2.3107428677096329</v>
      </c>
      <c r="AB51" s="150">
        <f t="shared" si="144"/>
        <v>0.18056683128272033</v>
      </c>
      <c r="AC51" s="150"/>
      <c r="AD51" s="150">
        <f t="shared" si="16"/>
        <v>2.3107428677096329</v>
      </c>
      <c r="AE51" s="314">
        <f t="shared" si="145"/>
        <v>319.68329002574535</v>
      </c>
      <c r="AF51" s="456">
        <f t="shared" si="146"/>
        <v>0.18056683128272033</v>
      </c>
      <c r="AH51" s="150">
        <f t="shared" si="147"/>
        <v>12.628011192055013</v>
      </c>
      <c r="AI51" s="150">
        <f t="shared" si="148"/>
        <v>16.678966911330129</v>
      </c>
      <c r="AJ51" s="150">
        <f t="shared" si="149"/>
        <v>3.6782470948124404</v>
      </c>
      <c r="AL51" s="314">
        <f t="shared" si="150"/>
        <v>230</v>
      </c>
      <c r="AM51" s="144">
        <f t="shared" si="151"/>
        <v>192.8917119295561</v>
      </c>
      <c r="AO51">
        <f t="shared" si="96"/>
        <v>230</v>
      </c>
      <c r="AP51" s="144">
        <f t="shared" si="24"/>
        <v>192.8917119295561</v>
      </c>
      <c r="AQ51" s="144"/>
      <c r="AR51" s="5">
        <f t="shared" si="97"/>
        <v>5.18425592264534</v>
      </c>
      <c r="AS51" s="5">
        <f t="shared" si="25"/>
        <v>2.0936956353112612</v>
      </c>
      <c r="AT51" s="5">
        <f t="shared" si="98"/>
        <v>3.0905602873340787</v>
      </c>
      <c r="AU51" s="150">
        <f t="shared" si="99"/>
        <v>0.40385653535462873</v>
      </c>
      <c r="AW51" s="5">
        <f t="shared" si="152"/>
        <v>0.28326470360093536</v>
      </c>
      <c r="AX51" s="5">
        <f t="shared" si="153"/>
        <v>4.0129166343465839</v>
      </c>
      <c r="AY51" s="5">
        <f t="shared" si="28"/>
        <v>16.854499801357463</v>
      </c>
      <c r="AZ51" s="5"/>
      <c r="BA51" s="150">
        <f t="shared" si="100"/>
        <v>6.119586492208275</v>
      </c>
      <c r="BB51" s="150">
        <f t="shared" si="154"/>
        <v>0.34724136208257939</v>
      </c>
      <c r="BC51" s="150">
        <f t="shared" si="155"/>
        <v>0.33032611190760081</v>
      </c>
      <c r="BD51" s="150"/>
      <c r="BE51" s="456">
        <f t="shared" si="31"/>
        <v>0.12732775204110111</v>
      </c>
      <c r="BF51" s="456">
        <f t="shared" si="156"/>
        <v>1.5876449733939115</v>
      </c>
      <c r="BG51" s="456">
        <f t="shared" si="157"/>
        <v>0.10556644676492233</v>
      </c>
      <c r="BH51" s="456">
        <f t="shared" si="34"/>
        <v>5.6096331349483552E-2</v>
      </c>
      <c r="BI51">
        <f t="shared" si="35"/>
        <v>5.3772394015972197E-3</v>
      </c>
      <c r="BJ51" s="144">
        <f t="shared" si="101"/>
        <v>110.94368616651954</v>
      </c>
      <c r="BK51">
        <f t="shared" si="158"/>
        <v>1.861771871831049</v>
      </c>
      <c r="BL51" s="144">
        <f t="shared" si="102"/>
        <v>1861.7718718310489</v>
      </c>
      <c r="BM51" s="150">
        <f t="shared" si="159"/>
        <v>0.51031250000000006</v>
      </c>
      <c r="BN51" s="150">
        <f t="shared" si="160"/>
        <v>0.1633</v>
      </c>
      <c r="BO51" s="456"/>
      <c r="BQ51" s="144">
        <f t="shared" si="103"/>
        <v>673.61250000000007</v>
      </c>
      <c r="BR51" s="456">
        <f t="shared" si="39"/>
        <v>5.6174008253426971E-2</v>
      </c>
      <c r="BS51" s="456">
        <f t="shared" si="104"/>
        <v>2.4115312708193004E-2</v>
      </c>
      <c r="BT51" s="456">
        <f t="shared" si="161"/>
        <v>3.2734602062397841E-3</v>
      </c>
      <c r="BU51" s="456">
        <f t="shared" si="41"/>
        <v>29.354642178207243</v>
      </c>
      <c r="BV51" s="456">
        <f t="shared" si="162"/>
        <v>29.656514493319929</v>
      </c>
      <c r="BW51" s="538">
        <f t="shared" si="163"/>
        <v>5.3660147450301017E-2</v>
      </c>
      <c r="BX51" s="144">
        <f t="shared" si="105"/>
        <v>29710.17464077023</v>
      </c>
      <c r="BY51" s="150">
        <f t="shared" si="106"/>
        <v>32.245559012601277</v>
      </c>
      <c r="BZ51" s="5">
        <f t="shared" si="107"/>
        <v>41.86</v>
      </c>
      <c r="CA51" s="150">
        <f t="shared" si="108"/>
        <v>0.56486990392828584</v>
      </c>
      <c r="CB51" s="5">
        <f t="shared" si="109"/>
        <v>56.486990392828588</v>
      </c>
      <c r="CC51">
        <f t="shared" si="173"/>
        <v>46</v>
      </c>
      <c r="CE51" s="59">
        <f t="shared" si="164"/>
        <v>-50</v>
      </c>
      <c r="CF51">
        <f t="shared" si="165"/>
        <v>-50</v>
      </c>
      <c r="CG51" s="150">
        <f t="shared" si="166"/>
        <v>0.56766977275315578</v>
      </c>
      <c r="CH51" s="150">
        <f t="shared" si="167"/>
        <v>0.15382552837714242</v>
      </c>
      <c r="CI51" s="147">
        <v>46</v>
      </c>
      <c r="CJ51" s="188">
        <f t="shared" si="133"/>
        <v>0.23</v>
      </c>
      <c r="CK51" s="188">
        <f t="shared" si="111"/>
        <v>0.23</v>
      </c>
      <c r="CL51" s="188">
        <f t="shared" si="48"/>
        <v>39.1</v>
      </c>
      <c r="CM51" s="188">
        <f t="shared" si="134"/>
        <v>2.7600000000000002</v>
      </c>
      <c r="CN51" s="465">
        <f t="shared" si="112"/>
        <v>12</v>
      </c>
      <c r="CO51" s="379">
        <f t="shared" si="168"/>
        <v>8.625</v>
      </c>
      <c r="CP51" s="379">
        <f t="shared" si="169"/>
        <v>20.625</v>
      </c>
      <c r="CQ51" s="379"/>
      <c r="CR51" s="188">
        <f t="shared" si="113"/>
        <v>0.4156318480642805</v>
      </c>
      <c r="CS51" s="149">
        <f t="shared" si="114"/>
        <v>155.29102015588504</v>
      </c>
      <c r="CT51" s="149">
        <f t="shared" si="51"/>
        <v>10.961719069827179</v>
      </c>
      <c r="CU51" s="188">
        <f t="shared" si="52"/>
        <v>0.91347658915226493</v>
      </c>
      <c r="CV51" s="188">
        <f t="shared" si="53"/>
        <v>12.940918346323754</v>
      </c>
      <c r="CW51" s="379">
        <f t="shared" si="54"/>
        <v>170</v>
      </c>
      <c r="CX51" s="188">
        <f t="shared" si="55"/>
        <v>16.785688342120679</v>
      </c>
      <c r="CY51" s="188">
        <f t="shared" si="56"/>
        <v>2.0982110427650853</v>
      </c>
      <c r="CZ51" s="188">
        <f t="shared" si="57"/>
        <v>2.9192501464557705</v>
      </c>
      <c r="DA51" s="172">
        <f t="shared" si="58"/>
        <v>250.90909090909091</v>
      </c>
      <c r="DB51" s="379">
        <f t="shared" si="115"/>
        <v>199.30398308776685</v>
      </c>
      <c r="DD51" s="188">
        <f t="shared" si="59"/>
        <v>13.333333333333332</v>
      </c>
      <c r="DE51" s="150">
        <f t="shared" si="60"/>
        <v>2.318840579710145</v>
      </c>
      <c r="DF51" s="150">
        <f t="shared" si="61"/>
        <v>0.18115218115218115</v>
      </c>
      <c r="DG51" s="150"/>
      <c r="DH51" s="150">
        <f t="shared" si="62"/>
        <v>2.3188405797101455</v>
      </c>
      <c r="DI51" s="314">
        <f t="shared" si="63"/>
        <v>318.56691176470576</v>
      </c>
      <c r="DJ51" s="456">
        <f t="shared" si="64"/>
        <v>0.18115218115218121</v>
      </c>
      <c r="DL51" s="150">
        <f t="shared" si="65"/>
        <v>12.628011192055013</v>
      </c>
      <c r="DM51" s="150">
        <f t="shared" si="66"/>
        <v>16.785688342120679</v>
      </c>
      <c r="DN51" s="150">
        <f t="shared" si="67"/>
        <v>3.7573000065091442</v>
      </c>
      <c r="DP51" s="314">
        <f t="shared" si="68"/>
        <v>230</v>
      </c>
      <c r="DQ51" s="144">
        <f t="shared" si="69"/>
        <v>199.30398308776685</v>
      </c>
      <c r="DS51">
        <f t="shared" si="116"/>
        <v>230</v>
      </c>
      <c r="DT51" s="144">
        <f t="shared" si="70"/>
        <v>199.30398308776685</v>
      </c>
      <c r="DU51" s="144"/>
      <c r="DV51" s="5">
        <f t="shared" si="117"/>
        <v>5.0174611892208558</v>
      </c>
      <c r="DW51" s="5">
        <f t="shared" si="71"/>
        <v>2.0982110427650853</v>
      </c>
      <c r="DX51" s="5">
        <f t="shared" si="118"/>
        <v>2.9192501464557705</v>
      </c>
      <c r="DY51" s="150">
        <f t="shared" si="119"/>
        <v>0.41818181818181821</v>
      </c>
      <c r="EA51" s="5">
        <f t="shared" si="72"/>
        <v>0.28387561166821745</v>
      </c>
      <c r="EB51" s="5">
        <f t="shared" si="73"/>
        <v>4.021571165299747</v>
      </c>
      <c r="EC51" s="5">
        <f t="shared" si="74"/>
        <v>15.853150100891751</v>
      </c>
      <c r="ED51" s="5"/>
      <c r="EE51" s="150">
        <f t="shared" si="120"/>
        <v>6.2670202971140627</v>
      </c>
      <c r="EF51" s="150">
        <f t="shared" si="75"/>
        <v>0.34523888883015413</v>
      </c>
      <c r="EG51" s="150">
        <f t="shared" si="76"/>
        <v>0.32842118560589112</v>
      </c>
      <c r="EH51" s="150"/>
      <c r="EI51" s="456">
        <f t="shared" si="77"/>
        <v>0.13353684757509476</v>
      </c>
      <c r="EJ51" s="456">
        <f t="shared" si="78"/>
        <v>2.0975999999999995</v>
      </c>
      <c r="EK51" s="456">
        <f t="shared" si="79"/>
        <v>4.5640612127098606E-2</v>
      </c>
      <c r="EL51" s="456">
        <f t="shared" si="80"/>
        <v>5.8075701462525775E-2</v>
      </c>
      <c r="EM51">
        <f t="shared" si="81"/>
        <v>5.4000000000000003E-3</v>
      </c>
      <c r="EN51" s="144">
        <f t="shared" si="121"/>
        <v>51.040612127098612</v>
      </c>
      <c r="EO51">
        <f t="shared" si="82"/>
        <v>2.4541750470967685</v>
      </c>
      <c r="EP51" s="144">
        <f t="shared" si="122"/>
        <v>2454.1750470967686</v>
      </c>
      <c r="EQ51" s="150">
        <f t="shared" si="83"/>
        <v>0.51031250000000006</v>
      </c>
      <c r="ER51" s="150">
        <f t="shared" si="170"/>
        <v>0.1633</v>
      </c>
      <c r="ES51" s="456"/>
      <c r="EU51" s="144">
        <f t="shared" si="123"/>
        <v>673.61250000000007</v>
      </c>
      <c r="EV51" s="456">
        <f t="shared" si="85"/>
        <v>5.891331510665946E-2</v>
      </c>
      <c r="EW51" s="456">
        <f t="shared" si="124"/>
        <v>2.3837978072135904E-2</v>
      </c>
      <c r="EX51" s="456">
        <f t="shared" si="86"/>
        <v>3.2358142546433754E-3</v>
      </c>
      <c r="EY51" s="456">
        <f t="shared" si="87"/>
        <v>32.367401730078967</v>
      </c>
      <c r="EZ51" s="456">
        <f t="shared" si="88"/>
        <v>32.6989608681872</v>
      </c>
      <c r="FA51" s="538">
        <f t="shared" si="89"/>
        <v>5.6155757362730992E-2</v>
      </c>
      <c r="FB51" s="144">
        <f t="shared" si="125"/>
        <v>32755.11662554993</v>
      </c>
      <c r="FC51" s="150">
        <f t="shared" si="126"/>
        <v>35.882904172646697</v>
      </c>
      <c r="FD51" s="5">
        <f t="shared" si="127"/>
        <v>41.86</v>
      </c>
      <c r="FE51" s="150">
        <f t="shared" si="128"/>
        <v>0.53844142363192238</v>
      </c>
      <c r="FF51" s="5">
        <f t="shared" si="129"/>
        <v>53.84414236319224</v>
      </c>
      <c r="FG51">
        <f t="shared" si="130"/>
        <v>46</v>
      </c>
      <c r="FI51" s="59">
        <f t="shared" si="90"/>
        <v>-50</v>
      </c>
      <c r="FJ51">
        <f t="shared" si="91"/>
        <v>-50</v>
      </c>
      <c r="FL51">
        <f t="shared" si="92"/>
        <v>0.56766977275315578</v>
      </c>
    </row>
    <row r="52" spans="5:168">
      <c r="E52" s="147">
        <v>47</v>
      </c>
      <c r="F52" s="188">
        <f t="shared" si="174"/>
        <v>0.23499999999999999</v>
      </c>
      <c r="G52" s="188">
        <f t="shared" si="171"/>
        <v>0.23499999999999999</v>
      </c>
      <c r="H52" s="188">
        <f t="shared" si="135"/>
        <v>39.949999999999996</v>
      </c>
      <c r="I52" s="188">
        <f t="shared" si="175"/>
        <v>2.82</v>
      </c>
      <c r="J52" s="465">
        <f t="shared" si="136"/>
        <v>11.948321346621706</v>
      </c>
      <c r="K52" s="379">
        <f t="shared" si="137"/>
        <v>8.6558823140825041</v>
      </c>
      <c r="L52" s="149">
        <f t="shared" si="138"/>
        <v>20.604203660704208</v>
      </c>
      <c r="M52" s="379"/>
      <c r="N52" s="188">
        <f t="shared" si="139"/>
        <v>0.42010273518072305</v>
      </c>
      <c r="O52" s="149">
        <f t="shared" si="172"/>
        <v>156.28549841589373</v>
      </c>
      <c r="P52" s="149">
        <f t="shared" si="140"/>
        <v>11.031917535239558</v>
      </c>
      <c r="Q52" s="188">
        <f t="shared" si="6"/>
        <v>0.91932646126996309</v>
      </c>
      <c r="R52" s="188">
        <f t="shared" si="141"/>
        <v>13.023791534657811</v>
      </c>
      <c r="S52" s="379">
        <f t="shared" si="142"/>
        <v>170</v>
      </c>
      <c r="T52" s="188">
        <f t="shared" si="143"/>
        <v>17.041461686009384</v>
      </c>
      <c r="U52" s="188">
        <f t="shared" si="10"/>
        <v>2.139396136700122</v>
      </c>
      <c r="V52" s="188">
        <f t="shared" si="11"/>
        <v>2.9531585113427674</v>
      </c>
      <c r="W52" s="172">
        <f t="shared" si="12"/>
        <v>250.9761239266999</v>
      </c>
      <c r="X52" s="379">
        <f t="shared" si="95"/>
        <v>188.94467161898564</v>
      </c>
      <c r="Z52" s="188">
        <f t="shared" si="13"/>
        <v>13.333333333333336</v>
      </c>
      <c r="AA52" s="150">
        <f t="shared" si="14"/>
        <v>2.3105674585549103</v>
      </c>
      <c r="AB52" s="150">
        <f t="shared" si="144"/>
        <v>0.18055409344189954</v>
      </c>
      <c r="AC52" s="150"/>
      <c r="AD52" s="150">
        <f t="shared" si="16"/>
        <v>2.3105674585549099</v>
      </c>
      <c r="AE52" s="314">
        <f t="shared" si="145"/>
        <v>326.65772344703697</v>
      </c>
      <c r="AF52" s="456">
        <f t="shared" si="146"/>
        <v>0.18055409344189949</v>
      </c>
      <c r="AH52" s="150">
        <f t="shared" si="147"/>
        <v>12.764534199622535</v>
      </c>
      <c r="AI52" s="150">
        <f t="shared" si="148"/>
        <v>17.041461686009384</v>
      </c>
      <c r="AJ52" s="150">
        <f t="shared" si="149"/>
        <v>3.9467617427230008</v>
      </c>
      <c r="AL52" s="314">
        <f t="shared" si="150"/>
        <v>235</v>
      </c>
      <c r="AM52" s="144">
        <f t="shared" si="151"/>
        <v>188.94467161898564</v>
      </c>
      <c r="AO52">
        <f t="shared" si="96"/>
        <v>235</v>
      </c>
      <c r="AP52" s="144">
        <f t="shared" si="24"/>
        <v>188.94467161898564</v>
      </c>
      <c r="AQ52" s="144"/>
      <c r="AR52" s="5">
        <f t="shared" si="97"/>
        <v>5.2925546480428896</v>
      </c>
      <c r="AS52" s="5">
        <f t="shared" si="25"/>
        <v>2.139396136700122</v>
      </c>
      <c r="AT52" s="5">
        <f t="shared" si="98"/>
        <v>3.1531585113427676</v>
      </c>
      <c r="AU52" s="150">
        <f t="shared" si="99"/>
        <v>0.40422750051173112</v>
      </c>
      <c r="AW52" s="5">
        <f t="shared" si="152"/>
        <v>0.29574005419089916</v>
      </c>
      <c r="AX52" s="5">
        <f t="shared" si="153"/>
        <v>4.1896507677044053</v>
      </c>
      <c r="AY52" s="5">
        <f t="shared" si="28"/>
        <v>17.571322206941954</v>
      </c>
      <c r="AZ52" s="5"/>
      <c r="BA52" s="150">
        <f t="shared" si="100"/>
        <v>6.2554584422917081</v>
      </c>
      <c r="BB52" s="150">
        <f t="shared" si="154"/>
        <v>0.35467777809484319</v>
      </c>
      <c r="BC52" s="150">
        <f t="shared" si="155"/>
        <v>0.33740027603691425</v>
      </c>
      <c r="BD52" s="150"/>
      <c r="BE52" s="456">
        <f t="shared" si="31"/>
        <v>0.13304458509901124</v>
      </c>
      <c r="BF52" s="456">
        <f t="shared" si="156"/>
        <v>1.5889229693373061</v>
      </c>
      <c r="BG52" s="456">
        <f t="shared" si="157"/>
        <v>0.1033967817181884</v>
      </c>
      <c r="BH52" s="456">
        <f t="shared" si="34"/>
        <v>5.4946102053835683E-2</v>
      </c>
      <c r="BI52">
        <f t="shared" si="35"/>
        <v>5.3767446059797674E-3</v>
      </c>
      <c r="BJ52" s="144">
        <f t="shared" si="101"/>
        <v>108.77352632416817</v>
      </c>
      <c r="BK52">
        <f t="shared" si="158"/>
        <v>1.8720126219455226</v>
      </c>
      <c r="BL52" s="144">
        <f t="shared" si="102"/>
        <v>1872.0126219455226</v>
      </c>
      <c r="BM52" s="150">
        <f t="shared" si="159"/>
        <v>0.52140624999999985</v>
      </c>
      <c r="BN52" s="150">
        <f t="shared" si="160"/>
        <v>0.16685</v>
      </c>
      <c r="BO52" s="456"/>
      <c r="BQ52" s="144">
        <f t="shared" si="103"/>
        <v>688.2562499999998</v>
      </c>
      <c r="BR52" s="456">
        <f t="shared" si="39"/>
        <v>5.8696140484857905E-2</v>
      </c>
      <c r="BS52" s="456">
        <f t="shared" si="104"/>
        <v>2.5159265254858967E-2</v>
      </c>
      <c r="BT52" s="456">
        <f t="shared" si="161"/>
        <v>3.4151683880935778E-3</v>
      </c>
      <c r="BU52" s="456">
        <f t="shared" si="41"/>
        <v>29.415330547716355</v>
      </c>
      <c r="BV52" s="456">
        <f t="shared" si="162"/>
        <v>29.731118200017022</v>
      </c>
      <c r="BW52" s="538">
        <f t="shared" si="163"/>
        <v>5.4871689705294928E-2</v>
      </c>
      <c r="BX52" s="144">
        <f t="shared" si="105"/>
        <v>29785.989889722317</v>
      </c>
      <c r="BY52" s="150">
        <f t="shared" si="106"/>
        <v>32.346258761667841</v>
      </c>
      <c r="BZ52" s="5">
        <f t="shared" si="107"/>
        <v>42.769999999999996</v>
      </c>
      <c r="CA52" s="150">
        <f t="shared" si="108"/>
        <v>0.56938405486490651</v>
      </c>
      <c r="CB52" s="5">
        <f t="shared" si="109"/>
        <v>56.938405486490652</v>
      </c>
      <c r="CC52">
        <f t="shared" si="173"/>
        <v>47</v>
      </c>
      <c r="CE52" s="59">
        <f t="shared" si="164"/>
        <v>-50</v>
      </c>
      <c r="CF52">
        <f t="shared" si="165"/>
        <v>-50</v>
      </c>
      <c r="CG52" s="150">
        <f t="shared" si="166"/>
        <v>0.56766977275315578</v>
      </c>
      <c r="CH52" s="150">
        <f t="shared" si="167"/>
        <v>0.15382552837714242</v>
      </c>
      <c r="CI52" s="147">
        <v>47</v>
      </c>
      <c r="CJ52" s="188">
        <f t="shared" si="133"/>
        <v>0.23499999999999999</v>
      </c>
      <c r="CK52" s="188">
        <f t="shared" si="111"/>
        <v>0.23499999999999999</v>
      </c>
      <c r="CL52" s="188">
        <f t="shared" si="48"/>
        <v>39.949999999999996</v>
      </c>
      <c r="CM52" s="188">
        <f t="shared" si="134"/>
        <v>2.82</v>
      </c>
      <c r="CN52" s="465">
        <f t="shared" si="112"/>
        <v>12</v>
      </c>
      <c r="CO52" s="379">
        <f t="shared" si="168"/>
        <v>8.625</v>
      </c>
      <c r="CP52" s="379">
        <f t="shared" si="169"/>
        <v>20.625</v>
      </c>
      <c r="CQ52" s="379"/>
      <c r="CR52" s="188">
        <f t="shared" si="113"/>
        <v>0.4156318480642805</v>
      </c>
      <c r="CS52" s="149">
        <f t="shared" si="114"/>
        <v>155.29102015588504</v>
      </c>
      <c r="CT52" s="149">
        <f t="shared" si="51"/>
        <v>10.961719069827179</v>
      </c>
      <c r="CU52" s="188">
        <f t="shared" si="52"/>
        <v>0.91347658915226493</v>
      </c>
      <c r="CV52" s="188">
        <f t="shared" si="53"/>
        <v>12.940918346323754</v>
      </c>
      <c r="CW52" s="379">
        <f t="shared" si="54"/>
        <v>170</v>
      </c>
      <c r="CX52" s="188">
        <f t="shared" si="55"/>
        <v>17.15059461042765</v>
      </c>
      <c r="CY52" s="188">
        <f t="shared" si="56"/>
        <v>2.1438243263034562</v>
      </c>
      <c r="CZ52" s="188">
        <f t="shared" si="57"/>
        <v>2.9827121061613306</v>
      </c>
      <c r="DA52" s="172">
        <f t="shared" si="58"/>
        <v>250.90909090909091</v>
      </c>
      <c r="DB52" s="379">
        <f t="shared" si="115"/>
        <v>195.06347280930373</v>
      </c>
      <c r="DD52" s="188">
        <f t="shared" si="59"/>
        <v>13.333333333333332</v>
      </c>
      <c r="DE52" s="150">
        <f t="shared" si="60"/>
        <v>2.318840579710145</v>
      </c>
      <c r="DF52" s="150">
        <f t="shared" si="61"/>
        <v>0.18115218115218115</v>
      </c>
      <c r="DG52" s="150"/>
      <c r="DH52" s="150">
        <f t="shared" si="62"/>
        <v>2.3188405797101455</v>
      </c>
      <c r="DI52" s="314">
        <f t="shared" si="63"/>
        <v>325.49227941176457</v>
      </c>
      <c r="DJ52" s="456">
        <f t="shared" si="64"/>
        <v>0.18115218115218121</v>
      </c>
      <c r="DL52" s="150">
        <f t="shared" si="65"/>
        <v>12.764534199622535</v>
      </c>
      <c r="DM52" s="150">
        <f t="shared" si="66"/>
        <v>17.15059461042765</v>
      </c>
      <c r="DN52" s="150">
        <f t="shared" si="67"/>
        <v>4.0276009459957898</v>
      </c>
      <c r="DP52" s="314">
        <f t="shared" si="68"/>
        <v>235</v>
      </c>
      <c r="DQ52" s="144">
        <f t="shared" si="69"/>
        <v>195.06347280930373</v>
      </c>
      <c r="DS52">
        <f t="shared" si="116"/>
        <v>235</v>
      </c>
      <c r="DT52" s="144">
        <f t="shared" si="70"/>
        <v>195.06347280930373</v>
      </c>
      <c r="DU52" s="144"/>
      <c r="DV52" s="5">
        <f t="shared" si="117"/>
        <v>5.1265364324647873</v>
      </c>
      <c r="DW52" s="5">
        <f t="shared" si="71"/>
        <v>2.1438243263034562</v>
      </c>
      <c r="DX52" s="5">
        <f t="shared" si="118"/>
        <v>2.9827121061613311</v>
      </c>
      <c r="DY52" s="150">
        <f t="shared" si="119"/>
        <v>0.4181818181818181</v>
      </c>
      <c r="EA52" s="5">
        <f t="shared" si="72"/>
        <v>0.29635218628312476</v>
      </c>
      <c r="EB52" s="5">
        <f t="shared" si="73"/>
        <v>4.1983226390109341</v>
      </c>
      <c r="EC52" s="5">
        <f t="shared" si="74"/>
        <v>16.549909533492382</v>
      </c>
      <c r="ED52" s="5"/>
      <c r="EE52" s="150">
        <f t="shared" si="120"/>
        <v>6.4032598687904549</v>
      </c>
      <c r="EF52" s="150">
        <f t="shared" si="75"/>
        <v>0.35274408206559232</v>
      </c>
      <c r="EG52" s="150">
        <f t="shared" si="76"/>
        <v>0.33556077659732358</v>
      </c>
      <c r="EH52" s="150"/>
      <c r="EI52" s="456">
        <f t="shared" si="77"/>
        <v>0.13940590562069199</v>
      </c>
      <c r="EJ52" s="456">
        <f t="shared" si="78"/>
        <v>2.0975999999999995</v>
      </c>
      <c r="EK52" s="456">
        <f t="shared" si="79"/>
        <v>4.4669535273330549E-2</v>
      </c>
      <c r="EL52" s="456">
        <f t="shared" si="80"/>
        <v>5.6840048239918846E-2</v>
      </c>
      <c r="EM52">
        <f t="shared" si="81"/>
        <v>5.4000000000000003E-3</v>
      </c>
      <c r="EN52" s="144">
        <f t="shared" si="121"/>
        <v>50.069535273330551</v>
      </c>
      <c r="EO52">
        <f t="shared" si="82"/>
        <v>2.4631413275634464</v>
      </c>
      <c r="EP52" s="144">
        <f t="shared" si="122"/>
        <v>2463.1413275634463</v>
      </c>
      <c r="EQ52" s="150">
        <f t="shared" si="83"/>
        <v>0.52140624999999985</v>
      </c>
      <c r="ER52" s="150">
        <f t="shared" si="170"/>
        <v>0.16685</v>
      </c>
      <c r="ES52" s="456"/>
      <c r="EU52" s="144">
        <f t="shared" si="123"/>
        <v>688.2562499999998</v>
      </c>
      <c r="EV52" s="456">
        <f t="shared" si="85"/>
        <v>6.150260542089353E-2</v>
      </c>
      <c r="EW52" s="456">
        <f t="shared" si="124"/>
        <v>2.4885677486459468E-2</v>
      </c>
      <c r="EX52" s="456">
        <f t="shared" si="86"/>
        <v>3.3780310437179673E-3</v>
      </c>
      <c r="EY52" s="456">
        <f t="shared" si="87"/>
        <v>32.367401730079003</v>
      </c>
      <c r="EZ52" s="456">
        <f t="shared" si="88"/>
        <v>32.713638579474896</v>
      </c>
      <c r="FA52" s="538">
        <f t="shared" si="89"/>
        <v>5.7376534696703403E-2</v>
      </c>
      <c r="FB52" s="144">
        <f t="shared" si="125"/>
        <v>32771.015114171598</v>
      </c>
      <c r="FC52" s="150">
        <f t="shared" si="126"/>
        <v>35.92241269173504</v>
      </c>
      <c r="FD52" s="5">
        <f t="shared" si="127"/>
        <v>42.769999999999996</v>
      </c>
      <c r="FE52" s="150">
        <f t="shared" si="128"/>
        <v>0.5435085612070969</v>
      </c>
      <c r="FF52" s="5">
        <f t="shared" si="129"/>
        <v>54.350856120709693</v>
      </c>
      <c r="FG52">
        <f t="shared" si="130"/>
        <v>47</v>
      </c>
      <c r="FI52" s="59">
        <f t="shared" si="90"/>
        <v>-50</v>
      </c>
      <c r="FJ52">
        <f t="shared" si="91"/>
        <v>-50</v>
      </c>
      <c r="FL52">
        <f t="shared" si="92"/>
        <v>0.56766977275315578</v>
      </c>
    </row>
    <row r="53" spans="5:168">
      <c r="E53" s="147">
        <v>48</v>
      </c>
      <c r="F53" s="188">
        <f t="shared" si="174"/>
        <v>0.24</v>
      </c>
      <c r="G53" s="188">
        <f t="shared" si="171"/>
        <v>0.24</v>
      </c>
      <c r="H53" s="188">
        <f t="shared" si="135"/>
        <v>40.799999999999997</v>
      </c>
      <c r="I53" s="188">
        <f t="shared" si="175"/>
        <v>2.88</v>
      </c>
      <c r="J53" s="465">
        <f t="shared" si="136"/>
        <v>11.947221800805146</v>
      </c>
      <c r="K53" s="379">
        <f t="shared" si="137"/>
        <v>8.6565393845948986</v>
      </c>
      <c r="L53" s="149">
        <f t="shared" si="138"/>
        <v>20.603761185400046</v>
      </c>
      <c r="M53" s="379"/>
      <c r="N53" s="188">
        <f t="shared" si="139"/>
        <v>0.4201436478854636</v>
      </c>
      <c r="O53" s="149">
        <f t="shared" si="172"/>
        <v>156.28633505728791</v>
      </c>
      <c r="P53" s="149">
        <f t="shared" si="140"/>
        <v>11.031976592279147</v>
      </c>
      <c r="Q53" s="188">
        <f t="shared" si="6"/>
        <v>0.91933138268992887</v>
      </c>
      <c r="R53" s="188">
        <f t="shared" si="141"/>
        <v>13.023861254773992</v>
      </c>
      <c r="S53" s="379">
        <f t="shared" si="142"/>
        <v>170</v>
      </c>
      <c r="T53" s="188">
        <f t="shared" si="143"/>
        <v>17.403952808816996</v>
      </c>
      <c r="U53" s="188">
        <f t="shared" si="10"/>
        <v>2.1851045915516667</v>
      </c>
      <c r="V53" s="188">
        <f t="shared" si="11"/>
        <v>3.0157465995803561</v>
      </c>
      <c r="W53" s="172">
        <f t="shared" si="12"/>
        <v>250.97746747435053</v>
      </c>
      <c r="X53" s="379">
        <f t="shared" si="95"/>
        <v>185.1559994176398</v>
      </c>
      <c r="Z53" s="188">
        <f t="shared" si="13"/>
        <v>13.333333333333336</v>
      </c>
      <c r="AA53" s="150">
        <f t="shared" si="14"/>
        <v>2.3103920760288839</v>
      </c>
      <c r="AB53" s="150">
        <f t="shared" si="144"/>
        <v>0.18054135505397659</v>
      </c>
      <c r="AC53" s="150"/>
      <c r="AD53" s="150">
        <f t="shared" si="16"/>
        <v>2.3103920760288834</v>
      </c>
      <c r="AE53" s="314">
        <f t="shared" si="145"/>
        <v>333.63321204626925</v>
      </c>
      <c r="AF53" s="456">
        <f t="shared" si="146"/>
        <v>0.1805413550539765</v>
      </c>
      <c r="AH53" s="150">
        <f t="shared" si="147"/>
        <v>12.89961239727768</v>
      </c>
      <c r="AI53" s="150">
        <f t="shared" si="148"/>
        <v>17.403952808816996</v>
      </c>
      <c r="AJ53" s="150">
        <f t="shared" si="149"/>
        <v>4.2152736855434538</v>
      </c>
      <c r="AL53" s="314">
        <f t="shared" si="150"/>
        <v>240</v>
      </c>
      <c r="AM53" s="144">
        <f t="shared" si="151"/>
        <v>185.1559994176398</v>
      </c>
      <c r="AO53">
        <f t="shared" si="96"/>
        <v>240</v>
      </c>
      <c r="AP53" s="144">
        <f t="shared" si="24"/>
        <v>185.1559994176398</v>
      </c>
      <c r="AQ53" s="144"/>
      <c r="AR53" s="5">
        <f t="shared" si="97"/>
        <v>5.4008511911320225</v>
      </c>
      <c r="AS53" s="5">
        <f t="shared" si="25"/>
        <v>2.1851045915516667</v>
      </c>
      <c r="AT53" s="5">
        <f t="shared" si="98"/>
        <v>3.2157465995803558</v>
      </c>
      <c r="AU53" s="150">
        <f t="shared" si="99"/>
        <v>0.40458522448082246</v>
      </c>
      <c r="AW53" s="5">
        <f t="shared" si="152"/>
        <v>0.30848535410141176</v>
      </c>
      <c r="AX53" s="5">
        <f t="shared" si="153"/>
        <v>4.3702091831033334</v>
      </c>
      <c r="AY53" s="5">
        <f t="shared" si="28"/>
        <v>18.303064295393554</v>
      </c>
      <c r="AZ53" s="5"/>
      <c r="BA53" s="150">
        <f t="shared" si="100"/>
        <v>6.3913452605122307</v>
      </c>
      <c r="BB53" s="150">
        <f t="shared" si="154"/>
        <v>0.36211341255697477</v>
      </c>
      <c r="BC53" s="150">
        <f t="shared" si="155"/>
        <v>0.34447369668793093</v>
      </c>
      <c r="BD53" s="150"/>
      <c r="BE53" s="456">
        <f t="shared" si="31"/>
        <v>0.13888760041284531</v>
      </c>
      <c r="BF53" s="456">
        <f t="shared" si="156"/>
        <v>1.590148598474582</v>
      </c>
      <c r="BG53" s="456">
        <f t="shared" si="157"/>
        <v>0.10131417050988695</v>
      </c>
      <c r="BH53" s="456">
        <f t="shared" si="34"/>
        <v>5.3842023705854579E-2</v>
      </c>
      <c r="BI53">
        <f t="shared" si="35"/>
        <v>5.3762498103623151E-3</v>
      </c>
      <c r="BJ53" s="144">
        <f t="shared" si="101"/>
        <v>106.69042032024926</v>
      </c>
      <c r="BK53">
        <f t="shared" si="158"/>
        <v>1.8824997915125876</v>
      </c>
      <c r="BL53" s="144">
        <f t="shared" si="102"/>
        <v>1882.4997915125875</v>
      </c>
      <c r="BM53" s="150">
        <f t="shared" si="159"/>
        <v>0.53249999999999997</v>
      </c>
      <c r="BN53" s="150">
        <f t="shared" si="160"/>
        <v>0.1704</v>
      </c>
      <c r="BO53" s="456"/>
      <c r="BQ53" s="144">
        <f t="shared" si="103"/>
        <v>702.9</v>
      </c>
      <c r="BR53" s="456">
        <f t="shared" si="39"/>
        <v>6.1273941358608225E-2</v>
      </c>
      <c r="BS53" s="456">
        <f t="shared" si="104"/>
        <v>2.6225224710731562E-2</v>
      </c>
      <c r="BT53" s="456">
        <f t="shared" si="161"/>
        <v>3.5598638312954586E-3</v>
      </c>
      <c r="BU53" s="456">
        <f t="shared" si="41"/>
        <v>29.473670118808631</v>
      </c>
      <c r="BV53" s="456">
        <f t="shared" si="162"/>
        <v>29.803694959925842</v>
      </c>
      <c r="BW53" s="538">
        <f t="shared" si="163"/>
        <v>5.6083302918783336E-2</v>
      </c>
      <c r="BX53" s="144">
        <f t="shared" si="105"/>
        <v>29859.778262844626</v>
      </c>
      <c r="BY53" s="150">
        <f t="shared" si="106"/>
        <v>32.445178054357214</v>
      </c>
      <c r="BZ53" s="5">
        <f t="shared" si="107"/>
        <v>43.68</v>
      </c>
      <c r="CA53" s="150">
        <f t="shared" si="108"/>
        <v>0.57379176136455512</v>
      </c>
      <c r="CB53" s="5">
        <f t="shared" si="109"/>
        <v>57.379176136455513</v>
      </c>
      <c r="CC53">
        <f t="shared" si="173"/>
        <v>48</v>
      </c>
      <c r="CE53" s="59">
        <f t="shared" si="164"/>
        <v>-50</v>
      </c>
      <c r="CF53">
        <f t="shared" si="165"/>
        <v>-50</v>
      </c>
      <c r="CG53" s="150">
        <f t="shared" si="166"/>
        <v>0.56766977275315589</v>
      </c>
      <c r="CH53" s="150">
        <f t="shared" si="167"/>
        <v>0.15382552837714245</v>
      </c>
      <c r="CI53" s="147">
        <v>48</v>
      </c>
      <c r="CJ53" s="188">
        <f t="shared" si="133"/>
        <v>0.24</v>
      </c>
      <c r="CK53" s="188">
        <f t="shared" si="111"/>
        <v>0.24</v>
      </c>
      <c r="CL53" s="188">
        <f t="shared" si="48"/>
        <v>40.799999999999997</v>
      </c>
      <c r="CM53" s="188">
        <f t="shared" si="134"/>
        <v>2.88</v>
      </c>
      <c r="CN53" s="465">
        <f t="shared" si="112"/>
        <v>12</v>
      </c>
      <c r="CO53" s="379">
        <f t="shared" si="168"/>
        <v>8.625</v>
      </c>
      <c r="CP53" s="379">
        <f t="shared" si="169"/>
        <v>20.625</v>
      </c>
      <c r="CQ53" s="379"/>
      <c r="CR53" s="188">
        <f t="shared" si="113"/>
        <v>0.4156318480642805</v>
      </c>
      <c r="CS53" s="149">
        <f t="shared" si="114"/>
        <v>155.29102015588504</v>
      </c>
      <c r="CT53" s="149">
        <f t="shared" si="51"/>
        <v>10.961719069827179</v>
      </c>
      <c r="CU53" s="188">
        <f t="shared" si="52"/>
        <v>0.91347658915226493</v>
      </c>
      <c r="CV53" s="188">
        <f t="shared" si="53"/>
        <v>12.940918346323754</v>
      </c>
      <c r="CW53" s="379">
        <f t="shared" si="54"/>
        <v>170</v>
      </c>
      <c r="CX53" s="188">
        <f t="shared" si="55"/>
        <v>17.51550087873462</v>
      </c>
      <c r="CY53" s="188">
        <f t="shared" si="56"/>
        <v>2.1894376098418276</v>
      </c>
      <c r="CZ53" s="188">
        <f t="shared" si="57"/>
        <v>3.0461740658668903</v>
      </c>
      <c r="DA53" s="172">
        <f t="shared" si="58"/>
        <v>250.90909090909091</v>
      </c>
      <c r="DB53" s="379">
        <f t="shared" si="115"/>
        <v>190.99965045910994</v>
      </c>
      <c r="DD53" s="188">
        <f t="shared" si="59"/>
        <v>13.333333333333332</v>
      </c>
      <c r="DE53" s="150">
        <f t="shared" si="60"/>
        <v>2.318840579710145</v>
      </c>
      <c r="DF53" s="150">
        <f t="shared" si="61"/>
        <v>0.18115218115218115</v>
      </c>
      <c r="DG53" s="150"/>
      <c r="DH53" s="150">
        <f t="shared" si="62"/>
        <v>2.3188405797101455</v>
      </c>
      <c r="DI53" s="314">
        <f t="shared" si="63"/>
        <v>332.41764705882338</v>
      </c>
      <c r="DJ53" s="456">
        <f t="shared" si="64"/>
        <v>0.18115218115218121</v>
      </c>
      <c r="DL53" s="150">
        <f t="shared" si="65"/>
        <v>12.89961239727768</v>
      </c>
      <c r="DM53" s="150">
        <f t="shared" si="66"/>
        <v>17.51550087873462</v>
      </c>
      <c r="DN53" s="150">
        <f t="shared" si="67"/>
        <v>4.2979018854824345</v>
      </c>
      <c r="DP53" s="314">
        <f t="shared" si="68"/>
        <v>240</v>
      </c>
      <c r="DQ53" s="144">
        <f t="shared" si="69"/>
        <v>190.99965045910994</v>
      </c>
      <c r="DS53">
        <f t="shared" si="116"/>
        <v>240</v>
      </c>
      <c r="DT53" s="144">
        <f t="shared" si="70"/>
        <v>190.99965045910994</v>
      </c>
      <c r="DU53" s="144"/>
      <c r="DV53" s="5">
        <f t="shared" si="117"/>
        <v>5.2356116757087179</v>
      </c>
      <c r="DW53" s="5">
        <f t="shared" si="71"/>
        <v>2.1894376098418276</v>
      </c>
      <c r="DX53" s="5">
        <f t="shared" si="118"/>
        <v>3.0461740658668903</v>
      </c>
      <c r="DY53" s="150">
        <f t="shared" si="119"/>
        <v>0.41818181818181821</v>
      </c>
      <c r="EA53" s="5">
        <f t="shared" si="72"/>
        <v>0.30909707433061095</v>
      </c>
      <c r="EB53" s="5">
        <f t="shared" si="73"/>
        <v>4.3788752196836551</v>
      </c>
      <c r="EC53" s="5">
        <f t="shared" si="74"/>
        <v>17.261653039912375</v>
      </c>
      <c r="ED53" s="5"/>
      <c r="EE53" s="150">
        <f t="shared" si="120"/>
        <v>6.5394994404668472</v>
      </c>
      <c r="EF53" s="150">
        <f t="shared" si="75"/>
        <v>0.36024927530103046</v>
      </c>
      <c r="EG53" s="150">
        <f t="shared" si="76"/>
        <v>0.34270036758875594</v>
      </c>
      <c r="EH53" s="150"/>
      <c r="EI53" s="456">
        <f t="shared" si="77"/>
        <v>0.14540117996834509</v>
      </c>
      <c r="EJ53" s="456">
        <f t="shared" si="78"/>
        <v>2.0975999999999999</v>
      </c>
      <c r="EK53" s="456">
        <f t="shared" si="79"/>
        <v>4.373891995513618E-2</v>
      </c>
      <c r="EL53" s="456">
        <f t="shared" si="80"/>
        <v>5.5655880568253879E-2</v>
      </c>
      <c r="EM53">
        <f t="shared" si="81"/>
        <v>5.4000000000000003E-3</v>
      </c>
      <c r="EN53" s="144">
        <f t="shared" si="121"/>
        <v>49.138919955136181</v>
      </c>
      <c r="EO53">
        <f t="shared" si="82"/>
        <v>2.4724715663687022</v>
      </c>
      <c r="EP53" s="144">
        <f t="shared" si="122"/>
        <v>2472.471566368702</v>
      </c>
      <c r="EQ53" s="150">
        <f t="shared" si="83"/>
        <v>0.53249999999999997</v>
      </c>
      <c r="ER53" s="150">
        <f t="shared" si="170"/>
        <v>0.1704</v>
      </c>
      <c r="ES53" s="456"/>
      <c r="EU53" s="144">
        <f t="shared" si="123"/>
        <v>702.9</v>
      </c>
      <c r="EV53" s="456">
        <f t="shared" si="85"/>
        <v>6.4147579397799318E-2</v>
      </c>
      <c r="EW53" s="456">
        <f t="shared" si="124"/>
        <v>2.5955908070983524E-2</v>
      </c>
      <c r="EX53" s="456">
        <f t="shared" si="86"/>
        <v>3.5233062583640532E-3</v>
      </c>
      <c r="EY53" s="456">
        <f t="shared" si="87"/>
        <v>32.367401730078967</v>
      </c>
      <c r="EZ53" s="456">
        <f t="shared" si="88"/>
        <v>32.728641173187981</v>
      </c>
      <c r="FA53" s="538">
        <f t="shared" si="89"/>
        <v>5.8597312030675829E-2</v>
      </c>
      <c r="FB53" s="144">
        <f t="shared" si="125"/>
        <v>32787.238485218659</v>
      </c>
      <c r="FC53" s="150">
        <f t="shared" si="126"/>
        <v>35.962610051587362</v>
      </c>
      <c r="FD53" s="5">
        <f t="shared" si="127"/>
        <v>43.68</v>
      </c>
      <c r="FE53" s="150">
        <f t="shared" si="128"/>
        <v>0.54845013205502569</v>
      </c>
      <c r="FF53" s="5">
        <f t="shared" si="129"/>
        <v>54.845013205502568</v>
      </c>
      <c r="FG53">
        <f t="shared" si="130"/>
        <v>48</v>
      </c>
      <c r="FI53" s="59">
        <f t="shared" si="90"/>
        <v>-50</v>
      </c>
      <c r="FJ53">
        <f t="shared" si="91"/>
        <v>-50</v>
      </c>
      <c r="FL53">
        <f t="shared" si="92"/>
        <v>0.56766977275315589</v>
      </c>
    </row>
    <row r="54" spans="5:168">
      <c r="E54" s="147">
        <v>49</v>
      </c>
      <c r="F54" s="188">
        <f t="shared" si="174"/>
        <v>0.245</v>
      </c>
      <c r="G54" s="188">
        <f t="shared" si="171"/>
        <v>0.245</v>
      </c>
      <c r="H54" s="188">
        <f t="shared" si="135"/>
        <v>41.65</v>
      </c>
      <c r="I54" s="188">
        <f t="shared" si="175"/>
        <v>2.94</v>
      </c>
      <c r="J54" s="465">
        <f t="shared" si="136"/>
        <v>11.946122254988587</v>
      </c>
      <c r="K54" s="379">
        <f t="shared" si="137"/>
        <v>8.6571964551072931</v>
      </c>
      <c r="L54" s="149">
        <f t="shared" si="138"/>
        <v>20.603318710095881</v>
      </c>
      <c r="M54" s="379"/>
      <c r="N54" s="188">
        <f t="shared" si="139"/>
        <v>0.42018456234748047</v>
      </c>
      <c r="O54" s="149">
        <f t="shared" si="172"/>
        <v>156.28716955101081</v>
      </c>
      <c r="P54" s="149">
        <f t="shared" si="140"/>
        <v>11.032035497718409</v>
      </c>
      <c r="Q54" s="188">
        <f t="shared" si="6"/>
        <v>0.91933629147653417</v>
      </c>
      <c r="R54" s="188">
        <f t="shared" si="141"/>
        <v>13.023930795917567</v>
      </c>
      <c r="S54" s="379">
        <f t="shared" si="142"/>
        <v>170</v>
      </c>
      <c r="T54" s="188">
        <f t="shared" si="143"/>
        <v>17.766440294770241</v>
      </c>
      <c r="U54" s="188">
        <f t="shared" si="10"/>
        <v>2.2308210039476797</v>
      </c>
      <c r="V54" s="188">
        <f t="shared" si="11"/>
        <v>3.0783245569567104</v>
      </c>
      <c r="W54" s="172">
        <f t="shared" si="12"/>
        <v>250.9788075730938</v>
      </c>
      <c r="X54" s="379">
        <f t="shared" si="95"/>
        <v>181.51635111921755</v>
      </c>
      <c r="Z54" s="188">
        <f t="shared" si="13"/>
        <v>13.333333333333334</v>
      </c>
      <c r="AA54" s="150">
        <f t="shared" si="14"/>
        <v>2.3102167201254913</v>
      </c>
      <c r="AB54" s="150">
        <f t="shared" si="144"/>
        <v>0.18052861611891638</v>
      </c>
      <c r="AC54" s="150"/>
      <c r="AD54" s="150">
        <f t="shared" si="16"/>
        <v>2.3102167201254913</v>
      </c>
      <c r="AE54" s="314">
        <f t="shared" si="145"/>
        <v>340.6097558234419</v>
      </c>
      <c r="AF54" s="456">
        <f t="shared" si="146"/>
        <v>0.18052861611891635</v>
      </c>
      <c r="AH54" s="150">
        <f t="shared" si="147"/>
        <v>13.033290707517677</v>
      </c>
      <c r="AI54" s="150">
        <f t="shared" si="148"/>
        <v>17.766440294770241</v>
      </c>
      <c r="AJ54" s="150">
        <f t="shared" si="149"/>
        <v>4.4837829343977091</v>
      </c>
      <c r="AL54" s="314">
        <f t="shared" si="150"/>
        <v>245</v>
      </c>
      <c r="AM54" s="144">
        <f t="shared" si="151"/>
        <v>181.51635111921755</v>
      </c>
      <c r="AO54">
        <f t="shared" si="96"/>
        <v>245</v>
      </c>
      <c r="AP54" s="144">
        <f t="shared" si="24"/>
        <v>181.51635111921755</v>
      </c>
      <c r="AQ54" s="144"/>
      <c r="AR54" s="5">
        <f t="shared" si="97"/>
        <v>5.5091455609043907</v>
      </c>
      <c r="AS54" s="5">
        <f t="shared" si="25"/>
        <v>2.2308210039476797</v>
      </c>
      <c r="AT54" s="5">
        <f t="shared" si="98"/>
        <v>3.278324556956711</v>
      </c>
      <c r="AU54" s="150">
        <f t="shared" si="99"/>
        <v>0.4049304886366924</v>
      </c>
      <c r="AW54" s="5">
        <f t="shared" si="152"/>
        <v>0.32150067409834204</v>
      </c>
      <c r="AX54" s="5">
        <f t="shared" si="153"/>
        <v>4.5545928830598452</v>
      </c>
      <c r="AY54" s="5">
        <f t="shared" si="28"/>
        <v>19.049726609015774</v>
      </c>
      <c r="AZ54" s="5"/>
      <c r="BA54" s="150">
        <f t="shared" si="100"/>
        <v>6.5272467725974979</v>
      </c>
      <c r="BB54" s="150">
        <f t="shared" si="154"/>
        <v>0.36954827629603748</v>
      </c>
      <c r="BC54" s="150">
        <f t="shared" si="155"/>
        <v>0.35154638416029299</v>
      </c>
      <c r="BD54" s="150"/>
      <c r="BE54" s="456">
        <f t="shared" si="31"/>
        <v>0.14485683146330711</v>
      </c>
      <c r="BF54" s="456">
        <f t="shared" si="156"/>
        <v>1.5913249492472938</v>
      </c>
      <c r="BG54" s="456">
        <f t="shared" si="157"/>
        <v>9.9313476696132025E-2</v>
      </c>
      <c r="BH54" s="456">
        <f t="shared" si="34"/>
        <v>5.2781373257647077E-2</v>
      </c>
      <c r="BI54">
        <f t="shared" si="35"/>
        <v>5.3757550147448645E-3</v>
      </c>
      <c r="BJ54" s="144">
        <f t="shared" si="101"/>
        <v>104.6892317108769</v>
      </c>
      <c r="BK54">
        <f t="shared" si="158"/>
        <v>1.8932358583456128</v>
      </c>
      <c r="BL54" s="144">
        <f t="shared" si="102"/>
        <v>1893.2358583456128</v>
      </c>
      <c r="BM54" s="150">
        <f t="shared" si="159"/>
        <v>0.54359374999999999</v>
      </c>
      <c r="BN54" s="150">
        <f t="shared" si="160"/>
        <v>0.17394999999999999</v>
      </c>
      <c r="BO54" s="456"/>
      <c r="BQ54" s="144">
        <f t="shared" si="103"/>
        <v>717.54374999999993</v>
      </c>
      <c r="BR54" s="456">
        <f t="shared" si="39"/>
        <v>6.3907425645576679E-2</v>
      </c>
      <c r="BS54" s="456">
        <f t="shared" si="104"/>
        <v>2.7313185702674492E-2</v>
      </c>
      <c r="BT54" s="456">
        <f t="shared" si="161"/>
        <v>3.7075458064852892E-3</v>
      </c>
      <c r="BU54" s="456">
        <f t="shared" si="41"/>
        <v>29.529795401262795</v>
      </c>
      <c r="BV54" s="456">
        <f t="shared" si="162"/>
        <v>29.874379902557894</v>
      </c>
      <c r="BW54" s="538">
        <f t="shared" si="163"/>
        <v>5.7294982907625094E-2</v>
      </c>
      <c r="BX54" s="144">
        <f t="shared" si="105"/>
        <v>29931.67488546552</v>
      </c>
      <c r="BY54" s="150">
        <f t="shared" si="106"/>
        <v>32.542454493811135</v>
      </c>
      <c r="BZ54" s="5">
        <f t="shared" si="107"/>
        <v>44.589999999999996</v>
      </c>
      <c r="CA54" s="150">
        <f t="shared" si="108"/>
        <v>0.57809647433918698</v>
      </c>
      <c r="CB54" s="5">
        <f t="shared" si="109"/>
        <v>57.809647433918698</v>
      </c>
      <c r="CC54">
        <f t="shared" si="173"/>
        <v>49</v>
      </c>
      <c r="CE54" s="59">
        <f t="shared" si="164"/>
        <v>-50</v>
      </c>
      <c r="CF54">
        <f t="shared" si="165"/>
        <v>-50</v>
      </c>
      <c r="CG54" s="150">
        <f t="shared" si="166"/>
        <v>0.56766977275315578</v>
      </c>
      <c r="CH54" s="150">
        <f t="shared" si="167"/>
        <v>0.15382552837714239</v>
      </c>
      <c r="CI54" s="147">
        <v>49</v>
      </c>
      <c r="CJ54" s="188">
        <f t="shared" si="133"/>
        <v>0.245</v>
      </c>
      <c r="CK54" s="188">
        <f t="shared" si="111"/>
        <v>0.245</v>
      </c>
      <c r="CL54" s="188">
        <f t="shared" si="48"/>
        <v>41.65</v>
      </c>
      <c r="CM54" s="188">
        <f t="shared" si="134"/>
        <v>2.94</v>
      </c>
      <c r="CN54" s="465">
        <f t="shared" si="112"/>
        <v>12</v>
      </c>
      <c r="CO54" s="379">
        <f t="shared" si="168"/>
        <v>8.625</v>
      </c>
      <c r="CP54" s="379">
        <f t="shared" si="169"/>
        <v>20.625</v>
      </c>
      <c r="CQ54" s="379"/>
      <c r="CR54" s="188">
        <f t="shared" si="113"/>
        <v>0.4156318480642805</v>
      </c>
      <c r="CS54" s="149">
        <f t="shared" si="114"/>
        <v>155.29102015588504</v>
      </c>
      <c r="CT54" s="149">
        <f t="shared" si="51"/>
        <v>10.961719069827179</v>
      </c>
      <c r="CU54" s="188">
        <f t="shared" si="52"/>
        <v>0.91347658915226493</v>
      </c>
      <c r="CV54" s="188">
        <f t="shared" si="53"/>
        <v>12.940918346323754</v>
      </c>
      <c r="CW54" s="379">
        <f t="shared" si="54"/>
        <v>170</v>
      </c>
      <c r="CX54" s="188">
        <f t="shared" si="55"/>
        <v>17.880407147041591</v>
      </c>
      <c r="CY54" s="188">
        <f t="shared" si="56"/>
        <v>2.2350508933801989</v>
      </c>
      <c r="CZ54" s="188">
        <f t="shared" si="57"/>
        <v>3.1096360255724509</v>
      </c>
      <c r="DA54" s="172">
        <f t="shared" si="58"/>
        <v>250.90909090909091</v>
      </c>
      <c r="DB54" s="379">
        <f t="shared" si="115"/>
        <v>187.10169840892399</v>
      </c>
      <c r="DD54" s="188">
        <f t="shared" si="59"/>
        <v>13.333333333333332</v>
      </c>
      <c r="DE54" s="150">
        <f t="shared" si="60"/>
        <v>2.318840579710145</v>
      </c>
      <c r="DF54" s="150">
        <f t="shared" si="61"/>
        <v>0.18115218115218115</v>
      </c>
      <c r="DG54" s="150"/>
      <c r="DH54" s="150">
        <f t="shared" si="62"/>
        <v>2.3188405797101455</v>
      </c>
      <c r="DI54" s="314">
        <f t="shared" si="63"/>
        <v>339.34301470588224</v>
      </c>
      <c r="DJ54" s="456">
        <f t="shared" si="64"/>
        <v>0.18115218115218121</v>
      </c>
      <c r="DL54" s="150">
        <f t="shared" si="65"/>
        <v>13.033290707517677</v>
      </c>
      <c r="DM54" s="150">
        <f t="shared" si="66"/>
        <v>17.880407147041591</v>
      </c>
      <c r="DN54" s="150">
        <f t="shared" si="67"/>
        <v>4.56820282496908</v>
      </c>
      <c r="DP54" s="314">
        <f t="shared" si="68"/>
        <v>245</v>
      </c>
      <c r="DQ54" s="144">
        <f t="shared" si="69"/>
        <v>187.10169840892399</v>
      </c>
      <c r="DS54">
        <f t="shared" si="116"/>
        <v>245</v>
      </c>
      <c r="DT54" s="144">
        <f t="shared" si="70"/>
        <v>187.10169840892399</v>
      </c>
      <c r="DU54" s="144"/>
      <c r="DV54" s="5">
        <f t="shared" si="117"/>
        <v>5.3446869189526502</v>
      </c>
      <c r="DW54" s="5">
        <f t="shared" si="71"/>
        <v>2.2350508933801989</v>
      </c>
      <c r="DX54" s="5">
        <f t="shared" si="118"/>
        <v>3.1096360255724513</v>
      </c>
      <c r="DY54" s="150">
        <f t="shared" si="119"/>
        <v>0.41818181818181815</v>
      </c>
      <c r="EA54" s="5">
        <f t="shared" si="72"/>
        <v>0.32211027581067569</v>
      </c>
      <c r="EB54" s="5">
        <f t="shared" si="73"/>
        <v>4.5632289073179058</v>
      </c>
      <c r="EC54" s="5">
        <f t="shared" si="74"/>
        <v>17.988380620151744</v>
      </c>
      <c r="ED54" s="5"/>
      <c r="EE54" s="150">
        <f t="shared" si="120"/>
        <v>6.6757390121432403</v>
      </c>
      <c r="EF54" s="150">
        <f t="shared" si="75"/>
        <v>0.36775446853646854</v>
      </c>
      <c r="EG54" s="150">
        <f t="shared" si="76"/>
        <v>0.34983995858018835</v>
      </c>
      <c r="EH54" s="150"/>
      <c r="EI54" s="456">
        <f t="shared" si="77"/>
        <v>0.15152267061805411</v>
      </c>
      <c r="EJ54" s="456">
        <f t="shared" si="78"/>
        <v>2.0975999999999995</v>
      </c>
      <c r="EK54" s="456">
        <f t="shared" si="79"/>
        <v>4.2846288935643594E-2</v>
      </c>
      <c r="EL54" s="456">
        <f t="shared" si="80"/>
        <v>5.452004627094257E-2</v>
      </c>
      <c r="EM54">
        <f t="shared" si="81"/>
        <v>5.4000000000000003E-3</v>
      </c>
      <c r="EN54" s="144">
        <f t="shared" si="121"/>
        <v>48.246288935643598</v>
      </c>
      <c r="EO54">
        <f t="shared" si="82"/>
        <v>2.4821624080612943</v>
      </c>
      <c r="EP54" s="144">
        <f t="shared" si="122"/>
        <v>2482.1624080612942</v>
      </c>
      <c r="EQ54" s="150">
        <f t="shared" si="83"/>
        <v>0.54359374999999999</v>
      </c>
      <c r="ER54" s="150">
        <f t="shared" si="170"/>
        <v>0.17394999999999999</v>
      </c>
      <c r="ES54" s="456"/>
      <c r="EU54" s="144">
        <f t="shared" si="123"/>
        <v>717.54374999999993</v>
      </c>
      <c r="EV54" s="456">
        <f t="shared" si="85"/>
        <v>6.6848237037376815E-2</v>
      </c>
      <c r="EW54" s="456">
        <f t="shared" si="124"/>
        <v>2.704866982570809E-2</v>
      </c>
      <c r="EX54" s="456">
        <f t="shared" si="86"/>
        <v>3.671639898581637E-3</v>
      </c>
      <c r="EY54" s="456">
        <f t="shared" si="87"/>
        <v>32.367401730078967</v>
      </c>
      <c r="EZ54" s="456">
        <f t="shared" si="88"/>
        <v>32.743969247639505</v>
      </c>
      <c r="FA54" s="538">
        <f t="shared" si="89"/>
        <v>5.9818089364648233E-2</v>
      </c>
      <c r="FB54" s="144">
        <f t="shared" si="125"/>
        <v>32803.787337004149</v>
      </c>
      <c r="FC54" s="150">
        <f t="shared" si="126"/>
        <v>36.003493495065449</v>
      </c>
      <c r="FD54" s="5">
        <f t="shared" si="127"/>
        <v>44.589999999999996</v>
      </c>
      <c r="FE54" s="150">
        <f t="shared" si="128"/>
        <v>0.55327046969033722</v>
      </c>
      <c r="FF54" s="5">
        <f t="shared" si="129"/>
        <v>55.327046969033724</v>
      </c>
      <c r="FG54">
        <f t="shared" si="130"/>
        <v>49</v>
      </c>
      <c r="FI54" s="59">
        <f t="shared" si="90"/>
        <v>-50</v>
      </c>
      <c r="FJ54">
        <f t="shared" si="91"/>
        <v>-50</v>
      </c>
      <c r="FL54">
        <f t="shared" si="92"/>
        <v>0.56766977275315578</v>
      </c>
    </row>
    <row r="55" spans="5:168">
      <c r="E55" s="147">
        <v>50</v>
      </c>
      <c r="F55" s="188">
        <f t="shared" si="174"/>
        <v>0.25</v>
      </c>
      <c r="G55" s="188">
        <f t="shared" si="171"/>
        <v>0.25</v>
      </c>
      <c r="H55" s="188">
        <f t="shared" si="135"/>
        <v>42.5</v>
      </c>
      <c r="I55" s="188">
        <f t="shared" si="175"/>
        <v>3</v>
      </c>
      <c r="J55" s="465">
        <f t="shared" si="136"/>
        <v>11.945022709172028</v>
      </c>
      <c r="K55" s="379">
        <f t="shared" si="137"/>
        <v>8.6578535256196858</v>
      </c>
      <c r="L55" s="149">
        <f t="shared" si="138"/>
        <v>20.602876234791715</v>
      </c>
      <c r="M55" s="379"/>
      <c r="N55" s="188">
        <f t="shared" si="139"/>
        <v>0.42022547856688675</v>
      </c>
      <c r="O55" s="149">
        <f t="shared" si="172"/>
        <v>156.28800189692396</v>
      </c>
      <c r="P55" s="149">
        <f t="shared" si="140"/>
        <v>11.032094251547573</v>
      </c>
      <c r="Q55" s="188">
        <f t="shared" si="6"/>
        <v>0.91934118762896444</v>
      </c>
      <c r="R55" s="188">
        <f t="shared" si="141"/>
        <v>13.024000158076996</v>
      </c>
      <c r="S55" s="379">
        <f t="shared" si="142"/>
        <v>170</v>
      </c>
      <c r="T55" s="188">
        <f t="shared" si="143"/>
        <v>18.128924158887074</v>
      </c>
      <c r="U55" s="188">
        <f t="shared" si="10"/>
        <v>2.2765453779715359</v>
      </c>
      <c r="V55" s="188">
        <f t="shared" si="11"/>
        <v>3.1408923883803226</v>
      </c>
      <c r="W55" s="172">
        <f t="shared" si="12"/>
        <v>250.98014422270722</v>
      </c>
      <c r="X55" s="379">
        <f t="shared" si="95"/>
        <v>178.01710345416637</v>
      </c>
      <c r="Z55" s="188">
        <f t="shared" si="13"/>
        <v>13.333333333333334</v>
      </c>
      <c r="AA55" s="150">
        <f t="shared" si="14"/>
        <v>2.3100413908386721</v>
      </c>
      <c r="AB55" s="150">
        <f t="shared" si="144"/>
        <v>0.18051587663668361</v>
      </c>
      <c r="AC55" s="150"/>
      <c r="AD55" s="150">
        <f t="shared" si="16"/>
        <v>2.3100413908386721</v>
      </c>
      <c r="AE55" s="314">
        <f t="shared" si="145"/>
        <v>347.58735477855492</v>
      </c>
      <c r="AF55" s="456">
        <f t="shared" si="146"/>
        <v>0.18051587663668361</v>
      </c>
      <c r="AH55" s="150">
        <f t="shared" si="147"/>
        <v>13.165611772087665</v>
      </c>
      <c r="AI55" s="150">
        <f t="shared" si="148"/>
        <v>18.128924158887074</v>
      </c>
      <c r="AJ55" s="150">
        <f t="shared" si="149"/>
        <v>4.7522895004101775</v>
      </c>
      <c r="AL55" s="314">
        <f t="shared" si="150"/>
        <v>250</v>
      </c>
      <c r="AM55" s="144">
        <f t="shared" si="151"/>
        <v>178.01710345416637</v>
      </c>
      <c r="AO55">
        <f t="shared" si="96"/>
        <v>250</v>
      </c>
      <c r="AP55" s="144">
        <f t="shared" si="24"/>
        <v>178.01710345416637</v>
      </c>
      <c r="AQ55" s="144"/>
      <c r="AR55" s="5">
        <f t="shared" si="97"/>
        <v>5.6174377663518582</v>
      </c>
      <c r="AS55" s="5">
        <f t="shared" si="25"/>
        <v>2.2765453779715359</v>
      </c>
      <c r="AT55" s="5">
        <f t="shared" si="98"/>
        <v>3.3408923883803223</v>
      </c>
      <c r="AU55" s="150">
        <f t="shared" si="99"/>
        <v>0.40526401406846319</v>
      </c>
      <c r="AW55" s="5">
        <f t="shared" si="152"/>
        <v>0.33478608499581408</v>
      </c>
      <c r="AX55" s="5">
        <f t="shared" si="153"/>
        <v>4.7428028707740326</v>
      </c>
      <c r="AY55" s="5">
        <f t="shared" si="28"/>
        <v>19.811309692632861</v>
      </c>
      <c r="AZ55" s="5"/>
      <c r="BA55" s="150">
        <f t="shared" si="100"/>
        <v>6.6631628182178488</v>
      </c>
      <c r="BB55" s="150">
        <f t="shared" si="154"/>
        <v>0.37698237932911993</v>
      </c>
      <c r="BC55" s="150">
        <f t="shared" si="155"/>
        <v>0.35861834798312414</v>
      </c>
      <c r="BD55" s="150"/>
      <c r="BE55" s="456">
        <f t="shared" si="31"/>
        <v>0.1509523117230748</v>
      </c>
      <c r="BF55" s="456">
        <f t="shared" si="156"/>
        <v>1.5924548718134082</v>
      </c>
      <c r="BG55" s="456">
        <f t="shared" si="157"/>
        <v>9.7389960126851804E-2</v>
      </c>
      <c r="BH55" s="456">
        <f t="shared" si="34"/>
        <v>5.176163775356666E-2</v>
      </c>
      <c r="BI55">
        <f t="shared" si="35"/>
        <v>5.3752602191274122E-3</v>
      </c>
      <c r="BJ55" s="144">
        <f t="shared" si="101"/>
        <v>102.76522034597922</v>
      </c>
      <c r="BK55">
        <f t="shared" si="158"/>
        <v>1.9042233322305218</v>
      </c>
      <c r="BL55" s="144">
        <f t="shared" si="102"/>
        <v>1904.2233322305217</v>
      </c>
      <c r="BM55" s="150">
        <f t="shared" si="159"/>
        <v>0.5546875</v>
      </c>
      <c r="BN55" s="150">
        <f t="shared" si="160"/>
        <v>0.17749999999999999</v>
      </c>
      <c r="BO55" s="456"/>
      <c r="BQ55" s="144">
        <f t="shared" si="103"/>
        <v>732.1875</v>
      </c>
      <c r="BR55" s="456">
        <f t="shared" si="39"/>
        <v>6.6596608113121236E-2</v>
      </c>
      <c r="BS55" s="456">
        <f t="shared" si="104"/>
        <v>2.8423142864928898E-2</v>
      </c>
      <c r="BT55" s="456">
        <f t="shared" si="161"/>
        <v>3.8582135853043533E-3</v>
      </c>
      <c r="BU55" s="456">
        <f t="shared" si="41"/>
        <v>29.583830828576151</v>
      </c>
      <c r="BV55" s="456">
        <f t="shared" si="162"/>
        <v>29.943298094063085</v>
      </c>
      <c r="BW55" s="538">
        <f t="shared" si="163"/>
        <v>5.8506725811422786E-2</v>
      </c>
      <c r="BX55" s="144">
        <f t="shared" si="105"/>
        <v>30001.804819874509</v>
      </c>
      <c r="BY55" s="150">
        <f t="shared" si="106"/>
        <v>32.638215652105025</v>
      </c>
      <c r="BZ55" s="5">
        <f t="shared" si="107"/>
        <v>45.5</v>
      </c>
      <c r="CA55" s="150">
        <f t="shared" si="108"/>
        <v>0.58230149767662676</v>
      </c>
      <c r="CB55" s="5">
        <f t="shared" si="109"/>
        <v>58.230149767662674</v>
      </c>
      <c r="CC55">
        <f t="shared" si="173"/>
        <v>50</v>
      </c>
      <c r="CE55" s="59">
        <f t="shared" si="164"/>
        <v>-50</v>
      </c>
      <c r="CF55">
        <f t="shared" si="165"/>
        <v>-50</v>
      </c>
      <c r="CG55" s="150">
        <f t="shared" si="166"/>
        <v>0.56766977275315578</v>
      </c>
      <c r="CH55" s="150">
        <f t="shared" si="167"/>
        <v>0.15382552837714239</v>
      </c>
      <c r="CI55" s="147">
        <v>50</v>
      </c>
      <c r="CJ55" s="188">
        <f t="shared" si="133"/>
        <v>0.25</v>
      </c>
      <c r="CK55" s="188">
        <f t="shared" si="111"/>
        <v>0.25</v>
      </c>
      <c r="CL55" s="188">
        <f t="shared" si="48"/>
        <v>42.5</v>
      </c>
      <c r="CM55" s="188">
        <f t="shared" si="134"/>
        <v>3</v>
      </c>
      <c r="CN55" s="465">
        <f t="shared" si="112"/>
        <v>12</v>
      </c>
      <c r="CO55" s="379">
        <f t="shared" si="168"/>
        <v>8.625</v>
      </c>
      <c r="CP55" s="379">
        <f t="shared" si="169"/>
        <v>20.625</v>
      </c>
      <c r="CQ55" s="379"/>
      <c r="CR55" s="188">
        <f t="shared" si="113"/>
        <v>0.4156318480642805</v>
      </c>
      <c r="CS55" s="149">
        <f t="shared" si="114"/>
        <v>155.29102015588504</v>
      </c>
      <c r="CT55" s="149">
        <f t="shared" si="51"/>
        <v>10.961719069827179</v>
      </c>
      <c r="CU55" s="188">
        <f t="shared" si="52"/>
        <v>0.91347658915226493</v>
      </c>
      <c r="CV55" s="188">
        <f t="shared" si="53"/>
        <v>12.940918346323754</v>
      </c>
      <c r="CW55" s="379">
        <f t="shared" si="54"/>
        <v>170</v>
      </c>
      <c r="CX55" s="188">
        <f t="shared" si="55"/>
        <v>18.245313415348566</v>
      </c>
      <c r="CY55" s="188">
        <f t="shared" si="56"/>
        <v>2.2806641769185707</v>
      </c>
      <c r="CZ55" s="188">
        <f t="shared" si="57"/>
        <v>3.1730979852780115</v>
      </c>
      <c r="DA55" s="172">
        <f t="shared" si="58"/>
        <v>250.90909090909091</v>
      </c>
      <c r="DB55" s="379">
        <f t="shared" si="115"/>
        <v>183.35966444074549</v>
      </c>
      <c r="DD55" s="188">
        <f t="shared" si="59"/>
        <v>13.333333333333332</v>
      </c>
      <c r="DE55" s="150">
        <f t="shared" si="60"/>
        <v>2.318840579710145</v>
      </c>
      <c r="DF55" s="150">
        <f t="shared" si="61"/>
        <v>0.18115218115218115</v>
      </c>
      <c r="DG55" s="150"/>
      <c r="DH55" s="150">
        <f t="shared" si="62"/>
        <v>2.3188405797101455</v>
      </c>
      <c r="DI55" s="314">
        <f t="shared" si="63"/>
        <v>346.26838235294105</v>
      </c>
      <c r="DJ55" s="456">
        <f t="shared" si="64"/>
        <v>0.18115218115218121</v>
      </c>
      <c r="DL55" s="150">
        <f t="shared" si="65"/>
        <v>13.165611772087665</v>
      </c>
      <c r="DM55" s="150">
        <f t="shared" si="66"/>
        <v>18.245313415348566</v>
      </c>
      <c r="DN55" s="150">
        <f t="shared" si="67"/>
        <v>4.8385037644557274</v>
      </c>
      <c r="DP55" s="314">
        <f t="shared" si="68"/>
        <v>250</v>
      </c>
      <c r="DQ55" s="144">
        <f t="shared" si="69"/>
        <v>183.35966444074549</v>
      </c>
      <c r="DS55">
        <f t="shared" si="116"/>
        <v>250</v>
      </c>
      <c r="DT55" s="144">
        <f t="shared" si="70"/>
        <v>183.35966444074549</v>
      </c>
      <c r="DU55" s="144"/>
      <c r="DV55" s="5">
        <f t="shared" si="117"/>
        <v>5.4537621621965826</v>
      </c>
      <c r="DW55" s="5">
        <f t="shared" si="71"/>
        <v>2.2806641769185707</v>
      </c>
      <c r="DX55" s="5">
        <f t="shared" si="118"/>
        <v>3.1730979852780119</v>
      </c>
      <c r="DY55" s="150">
        <f t="shared" si="119"/>
        <v>0.41818181818181815</v>
      </c>
      <c r="EA55" s="5">
        <f t="shared" si="72"/>
        <v>0.33539179072331921</v>
      </c>
      <c r="EB55" s="5">
        <f t="shared" si="73"/>
        <v>4.7513837019136895</v>
      </c>
      <c r="EC55" s="5">
        <f t="shared" si="74"/>
        <v>18.730092274210481</v>
      </c>
      <c r="ED55" s="5"/>
      <c r="EE55" s="150">
        <f t="shared" si="120"/>
        <v>6.8119785838196343</v>
      </c>
      <c r="EF55" s="150">
        <f t="shared" si="75"/>
        <v>0.37525966177190678</v>
      </c>
      <c r="EG55" s="150">
        <f t="shared" si="76"/>
        <v>0.35697954957162087</v>
      </c>
      <c r="EH55" s="150"/>
      <c r="EI55" s="456">
        <f t="shared" si="77"/>
        <v>0.15777037756981899</v>
      </c>
      <c r="EJ55" s="456">
        <f t="shared" si="78"/>
        <v>2.0975999999999995</v>
      </c>
      <c r="EK55" s="456">
        <f t="shared" si="79"/>
        <v>4.1989363156930713E-2</v>
      </c>
      <c r="EL55" s="456">
        <f t="shared" si="80"/>
        <v>5.3429645345523712E-2</v>
      </c>
      <c r="EM55">
        <f t="shared" si="81"/>
        <v>5.4000000000000003E-3</v>
      </c>
      <c r="EN55" s="144">
        <f t="shared" si="121"/>
        <v>47.389363156930713</v>
      </c>
      <c r="EO55">
        <f t="shared" si="82"/>
        <v>2.4922110124215497</v>
      </c>
      <c r="EP55" s="144">
        <f t="shared" si="122"/>
        <v>2492.2110124215496</v>
      </c>
      <c r="EQ55" s="150">
        <f t="shared" si="83"/>
        <v>0.5546875</v>
      </c>
      <c r="ER55" s="150">
        <f t="shared" si="170"/>
        <v>0.17749999999999999</v>
      </c>
      <c r="ES55" s="456"/>
      <c r="EU55" s="144">
        <f t="shared" si="123"/>
        <v>732.1875</v>
      </c>
      <c r="EV55" s="456">
        <f t="shared" si="85"/>
        <v>6.9604578339626022E-2</v>
      </c>
      <c r="EW55" s="456">
        <f t="shared" si="124"/>
        <v>2.8163962750633178E-2</v>
      </c>
      <c r="EX55" s="456">
        <f t="shared" si="86"/>
        <v>3.8230319643707197E-3</v>
      </c>
      <c r="EY55" s="456">
        <f t="shared" si="87"/>
        <v>32.367401730078967</v>
      </c>
      <c r="EZ55" s="456">
        <f t="shared" si="88"/>
        <v>32.759623414696819</v>
      </c>
      <c r="FA55" s="538">
        <f t="shared" si="89"/>
        <v>6.1038866698620659E-2</v>
      </c>
      <c r="FB55" s="144">
        <f t="shared" si="125"/>
        <v>32820.662281395445</v>
      </c>
      <c r="FC55" s="150">
        <f t="shared" si="126"/>
        <v>36.045060793816994</v>
      </c>
      <c r="FD55" s="5">
        <f t="shared" si="127"/>
        <v>45.5</v>
      </c>
      <c r="FE55" s="150">
        <f t="shared" si="128"/>
        <v>0.55797370873319596</v>
      </c>
      <c r="FF55" s="5">
        <f t="shared" si="129"/>
        <v>55.797370873319593</v>
      </c>
      <c r="FG55">
        <f t="shared" si="130"/>
        <v>50</v>
      </c>
      <c r="FI55" s="59">
        <f t="shared" si="90"/>
        <v>-50</v>
      </c>
      <c r="FJ55">
        <f t="shared" si="91"/>
        <v>-50</v>
      </c>
      <c r="FL55">
        <f t="shared" si="92"/>
        <v>0.56766977275315578</v>
      </c>
    </row>
    <row r="56" spans="5:168">
      <c r="E56" s="147">
        <v>51</v>
      </c>
      <c r="F56" s="188">
        <f t="shared" si="174"/>
        <v>0.255</v>
      </c>
      <c r="G56" s="188">
        <f t="shared" si="171"/>
        <v>0.255</v>
      </c>
      <c r="H56" s="188">
        <f t="shared" si="135"/>
        <v>43.35</v>
      </c>
      <c r="I56" s="188">
        <f t="shared" si="175"/>
        <v>3.06</v>
      </c>
      <c r="J56" s="465">
        <f t="shared" si="136"/>
        <v>11.943923163355468</v>
      </c>
      <c r="K56" s="379">
        <f t="shared" si="137"/>
        <v>8.6585105961320803</v>
      </c>
      <c r="L56" s="149">
        <f t="shared" si="138"/>
        <v>20.602433759487546</v>
      </c>
      <c r="M56" s="379"/>
      <c r="N56" s="188">
        <f t="shared" si="139"/>
        <v>0.42026639654379588</v>
      </c>
      <c r="O56" s="149">
        <f t="shared" si="172"/>
        <v>156.28883209488905</v>
      </c>
      <c r="P56" s="149">
        <f t="shared" si="140"/>
        <v>11.032152853756875</v>
      </c>
      <c r="Q56" s="188">
        <f t="shared" si="6"/>
        <v>0.9193460711464061</v>
      </c>
      <c r="R56" s="188">
        <f t="shared" si="141"/>
        <v>13.024069341240754</v>
      </c>
      <c r="S56" s="379">
        <f t="shared" si="142"/>
        <v>170</v>
      </c>
      <c r="T56" s="188">
        <f t="shared" si="143"/>
        <v>18.491404416186107</v>
      </c>
      <c r="U56" s="188">
        <f t="shared" si="10"/>
        <v>2.3222777177081935</v>
      </c>
      <c r="V56" s="188">
        <f t="shared" si="11"/>
        <v>3.203450098758307</v>
      </c>
      <c r="W56" s="172">
        <f t="shared" si="12"/>
        <v>250.98147742296885</v>
      </c>
      <c r="X56" s="379">
        <f t="shared" si="95"/>
        <v>174.65028587704097</v>
      </c>
      <c r="Z56" s="188">
        <f t="shared" si="13"/>
        <v>13.333333333333334</v>
      </c>
      <c r="AA56" s="150">
        <f t="shared" si="14"/>
        <v>2.3098660881623654</v>
      </c>
      <c r="AB56" s="150">
        <f t="shared" si="144"/>
        <v>0.18050313660724304</v>
      </c>
      <c r="AC56" s="150"/>
      <c r="AD56" s="150">
        <f t="shared" si="16"/>
        <v>2.3098660881623654</v>
      </c>
      <c r="AE56" s="314">
        <f t="shared" si="145"/>
        <v>354.56600891160866</v>
      </c>
      <c r="AF56" s="456">
        <f t="shared" si="146"/>
        <v>0.18050313660724304</v>
      </c>
      <c r="AH56" s="150">
        <f t="shared" si="147"/>
        <v>13.29661611087573</v>
      </c>
      <c r="AI56" s="150">
        <f t="shared" si="148"/>
        <v>18.491404416186107</v>
      </c>
      <c r="AJ56" s="150">
        <f t="shared" si="149"/>
        <v>5.0207933947057581</v>
      </c>
      <c r="AL56" s="314">
        <f t="shared" si="150"/>
        <v>255</v>
      </c>
      <c r="AM56" s="144">
        <f t="shared" si="151"/>
        <v>174.65028587704097</v>
      </c>
      <c r="AO56">
        <f t="shared" si="96"/>
        <v>255</v>
      </c>
      <c r="AP56" s="144">
        <f t="shared" si="24"/>
        <v>174.65028587704097</v>
      </c>
      <c r="AQ56" s="144"/>
      <c r="AR56" s="5">
        <f t="shared" si="97"/>
        <v>5.7257278164665006</v>
      </c>
      <c r="AS56" s="5">
        <f t="shared" si="25"/>
        <v>2.3222777177081935</v>
      </c>
      <c r="AT56" s="5">
        <f t="shared" si="98"/>
        <v>3.4034500987583072</v>
      </c>
      <c r="AU56" s="150">
        <f t="shared" si="99"/>
        <v>0.4055864672836183</v>
      </c>
      <c r="AW56" s="5">
        <f t="shared" si="152"/>
        <v>0.34834165765622899</v>
      </c>
      <c r="AX56" s="5">
        <f t="shared" si="153"/>
        <v>4.9348401501299106</v>
      </c>
      <c r="AY56" s="5">
        <f t="shared" si="28"/>
        <v>20.587814093590161</v>
      </c>
      <c r="AZ56" s="5"/>
      <c r="BA56" s="150">
        <f t="shared" si="100"/>
        <v>6.7990932496591281</v>
      </c>
      <c r="BB56" s="150">
        <f t="shared" si="154"/>
        <v>0.3844157309394397</v>
      </c>
      <c r="BC56" s="150">
        <f t="shared" si="155"/>
        <v>0.36568959698742654</v>
      </c>
      <c r="BD56" s="150"/>
      <c r="BE56" s="456">
        <f t="shared" si="31"/>
        <v>0.15717407465970509</v>
      </c>
      <c r="BF56" s="456">
        <f t="shared" si="156"/>
        <v>1.5935410005929047</v>
      </c>
      <c r="BG56" s="456">
        <f t="shared" si="157"/>
        <v>9.5539239449783736E-2</v>
      </c>
      <c r="BH56" s="456">
        <f t="shared" si="34"/>
        <v>5.0780494451982572E-2</v>
      </c>
      <c r="BI56">
        <f t="shared" si="35"/>
        <v>5.3747654235099607E-3</v>
      </c>
      <c r="BJ56" s="144">
        <f t="shared" si="101"/>
        <v>100.91400487329371</v>
      </c>
      <c r="BK56">
        <f t="shared" si="158"/>
        <v>1.915464758739889</v>
      </c>
      <c r="BL56" s="144">
        <f t="shared" si="102"/>
        <v>1915.464758739889</v>
      </c>
      <c r="BM56" s="150">
        <f t="shared" si="159"/>
        <v>0.5657812499999999</v>
      </c>
      <c r="BN56" s="150">
        <f t="shared" si="160"/>
        <v>0.18105000000000002</v>
      </c>
      <c r="BO56" s="456"/>
      <c r="BQ56" s="144">
        <f t="shared" si="103"/>
        <v>746.83124999999995</v>
      </c>
      <c r="BR56" s="456">
        <f t="shared" si="39"/>
        <v>6.9341503526340484E-2</v>
      </c>
      <c r="BS56" s="456">
        <f t="shared" si="104"/>
        <v>2.9555090838740739E-2</v>
      </c>
      <c r="BT56" s="456">
        <f t="shared" si="161"/>
        <v>4.011866440344793E-3</v>
      </c>
      <c r="BU56" s="456">
        <f t="shared" si="41"/>
        <v>29.635891683524978</v>
      </c>
      <c r="BV56" s="456">
        <f t="shared" si="162"/>
        <v>30.010565462898697</v>
      </c>
      <c r="BW56" s="538">
        <f t="shared" si="163"/>
        <v>5.9718528061985743E-2</v>
      </c>
      <c r="BX56" s="144">
        <f t="shared" si="105"/>
        <v>30070.283990960681</v>
      </c>
      <c r="BY56" s="150">
        <f t="shared" si="106"/>
        <v>32.732579999700569</v>
      </c>
      <c r="BZ56" s="5">
        <f t="shared" si="107"/>
        <v>46.410000000000004</v>
      </c>
      <c r="CA56" s="150">
        <f t="shared" si="108"/>
        <v>0.58640999573397268</v>
      </c>
      <c r="CB56" s="5">
        <f t="shared" si="109"/>
        <v>58.640999573397266</v>
      </c>
      <c r="CC56">
        <f t="shared" si="173"/>
        <v>51</v>
      </c>
      <c r="CE56" s="59">
        <f t="shared" si="164"/>
        <v>-50</v>
      </c>
      <c r="CF56">
        <f t="shared" si="165"/>
        <v>-50</v>
      </c>
      <c r="CG56" s="150">
        <f t="shared" si="166"/>
        <v>0.56766977275315589</v>
      </c>
      <c r="CH56" s="150">
        <f t="shared" si="167"/>
        <v>0.15382552837714242</v>
      </c>
      <c r="CI56" s="147">
        <v>51</v>
      </c>
      <c r="CJ56" s="188">
        <f t="shared" si="133"/>
        <v>0.255</v>
      </c>
      <c r="CK56" s="188">
        <f t="shared" si="111"/>
        <v>0.255</v>
      </c>
      <c r="CL56" s="188">
        <f t="shared" si="48"/>
        <v>43.35</v>
      </c>
      <c r="CM56" s="188">
        <f t="shared" si="134"/>
        <v>3.06</v>
      </c>
      <c r="CN56" s="465">
        <f t="shared" si="112"/>
        <v>12</v>
      </c>
      <c r="CO56" s="379">
        <f t="shared" si="168"/>
        <v>8.625</v>
      </c>
      <c r="CP56" s="379">
        <f t="shared" si="169"/>
        <v>20.625</v>
      </c>
      <c r="CQ56" s="379"/>
      <c r="CR56" s="188">
        <f t="shared" si="113"/>
        <v>0.4156318480642805</v>
      </c>
      <c r="CS56" s="149">
        <f t="shared" si="114"/>
        <v>155.29102015588504</v>
      </c>
      <c r="CT56" s="149">
        <f t="shared" si="51"/>
        <v>10.961719069827179</v>
      </c>
      <c r="CU56" s="188">
        <f t="shared" si="52"/>
        <v>0.91347658915226493</v>
      </c>
      <c r="CV56" s="188">
        <f t="shared" si="53"/>
        <v>12.940918346323754</v>
      </c>
      <c r="CW56" s="379">
        <f t="shared" si="54"/>
        <v>170</v>
      </c>
      <c r="CX56" s="188">
        <f t="shared" si="55"/>
        <v>18.610219683655536</v>
      </c>
      <c r="CY56" s="188">
        <f t="shared" si="56"/>
        <v>2.3262774604569421</v>
      </c>
      <c r="CZ56" s="188">
        <f t="shared" si="57"/>
        <v>3.2365599449835716</v>
      </c>
      <c r="DA56" s="172">
        <f t="shared" si="58"/>
        <v>250.90909090909091</v>
      </c>
      <c r="DB56" s="379">
        <f t="shared" si="115"/>
        <v>179.76437690269171</v>
      </c>
      <c r="DD56" s="188">
        <f t="shared" si="59"/>
        <v>13.333333333333332</v>
      </c>
      <c r="DE56" s="150">
        <f t="shared" si="60"/>
        <v>2.318840579710145</v>
      </c>
      <c r="DF56" s="150">
        <f t="shared" si="61"/>
        <v>0.18115218115218115</v>
      </c>
      <c r="DG56" s="150"/>
      <c r="DH56" s="150">
        <f t="shared" si="62"/>
        <v>2.3188405797101455</v>
      </c>
      <c r="DI56" s="314">
        <f t="shared" si="63"/>
        <v>353.19374999999985</v>
      </c>
      <c r="DJ56" s="456">
        <f t="shared" si="64"/>
        <v>0.18115218115218121</v>
      </c>
      <c r="DL56" s="150">
        <f t="shared" si="65"/>
        <v>13.29661611087573</v>
      </c>
      <c r="DM56" s="150">
        <f t="shared" si="66"/>
        <v>18.610219683655536</v>
      </c>
      <c r="DN56" s="150">
        <f t="shared" si="67"/>
        <v>5.1088047039423721</v>
      </c>
      <c r="DP56" s="314">
        <f t="shared" si="68"/>
        <v>255</v>
      </c>
      <c r="DQ56" s="144">
        <f t="shared" si="69"/>
        <v>179.76437690269171</v>
      </c>
      <c r="DS56">
        <f t="shared" si="116"/>
        <v>255</v>
      </c>
      <c r="DT56" s="144">
        <f t="shared" si="70"/>
        <v>179.76437690269171</v>
      </c>
      <c r="DU56" s="144"/>
      <c r="DV56" s="5">
        <f t="shared" si="117"/>
        <v>5.5628374054405132</v>
      </c>
      <c r="DW56" s="5">
        <f t="shared" si="71"/>
        <v>2.3262774604569421</v>
      </c>
      <c r="DX56" s="5">
        <f t="shared" si="118"/>
        <v>3.2365599449835711</v>
      </c>
      <c r="DY56" s="150">
        <f t="shared" si="119"/>
        <v>0.41818181818181821</v>
      </c>
      <c r="EA56" s="5">
        <f t="shared" si="72"/>
        <v>0.34894161906854138</v>
      </c>
      <c r="EB56" s="5">
        <f t="shared" si="73"/>
        <v>4.943339603471002</v>
      </c>
      <c r="EC56" s="5">
        <f t="shared" si="74"/>
        <v>19.486788002088584</v>
      </c>
      <c r="ED56" s="5"/>
      <c r="EE56" s="150">
        <f t="shared" si="120"/>
        <v>6.9482181554960265</v>
      </c>
      <c r="EF56" s="150">
        <f t="shared" si="75"/>
        <v>0.38276485500734486</v>
      </c>
      <c r="EG56" s="150">
        <f t="shared" si="76"/>
        <v>0.36411914056305322</v>
      </c>
      <c r="EH56" s="150"/>
      <c r="EI56" s="456">
        <f t="shared" si="77"/>
        <v>0.16414430082363965</v>
      </c>
      <c r="EJ56" s="456">
        <f t="shared" si="78"/>
        <v>2.0976000000000004</v>
      </c>
      <c r="EK56" s="456">
        <f t="shared" si="79"/>
        <v>4.1166042310716397E-2</v>
      </c>
      <c r="EL56" s="456">
        <f t="shared" si="80"/>
        <v>5.2382005240709538E-2</v>
      </c>
      <c r="EM56">
        <f t="shared" si="81"/>
        <v>5.4000000000000003E-3</v>
      </c>
      <c r="EN56" s="144">
        <f t="shared" si="121"/>
        <v>46.566042310716398</v>
      </c>
      <c r="EO56">
        <f t="shared" si="82"/>
        <v>2.5026150115299304</v>
      </c>
      <c r="EP56" s="144">
        <f t="shared" si="122"/>
        <v>2502.6150115299306</v>
      </c>
      <c r="EQ56" s="150">
        <f t="shared" si="83"/>
        <v>0.5657812499999999</v>
      </c>
      <c r="ER56" s="150">
        <f t="shared" si="170"/>
        <v>0.18105000000000002</v>
      </c>
      <c r="ES56" s="456"/>
      <c r="EU56" s="144">
        <f t="shared" si="123"/>
        <v>746.83124999999995</v>
      </c>
      <c r="EV56" s="456">
        <f t="shared" si="85"/>
        <v>7.2416603304546912E-2</v>
      </c>
      <c r="EW56" s="456">
        <f t="shared" si="124"/>
        <v>2.9301786845758751E-2</v>
      </c>
      <c r="EX56" s="456">
        <f t="shared" si="86"/>
        <v>3.9774824557312956E-3</v>
      </c>
      <c r="EY56" s="456">
        <f t="shared" si="87"/>
        <v>32.367401730078967</v>
      </c>
      <c r="EZ56" s="456">
        <f t="shared" si="88"/>
        <v>32.775604299843422</v>
      </c>
      <c r="FA56" s="538">
        <f t="shared" si="89"/>
        <v>6.225964403259307E-2</v>
      </c>
      <c r="FB56" s="144">
        <f t="shared" si="125"/>
        <v>32837.863943876015</v>
      </c>
      <c r="FC56" s="150">
        <f t="shared" si="126"/>
        <v>36.087310205405949</v>
      </c>
      <c r="FD56" s="5">
        <f t="shared" si="127"/>
        <v>46.410000000000004</v>
      </c>
      <c r="FE56" s="150">
        <f t="shared" si="128"/>
        <v>0.56256379613403218</v>
      </c>
      <c r="FF56" s="5">
        <f t="shared" si="129"/>
        <v>56.256379613403219</v>
      </c>
      <c r="FG56">
        <f t="shared" si="130"/>
        <v>51</v>
      </c>
      <c r="FI56" s="59">
        <f t="shared" si="90"/>
        <v>-50</v>
      </c>
      <c r="FJ56">
        <f t="shared" si="91"/>
        <v>-50</v>
      </c>
      <c r="FL56">
        <f t="shared" si="92"/>
        <v>0.56766977275315589</v>
      </c>
    </row>
    <row r="57" spans="5:168">
      <c r="E57" s="147">
        <v>52</v>
      </c>
      <c r="F57" s="188">
        <f t="shared" si="174"/>
        <v>0.26</v>
      </c>
      <c r="G57" s="188">
        <f t="shared" si="171"/>
        <v>0.26</v>
      </c>
      <c r="H57" s="188">
        <f t="shared" si="135"/>
        <v>44.2</v>
      </c>
      <c r="I57" s="188">
        <f t="shared" si="175"/>
        <v>3.12</v>
      </c>
      <c r="J57" s="465">
        <f t="shared" si="136"/>
        <v>11.942823617538908</v>
      </c>
      <c r="K57" s="379">
        <f t="shared" si="137"/>
        <v>8.659167666644473</v>
      </c>
      <c r="L57" s="149">
        <f t="shared" si="138"/>
        <v>20.601991284183381</v>
      </c>
      <c r="M57" s="379"/>
      <c r="N57" s="188">
        <f t="shared" si="139"/>
        <v>0.4203073162783208</v>
      </c>
      <c r="O57" s="149">
        <f t="shared" si="172"/>
        <v>156.28966014476762</v>
      </c>
      <c r="P57" s="149">
        <f t="shared" si="140"/>
        <v>11.03221130433654</v>
      </c>
      <c r="Q57" s="188">
        <f t="shared" si="6"/>
        <v>0.91935094202804479</v>
      </c>
      <c r="R57" s="188">
        <f t="shared" si="141"/>
        <v>13.024138345397303</v>
      </c>
      <c r="S57" s="379">
        <f t="shared" si="142"/>
        <v>170</v>
      </c>
      <c r="T57" s="188">
        <f t="shared" si="143"/>
        <v>18.853881081686627</v>
      </c>
      <c r="U57" s="188">
        <f t="shared" si="10"/>
        <v>2.3680180272442013</v>
      </c>
      <c r="V57" s="188">
        <f t="shared" si="11"/>
        <v>3.2659976929964083</v>
      </c>
      <c r="W57" s="172">
        <f t="shared" si="12"/>
        <v>250.98280717365625</v>
      </c>
      <c r="X57" s="379">
        <f t="shared" si="95"/>
        <v>171.40851995488921</v>
      </c>
      <c r="Z57" s="188">
        <f t="shared" si="13"/>
        <v>13.333333333333334</v>
      </c>
      <c r="AA57" s="150">
        <f t="shared" si="14"/>
        <v>2.3096908120905151</v>
      </c>
      <c r="AB57" s="150">
        <f t="shared" si="144"/>
        <v>0.1804903960305595</v>
      </c>
      <c r="AC57" s="150"/>
      <c r="AD57" s="150">
        <f t="shared" si="16"/>
        <v>2.3096908120905151</v>
      </c>
      <c r="AE57" s="314">
        <f t="shared" si="145"/>
        <v>361.54571822260266</v>
      </c>
      <c r="AF57" s="456">
        <f t="shared" si="146"/>
        <v>0.1804903960305595</v>
      </c>
      <c r="AH57" s="150">
        <f t="shared" si="147"/>
        <v>13.426342266852378</v>
      </c>
      <c r="AI57" s="150">
        <f t="shared" si="148"/>
        <v>18.853881081686627</v>
      </c>
      <c r="AJ57" s="150">
        <f t="shared" si="149"/>
        <v>5.2892946284098468</v>
      </c>
      <c r="AL57" s="314">
        <f t="shared" si="150"/>
        <v>260</v>
      </c>
      <c r="AM57" s="144">
        <f t="shared" si="151"/>
        <v>171.40851995488921</v>
      </c>
      <c r="AO57">
        <f t="shared" si="96"/>
        <v>260</v>
      </c>
      <c r="AP57" s="144">
        <f t="shared" si="24"/>
        <v>171.40851995488921</v>
      </c>
      <c r="AQ57" s="144"/>
      <c r="AR57" s="5">
        <f t="shared" si="97"/>
        <v>5.8340157202406102</v>
      </c>
      <c r="AS57" s="5">
        <f t="shared" si="25"/>
        <v>2.3680180272442013</v>
      </c>
      <c r="AT57" s="5">
        <f t="shared" si="98"/>
        <v>3.4659976929964089</v>
      </c>
      <c r="AU57" s="150">
        <f t="shared" si="99"/>
        <v>0.40589846527642509</v>
      </c>
      <c r="AW57" s="5">
        <f t="shared" si="152"/>
        <v>0.36216746299028962</v>
      </c>
      <c r="AX57" s="5">
        <f t="shared" si="153"/>
        <v>5.1307057256957691</v>
      </c>
      <c r="AY57" s="5">
        <f t="shared" si="28"/>
        <v>21.379240361754448</v>
      </c>
      <c r="AZ57" s="5"/>
      <c r="BA57" s="150">
        <f t="shared" si="100"/>
        <v>6.9350379306443131</v>
      </c>
      <c r="BB57" s="150">
        <f t="shared" si="154"/>
        <v>0.39184833974402544</v>
      </c>
      <c r="BC57" s="150">
        <f t="shared" si="155"/>
        <v>0.37276013937046532</v>
      </c>
      <c r="BD57" s="150"/>
      <c r="BE57" s="456">
        <f t="shared" si="31"/>
        <v>0.16352215373821619</v>
      </c>
      <c r="BF57" s="456">
        <f t="shared" si="156"/>
        <v>1.5945857743010912</v>
      </c>
      <c r="BG57" s="456">
        <f t="shared" si="157"/>
        <v>9.3757258792700512E-2</v>
      </c>
      <c r="BH57" s="456">
        <f t="shared" si="34"/>
        <v>4.98357931621074E-2</v>
      </c>
      <c r="BI57">
        <f t="shared" si="35"/>
        <v>5.3742706278925084E-3</v>
      </c>
      <c r="BJ57" s="144">
        <f t="shared" si="101"/>
        <v>99.131529420593012</v>
      </c>
      <c r="BK57">
        <f t="shared" si="158"/>
        <v>1.9269627227885584</v>
      </c>
      <c r="BL57" s="144">
        <f t="shared" si="102"/>
        <v>1926.9627227885585</v>
      </c>
      <c r="BM57" s="150">
        <f t="shared" si="159"/>
        <v>0.57687500000000003</v>
      </c>
      <c r="BN57" s="150">
        <f t="shared" si="160"/>
        <v>0.18460000000000001</v>
      </c>
      <c r="BO57" s="456"/>
      <c r="BQ57" s="144">
        <f t="shared" si="103"/>
        <v>761.47500000000002</v>
      </c>
      <c r="BR57" s="456">
        <f t="shared" si="39"/>
        <v>7.2142126649213031E-2</v>
      </c>
      <c r="BS57" s="456">
        <f t="shared" si="104"/>
        <v>3.0709024272029841E-2</v>
      </c>
      <c r="BT57" s="456">
        <f t="shared" si="161"/>
        <v>4.168503645104662E-3</v>
      </c>
      <c r="BU57" s="456">
        <f t="shared" si="41"/>
        <v>29.686084923612551</v>
      </c>
      <c r="BV57" s="456">
        <f t="shared" si="162"/>
        <v>30.076289625382493</v>
      </c>
      <c r="BW57" s="538">
        <f t="shared" si="163"/>
        <v>6.0930386356195909E-2</v>
      </c>
      <c r="BX57" s="144">
        <f t="shared" si="105"/>
        <v>30137.220011738689</v>
      </c>
      <c r="BY57" s="150">
        <f t="shared" si="106"/>
        <v>32.825657734527248</v>
      </c>
      <c r="BZ57" s="5">
        <f t="shared" si="107"/>
        <v>47.32</v>
      </c>
      <c r="CA57" s="150">
        <f t="shared" si="108"/>
        <v>0.59042500040041779</v>
      </c>
      <c r="CB57" s="5">
        <f t="shared" si="109"/>
        <v>59.04250004004178</v>
      </c>
      <c r="CC57">
        <f t="shared" si="173"/>
        <v>52</v>
      </c>
      <c r="CE57" s="59">
        <f t="shared" si="164"/>
        <v>-50</v>
      </c>
      <c r="CF57">
        <f t="shared" si="165"/>
        <v>-50</v>
      </c>
      <c r="CG57" s="150">
        <f t="shared" si="166"/>
        <v>0.56766977275315589</v>
      </c>
      <c r="CH57" s="150">
        <f t="shared" si="167"/>
        <v>0.15382552837714242</v>
      </c>
      <c r="CI57" s="147">
        <v>52</v>
      </c>
      <c r="CJ57" s="188">
        <f t="shared" si="133"/>
        <v>0.26</v>
      </c>
      <c r="CK57" s="188">
        <f t="shared" si="111"/>
        <v>0.26</v>
      </c>
      <c r="CL57" s="188">
        <f t="shared" si="48"/>
        <v>44.2</v>
      </c>
      <c r="CM57" s="188">
        <f t="shared" si="134"/>
        <v>3.12</v>
      </c>
      <c r="CN57" s="465">
        <f t="shared" si="112"/>
        <v>12</v>
      </c>
      <c r="CO57" s="379">
        <f t="shared" si="168"/>
        <v>8.625</v>
      </c>
      <c r="CP57" s="379">
        <f t="shared" si="169"/>
        <v>20.625</v>
      </c>
      <c r="CQ57" s="379"/>
      <c r="CR57" s="188">
        <f t="shared" si="113"/>
        <v>0.4156318480642805</v>
      </c>
      <c r="CS57" s="149">
        <f t="shared" si="114"/>
        <v>155.29102015588504</v>
      </c>
      <c r="CT57" s="149">
        <f t="shared" si="51"/>
        <v>10.961719069827179</v>
      </c>
      <c r="CU57" s="188">
        <f t="shared" si="52"/>
        <v>0.91347658915226493</v>
      </c>
      <c r="CV57" s="188">
        <f t="shared" si="53"/>
        <v>12.940918346323754</v>
      </c>
      <c r="CW57" s="379">
        <f t="shared" si="54"/>
        <v>170</v>
      </c>
      <c r="CX57" s="188">
        <f t="shared" si="55"/>
        <v>18.975125951962507</v>
      </c>
      <c r="CY57" s="188">
        <f t="shared" si="56"/>
        <v>2.3718907439953134</v>
      </c>
      <c r="CZ57" s="188">
        <f t="shared" si="57"/>
        <v>3.3000219046891321</v>
      </c>
      <c r="DA57" s="172">
        <f t="shared" si="58"/>
        <v>250.90909090909091</v>
      </c>
      <c r="DB57" s="379">
        <f t="shared" si="115"/>
        <v>176.30736965456299</v>
      </c>
      <c r="DD57" s="188">
        <f t="shared" si="59"/>
        <v>13.333333333333332</v>
      </c>
      <c r="DE57" s="150">
        <f t="shared" si="60"/>
        <v>2.318840579710145</v>
      </c>
      <c r="DF57" s="150">
        <f t="shared" si="61"/>
        <v>0.18115218115218115</v>
      </c>
      <c r="DG57" s="150"/>
      <c r="DH57" s="150">
        <f t="shared" si="62"/>
        <v>2.3188405797101455</v>
      </c>
      <c r="DI57" s="314">
        <f t="shared" si="63"/>
        <v>360.11911764705872</v>
      </c>
      <c r="DJ57" s="456">
        <f t="shared" si="64"/>
        <v>0.18115218115218121</v>
      </c>
      <c r="DL57" s="150">
        <f t="shared" si="65"/>
        <v>13.426342266852378</v>
      </c>
      <c r="DM57" s="150">
        <f t="shared" si="66"/>
        <v>18.975125951962507</v>
      </c>
      <c r="DN57" s="150">
        <f t="shared" si="67"/>
        <v>5.3791056434290176</v>
      </c>
      <c r="DP57" s="314">
        <f t="shared" si="68"/>
        <v>260</v>
      </c>
      <c r="DQ57" s="144">
        <f t="shared" si="69"/>
        <v>176.30736965456299</v>
      </c>
      <c r="DS57">
        <f t="shared" si="116"/>
        <v>260</v>
      </c>
      <c r="DT57" s="144">
        <f t="shared" si="70"/>
        <v>176.30736965456299</v>
      </c>
      <c r="DU57" s="144"/>
      <c r="DV57" s="5">
        <f t="shared" si="117"/>
        <v>5.6719126486844456</v>
      </c>
      <c r="DW57" s="5">
        <f t="shared" si="71"/>
        <v>2.3718907439953134</v>
      </c>
      <c r="DX57" s="5">
        <f t="shared" si="118"/>
        <v>3.3000219046891321</v>
      </c>
      <c r="DY57" s="150">
        <f t="shared" si="119"/>
        <v>0.41818181818181815</v>
      </c>
      <c r="EA57" s="5">
        <f t="shared" si="72"/>
        <v>0.36275976084634209</v>
      </c>
      <c r="EB57" s="5">
        <f t="shared" si="73"/>
        <v>5.1390966119898458</v>
      </c>
      <c r="EC57" s="5">
        <f t="shared" si="74"/>
        <v>20.258467803786061</v>
      </c>
      <c r="ED57" s="5"/>
      <c r="EE57" s="150">
        <f t="shared" si="120"/>
        <v>7.0844577271724187</v>
      </c>
      <c r="EF57" s="150">
        <f t="shared" si="75"/>
        <v>0.390270048242783</v>
      </c>
      <c r="EG57" s="150">
        <f t="shared" si="76"/>
        <v>0.37125873155448563</v>
      </c>
      <c r="EH57" s="150"/>
      <c r="EI57" s="456">
        <f t="shared" si="77"/>
        <v>0.17064444037951615</v>
      </c>
      <c r="EJ57" s="456">
        <f t="shared" si="78"/>
        <v>2.0975999999999999</v>
      </c>
      <c r="EK57" s="456">
        <f t="shared" si="79"/>
        <v>4.0374387650894919E-2</v>
      </c>
      <c r="EL57" s="456">
        <f t="shared" si="80"/>
        <v>5.1374658986080499E-2</v>
      </c>
      <c r="EM57">
        <f t="shared" si="81"/>
        <v>5.4000000000000003E-3</v>
      </c>
      <c r="EN57" s="144">
        <f t="shared" si="121"/>
        <v>45.774387650894923</v>
      </c>
      <c r="EO57">
        <f t="shared" si="82"/>
        <v>2.513372471972291</v>
      </c>
      <c r="EP57" s="144">
        <f t="shared" si="122"/>
        <v>2513.3724719722909</v>
      </c>
      <c r="EQ57" s="150">
        <f t="shared" si="83"/>
        <v>0.57687500000000003</v>
      </c>
      <c r="ER57" s="150">
        <f t="shared" si="170"/>
        <v>0.18460000000000001</v>
      </c>
      <c r="ES57" s="456"/>
      <c r="EU57" s="144">
        <f t="shared" si="123"/>
        <v>761.47500000000002</v>
      </c>
      <c r="EV57" s="456">
        <f t="shared" si="85"/>
        <v>7.5284311932139483E-2</v>
      </c>
      <c r="EW57" s="456">
        <f t="shared" si="124"/>
        <v>3.0462142111084833E-2</v>
      </c>
      <c r="EX57" s="456">
        <f t="shared" si="86"/>
        <v>4.1349913726633691E-3</v>
      </c>
      <c r="EY57" s="456">
        <f t="shared" si="87"/>
        <v>32.367401730078882</v>
      </c>
      <c r="EZ57" s="456">
        <f t="shared" si="88"/>
        <v>32.791912542242024</v>
      </c>
      <c r="FA57" s="538">
        <f t="shared" si="89"/>
        <v>6.3480421366565482E-2</v>
      </c>
      <c r="FB57" s="144">
        <f t="shared" si="125"/>
        <v>32855.392963608589</v>
      </c>
      <c r="FC57" s="150">
        <f t="shared" si="126"/>
        <v>36.13024043558088</v>
      </c>
      <c r="FD57" s="5">
        <f t="shared" si="127"/>
        <v>47.32</v>
      </c>
      <c r="FE57" s="150">
        <f t="shared" si="128"/>
        <v>0.56704450164560649</v>
      </c>
      <c r="FF57" s="5">
        <f t="shared" si="129"/>
        <v>56.704450164560647</v>
      </c>
      <c r="FG57">
        <f t="shared" si="130"/>
        <v>52</v>
      </c>
      <c r="FI57" s="59">
        <f t="shared" si="90"/>
        <v>-50</v>
      </c>
      <c r="FJ57">
        <f t="shared" si="91"/>
        <v>-50</v>
      </c>
      <c r="FL57">
        <f t="shared" si="92"/>
        <v>0.56766977275315578</v>
      </c>
    </row>
    <row r="58" spans="5:168">
      <c r="E58" s="147">
        <v>53</v>
      </c>
      <c r="F58" s="188">
        <f t="shared" si="174"/>
        <v>0.26500000000000001</v>
      </c>
      <c r="G58" s="188">
        <f t="shared" si="171"/>
        <v>0.26500000000000001</v>
      </c>
      <c r="H58" s="188">
        <f t="shared" si="135"/>
        <v>45.050000000000004</v>
      </c>
      <c r="I58" s="188">
        <f t="shared" si="175"/>
        <v>3.18</v>
      </c>
      <c r="J58" s="465">
        <f t="shared" si="136"/>
        <v>11.94172407172235</v>
      </c>
      <c r="K58" s="379">
        <f t="shared" si="137"/>
        <v>8.6598247371568657</v>
      </c>
      <c r="L58" s="149">
        <f t="shared" si="138"/>
        <v>20.601548808879215</v>
      </c>
      <c r="M58" s="379"/>
      <c r="N58" s="188">
        <f t="shared" si="139"/>
        <v>0.42034823777057495</v>
      </c>
      <c r="O58" s="149">
        <f t="shared" si="172"/>
        <v>156.29048604642136</v>
      </c>
      <c r="P58" s="149">
        <f t="shared" si="140"/>
        <v>11.032269603276802</v>
      </c>
      <c r="Q58" s="188">
        <f t="shared" si="6"/>
        <v>0.91935580027306685</v>
      </c>
      <c r="R58" s="188">
        <f t="shared" si="141"/>
        <v>13.024207170535114</v>
      </c>
      <c r="S58" s="379">
        <f t="shared" si="142"/>
        <v>170</v>
      </c>
      <c r="T58" s="188">
        <f t="shared" si="143"/>
        <v>19.216354170408582</v>
      </c>
      <c r="U58" s="188">
        <f t="shared" si="10"/>
        <v>2.4137663106676959</v>
      </c>
      <c r="V58" s="188">
        <f t="shared" si="11"/>
        <v>3.3285351759989941</v>
      </c>
      <c r="W58" s="172">
        <f t="shared" si="12"/>
        <v>250.98413347454724</v>
      </c>
      <c r="X58" s="379">
        <f t="shared" si="95"/>
        <v>168.28496538652499</v>
      </c>
      <c r="Z58" s="188">
        <f t="shared" si="13"/>
        <v>13.333333333333334</v>
      </c>
      <c r="AA58" s="150">
        <f t="shared" si="14"/>
        <v>2.3095155626170634</v>
      </c>
      <c r="AB58" s="150">
        <f t="shared" si="144"/>
        <v>0.18047765490659759</v>
      </c>
      <c r="AC58" s="150"/>
      <c r="AD58" s="150">
        <f t="shared" si="16"/>
        <v>2.3095155626170634</v>
      </c>
      <c r="AE58" s="314">
        <f t="shared" si="145"/>
        <v>368.5264827115372</v>
      </c>
      <c r="AF58" s="456">
        <f t="shared" si="146"/>
        <v>0.18047765490659762</v>
      </c>
      <c r="AH58" s="150">
        <f t="shared" si="147"/>
        <v>13.554826938523906</v>
      </c>
      <c r="AI58" s="150">
        <f t="shared" si="148"/>
        <v>19.216354170408582</v>
      </c>
      <c r="AJ58" s="150">
        <f t="shared" si="149"/>
        <v>5.557793212648332</v>
      </c>
      <c r="AL58" s="314">
        <f t="shared" si="150"/>
        <v>265</v>
      </c>
      <c r="AM58" s="144">
        <f t="shared" si="151"/>
        <v>168.28496538652499</v>
      </c>
      <c r="AO58">
        <f t="shared" si="96"/>
        <v>265</v>
      </c>
      <c r="AP58" s="144">
        <f t="shared" si="24"/>
        <v>168.28496538652499</v>
      </c>
      <c r="AQ58" s="144"/>
      <c r="AR58" s="5">
        <f t="shared" si="97"/>
        <v>5.9423014866666906</v>
      </c>
      <c r="AS58" s="5">
        <f t="shared" si="25"/>
        <v>2.4137663106676959</v>
      </c>
      <c r="AT58" s="5">
        <f t="shared" si="98"/>
        <v>3.5285351759989947</v>
      </c>
      <c r="AU58" s="150">
        <f t="shared" si="99"/>
        <v>0.40620058004187332</v>
      </c>
      <c r="AW58" s="5">
        <f t="shared" si="152"/>
        <v>0.3762635719570232</v>
      </c>
      <c r="AX58" s="5">
        <f t="shared" si="153"/>
        <v>5.3304006027244952</v>
      </c>
      <c r="AY58" s="5">
        <f t="shared" si="28"/>
        <v>22.185589049514284</v>
      </c>
      <c r="AZ58" s="5"/>
      <c r="BA58" s="150">
        <f t="shared" si="100"/>
        <v>7.0709967352848118</v>
      </c>
      <c r="BB58" s="150">
        <f t="shared" si="154"/>
        <v>0.3992802137540411</v>
      </c>
      <c r="BC58" s="150">
        <f t="shared" si="155"/>
        <v>0.37982998275315494</v>
      </c>
      <c r="BD58" s="150"/>
      <c r="BE58" s="456">
        <f t="shared" si="31"/>
        <v>0.16999658242338878</v>
      </c>
      <c r="BF58" s="456">
        <f t="shared" si="156"/>
        <v>1.5955914537902807</v>
      </c>
      <c r="BG58" s="456">
        <f t="shared" si="157"/>
        <v>9.2040258090587426E-2</v>
      </c>
      <c r="BH58" s="456">
        <f t="shared" si="34"/>
        <v>4.8925540513168629E-2</v>
      </c>
      <c r="BI58">
        <f t="shared" si="35"/>
        <v>5.3737758322750569E-3</v>
      </c>
      <c r="BJ58" s="144">
        <f t="shared" si="101"/>
        <v>97.414033922862473</v>
      </c>
      <c r="BK58">
        <f t="shared" si="158"/>
        <v>1.9387198519699924</v>
      </c>
      <c r="BL58" s="144">
        <f t="shared" si="102"/>
        <v>1938.7198519699923</v>
      </c>
      <c r="BM58" s="150">
        <f t="shared" si="159"/>
        <v>0.58796875000000004</v>
      </c>
      <c r="BN58" s="150">
        <f t="shared" si="160"/>
        <v>0.18815000000000001</v>
      </c>
      <c r="BO58" s="456"/>
      <c r="BQ58" s="144">
        <f t="shared" si="103"/>
        <v>776.11875000000009</v>
      </c>
      <c r="BR58" s="456">
        <f t="shared" si="39"/>
        <v>7.4998492245612697E-2</v>
      </c>
      <c r="BS58" s="456">
        <f t="shared" si="104"/>
        <v>3.1884937819094551E-2</v>
      </c>
      <c r="BT58" s="456">
        <f t="shared" si="161"/>
        <v>4.3281244739478593E-3</v>
      </c>
      <c r="BU58" s="456">
        <f t="shared" si="41"/>
        <v>29.734509918806374</v>
      </c>
      <c r="BV58" s="456">
        <f t="shared" si="162"/>
        <v>30.140570623532319</v>
      </c>
      <c r="BW58" s="538">
        <f t="shared" si="163"/>
        <v>6.2142297631842106E-2</v>
      </c>
      <c r="BX58" s="144">
        <f t="shared" si="105"/>
        <v>30202.712921164159</v>
      </c>
      <c r="BY58" s="150">
        <f t="shared" si="106"/>
        <v>32.917551523134158</v>
      </c>
      <c r="BZ58" s="5">
        <f t="shared" si="107"/>
        <v>48.230000000000004</v>
      </c>
      <c r="CA58" s="150">
        <f t="shared" si="108"/>
        <v>0.59434941775477024</v>
      </c>
      <c r="CB58" s="5">
        <f t="shared" si="109"/>
        <v>59.434941775477022</v>
      </c>
      <c r="CC58">
        <f t="shared" si="173"/>
        <v>53</v>
      </c>
      <c r="CE58" s="59">
        <f t="shared" si="164"/>
        <v>-50</v>
      </c>
      <c r="CF58">
        <f t="shared" si="165"/>
        <v>-50</v>
      </c>
      <c r="CG58" s="150">
        <f t="shared" si="166"/>
        <v>0.56766977275315578</v>
      </c>
      <c r="CH58" s="150">
        <f t="shared" si="167"/>
        <v>0.15382552837714242</v>
      </c>
      <c r="CI58" s="147">
        <v>53</v>
      </c>
      <c r="CJ58" s="188">
        <f t="shared" si="133"/>
        <v>0.26500000000000001</v>
      </c>
      <c r="CK58" s="188">
        <f t="shared" si="111"/>
        <v>0.26500000000000001</v>
      </c>
      <c r="CL58" s="188">
        <f t="shared" si="48"/>
        <v>45.050000000000004</v>
      </c>
      <c r="CM58" s="188">
        <f t="shared" si="134"/>
        <v>3.18</v>
      </c>
      <c r="CN58" s="465">
        <f t="shared" si="112"/>
        <v>12</v>
      </c>
      <c r="CO58" s="379">
        <f t="shared" si="168"/>
        <v>8.625</v>
      </c>
      <c r="CP58" s="379">
        <f t="shared" si="169"/>
        <v>20.625</v>
      </c>
      <c r="CQ58" s="379"/>
      <c r="CR58" s="188">
        <f t="shared" si="113"/>
        <v>0.4156318480642805</v>
      </c>
      <c r="CS58" s="149">
        <f t="shared" si="114"/>
        <v>155.29102015588504</v>
      </c>
      <c r="CT58" s="149">
        <f t="shared" si="51"/>
        <v>10.961719069827179</v>
      </c>
      <c r="CU58" s="188">
        <f t="shared" si="52"/>
        <v>0.91347658915226493</v>
      </c>
      <c r="CV58" s="188">
        <f t="shared" si="53"/>
        <v>12.940918346323754</v>
      </c>
      <c r="CW58" s="379">
        <f t="shared" si="54"/>
        <v>170</v>
      </c>
      <c r="CX58" s="188">
        <f t="shared" si="55"/>
        <v>19.340032220269478</v>
      </c>
      <c r="CY58" s="188">
        <f t="shared" si="56"/>
        <v>2.4175040275336852</v>
      </c>
      <c r="CZ58" s="188">
        <f t="shared" si="57"/>
        <v>3.3634838643946918</v>
      </c>
      <c r="DA58" s="172">
        <f t="shared" si="58"/>
        <v>250.90909090909091</v>
      </c>
      <c r="DB58" s="379">
        <f t="shared" si="115"/>
        <v>172.98081551013726</v>
      </c>
      <c r="DD58" s="188">
        <f t="shared" si="59"/>
        <v>13.333333333333332</v>
      </c>
      <c r="DE58" s="150">
        <f t="shared" si="60"/>
        <v>2.318840579710145</v>
      </c>
      <c r="DF58" s="150">
        <f t="shared" si="61"/>
        <v>0.18115218115218115</v>
      </c>
      <c r="DG58" s="150"/>
      <c r="DH58" s="150">
        <f t="shared" si="62"/>
        <v>2.3188405797101455</v>
      </c>
      <c r="DI58" s="314">
        <f t="shared" si="63"/>
        <v>367.04448529411752</v>
      </c>
      <c r="DJ58" s="456">
        <f t="shared" si="64"/>
        <v>0.18115218115218121</v>
      </c>
      <c r="DL58" s="150">
        <f t="shared" si="65"/>
        <v>13.554826938523906</v>
      </c>
      <c r="DM58" s="150">
        <f t="shared" si="66"/>
        <v>19.340032220269478</v>
      </c>
      <c r="DN58" s="150">
        <f t="shared" si="67"/>
        <v>5.6494065829156623</v>
      </c>
      <c r="DP58" s="314">
        <f t="shared" si="68"/>
        <v>265</v>
      </c>
      <c r="DQ58" s="144">
        <f t="shared" si="69"/>
        <v>172.98081551013726</v>
      </c>
      <c r="DS58">
        <f t="shared" si="116"/>
        <v>265</v>
      </c>
      <c r="DT58" s="144">
        <f t="shared" si="70"/>
        <v>172.98081551013726</v>
      </c>
      <c r="DU58" s="144"/>
      <c r="DV58" s="5">
        <f t="shared" si="117"/>
        <v>5.780987891928377</v>
      </c>
      <c r="DW58" s="5">
        <f t="shared" si="71"/>
        <v>2.4175040275336852</v>
      </c>
      <c r="DX58" s="5">
        <f t="shared" si="118"/>
        <v>3.3634838643946918</v>
      </c>
      <c r="DY58" s="150">
        <f t="shared" si="119"/>
        <v>0.41818181818181821</v>
      </c>
      <c r="EA58" s="5">
        <f t="shared" si="72"/>
        <v>0.37684621605672158</v>
      </c>
      <c r="EB58" s="5">
        <f t="shared" si="73"/>
        <v>5.3386547274702219</v>
      </c>
      <c r="EC58" s="5">
        <f t="shared" si="74"/>
        <v>21.045131679302898</v>
      </c>
      <c r="ED58" s="5"/>
      <c r="EE58" s="150">
        <f t="shared" si="120"/>
        <v>7.220697298848811</v>
      </c>
      <c r="EF58" s="150">
        <f t="shared" si="75"/>
        <v>0.39777524147822113</v>
      </c>
      <c r="EG58" s="150">
        <f t="shared" si="76"/>
        <v>0.37839832254591804</v>
      </c>
      <c r="EH58" s="150"/>
      <c r="EI58" s="456">
        <f t="shared" si="77"/>
        <v>0.17727079623744854</v>
      </c>
      <c r="EJ58" s="456">
        <f t="shared" si="78"/>
        <v>2.0975999999999995</v>
      </c>
      <c r="EK58" s="456">
        <f t="shared" si="79"/>
        <v>3.9612606751821433E-2</v>
      </c>
      <c r="EL58" s="456">
        <f t="shared" si="80"/>
        <v>5.040532579766388E-2</v>
      </c>
      <c r="EM58">
        <f t="shared" si="81"/>
        <v>5.4000000000000003E-3</v>
      </c>
      <c r="EN58" s="144">
        <f t="shared" si="121"/>
        <v>45.012606751821437</v>
      </c>
      <c r="EO58">
        <f t="shared" si="82"/>
        <v>2.5244818615102815</v>
      </c>
      <c r="EP58" s="144">
        <f t="shared" si="122"/>
        <v>2524.4818615102813</v>
      </c>
      <c r="EQ58" s="150">
        <f t="shared" si="83"/>
        <v>0.58796875000000004</v>
      </c>
      <c r="ER58" s="150">
        <f t="shared" si="170"/>
        <v>0.18815000000000001</v>
      </c>
      <c r="ES58" s="456"/>
      <c r="EU58" s="144">
        <f t="shared" si="123"/>
        <v>776.11875000000009</v>
      </c>
      <c r="EV58" s="456">
        <f t="shared" si="85"/>
        <v>7.8207704222403765E-2</v>
      </c>
      <c r="EW58" s="456">
        <f t="shared" si="124"/>
        <v>3.1645028546611428E-2</v>
      </c>
      <c r="EX58" s="456">
        <f t="shared" si="86"/>
        <v>4.2955587151669392E-3</v>
      </c>
      <c r="EY58" s="456">
        <f t="shared" si="87"/>
        <v>32.367401730078917</v>
      </c>
      <c r="EZ58" s="456">
        <f t="shared" si="88"/>
        <v>32.808548794799442</v>
      </c>
      <c r="FA58" s="538">
        <f t="shared" si="89"/>
        <v>6.4701198700537893E-2</v>
      </c>
      <c r="FB58" s="144">
        <f t="shared" si="125"/>
        <v>32873.24999349998</v>
      </c>
      <c r="FC58" s="150">
        <f t="shared" si="126"/>
        <v>36.173850605010266</v>
      </c>
      <c r="FD58" s="5">
        <f t="shared" si="127"/>
        <v>48.230000000000004</v>
      </c>
      <c r="FE58" s="150">
        <f t="shared" si="128"/>
        <v>0.57141942760058206</v>
      </c>
      <c r="FF58" s="5">
        <f t="shared" si="129"/>
        <v>57.141942760058207</v>
      </c>
      <c r="FG58">
        <f t="shared" si="130"/>
        <v>53</v>
      </c>
      <c r="FI58" s="59">
        <f t="shared" si="90"/>
        <v>-50</v>
      </c>
      <c r="FJ58">
        <f t="shared" si="91"/>
        <v>-50</v>
      </c>
      <c r="FL58">
        <f t="shared" si="92"/>
        <v>0.56766977275315578</v>
      </c>
    </row>
    <row r="59" spans="5:168">
      <c r="E59" s="147">
        <v>54</v>
      </c>
      <c r="F59" s="188">
        <f t="shared" si="174"/>
        <v>0.27</v>
      </c>
      <c r="G59" s="188">
        <f t="shared" si="171"/>
        <v>0.27</v>
      </c>
      <c r="H59" s="188">
        <f t="shared" si="135"/>
        <v>45.900000000000006</v>
      </c>
      <c r="I59" s="188">
        <f t="shared" si="175"/>
        <v>3.24</v>
      </c>
      <c r="J59" s="465">
        <f t="shared" si="136"/>
        <v>11.94062452590579</v>
      </c>
      <c r="K59" s="379">
        <f t="shared" si="137"/>
        <v>8.6604818076692602</v>
      </c>
      <c r="L59" s="149">
        <f t="shared" si="138"/>
        <v>20.60110633357505</v>
      </c>
      <c r="M59" s="379"/>
      <c r="N59" s="188">
        <f t="shared" si="139"/>
        <v>0.42038916102067164</v>
      </c>
      <c r="O59" s="149">
        <f t="shared" si="172"/>
        <v>156.2913097997118</v>
      </c>
      <c r="P59" s="149">
        <f t="shared" si="140"/>
        <v>11.032327750567893</v>
      </c>
      <c r="Q59" s="188">
        <f t="shared" si="6"/>
        <v>0.91936064588065758</v>
      </c>
      <c r="R59" s="188">
        <f t="shared" si="141"/>
        <v>13.02427581664265</v>
      </c>
      <c r="S59" s="379">
        <f t="shared" si="142"/>
        <v>170</v>
      </c>
      <c r="T59" s="188">
        <f t="shared" si="143"/>
        <v>19.578823697372606</v>
      </c>
      <c r="U59" s="188">
        <f t="shared" si="10"/>
        <v>2.4595225720684071</v>
      </c>
      <c r="V59" s="188">
        <f t="shared" si="11"/>
        <v>3.3910625526690636</v>
      </c>
      <c r="W59" s="172">
        <f t="shared" si="12"/>
        <v>250.98545632541951</v>
      </c>
      <c r="X59" s="379">
        <f t="shared" si="95"/>
        <v>165.27327182152305</v>
      </c>
      <c r="Z59" s="188">
        <f t="shared" si="13"/>
        <v>13.333333333333334</v>
      </c>
      <c r="AA59" s="150">
        <f t="shared" si="14"/>
        <v>2.3093403397359569</v>
      </c>
      <c r="AB59" s="150">
        <f t="shared" si="144"/>
        <v>0.18046491323532204</v>
      </c>
      <c r="AC59" s="150"/>
      <c r="AD59" s="150">
        <f t="shared" si="16"/>
        <v>2.3093403397359569</v>
      </c>
      <c r="AE59" s="314">
        <f t="shared" si="145"/>
        <v>375.50830237841234</v>
      </c>
      <c r="AF59" s="456">
        <f t="shared" si="146"/>
        <v>0.18046491323532207</v>
      </c>
      <c r="AH59" s="150">
        <f t="shared" si="147"/>
        <v>13.682105101189656</v>
      </c>
      <c r="AI59" s="150">
        <f t="shared" si="148"/>
        <v>19.578823697372606</v>
      </c>
      <c r="AJ59" s="150">
        <f t="shared" si="149"/>
        <v>5.8262891585476089</v>
      </c>
      <c r="AL59" s="314">
        <f t="shared" si="150"/>
        <v>270</v>
      </c>
      <c r="AM59" s="144">
        <f t="shared" si="151"/>
        <v>165.27327182152305</v>
      </c>
      <c r="AO59">
        <f t="shared" si="96"/>
        <v>270</v>
      </c>
      <c r="AP59" s="144">
        <f t="shared" si="24"/>
        <v>165.27327182152305</v>
      </c>
      <c r="AQ59" s="144"/>
      <c r="AR59" s="5">
        <f t="shared" si="97"/>
        <v>6.0505851247374709</v>
      </c>
      <c r="AS59" s="5">
        <f t="shared" si="25"/>
        <v>2.4595225720684071</v>
      </c>
      <c r="AT59" s="5">
        <f t="shared" si="98"/>
        <v>3.5910625526690638</v>
      </c>
      <c r="AU59" s="150">
        <f t="shared" si="99"/>
        <v>0.40649334260463338</v>
      </c>
      <c r="AW59" s="5">
        <f t="shared" si="152"/>
        <v>0.39063005556380581</v>
      </c>
      <c r="AX59" s="5">
        <f t="shared" si="153"/>
        <v>5.5339257871539163</v>
      </c>
      <c r="AY59" s="5">
        <f t="shared" si="28"/>
        <v>23.006860711780398</v>
      </c>
      <c r="AZ59" s="5"/>
      <c r="BA59" s="150">
        <f t="shared" si="100"/>
        <v>7.2069695471451087</v>
      </c>
      <c r="BB59" s="150">
        <f t="shared" si="154"/>
        <v>0.40671136042867428</v>
      </c>
      <c r="BC59" s="150">
        <f t="shared" si="155"/>
        <v>0.38689913423132155</v>
      </c>
      <c r="BD59" s="150"/>
      <c r="BE59" s="456">
        <f t="shared" si="31"/>
        <v>0.17659739418182172</v>
      </c>
      <c r="BF59" s="456">
        <f t="shared" si="156"/>
        <v>1.5965601379745498</v>
      </c>
      <c r="BG59" s="456">
        <f t="shared" si="157"/>
        <v>9.038474660088576E-2</v>
      </c>
      <c r="BH59" s="456">
        <f t="shared" si="34"/>
        <v>4.8047885913710085E-2</v>
      </c>
      <c r="BI59">
        <f t="shared" si="35"/>
        <v>5.3732810366576055E-3</v>
      </c>
      <c r="BJ59" s="144">
        <f t="shared" si="101"/>
        <v>95.758027637543364</v>
      </c>
      <c r="BK59">
        <f t="shared" si="158"/>
        <v>1.9507388197071851</v>
      </c>
      <c r="BL59" s="144">
        <f t="shared" si="102"/>
        <v>1950.738819707185</v>
      </c>
      <c r="BM59" s="150">
        <f t="shared" si="159"/>
        <v>0.59906250000000005</v>
      </c>
      <c r="BN59" s="150">
        <f t="shared" si="160"/>
        <v>0.19170000000000001</v>
      </c>
      <c r="BO59" s="456"/>
      <c r="BQ59" s="144">
        <f t="shared" si="103"/>
        <v>790.76250000000005</v>
      </c>
      <c r="BR59" s="456">
        <f t="shared" si="39"/>
        <v>7.7910615080215462E-2</v>
      </c>
      <c r="BS59" s="456">
        <f t="shared" si="104"/>
        <v>3.3082826140348597E-2</v>
      </c>
      <c r="BT59" s="456">
        <f t="shared" si="161"/>
        <v>4.4907282020683848E-3</v>
      </c>
      <c r="BU59" s="456">
        <f t="shared" si="41"/>
        <v>29.781259112240509</v>
      </c>
      <c r="BV59" s="456">
        <f t="shared" si="162"/>
        <v>30.203501585868505</v>
      </c>
      <c r="BW59" s="538">
        <f t="shared" si="163"/>
        <v>6.335425904605077E-2</v>
      </c>
      <c r="BX59" s="144">
        <f t="shared" si="105"/>
        <v>30266.855844914557</v>
      </c>
      <c r="BY59" s="150">
        <f t="shared" si="106"/>
        <v>33.008357164621742</v>
      </c>
      <c r="BZ59" s="5">
        <f t="shared" si="107"/>
        <v>49.140000000000008</v>
      </c>
      <c r="CA59" s="150">
        <f t="shared" si="108"/>
        <v>0.59818603434181372</v>
      </c>
      <c r="CB59" s="5">
        <f t="shared" si="109"/>
        <v>59.818603434181369</v>
      </c>
      <c r="CC59">
        <f t="shared" si="173"/>
        <v>54</v>
      </c>
      <c r="CE59" s="59">
        <f t="shared" si="164"/>
        <v>-50</v>
      </c>
      <c r="CF59">
        <f t="shared" si="165"/>
        <v>-50</v>
      </c>
      <c r="CG59" s="150">
        <f t="shared" si="166"/>
        <v>0.56766977275315589</v>
      </c>
      <c r="CH59" s="150">
        <f t="shared" si="167"/>
        <v>0.15382552837714242</v>
      </c>
      <c r="CI59" s="147">
        <v>54</v>
      </c>
      <c r="CJ59" s="188">
        <f t="shared" si="133"/>
        <v>0.27</v>
      </c>
      <c r="CK59" s="188">
        <f t="shared" si="111"/>
        <v>0.27</v>
      </c>
      <c r="CL59" s="188">
        <f t="shared" si="48"/>
        <v>45.900000000000006</v>
      </c>
      <c r="CM59" s="188">
        <f t="shared" si="134"/>
        <v>3.24</v>
      </c>
      <c r="CN59" s="465">
        <f t="shared" si="112"/>
        <v>12</v>
      </c>
      <c r="CO59" s="379">
        <f t="shared" si="168"/>
        <v>8.625</v>
      </c>
      <c r="CP59" s="379">
        <f t="shared" si="169"/>
        <v>20.625</v>
      </c>
      <c r="CQ59" s="379"/>
      <c r="CR59" s="188">
        <f t="shared" si="113"/>
        <v>0.4156318480642805</v>
      </c>
      <c r="CS59" s="149">
        <f t="shared" si="114"/>
        <v>155.29102015588504</v>
      </c>
      <c r="CT59" s="149">
        <f t="shared" si="51"/>
        <v>10.961719069827179</v>
      </c>
      <c r="CU59" s="188">
        <f t="shared" si="52"/>
        <v>0.91347658915226493</v>
      </c>
      <c r="CV59" s="188">
        <f t="shared" si="53"/>
        <v>12.940918346323754</v>
      </c>
      <c r="CW59" s="379">
        <f t="shared" si="54"/>
        <v>170</v>
      </c>
      <c r="CX59" s="188">
        <f t="shared" si="55"/>
        <v>19.704938488576452</v>
      </c>
      <c r="CY59" s="188">
        <f t="shared" si="56"/>
        <v>2.4631173110720566</v>
      </c>
      <c r="CZ59" s="188">
        <f t="shared" si="57"/>
        <v>3.4269458241002528</v>
      </c>
      <c r="DA59" s="172">
        <f t="shared" si="58"/>
        <v>250.90909090909091</v>
      </c>
      <c r="DB59" s="379">
        <f t="shared" si="115"/>
        <v>169.77746707476436</v>
      </c>
      <c r="DD59" s="188">
        <f t="shared" si="59"/>
        <v>13.333333333333332</v>
      </c>
      <c r="DE59" s="150">
        <f t="shared" si="60"/>
        <v>2.318840579710145</v>
      </c>
      <c r="DF59" s="150">
        <f t="shared" si="61"/>
        <v>0.18115218115218115</v>
      </c>
      <c r="DG59" s="150"/>
      <c r="DH59" s="150">
        <f t="shared" si="62"/>
        <v>2.3188405797101455</v>
      </c>
      <c r="DI59" s="314">
        <f t="shared" si="63"/>
        <v>373.96985294117633</v>
      </c>
      <c r="DJ59" s="456">
        <f t="shared" si="64"/>
        <v>0.18115218115218121</v>
      </c>
      <c r="DL59" s="150">
        <f t="shared" si="65"/>
        <v>13.682105101189656</v>
      </c>
      <c r="DM59" s="150">
        <f t="shared" si="66"/>
        <v>19.704938488576452</v>
      </c>
      <c r="DN59" s="150">
        <f t="shared" si="67"/>
        <v>5.9197075224023097</v>
      </c>
      <c r="DP59" s="314">
        <f t="shared" si="68"/>
        <v>270</v>
      </c>
      <c r="DQ59" s="144">
        <f t="shared" si="69"/>
        <v>169.77746707476436</v>
      </c>
      <c r="DS59">
        <f t="shared" si="116"/>
        <v>270</v>
      </c>
      <c r="DT59" s="144">
        <f t="shared" si="70"/>
        <v>169.77746707476436</v>
      </c>
      <c r="DU59" s="144"/>
      <c r="DV59" s="5">
        <f t="shared" si="117"/>
        <v>5.8900631351723094</v>
      </c>
      <c r="DW59" s="5">
        <f t="shared" si="71"/>
        <v>2.4631173110720566</v>
      </c>
      <c r="DX59" s="5">
        <f t="shared" si="118"/>
        <v>3.4269458241002528</v>
      </c>
      <c r="DY59" s="150">
        <f t="shared" si="119"/>
        <v>0.41818181818181815</v>
      </c>
      <c r="EA59" s="5">
        <f t="shared" si="72"/>
        <v>0.39120098469967962</v>
      </c>
      <c r="EB59" s="5">
        <f t="shared" si="73"/>
        <v>5.5420139499121284</v>
      </c>
      <c r="EC59" s="5">
        <f t="shared" si="74"/>
        <v>21.846779628639112</v>
      </c>
      <c r="ED59" s="5"/>
      <c r="EE59" s="150">
        <f t="shared" si="120"/>
        <v>7.356936870525205</v>
      </c>
      <c r="EF59" s="150">
        <f t="shared" si="75"/>
        <v>0.40528043471365927</v>
      </c>
      <c r="EG59" s="150">
        <f t="shared" si="76"/>
        <v>0.38553791353735056</v>
      </c>
      <c r="EH59" s="150"/>
      <c r="EI59" s="456">
        <f t="shared" si="77"/>
        <v>0.18402336839743685</v>
      </c>
      <c r="EJ59" s="456">
        <f t="shared" si="78"/>
        <v>2.0975999999999999</v>
      </c>
      <c r="EK59" s="456">
        <f t="shared" si="79"/>
        <v>3.8879039960121042E-2</v>
      </c>
      <c r="EL59" s="456">
        <f t="shared" si="80"/>
        <v>4.9471893838447883E-2</v>
      </c>
      <c r="EM59">
        <f t="shared" si="81"/>
        <v>5.4000000000000003E-3</v>
      </c>
      <c r="EN59" s="144">
        <f t="shared" si="121"/>
        <v>44.279039960121047</v>
      </c>
      <c r="EO59">
        <f t="shared" si="82"/>
        <v>2.5359420196450388</v>
      </c>
      <c r="EP59" s="144">
        <f t="shared" si="122"/>
        <v>2535.9420196450387</v>
      </c>
      <c r="EQ59" s="150">
        <f t="shared" si="83"/>
        <v>0.59906250000000005</v>
      </c>
      <c r="ER59" s="150">
        <f t="shared" si="170"/>
        <v>0.19170000000000001</v>
      </c>
      <c r="ES59" s="456"/>
      <c r="EU59" s="144">
        <f t="shared" si="123"/>
        <v>790.76250000000005</v>
      </c>
      <c r="EV59" s="456">
        <f t="shared" si="85"/>
        <v>8.1186780175339798E-2</v>
      </c>
      <c r="EW59" s="456">
        <f t="shared" si="124"/>
        <v>3.2850446152338529E-2</v>
      </c>
      <c r="EX59" s="456">
        <f t="shared" si="86"/>
        <v>4.4591844832420078E-3</v>
      </c>
      <c r="EY59" s="456">
        <f t="shared" si="87"/>
        <v>32.367401730078967</v>
      </c>
      <c r="EZ59" s="456">
        <f t="shared" si="88"/>
        <v>32.825513724232195</v>
      </c>
      <c r="FA59" s="538">
        <f t="shared" si="89"/>
        <v>6.5921976034510318E-2</v>
      </c>
      <c r="FB59" s="144">
        <f t="shared" si="125"/>
        <v>32891.435700266702</v>
      </c>
      <c r="FC59" s="150">
        <f t="shared" si="126"/>
        <v>36.218140219911746</v>
      </c>
      <c r="FD59" s="5">
        <f t="shared" si="127"/>
        <v>49.140000000000008</v>
      </c>
      <c r="FE59" s="150">
        <f t="shared" si="128"/>
        <v>0.57569201804770542</v>
      </c>
      <c r="FF59" s="5">
        <f t="shared" si="129"/>
        <v>57.569201804770543</v>
      </c>
      <c r="FG59">
        <f t="shared" si="130"/>
        <v>54</v>
      </c>
      <c r="FI59" s="59">
        <f t="shared" si="90"/>
        <v>-50</v>
      </c>
      <c r="FJ59">
        <f t="shared" si="91"/>
        <v>-50</v>
      </c>
      <c r="FL59">
        <f t="shared" si="92"/>
        <v>0.56766977275315589</v>
      </c>
    </row>
    <row r="60" spans="5:168">
      <c r="E60" s="147">
        <v>55</v>
      </c>
      <c r="F60" s="188">
        <f t="shared" si="174"/>
        <v>0.27500000000000002</v>
      </c>
      <c r="G60" s="188">
        <f t="shared" si="171"/>
        <v>0.27500000000000002</v>
      </c>
      <c r="H60" s="188">
        <f t="shared" si="135"/>
        <v>46.750000000000007</v>
      </c>
      <c r="I60" s="188">
        <f t="shared" si="175"/>
        <v>3.3000000000000003</v>
      </c>
      <c r="J60" s="465">
        <f t="shared" si="136"/>
        <v>11.93952498008923</v>
      </c>
      <c r="K60" s="379">
        <f t="shared" si="137"/>
        <v>8.6611388781816547</v>
      </c>
      <c r="L60" s="149">
        <f t="shared" si="138"/>
        <v>20.600663858270885</v>
      </c>
      <c r="M60" s="379"/>
      <c r="N60" s="188">
        <f t="shared" si="139"/>
        <v>0.42043008602872406</v>
      </c>
      <c r="O60" s="149">
        <f t="shared" si="172"/>
        <v>156.29213140450045</v>
      </c>
      <c r="P60" s="149">
        <f t="shared" si="140"/>
        <v>11.032385746200033</v>
      </c>
      <c r="Q60" s="188">
        <f t="shared" si="6"/>
        <v>0.91936547885000264</v>
      </c>
      <c r="R60" s="188">
        <f t="shared" si="141"/>
        <v>13.024344283708372</v>
      </c>
      <c r="S60" s="379">
        <f t="shared" si="142"/>
        <v>170</v>
      </c>
      <c r="T60" s="188">
        <f t="shared" si="143"/>
        <v>19.941289677599993</v>
      </c>
      <c r="U60" s="188">
        <f t="shared" si="10"/>
        <v>2.5052868155376515</v>
      </c>
      <c r="V60" s="188">
        <f t="shared" si="11"/>
        <v>3.4535798279082424</v>
      </c>
      <c r="W60" s="172">
        <f t="shared" si="12"/>
        <v>250.98677572605075</v>
      </c>
      <c r="X60" s="379">
        <f t="shared" si="95"/>
        <v>162.36753576474561</v>
      </c>
      <c r="Z60" s="188">
        <f t="shared" si="13"/>
        <v>13.333333333333334</v>
      </c>
      <c r="AA60" s="150">
        <f t="shared" si="14"/>
        <v>2.3091651434411431</v>
      </c>
      <c r="AB60" s="150">
        <f t="shared" si="144"/>
        <v>0.18045217101669769</v>
      </c>
      <c r="AC60" s="150"/>
      <c r="AD60" s="150">
        <f t="shared" si="16"/>
        <v>2.3091651434411431</v>
      </c>
      <c r="AE60" s="314">
        <f t="shared" si="145"/>
        <v>382.49117722322808</v>
      </c>
      <c r="AF60" s="456">
        <f t="shared" si="146"/>
        <v>0.18045217101669767</v>
      </c>
      <c r="AH60" s="150">
        <f t="shared" si="147"/>
        <v>13.808210118138653</v>
      </c>
      <c r="AI60" s="150">
        <f t="shared" si="148"/>
        <v>19.941289677599993</v>
      </c>
      <c r="AJ60" s="150">
        <f t="shared" si="149"/>
        <v>6.0947824772345625</v>
      </c>
      <c r="AL60" s="314">
        <f t="shared" si="150"/>
        <v>275</v>
      </c>
      <c r="AM60" s="144">
        <f t="shared" si="151"/>
        <v>162.36753576474561</v>
      </c>
      <c r="AO60">
        <f t="shared" si="96"/>
        <v>275</v>
      </c>
      <c r="AP60">
        <f t="shared" si="24"/>
        <v>162.36753576474561</v>
      </c>
      <c r="AR60" s="5">
        <f t="shared" si="97"/>
        <v>6.1588666434458945</v>
      </c>
      <c r="AS60" s="5">
        <f t="shared" si="25"/>
        <v>2.5052868155376515</v>
      </c>
      <c r="AT60" s="5">
        <f t="shared" si="98"/>
        <v>3.653579827908243</v>
      </c>
      <c r="AU60" s="150">
        <f t="shared" si="99"/>
        <v>0.40677724662275527</v>
      </c>
      <c r="AW60" s="5">
        <f t="shared" si="152"/>
        <v>0.40526698486638485</v>
      </c>
      <c r="AX60" s="5">
        <f t="shared" si="153"/>
        <v>5.7412822856071193</v>
      </c>
      <c r="AY60" s="5">
        <f t="shared" si="28"/>
        <v>23.843055905986002</v>
      </c>
      <c r="AZ60" s="5"/>
      <c r="BA60" s="150">
        <f t="shared" si="100"/>
        <v>7.3429562584066668</v>
      </c>
      <c r="BB60" s="150">
        <f t="shared" si="154"/>
        <v>0.41414178672336982</v>
      </c>
      <c r="BC60" s="150">
        <f t="shared" si="155"/>
        <v>0.39396760042158807</v>
      </c>
      <c r="BD60" s="150"/>
      <c r="BE60" s="456">
        <f t="shared" si="31"/>
        <v>0.18332462248377035</v>
      </c>
      <c r="BF60" s="456">
        <f t="shared" si="156"/>
        <v>1.5974937780736296</v>
      </c>
      <c r="BG60" s="456">
        <f t="shared" si="157"/>
        <v>8.8787479214216994E-2</v>
      </c>
      <c r="BH60" s="456">
        <f t="shared" si="34"/>
        <v>4.7201108992896743E-2</v>
      </c>
      <c r="BI60">
        <f t="shared" si="35"/>
        <v>5.3727862410401532E-3</v>
      </c>
      <c r="BJ60" s="144">
        <f t="shared" si="101"/>
        <v>94.160265455257147</v>
      </c>
      <c r="BK60">
        <f t="shared" si="158"/>
        <v>1.9630223482474267</v>
      </c>
      <c r="BL60" s="144">
        <f t="shared" si="102"/>
        <v>1963.0223482474266</v>
      </c>
      <c r="BM60" s="150">
        <f t="shared" si="159"/>
        <v>0.61015624999999996</v>
      </c>
      <c r="BN60" s="150">
        <f t="shared" si="160"/>
        <v>0.19525000000000001</v>
      </c>
      <c r="BO60" s="456"/>
      <c r="BQ60" s="144">
        <f t="shared" si="103"/>
        <v>805.40625</v>
      </c>
      <c r="BR60" s="456">
        <f t="shared" si="39"/>
        <v>8.0878509919310462E-2</v>
      </c>
      <c r="BS60" s="456">
        <f t="shared" si="104"/>
        <v>3.4302683902085032E-2</v>
      </c>
      <c r="BT60" s="456">
        <f t="shared" si="161"/>
        <v>4.6563141054583226E-3</v>
      </c>
      <c r="BU60" s="456">
        <f t="shared" si="41"/>
        <v>29.826418613102863</v>
      </c>
      <c r="BV60" s="456">
        <f t="shared" si="162"/>
        <v>30.265169320399437</v>
      </c>
      <c r="BW60" s="538">
        <f t="shared" si="163"/>
        <v>6.4566267955993198E-2</v>
      </c>
      <c r="BX60" s="144">
        <f t="shared" si="105"/>
        <v>30329.73558835543</v>
      </c>
      <c r="BY60" s="150">
        <f t="shared" si="106"/>
        <v>33.098164186602858</v>
      </c>
      <c r="BZ60" s="5">
        <f t="shared" si="107"/>
        <v>50.050000000000004</v>
      </c>
      <c r="CA60" s="150">
        <f t="shared" si="108"/>
        <v>0.60193752309042858</v>
      </c>
      <c r="CB60" s="5">
        <f t="shared" si="109"/>
        <v>60.193752309042857</v>
      </c>
      <c r="CC60">
        <f t="shared" si="173"/>
        <v>55.000000000000007</v>
      </c>
      <c r="CE60" s="59">
        <f t="shared" si="164"/>
        <v>-50</v>
      </c>
      <c r="CF60">
        <f t="shared" si="165"/>
        <v>-50</v>
      </c>
      <c r="CG60" s="150">
        <f t="shared" si="166"/>
        <v>0.56766977275315589</v>
      </c>
      <c r="CH60" s="150">
        <f t="shared" si="167"/>
        <v>0.15382552837714242</v>
      </c>
      <c r="CI60" s="147">
        <v>55</v>
      </c>
      <c r="CJ60" s="188">
        <f t="shared" si="133"/>
        <v>0.27500000000000002</v>
      </c>
      <c r="CK60" s="188">
        <f t="shared" si="111"/>
        <v>0.27500000000000002</v>
      </c>
      <c r="CL60" s="188">
        <f t="shared" si="48"/>
        <v>46.750000000000007</v>
      </c>
      <c r="CM60" s="188">
        <f t="shared" si="134"/>
        <v>3.3000000000000003</v>
      </c>
      <c r="CN60" s="465">
        <f t="shared" si="112"/>
        <v>12</v>
      </c>
      <c r="CO60" s="379">
        <f t="shared" si="168"/>
        <v>8.625</v>
      </c>
      <c r="CP60" s="379">
        <f t="shared" si="169"/>
        <v>20.625</v>
      </c>
      <c r="CQ60" s="379"/>
      <c r="CR60" s="188">
        <f t="shared" si="113"/>
        <v>0.4156318480642805</v>
      </c>
      <c r="CS60" s="149">
        <f t="shared" si="114"/>
        <v>155.29102015588504</v>
      </c>
      <c r="CT60" s="149">
        <f t="shared" si="51"/>
        <v>10.961719069827179</v>
      </c>
      <c r="CU60" s="188">
        <f t="shared" si="52"/>
        <v>0.91347658915226493</v>
      </c>
      <c r="CV60" s="188">
        <f t="shared" si="53"/>
        <v>12.940918346323754</v>
      </c>
      <c r="CW60" s="379">
        <f t="shared" si="54"/>
        <v>170</v>
      </c>
      <c r="CX60" s="188">
        <f t="shared" si="55"/>
        <v>20.069844756883423</v>
      </c>
      <c r="CY60" s="188">
        <f t="shared" si="56"/>
        <v>2.5087305946104279</v>
      </c>
      <c r="CZ60" s="188">
        <f t="shared" si="57"/>
        <v>3.4904077838058125</v>
      </c>
      <c r="DA60" s="172">
        <f t="shared" si="58"/>
        <v>250.90909090909091</v>
      </c>
      <c r="DB60" s="379">
        <f t="shared" si="115"/>
        <v>166.69060403704137</v>
      </c>
      <c r="DD60" s="188">
        <f t="shared" si="59"/>
        <v>13.333333333333332</v>
      </c>
      <c r="DE60" s="150">
        <f t="shared" si="60"/>
        <v>2.318840579710145</v>
      </c>
      <c r="DF60" s="150">
        <f t="shared" si="61"/>
        <v>0.18115218115218115</v>
      </c>
      <c r="DG60" s="150"/>
      <c r="DH60" s="150">
        <f t="shared" si="62"/>
        <v>2.3188405797101455</v>
      </c>
      <c r="DI60" s="314">
        <f t="shared" si="63"/>
        <v>380.89522058823519</v>
      </c>
      <c r="DJ60" s="456">
        <f t="shared" si="64"/>
        <v>0.18115218115218121</v>
      </c>
      <c r="DL60" s="150">
        <f t="shared" si="65"/>
        <v>13.808210118138653</v>
      </c>
      <c r="DM60" s="150">
        <f t="shared" si="66"/>
        <v>20.069844756883423</v>
      </c>
      <c r="DN60" s="150">
        <f t="shared" si="67"/>
        <v>6.1900084618889553</v>
      </c>
      <c r="DP60" s="314">
        <f t="shared" si="68"/>
        <v>275</v>
      </c>
      <c r="DQ60" s="144">
        <f t="shared" si="69"/>
        <v>166.69060403704137</v>
      </c>
      <c r="DS60">
        <f t="shared" si="116"/>
        <v>275</v>
      </c>
      <c r="DT60">
        <f t="shared" si="70"/>
        <v>166.69060403704137</v>
      </c>
      <c r="DV60" s="5">
        <f t="shared" si="117"/>
        <v>5.99913837841624</v>
      </c>
      <c r="DW60" s="5">
        <f t="shared" si="71"/>
        <v>2.5087305946104279</v>
      </c>
      <c r="DX60" s="5">
        <f t="shared" si="118"/>
        <v>3.4904077838058121</v>
      </c>
      <c r="DY60" s="150">
        <f t="shared" si="119"/>
        <v>0.41818181818181821</v>
      </c>
      <c r="EA60" s="5">
        <f t="shared" si="72"/>
        <v>0.40582406677521632</v>
      </c>
      <c r="EB60" s="5">
        <f t="shared" si="73"/>
        <v>5.7491742793155645</v>
      </c>
      <c r="EC60" s="5">
        <f t="shared" si="74"/>
        <v>22.663411651794682</v>
      </c>
      <c r="ED60" s="5"/>
      <c r="EE60" s="150">
        <f t="shared" si="120"/>
        <v>7.4931764422015981</v>
      </c>
      <c r="EF60" s="150">
        <f t="shared" si="75"/>
        <v>0.41278562794909746</v>
      </c>
      <c r="EG60" s="150">
        <f t="shared" si="76"/>
        <v>0.39267750452878297</v>
      </c>
      <c r="EH60" s="150"/>
      <c r="EI60" s="456">
        <f t="shared" si="77"/>
        <v>0.19090215685948098</v>
      </c>
      <c r="EJ60" s="456">
        <f t="shared" si="78"/>
        <v>2.0975999999999999</v>
      </c>
      <c r="EK60" s="456">
        <f t="shared" si="79"/>
        <v>3.8172148324482472E-2</v>
      </c>
      <c r="EL60" s="456">
        <f t="shared" si="80"/>
        <v>4.8572404859567014E-2</v>
      </c>
      <c r="EM60">
        <f t="shared" si="81"/>
        <v>5.4000000000000003E-3</v>
      </c>
      <c r="EN60" s="144">
        <f t="shared" si="121"/>
        <v>43.572148324482477</v>
      </c>
      <c r="EO60">
        <f t="shared" si="82"/>
        <v>2.5477521315857738</v>
      </c>
      <c r="EP60" s="144">
        <f t="shared" si="122"/>
        <v>2547.7521315857739</v>
      </c>
      <c r="EQ60" s="150">
        <f t="shared" si="83"/>
        <v>0.61015624999999996</v>
      </c>
      <c r="ER60" s="150">
        <f t="shared" si="170"/>
        <v>0.19525000000000001</v>
      </c>
      <c r="ES60" s="456"/>
      <c r="EU60" s="144">
        <f t="shared" si="123"/>
        <v>805.40625</v>
      </c>
      <c r="EV60" s="456">
        <f t="shared" si="85"/>
        <v>8.42215397909475E-2</v>
      </c>
      <c r="EW60" s="456">
        <f t="shared" si="124"/>
        <v>3.4078394928266142E-2</v>
      </c>
      <c r="EX60" s="456">
        <f t="shared" si="86"/>
        <v>4.6258686768885712E-3</v>
      </c>
      <c r="EY60" s="456">
        <f t="shared" si="87"/>
        <v>32.367401730078967</v>
      </c>
      <c r="EZ60" s="456">
        <f t="shared" si="88"/>
        <v>32.842808011134345</v>
      </c>
      <c r="FA60" s="538">
        <f t="shared" si="89"/>
        <v>6.7142753368482744E-2</v>
      </c>
      <c r="FB60" s="144">
        <f t="shared" si="125"/>
        <v>32909.950764502821</v>
      </c>
      <c r="FC60" s="150">
        <f t="shared" si="126"/>
        <v>36.263109146088595</v>
      </c>
      <c r="FD60" s="5">
        <f t="shared" si="127"/>
        <v>50.050000000000004</v>
      </c>
      <c r="FE60" s="150">
        <f t="shared" si="128"/>
        <v>0.57986556729509364</v>
      </c>
      <c r="FF60" s="5">
        <f t="shared" si="129"/>
        <v>57.986556729509367</v>
      </c>
      <c r="FG60">
        <f t="shared" si="130"/>
        <v>55.000000000000007</v>
      </c>
      <c r="FI60" s="59">
        <f t="shared" si="90"/>
        <v>-50</v>
      </c>
      <c r="FJ60">
        <f t="shared" si="91"/>
        <v>-50</v>
      </c>
      <c r="FL60">
        <f t="shared" si="92"/>
        <v>0.56766977275315589</v>
      </c>
    </row>
    <row r="61" spans="5:168">
      <c r="E61" s="147">
        <v>56</v>
      </c>
      <c r="F61" s="188">
        <f t="shared" si="174"/>
        <v>0.28000000000000003</v>
      </c>
      <c r="G61" s="188">
        <f t="shared" si="171"/>
        <v>0.28000000000000003</v>
      </c>
      <c r="H61" s="188">
        <f t="shared" si="135"/>
        <v>47.6</v>
      </c>
      <c r="I61" s="188">
        <f t="shared" si="175"/>
        <v>3.3600000000000003</v>
      </c>
      <c r="J61" s="465">
        <f t="shared" si="136"/>
        <v>11.93842543427267</v>
      </c>
      <c r="K61" s="379">
        <f t="shared" si="137"/>
        <v>8.6617959486940492</v>
      </c>
      <c r="L61" s="149">
        <f t="shared" si="138"/>
        <v>20.600221382966719</v>
      </c>
      <c r="M61" s="379"/>
      <c r="N61" s="188">
        <f t="shared" si="139"/>
        <v>0.4204710127948455</v>
      </c>
      <c r="O61" s="149">
        <f t="shared" si="172"/>
        <v>156.292950860649</v>
      </c>
      <c r="P61" s="149">
        <f t="shared" si="140"/>
        <v>11.032443590163458</v>
      </c>
      <c r="Q61" s="188">
        <f t="shared" si="6"/>
        <v>0.91937029918028823</v>
      </c>
      <c r="R61" s="188">
        <f t="shared" si="141"/>
        <v>13.024412571720751</v>
      </c>
      <c r="S61" s="379">
        <f t="shared" si="142"/>
        <v>170</v>
      </c>
      <c r="T61" s="188">
        <f t="shared" si="143"/>
        <v>20.303752126112727</v>
      </c>
      <c r="U61" s="188">
        <f t="shared" si="10"/>
        <v>2.5510590451683424</v>
      </c>
      <c r="V61" s="188">
        <f t="shared" si="11"/>
        <v>3.5160870066167891</v>
      </c>
      <c r="W61" s="172">
        <f t="shared" si="12"/>
        <v>250.98809167621863</v>
      </c>
      <c r="X61" s="379">
        <f t="shared" si="95"/>
        <v>159.56226195098171</v>
      </c>
      <c r="Z61" s="188">
        <f t="shared" si="13"/>
        <v>13.333333333333334</v>
      </c>
      <c r="AA61" s="150">
        <f t="shared" si="14"/>
        <v>2.3089899737265718</v>
      </c>
      <c r="AB61" s="150">
        <f t="shared" si="144"/>
        <v>0.18043942825068912</v>
      </c>
      <c r="AC61" s="150"/>
      <c r="AD61" s="150">
        <f t="shared" si="16"/>
        <v>2.3089899737265718</v>
      </c>
      <c r="AE61" s="314">
        <f t="shared" si="145"/>
        <v>389.47510724598425</v>
      </c>
      <c r="AF61" s="456">
        <f t="shared" si="146"/>
        <v>0.18043942825068912</v>
      </c>
      <c r="AH61" s="150">
        <f t="shared" si="147"/>
        <v>13.93317384278734</v>
      </c>
      <c r="AI61" s="150">
        <f t="shared" si="148"/>
        <v>20.303752126112727</v>
      </c>
      <c r="AJ61" s="150">
        <f t="shared" si="149"/>
        <v>6.3632731798365869</v>
      </c>
      <c r="AL61" s="314">
        <f t="shared" si="150"/>
        <v>280</v>
      </c>
      <c r="AM61" s="144">
        <f t="shared" si="151"/>
        <v>159.56226195098171</v>
      </c>
      <c r="AO61">
        <f t="shared" si="96"/>
        <v>280</v>
      </c>
      <c r="AP61">
        <f t="shared" si="24"/>
        <v>159.56226195098171</v>
      </c>
      <c r="AR61" s="5">
        <f t="shared" si="97"/>
        <v>6.2671460517851321</v>
      </c>
      <c r="AS61" s="5">
        <f t="shared" si="25"/>
        <v>2.5510590451683424</v>
      </c>
      <c r="AT61" s="5">
        <f t="shared" si="98"/>
        <v>3.7160870066167897</v>
      </c>
      <c r="AU61" s="150">
        <f t="shared" si="99"/>
        <v>0.40705275161757232</v>
      </c>
      <c r="AW61" s="5">
        <f t="shared" si="152"/>
        <v>0.42017443096890345</v>
      </c>
      <c r="AX61" s="5">
        <f t="shared" si="153"/>
        <v>5.9524711053927986</v>
      </c>
      <c r="AY61" s="5">
        <f t="shared" si="28"/>
        <v>24.694175192087165</v>
      </c>
      <c r="AZ61" s="5"/>
      <c r="BA61" s="150">
        <f t="shared" si="100"/>
        <v>7.478956769119085</v>
      </c>
      <c r="BB61" s="150">
        <f t="shared" si="154"/>
        <v>0.42157149913309416</v>
      </c>
      <c r="BC61" s="150">
        <f t="shared" si="155"/>
        <v>0.40103538750252982</v>
      </c>
      <c r="BD61" s="150"/>
      <c r="BE61" s="456">
        <f t="shared" si="31"/>
        <v>0.19017830080479742</v>
      </c>
      <c r="BF61" s="456">
        <f t="shared" si="156"/>
        <v>1.5983941903793348</v>
      </c>
      <c r="BG61" s="456">
        <f t="shared" si="157"/>
        <v>8.7245435222296067E-2</v>
      </c>
      <c r="BH61" s="456">
        <f t="shared" si="34"/>
        <v>4.6383608344480506E-2</v>
      </c>
      <c r="BI61">
        <f t="shared" si="35"/>
        <v>5.3722914454227017E-3</v>
      </c>
      <c r="BJ61" s="144">
        <f t="shared" si="101"/>
        <v>92.61772666771877</v>
      </c>
      <c r="BK61">
        <f t="shared" si="158"/>
        <v>1.9755732115264037</v>
      </c>
      <c r="BL61" s="144">
        <f t="shared" si="102"/>
        <v>1975.5732115264038</v>
      </c>
      <c r="BM61" s="150">
        <f t="shared" si="159"/>
        <v>0.62125000000000008</v>
      </c>
      <c r="BN61" s="150">
        <f t="shared" si="160"/>
        <v>0.19880000000000003</v>
      </c>
      <c r="BO61" s="456"/>
      <c r="BQ61" s="144">
        <f t="shared" si="103"/>
        <v>820.05000000000018</v>
      </c>
      <c r="BR61" s="456">
        <f t="shared" si="39"/>
        <v>8.3902191531528281E-2</v>
      </c>
      <c r="BS61" s="456">
        <f t="shared" si="104"/>
        <v>3.5544505776264883E-2</v>
      </c>
      <c r="BT61" s="456">
        <f t="shared" si="161"/>
        <v>4.824881460879127E-3</v>
      </c>
      <c r="BU61" s="456">
        <f t="shared" si="41"/>
        <v>29.870068729685119</v>
      </c>
      <c r="BV61" s="456">
        <f t="shared" si="162"/>
        <v>30.325654847768355</v>
      </c>
      <c r="BW61" s="538">
        <f t="shared" si="163"/>
        <v>6.577832190159412E-2</v>
      </c>
      <c r="BX61" s="144">
        <f t="shared" si="105"/>
        <v>30391.433169669948</v>
      </c>
      <c r="BY61" s="150">
        <f t="shared" si="106"/>
        <v>33.187056381196356</v>
      </c>
      <c r="BZ61" s="5">
        <f t="shared" si="107"/>
        <v>50.96</v>
      </c>
      <c r="CA61" s="150">
        <f t="shared" si="108"/>
        <v>0.60560644889519399</v>
      </c>
      <c r="CB61" s="5">
        <f t="shared" si="109"/>
        <v>60.560644889519402</v>
      </c>
      <c r="CC61">
        <f t="shared" si="173"/>
        <v>56.000000000000007</v>
      </c>
      <c r="CE61" s="59">
        <f t="shared" si="164"/>
        <v>-50</v>
      </c>
      <c r="CF61">
        <f t="shared" si="165"/>
        <v>-50</v>
      </c>
      <c r="CG61" s="150">
        <f t="shared" si="166"/>
        <v>0.56766977275315589</v>
      </c>
      <c r="CH61" s="150">
        <f t="shared" si="167"/>
        <v>0.15382552837714245</v>
      </c>
      <c r="CI61" s="147">
        <v>56</v>
      </c>
      <c r="CJ61" s="188">
        <f t="shared" si="133"/>
        <v>0.28000000000000003</v>
      </c>
      <c r="CK61" s="188">
        <f t="shared" si="111"/>
        <v>0.28000000000000003</v>
      </c>
      <c r="CL61" s="188">
        <f t="shared" si="48"/>
        <v>47.6</v>
      </c>
      <c r="CM61" s="188">
        <f t="shared" si="134"/>
        <v>3.3600000000000003</v>
      </c>
      <c r="CN61" s="465">
        <f t="shared" si="112"/>
        <v>12</v>
      </c>
      <c r="CO61" s="379">
        <f t="shared" si="168"/>
        <v>8.625</v>
      </c>
      <c r="CP61" s="379">
        <f t="shared" si="169"/>
        <v>20.625</v>
      </c>
      <c r="CQ61" s="379"/>
      <c r="CR61" s="188">
        <f t="shared" si="113"/>
        <v>0.4156318480642805</v>
      </c>
      <c r="CS61" s="149">
        <f t="shared" si="114"/>
        <v>155.29102015588504</v>
      </c>
      <c r="CT61" s="149">
        <f t="shared" si="51"/>
        <v>10.961719069827179</v>
      </c>
      <c r="CU61" s="188">
        <f t="shared" si="52"/>
        <v>0.91347658915226493</v>
      </c>
      <c r="CV61" s="188">
        <f t="shared" si="53"/>
        <v>12.940918346323754</v>
      </c>
      <c r="CW61" s="379">
        <f t="shared" si="54"/>
        <v>170</v>
      </c>
      <c r="CX61" s="188">
        <f t="shared" si="55"/>
        <v>20.434751025190391</v>
      </c>
      <c r="CY61" s="188">
        <f t="shared" si="56"/>
        <v>2.5543438781487988</v>
      </c>
      <c r="CZ61" s="188">
        <f t="shared" si="57"/>
        <v>3.5538697435113722</v>
      </c>
      <c r="DA61" s="172">
        <f t="shared" si="58"/>
        <v>250.90909090909091</v>
      </c>
      <c r="DB61" s="379">
        <f t="shared" si="115"/>
        <v>163.71398610780852</v>
      </c>
      <c r="DD61" s="188">
        <f t="shared" si="59"/>
        <v>13.333333333333332</v>
      </c>
      <c r="DE61" s="150">
        <f t="shared" si="60"/>
        <v>2.318840579710145</v>
      </c>
      <c r="DF61" s="150">
        <f t="shared" si="61"/>
        <v>0.18115218115218115</v>
      </c>
      <c r="DG61" s="150"/>
      <c r="DH61" s="150">
        <f t="shared" si="62"/>
        <v>2.3188405797101455</v>
      </c>
      <c r="DI61" s="314">
        <f t="shared" si="63"/>
        <v>387.82058823529405</v>
      </c>
      <c r="DJ61" s="456">
        <f t="shared" si="64"/>
        <v>0.18115218115218121</v>
      </c>
      <c r="DL61" s="150">
        <f t="shared" si="65"/>
        <v>13.93317384278734</v>
      </c>
      <c r="DM61" s="150">
        <f t="shared" si="66"/>
        <v>20.434751025190391</v>
      </c>
      <c r="DN61" s="150">
        <f t="shared" si="67"/>
        <v>6.4603094013755973</v>
      </c>
      <c r="DP61" s="314">
        <f t="shared" si="68"/>
        <v>280</v>
      </c>
      <c r="DQ61" s="144">
        <f t="shared" si="69"/>
        <v>163.71398610780852</v>
      </c>
      <c r="DS61">
        <f t="shared" si="116"/>
        <v>280</v>
      </c>
      <c r="DT61">
        <f t="shared" si="70"/>
        <v>163.71398610780852</v>
      </c>
      <c r="DV61" s="5">
        <f t="shared" si="117"/>
        <v>6.1082136216601706</v>
      </c>
      <c r="DW61" s="5">
        <f t="shared" si="71"/>
        <v>2.5543438781487988</v>
      </c>
      <c r="DX61" s="5">
        <f t="shared" si="118"/>
        <v>3.5538697435113717</v>
      </c>
      <c r="DY61" s="150">
        <f t="shared" si="119"/>
        <v>0.41818181818181821</v>
      </c>
      <c r="EA61" s="5">
        <f t="shared" si="72"/>
        <v>0.42071546228333162</v>
      </c>
      <c r="EB61" s="5">
        <f t="shared" si="73"/>
        <v>5.960135715680531</v>
      </c>
      <c r="EC61" s="5">
        <f t="shared" si="74"/>
        <v>23.495027748769623</v>
      </c>
      <c r="ED61" s="5"/>
      <c r="EE61" s="150">
        <f t="shared" si="120"/>
        <v>7.6294160138779885</v>
      </c>
      <c r="EF61" s="150">
        <f t="shared" si="75"/>
        <v>0.42029082118453548</v>
      </c>
      <c r="EG61" s="150">
        <f t="shared" si="76"/>
        <v>0.39981709552021527</v>
      </c>
      <c r="EH61" s="150"/>
      <c r="EI61" s="456">
        <f t="shared" si="77"/>
        <v>0.19790716162358082</v>
      </c>
      <c r="EJ61" s="456">
        <f t="shared" si="78"/>
        <v>2.0975999999999999</v>
      </c>
      <c r="EK61" s="456">
        <f t="shared" si="79"/>
        <v>3.7490502818688147E-2</v>
      </c>
      <c r="EL61" s="456">
        <f t="shared" si="80"/>
        <v>4.770504048707476E-2</v>
      </c>
      <c r="EM61">
        <f t="shared" si="81"/>
        <v>5.4000000000000003E-3</v>
      </c>
      <c r="EN61" s="144">
        <f t="shared" si="121"/>
        <v>42.890502818688148</v>
      </c>
      <c r="EO61">
        <f t="shared" si="82"/>
        <v>2.5599117052048879</v>
      </c>
      <c r="EP61" s="144">
        <f t="shared" si="122"/>
        <v>2559.9117052048878</v>
      </c>
      <c r="EQ61" s="150">
        <f t="shared" si="83"/>
        <v>0.62125000000000008</v>
      </c>
      <c r="ER61" s="150">
        <f t="shared" si="170"/>
        <v>0.19880000000000003</v>
      </c>
      <c r="ES61" s="456"/>
      <c r="EU61" s="144">
        <f t="shared" si="123"/>
        <v>820.05000000000018</v>
      </c>
      <c r="EV61" s="456">
        <f t="shared" si="85"/>
        <v>8.7311983069226842E-2</v>
      </c>
      <c r="EW61" s="456">
        <f t="shared" si="124"/>
        <v>3.5328874874394234E-2</v>
      </c>
      <c r="EX61" s="456">
        <f t="shared" si="86"/>
        <v>4.7956112961066279E-3</v>
      </c>
      <c r="EY61" s="456">
        <f t="shared" si="87"/>
        <v>32.367401730078967</v>
      </c>
      <c r="EZ61" s="456">
        <f t="shared" si="88"/>
        <v>32.8604323500467</v>
      </c>
      <c r="FA61" s="538">
        <f t="shared" si="89"/>
        <v>6.8363530702455141E-2</v>
      </c>
      <c r="FB61" s="144">
        <f t="shared" si="125"/>
        <v>32928.79588074916</v>
      </c>
      <c r="FC61" s="150">
        <f t="shared" si="126"/>
        <v>36.308757585954041</v>
      </c>
      <c r="FD61" s="5">
        <f t="shared" si="127"/>
        <v>50.96</v>
      </c>
      <c r="FE61" s="150">
        <f t="shared" si="128"/>
        <v>0.58394322790498909</v>
      </c>
      <c r="FF61" s="5">
        <f t="shared" si="129"/>
        <v>58.394322790498912</v>
      </c>
      <c r="FG61">
        <f t="shared" si="130"/>
        <v>56.000000000000007</v>
      </c>
      <c r="FI61" s="59">
        <f t="shared" si="90"/>
        <v>-50</v>
      </c>
      <c r="FJ61">
        <f t="shared" si="91"/>
        <v>-50</v>
      </c>
      <c r="FL61">
        <f t="shared" si="92"/>
        <v>0.56766977275315589</v>
      </c>
    </row>
    <row r="62" spans="5:168">
      <c r="E62" s="147">
        <v>57</v>
      </c>
      <c r="F62" s="188">
        <f t="shared" si="174"/>
        <v>0.28499999999999998</v>
      </c>
      <c r="G62" s="188">
        <f t="shared" si="171"/>
        <v>0.28499999999999998</v>
      </c>
      <c r="H62" s="188">
        <f t="shared" si="135"/>
        <v>48.449999999999996</v>
      </c>
      <c r="I62" s="188">
        <f t="shared" si="175"/>
        <v>3.42</v>
      </c>
      <c r="J62" s="465">
        <f t="shared" si="136"/>
        <v>11.937325888456112</v>
      </c>
      <c r="K62" s="379">
        <f t="shared" si="137"/>
        <v>8.6624530192064437</v>
      </c>
      <c r="L62" s="149">
        <f t="shared" si="138"/>
        <v>20.599778907662554</v>
      </c>
      <c r="M62" s="379"/>
      <c r="N62" s="188">
        <f t="shared" si="139"/>
        <v>0.42051194131914921</v>
      </c>
      <c r="O62" s="149">
        <f t="shared" si="172"/>
        <v>156.29376816801889</v>
      </c>
      <c r="P62" s="149">
        <f t="shared" si="140"/>
        <v>11.032501282448392</v>
      </c>
      <c r="Q62" s="188">
        <f t="shared" si="6"/>
        <v>0.91937510687069934</v>
      </c>
      <c r="R62" s="188">
        <f t="shared" si="141"/>
        <v>13.02448068066824</v>
      </c>
      <c r="S62" s="379">
        <f t="shared" si="142"/>
        <v>170</v>
      </c>
      <c r="T62" s="188">
        <f t="shared" si="143"/>
        <v>20.666211057933459</v>
      </c>
      <c r="U62" s="188">
        <f t="shared" si="10"/>
        <v>2.596839265054983</v>
      </c>
      <c r="V62" s="188">
        <f t="shared" si="11"/>
        <v>3.5785840936935891</v>
      </c>
      <c r="W62" s="172">
        <f t="shared" si="12"/>
        <v>250.98940417570086</v>
      </c>
      <c r="X62" s="379">
        <f t="shared" si="95"/>
        <v>156.85232865794958</v>
      </c>
      <c r="Z62" s="188">
        <f t="shared" si="13"/>
        <v>13.333333333333334</v>
      </c>
      <c r="AA62" s="150">
        <f t="shared" si="14"/>
        <v>2.3088148305861957</v>
      </c>
      <c r="AB62" s="150">
        <f t="shared" si="144"/>
        <v>0.18042668493726133</v>
      </c>
      <c r="AC62" s="150"/>
      <c r="AD62" s="150">
        <f t="shared" si="16"/>
        <v>2.3088148305861957</v>
      </c>
      <c r="AE62" s="314">
        <f t="shared" si="145"/>
        <v>396.46009244668062</v>
      </c>
      <c r="AF62" s="456">
        <f t="shared" si="146"/>
        <v>0.18042668493726133</v>
      </c>
      <c r="AH62" s="150">
        <f t="shared" si="147"/>
        <v>14.057026712644463</v>
      </c>
      <c r="AI62" s="150">
        <f t="shared" si="148"/>
        <v>20.666211057933459</v>
      </c>
      <c r="AJ62" s="150">
        <f t="shared" si="149"/>
        <v>6.6317612774815746</v>
      </c>
      <c r="AL62" s="314">
        <f t="shared" si="150"/>
        <v>285</v>
      </c>
      <c r="AM62" s="144">
        <f t="shared" si="151"/>
        <v>156.85232865794958</v>
      </c>
      <c r="AO62">
        <f t="shared" si="96"/>
        <v>285</v>
      </c>
      <c r="AP62">
        <f t="shared" si="24"/>
        <v>156.85232865794958</v>
      </c>
      <c r="AR62" s="5">
        <f t="shared" si="97"/>
        <v>6.3754233587485736</v>
      </c>
      <c r="AS62" s="5">
        <f t="shared" si="25"/>
        <v>2.596839265054983</v>
      </c>
      <c r="AT62" s="5">
        <f t="shared" si="98"/>
        <v>3.7785840936935906</v>
      </c>
      <c r="AU62" s="150">
        <f t="shared" si="99"/>
        <v>0.40732028587427244</v>
      </c>
      <c r="AW62" s="5">
        <f t="shared" si="152"/>
        <v>0.43535246502392355</v>
      </c>
      <c r="AX62" s="5">
        <f t="shared" si="153"/>
        <v>6.1674932545055841</v>
      </c>
      <c r="AY62" s="5">
        <f t="shared" si="28"/>
        <v>25.560219132563152</v>
      </c>
      <c r="AZ62" s="5"/>
      <c r="BA62" s="150">
        <f t="shared" si="100"/>
        <v>7.6149709865279984</v>
      </c>
      <c r="BB62" s="150">
        <f t="shared" si="154"/>
        <v>0.42900050373121451</v>
      </c>
      <c r="BC62" s="150">
        <f t="shared" si="155"/>
        <v>0.40810250125166081</v>
      </c>
      <c r="BD62" s="150"/>
      <c r="BE62" s="456">
        <f t="shared" si="31"/>
        <v>0.19715846262725487</v>
      </c>
      <c r="BF62" s="456">
        <f t="shared" si="156"/>
        <v>1.5992630677202937</v>
      </c>
      <c r="BG62" s="456">
        <f t="shared" si="157"/>
        <v>8.5755799250735093E-2</v>
      </c>
      <c r="BH62" s="456">
        <f t="shared" si="34"/>
        <v>4.5593891418466377E-2</v>
      </c>
      <c r="BI62">
        <f t="shared" si="35"/>
        <v>5.3717966498052503E-3</v>
      </c>
      <c r="BJ62" s="144">
        <f t="shared" si="101"/>
        <v>91.127595900540342</v>
      </c>
      <c r="BK62">
        <f t="shared" si="158"/>
        <v>1.9883942379238955</v>
      </c>
      <c r="BL62" s="144">
        <f t="shared" si="102"/>
        <v>1988.3942379238954</v>
      </c>
      <c r="BM62" s="150">
        <f t="shared" si="159"/>
        <v>0.63234374999999987</v>
      </c>
      <c r="BN62" s="150">
        <f t="shared" si="160"/>
        <v>0.20234999999999997</v>
      </c>
      <c r="BO62" s="456"/>
      <c r="BQ62" s="144">
        <f t="shared" si="103"/>
        <v>834.6937499999998</v>
      </c>
      <c r="BR62" s="456">
        <f t="shared" si="39"/>
        <v>8.6981674688494798E-2</v>
      </c>
      <c r="BS62" s="456">
        <f t="shared" si="104"/>
        <v>3.6808286440327159E-2</v>
      </c>
      <c r="BT62" s="456">
        <f t="shared" si="161"/>
        <v>4.9964295458358541E-3</v>
      </c>
      <c r="BU62" s="456">
        <f t="shared" si="41"/>
        <v>29.912284449520818</v>
      </c>
      <c r="BV62" s="456">
        <f t="shared" si="162"/>
        <v>30.38503388148731</v>
      </c>
      <c r="BW62" s="538">
        <f t="shared" si="163"/>
        <v>6.6990418590003223E-2</v>
      </c>
      <c r="BX62" s="144">
        <f t="shared" si="105"/>
        <v>30452.024300077312</v>
      </c>
      <c r="BY62" s="150">
        <f t="shared" si="106"/>
        <v>33.27511228800121</v>
      </c>
      <c r="BZ62" s="5">
        <f t="shared" si="107"/>
        <v>51.87</v>
      </c>
      <c r="CA62" s="150">
        <f t="shared" si="108"/>
        <v>0.60919527388197015</v>
      </c>
      <c r="CB62" s="5">
        <f t="shared" si="109"/>
        <v>60.919527388197011</v>
      </c>
      <c r="CC62">
        <f t="shared" si="173"/>
        <v>56.999999999999993</v>
      </c>
      <c r="CE62" s="59">
        <f t="shared" si="164"/>
        <v>-50</v>
      </c>
      <c r="CF62">
        <f t="shared" si="165"/>
        <v>-50</v>
      </c>
      <c r="CG62" s="150">
        <f t="shared" si="166"/>
        <v>0.56766977275315589</v>
      </c>
      <c r="CH62" s="150">
        <f t="shared" si="167"/>
        <v>0.15382552837714242</v>
      </c>
      <c r="CI62" s="147">
        <v>57</v>
      </c>
      <c r="CJ62" s="188">
        <f t="shared" si="133"/>
        <v>0.28499999999999998</v>
      </c>
      <c r="CK62" s="188">
        <f t="shared" si="111"/>
        <v>0.28499999999999998</v>
      </c>
      <c r="CL62" s="188">
        <f t="shared" si="48"/>
        <v>48.449999999999996</v>
      </c>
      <c r="CM62" s="188">
        <f t="shared" si="134"/>
        <v>3.42</v>
      </c>
      <c r="CN62" s="465">
        <f t="shared" si="112"/>
        <v>12</v>
      </c>
      <c r="CO62" s="379">
        <f t="shared" si="168"/>
        <v>8.625</v>
      </c>
      <c r="CP62" s="379">
        <f t="shared" si="169"/>
        <v>20.625</v>
      </c>
      <c r="CQ62" s="379"/>
      <c r="CR62" s="188">
        <f t="shared" si="113"/>
        <v>0.4156318480642805</v>
      </c>
      <c r="CS62" s="149">
        <f t="shared" si="114"/>
        <v>155.29102015588504</v>
      </c>
      <c r="CT62" s="149">
        <f t="shared" si="51"/>
        <v>10.961719069827179</v>
      </c>
      <c r="CU62" s="188">
        <f t="shared" si="52"/>
        <v>0.91347658915226493</v>
      </c>
      <c r="CV62" s="188">
        <f t="shared" si="53"/>
        <v>12.940918346323754</v>
      </c>
      <c r="CW62" s="379">
        <f t="shared" si="54"/>
        <v>170</v>
      </c>
      <c r="CX62" s="188">
        <f t="shared" si="55"/>
        <v>20.799657293497361</v>
      </c>
      <c r="CY62" s="188">
        <f t="shared" si="56"/>
        <v>2.5999571616871697</v>
      </c>
      <c r="CZ62" s="188">
        <f t="shared" si="57"/>
        <v>3.6173317032169323</v>
      </c>
      <c r="DA62" s="172">
        <f t="shared" si="58"/>
        <v>250.90909090909091</v>
      </c>
      <c r="DB62" s="379">
        <f t="shared" si="115"/>
        <v>160.8418109129347</v>
      </c>
      <c r="DD62" s="188">
        <f t="shared" si="59"/>
        <v>13.333333333333332</v>
      </c>
      <c r="DE62" s="150">
        <f t="shared" si="60"/>
        <v>2.318840579710145</v>
      </c>
      <c r="DF62" s="150">
        <f t="shared" si="61"/>
        <v>0.18115218115218115</v>
      </c>
      <c r="DG62" s="150"/>
      <c r="DH62" s="150">
        <f t="shared" si="62"/>
        <v>2.3188405797101455</v>
      </c>
      <c r="DI62" s="314">
        <f t="shared" si="63"/>
        <v>394.74595588235275</v>
      </c>
      <c r="DJ62" s="456">
        <f t="shared" si="64"/>
        <v>0.18115218115218121</v>
      </c>
      <c r="DL62" s="150">
        <f t="shared" si="65"/>
        <v>14.057026712644463</v>
      </c>
      <c r="DM62" s="150">
        <f t="shared" si="66"/>
        <v>20.799657293497361</v>
      </c>
      <c r="DN62" s="150">
        <f t="shared" si="67"/>
        <v>6.7306103408622429</v>
      </c>
      <c r="DP62" s="314">
        <f t="shared" si="68"/>
        <v>285</v>
      </c>
      <c r="DQ62" s="144">
        <f t="shared" si="69"/>
        <v>160.8418109129347</v>
      </c>
      <c r="DS62">
        <f t="shared" si="116"/>
        <v>285</v>
      </c>
      <c r="DT62">
        <f t="shared" si="70"/>
        <v>160.8418109129347</v>
      </c>
      <c r="DV62" s="5">
        <f t="shared" si="117"/>
        <v>6.217288864904102</v>
      </c>
      <c r="DW62" s="5">
        <f t="shared" si="71"/>
        <v>2.5999571616871697</v>
      </c>
      <c r="DX62" s="5">
        <f t="shared" si="118"/>
        <v>3.6173317032169323</v>
      </c>
      <c r="DY62" s="150">
        <f t="shared" si="119"/>
        <v>0.41818181818181815</v>
      </c>
      <c r="EA62" s="5">
        <f t="shared" si="72"/>
        <v>0.43587517122402547</v>
      </c>
      <c r="EB62" s="5">
        <f t="shared" si="73"/>
        <v>6.1748982590070272</v>
      </c>
      <c r="EC62" s="5">
        <f t="shared" si="74"/>
        <v>24.341627919563933</v>
      </c>
      <c r="ED62" s="5"/>
      <c r="EE62" s="150">
        <f t="shared" si="120"/>
        <v>7.7656555855543816</v>
      </c>
      <c r="EF62" s="150">
        <f t="shared" si="75"/>
        <v>0.42779601441997356</v>
      </c>
      <c r="EG62" s="150">
        <f t="shared" si="76"/>
        <v>0.40695668651164768</v>
      </c>
      <c r="EH62" s="150"/>
      <c r="EI62" s="456">
        <f t="shared" si="77"/>
        <v>0.20503838268973665</v>
      </c>
      <c r="EJ62" s="456">
        <f t="shared" si="78"/>
        <v>2.0975999999999999</v>
      </c>
      <c r="EK62" s="456">
        <f t="shared" si="79"/>
        <v>3.6832774699062043E-2</v>
      </c>
      <c r="EL62" s="456">
        <f t="shared" si="80"/>
        <v>4.6868109952213806E-2</v>
      </c>
      <c r="EM62">
        <f t="shared" si="81"/>
        <v>5.4000000000000003E-3</v>
      </c>
      <c r="EN62" s="144">
        <f t="shared" si="121"/>
        <v>42.232774699062048</v>
      </c>
      <c r="EO62">
        <f t="shared" si="82"/>
        <v>2.5724205506202105</v>
      </c>
      <c r="EP62" s="144">
        <f t="shared" si="122"/>
        <v>2572.4205506202106</v>
      </c>
      <c r="EQ62" s="150">
        <f t="shared" si="83"/>
        <v>0.63234374999999987</v>
      </c>
      <c r="ER62" s="150">
        <f t="shared" si="170"/>
        <v>0.20234999999999997</v>
      </c>
      <c r="ES62" s="456"/>
      <c r="EU62" s="144">
        <f t="shared" si="123"/>
        <v>834.6937499999998</v>
      </c>
      <c r="EV62" s="456">
        <f t="shared" si="85"/>
        <v>9.045811001017795E-2</v>
      </c>
      <c r="EW62" s="456">
        <f t="shared" si="124"/>
        <v>3.6601885990722845E-2</v>
      </c>
      <c r="EX62" s="456">
        <f t="shared" si="86"/>
        <v>4.9684123408961839E-3</v>
      </c>
      <c r="EY62" s="456">
        <f t="shared" si="87"/>
        <v>32.367401730078967</v>
      </c>
      <c r="EZ62" s="456">
        <f t="shared" si="88"/>
        <v>32.878387449527274</v>
      </c>
      <c r="FA62" s="538">
        <f t="shared" si="89"/>
        <v>6.9584308036427539E-2</v>
      </c>
      <c r="FB62" s="144">
        <f t="shared" si="125"/>
        <v>32947.971757563697</v>
      </c>
      <c r="FC62" s="150">
        <f t="shared" si="126"/>
        <v>36.355086058183907</v>
      </c>
      <c r="FD62" s="5">
        <f t="shared" si="127"/>
        <v>51.87</v>
      </c>
      <c r="FE62" s="150">
        <f t="shared" si="128"/>
        <v>0.58792801818058926</v>
      </c>
      <c r="FF62" s="5">
        <f t="shared" si="129"/>
        <v>58.792801818058926</v>
      </c>
      <c r="FG62">
        <f t="shared" si="130"/>
        <v>56.999999999999993</v>
      </c>
      <c r="FI62" s="59">
        <f t="shared" si="90"/>
        <v>-50</v>
      </c>
      <c r="FJ62">
        <f t="shared" si="91"/>
        <v>-50</v>
      </c>
      <c r="FL62">
        <f t="shared" si="92"/>
        <v>0.56766977275315589</v>
      </c>
    </row>
    <row r="63" spans="5:168">
      <c r="E63" s="147">
        <v>58</v>
      </c>
      <c r="F63" s="188">
        <f t="shared" si="174"/>
        <v>0.28999999999999998</v>
      </c>
      <c r="G63" s="188">
        <f t="shared" si="171"/>
        <v>0.28999999999999998</v>
      </c>
      <c r="H63" s="188">
        <f t="shared" si="135"/>
        <v>49.3</v>
      </c>
      <c r="I63" s="188">
        <f t="shared" si="175"/>
        <v>3.4799999999999995</v>
      </c>
      <c r="J63" s="465">
        <f t="shared" si="136"/>
        <v>11.936226342639552</v>
      </c>
      <c r="K63" s="379">
        <f t="shared" si="137"/>
        <v>8.6631100897188347</v>
      </c>
      <c r="L63" s="149">
        <f t="shared" si="138"/>
        <v>20.599336432358385</v>
      </c>
      <c r="M63" s="379"/>
      <c r="N63" s="188">
        <f t="shared" si="139"/>
        <v>0.42055287160174842</v>
      </c>
      <c r="O63" s="149">
        <f t="shared" si="172"/>
        <v>156.29458332647158</v>
      </c>
      <c r="P63" s="149">
        <f t="shared" si="140"/>
        <v>11.032558823045054</v>
      </c>
      <c r="Q63" s="188">
        <f t="shared" si="6"/>
        <v>0.91937990192042107</v>
      </c>
      <c r="R63" s="188">
        <f t="shared" si="141"/>
        <v>13.024548610539298</v>
      </c>
      <c r="S63" s="379">
        <f t="shared" si="142"/>
        <v>170</v>
      </c>
      <c r="T63" s="188">
        <f t="shared" si="143"/>
        <v>21.028666488085545</v>
      </c>
      <c r="U63" s="188">
        <f t="shared" si="10"/>
        <v>2.6426274792936746</v>
      </c>
      <c r="V63" s="188">
        <f t="shared" si="11"/>
        <v>3.641071094036167</v>
      </c>
      <c r="W63" s="172">
        <f t="shared" si="12"/>
        <v>250.99071322427491</v>
      </c>
      <c r="X63" s="379">
        <f t="shared" si="95"/>
        <v>154.23295649699344</v>
      </c>
      <c r="Z63" s="188">
        <f t="shared" si="13"/>
        <v>13.333333333333334</v>
      </c>
      <c r="AA63" s="150">
        <f t="shared" si="14"/>
        <v>2.3086397140139669</v>
      </c>
      <c r="AB63" s="150">
        <f t="shared" si="144"/>
        <v>0.1804139410763787</v>
      </c>
      <c r="AC63" s="150"/>
      <c r="AD63" s="150">
        <f t="shared" si="16"/>
        <v>2.3086397140139669</v>
      </c>
      <c r="AE63" s="314">
        <f t="shared" si="145"/>
        <v>403.44613282531765</v>
      </c>
      <c r="AF63" s="456">
        <f t="shared" si="146"/>
        <v>0.18041394107637876</v>
      </c>
      <c r="AH63" s="150">
        <f t="shared" si="147"/>
        <v>14.179797835888445</v>
      </c>
      <c r="AI63" s="150">
        <f t="shared" si="148"/>
        <v>21.028666488085545</v>
      </c>
      <c r="AJ63" s="150">
        <f t="shared" si="149"/>
        <v>6.900246781297934</v>
      </c>
      <c r="AL63" s="314">
        <f t="shared" si="150"/>
        <v>290</v>
      </c>
      <c r="AM63" s="144">
        <f t="shared" si="151"/>
        <v>154.23295649699344</v>
      </c>
      <c r="AO63">
        <f t="shared" si="96"/>
        <v>290</v>
      </c>
      <c r="AP63">
        <f t="shared" si="24"/>
        <v>154.23295649699344</v>
      </c>
      <c r="AR63" s="5">
        <f t="shared" si="97"/>
        <v>6.4836985733298427</v>
      </c>
      <c r="AS63" s="5">
        <f t="shared" si="25"/>
        <v>2.6426274792936746</v>
      </c>
      <c r="AT63" s="5">
        <f t="shared" si="98"/>
        <v>3.8410710940361681</v>
      </c>
      <c r="AU63" s="150">
        <f t="shared" si="99"/>
        <v>0.40758024905166074</v>
      </c>
      <c r="AW63" s="5">
        <f t="shared" si="152"/>
        <v>0.45080115823245037</v>
      </c>
      <c r="AX63" s="5">
        <f t="shared" si="153"/>
        <v>6.3863497416263808</v>
      </c>
      <c r="AY63" s="5">
        <f t="shared" si="28"/>
        <v>26.44118829241684</v>
      </c>
      <c r="AZ63" s="5"/>
      <c r="BA63" s="150">
        <f t="shared" si="100"/>
        <v>7.7509988244707539</v>
      </c>
      <c r="BB63" s="150">
        <f t="shared" si="154"/>
        <v>0.43642880620450414</v>
      </c>
      <c r="BC63" s="150">
        <f t="shared" si="155"/>
        <v>0.41516894707873325</v>
      </c>
      <c r="BD63" s="150"/>
      <c r="BE63" s="456">
        <f t="shared" si="31"/>
        <v>0.20426514144161984</v>
      </c>
      <c r="BF63" s="456">
        <f t="shared" si="156"/>
        <v>1.6001019897772237</v>
      </c>
      <c r="BG63" s="456">
        <f t="shared" si="157"/>
        <v>8.4315944103510759E-2</v>
      </c>
      <c r="BH63" s="456">
        <f t="shared" si="34"/>
        <v>4.4830565426233288E-2</v>
      </c>
      <c r="BI63">
        <f t="shared" si="35"/>
        <v>5.371301854187798E-3</v>
      </c>
      <c r="BJ63" s="144">
        <f t="shared" si="101"/>
        <v>89.687245957698565</v>
      </c>
      <c r="BK63">
        <f t="shared" si="158"/>
        <v>2.0014883129305954</v>
      </c>
      <c r="BL63" s="144">
        <f t="shared" si="102"/>
        <v>2001.4883129305954</v>
      </c>
      <c r="BM63" s="150">
        <f t="shared" si="159"/>
        <v>0.6434375</v>
      </c>
      <c r="BN63" s="150">
        <f t="shared" si="160"/>
        <v>0.20589999999999997</v>
      </c>
      <c r="BO63" s="456"/>
      <c r="BQ63" s="144">
        <f t="shared" si="103"/>
        <v>849.33749999999998</v>
      </c>
      <c r="BR63" s="456">
        <f t="shared" si="39"/>
        <v>9.0116974165420513E-2</v>
      </c>
      <c r="BS63" s="456">
        <f t="shared" si="104"/>
        <v>3.8094020577017731E-2</v>
      </c>
      <c r="BT63" s="456">
        <f t="shared" si="161"/>
        <v>5.1709576385539201E-3</v>
      </c>
      <c r="BU63" s="456">
        <f t="shared" si="41"/>
        <v>29.953135872637258</v>
      </c>
      <c r="BV63" s="456">
        <f t="shared" si="162"/>
        <v>30.443377261284184</v>
      </c>
      <c r="BW63" s="538">
        <f t="shared" si="163"/>
        <v>6.8202555881623647E-2</v>
      </c>
      <c r="BX63" s="144">
        <f t="shared" si="105"/>
        <v>30511.579817165806</v>
      </c>
      <c r="BY63" s="150">
        <f t="shared" si="106"/>
        <v>33.362405630096404</v>
      </c>
      <c r="BZ63" s="5">
        <f t="shared" si="107"/>
        <v>52.779999999999994</v>
      </c>
      <c r="CA63" s="150">
        <f t="shared" si="108"/>
        <v>0.61270636237676357</v>
      </c>
      <c r="CB63" s="5">
        <f t="shared" si="109"/>
        <v>61.270636237676356</v>
      </c>
      <c r="CC63">
        <f t="shared" si="173"/>
        <v>57.999999999999993</v>
      </c>
      <c r="CE63" s="59">
        <f t="shared" si="164"/>
        <v>-50</v>
      </c>
      <c r="CF63">
        <f t="shared" si="165"/>
        <v>-50</v>
      </c>
      <c r="CG63" s="150">
        <f t="shared" si="166"/>
        <v>0.56766977275315589</v>
      </c>
      <c r="CH63" s="150">
        <f t="shared" si="167"/>
        <v>0.15382552837714242</v>
      </c>
      <c r="CI63" s="147">
        <v>58</v>
      </c>
      <c r="CJ63" s="188">
        <f t="shared" si="133"/>
        <v>0.28999999999999998</v>
      </c>
      <c r="CK63" s="188">
        <f t="shared" si="111"/>
        <v>0.28999999999999998</v>
      </c>
      <c r="CL63" s="188">
        <f t="shared" si="48"/>
        <v>49.3</v>
      </c>
      <c r="CM63" s="188">
        <f t="shared" si="134"/>
        <v>3.4799999999999995</v>
      </c>
      <c r="CN63" s="465">
        <f t="shared" si="112"/>
        <v>12</v>
      </c>
      <c r="CO63" s="379">
        <f t="shared" si="168"/>
        <v>8.625</v>
      </c>
      <c r="CP63" s="379">
        <f t="shared" si="169"/>
        <v>20.625</v>
      </c>
      <c r="CQ63" s="379"/>
      <c r="CR63" s="188">
        <f t="shared" si="113"/>
        <v>0.4156318480642805</v>
      </c>
      <c r="CS63" s="149">
        <f t="shared" si="114"/>
        <v>155.29102015588504</v>
      </c>
      <c r="CT63" s="149">
        <f t="shared" si="51"/>
        <v>10.961719069827179</v>
      </c>
      <c r="CU63" s="188">
        <f t="shared" si="52"/>
        <v>0.91347658915226493</v>
      </c>
      <c r="CV63" s="188">
        <f t="shared" si="53"/>
        <v>12.940918346323754</v>
      </c>
      <c r="CW63" s="379">
        <f t="shared" si="54"/>
        <v>170</v>
      </c>
      <c r="CX63" s="188">
        <f t="shared" si="55"/>
        <v>21.164563561804332</v>
      </c>
      <c r="CY63" s="188">
        <f t="shared" si="56"/>
        <v>2.6455704452255415</v>
      </c>
      <c r="CZ63" s="188">
        <f t="shared" si="57"/>
        <v>3.6807936629224924</v>
      </c>
      <c r="DA63" s="172">
        <f t="shared" si="58"/>
        <v>250.90909090909091</v>
      </c>
      <c r="DB63" s="379">
        <f t="shared" si="115"/>
        <v>158.06867624202201</v>
      </c>
      <c r="DD63" s="188">
        <f t="shared" si="59"/>
        <v>13.333333333333332</v>
      </c>
      <c r="DE63" s="150">
        <f t="shared" si="60"/>
        <v>2.318840579710145</v>
      </c>
      <c r="DF63" s="150">
        <f t="shared" si="61"/>
        <v>0.18115218115218115</v>
      </c>
      <c r="DG63" s="150"/>
      <c r="DH63" s="150">
        <f t="shared" si="62"/>
        <v>2.3188405797101455</v>
      </c>
      <c r="DI63" s="314">
        <f t="shared" si="63"/>
        <v>401.67132352941161</v>
      </c>
      <c r="DJ63" s="456">
        <f t="shared" si="64"/>
        <v>0.18115218115218121</v>
      </c>
      <c r="DL63" s="150">
        <f t="shared" si="65"/>
        <v>14.179797835888445</v>
      </c>
      <c r="DM63" s="150">
        <f t="shared" si="66"/>
        <v>21.164563561804332</v>
      </c>
      <c r="DN63" s="150">
        <f t="shared" si="67"/>
        <v>7.0009112803488884</v>
      </c>
      <c r="DP63" s="314">
        <f t="shared" si="68"/>
        <v>290</v>
      </c>
      <c r="DQ63" s="144">
        <f t="shared" si="69"/>
        <v>158.06867624202201</v>
      </c>
      <c r="DS63">
        <f t="shared" si="116"/>
        <v>290</v>
      </c>
      <c r="DT63">
        <f t="shared" si="70"/>
        <v>158.06867624202201</v>
      </c>
      <c r="DV63" s="5">
        <f t="shared" si="117"/>
        <v>6.3263641081480353</v>
      </c>
      <c r="DW63" s="5">
        <f t="shared" si="71"/>
        <v>2.6455704452255415</v>
      </c>
      <c r="DX63" s="5">
        <f t="shared" si="118"/>
        <v>3.6807936629224938</v>
      </c>
      <c r="DY63" s="150">
        <f t="shared" si="119"/>
        <v>0.4181818181818181</v>
      </c>
      <c r="EA63" s="5">
        <f t="shared" si="72"/>
        <v>0.4513031935972982</v>
      </c>
      <c r="EB63" s="5">
        <f t="shared" si="73"/>
        <v>6.3934619092950582</v>
      </c>
      <c r="EC63" s="5">
        <f t="shared" si="74"/>
        <v>25.203212164177629</v>
      </c>
      <c r="ED63" s="5"/>
      <c r="EE63" s="150">
        <f t="shared" si="120"/>
        <v>7.9018951572307738</v>
      </c>
      <c r="EF63" s="150">
        <f t="shared" si="75"/>
        <v>0.4353012076554118</v>
      </c>
      <c r="EG63" s="150">
        <f t="shared" si="76"/>
        <v>0.41409627750308015</v>
      </c>
      <c r="EH63" s="150"/>
      <c r="EI63" s="456">
        <f t="shared" si="77"/>
        <v>0.21229582005794831</v>
      </c>
      <c r="EJ63" s="456">
        <f t="shared" si="78"/>
        <v>2.0975999999999995</v>
      </c>
      <c r="EK63" s="456">
        <f t="shared" si="79"/>
        <v>3.6197726859423039E-2</v>
      </c>
      <c r="EL63" s="456">
        <f t="shared" si="80"/>
        <v>4.6060039090968723E-2</v>
      </c>
      <c r="EM63">
        <f t="shared" si="81"/>
        <v>5.4000000000000003E-3</v>
      </c>
      <c r="EN63" s="144">
        <f t="shared" si="121"/>
        <v>41.597726859423041</v>
      </c>
      <c r="EO63">
        <f t="shared" si="82"/>
        <v>2.5852787620948368</v>
      </c>
      <c r="EP63" s="144">
        <f t="shared" si="122"/>
        <v>2585.2787620948366</v>
      </c>
      <c r="EQ63" s="150">
        <f t="shared" si="83"/>
        <v>0.6434375</v>
      </c>
      <c r="ER63" s="150">
        <f t="shared" si="170"/>
        <v>0.20589999999999997</v>
      </c>
      <c r="ES63" s="456"/>
      <c r="EU63" s="144">
        <f t="shared" si="123"/>
        <v>849.33749999999998</v>
      </c>
      <c r="EV63" s="456">
        <f t="shared" si="85"/>
        <v>9.3659920613800726E-2</v>
      </c>
      <c r="EW63" s="456">
        <f t="shared" si="124"/>
        <v>3.7897428277251989E-2</v>
      </c>
      <c r="EX63" s="456">
        <f t="shared" si="86"/>
        <v>5.1442718112572391E-3</v>
      </c>
      <c r="EY63" s="456">
        <f t="shared" si="87"/>
        <v>32.367401730078967</v>
      </c>
      <c r="EZ63" s="456">
        <f t="shared" si="88"/>
        <v>32.89667403222348</v>
      </c>
      <c r="FA63" s="538">
        <f t="shared" si="89"/>
        <v>7.0805085370399937E-2</v>
      </c>
      <c r="FB63" s="144">
        <f t="shared" si="125"/>
        <v>32967.479117593881</v>
      </c>
      <c r="FC63" s="150">
        <f t="shared" si="126"/>
        <v>36.402095379688717</v>
      </c>
      <c r="FD63" s="5">
        <f t="shared" si="127"/>
        <v>52.779999999999994</v>
      </c>
      <c r="FE63" s="150">
        <f t="shared" si="128"/>
        <v>0.59182282918215301</v>
      </c>
      <c r="FF63" s="5">
        <f t="shared" si="129"/>
        <v>59.1822829182153</v>
      </c>
      <c r="FG63">
        <f t="shared" si="130"/>
        <v>57.999999999999993</v>
      </c>
      <c r="FI63" s="59">
        <f t="shared" si="90"/>
        <v>-50</v>
      </c>
      <c r="FJ63">
        <f t="shared" si="91"/>
        <v>-50</v>
      </c>
      <c r="FL63">
        <f t="shared" si="92"/>
        <v>0.56766977275315578</v>
      </c>
    </row>
    <row r="64" spans="5:168">
      <c r="E64" s="147">
        <v>59</v>
      </c>
      <c r="F64" s="188">
        <f t="shared" si="174"/>
        <v>0.29499999999999998</v>
      </c>
      <c r="G64" s="188">
        <f t="shared" si="171"/>
        <v>0.29499999999999998</v>
      </c>
      <c r="H64" s="188">
        <f t="shared" si="135"/>
        <v>50.15</v>
      </c>
      <c r="I64" s="188">
        <f t="shared" si="175"/>
        <v>3.54</v>
      </c>
      <c r="J64" s="465">
        <f t="shared" si="136"/>
        <v>11.935126796822992</v>
      </c>
      <c r="K64" s="379">
        <f t="shared" si="137"/>
        <v>8.6637671602312292</v>
      </c>
      <c r="L64" s="149">
        <f t="shared" si="138"/>
        <v>20.598893957054223</v>
      </c>
      <c r="M64" s="379"/>
      <c r="N64" s="188">
        <f t="shared" si="139"/>
        <v>0.42059380364275661</v>
      </c>
      <c r="O64" s="149">
        <f t="shared" si="172"/>
        <v>156.29539633586876</v>
      </c>
      <c r="P64" s="149">
        <f t="shared" si="140"/>
        <v>11.032616211943676</v>
      </c>
      <c r="Q64" s="188">
        <f t="shared" si="6"/>
        <v>0.91938468432863973</v>
      </c>
      <c r="R64" s="188">
        <f t="shared" si="141"/>
        <v>13.024616361322396</v>
      </c>
      <c r="S64" s="379">
        <f t="shared" si="142"/>
        <v>170</v>
      </c>
      <c r="T64" s="188">
        <f t="shared" si="143"/>
        <v>21.391118431592993</v>
      </c>
      <c r="U64" s="188">
        <f t="shared" si="10"/>
        <v>2.688423691982111</v>
      </c>
      <c r="V64" s="188">
        <f t="shared" si="11"/>
        <v>3.7035480125406699</v>
      </c>
      <c r="W64" s="172">
        <f t="shared" si="12"/>
        <v>250.9920188217186</v>
      </c>
      <c r="X64" s="379">
        <f t="shared" si="95"/>
        <v>151.69968028137856</v>
      </c>
      <c r="Z64" s="188">
        <f t="shared" si="13"/>
        <v>13.333333333333334</v>
      </c>
      <c r="AA64" s="150">
        <f t="shared" si="14"/>
        <v>2.30846462400384</v>
      </c>
      <c r="AB64" s="150">
        <f t="shared" si="144"/>
        <v>0.18040119666800622</v>
      </c>
      <c r="AC64" s="150"/>
      <c r="AD64" s="150">
        <f t="shared" si="16"/>
        <v>2.30846462400384</v>
      </c>
      <c r="AE64" s="314">
        <f t="shared" si="145"/>
        <v>410.43322838189522</v>
      </c>
      <c r="AF64" s="456">
        <f t="shared" si="146"/>
        <v>0.18040119666800622</v>
      </c>
      <c r="AH64" s="150">
        <f t="shared" si="147"/>
        <v>14.301515071254979</v>
      </c>
      <c r="AI64" s="150">
        <f t="shared" si="148"/>
        <v>21.391118431592993</v>
      </c>
      <c r="AJ64" s="150">
        <f t="shared" si="149"/>
        <v>7.1687297024145629</v>
      </c>
      <c r="AL64" s="314">
        <f t="shared" si="150"/>
        <v>295</v>
      </c>
      <c r="AM64" s="144">
        <f t="shared" si="151"/>
        <v>151.69968028137856</v>
      </c>
      <c r="AO64">
        <f t="shared" si="96"/>
        <v>295</v>
      </c>
      <c r="AP64">
        <f t="shared" si="24"/>
        <v>151.69968028137856</v>
      </c>
      <c r="AR64" s="5">
        <f t="shared" si="97"/>
        <v>6.5919717045227815</v>
      </c>
      <c r="AS64" s="5">
        <f t="shared" si="25"/>
        <v>2.688423691982111</v>
      </c>
      <c r="AT64" s="5">
        <f t="shared" si="98"/>
        <v>3.9035480125406705</v>
      </c>
      <c r="AU64" s="150">
        <f t="shared" si="99"/>
        <v>0.4078330145345696</v>
      </c>
      <c r="AW64" s="5">
        <f t="shared" si="152"/>
        <v>0.46652058184395451</v>
      </c>
      <c r="AX64" s="5">
        <f t="shared" si="153"/>
        <v>6.6090415761226886</v>
      </c>
      <c r="AY64" s="5">
        <f t="shared" si="28"/>
        <v>27.337083239174959</v>
      </c>
      <c r="AZ64" s="5"/>
      <c r="BA64" s="150">
        <f t="shared" si="100"/>
        <v>7.8870402028319653</v>
      </c>
      <c r="BB64" s="150">
        <f t="shared" si="154"/>
        <v>0.44385641188471581</v>
      </c>
      <c r="BC64" s="150">
        <f t="shared" si="155"/>
        <v>0.42223473005577283</v>
      </c>
      <c r="BD64" s="150"/>
      <c r="BE64" s="456">
        <f t="shared" si="31"/>
        <v>0.21149837074769812</v>
      </c>
      <c r="BF64" s="456">
        <f t="shared" si="156"/>
        <v>1.6009124323810118</v>
      </c>
      <c r="BG64" s="456">
        <f t="shared" si="157"/>
        <v>8.2923415299165887E-2</v>
      </c>
      <c r="BH64" s="456">
        <f t="shared" si="34"/>
        <v>4.4092329142515291E-2</v>
      </c>
      <c r="BI64">
        <f t="shared" si="35"/>
        <v>5.3708070585703465E-3</v>
      </c>
      <c r="BJ64" s="144">
        <f t="shared" si="101"/>
        <v>88.294222357736231</v>
      </c>
      <c r="BK64">
        <f t="shared" si="158"/>
        <v>2.0148583817432932</v>
      </c>
      <c r="BL64" s="144">
        <f t="shared" si="102"/>
        <v>2014.8583817432932</v>
      </c>
      <c r="BM64" s="150">
        <f t="shared" si="159"/>
        <v>0.6545312499999999</v>
      </c>
      <c r="BN64" s="150">
        <f t="shared" si="160"/>
        <v>0.20944999999999997</v>
      </c>
      <c r="BO64" s="456"/>
      <c r="BQ64" s="144">
        <f t="shared" si="103"/>
        <v>863.98124999999993</v>
      </c>
      <c r="BR64" s="456">
        <f t="shared" si="39"/>
        <v>9.3308104741631537E-2</v>
      </c>
      <c r="BS64" s="456">
        <f t="shared" si="104"/>
        <v>3.9401702874234897E-2</v>
      </c>
      <c r="BT64" s="456">
        <f t="shared" si="161"/>
        <v>5.3484650179581403E-3</v>
      </c>
      <c r="BU64" s="456">
        <f t="shared" si="41"/>
        <v>29.992688603172127</v>
      </c>
      <c r="BV64" s="456">
        <f t="shared" si="162"/>
        <v>30.500751344813974</v>
      </c>
      <c r="BW64" s="538">
        <f t="shared" si="163"/>
        <v>6.9414731777518071E-2</v>
      </c>
      <c r="BX64" s="144">
        <f t="shared" si="105"/>
        <v>30570.166076591489</v>
      </c>
      <c r="BY64" s="150">
        <f t="shared" si="106"/>
        <v>33.449005708334788</v>
      </c>
      <c r="BZ64" s="5">
        <f t="shared" si="107"/>
        <v>53.69</v>
      </c>
      <c r="CA64" s="150">
        <f t="shared" si="108"/>
        <v>0.61614198559606215</v>
      </c>
      <c r="CB64" s="5">
        <f t="shared" si="109"/>
        <v>61.614198559606216</v>
      </c>
      <c r="CC64">
        <f t="shared" si="173"/>
        <v>59</v>
      </c>
      <c r="CE64" s="59">
        <f t="shared" si="164"/>
        <v>-50</v>
      </c>
      <c r="CF64">
        <f t="shared" si="165"/>
        <v>-50</v>
      </c>
      <c r="CG64" s="150">
        <f t="shared" si="166"/>
        <v>0.56766977275315589</v>
      </c>
      <c r="CH64" s="150">
        <f t="shared" si="167"/>
        <v>0.15382552837714242</v>
      </c>
      <c r="CI64" s="147">
        <v>59</v>
      </c>
      <c r="CJ64" s="188">
        <f t="shared" si="133"/>
        <v>0.29499999999999998</v>
      </c>
      <c r="CK64" s="188">
        <f t="shared" si="111"/>
        <v>0.29499999999999998</v>
      </c>
      <c r="CL64" s="188">
        <f t="shared" si="48"/>
        <v>50.15</v>
      </c>
      <c r="CM64" s="188">
        <f t="shared" si="134"/>
        <v>3.54</v>
      </c>
      <c r="CN64" s="465">
        <f t="shared" si="112"/>
        <v>12</v>
      </c>
      <c r="CO64" s="379">
        <f t="shared" si="168"/>
        <v>8.625</v>
      </c>
      <c r="CP64" s="379">
        <f t="shared" si="169"/>
        <v>20.625</v>
      </c>
      <c r="CQ64" s="379"/>
      <c r="CR64" s="188">
        <f t="shared" si="113"/>
        <v>0.4156318480642805</v>
      </c>
      <c r="CS64" s="149">
        <f t="shared" si="114"/>
        <v>155.29102015588504</v>
      </c>
      <c r="CT64" s="149">
        <f t="shared" si="51"/>
        <v>10.961719069827179</v>
      </c>
      <c r="CU64" s="188">
        <f t="shared" si="52"/>
        <v>0.91347658915226493</v>
      </c>
      <c r="CV64" s="188">
        <f t="shared" si="53"/>
        <v>12.940918346323754</v>
      </c>
      <c r="CW64" s="379">
        <f t="shared" si="54"/>
        <v>170</v>
      </c>
      <c r="CX64" s="188">
        <f t="shared" si="55"/>
        <v>21.529469830111303</v>
      </c>
      <c r="CY64" s="188">
        <f t="shared" si="56"/>
        <v>2.6911837287639129</v>
      </c>
      <c r="CZ64" s="188">
        <f t="shared" si="57"/>
        <v>3.7442556226280526</v>
      </c>
      <c r="DA64" s="172">
        <f t="shared" si="58"/>
        <v>250.90909090909091</v>
      </c>
      <c r="DB64" s="379">
        <f t="shared" si="115"/>
        <v>155.38954613622505</v>
      </c>
      <c r="DD64" s="188">
        <f t="shared" si="59"/>
        <v>13.333333333333332</v>
      </c>
      <c r="DE64" s="150">
        <f t="shared" si="60"/>
        <v>2.318840579710145</v>
      </c>
      <c r="DF64" s="150">
        <f t="shared" si="61"/>
        <v>0.18115218115218115</v>
      </c>
      <c r="DG64" s="150"/>
      <c r="DH64" s="150">
        <f t="shared" si="62"/>
        <v>2.3188405797101455</v>
      </c>
      <c r="DI64" s="314">
        <f t="shared" si="63"/>
        <v>408.59669117647042</v>
      </c>
      <c r="DJ64" s="456">
        <f t="shared" si="64"/>
        <v>0.18115218115218121</v>
      </c>
      <c r="DL64" s="150">
        <f t="shared" si="65"/>
        <v>14.301515071254979</v>
      </c>
      <c r="DM64" s="150">
        <f t="shared" si="66"/>
        <v>21.529469830111303</v>
      </c>
      <c r="DN64" s="150">
        <f t="shared" si="67"/>
        <v>7.2712122198355331</v>
      </c>
      <c r="DP64" s="314">
        <f t="shared" si="68"/>
        <v>295</v>
      </c>
      <c r="DQ64" s="144">
        <f t="shared" si="69"/>
        <v>155.38954613622505</v>
      </c>
      <c r="DS64">
        <f t="shared" si="116"/>
        <v>295</v>
      </c>
      <c r="DT64">
        <f t="shared" si="70"/>
        <v>155.38954613622505</v>
      </c>
      <c r="DV64" s="5">
        <f t="shared" si="117"/>
        <v>6.435439351391965</v>
      </c>
      <c r="DW64" s="5">
        <f t="shared" si="71"/>
        <v>2.6911837287639129</v>
      </c>
      <c r="DX64" s="5">
        <f t="shared" si="118"/>
        <v>3.7442556226280521</v>
      </c>
      <c r="DY64" s="150">
        <f t="shared" si="119"/>
        <v>0.41818181818181821</v>
      </c>
      <c r="EA64" s="5">
        <f t="shared" si="72"/>
        <v>0.46699952940314959</v>
      </c>
      <c r="EB64" s="5">
        <f t="shared" si="73"/>
        <v>6.6158266665446188</v>
      </c>
      <c r="EC64" s="5">
        <f t="shared" si="74"/>
        <v>26.079780482610662</v>
      </c>
      <c r="ED64" s="5"/>
      <c r="EE64" s="150">
        <f t="shared" si="120"/>
        <v>8.038134728907167</v>
      </c>
      <c r="EF64" s="150">
        <f t="shared" si="75"/>
        <v>0.44280640089084983</v>
      </c>
      <c r="EG64" s="150">
        <f t="shared" si="76"/>
        <v>0.4212358684945125</v>
      </c>
      <c r="EH64" s="150"/>
      <c r="EI64" s="456">
        <f t="shared" si="77"/>
        <v>0.21967947372821589</v>
      </c>
      <c r="EJ64" s="456">
        <f t="shared" si="78"/>
        <v>2.0975999999999999</v>
      </c>
      <c r="EK64" s="456">
        <f t="shared" si="79"/>
        <v>3.5584206065195537E-2</v>
      </c>
      <c r="EL64" s="456">
        <f t="shared" si="80"/>
        <v>4.5279360462308245E-2</v>
      </c>
      <c r="EM64">
        <f t="shared" si="81"/>
        <v>5.4000000000000003E-3</v>
      </c>
      <c r="EN64" s="144">
        <f t="shared" si="121"/>
        <v>40.984206065195536</v>
      </c>
      <c r="EO64">
        <f t="shared" si="82"/>
        <v>2.5984867019872593</v>
      </c>
      <c r="EP64" s="144">
        <f t="shared" si="122"/>
        <v>2598.4867019872595</v>
      </c>
      <c r="EQ64" s="150">
        <f t="shared" si="83"/>
        <v>0.6545312499999999</v>
      </c>
      <c r="ER64" s="150">
        <f t="shared" si="170"/>
        <v>0.20944999999999997</v>
      </c>
      <c r="ES64" s="456"/>
      <c r="EU64" s="144">
        <f t="shared" si="123"/>
        <v>863.98124999999993</v>
      </c>
      <c r="EV64" s="456">
        <f t="shared" si="85"/>
        <v>9.6917414880095254E-2</v>
      </c>
      <c r="EW64" s="456">
        <f t="shared" si="124"/>
        <v>3.9215501733981604E-2</v>
      </c>
      <c r="EX64" s="456">
        <f t="shared" si="86"/>
        <v>5.3231897071897866E-3</v>
      </c>
      <c r="EY64" s="456">
        <f t="shared" si="87"/>
        <v>32.367401730078967</v>
      </c>
      <c r="EZ64" s="456">
        <f t="shared" si="88"/>
        <v>32.915292834945795</v>
      </c>
      <c r="FA64" s="538">
        <f t="shared" si="89"/>
        <v>7.2025862704372362E-2</v>
      </c>
      <c r="FB64" s="144">
        <f t="shared" si="125"/>
        <v>32987.318697650167</v>
      </c>
      <c r="FC64" s="150">
        <f t="shared" si="126"/>
        <v>36.449786649637424</v>
      </c>
      <c r="FD64" s="5">
        <f t="shared" si="127"/>
        <v>53.69</v>
      </c>
      <c r="FE64" s="150">
        <f t="shared" si="128"/>
        <v>0.59563043130650639</v>
      </c>
      <c r="FF64" s="5">
        <f t="shared" si="129"/>
        <v>59.563043130650641</v>
      </c>
      <c r="FG64">
        <f t="shared" si="130"/>
        <v>59</v>
      </c>
      <c r="FI64" s="59">
        <f t="shared" si="90"/>
        <v>-50</v>
      </c>
      <c r="FJ64">
        <f t="shared" si="91"/>
        <v>-50</v>
      </c>
      <c r="FL64">
        <f t="shared" si="92"/>
        <v>0.56766977275315589</v>
      </c>
    </row>
    <row r="65" spans="5:168">
      <c r="E65" s="147">
        <v>60</v>
      </c>
      <c r="F65" s="188">
        <f t="shared" si="174"/>
        <v>0.3</v>
      </c>
      <c r="G65" s="188">
        <f t="shared" si="171"/>
        <v>0.3</v>
      </c>
      <c r="H65" s="188">
        <f t="shared" si="135"/>
        <v>51</v>
      </c>
      <c r="I65" s="188">
        <f t="shared" si="175"/>
        <v>3.5999999999999996</v>
      </c>
      <c r="J65" s="465">
        <f t="shared" si="136"/>
        <v>11.934027251006432</v>
      </c>
      <c r="K65" s="379">
        <f t="shared" si="137"/>
        <v>8.6644242307436237</v>
      </c>
      <c r="L65" s="149">
        <f t="shared" si="138"/>
        <v>20.598451481750054</v>
      </c>
      <c r="M65" s="379"/>
      <c r="N65" s="188">
        <f t="shared" si="139"/>
        <v>0.42063473744228708</v>
      </c>
      <c r="O65" s="149">
        <f t="shared" si="172"/>
        <v>156.29620719607183</v>
      </c>
      <c r="P65" s="149">
        <f t="shared" si="140"/>
        <v>11.032673449134482</v>
      </c>
      <c r="Q65" s="188">
        <f t="shared" si="6"/>
        <v>0.9193894540945402</v>
      </c>
      <c r="R65" s="188">
        <f t="shared" si="141"/>
        <v>13.024683933005987</v>
      </c>
      <c r="S65" s="379">
        <f t="shared" si="142"/>
        <v>170</v>
      </c>
      <c r="T65" s="188">
        <f t="shared" si="143"/>
        <v>21.753566903480507</v>
      </c>
      <c r="U65" s="188">
        <f t="shared" si="10"/>
        <v>2.7342279072195805</v>
      </c>
      <c r="V65" s="188">
        <f t="shared" si="11"/>
        <v>3.7660148541018827</v>
      </c>
      <c r="W65" s="172">
        <f t="shared" si="12"/>
        <v>250.9933209678095</v>
      </c>
      <c r="X65" s="379">
        <f t="shared" si="95"/>
        <v>149.24832362384043</v>
      </c>
      <c r="Z65" s="188">
        <f t="shared" si="13"/>
        <v>13.333333333333332</v>
      </c>
      <c r="AA65" s="150">
        <f t="shared" si="14"/>
        <v>2.3082895605497726</v>
      </c>
      <c r="AB65" s="150">
        <f t="shared" si="144"/>
        <v>0.18038845171210843</v>
      </c>
      <c r="AC65" s="150"/>
      <c r="AD65" s="150">
        <f t="shared" si="16"/>
        <v>2.3082895605497731</v>
      </c>
      <c r="AE65" s="314">
        <f t="shared" si="145"/>
        <v>417.42137911641328</v>
      </c>
      <c r="AF65" s="456">
        <f t="shared" si="146"/>
        <v>0.18038845171210849</v>
      </c>
      <c r="AH65" s="150">
        <f t="shared" si="147"/>
        <v>14.422205101855956</v>
      </c>
      <c r="AI65" s="150">
        <f t="shared" si="148"/>
        <v>21.753566903480507</v>
      </c>
      <c r="AJ65" s="150">
        <f t="shared" si="149"/>
        <v>7.4372100519608688</v>
      </c>
      <c r="AL65" s="314">
        <f t="shared" si="150"/>
        <v>300</v>
      </c>
      <c r="AM65" s="144">
        <f t="shared" si="151"/>
        <v>149.24832362384043</v>
      </c>
      <c r="AO65">
        <f t="shared" si="96"/>
        <v>300</v>
      </c>
      <c r="AP65">
        <f t="shared" si="24"/>
        <v>149.24832362384043</v>
      </c>
      <c r="AR65" s="5">
        <f t="shared" si="97"/>
        <v>6.700242761321463</v>
      </c>
      <c r="AS65" s="5">
        <f t="shared" si="25"/>
        <v>2.7342279072195805</v>
      </c>
      <c r="AT65" s="5">
        <f t="shared" si="98"/>
        <v>3.9660148541018825</v>
      </c>
      <c r="AU65" s="150">
        <f t="shared" si="99"/>
        <v>0.40807893155804392</v>
      </c>
      <c r="AW65" s="5">
        <f t="shared" si="152"/>
        <v>0.48251080715639655</v>
      </c>
      <c r="AX65" s="5">
        <f t="shared" si="153"/>
        <v>6.8355697680489511</v>
      </c>
      <c r="AY65" s="5">
        <f t="shared" si="28"/>
        <v>28.247904542888516</v>
      </c>
      <c r="AZ65" s="5"/>
      <c r="BA65" s="150">
        <f t="shared" si="100"/>
        <v>8.0230950470521947</v>
      </c>
      <c r="BB65" s="150">
        <f t="shared" si="154"/>
        <v>0.45128332577711133</v>
      </c>
      <c r="BC65" s="150">
        <f t="shared" si="155"/>
        <v>0.42929985494421896</v>
      </c>
      <c r="BD65" s="150"/>
      <c r="BE65" s="456">
        <f t="shared" si="31"/>
        <v>0.21885818405571372</v>
      </c>
      <c r="BF65" s="456">
        <f t="shared" si="156"/>
        <v>1.6016957759087116</v>
      </c>
      <c r="BG65" s="456">
        <f t="shared" si="157"/>
        <v>8.1575917107262391E-2</v>
      </c>
      <c r="BH65" s="456">
        <f t="shared" si="34"/>
        <v>4.3377965502729807E-2</v>
      </c>
      <c r="BI65">
        <f t="shared" si="35"/>
        <v>5.3703122629528942E-3</v>
      </c>
      <c r="BJ65" s="144">
        <f t="shared" si="101"/>
        <v>86.946229370215292</v>
      </c>
      <c r="BK65">
        <f t="shared" si="158"/>
        <v>2.028507451803665</v>
      </c>
      <c r="BL65" s="144">
        <f t="shared" si="102"/>
        <v>2028.5074518036649</v>
      </c>
      <c r="BM65" s="150">
        <f t="shared" si="159"/>
        <v>0.66562499999999991</v>
      </c>
      <c r="BN65" s="150">
        <f t="shared" si="160"/>
        <v>0.21299999999999999</v>
      </c>
      <c r="BO65" s="456"/>
      <c r="BQ65" s="144">
        <f t="shared" si="103"/>
        <v>878.62499999999989</v>
      </c>
      <c r="BR65" s="456">
        <f t="shared" si="39"/>
        <v>9.6555081201050177E-2</v>
      </c>
      <c r="BS65" s="456">
        <f t="shared" si="104"/>
        <v>4.073132802489008E-2</v>
      </c>
      <c r="BT65" s="456">
        <f t="shared" si="161"/>
        <v>5.5289509636538238E-3</v>
      </c>
      <c r="BU65" s="456">
        <f t="shared" si="41"/>
        <v>30.031004103948796</v>
      </c>
      <c r="BV65" s="456">
        <f t="shared" si="162"/>
        <v>30.557218362328534</v>
      </c>
      <c r="BW65" s="538">
        <f t="shared" si="163"/>
        <v>7.0626944408036879E-2</v>
      </c>
      <c r="BX65" s="144">
        <f t="shared" si="105"/>
        <v>30627.84530673657</v>
      </c>
      <c r="BY65" s="150">
        <f t="shared" si="106"/>
        <v>33.534977758540229</v>
      </c>
      <c r="BZ65" s="5">
        <f t="shared" si="107"/>
        <v>54.6</v>
      </c>
      <c r="CA65" s="150">
        <f t="shared" si="108"/>
        <v>0.61950432607568551</v>
      </c>
      <c r="CB65" s="5">
        <f t="shared" si="109"/>
        <v>61.950432607568551</v>
      </c>
      <c r="CC65">
        <f t="shared" si="173"/>
        <v>60</v>
      </c>
      <c r="CE65" s="59">
        <f t="shared" si="164"/>
        <v>-50</v>
      </c>
      <c r="CF65">
        <f t="shared" si="165"/>
        <v>-50</v>
      </c>
      <c r="CG65" s="150">
        <f t="shared" si="166"/>
        <v>0.56766977275315578</v>
      </c>
      <c r="CH65" s="150">
        <f t="shared" si="167"/>
        <v>0.15382552837714239</v>
      </c>
      <c r="CI65" s="147">
        <v>60</v>
      </c>
      <c r="CJ65" s="188">
        <f t="shared" si="133"/>
        <v>0.3</v>
      </c>
      <c r="CK65" s="188">
        <f t="shared" si="111"/>
        <v>0.3</v>
      </c>
      <c r="CL65" s="188">
        <f t="shared" si="48"/>
        <v>51</v>
      </c>
      <c r="CM65" s="188">
        <f t="shared" si="134"/>
        <v>3.5999999999999996</v>
      </c>
      <c r="CN65" s="465">
        <f t="shared" si="112"/>
        <v>12</v>
      </c>
      <c r="CO65" s="379">
        <f t="shared" si="168"/>
        <v>8.625</v>
      </c>
      <c r="CP65" s="379">
        <f t="shared" si="169"/>
        <v>20.625</v>
      </c>
      <c r="CQ65" s="379"/>
      <c r="CR65" s="188">
        <f t="shared" si="113"/>
        <v>0.4156318480642805</v>
      </c>
      <c r="CS65" s="149">
        <f t="shared" si="114"/>
        <v>155.29102015588504</v>
      </c>
      <c r="CT65" s="149">
        <f t="shared" si="51"/>
        <v>10.961719069827179</v>
      </c>
      <c r="CU65" s="188">
        <f t="shared" si="52"/>
        <v>0.91347658915226493</v>
      </c>
      <c r="CV65" s="188">
        <f t="shared" si="53"/>
        <v>12.940918346323754</v>
      </c>
      <c r="CW65" s="379">
        <f t="shared" si="54"/>
        <v>170</v>
      </c>
      <c r="CX65" s="188">
        <f t="shared" si="55"/>
        <v>21.894376098418277</v>
      </c>
      <c r="CY65" s="188">
        <f t="shared" si="56"/>
        <v>2.7367970123022847</v>
      </c>
      <c r="CZ65" s="188">
        <f t="shared" si="57"/>
        <v>3.8077175823336136</v>
      </c>
      <c r="DA65" s="172">
        <f t="shared" si="58"/>
        <v>250.90909090909091</v>
      </c>
      <c r="DB65" s="379">
        <f t="shared" si="115"/>
        <v>152.79972036728793</v>
      </c>
      <c r="DD65" s="188">
        <f t="shared" si="59"/>
        <v>13.333333333333332</v>
      </c>
      <c r="DE65" s="150">
        <f t="shared" si="60"/>
        <v>2.318840579710145</v>
      </c>
      <c r="DF65" s="150">
        <f t="shared" si="61"/>
        <v>0.18115218115218115</v>
      </c>
      <c r="DG65" s="150"/>
      <c r="DH65" s="150">
        <f t="shared" si="62"/>
        <v>2.3188405797101455</v>
      </c>
      <c r="DI65" s="314">
        <f t="shared" si="63"/>
        <v>415.52205882352922</v>
      </c>
      <c r="DJ65" s="456">
        <f t="shared" si="64"/>
        <v>0.18115218115218121</v>
      </c>
      <c r="DL65" s="150">
        <f t="shared" si="65"/>
        <v>14.422205101855956</v>
      </c>
      <c r="DM65" s="150">
        <f t="shared" si="66"/>
        <v>21.894376098418277</v>
      </c>
      <c r="DN65" s="150">
        <f t="shared" si="67"/>
        <v>7.5415131593221805</v>
      </c>
      <c r="DP65" s="314">
        <f t="shared" si="68"/>
        <v>300</v>
      </c>
      <c r="DQ65" s="144">
        <f t="shared" si="69"/>
        <v>152.79972036728793</v>
      </c>
      <c r="DS65">
        <f t="shared" si="116"/>
        <v>300</v>
      </c>
      <c r="DT65">
        <f t="shared" si="70"/>
        <v>152.79972036728793</v>
      </c>
      <c r="DV65" s="5">
        <f t="shared" si="117"/>
        <v>6.5445145946358982</v>
      </c>
      <c r="DW65" s="5">
        <f t="shared" si="71"/>
        <v>2.7367970123022847</v>
      </c>
      <c r="DX65" s="5">
        <f t="shared" si="118"/>
        <v>3.8077175823336136</v>
      </c>
      <c r="DY65" s="150">
        <f t="shared" si="119"/>
        <v>0.41818181818181815</v>
      </c>
      <c r="EA65" s="5">
        <f t="shared" si="72"/>
        <v>0.48296417864157959</v>
      </c>
      <c r="EB65" s="5">
        <f t="shared" si="73"/>
        <v>6.8419925307557108</v>
      </c>
      <c r="EC65" s="5">
        <f t="shared" si="74"/>
        <v>26.971332874863091</v>
      </c>
      <c r="ED65" s="5"/>
      <c r="EE65" s="150">
        <f t="shared" si="120"/>
        <v>8.1743743005835601</v>
      </c>
      <c r="EF65" s="150">
        <f t="shared" si="75"/>
        <v>0.45031159412628807</v>
      </c>
      <c r="EG65" s="150">
        <f t="shared" si="76"/>
        <v>0.42837545948594496</v>
      </c>
      <c r="EH65" s="150"/>
      <c r="EI65" s="456">
        <f t="shared" si="77"/>
        <v>0.22718934370053928</v>
      </c>
      <c r="EJ65" s="456">
        <f t="shared" si="78"/>
        <v>2.0975999999999999</v>
      </c>
      <c r="EK65" s="456">
        <f t="shared" si="79"/>
        <v>3.4991135964108931E-2</v>
      </c>
      <c r="EL65" s="456">
        <f t="shared" si="80"/>
        <v>4.4524704454603097E-2</v>
      </c>
      <c r="EM65">
        <f t="shared" si="81"/>
        <v>5.4000000000000003E-3</v>
      </c>
      <c r="EN65" s="144">
        <f t="shared" si="121"/>
        <v>40.391135964108933</v>
      </c>
      <c r="EO65">
        <f t="shared" si="82"/>
        <v>2.6120449865204343</v>
      </c>
      <c r="EP65" s="144">
        <f t="shared" si="122"/>
        <v>2612.0449865204341</v>
      </c>
      <c r="EQ65" s="150">
        <f t="shared" si="83"/>
        <v>0.66562499999999991</v>
      </c>
      <c r="ER65" s="150">
        <f t="shared" si="170"/>
        <v>0.21299999999999999</v>
      </c>
      <c r="ES65" s="456"/>
      <c r="EU65" s="144">
        <f t="shared" si="123"/>
        <v>878.62499999999989</v>
      </c>
      <c r="EV65" s="456">
        <f t="shared" si="85"/>
        <v>0.10023059280906146</v>
      </c>
      <c r="EW65" s="456">
        <f t="shared" si="124"/>
        <v>4.055610636091176E-2</v>
      </c>
      <c r="EX65" s="456">
        <f t="shared" si="86"/>
        <v>5.5051660286938335E-3</v>
      </c>
      <c r="EY65" s="456">
        <f t="shared" si="87"/>
        <v>32.367401730079003</v>
      </c>
      <c r="EZ65" s="456">
        <f t="shared" si="88"/>
        <v>32.934244608743121</v>
      </c>
      <c r="FA65" s="538">
        <f t="shared" si="89"/>
        <v>7.3246640038344787E-2</v>
      </c>
      <c r="FB65" s="144">
        <f t="shared" si="125"/>
        <v>33007.491248781465</v>
      </c>
      <c r="FC65" s="150">
        <f t="shared" si="126"/>
        <v>36.4981612353019</v>
      </c>
      <c r="FD65" s="5">
        <f t="shared" si="127"/>
        <v>54.6</v>
      </c>
      <c r="FE65" s="150">
        <f t="shared" si="128"/>
        <v>0.59935348046126846</v>
      </c>
      <c r="FF65" s="5">
        <f t="shared" si="129"/>
        <v>59.935348046126848</v>
      </c>
      <c r="FG65">
        <f t="shared" si="130"/>
        <v>60</v>
      </c>
      <c r="FI65" s="59">
        <f t="shared" si="90"/>
        <v>-50</v>
      </c>
      <c r="FJ65">
        <f t="shared" si="91"/>
        <v>-50</v>
      </c>
      <c r="FL65">
        <f t="shared" si="92"/>
        <v>0.56766977275315578</v>
      </c>
    </row>
    <row r="66" spans="5:168">
      <c r="E66" s="147">
        <v>61</v>
      </c>
      <c r="F66" s="188">
        <f t="shared" si="174"/>
        <v>0.30499999999999999</v>
      </c>
      <c r="G66" s="188">
        <f t="shared" si="171"/>
        <v>0.30499999999999999</v>
      </c>
      <c r="H66" s="188">
        <f t="shared" si="135"/>
        <v>51.85</v>
      </c>
      <c r="I66" s="188">
        <f t="shared" si="175"/>
        <v>3.66</v>
      </c>
      <c r="J66" s="465">
        <f t="shared" si="136"/>
        <v>11.932927705189874</v>
      </c>
      <c r="K66" s="379">
        <f t="shared" si="137"/>
        <v>8.6650813012560164</v>
      </c>
      <c r="L66" s="149">
        <f t="shared" si="138"/>
        <v>20.598009006445892</v>
      </c>
      <c r="M66" s="379"/>
      <c r="N66" s="188">
        <f t="shared" si="139"/>
        <v>0.42067567300045294</v>
      </c>
      <c r="O66" s="149">
        <f t="shared" si="172"/>
        <v>156.29701590694233</v>
      </c>
      <c r="P66" s="149">
        <f t="shared" si="140"/>
        <v>11.032730534607696</v>
      </c>
      <c r="Q66" s="188">
        <f t="shared" si="6"/>
        <v>0.9193942112173078</v>
      </c>
      <c r="R66" s="188">
        <f t="shared" si="141"/>
        <v>13.024751325578528</v>
      </c>
      <c r="S66" s="379">
        <f t="shared" si="142"/>
        <v>170</v>
      </c>
      <c r="T66" s="188">
        <f t="shared" si="143"/>
        <v>22.116011918773495</v>
      </c>
      <c r="U66" s="188">
        <f t="shared" si="10"/>
        <v>2.7800401291069736</v>
      </c>
      <c r="V66" s="188">
        <f t="shared" si="11"/>
        <v>3.8284716236132272</v>
      </c>
      <c r="W66" s="172">
        <f t="shared" si="12"/>
        <v>250.99461966232508</v>
      </c>
      <c r="X66" s="379">
        <f t="shared" si="95"/>
        <v>146.87497595938945</v>
      </c>
      <c r="Z66" s="188">
        <f t="shared" si="13"/>
        <v>13.333333333333332</v>
      </c>
      <c r="AA66" s="150">
        <f t="shared" si="14"/>
        <v>2.3081145236457234</v>
      </c>
      <c r="AB66" s="150">
        <f t="shared" si="144"/>
        <v>0.18037570620865015</v>
      </c>
      <c r="AC66" s="150"/>
      <c r="AD66" s="150">
        <f t="shared" si="16"/>
        <v>2.3081145236457239</v>
      </c>
      <c r="AE66" s="314">
        <f t="shared" si="145"/>
        <v>424.41058502887171</v>
      </c>
      <c r="AF66" s="456">
        <f t="shared" si="146"/>
        <v>0.18037570620865023</v>
      </c>
      <c r="AH66" s="150">
        <f t="shared" si="147"/>
        <v>14.54189350348388</v>
      </c>
      <c r="AI66" s="150">
        <f t="shared" si="148"/>
        <v>22.116011918773495</v>
      </c>
      <c r="AJ66" s="150">
        <f t="shared" si="149"/>
        <v>7.7056878410667853</v>
      </c>
      <c r="AL66" s="314">
        <f t="shared" si="150"/>
        <v>305</v>
      </c>
      <c r="AM66" s="144">
        <f t="shared" si="151"/>
        <v>146.87497595938945</v>
      </c>
      <c r="AO66">
        <f t="shared" si="96"/>
        <v>305</v>
      </c>
      <c r="AP66">
        <f t="shared" si="24"/>
        <v>146.87497595938945</v>
      </c>
      <c r="AR66" s="5">
        <f t="shared" si="97"/>
        <v>6.808511752720201</v>
      </c>
      <c r="AS66" s="5">
        <f t="shared" si="25"/>
        <v>2.7800401291069736</v>
      </c>
      <c r="AT66" s="5">
        <f t="shared" si="98"/>
        <v>4.0284716236132274</v>
      </c>
      <c r="AU66" s="150">
        <f t="shared" si="99"/>
        <v>0.40831832712872468</v>
      </c>
      <c r="AW66" s="5">
        <f t="shared" si="152"/>
        <v>0.49877190551625111</v>
      </c>
      <c r="AX66" s="5">
        <f t="shared" si="153"/>
        <v>7.0659353281468915</v>
      </c>
      <c r="AY66" s="5">
        <f t="shared" si="28"/>
        <v>29.173652776133228</v>
      </c>
      <c r="AZ66" s="5"/>
      <c r="BA66" s="150">
        <f t="shared" si="100"/>
        <v>8.1591632876837732</v>
      </c>
      <c r="BB66" s="150">
        <f t="shared" si="154"/>
        <v>0.45870955258628238</v>
      </c>
      <c r="BC66" s="150">
        <f t="shared" si="155"/>
        <v>0.4363643262194874</v>
      </c>
      <c r="BD66" s="150"/>
      <c r="BE66" s="456">
        <f t="shared" si="31"/>
        <v>0.22634461488729471</v>
      </c>
      <c r="BF66" s="456">
        <f t="shared" si="156"/>
        <v>1.6024533128779566</v>
      </c>
      <c r="BG66" s="456">
        <f t="shared" si="157"/>
        <v>8.0271299917980182E-2</v>
      </c>
      <c r="BH66" s="456">
        <f t="shared" si="34"/>
        <v>4.2686334907063715E-2</v>
      </c>
      <c r="BI66">
        <f t="shared" si="35"/>
        <v>5.3698174673354427E-3</v>
      </c>
      <c r="BJ66" s="144">
        <f t="shared" si="101"/>
        <v>85.641117385315624</v>
      </c>
      <c r="BK66">
        <f t="shared" si="158"/>
        <v>2.0424385952942852</v>
      </c>
      <c r="BL66" s="144">
        <f t="shared" si="102"/>
        <v>2042.4385952942853</v>
      </c>
      <c r="BM66" s="150">
        <f t="shared" si="159"/>
        <v>0.67671874999999992</v>
      </c>
      <c r="BN66" s="150">
        <f t="shared" si="160"/>
        <v>0.21654999999999999</v>
      </c>
      <c r="BO66" s="456"/>
      <c r="BQ66" s="144">
        <f t="shared" si="103"/>
        <v>893.26874999999995</v>
      </c>
      <c r="BR66" s="456">
        <f t="shared" si="39"/>
        <v>9.9857918332630025E-2</v>
      </c>
      <c r="BS66" s="456">
        <f t="shared" si="104"/>
        <v>4.2082890726781473E-2</v>
      </c>
      <c r="BT66" s="456">
        <f t="shared" si="161"/>
        <v>5.712414755909616E-3</v>
      </c>
      <c r="BU66" s="456">
        <f t="shared" si="41"/>
        <v>30.068140018030665</v>
      </c>
      <c r="BV66" s="456">
        <f t="shared" si="162"/>
        <v>30.612836738325331</v>
      </c>
      <c r="BW66" s="538">
        <f t="shared" si="163"/>
        <v>7.1839192022531848E-2</v>
      </c>
      <c r="BX66" s="144">
        <f t="shared" si="105"/>
        <v>30684.675930347861</v>
      </c>
      <c r="BY66" s="150">
        <f t="shared" si="106"/>
        <v>33.620383275642148</v>
      </c>
      <c r="BZ66" s="5">
        <f t="shared" si="107"/>
        <v>55.510000000000005</v>
      </c>
      <c r="CA66" s="150">
        <f t="shared" si="108"/>
        <v>0.62279548185416556</v>
      </c>
      <c r="CB66" s="5">
        <f t="shared" si="109"/>
        <v>62.279548185416559</v>
      </c>
      <c r="CC66">
        <f t="shared" si="173"/>
        <v>61</v>
      </c>
      <c r="CE66" s="59">
        <f t="shared" si="164"/>
        <v>-50</v>
      </c>
      <c r="CF66">
        <f t="shared" si="165"/>
        <v>-50</v>
      </c>
      <c r="CG66" s="150">
        <f t="shared" si="166"/>
        <v>0.56766977275315578</v>
      </c>
      <c r="CH66" s="150">
        <f t="shared" si="167"/>
        <v>0.15382552837714239</v>
      </c>
      <c r="CI66" s="147">
        <v>61</v>
      </c>
      <c r="CJ66" s="188">
        <f t="shared" si="133"/>
        <v>0.30499999999999999</v>
      </c>
      <c r="CK66" s="188">
        <f t="shared" si="111"/>
        <v>0.30499999999999999</v>
      </c>
      <c r="CL66" s="188">
        <f t="shared" si="48"/>
        <v>51.85</v>
      </c>
      <c r="CM66" s="188">
        <f t="shared" si="134"/>
        <v>3.66</v>
      </c>
      <c r="CN66" s="465">
        <f t="shared" si="112"/>
        <v>12</v>
      </c>
      <c r="CO66" s="379">
        <f t="shared" si="168"/>
        <v>8.625</v>
      </c>
      <c r="CP66" s="379">
        <f t="shared" si="169"/>
        <v>20.625</v>
      </c>
      <c r="CQ66" s="379"/>
      <c r="CR66" s="188">
        <f t="shared" si="113"/>
        <v>0.4156318480642805</v>
      </c>
      <c r="CS66" s="149">
        <f t="shared" si="114"/>
        <v>155.29102015588504</v>
      </c>
      <c r="CT66" s="149">
        <f t="shared" si="51"/>
        <v>10.961719069827179</v>
      </c>
      <c r="CU66" s="188">
        <f t="shared" si="52"/>
        <v>0.91347658915226493</v>
      </c>
      <c r="CV66" s="188">
        <f t="shared" si="53"/>
        <v>12.940918346323754</v>
      </c>
      <c r="CW66" s="379">
        <f t="shared" si="54"/>
        <v>170</v>
      </c>
      <c r="CX66" s="188">
        <f t="shared" si="55"/>
        <v>22.259282366725252</v>
      </c>
      <c r="CY66" s="188">
        <f t="shared" si="56"/>
        <v>2.7824102958406565</v>
      </c>
      <c r="CZ66" s="188">
        <f t="shared" si="57"/>
        <v>3.8711795420391746</v>
      </c>
      <c r="DA66" s="172">
        <f t="shared" si="58"/>
        <v>250.90909090909091</v>
      </c>
      <c r="DB66" s="379">
        <f t="shared" si="115"/>
        <v>150.29480691864384</v>
      </c>
      <c r="DD66" s="188">
        <f t="shared" si="59"/>
        <v>13.333333333333332</v>
      </c>
      <c r="DE66" s="150">
        <f t="shared" si="60"/>
        <v>2.318840579710145</v>
      </c>
      <c r="DF66" s="150">
        <f t="shared" si="61"/>
        <v>0.18115218115218115</v>
      </c>
      <c r="DG66" s="150"/>
      <c r="DH66" s="150">
        <f t="shared" si="62"/>
        <v>2.3188405797101455</v>
      </c>
      <c r="DI66" s="314">
        <f t="shared" si="63"/>
        <v>422.44742647058814</v>
      </c>
      <c r="DJ66" s="456">
        <f t="shared" si="64"/>
        <v>0.18115218115218121</v>
      </c>
      <c r="DL66" s="150">
        <f t="shared" si="65"/>
        <v>14.54189350348388</v>
      </c>
      <c r="DM66" s="150">
        <f t="shared" si="66"/>
        <v>22.259282366725252</v>
      </c>
      <c r="DN66" s="150">
        <f t="shared" si="67"/>
        <v>7.8118140988088278</v>
      </c>
      <c r="DP66" s="314">
        <f t="shared" si="68"/>
        <v>305</v>
      </c>
      <c r="DQ66" s="144">
        <f t="shared" si="69"/>
        <v>150.29480691864384</v>
      </c>
      <c r="DS66">
        <f t="shared" si="116"/>
        <v>305</v>
      </c>
      <c r="DT66">
        <f t="shared" si="70"/>
        <v>150.29480691864384</v>
      </c>
      <c r="DV66" s="5">
        <f t="shared" si="117"/>
        <v>6.6535898378798315</v>
      </c>
      <c r="DW66" s="5">
        <f t="shared" si="71"/>
        <v>2.7824102958406565</v>
      </c>
      <c r="DX66" s="5">
        <f t="shared" si="118"/>
        <v>3.871179542039175</v>
      </c>
      <c r="DY66" s="150">
        <f t="shared" si="119"/>
        <v>0.41818181818181815</v>
      </c>
      <c r="EA66" s="5">
        <f t="shared" si="72"/>
        <v>0.4991971413125883</v>
      </c>
      <c r="EB66" s="5">
        <f t="shared" si="73"/>
        <v>7.071959501928335</v>
      </c>
      <c r="EC66" s="5">
        <f t="shared" si="74"/>
        <v>27.87786934093489</v>
      </c>
      <c r="ED66" s="5"/>
      <c r="EE66" s="150">
        <f t="shared" si="120"/>
        <v>8.3106138722599532</v>
      </c>
      <c r="EF66" s="150">
        <f t="shared" si="75"/>
        <v>0.45781678736172626</v>
      </c>
      <c r="EG66" s="150">
        <f t="shared" si="76"/>
        <v>0.43551505047737743</v>
      </c>
      <c r="EH66" s="150"/>
      <c r="EI66" s="456">
        <f t="shared" si="77"/>
        <v>0.23482542997491854</v>
      </c>
      <c r="EJ66" s="456">
        <f t="shared" si="78"/>
        <v>2.0975999999999995</v>
      </c>
      <c r="EK66" s="456">
        <f t="shared" si="79"/>
        <v>3.4417510784369436E-2</v>
      </c>
      <c r="EL66" s="456">
        <f t="shared" si="80"/>
        <v>4.3794791266822716E-2</v>
      </c>
      <c r="EM66">
        <f t="shared" si="81"/>
        <v>5.4000000000000003E-3</v>
      </c>
      <c r="EN66" s="144">
        <f t="shared" si="121"/>
        <v>39.817510784369439</v>
      </c>
      <c r="EO66">
        <f t="shared" si="82"/>
        <v>2.62595447316908</v>
      </c>
      <c r="EP66" s="144">
        <f t="shared" si="122"/>
        <v>2625.9544731690798</v>
      </c>
      <c r="EQ66" s="150">
        <f t="shared" si="83"/>
        <v>0.67671874999999992</v>
      </c>
      <c r="ER66" s="150">
        <f t="shared" si="170"/>
        <v>0.21654999999999999</v>
      </c>
      <c r="ES66" s="456"/>
      <c r="EU66" s="144">
        <f t="shared" si="123"/>
        <v>893.26874999999995</v>
      </c>
      <c r="EV66" s="456">
        <f t="shared" si="85"/>
        <v>0.10359945440069937</v>
      </c>
      <c r="EW66" s="456">
        <f t="shared" si="124"/>
        <v>4.1919242158042415E-2</v>
      </c>
      <c r="EX66" s="456">
        <f t="shared" si="86"/>
        <v>5.6902007757693787E-3</v>
      </c>
      <c r="EY66" s="456">
        <f t="shared" si="87"/>
        <v>32.367401730078967</v>
      </c>
      <c r="EZ66" s="456">
        <f t="shared" si="88"/>
        <v>32.953530118979401</v>
      </c>
      <c r="FA66" s="538">
        <f t="shared" si="89"/>
        <v>7.4467417372317199E-2</v>
      </c>
      <c r="FB66" s="144">
        <f t="shared" si="125"/>
        <v>33027.997536351722</v>
      </c>
      <c r="FC66" s="150">
        <f t="shared" si="126"/>
        <v>36.547220759520798</v>
      </c>
      <c r="FD66" s="5">
        <f t="shared" si="127"/>
        <v>55.510000000000005</v>
      </c>
      <c r="FE66" s="150">
        <f t="shared" si="128"/>
        <v>0.60299452386258368</v>
      </c>
      <c r="FF66" s="5">
        <f t="shared" si="129"/>
        <v>60.299452386258366</v>
      </c>
      <c r="FG66">
        <f t="shared" si="130"/>
        <v>61</v>
      </c>
      <c r="FI66" s="59">
        <f t="shared" si="90"/>
        <v>-50</v>
      </c>
      <c r="FJ66">
        <f t="shared" si="91"/>
        <v>-50</v>
      </c>
      <c r="FL66">
        <f t="shared" si="92"/>
        <v>0.56766977275315578</v>
      </c>
    </row>
    <row r="67" spans="5:168">
      <c r="E67" s="147">
        <v>62</v>
      </c>
      <c r="F67" s="188">
        <f t="shared" si="174"/>
        <v>0.31</v>
      </c>
      <c r="G67" s="188">
        <f t="shared" si="171"/>
        <v>0.31</v>
      </c>
      <c r="H67" s="188">
        <f t="shared" si="135"/>
        <v>52.7</v>
      </c>
      <c r="I67" s="188">
        <f t="shared" si="175"/>
        <v>3.7199999999999998</v>
      </c>
      <c r="J67" s="465">
        <f t="shared" si="136"/>
        <v>11.931828159373314</v>
      </c>
      <c r="K67" s="379">
        <f t="shared" si="137"/>
        <v>8.6657383717684109</v>
      </c>
      <c r="L67" s="149">
        <f t="shared" si="138"/>
        <v>20.597566531141723</v>
      </c>
      <c r="M67" s="379"/>
      <c r="N67" s="188">
        <f t="shared" si="139"/>
        <v>0.42071661031736785</v>
      </c>
      <c r="O67" s="149">
        <f t="shared" si="172"/>
        <v>156.29782246834176</v>
      </c>
      <c r="P67" s="149">
        <f t="shared" si="140"/>
        <v>11.032787468353538</v>
      </c>
      <c r="Q67" s="188">
        <f t="shared" si="6"/>
        <v>0.91939895569612806</v>
      </c>
      <c r="R67" s="188">
        <f t="shared" si="141"/>
        <v>13.02481853902848</v>
      </c>
      <c r="S67" s="379">
        <f t="shared" si="142"/>
        <v>170</v>
      </c>
      <c r="T67" s="188">
        <f t="shared" si="143"/>
        <v>22.478453492498026</v>
      </c>
      <c r="U67" s="188">
        <f t="shared" si="10"/>
        <v>2.8258603617467761</v>
      </c>
      <c r="V67" s="188">
        <f t="shared" si="11"/>
        <v>3.8909183259667572</v>
      </c>
      <c r="W67" s="172">
        <f t="shared" si="12"/>
        <v>250.99591490504295</v>
      </c>
      <c r="X67" s="379">
        <f t="shared" si="95"/>
        <v>144.57597172746438</v>
      </c>
      <c r="Z67" s="188">
        <f t="shared" si="13"/>
        <v>13.333333333333334</v>
      </c>
      <c r="AA67" s="150">
        <f t="shared" si="14"/>
        <v>2.3079395132856537</v>
      </c>
      <c r="AB67" s="150">
        <f t="shared" si="144"/>
        <v>0.18036296015759609</v>
      </c>
      <c r="AC67" s="150"/>
      <c r="AD67" s="150">
        <f t="shared" si="16"/>
        <v>2.3079395132856537</v>
      </c>
      <c r="AE67" s="314">
        <f t="shared" si="145"/>
        <v>431.4008461192708</v>
      </c>
      <c r="AF67" s="456">
        <f t="shared" si="146"/>
        <v>0.18036296015759612</v>
      </c>
      <c r="AH67" s="150">
        <f t="shared" si="147"/>
        <v>14.660604807897023</v>
      </c>
      <c r="AI67" s="150">
        <f t="shared" si="148"/>
        <v>22.478453492498026</v>
      </c>
      <c r="AJ67" s="150">
        <f t="shared" si="149"/>
        <v>7.9741630808627351</v>
      </c>
      <c r="AL67" s="314">
        <f t="shared" si="150"/>
        <v>310</v>
      </c>
      <c r="AM67" s="144">
        <f t="shared" si="151"/>
        <v>144.57597172746438</v>
      </c>
      <c r="AO67">
        <f t="shared" si="96"/>
        <v>310</v>
      </c>
      <c r="AP67">
        <f t="shared" si="24"/>
        <v>144.57597172746438</v>
      </c>
      <c r="AR67" s="5">
        <f t="shared" si="97"/>
        <v>6.916778687713534</v>
      </c>
      <c r="AS67" s="5">
        <f t="shared" si="25"/>
        <v>2.8258603617467761</v>
      </c>
      <c r="AT67" s="5">
        <f t="shared" si="98"/>
        <v>4.0909183259667579</v>
      </c>
      <c r="AU67" s="150">
        <f t="shared" si="99"/>
        <v>0.40855150776566412</v>
      </c>
      <c r="AW67" s="5">
        <f t="shared" si="152"/>
        <v>0.51530394831852977</v>
      </c>
      <c r="AX67" s="5">
        <f t="shared" si="153"/>
        <v>7.3001392678458386</v>
      </c>
      <c r="AY67" s="5">
        <f t="shared" si="28"/>
        <v>30.114328514009738</v>
      </c>
      <c r="AZ67" s="5"/>
      <c r="BA67" s="150">
        <f t="shared" si="100"/>
        <v>8.2952448599885713</v>
      </c>
      <c r="BB67" s="150">
        <f t="shared" si="154"/>
        <v>0.46613509673955839</v>
      </c>
      <c r="BC67" s="150">
        <f t="shared" si="155"/>
        <v>0.44342814809323799</v>
      </c>
      <c r="BD67" s="150"/>
      <c r="BE67" s="456">
        <f t="shared" si="31"/>
        <v>0.23395769677636716</v>
      </c>
      <c r="BF67" s="456">
        <f t="shared" si="156"/>
        <v>1.6031862548276592</v>
      </c>
      <c r="BG67" s="456">
        <f t="shared" si="157"/>
        <v>7.9007548798694593E-2</v>
      </c>
      <c r="BH67" s="456">
        <f t="shared" si="34"/>
        <v>4.2016369153826956E-2</v>
      </c>
      <c r="BI67">
        <f t="shared" si="35"/>
        <v>5.3693226717179913E-3</v>
      </c>
      <c r="BJ67" s="144">
        <f t="shared" si="101"/>
        <v>84.376871470412595</v>
      </c>
      <c r="BK67">
        <f t="shared" si="158"/>
        <v>2.0566549516040102</v>
      </c>
      <c r="BL67" s="144">
        <f t="shared" si="102"/>
        <v>2056.6549516040104</v>
      </c>
      <c r="BM67" s="150">
        <f t="shared" si="159"/>
        <v>0.68781249999999994</v>
      </c>
      <c r="BN67" s="150">
        <f t="shared" si="160"/>
        <v>0.22009999999999999</v>
      </c>
      <c r="BO67" s="456"/>
      <c r="BQ67" s="144">
        <f t="shared" si="103"/>
        <v>907.91249999999991</v>
      </c>
      <c r="BR67" s="456">
        <f t="shared" si="39"/>
        <v>0.10321663093075022</v>
      </c>
      <c r="BS67" s="456">
        <f t="shared" si="104"/>
        <v>4.3456385682479497E-2</v>
      </c>
      <c r="BT67" s="456">
        <f t="shared" si="161"/>
        <v>5.8988556756419588E-3</v>
      </c>
      <c r="BU67" s="456">
        <f t="shared" si="41"/>
        <v>30.104150460788095</v>
      </c>
      <c r="BV67" s="456">
        <f t="shared" si="162"/>
        <v>30.667661383708985</v>
      </c>
      <c r="BW67" s="538">
        <f t="shared" si="163"/>
        <v>7.3051472980036378E-2</v>
      </c>
      <c r="BX67" s="144">
        <f t="shared" si="105"/>
        <v>30740.712856689021</v>
      </c>
      <c r="BY67" s="150">
        <f t="shared" si="106"/>
        <v>33.705280308293027</v>
      </c>
      <c r="BZ67" s="5">
        <f t="shared" si="107"/>
        <v>56.42</v>
      </c>
      <c r="CA67" s="150">
        <f t="shared" si="108"/>
        <v>0.62601747042564726</v>
      </c>
      <c r="CB67" s="5">
        <f t="shared" si="109"/>
        <v>62.601747042564725</v>
      </c>
      <c r="CC67">
        <f t="shared" si="173"/>
        <v>62</v>
      </c>
      <c r="CE67" s="59">
        <f t="shared" si="164"/>
        <v>-50</v>
      </c>
      <c r="CF67">
        <f t="shared" si="165"/>
        <v>-50</v>
      </c>
      <c r="CG67" s="150">
        <f t="shared" si="166"/>
        <v>0.56766977275315589</v>
      </c>
      <c r="CH67" s="150">
        <f t="shared" si="167"/>
        <v>0.15382552837714245</v>
      </c>
      <c r="CI67" s="147">
        <v>62</v>
      </c>
      <c r="CJ67" s="188">
        <f t="shared" si="133"/>
        <v>0.31</v>
      </c>
      <c r="CK67" s="188">
        <f t="shared" si="111"/>
        <v>0.31</v>
      </c>
      <c r="CL67" s="188">
        <f t="shared" si="48"/>
        <v>52.7</v>
      </c>
      <c r="CM67" s="188">
        <f t="shared" si="134"/>
        <v>3.7199999999999998</v>
      </c>
      <c r="CN67" s="465">
        <f t="shared" si="112"/>
        <v>12</v>
      </c>
      <c r="CO67" s="379">
        <f t="shared" si="168"/>
        <v>8.625</v>
      </c>
      <c r="CP67" s="379">
        <f t="shared" si="169"/>
        <v>20.625</v>
      </c>
      <c r="CQ67" s="379"/>
      <c r="CR67" s="188">
        <f t="shared" si="113"/>
        <v>0.4156318480642805</v>
      </c>
      <c r="CS67" s="149">
        <f t="shared" si="114"/>
        <v>155.29102015588504</v>
      </c>
      <c r="CT67" s="149">
        <f t="shared" si="51"/>
        <v>10.961719069827179</v>
      </c>
      <c r="CU67" s="188">
        <f t="shared" si="52"/>
        <v>0.91347658915226493</v>
      </c>
      <c r="CV67" s="188">
        <f t="shared" si="53"/>
        <v>12.940918346323754</v>
      </c>
      <c r="CW67" s="379">
        <f t="shared" si="54"/>
        <v>170</v>
      </c>
      <c r="CX67" s="188">
        <f t="shared" si="55"/>
        <v>22.624188635032219</v>
      </c>
      <c r="CY67" s="188">
        <f t="shared" si="56"/>
        <v>2.8280235793790274</v>
      </c>
      <c r="CZ67" s="188">
        <f t="shared" si="57"/>
        <v>3.9346415017447334</v>
      </c>
      <c r="DA67" s="172">
        <f t="shared" si="58"/>
        <v>250.90909090909091</v>
      </c>
      <c r="DB67" s="379">
        <f t="shared" si="115"/>
        <v>147.87069712963353</v>
      </c>
      <c r="DD67" s="188">
        <f t="shared" si="59"/>
        <v>13.333333333333332</v>
      </c>
      <c r="DE67" s="150">
        <f t="shared" si="60"/>
        <v>2.318840579710145</v>
      </c>
      <c r="DF67" s="150">
        <f t="shared" si="61"/>
        <v>0.18115218115218115</v>
      </c>
      <c r="DG67" s="150"/>
      <c r="DH67" s="150">
        <f t="shared" si="62"/>
        <v>2.3188405797101455</v>
      </c>
      <c r="DI67" s="314">
        <f t="shared" si="63"/>
        <v>429.37279411764695</v>
      </c>
      <c r="DJ67" s="456">
        <f t="shared" si="64"/>
        <v>0.18115218115218121</v>
      </c>
      <c r="DL67" s="150">
        <f t="shared" si="65"/>
        <v>14.660604807897023</v>
      </c>
      <c r="DM67" s="150">
        <f t="shared" si="66"/>
        <v>22.624188635032219</v>
      </c>
      <c r="DN67" s="150">
        <f t="shared" si="67"/>
        <v>8.0821150382954698</v>
      </c>
      <c r="DP67" s="314">
        <f t="shared" si="68"/>
        <v>310</v>
      </c>
      <c r="DQ67" s="144">
        <f t="shared" si="69"/>
        <v>147.87069712963353</v>
      </c>
      <c r="DS67">
        <f t="shared" si="116"/>
        <v>310</v>
      </c>
      <c r="DT67">
        <f t="shared" si="70"/>
        <v>147.87069712963353</v>
      </c>
      <c r="DV67" s="5">
        <f t="shared" si="117"/>
        <v>6.7626650811237594</v>
      </c>
      <c r="DW67" s="5">
        <f t="shared" si="71"/>
        <v>2.8280235793790274</v>
      </c>
      <c r="DX67" s="5">
        <f t="shared" si="118"/>
        <v>3.934641501744732</v>
      </c>
      <c r="DY67" s="150">
        <f t="shared" si="119"/>
        <v>0.41818181818181827</v>
      </c>
      <c r="EA67" s="5">
        <f t="shared" si="72"/>
        <v>0.51569841741617561</v>
      </c>
      <c r="EB67" s="5">
        <f t="shared" si="73"/>
        <v>7.305727580062487</v>
      </c>
      <c r="EC67" s="5">
        <f t="shared" si="74"/>
        <v>28.799389880826016</v>
      </c>
      <c r="ED67" s="5"/>
      <c r="EE67" s="150">
        <f t="shared" si="120"/>
        <v>8.4468534439363463</v>
      </c>
      <c r="EF67" s="150">
        <f t="shared" si="75"/>
        <v>0.46532198059716434</v>
      </c>
      <c r="EG67" s="150">
        <f t="shared" si="76"/>
        <v>0.44265464146880978</v>
      </c>
      <c r="EH67" s="150"/>
      <c r="EI67" s="456">
        <f t="shared" si="77"/>
        <v>0.24258773255135366</v>
      </c>
      <c r="EJ67" s="456">
        <f t="shared" si="78"/>
        <v>2.0976000000000004</v>
      </c>
      <c r="EK67" s="456">
        <f t="shared" si="79"/>
        <v>3.3862389642686078E-2</v>
      </c>
      <c r="EL67" s="456">
        <f t="shared" si="80"/>
        <v>4.3088423665744946E-2</v>
      </c>
      <c r="EM67">
        <f t="shared" si="81"/>
        <v>5.4000000000000003E-3</v>
      </c>
      <c r="EN67" s="144">
        <f t="shared" si="121"/>
        <v>39.262389642686081</v>
      </c>
      <c r="EO67">
        <f t="shared" si="82"/>
        <v>2.6402162494906714</v>
      </c>
      <c r="EP67" s="144">
        <f t="shared" si="122"/>
        <v>2640.2162494906715</v>
      </c>
      <c r="EQ67" s="150">
        <f t="shared" si="83"/>
        <v>0.68781249999999994</v>
      </c>
      <c r="ER67" s="150">
        <f t="shared" si="170"/>
        <v>0.22009999999999999</v>
      </c>
      <c r="ES67" s="456"/>
      <c r="EU67" s="144">
        <f t="shared" si="123"/>
        <v>907.91249999999991</v>
      </c>
      <c r="EV67" s="456">
        <f t="shared" si="85"/>
        <v>0.10702399965500899</v>
      </c>
      <c r="EW67" s="456">
        <f t="shared" si="124"/>
        <v>4.3304909125373561E-2</v>
      </c>
      <c r="EX67" s="456">
        <f t="shared" si="86"/>
        <v>5.8782939484164154E-3</v>
      </c>
      <c r="EY67" s="456">
        <f t="shared" si="87"/>
        <v>32.367401730078967</v>
      </c>
      <c r="EZ67" s="456">
        <f t="shared" si="88"/>
        <v>32.973150145412404</v>
      </c>
      <c r="FA67" s="538">
        <f t="shared" si="89"/>
        <v>7.5688194706289624E-2</v>
      </c>
      <c r="FB67" s="144">
        <f t="shared" si="125"/>
        <v>33048.838340118695</v>
      </c>
      <c r="FC67" s="150">
        <f t="shared" si="126"/>
        <v>36.596967089609365</v>
      </c>
      <c r="FD67" s="5">
        <f t="shared" si="127"/>
        <v>56.42</v>
      </c>
      <c r="FE67" s="150">
        <f t="shared" si="128"/>
        <v>0.60655600548281585</v>
      </c>
      <c r="FF67" s="5">
        <f t="shared" si="129"/>
        <v>60.655600548281583</v>
      </c>
      <c r="FG67">
        <f t="shared" si="130"/>
        <v>62</v>
      </c>
      <c r="FI67" s="59">
        <f t="shared" si="90"/>
        <v>-50</v>
      </c>
      <c r="FJ67">
        <f t="shared" si="91"/>
        <v>-50</v>
      </c>
      <c r="FL67">
        <f t="shared" si="92"/>
        <v>0.56766977275315589</v>
      </c>
    </row>
    <row r="68" spans="5:168">
      <c r="E68" s="147">
        <v>63</v>
      </c>
      <c r="F68" s="188">
        <f t="shared" si="174"/>
        <v>0.315</v>
      </c>
      <c r="G68" s="188">
        <f t="shared" si="171"/>
        <v>0.315</v>
      </c>
      <c r="H68" s="188">
        <f t="shared" si="135"/>
        <v>53.55</v>
      </c>
      <c r="I68" s="188">
        <f t="shared" si="175"/>
        <v>3.7800000000000002</v>
      </c>
      <c r="J68" s="465">
        <f t="shared" si="136"/>
        <v>11.930728613556754</v>
      </c>
      <c r="K68" s="379">
        <f t="shared" si="137"/>
        <v>8.6663954422808036</v>
      </c>
      <c r="L68" s="149">
        <f t="shared" si="138"/>
        <v>20.597124055837558</v>
      </c>
      <c r="M68" s="379"/>
      <c r="N68" s="188">
        <f t="shared" si="139"/>
        <v>0.42075754939314486</v>
      </c>
      <c r="O68" s="149">
        <f t="shared" si="172"/>
        <v>156.29862688013151</v>
      </c>
      <c r="P68" s="149">
        <f t="shared" si="140"/>
        <v>11.032844250362226</v>
      </c>
      <c r="Q68" s="188">
        <f t="shared" si="6"/>
        <v>0.91940368753018531</v>
      </c>
      <c r="R68" s="188">
        <f t="shared" si="141"/>
        <v>13.024885573344292</v>
      </c>
      <c r="S68" s="379">
        <f t="shared" si="142"/>
        <v>170</v>
      </c>
      <c r="T68" s="188">
        <f t="shared" si="143"/>
        <v>22.840891639680898</v>
      </c>
      <c r="U68" s="188">
        <f t="shared" si="10"/>
        <v>2.8716886092430745</v>
      </c>
      <c r="V68" s="188">
        <f t="shared" si="11"/>
        <v>3.9533549660531668</v>
      </c>
      <c r="W68" s="172">
        <f t="shared" si="12"/>
        <v>250.99720669574066</v>
      </c>
      <c r="X68" s="379">
        <f t="shared" si="95"/>
        <v>142.34787148033178</v>
      </c>
      <c r="Z68" s="188">
        <f t="shared" si="13"/>
        <v>13.333333333333334</v>
      </c>
      <c r="AA68" s="150">
        <f t="shared" si="14"/>
        <v>2.3077645294635256</v>
      </c>
      <c r="AB68" s="150">
        <f t="shared" si="144"/>
        <v>0.18035021355891095</v>
      </c>
      <c r="AC68" s="150"/>
      <c r="AD68" s="150">
        <f t="shared" si="16"/>
        <v>2.3077645294635256</v>
      </c>
      <c r="AE68" s="314">
        <f t="shared" si="145"/>
        <v>438.3921623876102</v>
      </c>
      <c r="AF68" s="456">
        <f t="shared" si="146"/>
        <v>0.18035021355891101</v>
      </c>
      <c r="AH68" s="150">
        <f t="shared" si="147"/>
        <v>14.778362561528931</v>
      </c>
      <c r="AI68" s="150">
        <f t="shared" si="148"/>
        <v>22.840891639680898</v>
      </c>
      <c r="AJ68" s="150">
        <f t="shared" si="149"/>
        <v>8.2426357824796774</v>
      </c>
      <c r="AL68" s="314">
        <f t="shared" si="150"/>
        <v>315</v>
      </c>
      <c r="AM68" s="144">
        <f t="shared" si="151"/>
        <v>142.34787148033178</v>
      </c>
      <c r="AO68">
        <f t="shared" si="96"/>
        <v>315</v>
      </c>
      <c r="AP68">
        <f t="shared" si="24"/>
        <v>142.34787148033178</v>
      </c>
      <c r="AR68" s="5">
        <f t="shared" si="97"/>
        <v>7.0250435752962428</v>
      </c>
      <c r="AS68" s="5">
        <f t="shared" si="25"/>
        <v>2.8716886092430745</v>
      </c>
      <c r="AT68" s="5">
        <f t="shared" si="98"/>
        <v>4.1533549660531683</v>
      </c>
      <c r="AU68" s="150">
        <f t="shared" si="99"/>
        <v>0.40877876108006583</v>
      </c>
      <c r="AW68" s="5">
        <f t="shared" si="152"/>
        <v>0.53210700700680491</v>
      </c>
      <c r="AX68" s="5">
        <f t="shared" si="153"/>
        <v>7.5381825992630702</v>
      </c>
      <c r="AY68" s="5">
        <f t="shared" si="28"/>
        <v>31.069932334144102</v>
      </c>
      <c r="AZ68" s="5"/>
      <c r="BA68" s="150">
        <f t="shared" si="100"/>
        <v>8.4313397035731814</v>
      </c>
      <c r="BB68" s="150">
        <f t="shared" si="154"/>
        <v>0.47355996240826159</v>
      </c>
      <c r="BC68" s="150">
        <f t="shared" si="155"/>
        <v>0.45049132453359442</v>
      </c>
      <c r="BD68" s="150"/>
      <c r="BE68" s="456">
        <f t="shared" si="31"/>
        <v>0.2416974632699683</v>
      </c>
      <c r="BF68" s="456">
        <f t="shared" si="156"/>
        <v>1.6038957385620547</v>
      </c>
      <c r="BG68" s="456">
        <f t="shared" si="157"/>
        <v>7.7782773109397643E-2</v>
      </c>
      <c r="BH68" s="456">
        <f t="shared" si="34"/>
        <v>4.1367065934144819E-2</v>
      </c>
      <c r="BI68">
        <f t="shared" si="35"/>
        <v>5.368827876100539E-3</v>
      </c>
      <c r="BJ68" s="144">
        <f t="shared" si="101"/>
        <v>83.151600985498177</v>
      </c>
      <c r="BK68">
        <f t="shared" si="158"/>
        <v>2.0711597297737208</v>
      </c>
      <c r="BL68" s="144">
        <f t="shared" si="102"/>
        <v>2071.1597297737208</v>
      </c>
      <c r="BM68" s="150">
        <f t="shared" si="159"/>
        <v>0.69890624999999995</v>
      </c>
      <c r="BN68" s="150">
        <f t="shared" si="160"/>
        <v>0.22364999999999999</v>
      </c>
      <c r="BO68" s="456"/>
      <c r="BQ68" s="144">
        <f t="shared" si="103"/>
        <v>922.55624999999998</v>
      </c>
      <c r="BR68" s="456">
        <f t="shared" si="39"/>
        <v>0.10663123379557427</v>
      </c>
      <c r="BS68" s="456">
        <f t="shared" si="104"/>
        <v>4.4851807599222832E-2</v>
      </c>
      <c r="BT68" s="456">
        <f t="shared" si="161"/>
        <v>6.0882730044009691E-3</v>
      </c>
      <c r="BU68" s="456">
        <f t="shared" si="41"/>
        <v>30.139086285580962</v>
      </c>
      <c r="BV68" s="456">
        <f t="shared" si="162"/>
        <v>30.721743961568766</v>
      </c>
      <c r="BW68" s="538">
        <f t="shared" si="163"/>
        <v>7.4263785740808677E-2</v>
      </c>
      <c r="BX68" s="144">
        <f t="shared" si="105"/>
        <v>30796.007747309573</v>
      </c>
      <c r="BY68" s="150">
        <f t="shared" si="106"/>
        <v>33.789723727083299</v>
      </c>
      <c r="BZ68" s="5">
        <f t="shared" si="107"/>
        <v>57.33</v>
      </c>
      <c r="CA68" s="150">
        <f t="shared" si="108"/>
        <v>0.62917223247638032</v>
      </c>
      <c r="CB68" s="5">
        <f t="shared" si="109"/>
        <v>62.917223247638034</v>
      </c>
      <c r="CC68">
        <f t="shared" si="173"/>
        <v>63</v>
      </c>
      <c r="CE68" s="59">
        <f t="shared" si="164"/>
        <v>-50</v>
      </c>
      <c r="CF68">
        <f t="shared" si="165"/>
        <v>-50</v>
      </c>
      <c r="CG68" s="150">
        <f t="shared" si="166"/>
        <v>0.56766977275315589</v>
      </c>
      <c r="CH68" s="150">
        <f t="shared" si="167"/>
        <v>0.15382552837714242</v>
      </c>
      <c r="CI68" s="147">
        <v>63</v>
      </c>
      <c r="CJ68" s="188">
        <f t="shared" si="133"/>
        <v>0.315</v>
      </c>
      <c r="CK68" s="188">
        <f t="shared" si="111"/>
        <v>0.315</v>
      </c>
      <c r="CL68" s="188">
        <f t="shared" si="48"/>
        <v>53.55</v>
      </c>
      <c r="CM68" s="188">
        <f t="shared" si="134"/>
        <v>3.7800000000000002</v>
      </c>
      <c r="CN68" s="465">
        <f t="shared" si="112"/>
        <v>12</v>
      </c>
      <c r="CO68" s="379">
        <f t="shared" si="168"/>
        <v>8.625</v>
      </c>
      <c r="CP68" s="379">
        <f t="shared" si="169"/>
        <v>20.625</v>
      </c>
      <c r="CQ68" s="379"/>
      <c r="CR68" s="188">
        <f t="shared" si="113"/>
        <v>0.4156318480642805</v>
      </c>
      <c r="CS68" s="149">
        <f t="shared" si="114"/>
        <v>155.29102015588504</v>
      </c>
      <c r="CT68" s="149">
        <f t="shared" si="51"/>
        <v>10.961719069827179</v>
      </c>
      <c r="CU68" s="188">
        <f t="shared" si="52"/>
        <v>0.91347658915226493</v>
      </c>
      <c r="CV68" s="188">
        <f t="shared" si="53"/>
        <v>12.940918346323754</v>
      </c>
      <c r="CW68" s="379">
        <f t="shared" si="54"/>
        <v>170</v>
      </c>
      <c r="CX68" s="188">
        <f t="shared" si="55"/>
        <v>22.98909490333919</v>
      </c>
      <c r="CY68" s="188">
        <f t="shared" si="56"/>
        <v>2.8736368629173987</v>
      </c>
      <c r="CZ68" s="188">
        <f t="shared" si="57"/>
        <v>3.9981034614502944</v>
      </c>
      <c r="DA68" s="172">
        <f t="shared" si="58"/>
        <v>250.90909090909091</v>
      </c>
      <c r="DB68" s="379">
        <f t="shared" si="115"/>
        <v>145.5235432069409</v>
      </c>
      <c r="DD68" s="188">
        <f t="shared" si="59"/>
        <v>13.333333333333332</v>
      </c>
      <c r="DE68" s="150">
        <f t="shared" si="60"/>
        <v>2.318840579710145</v>
      </c>
      <c r="DF68" s="150">
        <f t="shared" si="61"/>
        <v>0.18115218115218115</v>
      </c>
      <c r="DG68" s="150"/>
      <c r="DH68" s="150">
        <f t="shared" si="62"/>
        <v>2.3188405797101455</v>
      </c>
      <c r="DI68" s="314">
        <f t="shared" si="63"/>
        <v>436.29816176470581</v>
      </c>
      <c r="DJ68" s="456">
        <f t="shared" si="64"/>
        <v>0.18115218115218121</v>
      </c>
      <c r="DL68" s="150">
        <f t="shared" si="65"/>
        <v>14.778362561528931</v>
      </c>
      <c r="DM68" s="150">
        <f t="shared" si="66"/>
        <v>22.98909490333919</v>
      </c>
      <c r="DN68" s="150">
        <f t="shared" si="67"/>
        <v>8.3524159777821154</v>
      </c>
      <c r="DP68" s="314">
        <f t="shared" si="68"/>
        <v>315</v>
      </c>
      <c r="DQ68" s="144">
        <f t="shared" si="69"/>
        <v>145.5235432069409</v>
      </c>
      <c r="DS68">
        <f t="shared" si="116"/>
        <v>315</v>
      </c>
      <c r="DT68">
        <f t="shared" si="70"/>
        <v>145.5235432069409</v>
      </c>
      <c r="DV68" s="5">
        <f t="shared" si="117"/>
        <v>6.8717403243676927</v>
      </c>
      <c r="DW68" s="5">
        <f t="shared" si="71"/>
        <v>2.8736368629173987</v>
      </c>
      <c r="DX68" s="5">
        <f t="shared" si="118"/>
        <v>3.9981034614502939</v>
      </c>
      <c r="DY68" s="150">
        <f t="shared" si="119"/>
        <v>0.41818181818181815</v>
      </c>
      <c r="EA68" s="5">
        <f t="shared" si="72"/>
        <v>0.53246800695234153</v>
      </c>
      <c r="EB68" s="5">
        <f t="shared" si="73"/>
        <v>7.5432967651581722</v>
      </c>
      <c r="EC68" s="5">
        <f t="shared" si="74"/>
        <v>29.735894494536552</v>
      </c>
      <c r="ED68" s="5"/>
      <c r="EE68" s="150">
        <f t="shared" si="120"/>
        <v>8.5830930156127376</v>
      </c>
      <c r="EF68" s="150">
        <f t="shared" si="75"/>
        <v>0.47282717383260242</v>
      </c>
      <c r="EG68" s="150">
        <f t="shared" si="76"/>
        <v>0.44979423246024214</v>
      </c>
      <c r="EH68" s="150"/>
      <c r="EI68" s="456">
        <f t="shared" si="77"/>
        <v>0.25047625142984453</v>
      </c>
      <c r="EJ68" s="456">
        <f t="shared" si="78"/>
        <v>2.0975999999999999</v>
      </c>
      <c r="EK68" s="456">
        <f t="shared" si="79"/>
        <v>3.3324891394389468E-2</v>
      </c>
      <c r="EL68" s="456">
        <f t="shared" si="80"/>
        <v>4.240448043295534E-2</v>
      </c>
      <c r="EM68">
        <f t="shared" si="81"/>
        <v>5.4000000000000003E-3</v>
      </c>
      <c r="EN68" s="144">
        <f t="shared" si="121"/>
        <v>38.724891394389466</v>
      </c>
      <c r="EO68">
        <f t="shared" si="82"/>
        <v>2.6548316232481053</v>
      </c>
      <c r="EP68" s="144">
        <f t="shared" si="122"/>
        <v>2654.8316232481052</v>
      </c>
      <c r="EQ68" s="150">
        <f t="shared" si="83"/>
        <v>0.69890624999999995</v>
      </c>
      <c r="ER68" s="150">
        <f t="shared" si="170"/>
        <v>0.22364999999999999</v>
      </c>
      <c r="ES68" s="456"/>
      <c r="EU68" s="144">
        <f t="shared" si="123"/>
        <v>922.55624999999998</v>
      </c>
      <c r="EV68" s="456">
        <f t="shared" si="85"/>
        <v>0.11050422857199023</v>
      </c>
      <c r="EW68" s="456">
        <f t="shared" si="124"/>
        <v>4.4713107262905206E-2</v>
      </c>
      <c r="EX68" s="456">
        <f t="shared" si="86"/>
        <v>6.0694455466349505E-3</v>
      </c>
      <c r="EY68" s="456">
        <f t="shared" si="87"/>
        <v>32.367401730078996</v>
      </c>
      <c r="EZ68" s="456">
        <f t="shared" si="88"/>
        <v>32.993105482273471</v>
      </c>
      <c r="FA68" s="538">
        <f t="shared" si="89"/>
        <v>7.6908972040262036E-2</v>
      </c>
      <c r="FB68" s="144">
        <f t="shared" si="125"/>
        <v>33070.014454313736</v>
      </c>
      <c r="FC68" s="150">
        <f t="shared" si="126"/>
        <v>36.647402327561842</v>
      </c>
      <c r="FD68" s="5">
        <f t="shared" si="127"/>
        <v>57.33</v>
      </c>
      <c r="FE68" s="150">
        <f t="shared" si="128"/>
        <v>0.61004027117257498</v>
      </c>
      <c r="FF68" s="5">
        <f t="shared" si="129"/>
        <v>61.0040271172575</v>
      </c>
      <c r="FG68">
        <f t="shared" si="130"/>
        <v>63</v>
      </c>
      <c r="FI68" s="59">
        <f t="shared" si="90"/>
        <v>-50</v>
      </c>
      <c r="FJ68">
        <f t="shared" si="91"/>
        <v>-50</v>
      </c>
      <c r="FL68">
        <f t="shared" si="92"/>
        <v>0.56766977275315589</v>
      </c>
    </row>
    <row r="69" spans="5:168">
      <c r="E69" s="147">
        <v>64</v>
      </c>
      <c r="F69" s="188">
        <f t="shared" si="174"/>
        <v>0.32</v>
      </c>
      <c r="G69" s="188">
        <f t="shared" si="171"/>
        <v>0.32</v>
      </c>
      <c r="H69" s="188">
        <f t="shared" ref="H69:H105" si="176">F69*Vout</f>
        <v>54.4</v>
      </c>
      <c r="I69" s="188">
        <f t="shared" si="175"/>
        <v>3.84</v>
      </c>
      <c r="J69" s="465">
        <f t="shared" ref="J69:J105" si="177">Vin-(F69/CG69/Nps+G69/CH69/(Nps/Nsec1sec2))*(Rdcr_pri+RON/1000)</f>
        <v>11.929629067740194</v>
      </c>
      <c r="K69" s="379">
        <f t="shared" ref="K69:K105" si="178">MAX((S69+Vfwd2+Rdcr_sec*F69/CG69)*Nps,(Vout2+Vfwd22+Rdcr_sec2*G69/CH69)*Nps/Nsec1sec2)</f>
        <v>8.6670525127931963</v>
      </c>
      <c r="L69" s="149">
        <f t="shared" ref="L69:L105" si="179">MAX((Vout+Vfwd2+F69/CG69*Rdcr_sec)*Nps+J69, (Vout2+Vfwd22+G69/CH69*Rdcr_sec2)*Nps/Nsec1sec2+J69)</f>
        <v>20.596681580533392</v>
      </c>
      <c r="M69" s="379"/>
      <c r="N69" s="188">
        <f t="shared" ref="N69:N105" si="180">MAX((Vout+Vfwd2+F69/CG69*Rdcr_sec)*Nps/((Vout+Vfwd2+F69/CG69*Rdcr_sec)*Nps+J69), (Vout2+Vfwd22+G69/CH69*Rdcr_sec2)*Nps/Nsec1sec2/((Vout2+Vfwd22+G69/CH69*Rdcr_sec2)*Nps/Nsec1sec2+J69))</f>
        <v>0.42079849022789745</v>
      </c>
      <c r="O69" s="149">
        <f t="shared" si="172"/>
        <v>156.29942914217318</v>
      </c>
      <c r="P69" s="149">
        <f t="shared" ref="P69:P105" si="181">N69*J69*Isw_max*0.5*Efficiency*(Pout2/Pout_total)</f>
        <v>11.032900880623988</v>
      </c>
      <c r="Q69" s="188">
        <f t="shared" ref="Q69:Q105" si="182">O69/Vout</f>
        <v>0.91940840671866575</v>
      </c>
      <c r="R69" s="188">
        <f t="shared" ref="R69:R105" si="183">O69/Vout2</f>
        <v>13.024952428514432</v>
      </c>
      <c r="S69" s="379">
        <f t="shared" ref="S69:S105" si="184">MIN(Vout,O69/F69)</f>
        <v>170</v>
      </c>
      <c r="T69" s="188">
        <f t="shared" ref="T69:T105" si="185">MIN(2*(Vout*F69+Vout2*G69)/(Efficiency*J69*N69), Isw_max)</f>
        <v>23.203326375349565</v>
      </c>
      <c r="U69" s="188">
        <f t="shared" ref="U69:U105" si="186">L*T69/J69*1000000</f>
        <v>2.9175248757015533</v>
      </c>
      <c r="V69" s="188">
        <f t="shared" ref="V69:V105" si="187">L*T69/K69*1000000</f>
        <v>4.0157815487617814</v>
      </c>
      <c r="W69" s="172">
        <f t="shared" ref="W69:W105" si="188">IF(1/((350000*L)*(1/J69+1/K69))&gt;Isw_min, 350, 0.001/((Isw_min*L)*(1/J69+1/K69)))</f>
        <v>250.99849503419566</v>
      </c>
      <c r="X69" s="379">
        <f t="shared" si="95"/>
        <v>140.18744471295213</v>
      </c>
      <c r="Z69" s="188">
        <f t="shared" ref="Z69:Z105" si="189">1/((W69*1000*L)*(1/J69+1/K69))</f>
        <v>13.333333333333334</v>
      </c>
      <c r="AA69" s="150">
        <f t="shared" ref="AA69:AA105" si="190">L*Z69/K69*1000000</f>
        <v>2.3075895721733031</v>
      </c>
      <c r="AB69" s="150">
        <f t="shared" ref="AB69:AB100" si="191">0.5*AA69*Z69*Nps*W69/1000*(Pout/Pout_total)</f>
        <v>0.18033746641255941</v>
      </c>
      <c r="AC69" s="150"/>
      <c r="AD69" s="150">
        <f t="shared" ref="AD69:AD105" si="192">L*Isw_min/K69*1000000</f>
        <v>2.3075895721733031</v>
      </c>
      <c r="AE69" s="314">
        <f t="shared" ref="AE69:AE100" si="193">MAX(10, F69/(0.5*AD69/1000000*Isw_min*Nps)/1000*Pout_total/Pout)</f>
        <v>445.38453383389032</v>
      </c>
      <c r="AF69" s="456">
        <f t="shared" ref="AF69:AF105" si="194">0.5*AD69/1000000*Isw_min*Nps*W69*1000*(Pout/Pout_total)</f>
        <v>0.18033746641255941</v>
      </c>
      <c r="AH69" s="150">
        <f t="shared" ref="AH69:AH105" si="195">SQRT((H69+I69)/(0.5*L*Fsw_DCM))</f>
        <v>14.895189380020204</v>
      </c>
      <c r="AI69" s="150">
        <f t="shared" ref="AI69:AI100" si="196">MAX(IF(F69&gt;AB69,T69,AH69),Isw_min)</f>
        <v>23.203326375349565</v>
      </c>
      <c r="AJ69" s="150">
        <f t="shared" ref="AJ69:AJ100" si="197">IF(F69&gt;AF69, (AI69-Isw_min)/1.08*0.8+1.2, AE69*0.2/350+1)</f>
        <v>8.5111059570490593</v>
      </c>
      <c r="AL69" s="314">
        <f t="shared" ref="AL69:AL105" si="198">F69*1000</f>
        <v>320</v>
      </c>
      <c r="AM69" s="144">
        <f t="shared" ref="AM69:AM105" si="199">IF(F69&gt;AF69, X69, AE69)</f>
        <v>140.18744471295213</v>
      </c>
      <c r="AO69">
        <f t="shared" si="96"/>
        <v>320</v>
      </c>
      <c r="AP69">
        <f t="shared" ref="AP69:AP105" si="200">IF(H69&gt;O69, "",AM69)</f>
        <v>140.18744471295213</v>
      </c>
      <c r="AR69" s="5">
        <f t="shared" si="97"/>
        <v>7.1333064244633348</v>
      </c>
      <c r="AS69" s="5">
        <f t="shared" ref="AS69:AS105" si="201">L*AI69/J69*1000000</f>
        <v>2.9175248757015533</v>
      </c>
      <c r="AT69" s="5">
        <f t="shared" si="98"/>
        <v>4.2157815487617816</v>
      </c>
      <c r="AU69" s="150">
        <f t="shared" si="99"/>
        <v>0.40900035721107403</v>
      </c>
      <c r="AW69" s="5">
        <f t="shared" ref="AW69:AW105" si="202">F69*AS69/Vout_ripple*1000</f>
        <v>0.54918115307323356</v>
      </c>
      <c r="AX69" s="5">
        <f t="shared" ref="AX69:AX105" si="203">G69*AS69/Vout_ripple2*1000</f>
        <v>7.7800663352041424</v>
      </c>
      <c r="AY69" s="5">
        <f t="shared" ref="AY69:AY105" si="204">H69/Efficiency/J69*AT69/Vinripple1</f>
        <v>32.040464816687994</v>
      </c>
      <c r="AZ69" s="5"/>
      <c r="BA69" s="150">
        <f t="shared" si="100"/>
        <v>8.5674477620574923</v>
      </c>
      <c r="BB69" s="150">
        <f t="shared" ref="BB69:BB105" si="205">AI69*Npri_sec1*SQRT((1-AU69)/3)*(Pout/Pout_total)</f>
        <v>0.48098415352703472</v>
      </c>
      <c r="BC69" s="150">
        <f t="shared" ref="BC69:BC105" si="206">AI69*Npri_sec2*SQRT((1-AU69)/3)*(Pout2/Pout_total)</f>
        <v>0.45755385928353032</v>
      </c>
      <c r="BD69" s="150"/>
      <c r="BE69" s="456">
        <f t="shared" ref="BE69:BE105" si="207">Rdson*BA69^2</f>
        <v>0.24956394792898537</v>
      </c>
      <c r="BF69" s="456">
        <f t="shared" ref="BF69:BF105" si="208">0.5*L69*AI69*AM69*1000*Tfall</f>
        <v>1.6045828318257642</v>
      </c>
      <c r="BG69" s="456">
        <f t="shared" ref="BG69:BG105" si="209">Qg*Vdd*AM69*1000*0+Qg*J69*AM69*1000</f>
        <v>7.6595197064397366E-2</v>
      </c>
      <c r="BH69" s="456">
        <f t="shared" ref="BH69:BH105" si="210">0.5*(Coss+Csw)*L69^2*AM69*1000</f>
        <v>4.0737483828312146E-2</v>
      </c>
      <c r="BI69">
        <f t="shared" ref="BI69:BI105" si="211">J69*IQ</f>
        <v>5.3683330804830875E-3</v>
      </c>
      <c r="BJ69" s="144">
        <f t="shared" si="101"/>
        <v>81.963530144880451</v>
      </c>
      <c r="BK69">
        <f t="shared" ref="BK69:BK105" si="212">(BF69+BG69*0+BH69+BI69*0+BE69*(1+RdsonTC*(Ta-25)))/(1-BE69*RdsonTC*ThetaJA)</f>
        <v>2.0859562109323329</v>
      </c>
      <c r="BL69" s="144">
        <f t="shared" si="102"/>
        <v>2085.9562109323329</v>
      </c>
      <c r="BM69" s="150">
        <f t="shared" ref="BM69:BM105" si="213">Vfwd2*F69*(1+Diode_TC/1000*(Ta-25))</f>
        <v>0.71</v>
      </c>
      <c r="BN69" s="150">
        <f t="shared" ref="BN69:BN105" si="214">Vfwd22*G69*(1+Diode_TC/1000*(Ta-25))</f>
        <v>0.22719999999999999</v>
      </c>
      <c r="BO69" s="456"/>
      <c r="BQ69" s="144">
        <f t="shared" si="103"/>
        <v>937.19999999999993</v>
      </c>
      <c r="BR69" s="456">
        <f t="shared" ref="BR69:BR105" si="215">Rdcr_pri*BA69^2</f>
        <v>0.1101017417333759</v>
      </c>
      <c r="BS69" s="456">
        <f t="shared" ref="BS69:BS105" si="216">Rdcr_sec*BB69^2</f>
        <v>4.6269151188823625E-2</v>
      </c>
      <c r="BT69" s="456">
        <f t="shared" ref="BT69:BT105" si="217">Rdcr_sec2*BC69^2</f>
        <v>6.2806660243575792E-3</v>
      </c>
      <c r="BU69" s="456">
        <f t="shared" ref="BU69:BU105" si="218">AI69^2.5*AM69^2.5*k_core</f>
        <v>30.17299532579699</v>
      </c>
      <c r="BV69" s="456">
        <f t="shared" ref="BV69:BV100" si="219">(BU69+(BR69+BS69+BT69)*(1+Ltc*(Ta-25)))/(1-(BR69+BS69+BT69)*Ltc*ThetaCa)</f>
        <v>30.775133129312358</v>
      </c>
      <c r="BW69" s="538">
        <f t="shared" ref="BW69:BW105" si="220">0.5*Lleak*0.000000001*AI69^2*AM69*1000</f>
        <v>7.5476128858644714E-2</v>
      </c>
      <c r="BX69" s="144">
        <f t="shared" si="105"/>
        <v>30850.609258171</v>
      </c>
      <c r="BY69" s="150">
        <f t="shared" si="106"/>
        <v>33.87376546910334</v>
      </c>
      <c r="BZ69" s="5">
        <f t="shared" si="107"/>
        <v>58.239999999999995</v>
      </c>
      <c r="CA69" s="150">
        <f t="shared" si="108"/>
        <v>0.63226163541794167</v>
      </c>
      <c r="CB69" s="5">
        <f t="shared" si="109"/>
        <v>63.226163541794165</v>
      </c>
      <c r="CC69">
        <f t="shared" si="173"/>
        <v>64</v>
      </c>
      <c r="CE69" s="59">
        <f t="shared" ref="CE69:CE105" si="221">IF(ABS(F69-Ioutmax_Vinnom)&lt;Iout/200, AM69, -50)</f>
        <v>-50</v>
      </c>
      <c r="CF69">
        <f t="shared" ref="CF69:CF105" si="222">IF(ABS(F69-Ioutmax_Vinnom)&lt;Iout/200, (O69+P69)*CA69, -50)</f>
        <v>-50</v>
      </c>
      <c r="CG69" s="150">
        <f t="shared" ref="CG69:CG105" si="223">MIN(SQRT(2*DT69*1000*Ls1_*(CL69+CJ69*Vfwd1))/(CW69+Vfwd1), 1-DY69)</f>
        <v>0.56766977275315589</v>
      </c>
      <c r="CH69" s="150">
        <f t="shared" ref="CH69:CH105" si="224">MIN(SQRT(2*DT69*1000*Ls2_*(CM69+CK69*Vfwd22))/(Vout2+Vfwd22), 1-DY69)</f>
        <v>0.15382552837714245</v>
      </c>
      <c r="CI69" s="147">
        <v>64</v>
      </c>
      <c r="CJ69" s="188">
        <f t="shared" si="133"/>
        <v>0.32</v>
      </c>
      <c r="CK69" s="188">
        <f t="shared" si="111"/>
        <v>0.32</v>
      </c>
      <c r="CL69" s="188">
        <f t="shared" ref="CL69:CL105" si="225">CJ69*Vout</f>
        <v>54.4</v>
      </c>
      <c r="CM69" s="188">
        <f t="shared" si="134"/>
        <v>3.84</v>
      </c>
      <c r="CN69" s="465">
        <f t="shared" si="112"/>
        <v>12</v>
      </c>
      <c r="CO69" s="379">
        <f t="shared" ref="CO69:CO105" si="226">(CW69+Vfwd2)*Nps</f>
        <v>8.625</v>
      </c>
      <c r="CP69" s="379">
        <f t="shared" ref="CP69:CP105" si="227">(Vout+Vfwd2)*Nps+CN69</f>
        <v>20.625</v>
      </c>
      <c r="CQ69" s="379"/>
      <c r="CR69" s="188">
        <f t="shared" ref="CR69:CR105" si="228">(Vout+Vfwd1)*Nps/((Vout+Vfwd1)*Nps+CN69)</f>
        <v>0.4156318480642805</v>
      </c>
      <c r="CS69" s="149">
        <f t="shared" si="114"/>
        <v>155.29102015588504</v>
      </c>
      <c r="CT69" s="149">
        <f t="shared" ref="CT69:CT105" si="229">CR69*CN69*Isw_max*0.5*Efficiency*(Pout2/Pout_total)</f>
        <v>10.961719069827179</v>
      </c>
      <c r="CU69" s="188">
        <f t="shared" ref="CU69:CU105" si="230">CS69/Vout</f>
        <v>0.91347658915226493</v>
      </c>
      <c r="CV69" s="188">
        <f t="shared" ref="CV69:CV105" si="231">CS69/Vout2</f>
        <v>12.940918346323754</v>
      </c>
      <c r="CW69" s="379">
        <f t="shared" ref="CW69:CW105" si="232">MIN(Vout,CS69/CJ69)</f>
        <v>170</v>
      </c>
      <c r="CX69" s="188">
        <f t="shared" ref="CX69:CX105" si="233">MIN(2*(Vout*CJ69+Vout2*CK69)/(Efficiency*CN69*CR69), Isw_max)</f>
        <v>23.354001171646161</v>
      </c>
      <c r="CY69" s="188">
        <f t="shared" ref="CY69:CY105" si="234">L*CX69/CN69*1000000</f>
        <v>2.9192501464557701</v>
      </c>
      <c r="CZ69" s="188">
        <f t="shared" ref="CZ69:CZ105" si="235">L*CX69/CO69*1000000</f>
        <v>4.0615654211558541</v>
      </c>
      <c r="DA69" s="172">
        <f t="shared" ref="DA69:DA105" si="236">IF(1/((350000*L)*(1/CN69+1/CO69))&gt;Isw_min, 350, 0.001/((Isw_min*L)*(1/CN69+1/CO69)))</f>
        <v>250.90909090909091</v>
      </c>
      <c r="DB69" s="379">
        <f t="shared" si="115"/>
        <v>143.24973784433246</v>
      </c>
      <c r="DD69" s="188">
        <f t="shared" ref="DD69:DD105" si="237">1/((DA69*1000*L)*(1/CN69+1/CO69))</f>
        <v>13.333333333333332</v>
      </c>
      <c r="DE69" s="150">
        <f t="shared" ref="DE69:DE105" si="238">L*DD69/CO69*1000000</f>
        <v>2.318840579710145</v>
      </c>
      <c r="DF69" s="150">
        <f t="shared" ref="DF69:DF105" si="239">0.5*DE69*DD69*Nps*DA69/1000*(Pout/Pout_total)</f>
        <v>0.18115218115218115</v>
      </c>
      <c r="DG69" s="150"/>
      <c r="DH69" s="150">
        <f t="shared" ref="DH69:DH105" si="240">L*Isw_min/CO69*1000000</f>
        <v>2.3188405797101455</v>
      </c>
      <c r="DI69" s="314">
        <f t="shared" ref="DI69:DI105" si="241">MAX(10, CJ69/(0.5*DH69/1000000*Isw_min*Nps)/1000*Pout_total/Pout)</f>
        <v>443.22352941176462</v>
      </c>
      <c r="DJ69" s="456">
        <f t="shared" ref="DJ69:DJ105" si="242">0.5*DH69/1000000*Isw_min*Nps*DA69*1000*(Pout/Pout_total)</f>
        <v>0.18115218115218121</v>
      </c>
      <c r="DL69" s="150">
        <f t="shared" ref="DL69:DL105" si="243">SQRT((CL69+CM69)/(0.5*L*Fsw_DCM))</f>
        <v>14.895189380020204</v>
      </c>
      <c r="DM69" s="150">
        <f t="shared" ref="DM69:DM105" si="244">MAX(IF(CJ69&gt;DF69,CX69,DL69),Isw_min)</f>
        <v>23.354001171646161</v>
      </c>
      <c r="DN69" s="150">
        <f t="shared" ref="DN69:DN105" si="245">IF(CJ69&gt;DJ69, (DM69-Isw_min)/1.08*0.8+1.2, DI69*0.2/350+1)</f>
        <v>8.6227169172687592</v>
      </c>
      <c r="DP69" s="314">
        <f t="shared" ref="DP69:DP105" si="246">CJ69*1000</f>
        <v>320</v>
      </c>
      <c r="DQ69" s="144">
        <f t="shared" ref="DQ69:DQ105" si="247">IF(CJ69&gt;DJ69, DB69, DI69)</f>
        <v>143.24973784433246</v>
      </c>
      <c r="DS69">
        <f t="shared" si="116"/>
        <v>320</v>
      </c>
      <c r="DT69">
        <f t="shared" ref="DT69:DT90" si="248">IF(CL69&gt;CS69, "",DQ69)</f>
        <v>143.24973784433246</v>
      </c>
      <c r="DV69" s="5">
        <f t="shared" si="117"/>
        <v>6.9808155676116241</v>
      </c>
      <c r="DW69" s="5">
        <f t="shared" ref="DW69:DW105" si="249">L*DM69/CN69*1000000</f>
        <v>2.9192501464557701</v>
      </c>
      <c r="DX69" s="5">
        <f t="shared" si="118"/>
        <v>4.0615654211558541</v>
      </c>
      <c r="DY69" s="150">
        <f t="shared" si="119"/>
        <v>0.41818181818181815</v>
      </c>
      <c r="EA69" s="5">
        <f t="shared" ref="EA69:EA105" si="250">CJ69*DW69/Vout_ripple*1000</f>
        <v>0.54950590992108617</v>
      </c>
      <c r="EB69" s="5">
        <f t="shared" ref="EB69:EB105" si="251">CK69*DW69/Vout_ripple2*1000</f>
        <v>7.784667057215386</v>
      </c>
      <c r="EC69" s="5">
        <f t="shared" ref="EC69:EC105" si="252">CL69/Efficiency/CN69*DX69/Vinripple1</f>
        <v>30.687383182066448</v>
      </c>
      <c r="ED69" s="5"/>
      <c r="EE69" s="150">
        <f t="shared" si="120"/>
        <v>8.7193325872891307</v>
      </c>
      <c r="EF69" s="150">
        <f t="shared" ref="EF69:EF105" si="253">DM69*Npri_sec1*SQRT((1-DY69)/3)*(Pout/Pout_total)</f>
        <v>0.48033236706804056</v>
      </c>
      <c r="EG69" s="150">
        <f t="shared" ref="EG69:EG105" si="254">DM69*Npri_sec2*SQRT((1-DY69)/3)*(Pout2/Pout_total)</f>
        <v>0.45693382345167455</v>
      </c>
      <c r="EH69" s="150"/>
      <c r="EI69" s="456">
        <f t="shared" ref="EI69:EI105" si="255">Rdson*EE69^2</f>
        <v>0.25849098661039138</v>
      </c>
      <c r="EJ69" s="456">
        <f t="shared" ref="EJ69:EJ105" si="256">0.5*CP69*DM69*DQ69*1000*Trise</f>
        <v>2.0975999999999999</v>
      </c>
      <c r="EK69" s="456">
        <f t="shared" ref="EK69:EK105" si="257">Qg*Vdd*DQ69*1000</f>
        <v>3.2804189966352128E-2</v>
      </c>
      <c r="EL69" s="456">
        <f t="shared" ref="EL69:EL105" si="258">0.5*(Coss+Csw)*CP69^2*DQ69*1000</f>
        <v>4.1741910426190416E-2</v>
      </c>
      <c r="EM69">
        <f t="shared" ref="EM69:EM105" si="259">CN69*IQ</f>
        <v>5.4000000000000003E-3</v>
      </c>
      <c r="EN69" s="144">
        <f t="shared" si="121"/>
        <v>38.204189966352132</v>
      </c>
      <c r="EO69">
        <f t="shared" ref="EO69:EO105" si="260">(EJ69+EK69+EL69+EM69+EI69*(1+RdsonTC*(Ta-25)))/(1-EI69*RdsonTC*ThetaJA)</f>
        <v>2.6698021136913455</v>
      </c>
      <c r="EP69" s="144">
        <f t="shared" si="122"/>
        <v>2669.8021136913453</v>
      </c>
      <c r="EQ69" s="150">
        <f t="shared" ref="EQ69:EQ105" si="261">Vfwd2*CJ69*(1+Diode_TC/1000*(Ta-25))</f>
        <v>0.71</v>
      </c>
      <c r="ER69" s="150">
        <f t="shared" ref="ER69:ER105" si="262">Vfwd22*CK69*(1+Diode_TC/1000*(Ta-25))</f>
        <v>0.22719999999999999</v>
      </c>
      <c r="ES69" s="456"/>
      <c r="EU69" s="144">
        <f t="shared" si="123"/>
        <v>937.19999999999993</v>
      </c>
      <c r="EV69" s="456">
        <f t="shared" ref="EV69:EV105" si="263">Rdcr_pri*EE69^2</f>
        <v>0.11404014115164325</v>
      </c>
      <c r="EW69" s="456">
        <f t="shared" si="124"/>
        <v>4.6143836570637371E-2</v>
      </c>
      <c r="EX69" s="456">
        <f t="shared" ref="EX69:EX105" si="264">Rdcr_sec2*EG69^2</f>
        <v>6.2636555704249823E-3</v>
      </c>
      <c r="EY69" s="456">
        <f t="shared" ref="EY69:EY105" si="265">DM69^2.5*DQ69^2.5*k_core</f>
        <v>32.367401730079003</v>
      </c>
      <c r="EZ69" s="456">
        <f t="shared" ref="EZ69:EZ105" si="266">(EY69+(EV69+EW69+EX69)*(1+Ltc*(Ta-25)))/(1-(EV69+EW69+EX69)*Ltc*ThetaCa)</f>
        <v>33.013396938349231</v>
      </c>
      <c r="FA69" s="538">
        <f t="shared" ref="FA69:FA105" si="267">0.5*Lleak*0.000000001*DM69^2*DQ69*1000</f>
        <v>7.8129749374234433E-2</v>
      </c>
      <c r="FB69" s="144">
        <f t="shared" si="125"/>
        <v>33091.526687723468</v>
      </c>
      <c r="FC69" s="150">
        <f t="shared" si="126"/>
        <v>36.69852880141481</v>
      </c>
      <c r="FD69" s="5">
        <f t="shared" si="127"/>
        <v>58.239999999999995</v>
      </c>
      <c r="FE69" s="150">
        <f t="shared" si="128"/>
        <v>0.61344957347950901</v>
      </c>
      <c r="FF69" s="5">
        <f t="shared" si="129"/>
        <v>61.344957347950903</v>
      </c>
      <c r="FG69">
        <f t="shared" si="130"/>
        <v>64</v>
      </c>
      <c r="FI69" s="59">
        <f t="shared" ref="FI69:FI105" si="268">IF(ABS(CJ69-Ioutmax_Vinnom)&lt;Iout/200, DQ69, -50)</f>
        <v>-50</v>
      </c>
      <c r="FJ69">
        <f t="shared" ref="FJ69:FJ105" si="269">IF(ABS(CJ69-Ioutmax_Vinnom)&lt;Iout/200, (CS69+CT69)*FE69, -50)</f>
        <v>-50</v>
      </c>
      <c r="FL69">
        <f t="shared" ref="FL69:FL105" si="270">MIN(SQRT(2*DQ69*1000*L*CJ69*(Vout+Vfwd1))/(Nps*(Vout+Vfwd1)),1-DY69)</f>
        <v>0.56766977275315589</v>
      </c>
    </row>
    <row r="70" spans="5:168">
      <c r="E70" s="147">
        <v>65</v>
      </c>
      <c r="F70" s="188">
        <f t="shared" si="174"/>
        <v>0.32500000000000001</v>
      </c>
      <c r="G70" s="188">
        <f t="shared" ref="G70:G105" si="271">IF(PLOT_TYPE=1, E70/100*Iout2, min_I*EXP(Q70*rr/100))</f>
        <v>0.32500000000000001</v>
      </c>
      <c r="H70" s="188">
        <f t="shared" si="176"/>
        <v>55.25</v>
      </c>
      <c r="I70" s="188">
        <f t="shared" si="175"/>
        <v>3.9000000000000004</v>
      </c>
      <c r="J70" s="465">
        <f t="shared" si="177"/>
        <v>11.928529521923636</v>
      </c>
      <c r="K70" s="379">
        <f t="shared" si="178"/>
        <v>8.6677095833055908</v>
      </c>
      <c r="L70" s="149">
        <f t="shared" si="179"/>
        <v>20.596239105229227</v>
      </c>
      <c r="M70" s="379"/>
      <c r="N70" s="188">
        <f t="shared" si="180"/>
        <v>0.42083943282173908</v>
      </c>
      <c r="O70" s="149">
        <f t="shared" ref="O70:O101" si="272">N70*J70*Isw_max*0.5*Efficiency*Pout/(Pout+Pout2)</f>
        <v>156.30022925432809</v>
      </c>
      <c r="P70" s="149">
        <f t="shared" si="181"/>
        <v>11.032957359129041</v>
      </c>
      <c r="Q70" s="188">
        <f t="shared" si="182"/>
        <v>0.91941311326075348</v>
      </c>
      <c r="R70" s="188">
        <f t="shared" si="183"/>
        <v>13.02501910452734</v>
      </c>
      <c r="S70" s="379">
        <f t="shared" si="184"/>
        <v>170</v>
      </c>
      <c r="T70" s="188">
        <f t="shared" si="185"/>
        <v>23.5657577145322</v>
      </c>
      <c r="U70" s="188">
        <f t="shared" si="186"/>
        <v>2.9633691652295009</v>
      </c>
      <c r="V70" s="188">
        <f t="shared" si="187"/>
        <v>4.0781980789805656</v>
      </c>
      <c r="W70" s="172">
        <f t="shared" si="188"/>
        <v>250.99977992018569</v>
      </c>
      <c r="X70" s="379">
        <f t="shared" ref="X70:X105" si="273">MIN(1/(U70+V70+0.2)*1000, 350)</f>
        <v>138.09165423403914</v>
      </c>
      <c r="Z70" s="188">
        <f t="shared" si="189"/>
        <v>13.333333333333334</v>
      </c>
      <c r="AA70" s="150">
        <f t="shared" si="190"/>
        <v>2.3074146414089514</v>
      </c>
      <c r="AB70" s="150">
        <f t="shared" si="191"/>
        <v>0.18032471871850617</v>
      </c>
      <c r="AC70" s="150"/>
      <c r="AD70" s="150">
        <f t="shared" si="192"/>
        <v>2.3074146414089514</v>
      </c>
      <c r="AE70" s="314">
        <f t="shared" si="193"/>
        <v>452.37796045811086</v>
      </c>
      <c r="AF70" s="456">
        <f t="shared" si="194"/>
        <v>0.18032471871850619</v>
      </c>
      <c r="AH70" s="150">
        <f t="shared" si="195"/>
        <v>15.01110699893027</v>
      </c>
      <c r="AI70" s="150">
        <f t="shared" si="196"/>
        <v>23.5657577145322</v>
      </c>
      <c r="AJ70" s="150">
        <f t="shared" si="197"/>
        <v>8.7795736157028621</v>
      </c>
      <c r="AL70" s="314">
        <f t="shared" si="198"/>
        <v>325</v>
      </c>
      <c r="AM70" s="144">
        <f t="shared" si="199"/>
        <v>138.09165423403914</v>
      </c>
      <c r="AO70">
        <f t="shared" ref="AO70:AO105" si="274">IF(H70&gt;O70, "",AL70)</f>
        <v>325</v>
      </c>
      <c r="AP70">
        <f t="shared" si="200"/>
        <v>138.09165423403914</v>
      </c>
      <c r="AR70" s="5">
        <f t="shared" ref="AR70:AR133" si="275">1/AM70*1000</f>
        <v>7.2415672442100654</v>
      </c>
      <c r="AS70" s="5">
        <f t="shared" si="201"/>
        <v>2.9633691652295009</v>
      </c>
      <c r="AT70" s="5">
        <f t="shared" ref="AT70:AT105" si="276">AR70-AS70</f>
        <v>4.278198078980564</v>
      </c>
      <c r="AU70" s="150">
        <f t="shared" ref="AU70:AU105" si="277">AS70/AR70</f>
        <v>0.40921655013268543</v>
      </c>
      <c r="AW70" s="5">
        <f t="shared" si="202"/>
        <v>0.56652645805858115</v>
      </c>
      <c r="AX70" s="5">
        <f t="shared" si="203"/>
        <v>8.0257914891632325</v>
      </c>
      <c r="AY70" s="5">
        <f t="shared" si="204"/>
        <v>33.025926544319248</v>
      </c>
      <c r="AZ70" s="5"/>
      <c r="BA70" s="150">
        <f t="shared" ref="BA70:BA105" si="278">AI70*SQRT(AU70/3)</f>
        <v>8.7035689827731755</v>
      </c>
      <c r="BB70" s="150">
        <f t="shared" si="205"/>
        <v>0.48840767381144551</v>
      </c>
      <c r="BC70" s="150">
        <f t="shared" si="206"/>
        <v>0.46461575587761578</v>
      </c>
      <c r="BD70" s="150"/>
      <c r="BE70" s="456">
        <f t="shared" si="207"/>
        <v>0.2575571843288304</v>
      </c>
      <c r="BF70" s="456">
        <f t="shared" si="208"/>
        <v>1.6052485384694584</v>
      </c>
      <c r="BG70" s="456">
        <f t="shared" si="209"/>
        <v>7.5443151141199927E-2</v>
      </c>
      <c r="BH70" s="456">
        <f t="shared" si="210"/>
        <v>4.0126737751275614E-2</v>
      </c>
      <c r="BI70">
        <f t="shared" si="211"/>
        <v>5.3678382848656361E-3</v>
      </c>
      <c r="BJ70" s="144">
        <f t="shared" ref="BJ70:BJ105" si="279">(BG70+BI70)*1000</f>
        <v>80.810989426065561</v>
      </c>
      <c r="BK70">
        <f t="shared" si="212"/>
        <v>2.1010477507321412</v>
      </c>
      <c r="BL70" s="144">
        <f t="shared" ref="BL70:BL105" si="280">BK70*1000</f>
        <v>2101.0477507321411</v>
      </c>
      <c r="BM70" s="150">
        <f t="shared" si="213"/>
        <v>0.72109374999999998</v>
      </c>
      <c r="BN70" s="150">
        <f t="shared" si="214"/>
        <v>0.23074999999999998</v>
      </c>
      <c r="BO70" s="456"/>
      <c r="BQ70" s="144">
        <f t="shared" ref="BQ70:BQ105" si="281">SUM(BM70:BP70)*1000</f>
        <v>951.84375</v>
      </c>
      <c r="BR70" s="456">
        <f t="shared" si="215"/>
        <v>0.11362816955683694</v>
      </c>
      <c r="BS70" s="456">
        <f t="shared" si="216"/>
        <v>4.7708411167581476E-2</v>
      </c>
      <c r="BT70" s="456">
        <f t="shared" si="217"/>
        <v>6.4760340182918475E-3</v>
      </c>
      <c r="BU70" s="456">
        <f t="shared" si="218"/>
        <v>30.205922615662942</v>
      </c>
      <c r="BV70" s="456">
        <f t="shared" si="219"/>
        <v>30.827874759573085</v>
      </c>
      <c r="BW70" s="538">
        <f t="shared" si="220"/>
        <v>7.6688500973881774E-2</v>
      </c>
      <c r="BX70" s="144">
        <f t="shared" ref="BX70:BX105" si="282">(BV70+BW70)*1000</f>
        <v>30904.563260546965</v>
      </c>
      <c r="BY70" s="150">
        <f t="shared" ref="BY70:BY104" si="283">SUM(BK70,BM70:BP70,BV70:BW70)</f>
        <v>33.957454761279109</v>
      </c>
      <c r="BZ70" s="5">
        <f t="shared" ref="BZ70:BZ105" si="284">MIN(H70+I70,O70+P70)</f>
        <v>59.15</v>
      </c>
      <c r="CA70" s="150">
        <f t="shared" ref="CA70:CA105" si="285">BZ70/(BZ70+BY70)</f>
        <v>0.63528747672950991</v>
      </c>
      <c r="CB70" s="5">
        <f t="shared" ref="CB70:CB105" si="286">CA70*100</f>
        <v>63.528747672950992</v>
      </c>
      <c r="CC70">
        <f t="shared" ref="CC70:CC105" si="287">F70/Iout*100</f>
        <v>65</v>
      </c>
      <c r="CE70" s="59">
        <f t="shared" si="221"/>
        <v>-50</v>
      </c>
      <c r="CF70">
        <f t="shared" si="222"/>
        <v>-50</v>
      </c>
      <c r="CG70" s="150">
        <f t="shared" si="223"/>
        <v>0.56766977275315589</v>
      </c>
      <c r="CH70" s="150">
        <f t="shared" si="224"/>
        <v>0.15382552837714245</v>
      </c>
      <c r="CI70" s="147">
        <v>65</v>
      </c>
      <c r="CJ70" s="188">
        <f t="shared" si="133"/>
        <v>0.32500000000000001</v>
      </c>
      <c r="CK70" s="188">
        <f t="shared" ref="CK70:CK105" si="288">IF(PLOT_TYPE=1, CI70/100*Iout2, min_I*EXP(CU70*rr/100))</f>
        <v>0.32500000000000001</v>
      </c>
      <c r="CL70" s="188">
        <f t="shared" si="225"/>
        <v>55.25</v>
      </c>
      <c r="CM70" s="188">
        <f t="shared" si="134"/>
        <v>3.9000000000000004</v>
      </c>
      <c r="CN70" s="465">
        <f t="shared" ref="CN70:CN105" si="289">Vin</f>
        <v>12</v>
      </c>
      <c r="CO70" s="379">
        <f t="shared" si="226"/>
        <v>8.625</v>
      </c>
      <c r="CP70" s="379">
        <f t="shared" si="227"/>
        <v>20.625</v>
      </c>
      <c r="CQ70" s="379"/>
      <c r="CR70" s="188">
        <f t="shared" si="228"/>
        <v>0.4156318480642805</v>
      </c>
      <c r="CS70" s="149">
        <f t="shared" ref="CS70:CS105" si="290">CR70*CN70*Isw_max*0.5*Efficiency*Pout/(Pout+Pout2)</f>
        <v>155.29102015588504</v>
      </c>
      <c r="CT70" s="149">
        <f t="shared" si="229"/>
        <v>10.961719069827179</v>
      </c>
      <c r="CU70" s="188">
        <f t="shared" si="230"/>
        <v>0.91347658915226493</v>
      </c>
      <c r="CV70" s="188">
        <f t="shared" si="231"/>
        <v>12.940918346323754</v>
      </c>
      <c r="CW70" s="379">
        <f t="shared" si="232"/>
        <v>170</v>
      </c>
      <c r="CX70" s="188">
        <f t="shared" si="233"/>
        <v>23.718907439953131</v>
      </c>
      <c r="CY70" s="188">
        <f t="shared" si="234"/>
        <v>2.9648634299941414</v>
      </c>
      <c r="CZ70" s="188">
        <f t="shared" si="235"/>
        <v>4.1250273808614137</v>
      </c>
      <c r="DA70" s="172">
        <f t="shared" si="236"/>
        <v>250.90909090909091</v>
      </c>
      <c r="DB70" s="379">
        <f t="shared" ref="DB70:DB105" si="291">MIN(1/(CY70+CZ70)*1000, 350)</f>
        <v>141.04589572365043</v>
      </c>
      <c r="DD70" s="188">
        <f t="shared" si="237"/>
        <v>13.333333333333332</v>
      </c>
      <c r="DE70" s="150">
        <f t="shared" si="238"/>
        <v>2.318840579710145</v>
      </c>
      <c r="DF70" s="150">
        <f t="shared" si="239"/>
        <v>0.18115218115218115</v>
      </c>
      <c r="DG70" s="150"/>
      <c r="DH70" s="150">
        <f t="shared" si="240"/>
        <v>2.3188405797101455</v>
      </c>
      <c r="DI70" s="314">
        <f t="shared" si="241"/>
        <v>450.14889705882342</v>
      </c>
      <c r="DJ70" s="456">
        <f t="shared" si="242"/>
        <v>0.18115218115218121</v>
      </c>
      <c r="DL70" s="150">
        <f t="shared" si="243"/>
        <v>15.01110699893027</v>
      </c>
      <c r="DM70" s="150">
        <f t="shared" si="244"/>
        <v>23.718907439953131</v>
      </c>
      <c r="DN70" s="150">
        <f t="shared" si="245"/>
        <v>8.8930178567554048</v>
      </c>
      <c r="DP70" s="314">
        <f t="shared" si="246"/>
        <v>325</v>
      </c>
      <c r="DQ70" s="144">
        <f t="shared" si="247"/>
        <v>141.04589572365043</v>
      </c>
      <c r="DS70">
        <f t="shared" ref="DS70:DS90" si="292">IF(CL70&gt;CS70, "",DP70)</f>
        <v>325</v>
      </c>
      <c r="DT70">
        <f t="shared" si="248"/>
        <v>141.04589572365043</v>
      </c>
      <c r="DV70" s="5">
        <f t="shared" ref="DV70:DV105" si="293">1/DQ70*1000</f>
        <v>7.0898908108555556</v>
      </c>
      <c r="DW70" s="5">
        <f t="shared" si="249"/>
        <v>2.9648634299941414</v>
      </c>
      <c r="DX70" s="5">
        <f t="shared" ref="DX70:DX105" si="294">DV70-DW70</f>
        <v>4.1250273808614146</v>
      </c>
      <c r="DY70" s="150">
        <f t="shared" ref="DY70:DY105" si="295">DW70/DV70</f>
        <v>0.41818181818181815</v>
      </c>
      <c r="EA70" s="5">
        <f t="shared" si="250"/>
        <v>0.5668121263224094</v>
      </c>
      <c r="EB70" s="5">
        <f t="shared" si="251"/>
        <v>8.0298384562341329</v>
      </c>
      <c r="EC70" s="5">
        <f t="shared" si="252"/>
        <v>31.653855943415717</v>
      </c>
      <c r="ED70" s="5"/>
      <c r="EE70" s="150">
        <f t="shared" ref="EE70:EE105" si="296">DM70*SQRT(DY70/3)</f>
        <v>8.8555721589655221</v>
      </c>
      <c r="EF70" s="150">
        <f t="shared" si="253"/>
        <v>0.48783756030347869</v>
      </c>
      <c r="EG70" s="150">
        <f t="shared" si="254"/>
        <v>0.46407341444310701</v>
      </c>
      <c r="EH70" s="150"/>
      <c r="EI70" s="456">
        <f t="shared" si="255"/>
        <v>0.2666319380929939</v>
      </c>
      <c r="EJ70" s="456">
        <f t="shared" si="256"/>
        <v>2.0976000000000004</v>
      </c>
      <c r="EK70" s="456">
        <f t="shared" si="257"/>
        <v>3.2299510120715948E-2</v>
      </c>
      <c r="EL70" s="456">
        <f t="shared" si="258"/>
        <v>4.1099727188864413E-2</v>
      </c>
      <c r="EM70">
        <f t="shared" si="259"/>
        <v>5.4000000000000003E-3</v>
      </c>
      <c r="EN70" s="144">
        <f t="shared" ref="EN70:EN105" si="297">(EK70+EM70)*1000</f>
        <v>37.699510120715949</v>
      </c>
      <c r="EO70">
        <f t="shared" si="260"/>
        <v>2.6851294438819924</v>
      </c>
      <c r="EP70" s="144">
        <f t="shared" ref="EP70:EP105" si="298">EO70*1000</f>
        <v>2685.1294438819923</v>
      </c>
      <c r="EQ70" s="150">
        <f t="shared" si="261"/>
        <v>0.72109374999999998</v>
      </c>
      <c r="ER70" s="150">
        <f t="shared" si="262"/>
        <v>0.23074999999999998</v>
      </c>
      <c r="ES70" s="456"/>
      <c r="EU70" s="144">
        <f t="shared" ref="EU70:EU105" si="299">SUM(EQ70:ET70)*1000</f>
        <v>951.84375</v>
      </c>
      <c r="EV70" s="456">
        <f t="shared" si="263"/>
        <v>0.11763173739396791</v>
      </c>
      <c r="EW70" s="456">
        <f t="shared" ref="EW70:EW105" si="300">Rdcr_sec*EF70^2</f>
        <v>4.7597097048570042E-2</v>
      </c>
      <c r="EX70" s="456">
        <f t="shared" si="264"/>
        <v>6.4609240197865125E-3</v>
      </c>
      <c r="EY70" s="456">
        <f t="shared" si="265"/>
        <v>32.367401730078967</v>
      </c>
      <c r="EZ70" s="456">
        <f t="shared" si="266"/>
        <v>33.034025337064968</v>
      </c>
      <c r="FA70" s="538">
        <f t="shared" si="267"/>
        <v>7.9350526708206859E-2</v>
      </c>
      <c r="FB70" s="144">
        <f t="shared" ref="FB70:FB105" si="301">(EZ70+FA70)*1000</f>
        <v>33113.375863773173</v>
      </c>
      <c r="FC70" s="150">
        <f t="shared" ref="FC70:FC105" si="302">SUM(EO70,EQ70:ET70,EZ70:FA70)</f>
        <v>36.750349057655164</v>
      </c>
      <c r="FD70" s="5">
        <f t="shared" ref="FD70:FD105" si="303">MIN(CL70+CM70,CS70+CT70)</f>
        <v>59.15</v>
      </c>
      <c r="FE70" s="150">
        <f t="shared" ref="FE70:FE105" si="304">FD70/(FD70+FC70)</f>
        <v>0.61678607618455172</v>
      </c>
      <c r="FF70" s="5">
        <f t="shared" ref="FF70:FF105" si="305">FE70*100</f>
        <v>61.678607618455175</v>
      </c>
      <c r="FG70">
        <f t="shared" ref="FG70:FG105" si="306">CJ70/Iout*100</f>
        <v>65</v>
      </c>
      <c r="FI70" s="59">
        <f t="shared" si="268"/>
        <v>-50</v>
      </c>
      <c r="FJ70">
        <f t="shared" si="269"/>
        <v>-50</v>
      </c>
      <c r="FL70">
        <f t="shared" si="270"/>
        <v>0.56766977275315589</v>
      </c>
    </row>
    <row r="71" spans="5:168">
      <c r="E71" s="147">
        <v>66</v>
      </c>
      <c r="F71" s="188">
        <f t="shared" si="174"/>
        <v>0.33</v>
      </c>
      <c r="G71" s="188">
        <f t="shared" si="271"/>
        <v>0.33</v>
      </c>
      <c r="H71" s="188">
        <f t="shared" si="176"/>
        <v>56.1</v>
      </c>
      <c r="I71" s="188">
        <f t="shared" si="175"/>
        <v>3.96</v>
      </c>
      <c r="J71" s="465">
        <f t="shared" si="177"/>
        <v>11.927429976107076</v>
      </c>
      <c r="K71" s="379">
        <f t="shared" si="178"/>
        <v>8.6683666538179853</v>
      </c>
      <c r="L71" s="149">
        <f t="shared" si="179"/>
        <v>20.595796629925061</v>
      </c>
      <c r="M71" s="379"/>
      <c r="N71" s="188">
        <f t="shared" si="180"/>
        <v>0.42088037717478305</v>
      </c>
      <c r="O71" s="149">
        <f t="shared" si="272"/>
        <v>156.30102721645775</v>
      </c>
      <c r="P71" s="149">
        <f t="shared" si="181"/>
        <v>11.033013685867605</v>
      </c>
      <c r="Q71" s="188">
        <f t="shared" si="182"/>
        <v>0.91941780715563381</v>
      </c>
      <c r="R71" s="188">
        <f t="shared" si="183"/>
        <v>13.02508560137148</v>
      </c>
      <c r="S71" s="379">
        <f t="shared" si="184"/>
        <v>170</v>
      </c>
      <c r="T71" s="188">
        <f t="shared" si="185"/>
        <v>23.928185672257669</v>
      </c>
      <c r="U71" s="188">
        <f t="shared" si="186"/>
        <v>3.0092214819358074</v>
      </c>
      <c r="V71" s="188">
        <f t="shared" si="187"/>
        <v>4.1406045615961267</v>
      </c>
      <c r="W71" s="172">
        <f t="shared" si="188"/>
        <v>251.00106135348798</v>
      </c>
      <c r="X71" s="379">
        <f t="shared" si="273"/>
        <v>136.05764191929816</v>
      </c>
      <c r="Z71" s="188">
        <f t="shared" si="189"/>
        <v>13.333333333333332</v>
      </c>
      <c r="AA71" s="150">
        <f t="shared" si="190"/>
        <v>2.3072397371644393</v>
      </c>
      <c r="AB71" s="150">
        <f t="shared" si="191"/>
        <v>0.18031197047671588</v>
      </c>
      <c r="AC71" s="150"/>
      <c r="AD71" s="150">
        <f t="shared" si="192"/>
        <v>2.3072397371644398</v>
      </c>
      <c r="AE71" s="314">
        <f t="shared" si="193"/>
        <v>459.37244226027173</v>
      </c>
      <c r="AF71" s="456">
        <f t="shared" si="194"/>
        <v>0.18031197047671596</v>
      </c>
      <c r="AH71" s="150">
        <f t="shared" si="195"/>
        <v>15.126136320951231</v>
      </c>
      <c r="AI71" s="150">
        <f t="shared" si="196"/>
        <v>23.928185672257669</v>
      </c>
      <c r="AJ71" s="150">
        <f t="shared" si="197"/>
        <v>9.0480387695735818</v>
      </c>
      <c r="AL71" s="314">
        <f t="shared" si="198"/>
        <v>330</v>
      </c>
      <c r="AM71" s="144">
        <f t="shared" si="199"/>
        <v>136.05764191929816</v>
      </c>
      <c r="AO71">
        <f t="shared" si="274"/>
        <v>330</v>
      </c>
      <c r="AP71">
        <f t="shared" si="200"/>
        <v>136.05764191929816</v>
      </c>
      <c r="AR71" s="5">
        <f t="shared" si="275"/>
        <v>7.3498260435319356</v>
      </c>
      <c r="AS71" s="5">
        <f t="shared" si="201"/>
        <v>3.0092214819358074</v>
      </c>
      <c r="AT71" s="5">
        <f t="shared" si="276"/>
        <v>4.3406045615961286</v>
      </c>
      <c r="AU71" s="150">
        <f t="shared" si="277"/>
        <v>0.40942757884508185</v>
      </c>
      <c r="AW71" s="5">
        <f t="shared" si="202"/>
        <v>0.58414299355224497</v>
      </c>
      <c r="AX71" s="5">
        <f t="shared" si="203"/>
        <v>8.27535907532347</v>
      </c>
      <c r="AY71" s="5">
        <f t="shared" si="204"/>
        <v>34.026318102242158</v>
      </c>
      <c r="AZ71" s="5"/>
      <c r="BA71" s="150">
        <f t="shared" si="278"/>
        <v>8.8397033164889365</v>
      </c>
      <c r="BB71" s="150">
        <f t="shared" si="205"/>
        <v>0.49583052677403971</v>
      </c>
      <c r="BC71" s="150">
        <f t="shared" si="206"/>
        <v>0.4716770176572897</v>
      </c>
      <c r="BD71" s="150"/>
      <c r="BE71" s="456">
        <f t="shared" si="207"/>
        <v>0.26567720606005468</v>
      </c>
      <c r="BF71" s="456">
        <f t="shared" si="208"/>
        <v>1.6058938031586905</v>
      </c>
      <c r="BG71" s="456">
        <f t="shared" si="209"/>
        <v>7.4325064249165934E-2</v>
      </c>
      <c r="BH71" s="456">
        <f t="shared" si="210"/>
        <v>3.9533994800904533E-2</v>
      </c>
      <c r="BI71">
        <f t="shared" si="211"/>
        <v>5.3673434892481837E-3</v>
      </c>
      <c r="BJ71" s="144">
        <f t="shared" si="279"/>
        <v>79.692407738414119</v>
      </c>
      <c r="BK71">
        <f t="shared" si="212"/>
        <v>2.1164377817917974</v>
      </c>
      <c r="BL71" s="144">
        <f t="shared" si="280"/>
        <v>2116.4377817917975</v>
      </c>
      <c r="BM71" s="150">
        <f t="shared" si="213"/>
        <v>0.73218749999999999</v>
      </c>
      <c r="BN71" s="150">
        <f t="shared" si="214"/>
        <v>0.23430000000000001</v>
      </c>
      <c r="BO71" s="456"/>
      <c r="BQ71" s="144">
        <f t="shared" si="281"/>
        <v>966.48749999999995</v>
      </c>
      <c r="BR71" s="456">
        <f t="shared" si="215"/>
        <v>0.11721053208531824</v>
      </c>
      <c r="BS71" s="456">
        <f t="shared" si="216"/>
        <v>4.9169582256204346E-2</v>
      </c>
      <c r="BT71" s="456">
        <f t="shared" si="217"/>
        <v>6.6743762695822551E-3</v>
      </c>
      <c r="BU71" s="456">
        <f t="shared" si="218"/>
        <v>30.23791059196915</v>
      </c>
      <c r="BV71" s="456">
        <f t="shared" si="219"/>
        <v>30.880012142031237</v>
      </c>
      <c r="BW71" s="538">
        <f t="shared" si="220"/>
        <v>7.7900900807020487E-2</v>
      </c>
      <c r="BX71" s="144">
        <f t="shared" si="282"/>
        <v>30957.913042838256</v>
      </c>
      <c r="BY71" s="150">
        <f t="shared" si="283"/>
        <v>34.040838324630059</v>
      </c>
      <c r="BZ71" s="5">
        <f t="shared" si="284"/>
        <v>60.06</v>
      </c>
      <c r="CA71" s="150">
        <f t="shared" si="285"/>
        <v>0.63825148712070323</v>
      </c>
      <c r="CB71" s="5">
        <f t="shared" si="286"/>
        <v>63.825148712070323</v>
      </c>
      <c r="CC71">
        <f t="shared" si="287"/>
        <v>66</v>
      </c>
      <c r="CE71" s="59">
        <f t="shared" si="221"/>
        <v>-50</v>
      </c>
      <c r="CF71">
        <f t="shared" si="222"/>
        <v>-50</v>
      </c>
      <c r="CG71" s="150">
        <f t="shared" si="223"/>
        <v>0.56766977275315578</v>
      </c>
      <c r="CH71" s="150">
        <f t="shared" si="224"/>
        <v>0.15382552837714239</v>
      </c>
      <c r="CI71" s="147">
        <v>66</v>
      </c>
      <c r="CJ71" s="188">
        <f t="shared" si="133"/>
        <v>0.33</v>
      </c>
      <c r="CK71" s="188">
        <f t="shared" si="288"/>
        <v>0.33</v>
      </c>
      <c r="CL71" s="188">
        <f t="shared" si="225"/>
        <v>56.1</v>
      </c>
      <c r="CM71" s="188">
        <f t="shared" si="134"/>
        <v>3.96</v>
      </c>
      <c r="CN71" s="465">
        <f t="shared" si="289"/>
        <v>12</v>
      </c>
      <c r="CO71" s="379">
        <f t="shared" si="226"/>
        <v>8.625</v>
      </c>
      <c r="CP71" s="379">
        <f t="shared" si="227"/>
        <v>20.625</v>
      </c>
      <c r="CQ71" s="379"/>
      <c r="CR71" s="188">
        <f t="shared" si="228"/>
        <v>0.4156318480642805</v>
      </c>
      <c r="CS71" s="149">
        <f t="shared" si="290"/>
        <v>155.29102015588504</v>
      </c>
      <c r="CT71" s="149">
        <f t="shared" si="229"/>
        <v>10.961719069827179</v>
      </c>
      <c r="CU71" s="188">
        <f t="shared" si="230"/>
        <v>0.91347658915226493</v>
      </c>
      <c r="CV71" s="188">
        <f t="shared" si="231"/>
        <v>12.940918346323754</v>
      </c>
      <c r="CW71" s="379">
        <f t="shared" si="232"/>
        <v>170</v>
      </c>
      <c r="CX71" s="188">
        <f t="shared" si="233"/>
        <v>24.083813708260106</v>
      </c>
      <c r="CY71" s="188">
        <f t="shared" si="234"/>
        <v>3.0104767135325137</v>
      </c>
      <c r="CZ71" s="188">
        <f t="shared" si="235"/>
        <v>4.1884893405669752</v>
      </c>
      <c r="DA71" s="172">
        <f t="shared" si="236"/>
        <v>250.90909090909091</v>
      </c>
      <c r="DB71" s="379">
        <f t="shared" si="291"/>
        <v>138.90883669753447</v>
      </c>
      <c r="DD71" s="188">
        <f t="shared" si="237"/>
        <v>13.333333333333332</v>
      </c>
      <c r="DE71" s="150">
        <f t="shared" si="238"/>
        <v>2.318840579710145</v>
      </c>
      <c r="DF71" s="150">
        <f t="shared" si="239"/>
        <v>0.18115218115218115</v>
      </c>
      <c r="DG71" s="150"/>
      <c r="DH71" s="150">
        <f t="shared" si="240"/>
        <v>2.3188405797101455</v>
      </c>
      <c r="DI71" s="314">
        <f t="shared" si="241"/>
        <v>457.07426470588229</v>
      </c>
      <c r="DJ71" s="456">
        <f t="shared" si="242"/>
        <v>0.18115218115218121</v>
      </c>
      <c r="DL71" s="150">
        <f t="shared" si="243"/>
        <v>15.126136320951231</v>
      </c>
      <c r="DM71" s="150">
        <f t="shared" si="244"/>
        <v>24.083813708260106</v>
      </c>
      <c r="DN71" s="150">
        <f t="shared" si="245"/>
        <v>9.1633187962420521</v>
      </c>
      <c r="DP71" s="314">
        <f t="shared" si="246"/>
        <v>330</v>
      </c>
      <c r="DQ71" s="144">
        <f t="shared" si="247"/>
        <v>138.90883669753447</v>
      </c>
      <c r="DS71">
        <f t="shared" si="292"/>
        <v>330</v>
      </c>
      <c r="DT71">
        <f t="shared" si="248"/>
        <v>138.90883669753447</v>
      </c>
      <c r="DV71" s="5">
        <f t="shared" si="293"/>
        <v>7.1989660540994889</v>
      </c>
      <c r="DW71" s="5">
        <f t="shared" si="249"/>
        <v>3.0104767135325137</v>
      </c>
      <c r="DX71" s="5">
        <f t="shared" si="294"/>
        <v>4.1884893405669752</v>
      </c>
      <c r="DY71" s="150">
        <f t="shared" si="295"/>
        <v>0.41818181818181821</v>
      </c>
      <c r="EA71" s="5">
        <f t="shared" si="250"/>
        <v>0.58438665615631147</v>
      </c>
      <c r="EB71" s="5">
        <f t="shared" si="251"/>
        <v>8.278810962214413</v>
      </c>
      <c r="EC71" s="5">
        <f t="shared" si="252"/>
        <v>32.635312778584343</v>
      </c>
      <c r="ED71" s="5"/>
      <c r="EE71" s="150">
        <f t="shared" si="296"/>
        <v>8.991811730641917</v>
      </c>
      <c r="EF71" s="150">
        <f t="shared" si="253"/>
        <v>0.49534275353891688</v>
      </c>
      <c r="EG71" s="150">
        <f t="shared" si="254"/>
        <v>0.47121300543453953</v>
      </c>
      <c r="EH71" s="150"/>
      <c r="EI71" s="456">
        <f t="shared" si="255"/>
        <v>0.27489910587765254</v>
      </c>
      <c r="EJ71" s="456">
        <f t="shared" si="256"/>
        <v>2.0975999999999999</v>
      </c>
      <c r="EK71" s="456">
        <f t="shared" si="257"/>
        <v>3.1810123603735398E-2</v>
      </c>
      <c r="EL71" s="456">
        <f t="shared" si="258"/>
        <v>4.0477004049639179E-2</v>
      </c>
      <c r="EM71">
        <f t="shared" si="259"/>
        <v>5.4000000000000003E-3</v>
      </c>
      <c r="EN71" s="144">
        <f t="shared" si="297"/>
        <v>37.210123603735397</v>
      </c>
      <c r="EO71">
        <f t="shared" si="260"/>
        <v>2.7008155339591755</v>
      </c>
      <c r="EP71" s="144">
        <f t="shared" si="298"/>
        <v>2700.8155339591754</v>
      </c>
      <c r="EQ71" s="150">
        <f t="shared" si="261"/>
        <v>0.73218749999999999</v>
      </c>
      <c r="ER71" s="150">
        <f t="shared" si="262"/>
        <v>0.23430000000000001</v>
      </c>
      <c r="ES71" s="456"/>
      <c r="EU71" s="144">
        <f t="shared" si="299"/>
        <v>966.48749999999995</v>
      </c>
      <c r="EV71" s="456">
        <f t="shared" si="263"/>
        <v>0.12127901729896437</v>
      </c>
      <c r="EW71" s="456">
        <f t="shared" si="300"/>
        <v>4.9072888696703232E-2</v>
      </c>
      <c r="EX71" s="456">
        <f t="shared" si="264"/>
        <v>6.6612508947195411E-3</v>
      </c>
      <c r="EY71" s="456">
        <f t="shared" si="265"/>
        <v>32.367401730078967</v>
      </c>
      <c r="EZ71" s="456">
        <f t="shared" si="266"/>
        <v>33.054991516569686</v>
      </c>
      <c r="FA71" s="538">
        <f t="shared" si="267"/>
        <v>8.0571304042179256E-2</v>
      </c>
      <c r="FB71" s="144">
        <f t="shared" si="301"/>
        <v>33135.562820611864</v>
      </c>
      <c r="FC71" s="150">
        <f t="shared" si="302"/>
        <v>36.802865854571039</v>
      </c>
      <c r="FD71" s="5">
        <f t="shared" si="303"/>
        <v>60.06</v>
      </c>
      <c r="FE71" s="150">
        <f t="shared" si="304"/>
        <v>0.62005185857471423</v>
      </c>
      <c r="FF71" s="5">
        <f t="shared" si="305"/>
        <v>62.005185857471425</v>
      </c>
      <c r="FG71">
        <f t="shared" si="306"/>
        <v>66</v>
      </c>
      <c r="FI71" s="59">
        <f t="shared" si="268"/>
        <v>-50</v>
      </c>
      <c r="FJ71">
        <f t="shared" si="269"/>
        <v>-50</v>
      </c>
      <c r="FL71">
        <f t="shared" si="270"/>
        <v>0.56766977275315567</v>
      </c>
    </row>
    <row r="72" spans="5:168">
      <c r="E72" s="147">
        <v>67</v>
      </c>
      <c r="F72" s="188">
        <f t="shared" ref="F72:F103" si="307">IF(PLOT_TYPE=1, E72/100*Iout_max, min_I*EXP(O72*rr/100))</f>
        <v>0.33500000000000002</v>
      </c>
      <c r="G72" s="188">
        <f t="shared" si="271"/>
        <v>0.33500000000000002</v>
      </c>
      <c r="H72" s="188">
        <f t="shared" si="176"/>
        <v>56.95</v>
      </c>
      <c r="I72" s="188">
        <f t="shared" ref="I72:I105" si="308">Vout2*G72</f>
        <v>4.0200000000000005</v>
      </c>
      <c r="J72" s="465">
        <f t="shared" si="177"/>
        <v>11.926330430290516</v>
      </c>
      <c r="K72" s="379">
        <f t="shared" si="178"/>
        <v>8.6690237243303798</v>
      </c>
      <c r="L72" s="149">
        <f t="shared" si="179"/>
        <v>20.595354154620896</v>
      </c>
      <c r="M72" s="379"/>
      <c r="N72" s="188">
        <f t="shared" si="180"/>
        <v>0.42092132328714271</v>
      </c>
      <c r="O72" s="149">
        <f t="shared" si="272"/>
        <v>156.30182302842351</v>
      </c>
      <c r="P72" s="149">
        <f t="shared" si="181"/>
        <v>11.033069860829896</v>
      </c>
      <c r="Q72" s="188">
        <f t="shared" si="182"/>
        <v>0.9194224884024913</v>
      </c>
      <c r="R72" s="188">
        <f t="shared" si="183"/>
        <v>13.025151919035293</v>
      </c>
      <c r="S72" s="379">
        <f t="shared" si="184"/>
        <v>170</v>
      </c>
      <c r="T72" s="188">
        <f t="shared" si="185"/>
        <v>24.29061026355555</v>
      </c>
      <c r="U72" s="188">
        <f t="shared" si="186"/>
        <v>3.055081829930967</v>
      </c>
      <c r="V72" s="188">
        <f t="shared" si="187"/>
        <v>4.2030010014937105</v>
      </c>
      <c r="W72" s="172">
        <f t="shared" si="188"/>
        <v>251.00233933388009</v>
      </c>
      <c r="X72" s="379">
        <f t="shared" si="273"/>
        <v>134.08271570630646</v>
      </c>
      <c r="Z72" s="188">
        <f t="shared" si="189"/>
        <v>13.333333333333334</v>
      </c>
      <c r="AA72" s="150">
        <f t="shared" si="190"/>
        <v>2.3070648594337371</v>
      </c>
      <c r="AB72" s="150">
        <f t="shared" si="191"/>
        <v>0.1802992216871534</v>
      </c>
      <c r="AC72" s="150"/>
      <c r="AD72" s="150">
        <f t="shared" si="192"/>
        <v>2.3070648594337371</v>
      </c>
      <c r="AE72" s="314">
        <f t="shared" si="193"/>
        <v>466.36797924037342</v>
      </c>
      <c r="AF72" s="456">
        <f t="shared" si="194"/>
        <v>0.1802992216871534</v>
      </c>
      <c r="AH72" s="150">
        <f t="shared" si="195"/>
        <v>15.240297459914183</v>
      </c>
      <c r="AI72" s="150">
        <f t="shared" si="196"/>
        <v>24.29061026355555</v>
      </c>
      <c r="AJ72" s="150">
        <f t="shared" si="197"/>
        <v>9.3165014297942328</v>
      </c>
      <c r="AL72" s="314">
        <f t="shared" si="198"/>
        <v>335</v>
      </c>
      <c r="AM72" s="144">
        <f t="shared" si="199"/>
        <v>134.08271570630646</v>
      </c>
      <c r="AO72">
        <f t="shared" si="274"/>
        <v>335</v>
      </c>
      <c r="AP72">
        <f t="shared" si="200"/>
        <v>134.08271570630646</v>
      </c>
      <c r="AR72" s="5">
        <f t="shared" si="275"/>
        <v>7.4580828314246759</v>
      </c>
      <c r="AS72" s="5">
        <f t="shared" si="201"/>
        <v>3.055081829930967</v>
      </c>
      <c r="AT72" s="5">
        <f t="shared" si="276"/>
        <v>4.4030010014937089</v>
      </c>
      <c r="AU72" s="150">
        <f t="shared" si="277"/>
        <v>0.40963366846213639</v>
      </c>
      <c r="AW72" s="5">
        <f t="shared" si="202"/>
        <v>0.60203083119227885</v>
      </c>
      <c r="AX72" s="5">
        <f t="shared" si="203"/>
        <v>8.5287701085572838</v>
      </c>
      <c r="AY72" s="5">
        <f t="shared" si="204"/>
        <v>35.041640078187712</v>
      </c>
      <c r="AZ72" s="5"/>
      <c r="BA72" s="150">
        <f t="shared" si="278"/>
        <v>8.9758507171598776</v>
      </c>
      <c r="BB72" s="150">
        <f t="shared" si="205"/>
        <v>0.5032527157390061</v>
      </c>
      <c r="BC72" s="150">
        <f t="shared" si="206"/>
        <v>0.47873764778480826</v>
      </c>
      <c r="BD72" s="150"/>
      <c r="BE72" s="456">
        <f t="shared" si="207"/>
        <v>0.27392404672891424</v>
      </c>
      <c r="BF72" s="456">
        <f t="shared" si="208"/>
        <v>1.6065195156723457</v>
      </c>
      <c r="BG72" s="456">
        <f t="shared" si="209"/>
        <v>7.3239456580688464E-2</v>
      </c>
      <c r="BH72" s="456">
        <f t="shared" si="210"/>
        <v>3.8958470468095495E-2</v>
      </c>
      <c r="BI72">
        <f t="shared" si="211"/>
        <v>5.3668486936307323E-3</v>
      </c>
      <c r="BJ72" s="144">
        <f t="shared" si="279"/>
        <v>78.606305274319197</v>
      </c>
      <c r="BK72">
        <f t="shared" si="212"/>
        <v>2.1321298161546074</v>
      </c>
      <c r="BL72" s="144">
        <f t="shared" si="280"/>
        <v>2132.1298161546074</v>
      </c>
      <c r="BM72" s="150">
        <f t="shared" si="213"/>
        <v>0.74328125</v>
      </c>
      <c r="BN72" s="150">
        <f t="shared" si="214"/>
        <v>0.23785000000000001</v>
      </c>
      <c r="BO72" s="456"/>
      <c r="BQ72" s="144">
        <f t="shared" si="281"/>
        <v>981.13125000000002</v>
      </c>
      <c r="BR72" s="456">
        <f t="shared" si="215"/>
        <v>0.12084884414510924</v>
      </c>
      <c r="BS72" s="456">
        <f t="shared" si="216"/>
        <v>5.0652659179736971E-2</v>
      </c>
      <c r="BT72" s="456">
        <f t="shared" si="217"/>
        <v>6.8756920621959334E-3</v>
      </c>
      <c r="BU72" s="456">
        <f t="shared" si="218"/>
        <v>30.268999278603083</v>
      </c>
      <c r="BV72" s="456">
        <f t="shared" si="219"/>
        <v>30.931586168045296</v>
      </c>
      <c r="BW72" s="538">
        <f t="shared" si="220"/>
        <v>7.911332715290309E-2</v>
      </c>
      <c r="BX72" s="144">
        <f t="shared" si="282"/>
        <v>31010.699495198198</v>
      </c>
      <c r="BY72" s="150">
        <f t="shared" si="283"/>
        <v>34.12396056135281</v>
      </c>
      <c r="BZ72" s="5">
        <f t="shared" si="284"/>
        <v>60.970000000000006</v>
      </c>
      <c r="CA72" s="150">
        <f t="shared" si="285"/>
        <v>0.64115533352576393</v>
      </c>
      <c r="CB72" s="5">
        <f t="shared" si="286"/>
        <v>64.115533352576392</v>
      </c>
      <c r="CC72">
        <f t="shared" si="287"/>
        <v>67</v>
      </c>
      <c r="CE72" s="59">
        <f t="shared" si="221"/>
        <v>-50</v>
      </c>
      <c r="CF72">
        <f t="shared" si="222"/>
        <v>-50</v>
      </c>
      <c r="CG72" s="150">
        <f t="shared" si="223"/>
        <v>0.56766977275315589</v>
      </c>
      <c r="CH72" s="150">
        <f t="shared" si="224"/>
        <v>0.15382552837714242</v>
      </c>
      <c r="CI72" s="147">
        <v>67</v>
      </c>
      <c r="CJ72" s="188">
        <f t="shared" ref="CJ72:CJ105" si="309">IF(PLOT_TYPE=1, CI72/100*Iout_max, min_I*EXP(CS72*rr/100))</f>
        <v>0.33500000000000002</v>
      </c>
      <c r="CK72" s="188">
        <f t="shared" si="288"/>
        <v>0.33500000000000002</v>
      </c>
      <c r="CL72" s="188">
        <f t="shared" si="225"/>
        <v>56.95</v>
      </c>
      <c r="CM72" s="188">
        <f t="shared" ref="CM72:CM105" si="310">Vout2*CK72</f>
        <v>4.0200000000000005</v>
      </c>
      <c r="CN72" s="465">
        <f t="shared" si="289"/>
        <v>12</v>
      </c>
      <c r="CO72" s="379">
        <f t="shared" si="226"/>
        <v>8.625</v>
      </c>
      <c r="CP72" s="379">
        <f t="shared" si="227"/>
        <v>20.625</v>
      </c>
      <c r="CQ72" s="379"/>
      <c r="CR72" s="188">
        <f t="shared" si="228"/>
        <v>0.4156318480642805</v>
      </c>
      <c r="CS72" s="149">
        <f t="shared" si="290"/>
        <v>155.29102015588504</v>
      </c>
      <c r="CT72" s="149">
        <f t="shared" si="229"/>
        <v>10.961719069827179</v>
      </c>
      <c r="CU72" s="188">
        <f t="shared" si="230"/>
        <v>0.91347658915226493</v>
      </c>
      <c r="CV72" s="188">
        <f t="shared" si="231"/>
        <v>12.940918346323754</v>
      </c>
      <c r="CW72" s="379">
        <f t="shared" si="232"/>
        <v>170</v>
      </c>
      <c r="CX72" s="188">
        <f t="shared" si="233"/>
        <v>24.448719976567077</v>
      </c>
      <c r="CY72" s="188">
        <f t="shared" si="234"/>
        <v>3.0560899970708846</v>
      </c>
      <c r="CZ72" s="188">
        <f t="shared" si="235"/>
        <v>4.2519513002725358</v>
      </c>
      <c r="DA72" s="172">
        <f t="shared" si="236"/>
        <v>250.90909090909091</v>
      </c>
      <c r="DB72" s="379">
        <f t="shared" si="291"/>
        <v>136.83557047816831</v>
      </c>
      <c r="DD72" s="188">
        <f t="shared" si="237"/>
        <v>13.333333333333332</v>
      </c>
      <c r="DE72" s="150">
        <f t="shared" si="238"/>
        <v>2.318840579710145</v>
      </c>
      <c r="DF72" s="150">
        <f t="shared" si="239"/>
        <v>0.18115218115218115</v>
      </c>
      <c r="DG72" s="150"/>
      <c r="DH72" s="150">
        <f t="shared" si="240"/>
        <v>2.3188405797101455</v>
      </c>
      <c r="DI72" s="314">
        <f t="shared" si="241"/>
        <v>463.99963235294109</v>
      </c>
      <c r="DJ72" s="456">
        <f t="shared" si="242"/>
        <v>0.18115218115218121</v>
      </c>
      <c r="DL72" s="150">
        <f t="shared" si="243"/>
        <v>15.240297459914183</v>
      </c>
      <c r="DM72" s="150">
        <f t="shared" si="244"/>
        <v>24.448719976567077</v>
      </c>
      <c r="DN72" s="150">
        <f t="shared" si="245"/>
        <v>9.4336197357286977</v>
      </c>
      <c r="DP72" s="314">
        <f t="shared" si="246"/>
        <v>335</v>
      </c>
      <c r="DQ72" s="144">
        <f t="shared" si="247"/>
        <v>136.83557047816831</v>
      </c>
      <c r="DS72">
        <f t="shared" si="292"/>
        <v>335</v>
      </c>
      <c r="DT72">
        <f t="shared" si="248"/>
        <v>136.83557047816831</v>
      </c>
      <c r="DV72" s="5">
        <f t="shared" si="293"/>
        <v>7.3080412973434195</v>
      </c>
      <c r="DW72" s="5">
        <f t="shared" si="249"/>
        <v>3.0560899970708846</v>
      </c>
      <c r="DX72" s="5">
        <f t="shared" si="294"/>
        <v>4.2519513002725349</v>
      </c>
      <c r="DY72" s="150">
        <f t="shared" si="295"/>
        <v>0.41818181818181821</v>
      </c>
      <c r="EA72" s="5">
        <f t="shared" si="250"/>
        <v>0.60222949942279203</v>
      </c>
      <c r="EB72" s="5">
        <f t="shared" si="251"/>
        <v>8.53158457515622</v>
      </c>
      <c r="EC72" s="5">
        <f t="shared" si="252"/>
        <v>33.631753687572342</v>
      </c>
      <c r="ED72" s="5"/>
      <c r="EE72" s="150">
        <f t="shared" si="296"/>
        <v>9.1280513023183083</v>
      </c>
      <c r="EF72" s="150">
        <f t="shared" si="253"/>
        <v>0.50284794677435496</v>
      </c>
      <c r="EG72" s="150">
        <f t="shared" si="254"/>
        <v>0.47835259642597189</v>
      </c>
      <c r="EH72" s="150"/>
      <c r="EI72" s="456">
        <f t="shared" si="255"/>
        <v>0.28329248996436684</v>
      </c>
      <c r="EJ72" s="456">
        <f t="shared" si="256"/>
        <v>2.0975999999999999</v>
      </c>
      <c r="EK72" s="456">
        <f t="shared" si="257"/>
        <v>3.1335345639500543E-2</v>
      </c>
      <c r="EL72" s="456">
        <f t="shared" si="258"/>
        <v>3.9872869660838604E-2</v>
      </c>
      <c r="EM72">
        <f t="shared" si="259"/>
        <v>5.4000000000000003E-3</v>
      </c>
      <c r="EN72" s="144">
        <f t="shared" si="297"/>
        <v>36.735345639500544</v>
      </c>
      <c r="EO72">
        <f t="shared" si="260"/>
        <v>2.7168624952576326</v>
      </c>
      <c r="EP72" s="144">
        <f t="shared" si="298"/>
        <v>2716.8624952576324</v>
      </c>
      <c r="EQ72" s="150">
        <f t="shared" si="261"/>
        <v>0.74328125</v>
      </c>
      <c r="ER72" s="150">
        <f t="shared" si="262"/>
        <v>0.23785000000000001</v>
      </c>
      <c r="ES72" s="456"/>
      <c r="EU72" s="144">
        <f t="shared" si="299"/>
        <v>981.13125000000002</v>
      </c>
      <c r="EV72" s="456">
        <f t="shared" si="263"/>
        <v>0.12498198086663244</v>
      </c>
      <c r="EW72" s="456">
        <f t="shared" si="300"/>
        <v>5.0571211515036907E-2</v>
      </c>
      <c r="EX72" s="456">
        <f t="shared" si="264"/>
        <v>6.8646361952240621E-3</v>
      </c>
      <c r="EY72" s="456">
        <f t="shared" si="265"/>
        <v>32.367401730078996</v>
      </c>
      <c r="EZ72" s="456">
        <f t="shared" si="266"/>
        <v>33.076296329822505</v>
      </c>
      <c r="FA72" s="538">
        <f t="shared" si="267"/>
        <v>8.1792081376151696E-2</v>
      </c>
      <c r="FB72" s="144">
        <f t="shared" si="301"/>
        <v>33158.088411198652</v>
      </c>
      <c r="FC72" s="150">
        <f t="shared" si="302"/>
        <v>36.856082156456289</v>
      </c>
      <c r="FD72" s="5">
        <f t="shared" si="303"/>
        <v>60.970000000000006</v>
      </c>
      <c r="FE72" s="150">
        <f t="shared" si="304"/>
        <v>0.6232489194700529</v>
      </c>
      <c r="FF72" s="5">
        <f t="shared" si="305"/>
        <v>62.324891947005291</v>
      </c>
      <c r="FG72">
        <f t="shared" si="306"/>
        <v>67</v>
      </c>
      <c r="FI72" s="59">
        <f t="shared" si="268"/>
        <v>-50</v>
      </c>
      <c r="FJ72">
        <f t="shared" si="269"/>
        <v>-50</v>
      </c>
      <c r="FL72">
        <f t="shared" si="270"/>
        <v>0.56766977275315589</v>
      </c>
    </row>
    <row r="73" spans="5:168">
      <c r="E73" s="147">
        <v>68</v>
      </c>
      <c r="F73" s="188">
        <f t="shared" si="307"/>
        <v>0.34</v>
      </c>
      <c r="G73" s="188">
        <f t="shared" si="271"/>
        <v>0.34</v>
      </c>
      <c r="H73" s="188">
        <f t="shared" si="176"/>
        <v>57.800000000000004</v>
      </c>
      <c r="I73" s="188">
        <f t="shared" si="308"/>
        <v>4.08</v>
      </c>
      <c r="J73" s="465">
        <f t="shared" si="177"/>
        <v>11.925230884473956</v>
      </c>
      <c r="K73" s="379">
        <f t="shared" si="178"/>
        <v>8.6696807948427743</v>
      </c>
      <c r="L73" s="149">
        <f t="shared" si="179"/>
        <v>20.594911679316731</v>
      </c>
      <c r="M73" s="379"/>
      <c r="N73" s="188">
        <f t="shared" si="180"/>
        <v>0.42096227115893148</v>
      </c>
      <c r="O73" s="149">
        <f t="shared" si="272"/>
        <v>156.30261669008686</v>
      </c>
      <c r="P73" s="149">
        <f t="shared" si="181"/>
        <v>11.033125884006131</v>
      </c>
      <c r="Q73" s="188">
        <f t="shared" si="182"/>
        <v>0.91942715700051092</v>
      </c>
      <c r="R73" s="188">
        <f t="shared" si="183"/>
        <v>13.025218057507239</v>
      </c>
      <c r="S73" s="379">
        <f t="shared" si="184"/>
        <v>170</v>
      </c>
      <c r="T73" s="188">
        <f t="shared" si="185"/>
        <v>24.653031503456095</v>
      </c>
      <c r="U73" s="188">
        <f t="shared" si="186"/>
        <v>3.1009502133270752</v>
      </c>
      <c r="V73" s="188">
        <f t="shared" si="187"/>
        <v>4.2653874035571997</v>
      </c>
      <c r="W73" s="172">
        <f t="shared" si="188"/>
        <v>251.00361386113946</v>
      </c>
      <c r="X73" s="379">
        <f t="shared" si="273"/>
        <v>132.16433770659413</v>
      </c>
      <c r="Z73" s="188">
        <f t="shared" si="189"/>
        <v>13.333333333333334</v>
      </c>
      <c r="AA73" s="150">
        <f t="shared" si="190"/>
        <v>2.3068900082108161</v>
      </c>
      <c r="AB73" s="150">
        <f t="shared" si="191"/>
        <v>0.18028647234978326</v>
      </c>
      <c r="AC73" s="150"/>
      <c r="AD73" s="150">
        <f t="shared" si="192"/>
        <v>2.3068900082108161</v>
      </c>
      <c r="AE73" s="314">
        <f t="shared" si="193"/>
        <v>473.36457139841548</v>
      </c>
      <c r="AF73" s="456">
        <f t="shared" si="194"/>
        <v>0.18028647234978323</v>
      </c>
      <c r="AH73" s="150">
        <f t="shared" si="195"/>
        <v>15.353609781850434</v>
      </c>
      <c r="AI73" s="150">
        <f t="shared" si="196"/>
        <v>24.653031503456095</v>
      </c>
      <c r="AJ73" s="150">
        <f t="shared" si="197"/>
        <v>9.5849616074983413</v>
      </c>
      <c r="AL73" s="314">
        <f t="shared" si="198"/>
        <v>340</v>
      </c>
      <c r="AM73" s="144">
        <f t="shared" si="199"/>
        <v>132.16433770659413</v>
      </c>
      <c r="AO73">
        <f t="shared" si="274"/>
        <v>340</v>
      </c>
      <c r="AP73">
        <f t="shared" si="200"/>
        <v>132.16433770659413</v>
      </c>
      <c r="AR73" s="5">
        <f t="shared" si="275"/>
        <v>7.566337616884276</v>
      </c>
      <c r="AS73" s="5">
        <f t="shared" si="201"/>
        <v>3.1009502133270752</v>
      </c>
      <c r="AT73" s="5">
        <f t="shared" si="276"/>
        <v>4.4653874035572008</v>
      </c>
      <c r="AU73" s="150">
        <f t="shared" si="277"/>
        <v>0.40983503120549464</v>
      </c>
      <c r="AW73" s="5">
        <f t="shared" si="202"/>
        <v>0.62019004266541511</v>
      </c>
      <c r="AX73" s="5">
        <f t="shared" si="203"/>
        <v>8.7860256044267135</v>
      </c>
      <c r="AY73" s="5">
        <f t="shared" si="204"/>
        <v>36.071893062414198</v>
      </c>
      <c r="AZ73" s="5"/>
      <c r="BA73" s="150">
        <f t="shared" si="278"/>
        <v>9.1120111416983924</v>
      </c>
      <c r="BB73" s="150">
        <f t="shared" si="205"/>
        <v>0.51067424385558469</v>
      </c>
      <c r="BC73" s="150">
        <f t="shared" si="206"/>
        <v>0.48579764925600188</v>
      </c>
      <c r="BD73" s="150"/>
      <c r="BE73" s="456">
        <f t="shared" si="207"/>
        <v>0.28229773995788116</v>
      </c>
      <c r="BF73" s="456">
        <f t="shared" si="208"/>
        <v>1.6071265148318215</v>
      </c>
      <c r="BG73" s="456">
        <f t="shared" si="209"/>
        <v>7.2184933076488281E-2</v>
      </c>
      <c r="BH73" s="456">
        <f t="shared" si="210"/>
        <v>3.8399425172446759E-2</v>
      </c>
      <c r="BI73">
        <f t="shared" si="211"/>
        <v>5.36635389801328E-3</v>
      </c>
      <c r="BJ73" s="144">
        <f t="shared" si="279"/>
        <v>77.551286974501565</v>
      </c>
      <c r="BK73">
        <f t="shared" si="212"/>
        <v>2.1481274477692449</v>
      </c>
      <c r="BL73" s="144">
        <f t="shared" si="280"/>
        <v>2148.127447769245</v>
      </c>
      <c r="BM73" s="150">
        <f t="shared" si="213"/>
        <v>0.75437500000000002</v>
      </c>
      <c r="BN73" s="150">
        <f t="shared" si="214"/>
        <v>0.2414</v>
      </c>
      <c r="BO73" s="456"/>
      <c r="BQ73" s="144">
        <f t="shared" si="281"/>
        <v>995.77500000000009</v>
      </c>
      <c r="BR73" s="456">
        <f t="shared" si="215"/>
        <v>0.12454312056965346</v>
      </c>
      <c r="BS73" s="456">
        <f t="shared" si="216"/>
        <v>5.2157636667494636E-2</v>
      </c>
      <c r="BT73" s="456">
        <f t="shared" si="217"/>
        <v>7.0799806806797223E-3</v>
      </c>
      <c r="BU73" s="456">
        <f t="shared" si="218"/>
        <v>30.299226455577486</v>
      </c>
      <c r="BV73" s="456">
        <f t="shared" si="219"/>
        <v>30.982635499778667</v>
      </c>
      <c r="BW73" s="538">
        <f t="shared" si="220"/>
        <v>8.0325778875390927E-2</v>
      </c>
      <c r="BX73" s="144">
        <f t="shared" si="282"/>
        <v>31062.961278654057</v>
      </c>
      <c r="BY73" s="150">
        <f t="shared" si="283"/>
        <v>34.2068637264233</v>
      </c>
      <c r="BZ73" s="5">
        <f t="shared" si="284"/>
        <v>61.88</v>
      </c>
      <c r="CA73" s="150">
        <f t="shared" si="285"/>
        <v>0.64400062193916086</v>
      </c>
      <c r="CB73" s="5">
        <f t="shared" si="286"/>
        <v>64.400062193916085</v>
      </c>
      <c r="CC73">
        <f t="shared" si="287"/>
        <v>68</v>
      </c>
      <c r="CE73" s="59">
        <f t="shared" si="221"/>
        <v>-50</v>
      </c>
      <c r="CF73">
        <f t="shared" si="222"/>
        <v>-50</v>
      </c>
      <c r="CG73" s="150">
        <f t="shared" si="223"/>
        <v>0.56766977275315578</v>
      </c>
      <c r="CH73" s="150">
        <f t="shared" si="224"/>
        <v>0.15382552837714242</v>
      </c>
      <c r="CI73" s="147">
        <v>68</v>
      </c>
      <c r="CJ73" s="188">
        <f t="shared" si="309"/>
        <v>0.34</v>
      </c>
      <c r="CK73" s="188">
        <f t="shared" si="288"/>
        <v>0.34</v>
      </c>
      <c r="CL73" s="188">
        <f t="shared" si="225"/>
        <v>57.800000000000004</v>
      </c>
      <c r="CM73" s="188">
        <f t="shared" si="310"/>
        <v>4.08</v>
      </c>
      <c r="CN73" s="465">
        <f t="shared" si="289"/>
        <v>12</v>
      </c>
      <c r="CO73" s="379">
        <f t="shared" si="226"/>
        <v>8.625</v>
      </c>
      <c r="CP73" s="379">
        <f t="shared" si="227"/>
        <v>20.625</v>
      </c>
      <c r="CQ73" s="379"/>
      <c r="CR73" s="188">
        <f t="shared" si="228"/>
        <v>0.4156318480642805</v>
      </c>
      <c r="CS73" s="149">
        <f t="shared" si="290"/>
        <v>155.29102015588504</v>
      </c>
      <c r="CT73" s="149">
        <f t="shared" si="229"/>
        <v>10.961719069827179</v>
      </c>
      <c r="CU73" s="188">
        <f t="shared" si="230"/>
        <v>0.91347658915226493</v>
      </c>
      <c r="CV73" s="188">
        <f t="shared" si="231"/>
        <v>12.940918346323754</v>
      </c>
      <c r="CW73" s="379">
        <f t="shared" si="232"/>
        <v>170</v>
      </c>
      <c r="CX73" s="188">
        <f t="shared" si="233"/>
        <v>24.813626244874047</v>
      </c>
      <c r="CY73" s="188">
        <f t="shared" si="234"/>
        <v>3.1017032806092564</v>
      </c>
      <c r="CZ73" s="188">
        <f t="shared" si="235"/>
        <v>4.3154132599780954</v>
      </c>
      <c r="DA73" s="172">
        <f t="shared" si="236"/>
        <v>250.90909090909091</v>
      </c>
      <c r="DB73" s="379">
        <f t="shared" si="291"/>
        <v>134.82328267701877</v>
      </c>
      <c r="DD73" s="188">
        <f t="shared" si="237"/>
        <v>13.333333333333332</v>
      </c>
      <c r="DE73" s="150">
        <f t="shared" si="238"/>
        <v>2.318840579710145</v>
      </c>
      <c r="DF73" s="150">
        <f t="shared" si="239"/>
        <v>0.18115218115218115</v>
      </c>
      <c r="DG73" s="150"/>
      <c r="DH73" s="150">
        <f t="shared" si="240"/>
        <v>2.3188405797101455</v>
      </c>
      <c r="DI73" s="314">
        <f t="shared" si="241"/>
        <v>470.9249999999999</v>
      </c>
      <c r="DJ73" s="456">
        <f t="shared" si="242"/>
        <v>0.18115218115218121</v>
      </c>
      <c r="DL73" s="150">
        <f t="shared" si="243"/>
        <v>15.353609781850434</v>
      </c>
      <c r="DM73" s="150">
        <f t="shared" si="244"/>
        <v>24.813626244874047</v>
      </c>
      <c r="DN73" s="150">
        <f t="shared" si="245"/>
        <v>9.7039206752153433</v>
      </c>
      <c r="DP73" s="314">
        <f t="shared" si="246"/>
        <v>340</v>
      </c>
      <c r="DQ73" s="144">
        <f t="shared" si="247"/>
        <v>134.82328267701877</v>
      </c>
      <c r="DS73">
        <f t="shared" si="292"/>
        <v>340</v>
      </c>
      <c r="DT73">
        <f t="shared" si="248"/>
        <v>134.82328267701877</v>
      </c>
      <c r="DV73" s="5">
        <f t="shared" si="293"/>
        <v>7.4171165405873518</v>
      </c>
      <c r="DW73" s="5">
        <f t="shared" si="249"/>
        <v>3.1017032806092564</v>
      </c>
      <c r="DX73" s="5">
        <f t="shared" si="294"/>
        <v>4.3154132599780954</v>
      </c>
      <c r="DY73" s="150">
        <f t="shared" si="295"/>
        <v>0.41818181818181821</v>
      </c>
      <c r="EA73" s="5">
        <f t="shared" si="250"/>
        <v>0.6203406561218513</v>
      </c>
      <c r="EB73" s="5">
        <f t="shared" si="251"/>
        <v>8.7881592950595611</v>
      </c>
      <c r="EC73" s="5">
        <f t="shared" si="252"/>
        <v>34.643178670379712</v>
      </c>
      <c r="ED73" s="5"/>
      <c r="EE73" s="150">
        <f t="shared" si="296"/>
        <v>9.2642908739947014</v>
      </c>
      <c r="EF73" s="150">
        <f t="shared" si="253"/>
        <v>0.51035314000979315</v>
      </c>
      <c r="EG73" s="150">
        <f t="shared" si="254"/>
        <v>0.4854921874174043</v>
      </c>
      <c r="EH73" s="150"/>
      <c r="EI73" s="456">
        <f t="shared" si="255"/>
        <v>0.2918120903531371</v>
      </c>
      <c r="EJ73" s="456">
        <f t="shared" si="256"/>
        <v>2.0975999999999999</v>
      </c>
      <c r="EK73" s="456">
        <f t="shared" si="257"/>
        <v>3.0874531733037298E-2</v>
      </c>
      <c r="EL73" s="456">
        <f t="shared" si="258"/>
        <v>3.9286503930532145E-2</v>
      </c>
      <c r="EM73">
        <f t="shared" si="259"/>
        <v>5.4000000000000003E-3</v>
      </c>
      <c r="EN73" s="144">
        <f t="shared" si="297"/>
        <v>36.274531733037293</v>
      </c>
      <c r="EO73">
        <f t="shared" si="260"/>
        <v>2.7332726251997062</v>
      </c>
      <c r="EP73" s="144">
        <f t="shared" si="298"/>
        <v>2733.272625199706</v>
      </c>
      <c r="EQ73" s="150">
        <f t="shared" si="261"/>
        <v>0.75437500000000002</v>
      </c>
      <c r="ER73" s="150">
        <f t="shared" si="262"/>
        <v>0.2414</v>
      </c>
      <c r="ES73" s="456"/>
      <c r="EU73" s="144">
        <f t="shared" si="299"/>
        <v>995.77500000000009</v>
      </c>
      <c r="EV73" s="456">
        <f t="shared" si="263"/>
        <v>0.12874062809697226</v>
      </c>
      <c r="EW73" s="456">
        <f t="shared" si="300"/>
        <v>5.2092065503571108E-2</v>
      </c>
      <c r="EX73" s="456">
        <f t="shared" si="264"/>
        <v>7.0710799213000797E-3</v>
      </c>
      <c r="EY73" s="456">
        <f t="shared" si="265"/>
        <v>32.367401730078967</v>
      </c>
      <c r="EZ73" s="456">
        <f t="shared" si="266"/>
        <v>33.097940644681053</v>
      </c>
      <c r="FA73" s="538">
        <f t="shared" si="267"/>
        <v>8.3012858710124107E-2</v>
      </c>
      <c r="FB73" s="144">
        <f t="shared" si="301"/>
        <v>33180.953503391182</v>
      </c>
      <c r="FC73" s="150">
        <f t="shared" si="302"/>
        <v>36.910001128590885</v>
      </c>
      <c r="FD73" s="5">
        <f t="shared" si="303"/>
        <v>61.88</v>
      </c>
      <c r="FE73" s="150">
        <f t="shared" si="304"/>
        <v>0.62637918102109691</v>
      </c>
      <c r="FF73" s="5">
        <f t="shared" si="305"/>
        <v>62.637918102109694</v>
      </c>
      <c r="FG73">
        <f t="shared" si="306"/>
        <v>68</v>
      </c>
      <c r="FI73" s="59">
        <f t="shared" si="268"/>
        <v>-50</v>
      </c>
      <c r="FJ73">
        <f t="shared" si="269"/>
        <v>-50</v>
      </c>
      <c r="FL73">
        <f t="shared" si="270"/>
        <v>0.56766977275315589</v>
      </c>
    </row>
    <row r="74" spans="5:168">
      <c r="E74" s="147">
        <v>69</v>
      </c>
      <c r="F74" s="188">
        <f t="shared" si="307"/>
        <v>0.34499999999999997</v>
      </c>
      <c r="G74" s="188">
        <f t="shared" si="271"/>
        <v>0.34499999999999997</v>
      </c>
      <c r="H74" s="188">
        <f t="shared" si="176"/>
        <v>58.65</v>
      </c>
      <c r="I74" s="188">
        <f t="shared" si="308"/>
        <v>4.1399999999999997</v>
      </c>
      <c r="J74" s="465">
        <f t="shared" si="177"/>
        <v>11.924131338657398</v>
      </c>
      <c r="K74" s="379">
        <f t="shared" si="178"/>
        <v>8.670337865355167</v>
      </c>
      <c r="L74" s="149">
        <f t="shared" si="179"/>
        <v>20.594469204012565</v>
      </c>
      <c r="M74" s="379"/>
      <c r="N74" s="188">
        <f t="shared" si="180"/>
        <v>0.42100322079026264</v>
      </c>
      <c r="O74" s="149">
        <f t="shared" si="272"/>
        <v>156.30340820130917</v>
      </c>
      <c r="P74" s="149">
        <f t="shared" si="181"/>
        <v>11.033181755386529</v>
      </c>
      <c r="Q74" s="188">
        <f t="shared" si="182"/>
        <v>0.91943181294887744</v>
      </c>
      <c r="R74" s="188">
        <f t="shared" si="183"/>
        <v>13.025284016775764</v>
      </c>
      <c r="S74" s="379">
        <f t="shared" si="184"/>
        <v>170</v>
      </c>
      <c r="T74" s="188">
        <f t="shared" si="185"/>
        <v>25.015449406990289</v>
      </c>
      <c r="U74" s="188">
        <f t="shared" si="186"/>
        <v>3.146826636237837</v>
      </c>
      <c r="V74" s="188">
        <f t="shared" si="187"/>
        <v>4.3277637726691234</v>
      </c>
      <c r="W74" s="172">
        <f t="shared" si="188"/>
        <v>251.00488493504355</v>
      </c>
      <c r="X74" s="379">
        <f t="shared" si="273"/>
        <v>130.30011332453935</v>
      </c>
      <c r="Z74" s="188">
        <f t="shared" si="189"/>
        <v>13.333333333333334</v>
      </c>
      <c r="AA74" s="150">
        <f t="shared" si="190"/>
        <v>2.3067151834896498</v>
      </c>
      <c r="AB74" s="150">
        <f t="shared" si="191"/>
        <v>0.1802737224645703</v>
      </c>
      <c r="AC74" s="150"/>
      <c r="AD74" s="150">
        <f t="shared" si="192"/>
        <v>2.3067151834896498</v>
      </c>
      <c r="AE74" s="314">
        <f t="shared" si="193"/>
        <v>480.36221873439774</v>
      </c>
      <c r="AF74" s="456">
        <f t="shared" si="194"/>
        <v>0.1802737224645703</v>
      </c>
      <c r="AH74" s="150">
        <f t="shared" si="195"/>
        <v>15.466091943344964</v>
      </c>
      <c r="AI74" s="150">
        <f t="shared" si="196"/>
        <v>25.015449406990289</v>
      </c>
      <c r="AJ74" s="150">
        <f t="shared" si="197"/>
        <v>9.8534193138199644</v>
      </c>
      <c r="AL74" s="314">
        <f t="shared" si="198"/>
        <v>345</v>
      </c>
      <c r="AM74" s="144">
        <f t="shared" si="199"/>
        <v>130.30011332453935</v>
      </c>
      <c r="AO74">
        <f t="shared" si="274"/>
        <v>345</v>
      </c>
      <c r="AP74">
        <f t="shared" si="200"/>
        <v>130.30011332453935</v>
      </c>
      <c r="AR74" s="5">
        <f t="shared" si="275"/>
        <v>7.6745904089069628</v>
      </c>
      <c r="AS74" s="5">
        <f t="shared" si="201"/>
        <v>3.146826636237837</v>
      </c>
      <c r="AT74" s="5">
        <f t="shared" si="276"/>
        <v>4.5277637726691253</v>
      </c>
      <c r="AU74" s="150">
        <f t="shared" si="277"/>
        <v>0.41003186731446911</v>
      </c>
      <c r="AW74" s="5">
        <f t="shared" si="202"/>
        <v>0.63862069970709034</v>
      </c>
      <c r="AX74" s="5">
        <f t="shared" si="203"/>
        <v>9.0471265791837805</v>
      </c>
      <c r="AY74" s="5">
        <f t="shared" si="204"/>
        <v>37.117077647707326</v>
      </c>
      <c r="AZ74" s="5"/>
      <c r="BA74" s="150">
        <f t="shared" si="278"/>
        <v>9.2481845497646749</v>
      </c>
      <c r="BB74" s="150">
        <f t="shared" si="205"/>
        <v>0.51809511411034748</v>
      </c>
      <c r="BC74" s="150">
        <f t="shared" si="206"/>
        <v>0.49285702491195732</v>
      </c>
      <c r="BD74" s="150"/>
      <c r="BE74" s="456">
        <f t="shared" si="207"/>
        <v>0.29079831938612055</v>
      </c>
      <c r="BF74" s="456">
        <f t="shared" si="208"/>
        <v>1.6077155920974493</v>
      </c>
      <c r="BG74" s="456">
        <f t="shared" si="209"/>
        <v>7.1160177444347772E-2</v>
      </c>
      <c r="BH74" s="456">
        <f t="shared" si="210"/>
        <v>3.7856161091334162E-2</v>
      </c>
      <c r="BI74">
        <f t="shared" si="211"/>
        <v>5.3658591023958294E-3</v>
      </c>
      <c r="BJ74" s="144">
        <f t="shared" si="279"/>
        <v>76.526036546743597</v>
      </c>
      <c r="BK74">
        <f t="shared" si="212"/>
        <v>2.1644343549996159</v>
      </c>
      <c r="BL74" s="144">
        <f t="shared" si="280"/>
        <v>2164.4343549996161</v>
      </c>
      <c r="BM74" s="150">
        <f t="shared" si="213"/>
        <v>0.76546874999999992</v>
      </c>
      <c r="BN74" s="150">
        <f t="shared" si="214"/>
        <v>0.24494999999999995</v>
      </c>
      <c r="BO74" s="456"/>
      <c r="BQ74" s="144">
        <f t="shared" si="281"/>
        <v>1010.4187499999999</v>
      </c>
      <c r="BR74" s="456">
        <f t="shared" si="215"/>
        <v>0.12829337619975906</v>
      </c>
      <c r="BS74" s="456">
        <f t="shared" si="216"/>
        <v>5.3684509453002793E-2</v>
      </c>
      <c r="BT74" s="456">
        <f t="shared" si="217"/>
        <v>7.2872414101519713E-3</v>
      </c>
      <c r="BU74" s="456">
        <f t="shared" si="218"/>
        <v>30.328627814050868</v>
      </c>
      <c r="BV74" s="456">
        <f t="shared" si="219"/>
        <v>31.033196725319769</v>
      </c>
      <c r="BW74" s="538">
        <f t="shared" si="220"/>
        <v>8.1538254902493904E-2</v>
      </c>
      <c r="BX74" s="144">
        <f t="shared" si="282"/>
        <v>31114.734980222263</v>
      </c>
      <c r="BY74" s="150">
        <f t="shared" si="283"/>
        <v>34.28958808522188</v>
      </c>
      <c r="BZ74" s="5">
        <f t="shared" si="284"/>
        <v>62.79</v>
      </c>
      <c r="CA74" s="150">
        <f t="shared" si="285"/>
        <v>0.64678890010204249</v>
      </c>
      <c r="CB74" s="5">
        <f t="shared" si="286"/>
        <v>64.678890010204242</v>
      </c>
      <c r="CC74">
        <f t="shared" si="287"/>
        <v>69</v>
      </c>
      <c r="CE74" s="59">
        <f t="shared" si="221"/>
        <v>-50</v>
      </c>
      <c r="CF74">
        <f t="shared" si="222"/>
        <v>-50</v>
      </c>
      <c r="CG74" s="150">
        <f t="shared" si="223"/>
        <v>0.56766977275315589</v>
      </c>
      <c r="CH74" s="150">
        <f t="shared" si="224"/>
        <v>0.15382552837714242</v>
      </c>
      <c r="CI74" s="147">
        <v>69</v>
      </c>
      <c r="CJ74" s="188">
        <f t="shared" si="309"/>
        <v>0.34499999999999997</v>
      </c>
      <c r="CK74" s="188">
        <f t="shared" si="288"/>
        <v>0.34499999999999997</v>
      </c>
      <c r="CL74" s="188">
        <f t="shared" si="225"/>
        <v>58.65</v>
      </c>
      <c r="CM74" s="188">
        <f t="shared" si="310"/>
        <v>4.1399999999999997</v>
      </c>
      <c r="CN74" s="465">
        <f t="shared" si="289"/>
        <v>12</v>
      </c>
      <c r="CO74" s="379">
        <f t="shared" si="226"/>
        <v>8.625</v>
      </c>
      <c r="CP74" s="379">
        <f t="shared" si="227"/>
        <v>20.625</v>
      </c>
      <c r="CQ74" s="379"/>
      <c r="CR74" s="188">
        <f t="shared" si="228"/>
        <v>0.4156318480642805</v>
      </c>
      <c r="CS74" s="149">
        <f t="shared" si="290"/>
        <v>155.29102015588504</v>
      </c>
      <c r="CT74" s="149">
        <f t="shared" si="229"/>
        <v>10.961719069827179</v>
      </c>
      <c r="CU74" s="188">
        <f t="shared" si="230"/>
        <v>0.91347658915226493</v>
      </c>
      <c r="CV74" s="188">
        <f t="shared" si="231"/>
        <v>12.940918346323754</v>
      </c>
      <c r="CW74" s="379">
        <f t="shared" si="232"/>
        <v>170</v>
      </c>
      <c r="CX74" s="188">
        <f t="shared" si="233"/>
        <v>25.178532513181018</v>
      </c>
      <c r="CY74" s="188">
        <f t="shared" si="234"/>
        <v>3.1473165641476277</v>
      </c>
      <c r="CZ74" s="188">
        <f t="shared" si="235"/>
        <v>4.378875219683656</v>
      </c>
      <c r="DA74" s="172">
        <f t="shared" si="236"/>
        <v>250.90909090909091</v>
      </c>
      <c r="DB74" s="379">
        <f t="shared" si="291"/>
        <v>132.86932205851124</v>
      </c>
      <c r="DD74" s="188">
        <f t="shared" si="237"/>
        <v>13.333333333333332</v>
      </c>
      <c r="DE74" s="150">
        <f t="shared" si="238"/>
        <v>2.318840579710145</v>
      </c>
      <c r="DF74" s="150">
        <f t="shared" si="239"/>
        <v>0.18115218115218115</v>
      </c>
      <c r="DG74" s="150"/>
      <c r="DH74" s="150">
        <f t="shared" si="240"/>
        <v>2.3188405797101455</v>
      </c>
      <c r="DI74" s="314">
        <f t="shared" si="241"/>
        <v>477.85036764705865</v>
      </c>
      <c r="DJ74" s="456">
        <f t="shared" si="242"/>
        <v>0.18115218115218121</v>
      </c>
      <c r="DL74" s="150">
        <f t="shared" si="243"/>
        <v>15.466091943344964</v>
      </c>
      <c r="DM74" s="150">
        <f t="shared" si="244"/>
        <v>25.178532513181018</v>
      </c>
      <c r="DN74" s="150">
        <f t="shared" si="245"/>
        <v>9.9742216147019871</v>
      </c>
      <c r="DP74" s="314">
        <f t="shared" si="246"/>
        <v>345</v>
      </c>
      <c r="DQ74" s="144">
        <f t="shared" si="247"/>
        <v>132.86932205851124</v>
      </c>
      <c r="DS74">
        <f t="shared" si="292"/>
        <v>345</v>
      </c>
      <c r="DT74">
        <f t="shared" si="248"/>
        <v>132.86932205851124</v>
      </c>
      <c r="DV74" s="5">
        <f t="shared" si="293"/>
        <v>7.5261917838312833</v>
      </c>
      <c r="DW74" s="5">
        <f t="shared" si="249"/>
        <v>3.1473165641476277</v>
      </c>
      <c r="DX74" s="5">
        <f t="shared" si="294"/>
        <v>4.3788752196836551</v>
      </c>
      <c r="DY74" s="150">
        <f t="shared" si="295"/>
        <v>0.41818181818181821</v>
      </c>
      <c r="EA74" s="5">
        <f t="shared" si="250"/>
        <v>0.63872012625348906</v>
      </c>
      <c r="EB74" s="5">
        <f t="shared" si="251"/>
        <v>9.048535121924429</v>
      </c>
      <c r="EC74" s="5">
        <f t="shared" si="252"/>
        <v>35.669587727006437</v>
      </c>
      <c r="ED74" s="5"/>
      <c r="EE74" s="150">
        <f t="shared" si="296"/>
        <v>9.4005304456710945</v>
      </c>
      <c r="EF74" s="150">
        <f t="shared" si="253"/>
        <v>0.51785833324523123</v>
      </c>
      <c r="EG74" s="150">
        <f t="shared" si="254"/>
        <v>0.49263177840883671</v>
      </c>
      <c r="EH74" s="150"/>
      <c r="EI74" s="456">
        <f t="shared" si="255"/>
        <v>0.30045790704396325</v>
      </c>
      <c r="EJ74" s="456">
        <f t="shared" si="256"/>
        <v>2.0975999999999995</v>
      </c>
      <c r="EK74" s="456">
        <f t="shared" si="257"/>
        <v>3.0427074751399077E-2</v>
      </c>
      <c r="EL74" s="456">
        <f t="shared" si="258"/>
        <v>3.8717134308350519E-2</v>
      </c>
      <c r="EM74">
        <f t="shared" si="259"/>
        <v>5.4000000000000003E-3</v>
      </c>
      <c r="EN74" s="144">
        <f t="shared" si="297"/>
        <v>35.827074751399074</v>
      </c>
      <c r="EO74">
        <f t="shared" si="260"/>
        <v>2.7500484028924546</v>
      </c>
      <c r="EP74" s="144">
        <f t="shared" si="298"/>
        <v>2750.0484028924548</v>
      </c>
      <c r="EQ74" s="150">
        <f t="shared" si="261"/>
        <v>0.76546874999999992</v>
      </c>
      <c r="ER74" s="150">
        <f t="shared" si="262"/>
        <v>0.24494999999999995</v>
      </c>
      <c r="ES74" s="456"/>
      <c r="EU74" s="144">
        <f t="shared" si="299"/>
        <v>1010.4187499999999</v>
      </c>
      <c r="EV74" s="456">
        <f t="shared" si="263"/>
        <v>0.13255495898998379</v>
      </c>
      <c r="EW74" s="456">
        <f t="shared" si="300"/>
        <v>5.3635450662305795E-2</v>
      </c>
      <c r="EX74" s="456">
        <f t="shared" si="264"/>
        <v>7.2805820729475957E-3</v>
      </c>
      <c r="EY74" s="456">
        <f t="shared" si="265"/>
        <v>32.367401730078967</v>
      </c>
      <c r="EZ74" s="456">
        <f t="shared" si="266"/>
        <v>33.119925343991696</v>
      </c>
      <c r="FA74" s="538">
        <f t="shared" si="267"/>
        <v>8.4233636044096491E-2</v>
      </c>
      <c r="FB74" s="144">
        <f t="shared" si="301"/>
        <v>33204.158980035791</v>
      </c>
      <c r="FC74" s="150">
        <f t="shared" si="302"/>
        <v>36.964626132928245</v>
      </c>
      <c r="FD74" s="5">
        <f t="shared" si="303"/>
        <v>62.79</v>
      </c>
      <c r="FE74" s="150">
        <f t="shared" si="304"/>
        <v>0.62944449229180655</v>
      </c>
      <c r="FF74" s="5">
        <f t="shared" si="305"/>
        <v>62.944449229180655</v>
      </c>
      <c r="FG74">
        <f t="shared" si="306"/>
        <v>69</v>
      </c>
      <c r="FI74" s="59">
        <f t="shared" si="268"/>
        <v>-50</v>
      </c>
      <c r="FJ74">
        <f t="shared" si="269"/>
        <v>-50</v>
      </c>
      <c r="FL74">
        <f t="shared" si="270"/>
        <v>0.56766977275315589</v>
      </c>
    </row>
    <row r="75" spans="5:168">
      <c r="E75" s="147">
        <v>70</v>
      </c>
      <c r="F75" s="188">
        <f t="shared" si="307"/>
        <v>0.35</v>
      </c>
      <c r="G75" s="188">
        <f t="shared" si="271"/>
        <v>0.35</v>
      </c>
      <c r="H75" s="188">
        <f t="shared" si="176"/>
        <v>59.499999999999993</v>
      </c>
      <c r="I75" s="188">
        <f t="shared" si="308"/>
        <v>4.1999999999999993</v>
      </c>
      <c r="J75" s="465">
        <f t="shared" si="177"/>
        <v>11.923031792840838</v>
      </c>
      <c r="K75" s="379">
        <f t="shared" si="178"/>
        <v>8.6709949358675598</v>
      </c>
      <c r="L75" s="149">
        <f t="shared" si="179"/>
        <v>20.5940267287084</v>
      </c>
      <c r="M75" s="379"/>
      <c r="N75" s="188">
        <f t="shared" si="180"/>
        <v>0.42104417218124979</v>
      </c>
      <c r="O75" s="149">
        <f t="shared" si="272"/>
        <v>156.30419756195181</v>
      </c>
      <c r="P75" s="149">
        <f t="shared" si="181"/>
        <v>11.033237474961306</v>
      </c>
      <c r="Q75" s="188">
        <f t="shared" si="182"/>
        <v>0.91943645624677539</v>
      </c>
      <c r="R75" s="188">
        <f t="shared" si="183"/>
        <v>13.025349796829317</v>
      </c>
      <c r="S75" s="379">
        <f t="shared" si="184"/>
        <v>170</v>
      </c>
      <c r="T75" s="188">
        <f t="shared" si="185"/>
        <v>25.377863989189809</v>
      </c>
      <c r="U75" s="188">
        <f t="shared" si="186"/>
        <v>3.1927111027785613</v>
      </c>
      <c r="V75" s="188">
        <f t="shared" si="187"/>
        <v>4.3901301137106499</v>
      </c>
      <c r="W75" s="172">
        <f t="shared" si="188"/>
        <v>251.00615255536968</v>
      </c>
      <c r="X75" s="379">
        <f t="shared" si="273"/>
        <v>128.48778128498083</v>
      </c>
      <c r="Z75" s="188">
        <f t="shared" si="189"/>
        <v>13.333333333333334</v>
      </c>
      <c r="AA75" s="150">
        <f t="shared" si="190"/>
        <v>2.306540385264213</v>
      </c>
      <c r="AB75" s="150">
        <f t="shared" si="191"/>
        <v>0.18026097203147903</v>
      </c>
      <c r="AC75" s="150"/>
      <c r="AD75" s="150">
        <f t="shared" si="192"/>
        <v>2.306540385264213</v>
      </c>
      <c r="AE75" s="314">
        <f t="shared" si="193"/>
        <v>487.36092124832066</v>
      </c>
      <c r="AF75" s="456">
        <f t="shared" si="194"/>
        <v>0.18026097203147903</v>
      </c>
      <c r="AH75" s="150">
        <f t="shared" si="195"/>
        <v>15.577761927397228</v>
      </c>
      <c r="AI75" s="150">
        <f t="shared" si="196"/>
        <v>25.377863989189809</v>
      </c>
      <c r="AJ75" s="150">
        <f t="shared" si="197"/>
        <v>10.121874559893685</v>
      </c>
      <c r="AL75" s="314">
        <f t="shared" si="198"/>
        <v>350</v>
      </c>
      <c r="AM75" s="144">
        <f t="shared" si="199"/>
        <v>128.48778128498083</v>
      </c>
      <c r="AO75">
        <f t="shared" si="274"/>
        <v>350</v>
      </c>
      <c r="AP75">
        <f t="shared" si="200"/>
        <v>128.48778128498083</v>
      </c>
      <c r="AR75" s="5">
        <f t="shared" si="275"/>
        <v>7.7828412164892127</v>
      </c>
      <c r="AS75" s="5">
        <f t="shared" si="201"/>
        <v>3.1927111027785613</v>
      </c>
      <c r="AT75" s="5">
        <f t="shared" si="276"/>
        <v>4.5901301137106518</v>
      </c>
      <c r="AU75" s="150">
        <f t="shared" si="277"/>
        <v>0.41022436587994171</v>
      </c>
      <c r="AW75" s="5">
        <f t="shared" si="202"/>
        <v>0.6573228741014685</v>
      </c>
      <c r="AX75" s="5">
        <f t="shared" si="203"/>
        <v>9.3120740497708034</v>
      </c>
      <c r="AY75" s="5">
        <f t="shared" si="204"/>
        <v>38.177194429380755</v>
      </c>
      <c r="AZ75" s="5"/>
      <c r="BA75" s="150">
        <f t="shared" si="278"/>
        <v>9.3843709035747036</v>
      </c>
      <c r="BB75" s="150">
        <f t="shared" si="205"/>
        <v>0.52551532933845901</v>
      </c>
      <c r="BC75" s="150">
        <f t="shared" si="206"/>
        <v>0.49991577744972887</v>
      </c>
      <c r="BD75" s="150"/>
      <c r="BE75" s="456">
        <f t="shared" si="207"/>
        <v>0.29942581866992229</v>
      </c>
      <c r="BF75" s="456">
        <f t="shared" si="208"/>
        <v>1.6082874948645607</v>
      </c>
      <c r="BG75" s="456">
        <f t="shared" si="209"/>
        <v>7.0163946677360214E-2</v>
      </c>
      <c r="BH75" s="456">
        <f t="shared" si="210"/>
        <v>3.7328019253801324E-2</v>
      </c>
      <c r="BI75">
        <f t="shared" si="211"/>
        <v>5.3653643067783771E-3</v>
      </c>
      <c r="BJ75" s="144">
        <f t="shared" si="279"/>
        <v>75.52931098413859</v>
      </c>
      <c r="BK75">
        <f t="shared" si="212"/>
        <v>2.1810543031701326</v>
      </c>
      <c r="BL75" s="144">
        <f t="shared" si="280"/>
        <v>2181.0543031701327</v>
      </c>
      <c r="BM75" s="150">
        <f t="shared" si="213"/>
        <v>0.77656249999999993</v>
      </c>
      <c r="BN75" s="150">
        <f t="shared" si="214"/>
        <v>0.24849999999999997</v>
      </c>
      <c r="BO75" s="456"/>
      <c r="BQ75" s="144">
        <f t="shared" si="281"/>
        <v>1025.0625</v>
      </c>
      <c r="BR75" s="456">
        <f t="shared" si="215"/>
        <v>0.13209962588378926</v>
      </c>
      <c r="BS75" s="456">
        <f t="shared" si="216"/>
        <v>5.5233272273941814E-2</v>
      </c>
      <c r="BT75" s="456">
        <f t="shared" si="217"/>
        <v>7.4974735362950051E-3</v>
      </c>
      <c r="BU75" s="456">
        <f t="shared" si="218"/>
        <v>30.357237098676222</v>
      </c>
      <c r="BV75" s="456">
        <f t="shared" si="219"/>
        <v>31.08330450113154</v>
      </c>
      <c r="BW75" s="538">
        <f t="shared" si="220"/>
        <v>8.2750754221905767E-2</v>
      </c>
      <c r="BX75" s="144">
        <f t="shared" si="282"/>
        <v>31166.055255353443</v>
      </c>
      <c r="BY75" s="150">
        <f t="shared" si="283"/>
        <v>34.372172058523574</v>
      </c>
      <c r="BZ75" s="5">
        <f t="shared" si="284"/>
        <v>63.699999999999989</v>
      </c>
      <c r="CA75" s="150">
        <f t="shared" si="285"/>
        <v>0.64952166004835366</v>
      </c>
      <c r="CB75" s="5">
        <f t="shared" si="286"/>
        <v>64.952166004835362</v>
      </c>
      <c r="CC75">
        <f t="shared" si="287"/>
        <v>70</v>
      </c>
      <c r="CE75" s="59">
        <f t="shared" si="221"/>
        <v>-50</v>
      </c>
      <c r="CF75">
        <f t="shared" si="222"/>
        <v>-50</v>
      </c>
      <c r="CG75" s="150">
        <f t="shared" si="223"/>
        <v>0.56766977275315589</v>
      </c>
      <c r="CH75" s="150">
        <f t="shared" si="224"/>
        <v>0.15382552837714242</v>
      </c>
      <c r="CI75" s="147">
        <v>70</v>
      </c>
      <c r="CJ75" s="188">
        <f t="shared" si="309"/>
        <v>0.35</v>
      </c>
      <c r="CK75" s="188">
        <f t="shared" si="288"/>
        <v>0.35</v>
      </c>
      <c r="CL75" s="188">
        <f t="shared" si="225"/>
        <v>59.499999999999993</v>
      </c>
      <c r="CM75" s="188">
        <f t="shared" si="310"/>
        <v>4.1999999999999993</v>
      </c>
      <c r="CN75" s="465">
        <f t="shared" si="289"/>
        <v>12</v>
      </c>
      <c r="CO75" s="379">
        <f t="shared" si="226"/>
        <v>8.625</v>
      </c>
      <c r="CP75" s="379">
        <f t="shared" si="227"/>
        <v>20.625</v>
      </c>
      <c r="CQ75" s="379"/>
      <c r="CR75" s="188">
        <f t="shared" si="228"/>
        <v>0.4156318480642805</v>
      </c>
      <c r="CS75" s="149">
        <f t="shared" si="290"/>
        <v>155.29102015588504</v>
      </c>
      <c r="CT75" s="149">
        <f t="shared" si="229"/>
        <v>10.961719069827179</v>
      </c>
      <c r="CU75" s="188">
        <f t="shared" si="230"/>
        <v>0.91347658915226493</v>
      </c>
      <c r="CV75" s="188">
        <f t="shared" si="231"/>
        <v>12.940918346323754</v>
      </c>
      <c r="CW75" s="379">
        <f t="shared" si="232"/>
        <v>170</v>
      </c>
      <c r="CX75" s="188">
        <f t="shared" si="233"/>
        <v>25.543438781487986</v>
      </c>
      <c r="CY75" s="188">
        <f t="shared" si="234"/>
        <v>3.1929298476859982</v>
      </c>
      <c r="CZ75" s="188">
        <f t="shared" si="235"/>
        <v>4.4423371793892148</v>
      </c>
      <c r="DA75" s="172">
        <f t="shared" si="236"/>
        <v>250.90909090909091</v>
      </c>
      <c r="DB75" s="379">
        <f t="shared" si="291"/>
        <v>130.97118888624684</v>
      </c>
      <c r="DD75" s="188">
        <f t="shared" si="237"/>
        <v>13.333333333333332</v>
      </c>
      <c r="DE75" s="150">
        <f t="shared" si="238"/>
        <v>2.318840579710145</v>
      </c>
      <c r="DF75" s="150">
        <f t="shared" si="239"/>
        <v>0.18115218115218115</v>
      </c>
      <c r="DG75" s="150"/>
      <c r="DH75" s="150">
        <f t="shared" si="240"/>
        <v>2.3188405797101455</v>
      </c>
      <c r="DI75" s="314">
        <f t="shared" si="241"/>
        <v>484.77573529411745</v>
      </c>
      <c r="DJ75" s="456">
        <f t="shared" si="242"/>
        <v>0.18115218115218121</v>
      </c>
      <c r="DL75" s="150">
        <f t="shared" si="243"/>
        <v>15.577761927397228</v>
      </c>
      <c r="DM75" s="150">
        <f t="shared" si="244"/>
        <v>25.543438781487986</v>
      </c>
      <c r="DN75" s="150">
        <f t="shared" si="245"/>
        <v>10.244522554188629</v>
      </c>
      <c r="DP75" s="314">
        <f t="shared" si="246"/>
        <v>350</v>
      </c>
      <c r="DQ75" s="144">
        <f t="shared" si="247"/>
        <v>130.97118888624684</v>
      </c>
      <c r="DS75">
        <f t="shared" si="292"/>
        <v>350</v>
      </c>
      <c r="DT75">
        <f t="shared" si="248"/>
        <v>130.97118888624684</v>
      </c>
      <c r="DV75" s="5">
        <f t="shared" si="293"/>
        <v>7.635267027075213</v>
      </c>
      <c r="DW75" s="5">
        <f t="shared" si="249"/>
        <v>3.1929298476859982</v>
      </c>
      <c r="DX75" s="5">
        <f t="shared" si="294"/>
        <v>4.4423371793892148</v>
      </c>
      <c r="DY75" s="150">
        <f t="shared" si="295"/>
        <v>0.41818181818181821</v>
      </c>
      <c r="EA75" s="5">
        <f t="shared" si="250"/>
        <v>0.65736790981770543</v>
      </c>
      <c r="EB75" s="5">
        <f t="shared" si="251"/>
        <v>9.3127120557508274</v>
      </c>
      <c r="EC75" s="5">
        <f t="shared" si="252"/>
        <v>36.710980857452533</v>
      </c>
      <c r="ED75" s="5"/>
      <c r="EE75" s="150">
        <f t="shared" si="296"/>
        <v>9.5367700173474859</v>
      </c>
      <c r="EF75" s="150">
        <f t="shared" si="253"/>
        <v>0.52536352648066931</v>
      </c>
      <c r="EG75" s="150">
        <f t="shared" si="254"/>
        <v>0.49977136940026906</v>
      </c>
      <c r="EH75" s="150"/>
      <c r="EI75" s="456">
        <f t="shared" si="255"/>
        <v>0.30922994003684506</v>
      </c>
      <c r="EJ75" s="456">
        <f t="shared" si="256"/>
        <v>2.0975999999999999</v>
      </c>
      <c r="EK75" s="456">
        <f t="shared" si="257"/>
        <v>2.9992402254950527E-2</v>
      </c>
      <c r="EL75" s="456">
        <f t="shared" si="258"/>
        <v>3.8164032389659812E-2</v>
      </c>
      <c r="EM75">
        <f t="shared" si="259"/>
        <v>5.4000000000000003E-3</v>
      </c>
      <c r="EN75" s="144">
        <f t="shared" si="297"/>
        <v>35.392402254950532</v>
      </c>
      <c r="EO75">
        <f t="shared" si="260"/>
        <v>2.7671924853693115</v>
      </c>
      <c r="EP75" s="144">
        <f t="shared" si="298"/>
        <v>2767.1924853693117</v>
      </c>
      <c r="EQ75" s="150">
        <f t="shared" si="261"/>
        <v>0.77656249999999993</v>
      </c>
      <c r="ER75" s="150">
        <f t="shared" si="262"/>
        <v>0.24849999999999997</v>
      </c>
      <c r="ES75" s="456"/>
      <c r="EU75" s="144">
        <f t="shared" si="299"/>
        <v>1025.0625</v>
      </c>
      <c r="EV75" s="456">
        <f t="shared" si="263"/>
        <v>0.13642497354566693</v>
      </c>
      <c r="EW75" s="456">
        <f t="shared" si="300"/>
        <v>5.5201366991240987E-2</v>
      </c>
      <c r="EX75" s="456">
        <f t="shared" si="264"/>
        <v>7.4931426501666058E-3</v>
      </c>
      <c r="EY75" s="456">
        <f t="shared" si="265"/>
        <v>32.367401730079031</v>
      </c>
      <c r="EZ75" s="456">
        <f t="shared" si="266"/>
        <v>33.142251325681059</v>
      </c>
      <c r="FA75" s="538">
        <f t="shared" si="267"/>
        <v>8.5454413378068902E-2</v>
      </c>
      <c r="FB75" s="144">
        <f t="shared" si="301"/>
        <v>33227.705739059122</v>
      </c>
      <c r="FC75" s="150">
        <f t="shared" si="302"/>
        <v>37.019960724428437</v>
      </c>
      <c r="FD75" s="5">
        <f t="shared" si="303"/>
        <v>63.699999999999989</v>
      </c>
      <c r="FE75" s="150">
        <f t="shared" si="304"/>
        <v>0.63244663264200729</v>
      </c>
      <c r="FF75" s="5">
        <f t="shared" si="305"/>
        <v>63.244663264200732</v>
      </c>
      <c r="FG75">
        <f t="shared" si="306"/>
        <v>70</v>
      </c>
      <c r="FI75" s="59">
        <f t="shared" si="268"/>
        <v>-50</v>
      </c>
      <c r="FJ75">
        <f t="shared" si="269"/>
        <v>-50</v>
      </c>
      <c r="FL75">
        <f t="shared" si="270"/>
        <v>0.56766977275315589</v>
      </c>
    </row>
    <row r="76" spans="5:168">
      <c r="E76" s="147">
        <v>71</v>
      </c>
      <c r="F76" s="188">
        <f t="shared" si="307"/>
        <v>0.35499999999999998</v>
      </c>
      <c r="G76" s="188">
        <f t="shared" si="271"/>
        <v>0.35499999999999998</v>
      </c>
      <c r="H76" s="188">
        <f t="shared" si="176"/>
        <v>60.349999999999994</v>
      </c>
      <c r="I76" s="188">
        <f t="shared" si="308"/>
        <v>4.26</v>
      </c>
      <c r="J76" s="465">
        <f t="shared" si="177"/>
        <v>11.921932247024278</v>
      </c>
      <c r="K76" s="379">
        <f t="shared" si="178"/>
        <v>8.6716520063799543</v>
      </c>
      <c r="L76" s="149">
        <f t="shared" si="179"/>
        <v>20.593584253404231</v>
      </c>
      <c r="M76" s="379"/>
      <c r="N76" s="188">
        <f t="shared" si="180"/>
        <v>0.42108512533200643</v>
      </c>
      <c r="O76" s="149">
        <f t="shared" si="272"/>
        <v>156.30498477187626</v>
      </c>
      <c r="P76" s="149">
        <f t="shared" si="181"/>
        <v>11.033293042720677</v>
      </c>
      <c r="Q76" s="188">
        <f t="shared" si="182"/>
        <v>0.91944108689338977</v>
      </c>
      <c r="R76" s="188">
        <f t="shared" si="183"/>
        <v>13.025415397656355</v>
      </c>
      <c r="S76" s="379">
        <f t="shared" si="184"/>
        <v>170</v>
      </c>
      <c r="T76" s="188">
        <f t="shared" si="185"/>
        <v>25.740275265087046</v>
      </c>
      <c r="U76" s="188">
        <f t="shared" si="186"/>
        <v>3.2386036170661638</v>
      </c>
      <c r="V76" s="188">
        <f t="shared" si="187"/>
        <v>4.4524864315615877</v>
      </c>
      <c r="W76" s="172">
        <f t="shared" si="188"/>
        <v>251.00741672189534</v>
      </c>
      <c r="X76" s="379">
        <f t="shared" si="273"/>
        <v>126.72520448222465</v>
      </c>
      <c r="Z76" s="188">
        <f t="shared" si="189"/>
        <v>13.333333333333334</v>
      </c>
      <c r="AA76" s="150">
        <f t="shared" si="190"/>
        <v>2.3063656135284827</v>
      </c>
      <c r="AB76" s="150">
        <f t="shared" si="191"/>
        <v>0.18024822105047425</v>
      </c>
      <c r="AC76" s="150"/>
      <c r="AD76" s="150">
        <f t="shared" si="192"/>
        <v>2.3063656135284827</v>
      </c>
      <c r="AE76" s="314">
        <f t="shared" si="193"/>
        <v>494.36067894018413</v>
      </c>
      <c r="AF76" s="456">
        <f t="shared" si="194"/>
        <v>0.18024822105047425</v>
      </c>
      <c r="AH76" s="150">
        <f t="shared" si="195"/>
        <v>15.688637076984518</v>
      </c>
      <c r="AI76" s="150">
        <f t="shared" si="196"/>
        <v>25.740275265087046</v>
      </c>
      <c r="AJ76" s="150">
        <f t="shared" si="197"/>
        <v>10.3903273568546</v>
      </c>
      <c r="AL76" s="314">
        <f t="shared" si="198"/>
        <v>355</v>
      </c>
      <c r="AM76" s="144">
        <f t="shared" si="199"/>
        <v>126.72520448222465</v>
      </c>
      <c r="AO76">
        <f t="shared" si="274"/>
        <v>355</v>
      </c>
      <c r="AP76">
        <f t="shared" si="200"/>
        <v>126.72520448222465</v>
      </c>
      <c r="AR76" s="5">
        <f t="shared" si="275"/>
        <v>7.8910900486277527</v>
      </c>
      <c r="AS76" s="5">
        <f t="shared" si="201"/>
        <v>3.2386036170661638</v>
      </c>
      <c r="AT76" s="5">
        <f t="shared" si="276"/>
        <v>4.6524864315615888</v>
      </c>
      <c r="AU76" s="150">
        <f t="shared" si="277"/>
        <v>0.41041270560958198</v>
      </c>
      <c r="AW76" s="5">
        <f t="shared" si="202"/>
        <v>0.67629663768146353</v>
      </c>
      <c r="AX76" s="5">
        <f t="shared" si="203"/>
        <v>9.5808690338207345</v>
      </c>
      <c r="AY76" s="5">
        <f t="shared" si="204"/>
        <v>39.25224400527636</v>
      </c>
      <c r="AZ76" s="5"/>
      <c r="BA76" s="150">
        <f t="shared" si="278"/>
        <v>9.5205701677241468</v>
      </c>
      <c r="BB76" s="150">
        <f t="shared" si="205"/>
        <v>0.53293489223401269</v>
      </c>
      <c r="BC76" s="150">
        <f t="shared" si="206"/>
        <v>0.50697390943217191</v>
      </c>
      <c r="BD76" s="150"/>
      <c r="BE76" s="456">
        <f t="shared" si="207"/>
        <v>0.30818027148310057</v>
      </c>
      <c r="BF76" s="456">
        <f t="shared" si="208"/>
        <v>1.6088429294880684</v>
      </c>
      <c r="BG76" s="456">
        <f t="shared" si="209"/>
        <v>6.9195066023693991E-2</v>
      </c>
      <c r="BH76" s="456">
        <f t="shared" si="210"/>
        <v>3.681437687381716E-2</v>
      </c>
      <c r="BI76">
        <f t="shared" si="211"/>
        <v>5.3648695111609248E-3</v>
      </c>
      <c r="BJ76" s="144">
        <f t="shared" si="279"/>
        <v>74.559935534854915</v>
      </c>
      <c r="BK76">
        <f t="shared" si="212"/>
        <v>2.1979911471524018</v>
      </c>
      <c r="BL76" s="144">
        <f t="shared" si="280"/>
        <v>2197.9911471524019</v>
      </c>
      <c r="BM76" s="150">
        <f t="shared" si="213"/>
        <v>0.78765624999999995</v>
      </c>
      <c r="BN76" s="150">
        <f t="shared" si="214"/>
        <v>0.25204999999999994</v>
      </c>
      <c r="BO76" s="456"/>
      <c r="BQ76" s="144">
        <f t="shared" si="281"/>
        <v>1039.7062499999997</v>
      </c>
      <c r="BR76" s="456">
        <f t="shared" si="215"/>
        <v>0.1359618844778385</v>
      </c>
      <c r="BS76" s="456">
        <f t="shared" si="216"/>
        <v>5.6803919872095744E-2</v>
      </c>
      <c r="BT76" s="456">
        <f t="shared" si="217"/>
        <v>7.7106763453482002E-3</v>
      </c>
      <c r="BU76" s="456">
        <f t="shared" si="218"/>
        <v>30.38508623846888</v>
      </c>
      <c r="BV76" s="456">
        <f t="shared" si="219"/>
        <v>31.132991683021238</v>
      </c>
      <c r="BW76" s="538">
        <f t="shared" si="220"/>
        <v>8.3963275876907578E-2</v>
      </c>
      <c r="BX76" s="144">
        <f t="shared" si="282"/>
        <v>31216.954958898146</v>
      </c>
      <c r="BY76" s="150">
        <f t="shared" si="283"/>
        <v>34.454652356050545</v>
      </c>
      <c r="BZ76" s="5">
        <f t="shared" si="284"/>
        <v>64.61</v>
      </c>
      <c r="CA76" s="150">
        <f t="shared" si="285"/>
        <v>0.65220034051887366</v>
      </c>
      <c r="CB76" s="5">
        <f t="shared" si="286"/>
        <v>65.220034051887367</v>
      </c>
      <c r="CC76">
        <f t="shared" si="287"/>
        <v>71</v>
      </c>
      <c r="CE76" s="59">
        <f t="shared" si="221"/>
        <v>-50</v>
      </c>
      <c r="CF76">
        <f t="shared" si="222"/>
        <v>-50</v>
      </c>
      <c r="CG76" s="150">
        <f t="shared" si="223"/>
        <v>0.56766977275315578</v>
      </c>
      <c r="CH76" s="150">
        <f t="shared" si="224"/>
        <v>0.15382552837714239</v>
      </c>
      <c r="CI76" s="147">
        <v>71</v>
      </c>
      <c r="CJ76" s="188">
        <f t="shared" si="309"/>
        <v>0.35499999999999998</v>
      </c>
      <c r="CK76" s="188">
        <f t="shared" si="288"/>
        <v>0.35499999999999998</v>
      </c>
      <c r="CL76" s="188">
        <f t="shared" si="225"/>
        <v>60.349999999999994</v>
      </c>
      <c r="CM76" s="188">
        <f t="shared" si="310"/>
        <v>4.26</v>
      </c>
      <c r="CN76" s="465">
        <f t="shared" si="289"/>
        <v>12</v>
      </c>
      <c r="CO76" s="379">
        <f t="shared" si="226"/>
        <v>8.625</v>
      </c>
      <c r="CP76" s="379">
        <f t="shared" si="227"/>
        <v>20.625</v>
      </c>
      <c r="CQ76" s="379"/>
      <c r="CR76" s="188">
        <f t="shared" si="228"/>
        <v>0.4156318480642805</v>
      </c>
      <c r="CS76" s="149">
        <f t="shared" si="290"/>
        <v>155.29102015588504</v>
      </c>
      <c r="CT76" s="149">
        <f t="shared" si="229"/>
        <v>10.961719069827179</v>
      </c>
      <c r="CU76" s="188">
        <f t="shared" si="230"/>
        <v>0.91347658915226493</v>
      </c>
      <c r="CV76" s="188">
        <f t="shared" si="231"/>
        <v>12.940918346323754</v>
      </c>
      <c r="CW76" s="379">
        <f t="shared" si="232"/>
        <v>170</v>
      </c>
      <c r="CX76" s="188">
        <f t="shared" si="233"/>
        <v>25.90834504979496</v>
      </c>
      <c r="CY76" s="188">
        <f t="shared" si="234"/>
        <v>3.2385431312243704</v>
      </c>
      <c r="CZ76" s="188">
        <f t="shared" si="235"/>
        <v>4.5057991390947763</v>
      </c>
      <c r="DA76" s="172">
        <f t="shared" si="236"/>
        <v>250.90909090909091</v>
      </c>
      <c r="DB76" s="379">
        <f t="shared" si="291"/>
        <v>129.12652425404613</v>
      </c>
      <c r="DD76" s="188">
        <f t="shared" si="237"/>
        <v>13.333333333333332</v>
      </c>
      <c r="DE76" s="150">
        <f t="shared" si="238"/>
        <v>2.318840579710145</v>
      </c>
      <c r="DF76" s="150">
        <f t="shared" si="239"/>
        <v>0.18115218115218115</v>
      </c>
      <c r="DG76" s="150"/>
      <c r="DH76" s="150">
        <f t="shared" si="240"/>
        <v>2.3188405797101455</v>
      </c>
      <c r="DI76" s="314">
        <f t="shared" si="241"/>
        <v>491.70110294117632</v>
      </c>
      <c r="DJ76" s="456">
        <f t="shared" si="242"/>
        <v>0.18115218115218121</v>
      </c>
      <c r="DL76" s="150">
        <f t="shared" si="243"/>
        <v>15.688637076984518</v>
      </c>
      <c r="DM76" s="150">
        <f t="shared" si="244"/>
        <v>25.90834504979496</v>
      </c>
      <c r="DN76" s="150">
        <f t="shared" si="245"/>
        <v>10.514823493675276</v>
      </c>
      <c r="DP76" s="314">
        <f t="shared" si="246"/>
        <v>355</v>
      </c>
      <c r="DQ76" s="144">
        <f t="shared" si="247"/>
        <v>129.12652425404613</v>
      </c>
      <c r="DS76">
        <f t="shared" si="292"/>
        <v>355</v>
      </c>
      <c r="DT76">
        <f t="shared" si="248"/>
        <v>129.12652425404613</v>
      </c>
      <c r="DV76" s="5">
        <f t="shared" si="293"/>
        <v>7.7443422703191471</v>
      </c>
      <c r="DW76" s="5">
        <f t="shared" si="249"/>
        <v>3.2385431312243704</v>
      </c>
      <c r="DX76" s="5">
        <f t="shared" si="294"/>
        <v>4.5057991390947763</v>
      </c>
      <c r="DY76" s="150">
        <f t="shared" si="295"/>
        <v>0.41818181818181815</v>
      </c>
      <c r="EA76" s="5">
        <f t="shared" si="250"/>
        <v>0.67628400681450074</v>
      </c>
      <c r="EB76" s="5">
        <f t="shared" si="251"/>
        <v>9.5806900965387616</v>
      </c>
      <c r="EC76" s="5">
        <f t="shared" si="252"/>
        <v>37.767358061718014</v>
      </c>
      <c r="ED76" s="5"/>
      <c r="EE76" s="150">
        <f t="shared" si="296"/>
        <v>9.673009589023879</v>
      </c>
      <c r="EF76" s="150">
        <f t="shared" si="253"/>
        <v>0.5328687197161075</v>
      </c>
      <c r="EG76" s="150">
        <f t="shared" si="254"/>
        <v>0.50691096039170158</v>
      </c>
      <c r="EH76" s="150"/>
      <c r="EI76" s="456">
        <f t="shared" si="255"/>
        <v>0.31812818933178288</v>
      </c>
      <c r="EJ76" s="456">
        <f t="shared" si="256"/>
        <v>2.0975999999999995</v>
      </c>
      <c r="EK76" s="456">
        <f t="shared" si="257"/>
        <v>2.9569974054176565E-2</v>
      </c>
      <c r="EL76" s="456">
        <f t="shared" si="258"/>
        <v>3.7626510806706842E-2</v>
      </c>
      <c r="EM76">
        <f t="shared" si="259"/>
        <v>5.4000000000000003E-3</v>
      </c>
      <c r="EN76" s="144">
        <f t="shared" si="297"/>
        <v>34.969974054176568</v>
      </c>
      <c r="EO76">
        <f t="shared" si="260"/>
        <v>2.7847077044229871</v>
      </c>
      <c r="EP76" s="144">
        <f t="shared" si="298"/>
        <v>2784.7077044229873</v>
      </c>
      <c r="EQ76" s="150">
        <f t="shared" si="261"/>
        <v>0.78765624999999995</v>
      </c>
      <c r="ER76" s="150">
        <f t="shared" si="262"/>
        <v>0.25204999999999994</v>
      </c>
      <c r="ES76" s="456"/>
      <c r="EU76" s="144">
        <f t="shared" si="299"/>
        <v>1039.7062499999997</v>
      </c>
      <c r="EV76" s="456">
        <f t="shared" si="263"/>
        <v>0.14035067176402188</v>
      </c>
      <c r="EW76" s="456">
        <f t="shared" si="300"/>
        <v>5.6789814490376712E-2</v>
      </c>
      <c r="EX76" s="456">
        <f t="shared" si="264"/>
        <v>7.7087616529571178E-3</v>
      </c>
      <c r="EY76" s="456">
        <f t="shared" si="265"/>
        <v>32.367401730079024</v>
      </c>
      <c r="EZ76" s="456">
        <f t="shared" si="266"/>
        <v>33.164919502849479</v>
      </c>
      <c r="FA76" s="538">
        <f t="shared" si="267"/>
        <v>8.66751907120413E-2</v>
      </c>
      <c r="FB76" s="144">
        <f t="shared" si="301"/>
        <v>33251.594693561521</v>
      </c>
      <c r="FC76" s="150">
        <f t="shared" si="302"/>
        <v>37.076008647984509</v>
      </c>
      <c r="FD76" s="5">
        <f t="shared" si="303"/>
        <v>64.61</v>
      </c>
      <c r="FE76" s="150">
        <f t="shared" si="304"/>
        <v>0.6353873149222149</v>
      </c>
      <c r="FF76" s="5">
        <f t="shared" si="305"/>
        <v>63.538731492221487</v>
      </c>
      <c r="FG76">
        <f t="shared" si="306"/>
        <v>71</v>
      </c>
      <c r="FI76" s="59">
        <f t="shared" si="268"/>
        <v>-50</v>
      </c>
      <c r="FJ76">
        <f t="shared" si="269"/>
        <v>-50</v>
      </c>
      <c r="FL76">
        <f t="shared" si="270"/>
        <v>0.56766977275315578</v>
      </c>
    </row>
    <row r="77" spans="5:168">
      <c r="E77" s="147">
        <v>72</v>
      </c>
      <c r="F77" s="188">
        <f t="shared" si="307"/>
        <v>0.36</v>
      </c>
      <c r="G77" s="188">
        <f t="shared" si="271"/>
        <v>0.36</v>
      </c>
      <c r="H77" s="188">
        <f t="shared" si="176"/>
        <v>61.199999999999996</v>
      </c>
      <c r="I77" s="188">
        <f t="shared" si="308"/>
        <v>4.32</v>
      </c>
      <c r="J77" s="465">
        <f t="shared" si="177"/>
        <v>11.920832701207718</v>
      </c>
      <c r="K77" s="379">
        <f t="shared" si="178"/>
        <v>8.672309076892347</v>
      </c>
      <c r="L77" s="149">
        <f t="shared" si="179"/>
        <v>20.593141778100065</v>
      </c>
      <c r="M77" s="379"/>
      <c r="N77" s="188">
        <f t="shared" si="180"/>
        <v>0.42112608024264564</v>
      </c>
      <c r="O77" s="149">
        <f t="shared" si="272"/>
        <v>156.30576983094372</v>
      </c>
      <c r="P77" s="149">
        <f t="shared" si="181"/>
        <v>11.033348458654851</v>
      </c>
      <c r="Q77" s="188">
        <f t="shared" si="182"/>
        <v>0.91944570488790422</v>
      </c>
      <c r="R77" s="188">
        <f t="shared" si="183"/>
        <v>13.02548081924531</v>
      </c>
      <c r="S77" s="379">
        <f t="shared" si="184"/>
        <v>170</v>
      </c>
      <c r="T77" s="188">
        <f t="shared" si="185"/>
        <v>26.102683249715113</v>
      </c>
      <c r="U77" s="188">
        <f t="shared" si="186"/>
        <v>3.2845041832191733</v>
      </c>
      <c r="V77" s="188">
        <f t="shared" si="187"/>
        <v>4.5148327311004</v>
      </c>
      <c r="W77" s="172">
        <f t="shared" si="188"/>
        <v>251.00867743439778</v>
      </c>
      <c r="X77" s="379">
        <f t="shared" si="273"/>
        <v>125.01036157258297</v>
      </c>
      <c r="Z77" s="188">
        <f t="shared" si="189"/>
        <v>13.333333333333334</v>
      </c>
      <c r="AA77" s="150">
        <f t="shared" si="190"/>
        <v>2.3061908682764383</v>
      </c>
      <c r="AB77" s="150">
        <f t="shared" si="191"/>
        <v>0.18023546952152056</v>
      </c>
      <c r="AC77" s="150"/>
      <c r="AD77" s="150">
        <f t="shared" si="192"/>
        <v>2.3061908682764383</v>
      </c>
      <c r="AE77" s="314">
        <f t="shared" si="193"/>
        <v>501.36149180998808</v>
      </c>
      <c r="AF77" s="456">
        <f t="shared" si="194"/>
        <v>0.18023546952152059</v>
      </c>
      <c r="AH77" s="150">
        <f t="shared" si="195"/>
        <v>15.798734126505199</v>
      </c>
      <c r="AI77" s="150">
        <f t="shared" si="196"/>
        <v>26.102683249715113</v>
      </c>
      <c r="AJ77" s="150">
        <f t="shared" si="197"/>
        <v>10.658777715838355</v>
      </c>
      <c r="AL77" s="314">
        <f t="shared" si="198"/>
        <v>360</v>
      </c>
      <c r="AM77" s="144">
        <f t="shared" si="199"/>
        <v>125.01036157258297</v>
      </c>
      <c r="AO77">
        <f t="shared" si="274"/>
        <v>360</v>
      </c>
      <c r="AP77">
        <f t="shared" si="200"/>
        <v>125.01036157258297</v>
      </c>
      <c r="AR77" s="5">
        <f t="shared" si="275"/>
        <v>7.9993369143195743</v>
      </c>
      <c r="AS77" s="5">
        <f t="shared" si="201"/>
        <v>3.2845041832191733</v>
      </c>
      <c r="AT77" s="5">
        <f t="shared" si="276"/>
        <v>4.714832731100401</v>
      </c>
      <c r="AU77" s="150">
        <f t="shared" si="277"/>
        <v>0.4105970555308901</v>
      </c>
      <c r="AW77" s="5">
        <f t="shared" si="202"/>
        <v>0.69554206232876603</v>
      </c>
      <c r="AX77" s="5">
        <f t="shared" si="203"/>
        <v>9.8535125496575198</v>
      </c>
      <c r="AY77" s="5">
        <f t="shared" si="204"/>
        <v>40.34222697576476</v>
      </c>
      <c r="AZ77" s="5"/>
      <c r="BA77" s="150">
        <f t="shared" si="278"/>
        <v>9.6567823090266671</v>
      </c>
      <c r="BB77" s="150">
        <f t="shared" si="205"/>
        <v>0.5403538053595327</v>
      </c>
      <c r="BC77" s="150">
        <f t="shared" si="206"/>
        <v>0.51403142329698193</v>
      </c>
      <c r="BD77" s="150"/>
      <c r="BE77" s="456">
        <f t="shared" si="207"/>
        <v>0.3170617115173634</v>
      </c>
      <c r="BF77" s="456">
        <f t="shared" si="208"/>
        <v>1.6093825640612938</v>
      </c>
      <c r="BG77" s="456">
        <f t="shared" si="209"/>
        <v>6.8252424365070549E-2</v>
      </c>
      <c r="BH77" s="456">
        <f t="shared" si="210"/>
        <v>3.6314644900210045E-2</v>
      </c>
      <c r="BI77">
        <f t="shared" si="211"/>
        <v>5.3643747155434733E-3</v>
      </c>
      <c r="BJ77" s="144">
        <f t="shared" si="279"/>
        <v>73.61679908061403</v>
      </c>
      <c r="BK77">
        <f t="shared" si="212"/>
        <v>2.2152488339990697</v>
      </c>
      <c r="BL77" s="144">
        <f t="shared" si="280"/>
        <v>2215.2488339990696</v>
      </c>
      <c r="BM77" s="150">
        <f t="shared" si="213"/>
        <v>0.79874999999999985</v>
      </c>
      <c r="BN77" s="150">
        <f t="shared" si="214"/>
        <v>0.25559999999999999</v>
      </c>
      <c r="BO77" s="456"/>
      <c r="BQ77" s="144">
        <f t="shared" si="281"/>
        <v>1054.3499999999999</v>
      </c>
      <c r="BR77" s="456">
        <f t="shared" si="215"/>
        <v>0.13988016684589563</v>
      </c>
      <c r="BS77" s="456">
        <f t="shared" si="216"/>
        <v>5.8396446993305554E-2</v>
      </c>
      <c r="BT77" s="456">
        <f t="shared" si="217"/>
        <v>7.9268491241016297E-3</v>
      </c>
      <c r="BU77" s="456">
        <f t="shared" si="218"/>
        <v>30.412205467260378</v>
      </c>
      <c r="BV77" s="456">
        <f t="shared" si="219"/>
        <v>31.182289446697521</v>
      </c>
      <c r="BW77" s="538">
        <f t="shared" si="220"/>
        <v>8.5175818962603844E-2</v>
      </c>
      <c r="BX77" s="144">
        <f t="shared" si="282"/>
        <v>31267.465265660125</v>
      </c>
      <c r="BY77" s="150">
        <f t="shared" si="283"/>
        <v>34.537064099659197</v>
      </c>
      <c r="BZ77" s="5">
        <f t="shared" si="284"/>
        <v>65.52</v>
      </c>
      <c r="CA77" s="150">
        <f t="shared" si="285"/>
        <v>0.65482632925088169</v>
      </c>
      <c r="CB77" s="5">
        <f t="shared" si="286"/>
        <v>65.482632925088168</v>
      </c>
      <c r="CC77">
        <f t="shared" si="287"/>
        <v>72</v>
      </c>
      <c r="CE77" s="59">
        <f t="shared" si="221"/>
        <v>-50</v>
      </c>
      <c r="CF77">
        <f t="shared" si="222"/>
        <v>-50</v>
      </c>
      <c r="CG77" s="150">
        <f t="shared" si="223"/>
        <v>0.56766977275315578</v>
      </c>
      <c r="CH77" s="150">
        <f t="shared" si="224"/>
        <v>0.15382552837714239</v>
      </c>
      <c r="CI77" s="147">
        <v>72</v>
      </c>
      <c r="CJ77" s="188">
        <f t="shared" si="309"/>
        <v>0.36</v>
      </c>
      <c r="CK77" s="188">
        <f t="shared" si="288"/>
        <v>0.36</v>
      </c>
      <c r="CL77" s="188">
        <f t="shared" si="225"/>
        <v>61.199999999999996</v>
      </c>
      <c r="CM77" s="188">
        <f t="shared" si="310"/>
        <v>4.32</v>
      </c>
      <c r="CN77" s="465">
        <f t="shared" si="289"/>
        <v>12</v>
      </c>
      <c r="CO77" s="379">
        <f t="shared" si="226"/>
        <v>8.625</v>
      </c>
      <c r="CP77" s="379">
        <f t="shared" si="227"/>
        <v>20.625</v>
      </c>
      <c r="CQ77" s="379"/>
      <c r="CR77" s="188">
        <f t="shared" si="228"/>
        <v>0.4156318480642805</v>
      </c>
      <c r="CS77" s="149">
        <f t="shared" si="290"/>
        <v>155.29102015588504</v>
      </c>
      <c r="CT77" s="149">
        <f t="shared" si="229"/>
        <v>10.961719069827179</v>
      </c>
      <c r="CU77" s="188">
        <f t="shared" si="230"/>
        <v>0.91347658915226493</v>
      </c>
      <c r="CV77" s="188">
        <f t="shared" si="231"/>
        <v>12.940918346323754</v>
      </c>
      <c r="CW77" s="379">
        <f t="shared" si="232"/>
        <v>170</v>
      </c>
      <c r="CX77" s="188">
        <f t="shared" si="233"/>
        <v>26.273251318101931</v>
      </c>
      <c r="CY77" s="188">
        <f t="shared" si="234"/>
        <v>3.2841564147627418</v>
      </c>
      <c r="CZ77" s="188">
        <f t="shared" si="235"/>
        <v>4.5692610988003368</v>
      </c>
      <c r="DA77" s="172">
        <f t="shared" si="236"/>
        <v>250.90909090909091</v>
      </c>
      <c r="DB77" s="379">
        <f t="shared" si="291"/>
        <v>127.33310030607325</v>
      </c>
      <c r="DD77" s="188">
        <f t="shared" si="237"/>
        <v>13.333333333333332</v>
      </c>
      <c r="DE77" s="150">
        <f t="shared" si="238"/>
        <v>2.318840579710145</v>
      </c>
      <c r="DF77" s="150">
        <f t="shared" si="239"/>
        <v>0.18115218115218115</v>
      </c>
      <c r="DG77" s="150"/>
      <c r="DH77" s="150">
        <f t="shared" si="240"/>
        <v>2.3188405797101455</v>
      </c>
      <c r="DI77" s="314">
        <f t="shared" si="241"/>
        <v>498.62647058823512</v>
      </c>
      <c r="DJ77" s="456">
        <f t="shared" si="242"/>
        <v>0.18115218115218121</v>
      </c>
      <c r="DL77" s="150">
        <f t="shared" si="243"/>
        <v>15.798734126505199</v>
      </c>
      <c r="DM77" s="150">
        <f t="shared" si="244"/>
        <v>26.273251318101931</v>
      </c>
      <c r="DN77" s="150">
        <f t="shared" si="245"/>
        <v>10.785124433161922</v>
      </c>
      <c r="DP77" s="314">
        <f t="shared" si="246"/>
        <v>360</v>
      </c>
      <c r="DQ77" s="144">
        <f t="shared" si="247"/>
        <v>127.33310030607325</v>
      </c>
      <c r="DS77">
        <f t="shared" si="292"/>
        <v>360</v>
      </c>
      <c r="DT77">
        <f t="shared" si="248"/>
        <v>127.33310030607325</v>
      </c>
      <c r="DV77" s="5">
        <f t="shared" si="293"/>
        <v>7.8534175135630786</v>
      </c>
      <c r="DW77" s="5">
        <f t="shared" si="249"/>
        <v>3.2841564147627418</v>
      </c>
      <c r="DX77" s="5">
        <f t="shared" si="294"/>
        <v>4.5692610988003368</v>
      </c>
      <c r="DY77" s="150">
        <f t="shared" si="295"/>
        <v>0.41818181818181815</v>
      </c>
      <c r="EA77" s="5">
        <f t="shared" si="250"/>
        <v>0.69546841724387476</v>
      </c>
      <c r="EB77" s="5">
        <f t="shared" si="251"/>
        <v>9.8524692442882262</v>
      </c>
      <c r="EC77" s="5">
        <f t="shared" si="252"/>
        <v>38.838719339802857</v>
      </c>
      <c r="ED77" s="5"/>
      <c r="EE77" s="150">
        <f t="shared" si="296"/>
        <v>9.8092491607002721</v>
      </c>
      <c r="EF77" s="150">
        <f t="shared" si="253"/>
        <v>0.54037391295154569</v>
      </c>
      <c r="EG77" s="150">
        <f t="shared" si="254"/>
        <v>0.51405055138313394</v>
      </c>
      <c r="EH77" s="150"/>
      <c r="EI77" s="456">
        <f t="shared" si="255"/>
        <v>0.32715265492877654</v>
      </c>
      <c r="EJ77" s="456">
        <f t="shared" si="256"/>
        <v>2.0975999999999995</v>
      </c>
      <c r="EK77" s="456">
        <f t="shared" si="257"/>
        <v>2.9159279970090775E-2</v>
      </c>
      <c r="EL77" s="456">
        <f t="shared" si="258"/>
        <v>3.7103920378835913E-2</v>
      </c>
      <c r="EM77">
        <f t="shared" si="259"/>
        <v>5.4000000000000003E-3</v>
      </c>
      <c r="EN77" s="144">
        <f t="shared" si="297"/>
        <v>34.559279970090778</v>
      </c>
      <c r="EO77">
        <f t="shared" si="260"/>
        <v>2.8025970639826503</v>
      </c>
      <c r="EP77" s="144">
        <f t="shared" si="298"/>
        <v>2802.5970639826501</v>
      </c>
      <c r="EQ77" s="150">
        <f t="shared" si="261"/>
        <v>0.79874999999999985</v>
      </c>
      <c r="ER77" s="150">
        <f t="shared" si="262"/>
        <v>0.25559999999999999</v>
      </c>
      <c r="ES77" s="456"/>
      <c r="EU77" s="144">
        <f t="shared" si="299"/>
        <v>1054.3499999999999</v>
      </c>
      <c r="EV77" s="456">
        <f t="shared" si="263"/>
        <v>0.1443320536450485</v>
      </c>
      <c r="EW77" s="456">
        <f t="shared" si="300"/>
        <v>5.8400793159712944E-2</v>
      </c>
      <c r="EX77" s="456">
        <f t="shared" si="264"/>
        <v>7.9274390813191212E-3</v>
      </c>
      <c r="EY77" s="456">
        <f t="shared" si="265"/>
        <v>32.367401730078967</v>
      </c>
      <c r="EZ77" s="456">
        <f t="shared" si="266"/>
        <v>33.187930803866507</v>
      </c>
      <c r="FA77" s="538">
        <f t="shared" si="267"/>
        <v>8.7895968046013712E-2</v>
      </c>
      <c r="FB77" s="144">
        <f t="shared" si="301"/>
        <v>33275.826771912522</v>
      </c>
      <c r="FC77" s="150">
        <f t="shared" si="302"/>
        <v>37.132773835895172</v>
      </c>
      <c r="FD77" s="5">
        <f t="shared" si="303"/>
        <v>65.52</v>
      </c>
      <c r="FE77" s="150">
        <f t="shared" si="304"/>
        <v>0.6382681884928203</v>
      </c>
      <c r="FF77" s="5">
        <f t="shared" si="305"/>
        <v>63.826818849282027</v>
      </c>
      <c r="FG77">
        <f t="shared" si="306"/>
        <v>72</v>
      </c>
      <c r="FI77" s="59">
        <f t="shared" si="268"/>
        <v>-50</v>
      </c>
      <c r="FJ77">
        <f t="shared" si="269"/>
        <v>-50</v>
      </c>
      <c r="FL77">
        <f t="shared" si="270"/>
        <v>0.56766977275315567</v>
      </c>
    </row>
    <row r="78" spans="5:168">
      <c r="E78" s="147">
        <v>73</v>
      </c>
      <c r="F78" s="188">
        <f t="shared" si="307"/>
        <v>0.36499999999999999</v>
      </c>
      <c r="G78" s="188">
        <f t="shared" si="271"/>
        <v>0.36499999999999999</v>
      </c>
      <c r="H78" s="188">
        <f t="shared" si="176"/>
        <v>62.05</v>
      </c>
      <c r="I78" s="188">
        <f t="shared" si="308"/>
        <v>4.38</v>
      </c>
      <c r="J78" s="465">
        <f t="shared" si="177"/>
        <v>11.91973315539116</v>
      </c>
      <c r="K78" s="379">
        <f t="shared" si="178"/>
        <v>8.6729661474047415</v>
      </c>
      <c r="L78" s="149">
        <f t="shared" si="179"/>
        <v>20.5926993027959</v>
      </c>
      <c r="M78" s="379"/>
      <c r="N78" s="188">
        <f t="shared" si="180"/>
        <v>0.42116703691328122</v>
      </c>
      <c r="O78" s="149">
        <f t="shared" si="272"/>
        <v>156.3065527390157</v>
      </c>
      <c r="P78" s="149">
        <f t="shared" si="181"/>
        <v>11.033403722754048</v>
      </c>
      <c r="Q78" s="188">
        <f t="shared" si="182"/>
        <v>0.91945031022950408</v>
      </c>
      <c r="R78" s="188">
        <f t="shared" si="183"/>
        <v>13.025546061584642</v>
      </c>
      <c r="S78" s="379">
        <f t="shared" si="184"/>
        <v>170</v>
      </c>
      <c r="T78" s="188">
        <f t="shared" si="185"/>
        <v>26.465087958107809</v>
      </c>
      <c r="U78" s="188">
        <f t="shared" si="186"/>
        <v>3.3304128053577213</v>
      </c>
      <c r="V78" s="188">
        <f t="shared" si="187"/>
        <v>4.5771690172041835</v>
      </c>
      <c r="W78" s="172">
        <f t="shared" si="188"/>
        <v>251.00993469265453</v>
      </c>
      <c r="X78" s="379">
        <f t="shared" si="273"/>
        <v>123.34133924090466</v>
      </c>
      <c r="Z78" s="188">
        <f t="shared" si="189"/>
        <v>13.333333333333332</v>
      </c>
      <c r="AA78" s="150">
        <f t="shared" si="190"/>
        <v>2.3060161495020601</v>
      </c>
      <c r="AB78" s="150">
        <f t="shared" si="191"/>
        <v>0.18022271744458276</v>
      </c>
      <c r="AC78" s="150"/>
      <c r="AD78" s="150">
        <f t="shared" si="192"/>
        <v>2.3060161495020606</v>
      </c>
      <c r="AE78" s="314">
        <f t="shared" si="193"/>
        <v>508.36335985773246</v>
      </c>
      <c r="AF78" s="456">
        <f t="shared" si="194"/>
        <v>0.18022271744458285</v>
      </c>
      <c r="AH78" s="150">
        <f t="shared" si="195"/>
        <v>15.908069231263315</v>
      </c>
      <c r="AI78" s="150">
        <f t="shared" si="196"/>
        <v>26.465087958107809</v>
      </c>
      <c r="AJ78" s="150">
        <f t="shared" si="197"/>
        <v>10.927225647981093</v>
      </c>
      <c r="AL78" s="314">
        <f t="shared" si="198"/>
        <v>365</v>
      </c>
      <c r="AM78" s="144">
        <f t="shared" si="199"/>
        <v>123.34133924090466</v>
      </c>
      <c r="AO78">
        <f t="shared" si="274"/>
        <v>365</v>
      </c>
      <c r="AP78">
        <f t="shared" si="200"/>
        <v>123.34133924090466</v>
      </c>
      <c r="AR78" s="5">
        <f t="shared" si="275"/>
        <v>8.1075818225619045</v>
      </c>
      <c r="AS78" s="5">
        <f t="shared" si="201"/>
        <v>3.3304128053577213</v>
      </c>
      <c r="AT78" s="5">
        <f t="shared" si="276"/>
        <v>4.7771690172041836</v>
      </c>
      <c r="AU78" s="150">
        <f t="shared" si="277"/>
        <v>0.4107775756378797</v>
      </c>
      <c r="AW78" s="5">
        <f t="shared" si="202"/>
        <v>0.71505921997386368</v>
      </c>
      <c r="AX78" s="5">
        <f t="shared" si="203"/>
        <v>10.130005616296401</v>
      </c>
      <c r="AY78" s="5">
        <f t="shared" si="204"/>
        <v>41.447143943745445</v>
      </c>
      <c r="AZ78" s="5"/>
      <c r="BA78" s="150">
        <f t="shared" si="278"/>
        <v>9.7930072963651753</v>
      </c>
      <c r="BB78" s="150">
        <f t="shared" si="205"/>
        <v>0.5477720711547166</v>
      </c>
      <c r="BC78" s="150">
        <f t="shared" si="206"/>
        <v>0.52108832136501071</v>
      </c>
      <c r="BD78" s="150"/>
      <c r="BE78" s="456">
        <f t="shared" si="207"/>
        <v>0.32607017248264925</v>
      </c>
      <c r="BF78" s="456">
        <f t="shared" si="208"/>
        <v>1.6099070309720309</v>
      </c>
      <c r="BG78" s="456">
        <f t="shared" si="209"/>
        <v>6.7334969965731323E-2</v>
      </c>
      <c r="BH78" s="456">
        <f t="shared" si="210"/>
        <v>3.5828265763013949E-2</v>
      </c>
      <c r="BI78">
        <f t="shared" si="211"/>
        <v>5.3638799199260219E-3</v>
      </c>
      <c r="BJ78" s="144">
        <f t="shared" si="279"/>
        <v>72.698849885657353</v>
      </c>
      <c r="BK78">
        <f t="shared" si="212"/>
        <v>2.2328314056303222</v>
      </c>
      <c r="BL78" s="144">
        <f t="shared" si="280"/>
        <v>2232.831405630322</v>
      </c>
      <c r="BM78" s="150">
        <f t="shared" si="213"/>
        <v>0.80984374999999997</v>
      </c>
      <c r="BN78" s="150">
        <f t="shared" si="214"/>
        <v>0.25914999999999999</v>
      </c>
      <c r="BO78" s="456"/>
      <c r="BQ78" s="144">
        <f t="shared" si="281"/>
        <v>1068.9937499999999</v>
      </c>
      <c r="BR78" s="456">
        <f t="shared" si="215"/>
        <v>0.14385448785999233</v>
      </c>
      <c r="BS78" s="456">
        <f t="shared" si="216"/>
        <v>6.001084838742559E-2</v>
      </c>
      <c r="BT78" s="456">
        <f t="shared" si="217"/>
        <v>8.1459911598901393E-3</v>
      </c>
      <c r="BU78" s="456">
        <f t="shared" si="218"/>
        <v>30.438623434691227</v>
      </c>
      <c r="BV78" s="456">
        <f t="shared" si="219"/>
        <v>31.231227398867762</v>
      </c>
      <c r="BW78" s="538">
        <f t="shared" si="220"/>
        <v>8.638838262246043E-2</v>
      </c>
      <c r="BX78" s="144">
        <f t="shared" si="282"/>
        <v>31317.615781490222</v>
      </c>
      <c r="BY78" s="150">
        <f t="shared" si="283"/>
        <v>34.619440937120544</v>
      </c>
      <c r="BZ78" s="5">
        <f t="shared" si="284"/>
        <v>66.429999999999993</v>
      </c>
      <c r="CA78" s="150">
        <f t="shared" si="285"/>
        <v>0.65740096515068314</v>
      </c>
      <c r="CB78" s="5">
        <f t="shared" si="286"/>
        <v>65.740096515068316</v>
      </c>
      <c r="CC78">
        <f t="shared" si="287"/>
        <v>73</v>
      </c>
      <c r="CE78" s="59">
        <f t="shared" si="221"/>
        <v>-50</v>
      </c>
      <c r="CF78">
        <f t="shared" si="222"/>
        <v>-50</v>
      </c>
      <c r="CG78" s="150">
        <f t="shared" si="223"/>
        <v>0.56766977275315589</v>
      </c>
      <c r="CH78" s="150">
        <f t="shared" si="224"/>
        <v>0.15382552837714242</v>
      </c>
      <c r="CI78" s="147">
        <v>73</v>
      </c>
      <c r="CJ78" s="188">
        <f t="shared" si="309"/>
        <v>0.36499999999999999</v>
      </c>
      <c r="CK78" s="188">
        <f t="shared" si="288"/>
        <v>0.36499999999999999</v>
      </c>
      <c r="CL78" s="188">
        <f t="shared" si="225"/>
        <v>62.05</v>
      </c>
      <c r="CM78" s="188">
        <f t="shared" si="310"/>
        <v>4.38</v>
      </c>
      <c r="CN78" s="465">
        <f t="shared" si="289"/>
        <v>12</v>
      </c>
      <c r="CO78" s="379">
        <f t="shared" si="226"/>
        <v>8.625</v>
      </c>
      <c r="CP78" s="379">
        <f t="shared" si="227"/>
        <v>20.625</v>
      </c>
      <c r="CQ78" s="379"/>
      <c r="CR78" s="188">
        <f t="shared" si="228"/>
        <v>0.4156318480642805</v>
      </c>
      <c r="CS78" s="149">
        <f t="shared" si="290"/>
        <v>155.29102015588504</v>
      </c>
      <c r="CT78" s="149">
        <f t="shared" si="229"/>
        <v>10.961719069827179</v>
      </c>
      <c r="CU78" s="188">
        <f t="shared" si="230"/>
        <v>0.91347658915226493</v>
      </c>
      <c r="CV78" s="188">
        <f t="shared" si="231"/>
        <v>12.940918346323754</v>
      </c>
      <c r="CW78" s="379">
        <f t="shared" si="232"/>
        <v>170</v>
      </c>
      <c r="CX78" s="188">
        <f t="shared" si="233"/>
        <v>26.638157586408902</v>
      </c>
      <c r="CY78" s="188">
        <f t="shared" si="234"/>
        <v>3.3297696983011127</v>
      </c>
      <c r="CZ78" s="188">
        <f t="shared" si="235"/>
        <v>4.6327230585058965</v>
      </c>
      <c r="DA78" s="172">
        <f t="shared" si="236"/>
        <v>250.90909090909091</v>
      </c>
      <c r="DB78" s="379">
        <f t="shared" si="291"/>
        <v>125.58881126078461</v>
      </c>
      <c r="DD78" s="188">
        <f t="shared" si="237"/>
        <v>13.333333333333332</v>
      </c>
      <c r="DE78" s="150">
        <f t="shared" si="238"/>
        <v>2.318840579710145</v>
      </c>
      <c r="DF78" s="150">
        <f t="shared" si="239"/>
        <v>0.18115218115218115</v>
      </c>
      <c r="DG78" s="150"/>
      <c r="DH78" s="150">
        <f t="shared" si="240"/>
        <v>2.3188405797101455</v>
      </c>
      <c r="DI78" s="314">
        <f t="shared" si="241"/>
        <v>505.55183823529393</v>
      </c>
      <c r="DJ78" s="456">
        <f t="shared" si="242"/>
        <v>0.18115218115218121</v>
      </c>
      <c r="DL78" s="150">
        <f t="shared" si="243"/>
        <v>15.908069231263315</v>
      </c>
      <c r="DM78" s="150">
        <f t="shared" si="244"/>
        <v>26.638157586408902</v>
      </c>
      <c r="DN78" s="150">
        <f t="shared" si="245"/>
        <v>11.055425372648568</v>
      </c>
      <c r="DP78" s="314">
        <f t="shared" si="246"/>
        <v>365</v>
      </c>
      <c r="DQ78" s="144">
        <f t="shared" si="247"/>
        <v>125.58881126078461</v>
      </c>
      <c r="DS78">
        <f t="shared" si="292"/>
        <v>365</v>
      </c>
      <c r="DT78">
        <f t="shared" si="248"/>
        <v>125.58881126078461</v>
      </c>
      <c r="DV78" s="5">
        <f t="shared" si="293"/>
        <v>7.9624927568070092</v>
      </c>
      <c r="DW78" s="5">
        <f t="shared" si="249"/>
        <v>3.3297696983011127</v>
      </c>
      <c r="DX78" s="5">
        <f t="shared" si="294"/>
        <v>4.6327230585058965</v>
      </c>
      <c r="DY78" s="150">
        <f t="shared" si="295"/>
        <v>0.41818181818181815</v>
      </c>
      <c r="EA78" s="5">
        <f t="shared" si="250"/>
        <v>0.71492114110582716</v>
      </c>
      <c r="EB78" s="5">
        <f t="shared" si="251"/>
        <v>10.12804949899922</v>
      </c>
      <c r="EC78" s="5">
        <f t="shared" si="252"/>
        <v>39.925064691707057</v>
      </c>
      <c r="ED78" s="5"/>
      <c r="EE78" s="150">
        <f t="shared" si="296"/>
        <v>9.9454887323766634</v>
      </c>
      <c r="EF78" s="150">
        <f t="shared" si="253"/>
        <v>0.54787910618698366</v>
      </c>
      <c r="EG78" s="150">
        <f t="shared" si="254"/>
        <v>0.52119014237456629</v>
      </c>
      <c r="EH78" s="150"/>
      <c r="EI78" s="456">
        <f t="shared" si="255"/>
        <v>0.33630333682782598</v>
      </c>
      <c r="EJ78" s="456">
        <f t="shared" si="256"/>
        <v>2.0975999999999999</v>
      </c>
      <c r="EK78" s="456">
        <f t="shared" si="257"/>
        <v>2.8759837778719675E-2</v>
      </c>
      <c r="EL78" s="456">
        <f t="shared" si="258"/>
        <v>3.6595647496934058E-2</v>
      </c>
      <c r="EM78">
        <f t="shared" si="259"/>
        <v>5.4000000000000003E-3</v>
      </c>
      <c r="EN78" s="144">
        <f t="shared" si="297"/>
        <v>34.159837778719677</v>
      </c>
      <c r="EO78">
        <f t="shared" si="260"/>
        <v>2.8208637379939718</v>
      </c>
      <c r="EP78" s="144">
        <f t="shared" si="298"/>
        <v>2820.8637379939719</v>
      </c>
      <c r="EQ78" s="150">
        <f t="shared" si="261"/>
        <v>0.80984374999999997</v>
      </c>
      <c r="ER78" s="150">
        <f t="shared" si="262"/>
        <v>0.25914999999999999</v>
      </c>
      <c r="ES78" s="456"/>
      <c r="EU78" s="144">
        <f t="shared" si="299"/>
        <v>1068.9937499999999</v>
      </c>
      <c r="EV78" s="456">
        <f t="shared" si="263"/>
        <v>0.14836911918874676</v>
      </c>
      <c r="EW78" s="456">
        <f t="shared" si="300"/>
        <v>6.0034302999249625E-2</v>
      </c>
      <c r="EX78" s="456">
        <f t="shared" si="264"/>
        <v>8.1491749352526205E-3</v>
      </c>
      <c r="EY78" s="456">
        <f t="shared" si="265"/>
        <v>32.367401730078967</v>
      </c>
      <c r="EZ78" s="456">
        <f t="shared" si="266"/>
        <v>33.211286172467901</v>
      </c>
      <c r="FA78" s="538">
        <f t="shared" si="267"/>
        <v>8.9116745379986151E-2</v>
      </c>
      <c r="FB78" s="144">
        <f t="shared" si="301"/>
        <v>33300.402917847889</v>
      </c>
      <c r="FC78" s="150">
        <f t="shared" si="302"/>
        <v>37.190260405841862</v>
      </c>
      <c r="FD78" s="5">
        <f t="shared" si="303"/>
        <v>66.429999999999993</v>
      </c>
      <c r="FE78" s="150">
        <f t="shared" si="304"/>
        <v>0.64109084207874489</v>
      </c>
      <c r="FF78" s="5">
        <f t="shared" si="305"/>
        <v>64.109084207874488</v>
      </c>
      <c r="FG78">
        <f t="shared" si="306"/>
        <v>73</v>
      </c>
      <c r="FI78" s="59">
        <f t="shared" si="268"/>
        <v>-50</v>
      </c>
      <c r="FJ78">
        <f t="shared" si="269"/>
        <v>-50</v>
      </c>
      <c r="FL78">
        <f t="shared" si="270"/>
        <v>0.56766977275315589</v>
      </c>
    </row>
    <row r="79" spans="5:168">
      <c r="E79" s="147">
        <v>74</v>
      </c>
      <c r="F79" s="188">
        <f t="shared" si="307"/>
        <v>0.37</v>
      </c>
      <c r="G79" s="188">
        <f t="shared" si="271"/>
        <v>0.37</v>
      </c>
      <c r="H79" s="188">
        <f t="shared" si="176"/>
        <v>62.9</v>
      </c>
      <c r="I79" s="188">
        <f t="shared" si="308"/>
        <v>4.4399999999999995</v>
      </c>
      <c r="J79" s="465">
        <f t="shared" si="177"/>
        <v>11.9186336095746</v>
      </c>
      <c r="K79" s="379">
        <f t="shared" si="178"/>
        <v>8.6736232179171342</v>
      </c>
      <c r="L79" s="149">
        <f t="shared" si="179"/>
        <v>20.592256827491735</v>
      </c>
      <c r="M79" s="379"/>
      <c r="N79" s="188">
        <f t="shared" si="180"/>
        <v>0.42120799534402636</v>
      </c>
      <c r="O79" s="149">
        <f t="shared" si="272"/>
        <v>156.30733349595334</v>
      </c>
      <c r="P79" s="149">
        <f t="shared" si="181"/>
        <v>11.033458835008473</v>
      </c>
      <c r="Q79" s="188">
        <f t="shared" si="182"/>
        <v>0.91945490291737264</v>
      </c>
      <c r="R79" s="188">
        <f t="shared" si="183"/>
        <v>13.025611124662779</v>
      </c>
      <c r="S79" s="379">
        <f t="shared" si="184"/>
        <v>170</v>
      </c>
      <c r="T79" s="188">
        <f t="shared" si="185"/>
        <v>26.827489405299687</v>
      </c>
      <c r="U79" s="188">
        <f t="shared" si="186"/>
        <v>3.3763294876035563</v>
      </c>
      <c r="V79" s="188">
        <f t="shared" si="187"/>
        <v>4.6394952947486905</v>
      </c>
      <c r="W79" s="172">
        <f t="shared" si="188"/>
        <v>251.01118849644274</v>
      </c>
      <c r="X79" s="379">
        <f t="shared" si="273"/>
        <v>121.71632507889161</v>
      </c>
      <c r="Z79" s="188">
        <f t="shared" si="189"/>
        <v>13.333333333333334</v>
      </c>
      <c r="AA79" s="150">
        <f t="shared" si="190"/>
        <v>2.3058414571993318</v>
      </c>
      <c r="AB79" s="150">
        <f t="shared" si="191"/>
        <v>0.18020996481962551</v>
      </c>
      <c r="AC79" s="150"/>
      <c r="AD79" s="150">
        <f t="shared" si="192"/>
        <v>2.3058414571993318</v>
      </c>
      <c r="AE79" s="314">
        <f t="shared" si="193"/>
        <v>515.36628308341744</v>
      </c>
      <c r="AF79" s="456">
        <f t="shared" si="194"/>
        <v>0.18020996481962551</v>
      </c>
      <c r="AH79" s="150">
        <f t="shared" si="195"/>
        <v>16.0166579951416</v>
      </c>
      <c r="AI79" s="150">
        <f t="shared" si="196"/>
        <v>26.827489405299687</v>
      </c>
      <c r="AJ79" s="150">
        <f t="shared" si="197"/>
        <v>11.195671164419519</v>
      </c>
      <c r="AL79" s="314">
        <f t="shared" si="198"/>
        <v>370</v>
      </c>
      <c r="AM79" s="144">
        <f t="shared" si="199"/>
        <v>121.71632507889161</v>
      </c>
      <c r="AO79">
        <f t="shared" si="274"/>
        <v>370</v>
      </c>
      <c r="AP79">
        <f t="shared" si="200"/>
        <v>121.71632507889161</v>
      </c>
      <c r="AR79" s="5">
        <f t="shared" si="275"/>
        <v>8.2158247823522466</v>
      </c>
      <c r="AS79" s="5">
        <f t="shared" si="201"/>
        <v>3.3763294876035563</v>
      </c>
      <c r="AT79" s="5">
        <f t="shared" si="276"/>
        <v>4.8394952947486907</v>
      </c>
      <c r="AU79" s="150">
        <f t="shared" si="277"/>
        <v>0.410954417486602</v>
      </c>
      <c r="AW79" s="5">
        <f t="shared" si="202"/>
        <v>0.73484818259606821</v>
      </c>
      <c r="AX79" s="5">
        <f t="shared" si="203"/>
        <v>10.4103492534443</v>
      </c>
      <c r="AY79" s="5">
        <f t="shared" si="204"/>
        <v>42.566995514647388</v>
      </c>
      <c r="AZ79" s="5"/>
      <c r="BA79" s="150">
        <f t="shared" si="278"/>
        <v>9.9292451005549793</v>
      </c>
      <c r="BB79" s="150">
        <f t="shared" si="205"/>
        <v>0.55518969194449208</v>
      </c>
      <c r="BC79" s="150">
        <f t="shared" si="206"/>
        <v>0.52814460584793121</v>
      </c>
      <c r="BD79" s="150"/>
      <c r="BE79" s="456">
        <f t="shared" si="207"/>
        <v>0.33520568810744322</v>
      </c>
      <c r="BF79" s="456">
        <f t="shared" si="208"/>
        <v>1.6104169292563999</v>
      </c>
      <c r="BG79" s="456">
        <f t="shared" si="209"/>
        <v>6.6441706557698682E-2</v>
      </c>
      <c r="BH79" s="456">
        <f t="shared" si="210"/>
        <v>3.5354711298098328E-2</v>
      </c>
      <c r="BI79">
        <f t="shared" si="211"/>
        <v>5.3633851243085704E-3</v>
      </c>
      <c r="BJ79" s="144">
        <f t="shared" si="279"/>
        <v>71.805091682007259</v>
      </c>
      <c r="BK79">
        <f t="shared" si="212"/>
        <v>2.250743001578424</v>
      </c>
      <c r="BL79" s="144">
        <f t="shared" si="280"/>
        <v>2250.7430015784239</v>
      </c>
      <c r="BM79" s="150">
        <f t="shared" si="213"/>
        <v>0.82093749999999999</v>
      </c>
      <c r="BN79" s="150">
        <f t="shared" si="214"/>
        <v>0.26269999999999999</v>
      </c>
      <c r="BO79" s="456"/>
      <c r="BQ79" s="144">
        <f t="shared" si="281"/>
        <v>1083.6375</v>
      </c>
      <c r="BR79" s="456">
        <f t="shared" si="215"/>
        <v>0.1478848624003426</v>
      </c>
      <c r="BS79" s="456">
        <f t="shared" si="216"/>
        <v>6.164711880828401E-2</v>
      </c>
      <c r="BT79" s="456">
        <f t="shared" si="217"/>
        <v>8.3681017405879982E-3</v>
      </c>
      <c r="BU79" s="456">
        <f t="shared" si="218"/>
        <v>30.464367308597915</v>
      </c>
      <c r="BV79" s="456">
        <f t="shared" si="219"/>
        <v>31.27983367973102</v>
      </c>
      <c r="BW79" s="538">
        <f t="shared" si="220"/>
        <v>8.7600966045116649E-2</v>
      </c>
      <c r="BX79" s="144">
        <f t="shared" si="282"/>
        <v>31367.434645776135</v>
      </c>
      <c r="BY79" s="150">
        <f t="shared" si="283"/>
        <v>34.701815147354559</v>
      </c>
      <c r="BZ79" s="5">
        <f t="shared" si="284"/>
        <v>67.34</v>
      </c>
      <c r="CA79" s="150">
        <f t="shared" si="285"/>
        <v>0.65992554035575479</v>
      </c>
      <c r="CB79" s="5">
        <f t="shared" si="286"/>
        <v>65.99255403557548</v>
      </c>
      <c r="CC79">
        <f t="shared" si="287"/>
        <v>74</v>
      </c>
      <c r="CE79" s="59">
        <f t="shared" si="221"/>
        <v>-50</v>
      </c>
      <c r="CF79">
        <f t="shared" si="222"/>
        <v>-50</v>
      </c>
      <c r="CG79" s="150">
        <f t="shared" si="223"/>
        <v>0.56766977275315578</v>
      </c>
      <c r="CH79" s="150">
        <f t="shared" si="224"/>
        <v>0.15382552837714239</v>
      </c>
      <c r="CI79" s="147">
        <v>74</v>
      </c>
      <c r="CJ79" s="188">
        <f t="shared" si="309"/>
        <v>0.37</v>
      </c>
      <c r="CK79" s="188">
        <f t="shared" si="288"/>
        <v>0.37</v>
      </c>
      <c r="CL79" s="188">
        <f t="shared" si="225"/>
        <v>62.9</v>
      </c>
      <c r="CM79" s="188">
        <f t="shared" si="310"/>
        <v>4.4399999999999995</v>
      </c>
      <c r="CN79" s="465">
        <f t="shared" si="289"/>
        <v>12</v>
      </c>
      <c r="CO79" s="379">
        <f t="shared" si="226"/>
        <v>8.625</v>
      </c>
      <c r="CP79" s="379">
        <f t="shared" si="227"/>
        <v>20.625</v>
      </c>
      <c r="CQ79" s="379"/>
      <c r="CR79" s="188">
        <f t="shared" si="228"/>
        <v>0.4156318480642805</v>
      </c>
      <c r="CS79" s="149">
        <f t="shared" si="290"/>
        <v>155.29102015588504</v>
      </c>
      <c r="CT79" s="149">
        <f t="shared" si="229"/>
        <v>10.961719069827179</v>
      </c>
      <c r="CU79" s="188">
        <f t="shared" si="230"/>
        <v>0.91347658915226493</v>
      </c>
      <c r="CV79" s="188">
        <f t="shared" si="231"/>
        <v>12.940918346323754</v>
      </c>
      <c r="CW79" s="379">
        <f t="shared" si="232"/>
        <v>170</v>
      </c>
      <c r="CX79" s="188">
        <f t="shared" si="233"/>
        <v>27.003063854715876</v>
      </c>
      <c r="CY79" s="188">
        <f t="shared" si="234"/>
        <v>3.3753829818394845</v>
      </c>
      <c r="CZ79" s="188">
        <f t="shared" si="235"/>
        <v>4.6961850182114562</v>
      </c>
      <c r="DA79" s="172">
        <f t="shared" si="236"/>
        <v>250.90909090909091</v>
      </c>
      <c r="DB79" s="379">
        <f t="shared" si="291"/>
        <v>123.89166516266589</v>
      </c>
      <c r="DD79" s="188">
        <f t="shared" si="237"/>
        <v>13.333333333333332</v>
      </c>
      <c r="DE79" s="150">
        <f t="shared" si="238"/>
        <v>2.318840579710145</v>
      </c>
      <c r="DF79" s="150">
        <f t="shared" si="239"/>
        <v>0.18115218115218115</v>
      </c>
      <c r="DG79" s="150"/>
      <c r="DH79" s="150">
        <f t="shared" si="240"/>
        <v>2.3188405797101455</v>
      </c>
      <c r="DI79" s="314">
        <f t="shared" si="241"/>
        <v>512.47720588235279</v>
      </c>
      <c r="DJ79" s="456">
        <f t="shared" si="242"/>
        <v>0.18115218115218121</v>
      </c>
      <c r="DL79" s="150">
        <f t="shared" si="243"/>
        <v>16.0166579951416</v>
      </c>
      <c r="DM79" s="150">
        <f t="shared" si="244"/>
        <v>27.003063854715876</v>
      </c>
      <c r="DN79" s="150">
        <f t="shared" si="245"/>
        <v>11.325726312135215</v>
      </c>
      <c r="DP79" s="314">
        <f t="shared" si="246"/>
        <v>370</v>
      </c>
      <c r="DQ79" s="144">
        <f t="shared" si="247"/>
        <v>123.89166516266589</v>
      </c>
      <c r="DS79">
        <f t="shared" si="292"/>
        <v>370</v>
      </c>
      <c r="DT79">
        <f t="shared" si="248"/>
        <v>123.89166516266589</v>
      </c>
      <c r="DV79" s="5">
        <f t="shared" si="293"/>
        <v>8.0715680000509415</v>
      </c>
      <c r="DW79" s="5">
        <f t="shared" si="249"/>
        <v>3.3753829818394845</v>
      </c>
      <c r="DX79" s="5">
        <f t="shared" si="294"/>
        <v>4.6961850182114571</v>
      </c>
      <c r="DY79" s="150">
        <f t="shared" si="295"/>
        <v>0.41818181818181815</v>
      </c>
      <c r="EA79" s="5">
        <f t="shared" si="250"/>
        <v>0.73464217840035839</v>
      </c>
      <c r="EB79" s="5">
        <f t="shared" si="251"/>
        <v>10.407430860671745</v>
      </c>
      <c r="EC79" s="5">
        <f t="shared" si="252"/>
        <v>41.026394117430641</v>
      </c>
      <c r="ED79" s="5"/>
      <c r="EE79" s="150">
        <f t="shared" si="296"/>
        <v>10.081728304053058</v>
      </c>
      <c r="EF79" s="150">
        <f t="shared" si="253"/>
        <v>0.55538429942242207</v>
      </c>
      <c r="EG79" s="150">
        <f t="shared" si="254"/>
        <v>0.52832973336599887</v>
      </c>
      <c r="EH79" s="150"/>
      <c r="EI79" s="456">
        <f t="shared" si="255"/>
        <v>0.34558023502893148</v>
      </c>
      <c r="EJ79" s="456">
        <f t="shared" si="256"/>
        <v>2.0975999999999999</v>
      </c>
      <c r="EK79" s="456">
        <f t="shared" si="257"/>
        <v>2.8371191322250487E-2</v>
      </c>
      <c r="EL79" s="456">
        <f t="shared" si="258"/>
        <v>3.6101111719948453E-2</v>
      </c>
      <c r="EM79">
        <f t="shared" si="259"/>
        <v>5.4000000000000003E-3</v>
      </c>
      <c r="EN79" s="144">
        <f t="shared" si="297"/>
        <v>33.771191322250488</v>
      </c>
      <c r="EO79">
        <f t="shared" si="260"/>
        <v>2.8395110687656206</v>
      </c>
      <c r="EP79" s="144">
        <f t="shared" si="298"/>
        <v>2839.5110687656206</v>
      </c>
      <c r="EQ79" s="150">
        <f t="shared" si="261"/>
        <v>0.82093749999999999</v>
      </c>
      <c r="ER79" s="150">
        <f t="shared" si="262"/>
        <v>0.26269999999999999</v>
      </c>
      <c r="ES79" s="456"/>
      <c r="EU79" s="144">
        <f t="shared" si="299"/>
        <v>1083.6375</v>
      </c>
      <c r="EV79" s="456">
        <f t="shared" si="263"/>
        <v>0.15246186839511683</v>
      </c>
      <c r="EW79" s="456">
        <f t="shared" si="300"/>
        <v>6.1690344008986923E-2</v>
      </c>
      <c r="EX79" s="456">
        <f t="shared" si="264"/>
        <v>8.3739692147576233E-3</v>
      </c>
      <c r="EY79" s="456">
        <f t="shared" si="265"/>
        <v>32.367401730078903</v>
      </c>
      <c r="EZ79" s="456">
        <f t="shared" si="266"/>
        <v>33.234986567854193</v>
      </c>
      <c r="FA79" s="538">
        <f t="shared" si="267"/>
        <v>9.0337522713958576E-2</v>
      </c>
      <c r="FB79" s="144">
        <f t="shared" si="301"/>
        <v>33325.324090568152</v>
      </c>
      <c r="FC79" s="150">
        <f t="shared" si="302"/>
        <v>37.248472659333771</v>
      </c>
      <c r="FD79" s="5">
        <f t="shared" si="303"/>
        <v>67.34</v>
      </c>
      <c r="FE79" s="150">
        <f t="shared" si="304"/>
        <v>0.64385680646987042</v>
      </c>
      <c r="FF79" s="5">
        <f t="shared" si="305"/>
        <v>64.385680646987041</v>
      </c>
      <c r="FG79">
        <f t="shared" si="306"/>
        <v>74</v>
      </c>
      <c r="FI79" s="59">
        <f t="shared" si="268"/>
        <v>-50</v>
      </c>
      <c r="FJ79">
        <f t="shared" si="269"/>
        <v>-50</v>
      </c>
      <c r="FL79">
        <f t="shared" si="270"/>
        <v>0.56766977275315578</v>
      </c>
    </row>
    <row r="80" spans="5:168">
      <c r="E80" s="147">
        <v>75</v>
      </c>
      <c r="F80" s="188">
        <f t="shared" si="307"/>
        <v>0.375</v>
      </c>
      <c r="G80" s="188">
        <f t="shared" si="271"/>
        <v>0.375</v>
      </c>
      <c r="H80" s="188">
        <f t="shared" si="176"/>
        <v>63.75</v>
      </c>
      <c r="I80" s="188">
        <f t="shared" si="308"/>
        <v>4.5</v>
      </c>
      <c r="J80" s="465">
        <f t="shared" si="177"/>
        <v>11.91753406375804</v>
      </c>
      <c r="K80" s="379">
        <f t="shared" si="178"/>
        <v>8.6742802884295287</v>
      </c>
      <c r="L80" s="149">
        <f t="shared" si="179"/>
        <v>20.591814352187569</v>
      </c>
      <c r="M80" s="379"/>
      <c r="N80" s="188">
        <f t="shared" si="180"/>
        <v>0.42124895553499481</v>
      </c>
      <c r="O80" s="149">
        <f t="shared" si="272"/>
        <v>156.30811210161824</v>
      </c>
      <c r="P80" s="149">
        <f t="shared" si="181"/>
        <v>11.033513795408346</v>
      </c>
      <c r="Q80" s="188">
        <f t="shared" si="182"/>
        <v>0.91945948295069546</v>
      </c>
      <c r="R80" s="188">
        <f t="shared" si="183"/>
        <v>13.025676008468187</v>
      </c>
      <c r="S80" s="379">
        <f t="shared" si="184"/>
        <v>170</v>
      </c>
      <c r="T80" s="188">
        <f t="shared" si="185"/>
        <v>27.189887606325975</v>
      </c>
      <c r="U80" s="188">
        <f t="shared" si="186"/>
        <v>3.4222542340800319</v>
      </c>
      <c r="V80" s="188">
        <f t="shared" si="187"/>
        <v>4.7018115686083082</v>
      </c>
      <c r="W80" s="172">
        <f t="shared" si="188"/>
        <v>251.0124388455398</v>
      </c>
      <c r="X80" s="379">
        <f t="shared" si="273"/>
        <v>120.13360101947298</v>
      </c>
      <c r="Z80" s="188">
        <f t="shared" si="189"/>
        <v>13.333333333333334</v>
      </c>
      <c r="AA80" s="150">
        <f t="shared" si="190"/>
        <v>2.3056667913622357</v>
      </c>
      <c r="AB80" s="150">
        <f t="shared" si="191"/>
        <v>0.18019721164661337</v>
      </c>
      <c r="AC80" s="150"/>
      <c r="AD80" s="150">
        <f t="shared" si="192"/>
        <v>2.3056667913622357</v>
      </c>
      <c r="AE80" s="314">
        <f t="shared" si="193"/>
        <v>522.37026148704285</v>
      </c>
      <c r="AF80" s="456">
        <f t="shared" si="194"/>
        <v>0.18019721164661337</v>
      </c>
      <c r="AH80" s="150">
        <f t="shared" si="195"/>
        <v>16.124515496597098</v>
      </c>
      <c r="AI80" s="150">
        <f t="shared" si="196"/>
        <v>27.189887606325975</v>
      </c>
      <c r="AJ80" s="150">
        <f t="shared" si="197"/>
        <v>11.464114276290845</v>
      </c>
      <c r="AL80" s="314">
        <f t="shared" si="198"/>
        <v>375</v>
      </c>
      <c r="AM80" s="144">
        <f t="shared" si="199"/>
        <v>120.13360101947298</v>
      </c>
      <c r="AO80">
        <f t="shared" si="274"/>
        <v>375</v>
      </c>
      <c r="AP80">
        <f t="shared" si="200"/>
        <v>120.13360101947298</v>
      </c>
      <c r="AR80" s="5">
        <f t="shared" si="275"/>
        <v>8.3240658026883398</v>
      </c>
      <c r="AS80" s="5">
        <f t="shared" si="201"/>
        <v>3.4222542340800319</v>
      </c>
      <c r="AT80" s="5">
        <f t="shared" si="276"/>
        <v>4.9018115686083075</v>
      </c>
      <c r="AU80" s="150">
        <f t="shared" si="277"/>
        <v>0.41112772474417258</v>
      </c>
      <c r="AW80" s="5">
        <f t="shared" si="202"/>
        <v>0.7549090222235364</v>
      </c>
      <c r="AX80" s="5">
        <f t="shared" si="203"/>
        <v>10.694544481500099</v>
      </c>
      <c r="AY80" s="5">
        <f t="shared" si="204"/>
        <v>43.701782296429158</v>
      </c>
      <c r="AZ80" s="5"/>
      <c r="BA80" s="150">
        <f t="shared" si="278"/>
        <v>10.065495694217597</v>
      </c>
      <c r="BB80" s="150">
        <f t="shared" si="205"/>
        <v>0.5626066699464437</v>
      </c>
      <c r="BC80" s="150">
        <f t="shared" si="206"/>
        <v>0.53520027885530252</v>
      </c>
      <c r="BD80" s="150"/>
      <c r="BE80" s="456">
        <f t="shared" si="207"/>
        <v>0.34446829213906416</v>
      </c>
      <c r="BF80" s="456">
        <f t="shared" si="208"/>
        <v>1.6109128267689146</v>
      </c>
      <c r="BG80" s="456">
        <f t="shared" si="209"/>
        <v>6.5571689731698093E-2</v>
      </c>
      <c r="BH80" s="456">
        <f t="shared" si="210"/>
        <v>3.4893480833842125E-2</v>
      </c>
      <c r="BI80">
        <f t="shared" si="211"/>
        <v>5.3628903286911181E-3</v>
      </c>
      <c r="BJ80" s="144">
        <f t="shared" si="279"/>
        <v>70.934580060389223</v>
      </c>
      <c r="BK80">
        <f t="shared" si="212"/>
        <v>2.2689878617955115</v>
      </c>
      <c r="BL80" s="144">
        <f t="shared" si="280"/>
        <v>2268.9878617955114</v>
      </c>
      <c r="BM80" s="150">
        <f t="shared" si="213"/>
        <v>0.83203125</v>
      </c>
      <c r="BN80" s="150">
        <f t="shared" si="214"/>
        <v>0.26625000000000004</v>
      </c>
      <c r="BO80" s="456"/>
      <c r="BQ80" s="144">
        <f t="shared" si="281"/>
        <v>1098.28125</v>
      </c>
      <c r="BR80" s="456">
        <f t="shared" si="215"/>
        <v>0.15197130535546949</v>
      </c>
      <c r="BS80" s="456">
        <f t="shared" si="216"/>
        <v>6.3305253013645327E-2</v>
      </c>
      <c r="BT80" s="456">
        <f t="shared" si="217"/>
        <v>8.5931801546038078E-3</v>
      </c>
      <c r="BU80" s="456">
        <f t="shared" si="218"/>
        <v>30.489462869564264</v>
      </c>
      <c r="BV80" s="456">
        <f t="shared" si="219"/>
        <v>31.328135057636789</v>
      </c>
      <c r="BW80" s="538">
        <f t="shared" si="220"/>
        <v>8.8813568461445586E-2</v>
      </c>
      <c r="BX80" s="144">
        <f t="shared" si="282"/>
        <v>31416.948626098238</v>
      </c>
      <c r="BY80" s="150">
        <f t="shared" si="283"/>
        <v>34.784217737893748</v>
      </c>
      <c r="BZ80" s="5">
        <f t="shared" si="284"/>
        <v>68.25</v>
      </c>
      <c r="CA80" s="150">
        <f t="shared" si="285"/>
        <v>0.662401302192826</v>
      </c>
      <c r="CB80" s="5">
        <f t="shared" si="286"/>
        <v>66.240130219282605</v>
      </c>
      <c r="CC80">
        <f t="shared" si="287"/>
        <v>75</v>
      </c>
      <c r="CE80" s="59">
        <f t="shared" si="221"/>
        <v>-50</v>
      </c>
      <c r="CF80">
        <f t="shared" si="222"/>
        <v>-50</v>
      </c>
      <c r="CG80" s="150">
        <f t="shared" si="223"/>
        <v>0.56766977275315589</v>
      </c>
      <c r="CH80" s="150">
        <f t="shared" si="224"/>
        <v>0.15382552837714242</v>
      </c>
      <c r="CI80" s="147">
        <v>75</v>
      </c>
      <c r="CJ80" s="188">
        <f t="shared" si="309"/>
        <v>0.375</v>
      </c>
      <c r="CK80" s="188">
        <f t="shared" si="288"/>
        <v>0.375</v>
      </c>
      <c r="CL80" s="188">
        <f t="shared" si="225"/>
        <v>63.75</v>
      </c>
      <c r="CM80" s="188">
        <f t="shared" si="310"/>
        <v>4.5</v>
      </c>
      <c r="CN80" s="465">
        <f t="shared" si="289"/>
        <v>12</v>
      </c>
      <c r="CO80" s="379">
        <f t="shared" si="226"/>
        <v>8.625</v>
      </c>
      <c r="CP80" s="379">
        <f t="shared" si="227"/>
        <v>20.625</v>
      </c>
      <c r="CQ80" s="379"/>
      <c r="CR80" s="188">
        <f t="shared" si="228"/>
        <v>0.4156318480642805</v>
      </c>
      <c r="CS80" s="149">
        <f t="shared" si="290"/>
        <v>155.29102015588504</v>
      </c>
      <c r="CT80" s="149">
        <f t="shared" si="229"/>
        <v>10.961719069827179</v>
      </c>
      <c r="CU80" s="188">
        <f t="shared" si="230"/>
        <v>0.91347658915226493</v>
      </c>
      <c r="CV80" s="188">
        <f t="shared" si="231"/>
        <v>12.940918346323754</v>
      </c>
      <c r="CW80" s="379">
        <f t="shared" si="232"/>
        <v>170</v>
      </c>
      <c r="CX80" s="188">
        <f t="shared" si="233"/>
        <v>27.367970123022847</v>
      </c>
      <c r="CY80" s="188">
        <f t="shared" si="234"/>
        <v>3.4209962653778558</v>
      </c>
      <c r="CZ80" s="188">
        <f t="shared" si="235"/>
        <v>4.7596469779170159</v>
      </c>
      <c r="DA80" s="172">
        <f t="shared" si="236"/>
        <v>250.90909090909091</v>
      </c>
      <c r="DB80" s="379">
        <f t="shared" si="291"/>
        <v>122.23977629383036</v>
      </c>
      <c r="DD80" s="188">
        <f t="shared" si="237"/>
        <v>13.333333333333332</v>
      </c>
      <c r="DE80" s="150">
        <f t="shared" si="238"/>
        <v>2.318840579710145</v>
      </c>
      <c r="DF80" s="150">
        <f t="shared" si="239"/>
        <v>0.18115218115218115</v>
      </c>
      <c r="DG80" s="150"/>
      <c r="DH80" s="150">
        <f t="shared" si="240"/>
        <v>2.3188405797101455</v>
      </c>
      <c r="DI80" s="314">
        <f t="shared" si="241"/>
        <v>519.4025735294116</v>
      </c>
      <c r="DJ80" s="456">
        <f t="shared" si="242"/>
        <v>0.18115218115218121</v>
      </c>
      <c r="DL80" s="150">
        <f t="shared" si="243"/>
        <v>16.124515496597098</v>
      </c>
      <c r="DM80" s="150">
        <f t="shared" si="244"/>
        <v>27.367970123022847</v>
      </c>
      <c r="DN80" s="150">
        <f t="shared" si="245"/>
        <v>11.596027251621861</v>
      </c>
      <c r="DP80" s="314">
        <f t="shared" si="246"/>
        <v>375</v>
      </c>
      <c r="DQ80" s="144">
        <f t="shared" si="247"/>
        <v>122.23977629383036</v>
      </c>
      <c r="DS80">
        <f t="shared" si="292"/>
        <v>375</v>
      </c>
      <c r="DT80">
        <f t="shared" si="248"/>
        <v>122.23977629383036</v>
      </c>
      <c r="DV80" s="5">
        <f t="shared" si="293"/>
        <v>8.1806432432948721</v>
      </c>
      <c r="DW80" s="5">
        <f t="shared" si="249"/>
        <v>3.4209962653778558</v>
      </c>
      <c r="DX80" s="5">
        <f t="shared" si="294"/>
        <v>4.7596469779170167</v>
      </c>
      <c r="DY80" s="150">
        <f t="shared" si="295"/>
        <v>0.41818181818181821</v>
      </c>
      <c r="EA80" s="5">
        <f t="shared" si="250"/>
        <v>0.75463152912746823</v>
      </c>
      <c r="EB80" s="5">
        <f t="shared" si="251"/>
        <v>10.690613329305799</v>
      </c>
      <c r="EC80" s="5">
        <f t="shared" si="252"/>
        <v>42.142707616973581</v>
      </c>
      <c r="ED80" s="5"/>
      <c r="EE80" s="150">
        <f t="shared" si="296"/>
        <v>10.21796787572945</v>
      </c>
      <c r="EF80" s="150">
        <f t="shared" si="253"/>
        <v>0.56288949265786004</v>
      </c>
      <c r="EG80" s="150">
        <f t="shared" si="254"/>
        <v>0.53546932435743122</v>
      </c>
      <c r="EH80" s="150"/>
      <c r="EI80" s="456">
        <f t="shared" si="255"/>
        <v>0.35498334953209254</v>
      </c>
      <c r="EJ80" s="456">
        <f t="shared" si="256"/>
        <v>2.0976000000000004</v>
      </c>
      <c r="EK80" s="456">
        <f t="shared" si="257"/>
        <v>2.7992908771287149E-2</v>
      </c>
      <c r="EL80" s="456">
        <f t="shared" si="258"/>
        <v>3.5619763563682481E-2</v>
      </c>
      <c r="EM80">
        <f t="shared" si="259"/>
        <v>5.4000000000000003E-3</v>
      </c>
      <c r="EN80" s="144">
        <f t="shared" si="297"/>
        <v>33.392908771287154</v>
      </c>
      <c r="EO80">
        <f t="shared" si="260"/>
        <v>2.8585425657500863</v>
      </c>
      <c r="EP80" s="144">
        <f t="shared" si="298"/>
        <v>2858.5425657500864</v>
      </c>
      <c r="EQ80" s="150">
        <f t="shared" si="261"/>
        <v>0.83203125</v>
      </c>
      <c r="ER80" s="150">
        <f t="shared" si="262"/>
        <v>0.26625000000000004</v>
      </c>
      <c r="ES80" s="456"/>
      <c r="EU80" s="144">
        <f t="shared" si="299"/>
        <v>1098.28125</v>
      </c>
      <c r="EV80" s="456">
        <f t="shared" si="263"/>
        <v>0.15661030126415851</v>
      </c>
      <c r="EW80" s="456">
        <f t="shared" si="300"/>
        <v>6.3368916188924623E-2</v>
      </c>
      <c r="EX80" s="456">
        <f t="shared" si="264"/>
        <v>8.6018219198341159E-3</v>
      </c>
      <c r="EY80" s="456">
        <f t="shared" si="265"/>
        <v>32.367401730079024</v>
      </c>
      <c r="EZ80" s="456">
        <f t="shared" si="266"/>
        <v>33.259032964791857</v>
      </c>
      <c r="FA80" s="538">
        <f t="shared" si="267"/>
        <v>9.1558300047930988E-2</v>
      </c>
      <c r="FB80" s="144">
        <f t="shared" si="301"/>
        <v>33350.591264839786</v>
      </c>
      <c r="FC80" s="150">
        <f t="shared" si="302"/>
        <v>37.30741508058987</v>
      </c>
      <c r="FD80" s="5">
        <f t="shared" si="303"/>
        <v>68.25</v>
      </c>
      <c r="FE80" s="150">
        <f t="shared" si="304"/>
        <v>0.64656755707681179</v>
      </c>
      <c r="FF80" s="5">
        <f t="shared" si="305"/>
        <v>64.656755707681185</v>
      </c>
      <c r="FG80">
        <f t="shared" si="306"/>
        <v>75</v>
      </c>
      <c r="FI80" s="59">
        <f t="shared" si="268"/>
        <v>-50</v>
      </c>
      <c r="FJ80">
        <f t="shared" si="269"/>
        <v>-50</v>
      </c>
      <c r="FL80">
        <f t="shared" si="270"/>
        <v>0.56766977275315589</v>
      </c>
    </row>
    <row r="81" spans="5:168">
      <c r="E81" s="147">
        <v>76</v>
      </c>
      <c r="F81" s="188">
        <f t="shared" si="307"/>
        <v>0.38</v>
      </c>
      <c r="G81" s="188">
        <f t="shared" si="271"/>
        <v>0.38</v>
      </c>
      <c r="H81" s="188">
        <f t="shared" si="176"/>
        <v>64.599999999999994</v>
      </c>
      <c r="I81" s="188">
        <f t="shared" si="308"/>
        <v>4.5600000000000005</v>
      </c>
      <c r="J81" s="465">
        <f t="shared" si="177"/>
        <v>11.916434517941481</v>
      </c>
      <c r="K81" s="379">
        <f t="shared" si="178"/>
        <v>8.6749373589419214</v>
      </c>
      <c r="L81" s="149">
        <f t="shared" si="179"/>
        <v>20.5913718768834</v>
      </c>
      <c r="M81" s="379"/>
      <c r="N81" s="188">
        <f t="shared" si="180"/>
        <v>0.42128991748629979</v>
      </c>
      <c r="O81" s="149">
        <f t="shared" si="272"/>
        <v>156.3088885558715</v>
      </c>
      <c r="P81" s="149">
        <f t="shared" si="181"/>
        <v>11.033568603943872</v>
      </c>
      <c r="Q81" s="188">
        <f t="shared" si="182"/>
        <v>0.91946405032865586</v>
      </c>
      <c r="R81" s="188">
        <f t="shared" si="183"/>
        <v>13.025740712989291</v>
      </c>
      <c r="S81" s="379">
        <f t="shared" si="184"/>
        <v>170</v>
      </c>
      <c r="T81" s="188">
        <f t="shared" si="185"/>
        <v>27.552282576222648</v>
      </c>
      <c r="U81" s="188">
        <f t="shared" si="186"/>
        <v>3.4681870489121192</v>
      </c>
      <c r="V81" s="188">
        <f t="shared" si="187"/>
        <v>4.7641178436560816</v>
      </c>
      <c r="W81" s="172">
        <f t="shared" si="188"/>
        <v>251.013685739723</v>
      </c>
      <c r="X81" s="379">
        <f t="shared" si="273"/>
        <v>118.59153727723347</v>
      </c>
      <c r="Z81" s="188">
        <f t="shared" si="189"/>
        <v>13.333333333333334</v>
      </c>
      <c r="AA81" s="150">
        <f t="shared" si="190"/>
        <v>2.3054921519847604</v>
      </c>
      <c r="AB81" s="150">
        <f t="shared" si="191"/>
        <v>0.18018445792551113</v>
      </c>
      <c r="AC81" s="150"/>
      <c r="AD81" s="150">
        <f t="shared" si="192"/>
        <v>2.3054921519847604</v>
      </c>
      <c r="AE81" s="314">
        <f t="shared" si="193"/>
        <v>529.37529506860869</v>
      </c>
      <c r="AF81" s="456">
        <f t="shared" si="194"/>
        <v>0.1801844579255111</v>
      </c>
      <c r="AH81" s="150">
        <f t="shared" si="195"/>
        <v>16.231656313102082</v>
      </c>
      <c r="AI81" s="150">
        <f t="shared" si="196"/>
        <v>27.552282576222648</v>
      </c>
      <c r="AJ81" s="150">
        <f t="shared" si="197"/>
        <v>11.732554994732824</v>
      </c>
      <c r="AL81" s="314">
        <f t="shared" si="198"/>
        <v>380</v>
      </c>
      <c r="AM81" s="144">
        <f t="shared" si="199"/>
        <v>118.59153727723347</v>
      </c>
      <c r="AO81">
        <f t="shared" si="274"/>
        <v>380</v>
      </c>
      <c r="AP81">
        <f t="shared" si="200"/>
        <v>118.59153727723347</v>
      </c>
      <c r="AR81" s="5">
        <f t="shared" si="275"/>
        <v>8.4323048925682009</v>
      </c>
      <c r="AS81" s="5">
        <f t="shared" si="201"/>
        <v>3.4681870489121192</v>
      </c>
      <c r="AT81" s="5">
        <f t="shared" si="276"/>
        <v>4.9641178436560818</v>
      </c>
      <c r="AU81" s="150">
        <f t="shared" si="277"/>
        <v>0.41129763369547995</v>
      </c>
      <c r="AW81" s="5">
        <f t="shared" si="202"/>
        <v>0.77524181093329725</v>
      </c>
      <c r="AX81" s="5">
        <f t="shared" si="203"/>
        <v>10.982592321555044</v>
      </c>
      <c r="AY81" s="5">
        <f t="shared" si="204"/>
        <v>44.85150489957956</v>
      </c>
      <c r="AZ81" s="5"/>
      <c r="BA81" s="150">
        <f t="shared" si="278"/>
        <v>10.201759051664379</v>
      </c>
      <c r="BB81" s="150">
        <f t="shared" si="205"/>
        <v>0.57002300727767496</v>
      </c>
      <c r="BC81" s="150">
        <f t="shared" si="206"/>
        <v>0.54225534240109707</v>
      </c>
      <c r="BD81" s="150"/>
      <c r="BE81" s="456">
        <f t="shared" si="207"/>
        <v>0.35385801834393465</v>
      </c>
      <c r="BF81" s="456">
        <f t="shared" si="208"/>
        <v>1.6113952621852867</v>
      </c>
      <c r="BG81" s="456">
        <f t="shared" si="209"/>
        <v>6.4724023606254524E-2</v>
      </c>
      <c r="BH81" s="456">
        <f t="shared" si="210"/>
        <v>3.4444099425279706E-2</v>
      </c>
      <c r="BI81">
        <f t="shared" si="211"/>
        <v>5.3623955330736658E-3</v>
      </c>
      <c r="BJ81" s="144">
        <f t="shared" si="279"/>
        <v>70.086419139328186</v>
      </c>
      <c r="BK81">
        <f t="shared" si="212"/>
        <v>2.2875703295298035</v>
      </c>
      <c r="BL81" s="144">
        <f t="shared" si="280"/>
        <v>2287.5703295298035</v>
      </c>
      <c r="BM81" s="150">
        <f t="shared" si="213"/>
        <v>0.8431249999999999</v>
      </c>
      <c r="BN81" s="150">
        <f t="shared" si="214"/>
        <v>0.26980000000000004</v>
      </c>
      <c r="BO81" s="456"/>
      <c r="BQ81" s="144">
        <f t="shared" si="281"/>
        <v>1112.925</v>
      </c>
      <c r="BR81" s="456">
        <f t="shared" si="215"/>
        <v>0.15611383162232412</v>
      </c>
      <c r="BS81" s="456">
        <f t="shared" si="216"/>
        <v>6.4985245765176863E-2</v>
      </c>
      <c r="BT81" s="456">
        <f t="shared" si="217"/>
        <v>8.8212256908759296E-3</v>
      </c>
      <c r="BU81" s="456">
        <f t="shared" si="218"/>
        <v>30.513934598324369</v>
      </c>
      <c r="BV81" s="456">
        <f t="shared" si="219"/>
        <v>31.376157016596807</v>
      </c>
      <c r="BW81" s="538">
        <f t="shared" si="220"/>
        <v>9.0026189141841712E-2</v>
      </c>
      <c r="BX81" s="144">
        <f t="shared" si="282"/>
        <v>31466.183205738649</v>
      </c>
      <c r="BY81" s="150">
        <f t="shared" si="283"/>
        <v>34.866678535268456</v>
      </c>
      <c r="BZ81" s="5">
        <f t="shared" si="284"/>
        <v>69.16</v>
      </c>
      <c r="CA81" s="150">
        <f t="shared" si="285"/>
        <v>0.66482945503784874</v>
      </c>
      <c r="CB81" s="5">
        <f t="shared" si="286"/>
        <v>66.482945503784876</v>
      </c>
      <c r="CC81">
        <f t="shared" si="287"/>
        <v>76</v>
      </c>
      <c r="CE81" s="59">
        <f t="shared" si="221"/>
        <v>-50</v>
      </c>
      <c r="CF81">
        <f t="shared" si="222"/>
        <v>-50</v>
      </c>
      <c r="CG81" s="150">
        <f t="shared" si="223"/>
        <v>0.56766977275315589</v>
      </c>
      <c r="CH81" s="150">
        <f t="shared" si="224"/>
        <v>0.15382552837714242</v>
      </c>
      <c r="CI81" s="147">
        <v>76</v>
      </c>
      <c r="CJ81" s="188">
        <f t="shared" si="309"/>
        <v>0.38</v>
      </c>
      <c r="CK81" s="188">
        <f t="shared" si="288"/>
        <v>0.38</v>
      </c>
      <c r="CL81" s="188">
        <f t="shared" si="225"/>
        <v>64.599999999999994</v>
      </c>
      <c r="CM81" s="188">
        <f t="shared" si="310"/>
        <v>4.5600000000000005</v>
      </c>
      <c r="CN81" s="465">
        <f t="shared" si="289"/>
        <v>12</v>
      </c>
      <c r="CO81" s="379">
        <f t="shared" si="226"/>
        <v>8.625</v>
      </c>
      <c r="CP81" s="379">
        <f t="shared" si="227"/>
        <v>20.625</v>
      </c>
      <c r="CQ81" s="379"/>
      <c r="CR81" s="188">
        <f t="shared" si="228"/>
        <v>0.4156318480642805</v>
      </c>
      <c r="CS81" s="149">
        <f t="shared" si="290"/>
        <v>155.29102015588504</v>
      </c>
      <c r="CT81" s="149">
        <f t="shared" si="229"/>
        <v>10.961719069827179</v>
      </c>
      <c r="CU81" s="188">
        <f t="shared" si="230"/>
        <v>0.91347658915226493</v>
      </c>
      <c r="CV81" s="188">
        <f t="shared" si="231"/>
        <v>12.940918346323754</v>
      </c>
      <c r="CW81" s="379">
        <f t="shared" si="232"/>
        <v>170</v>
      </c>
      <c r="CX81" s="188">
        <f t="shared" si="233"/>
        <v>27.732876391329818</v>
      </c>
      <c r="CY81" s="188">
        <f t="shared" si="234"/>
        <v>3.4666095489162267</v>
      </c>
      <c r="CZ81" s="188">
        <f t="shared" si="235"/>
        <v>4.8231089376225773</v>
      </c>
      <c r="DA81" s="172">
        <f t="shared" si="236"/>
        <v>250.90909090909091</v>
      </c>
      <c r="DB81" s="379">
        <f t="shared" si="291"/>
        <v>120.631358184701</v>
      </c>
      <c r="DD81" s="188">
        <f t="shared" si="237"/>
        <v>13.333333333333332</v>
      </c>
      <c r="DE81" s="150">
        <f t="shared" si="238"/>
        <v>2.318840579710145</v>
      </c>
      <c r="DF81" s="150">
        <f t="shared" si="239"/>
        <v>0.18115218115218115</v>
      </c>
      <c r="DG81" s="150"/>
      <c r="DH81" s="150">
        <f t="shared" si="240"/>
        <v>2.3188405797101455</v>
      </c>
      <c r="DI81" s="314">
        <f t="shared" si="241"/>
        <v>526.3279411764704</v>
      </c>
      <c r="DJ81" s="456">
        <f t="shared" si="242"/>
        <v>0.18115218115218121</v>
      </c>
      <c r="DL81" s="150">
        <f t="shared" si="243"/>
        <v>16.231656313102082</v>
      </c>
      <c r="DM81" s="150">
        <f t="shared" si="244"/>
        <v>27.732876391329818</v>
      </c>
      <c r="DN81" s="150">
        <f t="shared" si="245"/>
        <v>11.866328191108504</v>
      </c>
      <c r="DP81" s="314">
        <f t="shared" si="246"/>
        <v>380</v>
      </c>
      <c r="DQ81" s="144">
        <f t="shared" si="247"/>
        <v>120.631358184701</v>
      </c>
      <c r="DS81">
        <f t="shared" si="292"/>
        <v>380</v>
      </c>
      <c r="DT81">
        <f t="shared" si="248"/>
        <v>120.631358184701</v>
      </c>
      <c r="DV81" s="5">
        <f t="shared" si="293"/>
        <v>8.2897184865388045</v>
      </c>
      <c r="DW81" s="5">
        <f t="shared" si="249"/>
        <v>3.4666095489162267</v>
      </c>
      <c r="DX81" s="5">
        <f t="shared" si="294"/>
        <v>4.8231089376225782</v>
      </c>
      <c r="DY81" s="150">
        <f t="shared" si="295"/>
        <v>0.4181818181818181</v>
      </c>
      <c r="EA81" s="5">
        <f t="shared" si="250"/>
        <v>0.77488919328715655</v>
      </c>
      <c r="EB81" s="5">
        <f t="shared" si="251"/>
        <v>10.977596904901384</v>
      </c>
      <c r="EC81" s="5">
        <f t="shared" si="252"/>
        <v>43.274005190335899</v>
      </c>
      <c r="ED81" s="5"/>
      <c r="EE81" s="150">
        <f t="shared" si="296"/>
        <v>10.354207447405843</v>
      </c>
      <c r="EF81" s="150">
        <f t="shared" si="253"/>
        <v>0.57039468589329823</v>
      </c>
      <c r="EG81" s="150">
        <f t="shared" si="254"/>
        <v>0.54260891534886369</v>
      </c>
      <c r="EH81" s="150"/>
      <c r="EI81" s="456">
        <f t="shared" si="255"/>
        <v>0.36451268033730966</v>
      </c>
      <c r="EJ81" s="456">
        <f t="shared" si="256"/>
        <v>2.0975999999999999</v>
      </c>
      <c r="EK81" s="456">
        <f t="shared" si="257"/>
        <v>2.7624581024296529E-2</v>
      </c>
      <c r="EL81" s="456">
        <f t="shared" si="258"/>
        <v>3.5151082464160342E-2</v>
      </c>
      <c r="EM81">
        <f t="shared" si="259"/>
        <v>5.4000000000000003E-3</v>
      </c>
      <c r="EN81" s="144">
        <f t="shared" si="297"/>
        <v>33.024581024296531</v>
      </c>
      <c r="EO81">
        <f t="shared" si="260"/>
        <v>2.8779619047306002</v>
      </c>
      <c r="EP81" s="144">
        <f t="shared" si="298"/>
        <v>2877.9619047306001</v>
      </c>
      <c r="EQ81" s="150">
        <f t="shared" si="261"/>
        <v>0.8431249999999999</v>
      </c>
      <c r="ER81" s="150">
        <f t="shared" si="262"/>
        <v>0.26980000000000004</v>
      </c>
      <c r="ES81" s="456"/>
      <c r="EU81" s="144">
        <f t="shared" si="299"/>
        <v>1112.925</v>
      </c>
      <c r="EV81" s="456">
        <f t="shared" si="263"/>
        <v>0.16081441779587194</v>
      </c>
      <c r="EW81" s="456">
        <f t="shared" si="300"/>
        <v>6.5070019539062871E-2</v>
      </c>
      <c r="EX81" s="456">
        <f t="shared" si="264"/>
        <v>8.8327330504821087E-3</v>
      </c>
      <c r="EY81" s="456">
        <f t="shared" si="265"/>
        <v>32.367401730078967</v>
      </c>
      <c r="EZ81" s="456">
        <f t="shared" si="266"/>
        <v>33.283426353714908</v>
      </c>
      <c r="FA81" s="538">
        <f t="shared" si="267"/>
        <v>9.2779077381903385E-2</v>
      </c>
      <c r="FB81" s="144">
        <f t="shared" si="301"/>
        <v>33376.205431096816</v>
      </c>
      <c r="FC81" s="150">
        <f t="shared" si="302"/>
        <v>37.367092335827415</v>
      </c>
      <c r="FD81" s="5">
        <f t="shared" si="303"/>
        <v>69.16</v>
      </c>
      <c r="FE81" s="150">
        <f t="shared" si="304"/>
        <v>0.64922451635094491</v>
      </c>
      <c r="FF81" s="5">
        <f t="shared" si="305"/>
        <v>64.92245163509449</v>
      </c>
      <c r="FG81">
        <f t="shared" si="306"/>
        <v>76</v>
      </c>
      <c r="FI81" s="59">
        <f t="shared" si="268"/>
        <v>-50</v>
      </c>
      <c r="FJ81">
        <f t="shared" si="269"/>
        <v>-50</v>
      </c>
      <c r="FL81">
        <f t="shared" si="270"/>
        <v>0.56766977275315589</v>
      </c>
    </row>
    <row r="82" spans="5:168">
      <c r="E82" s="147">
        <v>77</v>
      </c>
      <c r="F82" s="188">
        <f t="shared" si="307"/>
        <v>0.38500000000000001</v>
      </c>
      <c r="G82" s="188">
        <f t="shared" si="271"/>
        <v>0.38500000000000001</v>
      </c>
      <c r="H82" s="188">
        <f t="shared" si="176"/>
        <v>65.45</v>
      </c>
      <c r="I82" s="188">
        <f t="shared" si="308"/>
        <v>4.62</v>
      </c>
      <c r="J82" s="465">
        <f t="shared" si="177"/>
        <v>11.915334972124922</v>
      </c>
      <c r="K82" s="379">
        <f t="shared" si="178"/>
        <v>8.6755944294543141</v>
      </c>
      <c r="L82" s="149">
        <f t="shared" si="179"/>
        <v>20.590929401579238</v>
      </c>
      <c r="M82" s="379"/>
      <c r="N82" s="188">
        <f t="shared" si="180"/>
        <v>0.42133088119805473</v>
      </c>
      <c r="O82" s="149">
        <f t="shared" si="272"/>
        <v>156.30966285857451</v>
      </c>
      <c r="P82" s="149">
        <f t="shared" si="181"/>
        <v>11.033623260605259</v>
      </c>
      <c r="Q82" s="188">
        <f t="shared" si="182"/>
        <v>0.91946860505043826</v>
      </c>
      <c r="R82" s="188">
        <f t="shared" si="183"/>
        <v>13.025805238214543</v>
      </c>
      <c r="S82" s="379">
        <f t="shared" si="184"/>
        <v>170</v>
      </c>
      <c r="T82" s="188">
        <f t="shared" si="185"/>
        <v>27.914674330026418</v>
      </c>
      <c r="U82" s="188">
        <f t="shared" si="186"/>
        <v>3.5141279362264024</v>
      </c>
      <c r="V82" s="188">
        <f t="shared" si="187"/>
        <v>4.8264141247637058</v>
      </c>
      <c r="W82" s="172">
        <f t="shared" si="188"/>
        <v>251.01492917876962</v>
      </c>
      <c r="X82" s="379">
        <f t="shared" si="273"/>
        <v>117.0885867499691</v>
      </c>
      <c r="Z82" s="188">
        <f t="shared" si="189"/>
        <v>13.333333333333334</v>
      </c>
      <c r="AA82" s="150">
        <f t="shared" si="190"/>
        <v>2.305317539060892</v>
      </c>
      <c r="AB82" s="150">
        <f t="shared" si="191"/>
        <v>0.18017170365628335</v>
      </c>
      <c r="AC82" s="150"/>
      <c r="AD82" s="150">
        <f t="shared" si="192"/>
        <v>2.305317539060892</v>
      </c>
      <c r="AE82" s="314">
        <f t="shared" si="193"/>
        <v>536.38138382811496</v>
      </c>
      <c r="AF82" s="456">
        <f t="shared" si="194"/>
        <v>0.18017170365628335</v>
      </c>
      <c r="AH82" s="150">
        <f t="shared" si="195"/>
        <v>16.338094544142329</v>
      </c>
      <c r="AI82" s="150">
        <f t="shared" si="196"/>
        <v>27.914674330026418</v>
      </c>
      <c r="AJ82" s="150">
        <f t="shared" si="197"/>
        <v>12.000993330883766</v>
      </c>
      <c r="AL82" s="314">
        <f t="shared" si="198"/>
        <v>385</v>
      </c>
      <c r="AM82" s="144">
        <f t="shared" si="199"/>
        <v>117.0885867499691</v>
      </c>
      <c r="AO82">
        <f t="shared" si="274"/>
        <v>385</v>
      </c>
      <c r="AP82">
        <f t="shared" si="200"/>
        <v>117.0885867499691</v>
      </c>
      <c r="AR82" s="5">
        <f t="shared" si="275"/>
        <v>8.5405420609901075</v>
      </c>
      <c r="AS82" s="5">
        <f t="shared" si="201"/>
        <v>3.5141279362264024</v>
      </c>
      <c r="AT82" s="5">
        <f t="shared" si="276"/>
        <v>5.0264141247637051</v>
      </c>
      <c r="AU82" s="150">
        <f t="shared" si="277"/>
        <v>0.41146427371133498</v>
      </c>
      <c r="AW82" s="5">
        <f t="shared" si="202"/>
        <v>0.79584662085127356</v>
      </c>
      <c r="AX82" s="5">
        <f t="shared" si="203"/>
        <v>11.274493795393042</v>
      </c>
      <c r="AY82" s="5">
        <f t="shared" si="204"/>
        <v>46.016163937117867</v>
      </c>
      <c r="AZ82" s="5"/>
      <c r="BA82" s="150">
        <f t="shared" si="278"/>
        <v>10.338035148789013</v>
      </c>
      <c r="BB82" s="150">
        <f t="shared" si="205"/>
        <v>0.57743870596114621</v>
      </c>
      <c r="BC82" s="150">
        <f t="shared" si="206"/>
        <v>0.54930979840973004</v>
      </c>
      <c r="BD82" s="150"/>
      <c r="BE82" s="456">
        <f t="shared" si="207"/>
        <v>0.36337490050783</v>
      </c>
      <c r="BF82" s="456">
        <f t="shared" si="208"/>
        <v>1.6118647468528247</v>
      </c>
      <c r="BG82" s="456">
        <f t="shared" si="209"/>
        <v>6.3897857750267392E-2</v>
      </c>
      <c r="BH82" s="456">
        <f t="shared" si="210"/>
        <v>3.4006116222626767E-2</v>
      </c>
      <c r="BI82">
        <f t="shared" si="211"/>
        <v>5.3619007374562152E-3</v>
      </c>
      <c r="BJ82" s="144">
        <f t="shared" si="279"/>
        <v>69.259758487723602</v>
      </c>
      <c r="BK82">
        <f t="shared" si="212"/>
        <v>2.306494854275317</v>
      </c>
      <c r="BL82" s="144">
        <f t="shared" si="280"/>
        <v>2306.4948542753168</v>
      </c>
      <c r="BM82" s="150">
        <f t="shared" si="213"/>
        <v>0.85421875000000003</v>
      </c>
      <c r="BN82" s="150">
        <f t="shared" si="214"/>
        <v>0.27335000000000004</v>
      </c>
      <c r="BO82" s="456"/>
      <c r="BQ82" s="144">
        <f t="shared" si="281"/>
        <v>1127.5687499999999</v>
      </c>
      <c r="BR82" s="456">
        <f t="shared" si="215"/>
        <v>0.16031245610639561</v>
      </c>
      <c r="BS82" s="456">
        <f t="shared" si="216"/>
        <v>6.6687091828416617E-2</v>
      </c>
      <c r="BT82" s="456">
        <f t="shared" si="217"/>
        <v>9.0522376388681471E-3</v>
      </c>
      <c r="BU82" s="456">
        <f t="shared" si="218"/>
        <v>30.537805756643007</v>
      </c>
      <c r="BV82" s="456">
        <f t="shared" si="219"/>
        <v>31.423923837276</v>
      </c>
      <c r="BW82" s="538">
        <f t="shared" si="220"/>
        <v>9.1238827393714597E-2</v>
      </c>
      <c r="BX82" s="144">
        <f t="shared" si="282"/>
        <v>31515.162664669711</v>
      </c>
      <c r="BY82" s="150">
        <f t="shared" si="283"/>
        <v>34.949226268945033</v>
      </c>
      <c r="BZ82" s="5">
        <f t="shared" si="284"/>
        <v>70.070000000000007</v>
      </c>
      <c r="CA82" s="150">
        <f t="shared" si="285"/>
        <v>0.66721116208337772</v>
      </c>
      <c r="CB82" s="5">
        <f t="shared" si="286"/>
        <v>66.721116208337776</v>
      </c>
      <c r="CC82">
        <f t="shared" si="287"/>
        <v>77</v>
      </c>
      <c r="CE82" s="59">
        <f t="shared" si="221"/>
        <v>-50</v>
      </c>
      <c r="CF82">
        <f t="shared" si="222"/>
        <v>-50</v>
      </c>
      <c r="CG82" s="150">
        <f t="shared" si="223"/>
        <v>0.56766977275315578</v>
      </c>
      <c r="CH82" s="150">
        <f t="shared" si="224"/>
        <v>0.15382552837714239</v>
      </c>
      <c r="CI82" s="147">
        <v>77</v>
      </c>
      <c r="CJ82" s="188">
        <f t="shared" si="309"/>
        <v>0.38500000000000001</v>
      </c>
      <c r="CK82" s="188">
        <f t="shared" si="288"/>
        <v>0.38500000000000001</v>
      </c>
      <c r="CL82" s="188">
        <f t="shared" si="225"/>
        <v>65.45</v>
      </c>
      <c r="CM82" s="188">
        <f t="shared" si="310"/>
        <v>4.62</v>
      </c>
      <c r="CN82" s="465">
        <f t="shared" si="289"/>
        <v>12</v>
      </c>
      <c r="CO82" s="379">
        <f t="shared" si="226"/>
        <v>8.625</v>
      </c>
      <c r="CP82" s="379">
        <f t="shared" si="227"/>
        <v>20.625</v>
      </c>
      <c r="CQ82" s="379"/>
      <c r="CR82" s="188">
        <f t="shared" si="228"/>
        <v>0.4156318480642805</v>
      </c>
      <c r="CS82" s="149">
        <f t="shared" si="290"/>
        <v>155.29102015588504</v>
      </c>
      <c r="CT82" s="149">
        <f t="shared" si="229"/>
        <v>10.961719069827179</v>
      </c>
      <c r="CU82" s="188">
        <f t="shared" si="230"/>
        <v>0.91347658915226493</v>
      </c>
      <c r="CV82" s="188">
        <f t="shared" si="231"/>
        <v>12.940918346323754</v>
      </c>
      <c r="CW82" s="379">
        <f t="shared" si="232"/>
        <v>170</v>
      </c>
      <c r="CX82" s="188">
        <f t="shared" si="233"/>
        <v>28.097782659636792</v>
      </c>
      <c r="CY82" s="188">
        <f t="shared" si="234"/>
        <v>3.512222832454599</v>
      </c>
      <c r="CZ82" s="188">
        <f t="shared" si="235"/>
        <v>4.8865708973281379</v>
      </c>
      <c r="DA82" s="172">
        <f t="shared" si="236"/>
        <v>250.90909090909091</v>
      </c>
      <c r="DB82" s="379">
        <f t="shared" si="291"/>
        <v>119.06471716931526</v>
      </c>
      <c r="DD82" s="188">
        <f t="shared" si="237"/>
        <v>13.333333333333332</v>
      </c>
      <c r="DE82" s="150">
        <f t="shared" si="238"/>
        <v>2.318840579710145</v>
      </c>
      <c r="DF82" s="150">
        <f t="shared" si="239"/>
        <v>0.18115218115218115</v>
      </c>
      <c r="DG82" s="150"/>
      <c r="DH82" s="150">
        <f t="shared" si="240"/>
        <v>2.3188405797101455</v>
      </c>
      <c r="DI82" s="314">
        <f t="shared" si="241"/>
        <v>533.25330882352921</v>
      </c>
      <c r="DJ82" s="456">
        <f t="shared" si="242"/>
        <v>0.18115218115218121</v>
      </c>
      <c r="DL82" s="150">
        <f t="shared" si="243"/>
        <v>16.338094544142329</v>
      </c>
      <c r="DM82" s="150">
        <f t="shared" si="244"/>
        <v>28.097782659636792</v>
      </c>
      <c r="DN82" s="150">
        <f t="shared" si="245"/>
        <v>12.136629130595153</v>
      </c>
      <c r="DP82" s="314">
        <f t="shared" si="246"/>
        <v>385</v>
      </c>
      <c r="DQ82" s="144">
        <f t="shared" si="247"/>
        <v>119.06471716931526</v>
      </c>
      <c r="DS82">
        <f t="shared" si="292"/>
        <v>385</v>
      </c>
      <c r="DT82">
        <f t="shared" si="248"/>
        <v>119.06471716931526</v>
      </c>
      <c r="DV82" s="5">
        <f t="shared" si="293"/>
        <v>8.3987937297827369</v>
      </c>
      <c r="DW82" s="5">
        <f t="shared" si="249"/>
        <v>3.512222832454599</v>
      </c>
      <c r="DX82" s="5">
        <f t="shared" si="294"/>
        <v>4.8865708973281379</v>
      </c>
      <c r="DY82" s="150">
        <f t="shared" si="295"/>
        <v>0.41818181818181815</v>
      </c>
      <c r="EA82" s="5">
        <f t="shared" si="250"/>
        <v>0.79541517087942393</v>
      </c>
      <c r="EB82" s="5">
        <f t="shared" si="251"/>
        <v>11.268381587458505</v>
      </c>
      <c r="EC82" s="5">
        <f t="shared" si="252"/>
        <v>44.42028683751758</v>
      </c>
      <c r="ED82" s="5"/>
      <c r="EE82" s="150">
        <f t="shared" si="296"/>
        <v>10.490447019082236</v>
      </c>
      <c r="EF82" s="150">
        <f t="shared" si="253"/>
        <v>0.57789987912873642</v>
      </c>
      <c r="EG82" s="150">
        <f t="shared" si="254"/>
        <v>0.54974850634029604</v>
      </c>
      <c r="EH82" s="150"/>
      <c r="EI82" s="456">
        <f t="shared" si="255"/>
        <v>0.37416822744458267</v>
      </c>
      <c r="EJ82" s="456">
        <f t="shared" si="256"/>
        <v>2.0975999999999999</v>
      </c>
      <c r="EK82" s="456">
        <f t="shared" si="257"/>
        <v>2.7265820231773194E-2</v>
      </c>
      <c r="EL82" s="456">
        <f t="shared" si="258"/>
        <v>3.4694574899690724E-2</v>
      </c>
      <c r="EM82">
        <f t="shared" si="259"/>
        <v>5.4000000000000003E-3</v>
      </c>
      <c r="EN82" s="144">
        <f t="shared" si="297"/>
        <v>32.665820231773196</v>
      </c>
      <c r="EO82">
        <f t="shared" si="260"/>
        <v>2.8977729273893797</v>
      </c>
      <c r="EP82" s="144">
        <f t="shared" si="298"/>
        <v>2897.7729273893797</v>
      </c>
      <c r="EQ82" s="150">
        <f t="shared" si="261"/>
        <v>0.85421875000000003</v>
      </c>
      <c r="ER82" s="150">
        <f t="shared" si="262"/>
        <v>0.27335000000000004</v>
      </c>
      <c r="ES82" s="456"/>
      <c r="EU82" s="144">
        <f t="shared" si="299"/>
        <v>1127.5687499999999</v>
      </c>
      <c r="EV82" s="456">
        <f t="shared" si="263"/>
        <v>0.16507421799025707</v>
      </c>
      <c r="EW82" s="456">
        <f t="shared" si="300"/>
        <v>6.679365405940163E-2</v>
      </c>
      <c r="EX82" s="456">
        <f t="shared" si="264"/>
        <v>9.0667026067015946E-3</v>
      </c>
      <c r="EY82" s="456">
        <f t="shared" si="265"/>
        <v>32.367401730078967</v>
      </c>
      <c r="EZ82" s="456">
        <f t="shared" si="266"/>
        <v>33.308167740830427</v>
      </c>
      <c r="FA82" s="538">
        <f t="shared" si="267"/>
        <v>9.3999854715875811E-2</v>
      </c>
      <c r="FB82" s="144">
        <f t="shared" si="301"/>
        <v>33402.1675955463</v>
      </c>
      <c r="FC82" s="150">
        <f t="shared" si="302"/>
        <v>37.42750927293568</v>
      </c>
      <c r="FD82" s="5">
        <f t="shared" si="303"/>
        <v>70.070000000000007</v>
      </c>
      <c r="FE82" s="150">
        <f t="shared" si="304"/>
        <v>0.65182905607694219</v>
      </c>
      <c r="FF82" s="5">
        <f t="shared" si="305"/>
        <v>65.182905607694224</v>
      </c>
      <c r="FG82">
        <f t="shared" si="306"/>
        <v>77</v>
      </c>
      <c r="FI82" s="59">
        <f t="shared" si="268"/>
        <v>-50</v>
      </c>
      <c r="FJ82">
        <f t="shared" si="269"/>
        <v>-50</v>
      </c>
      <c r="FL82">
        <f t="shared" si="270"/>
        <v>0.56766977275315578</v>
      </c>
    </row>
    <row r="83" spans="5:168">
      <c r="E83" s="147">
        <v>78</v>
      </c>
      <c r="F83" s="188">
        <f t="shared" si="307"/>
        <v>0.39</v>
      </c>
      <c r="G83" s="188">
        <f t="shared" si="271"/>
        <v>0.39</v>
      </c>
      <c r="H83" s="188">
        <f t="shared" si="176"/>
        <v>66.3</v>
      </c>
      <c r="I83" s="188">
        <f t="shared" si="308"/>
        <v>4.68</v>
      </c>
      <c r="J83" s="465">
        <f t="shared" si="177"/>
        <v>11.914235426308363</v>
      </c>
      <c r="K83" s="379">
        <f t="shared" si="178"/>
        <v>8.6762514999667086</v>
      </c>
      <c r="L83" s="149">
        <f t="shared" si="179"/>
        <v>20.590486926275069</v>
      </c>
      <c r="M83" s="379"/>
      <c r="N83" s="188">
        <f t="shared" si="180"/>
        <v>0.42137184667037347</v>
      </c>
      <c r="O83" s="149">
        <f t="shared" si="272"/>
        <v>156.31043500958862</v>
      </c>
      <c r="P83" s="149">
        <f t="shared" si="181"/>
        <v>11.033677765382725</v>
      </c>
      <c r="Q83" s="188">
        <f t="shared" si="182"/>
        <v>0.91947314711522721</v>
      </c>
      <c r="R83" s="188">
        <f t="shared" si="183"/>
        <v>13.025869584132385</v>
      </c>
      <c r="S83" s="379">
        <f t="shared" si="184"/>
        <v>170</v>
      </c>
      <c r="T83" s="188">
        <f t="shared" si="185"/>
        <v>28.277062882774668</v>
      </c>
      <c r="U83" s="188">
        <f t="shared" si="186"/>
        <v>3.560076900151075</v>
      </c>
      <c r="V83" s="188">
        <f t="shared" si="187"/>
        <v>4.8887004168015125</v>
      </c>
      <c r="W83" s="172">
        <f t="shared" si="188"/>
        <v>251.01616916245692</v>
      </c>
      <c r="X83" s="379">
        <f t="shared" si="273"/>
        <v>115.62327984094196</v>
      </c>
      <c r="Z83" s="188">
        <f t="shared" si="189"/>
        <v>13.333333333333334</v>
      </c>
      <c r="AA83" s="150">
        <f t="shared" si="190"/>
        <v>2.3051429525846205</v>
      </c>
      <c r="AB83" s="150">
        <f t="shared" si="191"/>
        <v>0.18015894883889474</v>
      </c>
      <c r="AC83" s="150"/>
      <c r="AD83" s="150">
        <f t="shared" si="192"/>
        <v>2.3051429525846205</v>
      </c>
      <c r="AE83" s="314">
        <f t="shared" si="193"/>
        <v>543.38852776556189</v>
      </c>
      <c r="AF83" s="456">
        <f t="shared" si="194"/>
        <v>0.18015894883889474</v>
      </c>
      <c r="AH83" s="150">
        <f t="shared" si="195"/>
        <v>16.443843832875572</v>
      </c>
      <c r="AI83" s="150">
        <f t="shared" si="196"/>
        <v>28.277062882774668</v>
      </c>
      <c r="AJ83" s="150">
        <f t="shared" si="197"/>
        <v>12.269429295882469</v>
      </c>
      <c r="AL83" s="314">
        <f t="shared" si="198"/>
        <v>390</v>
      </c>
      <c r="AM83" s="144">
        <f t="shared" si="199"/>
        <v>115.62327984094196</v>
      </c>
      <c r="AO83">
        <f t="shared" si="274"/>
        <v>390</v>
      </c>
      <c r="AP83">
        <f t="shared" si="200"/>
        <v>115.62327984094196</v>
      </c>
      <c r="AR83" s="5">
        <f t="shared" si="275"/>
        <v>8.6487773169525859</v>
      </c>
      <c r="AS83" s="5">
        <f t="shared" si="201"/>
        <v>3.560076900151075</v>
      </c>
      <c r="AT83" s="5">
        <f t="shared" si="276"/>
        <v>5.0887004168015109</v>
      </c>
      <c r="AU83" s="150">
        <f t="shared" si="277"/>
        <v>0.41162776768144094</v>
      </c>
      <c r="AW83" s="5">
        <f t="shared" si="202"/>
        <v>0.81672352415230542</v>
      </c>
      <c r="AX83" s="5">
        <f t="shared" si="203"/>
        <v>11.570249925490995</v>
      </c>
      <c r="AY83" s="5">
        <f t="shared" si="204"/>
        <v>47.19576002459408</v>
      </c>
      <c r="AZ83" s="5"/>
      <c r="BA83" s="150">
        <f t="shared" si="278"/>
        <v>10.474323962968102</v>
      </c>
      <c r="BB83" s="150">
        <f t="shared" si="205"/>
        <v>0.58485376793154031</v>
      </c>
      <c r="BC83" s="150">
        <f t="shared" si="206"/>
        <v>0.5563636487216399</v>
      </c>
      <c r="BD83" s="150"/>
      <c r="BE83" s="456">
        <f t="shared" si="207"/>
        <v>0.37301897243610649</v>
      </c>
      <c r="BF83" s="456">
        <f t="shared" si="208"/>
        <v>1.6123217665017724</v>
      </c>
      <c r="BG83" s="456">
        <f t="shared" si="209"/>
        <v>6.3092384336840765E-2</v>
      </c>
      <c r="BH83" s="456">
        <f t="shared" si="210"/>
        <v>3.3579102962404177E-2</v>
      </c>
      <c r="BI83">
        <f t="shared" si="211"/>
        <v>5.3614059418387629E-3</v>
      </c>
      <c r="BJ83" s="144">
        <f t="shared" si="279"/>
        <v>68.45379027867952</v>
      </c>
      <c r="BK83">
        <f t="shared" si="212"/>
        <v>2.3257659948001392</v>
      </c>
      <c r="BL83" s="144">
        <f t="shared" si="280"/>
        <v>2325.7659948001392</v>
      </c>
      <c r="BM83" s="150">
        <f t="shared" si="213"/>
        <v>0.86531250000000004</v>
      </c>
      <c r="BN83" s="150">
        <f t="shared" si="214"/>
        <v>0.27690000000000003</v>
      </c>
      <c r="BO83" s="456"/>
      <c r="BQ83" s="144">
        <f t="shared" si="281"/>
        <v>1142.2125000000001</v>
      </c>
      <c r="BR83" s="456">
        <f t="shared" si="215"/>
        <v>0.16456719372181172</v>
      </c>
      <c r="BS83" s="456">
        <f t="shared" si="216"/>
        <v>6.8410785972744012E-2</v>
      </c>
      <c r="BT83" s="456">
        <f t="shared" si="217"/>
        <v>9.2862152885656891E-3</v>
      </c>
      <c r="BU83" s="456">
        <f t="shared" si="218"/>
        <v>30.561098462232344</v>
      </c>
      <c r="BV83" s="456">
        <f t="shared" si="219"/>
        <v>31.471458672021157</v>
      </c>
      <c r="BW83" s="538">
        <f t="shared" si="220"/>
        <v>9.245148255917067E-2</v>
      </c>
      <c r="BX83" s="144">
        <f t="shared" si="282"/>
        <v>31563.910154580328</v>
      </c>
      <c r="BY83" s="150">
        <f t="shared" si="283"/>
        <v>35.031888649380463</v>
      </c>
      <c r="BZ83" s="5">
        <f t="shared" si="284"/>
        <v>70.97999999999999</v>
      </c>
      <c r="CA83" s="150">
        <f t="shared" si="285"/>
        <v>0.66954754701858432</v>
      </c>
      <c r="CB83" s="5">
        <f t="shared" si="286"/>
        <v>66.954754701858434</v>
      </c>
      <c r="CC83">
        <f t="shared" si="287"/>
        <v>78</v>
      </c>
      <c r="CE83" s="59">
        <f t="shared" si="221"/>
        <v>-50</v>
      </c>
      <c r="CF83">
        <f t="shared" si="222"/>
        <v>-50</v>
      </c>
      <c r="CG83" s="150">
        <f t="shared" si="223"/>
        <v>0.56766977275315589</v>
      </c>
      <c r="CH83" s="150">
        <f t="shared" si="224"/>
        <v>0.15382552837714245</v>
      </c>
      <c r="CI83" s="147">
        <v>78</v>
      </c>
      <c r="CJ83" s="188">
        <f t="shared" si="309"/>
        <v>0.39</v>
      </c>
      <c r="CK83" s="188">
        <f t="shared" si="288"/>
        <v>0.39</v>
      </c>
      <c r="CL83" s="188">
        <f t="shared" si="225"/>
        <v>66.3</v>
      </c>
      <c r="CM83" s="188">
        <f t="shared" si="310"/>
        <v>4.68</v>
      </c>
      <c r="CN83" s="465">
        <f t="shared" si="289"/>
        <v>12</v>
      </c>
      <c r="CO83" s="379">
        <f t="shared" si="226"/>
        <v>8.625</v>
      </c>
      <c r="CP83" s="379">
        <f t="shared" si="227"/>
        <v>20.625</v>
      </c>
      <c r="CQ83" s="379"/>
      <c r="CR83" s="188">
        <f t="shared" si="228"/>
        <v>0.4156318480642805</v>
      </c>
      <c r="CS83" s="149">
        <f t="shared" si="290"/>
        <v>155.29102015588504</v>
      </c>
      <c r="CT83" s="149">
        <f t="shared" si="229"/>
        <v>10.961719069827179</v>
      </c>
      <c r="CU83" s="188">
        <f t="shared" si="230"/>
        <v>0.91347658915226493</v>
      </c>
      <c r="CV83" s="188">
        <f t="shared" si="231"/>
        <v>12.940918346323754</v>
      </c>
      <c r="CW83" s="379">
        <f t="shared" si="232"/>
        <v>170</v>
      </c>
      <c r="CX83" s="188">
        <f t="shared" si="233"/>
        <v>28.462688927943756</v>
      </c>
      <c r="CY83" s="188">
        <f t="shared" si="234"/>
        <v>3.5578361159929695</v>
      </c>
      <c r="CZ83" s="188">
        <f t="shared" si="235"/>
        <v>4.9500328570336967</v>
      </c>
      <c r="DA83" s="172">
        <f t="shared" si="236"/>
        <v>250.90909090909091</v>
      </c>
      <c r="DB83" s="379">
        <f t="shared" si="291"/>
        <v>117.53824643637536</v>
      </c>
      <c r="DD83" s="188">
        <f t="shared" si="237"/>
        <v>13.333333333333332</v>
      </c>
      <c r="DE83" s="150">
        <f t="shared" si="238"/>
        <v>2.318840579710145</v>
      </c>
      <c r="DF83" s="150">
        <f t="shared" si="239"/>
        <v>0.18115218115218115</v>
      </c>
      <c r="DG83" s="150"/>
      <c r="DH83" s="150">
        <f t="shared" si="240"/>
        <v>2.3188405797101455</v>
      </c>
      <c r="DI83" s="314">
        <f t="shared" si="241"/>
        <v>540.17867647058802</v>
      </c>
      <c r="DJ83" s="456">
        <f t="shared" si="242"/>
        <v>0.18115218115218121</v>
      </c>
      <c r="DL83" s="150">
        <f t="shared" si="243"/>
        <v>16.443843832875572</v>
      </c>
      <c r="DM83" s="150">
        <f t="shared" si="244"/>
        <v>28.462688927943756</v>
      </c>
      <c r="DN83" s="150">
        <f t="shared" si="245"/>
        <v>12.406930070081794</v>
      </c>
      <c r="DP83" s="314">
        <f t="shared" si="246"/>
        <v>390</v>
      </c>
      <c r="DQ83" s="144">
        <f t="shared" si="247"/>
        <v>117.53824643637536</v>
      </c>
      <c r="DS83">
        <f t="shared" si="292"/>
        <v>390</v>
      </c>
      <c r="DT83">
        <f t="shared" si="248"/>
        <v>117.53824643637536</v>
      </c>
      <c r="DV83" s="5">
        <f t="shared" si="293"/>
        <v>8.5078689730266657</v>
      </c>
      <c r="DW83" s="5">
        <f t="shared" si="249"/>
        <v>3.5578361159929695</v>
      </c>
      <c r="DX83" s="5">
        <f t="shared" si="294"/>
        <v>4.9500328570336958</v>
      </c>
      <c r="DY83" s="150">
        <f t="shared" si="295"/>
        <v>0.41818181818181821</v>
      </c>
      <c r="EA83" s="5">
        <f t="shared" si="250"/>
        <v>0.81620946190426957</v>
      </c>
      <c r="EB83" s="5">
        <f t="shared" si="251"/>
        <v>11.562967376977152</v>
      </c>
      <c r="EC83" s="5">
        <f t="shared" si="252"/>
        <v>45.581552558518602</v>
      </c>
      <c r="ED83" s="5"/>
      <c r="EE83" s="150">
        <f t="shared" si="296"/>
        <v>10.626686590758627</v>
      </c>
      <c r="EF83" s="150">
        <f t="shared" si="253"/>
        <v>0.58540507236417438</v>
      </c>
      <c r="EG83" s="150">
        <f t="shared" si="254"/>
        <v>0.55688809733172839</v>
      </c>
      <c r="EH83" s="150"/>
      <c r="EI83" s="456">
        <f t="shared" si="255"/>
        <v>0.38394999085391129</v>
      </c>
      <c r="EJ83" s="456">
        <f t="shared" si="256"/>
        <v>2.0975999999999999</v>
      </c>
      <c r="EK83" s="456">
        <f t="shared" si="257"/>
        <v>2.6916258433929956E-2</v>
      </c>
      <c r="EL83" s="456">
        <f t="shared" si="258"/>
        <v>3.4249772657387011E-2</v>
      </c>
      <c r="EM83">
        <f t="shared" si="259"/>
        <v>5.4000000000000003E-3</v>
      </c>
      <c r="EN83" s="144">
        <f t="shared" si="297"/>
        <v>32.316258433929953</v>
      </c>
      <c r="EO83">
        <f t="shared" si="260"/>
        <v>2.91797964123545</v>
      </c>
      <c r="EP83" s="144">
        <f t="shared" si="298"/>
        <v>2917.9796412354499</v>
      </c>
      <c r="EQ83" s="150">
        <f t="shared" si="261"/>
        <v>0.86531250000000004</v>
      </c>
      <c r="ER83" s="150">
        <f t="shared" si="262"/>
        <v>0.27690000000000003</v>
      </c>
      <c r="ES83" s="456"/>
      <c r="EU83" s="144">
        <f t="shared" si="299"/>
        <v>1142.2125000000001</v>
      </c>
      <c r="EV83" s="456">
        <f t="shared" si="263"/>
        <v>0.16938970184731381</v>
      </c>
      <c r="EW83" s="456">
        <f t="shared" si="300"/>
        <v>6.8539819749940847E-2</v>
      </c>
      <c r="EX83" s="456">
        <f t="shared" si="264"/>
        <v>9.3037305884925772E-3</v>
      </c>
      <c r="EY83" s="456">
        <f t="shared" si="265"/>
        <v>32.367401730078967</v>
      </c>
      <c r="EZ83" s="456">
        <f t="shared" si="266"/>
        <v>33.333258148223884</v>
      </c>
      <c r="FA83" s="538">
        <f t="shared" si="267"/>
        <v>9.5220632049848208E-2</v>
      </c>
      <c r="FB83" s="144">
        <f t="shared" si="301"/>
        <v>33428.478780273726</v>
      </c>
      <c r="FC83" s="150">
        <f t="shared" si="302"/>
        <v>37.488670921509176</v>
      </c>
      <c r="FD83" s="5">
        <f t="shared" si="303"/>
        <v>70.97999999999999</v>
      </c>
      <c r="FE83" s="150">
        <f t="shared" si="304"/>
        <v>0.65438249954554184</v>
      </c>
      <c r="FF83" s="5">
        <f t="shared" si="305"/>
        <v>65.43824995455418</v>
      </c>
      <c r="FG83">
        <f t="shared" si="306"/>
        <v>78</v>
      </c>
      <c r="FI83" s="59">
        <f t="shared" si="268"/>
        <v>-50</v>
      </c>
      <c r="FJ83">
        <f t="shared" si="269"/>
        <v>-50</v>
      </c>
      <c r="FL83">
        <f t="shared" si="270"/>
        <v>0.56766977275315589</v>
      </c>
    </row>
    <row r="84" spans="5:168">
      <c r="E84" s="147">
        <v>79</v>
      </c>
      <c r="F84" s="188">
        <f t="shared" si="307"/>
        <v>0.39500000000000002</v>
      </c>
      <c r="G84" s="188">
        <f t="shared" si="271"/>
        <v>0.39500000000000002</v>
      </c>
      <c r="H84" s="188">
        <f t="shared" si="176"/>
        <v>67.150000000000006</v>
      </c>
      <c r="I84" s="188">
        <f t="shared" si="308"/>
        <v>4.74</v>
      </c>
      <c r="J84" s="465">
        <f t="shared" si="177"/>
        <v>11.913135880491803</v>
      </c>
      <c r="K84" s="379">
        <f t="shared" si="178"/>
        <v>8.6769085704791031</v>
      </c>
      <c r="L84" s="149">
        <f t="shared" si="179"/>
        <v>20.590044450970908</v>
      </c>
      <c r="M84" s="379"/>
      <c r="N84" s="188">
        <f t="shared" si="180"/>
        <v>0.42141281390336921</v>
      </c>
      <c r="O84" s="149">
        <f t="shared" si="272"/>
        <v>156.31120500877495</v>
      </c>
      <c r="P84" s="149">
        <f t="shared" si="181"/>
        <v>11.033732118266467</v>
      </c>
      <c r="Q84" s="188">
        <f t="shared" si="182"/>
        <v>0.91947767652220558</v>
      </c>
      <c r="R84" s="188">
        <f t="shared" si="183"/>
        <v>13.025933750731246</v>
      </c>
      <c r="S84" s="379">
        <f t="shared" si="184"/>
        <v>170</v>
      </c>
      <c r="T84" s="188">
        <f t="shared" si="185"/>
        <v>28.639448249505573</v>
      </c>
      <c r="U84" s="188">
        <f t="shared" si="186"/>
        <v>3.6060339448159557</v>
      </c>
      <c r="V84" s="188">
        <f t="shared" si="187"/>
        <v>4.9509767246385001</v>
      </c>
      <c r="W84" s="172">
        <f t="shared" si="188"/>
        <v>251.01740569056216</v>
      </c>
      <c r="X84" s="379">
        <f t="shared" si="273"/>
        <v>114.19421966540757</v>
      </c>
      <c r="Z84" s="188">
        <f t="shared" si="189"/>
        <v>13.333333333333334</v>
      </c>
      <c r="AA84" s="150">
        <f t="shared" si="190"/>
        <v>2.3049683925499385</v>
      </c>
      <c r="AB84" s="150">
        <f t="shared" si="191"/>
        <v>0.18014619347330998</v>
      </c>
      <c r="AC84" s="150"/>
      <c r="AD84" s="150">
        <f t="shared" si="192"/>
        <v>2.3049683925499385</v>
      </c>
      <c r="AE84" s="314">
        <f t="shared" si="193"/>
        <v>550.39672688094936</v>
      </c>
      <c r="AF84" s="456">
        <f t="shared" si="194"/>
        <v>0.18014619347331001</v>
      </c>
      <c r="AH84" s="150">
        <f t="shared" si="195"/>
        <v>16.548917386544254</v>
      </c>
      <c r="AI84" s="150">
        <f t="shared" si="196"/>
        <v>28.639448249505573</v>
      </c>
      <c r="AJ84" s="150">
        <f t="shared" si="197"/>
        <v>12.537862900868324</v>
      </c>
      <c r="AL84" s="314">
        <f t="shared" si="198"/>
        <v>395</v>
      </c>
      <c r="AM84" s="144">
        <f t="shared" si="199"/>
        <v>114.19421966540757</v>
      </c>
      <c r="AO84">
        <f t="shared" si="274"/>
        <v>395</v>
      </c>
      <c r="AP84">
        <f t="shared" si="200"/>
        <v>114.19421966540757</v>
      </c>
      <c r="AR84" s="5">
        <f t="shared" si="275"/>
        <v>8.7570106694544556</v>
      </c>
      <c r="AS84" s="5">
        <f t="shared" si="201"/>
        <v>3.6060339448159557</v>
      </c>
      <c r="AT84" s="5">
        <f t="shared" si="276"/>
        <v>5.1509767246385003</v>
      </c>
      <c r="AU84" s="150">
        <f t="shared" si="277"/>
        <v>0.41178823241522949</v>
      </c>
      <c r="AW84" s="5">
        <f t="shared" si="202"/>
        <v>0.83787259306017803</v>
      </c>
      <c r="AX84" s="5">
        <f t="shared" si="203"/>
        <v>11.869861735019189</v>
      </c>
      <c r="AY84" s="5">
        <f t="shared" si="204"/>
        <v>48.390293780089657</v>
      </c>
      <c r="AZ84" s="5"/>
      <c r="BA84" s="150">
        <f t="shared" si="278"/>
        <v>10.610625472969231</v>
      </c>
      <c r="BB84" s="150">
        <f t="shared" si="205"/>
        <v>0.59226819504069639</v>
      </c>
      <c r="BC84" s="150">
        <f t="shared" si="206"/>
        <v>0.5634168950984566</v>
      </c>
      <c r="BD84" s="150"/>
      <c r="BE84" s="456">
        <f t="shared" si="207"/>
        <v>0.3827902679539199</v>
      </c>
      <c r="BF84" s="456">
        <f t="shared" si="208"/>
        <v>1.6127667828296506</v>
      </c>
      <c r="BG84" s="456">
        <f t="shared" si="209"/>
        <v>6.2306835508345405E-2</v>
      </c>
      <c r="BH84" s="456">
        <f t="shared" si="210"/>
        <v>3.3162652570545265E-2</v>
      </c>
      <c r="BI84">
        <f t="shared" si="211"/>
        <v>5.3609111462213114E-3</v>
      </c>
      <c r="BJ84" s="144">
        <f t="shared" si="279"/>
        <v>67.667746654566727</v>
      </c>
      <c r="BK84">
        <f t="shared" si="212"/>
        <v>2.3453884222583561</v>
      </c>
      <c r="BL84" s="144">
        <f t="shared" si="280"/>
        <v>2345.3884222583561</v>
      </c>
      <c r="BM84" s="150">
        <f t="shared" si="213"/>
        <v>0.87640624999999994</v>
      </c>
      <c r="BN84" s="150">
        <f t="shared" si="214"/>
        <v>0.28045000000000003</v>
      </c>
      <c r="BO84" s="456"/>
      <c r="BQ84" s="144">
        <f t="shared" si="281"/>
        <v>1156.8562499999998</v>
      </c>
      <c r="BR84" s="456">
        <f t="shared" si="215"/>
        <v>0.16887805939143527</v>
      </c>
      <c r="BS84" s="456">
        <f t="shared" si="216"/>
        <v>7.015632297135288E-2</v>
      </c>
      <c r="BT84" s="456">
        <f t="shared" si="217"/>
        <v>9.5231579304715566E-3</v>
      </c>
      <c r="BU84" s="456">
        <f t="shared" si="218"/>
        <v>30.583833758212272</v>
      </c>
      <c r="BV84" s="456">
        <f t="shared" si="219"/>
        <v>31.518783614435073</v>
      </c>
      <c r="BW84" s="538">
        <f t="shared" si="220"/>
        <v>9.3664154012867706E-2</v>
      </c>
      <c r="BX84" s="144">
        <f t="shared" si="282"/>
        <v>31612.447768447939</v>
      </c>
      <c r="BY84" s="150">
        <f t="shared" si="283"/>
        <v>35.1146924407063</v>
      </c>
      <c r="BZ84" s="5">
        <f t="shared" si="284"/>
        <v>71.89</v>
      </c>
      <c r="CA84" s="150">
        <f t="shared" si="285"/>
        <v>0.6718396956267676</v>
      </c>
      <c r="CB84" s="5">
        <f t="shared" si="286"/>
        <v>67.183969562676765</v>
      </c>
      <c r="CC84">
        <f t="shared" si="287"/>
        <v>79</v>
      </c>
      <c r="CE84" s="59">
        <f t="shared" si="221"/>
        <v>-50</v>
      </c>
      <c r="CF84">
        <f t="shared" si="222"/>
        <v>-50</v>
      </c>
      <c r="CG84" s="150">
        <f t="shared" si="223"/>
        <v>0.56766977275315589</v>
      </c>
      <c r="CH84" s="150">
        <f t="shared" si="224"/>
        <v>0.15382552837714242</v>
      </c>
      <c r="CI84" s="147">
        <v>79</v>
      </c>
      <c r="CJ84" s="188">
        <f t="shared" si="309"/>
        <v>0.39500000000000002</v>
      </c>
      <c r="CK84" s="188">
        <f t="shared" si="288"/>
        <v>0.39500000000000002</v>
      </c>
      <c r="CL84" s="188">
        <f t="shared" si="225"/>
        <v>67.150000000000006</v>
      </c>
      <c r="CM84" s="188">
        <f t="shared" si="310"/>
        <v>4.74</v>
      </c>
      <c r="CN84" s="465">
        <f t="shared" si="289"/>
        <v>12</v>
      </c>
      <c r="CO84" s="379">
        <f t="shared" si="226"/>
        <v>8.625</v>
      </c>
      <c r="CP84" s="379">
        <f t="shared" si="227"/>
        <v>20.625</v>
      </c>
      <c r="CQ84" s="379"/>
      <c r="CR84" s="188">
        <f t="shared" si="228"/>
        <v>0.4156318480642805</v>
      </c>
      <c r="CS84" s="149">
        <f t="shared" si="290"/>
        <v>155.29102015588504</v>
      </c>
      <c r="CT84" s="149">
        <f t="shared" si="229"/>
        <v>10.961719069827179</v>
      </c>
      <c r="CU84" s="188">
        <f t="shared" si="230"/>
        <v>0.91347658915226493</v>
      </c>
      <c r="CV84" s="188">
        <f t="shared" si="231"/>
        <v>12.940918346323754</v>
      </c>
      <c r="CW84" s="379">
        <f t="shared" si="232"/>
        <v>170</v>
      </c>
      <c r="CX84" s="188">
        <f t="shared" si="233"/>
        <v>28.82759519625073</v>
      </c>
      <c r="CY84" s="188">
        <f t="shared" si="234"/>
        <v>3.6034493995313412</v>
      </c>
      <c r="CZ84" s="188">
        <f t="shared" si="235"/>
        <v>5.0134948167392572</v>
      </c>
      <c r="DA84" s="172">
        <f t="shared" si="236"/>
        <v>250.90909090909091</v>
      </c>
      <c r="DB84" s="379">
        <f t="shared" si="291"/>
        <v>116.05042053211743</v>
      </c>
      <c r="DD84" s="188">
        <f t="shared" si="237"/>
        <v>13.333333333333332</v>
      </c>
      <c r="DE84" s="150">
        <f t="shared" si="238"/>
        <v>2.318840579710145</v>
      </c>
      <c r="DF84" s="150">
        <f t="shared" si="239"/>
        <v>0.18115218115218115</v>
      </c>
      <c r="DG84" s="150"/>
      <c r="DH84" s="150">
        <f t="shared" si="240"/>
        <v>2.3188405797101455</v>
      </c>
      <c r="DI84" s="314">
        <f t="shared" si="241"/>
        <v>547.10404411764694</v>
      </c>
      <c r="DJ84" s="456">
        <f t="shared" si="242"/>
        <v>0.18115218115218121</v>
      </c>
      <c r="DL84" s="150">
        <f t="shared" si="243"/>
        <v>16.548917386544254</v>
      </c>
      <c r="DM84" s="150">
        <f t="shared" si="244"/>
        <v>28.82759519625073</v>
      </c>
      <c r="DN84" s="150">
        <f t="shared" si="245"/>
        <v>12.677231009568441</v>
      </c>
      <c r="DP84" s="314">
        <f t="shared" si="246"/>
        <v>395</v>
      </c>
      <c r="DQ84" s="144">
        <f t="shared" si="247"/>
        <v>116.05042053211743</v>
      </c>
      <c r="DS84">
        <f t="shared" si="292"/>
        <v>395</v>
      </c>
      <c r="DT84">
        <f t="shared" si="248"/>
        <v>116.05042053211743</v>
      </c>
      <c r="DV84" s="5">
        <f t="shared" si="293"/>
        <v>8.616944216270598</v>
      </c>
      <c r="DW84" s="5">
        <f t="shared" si="249"/>
        <v>3.6034493995313412</v>
      </c>
      <c r="DX84" s="5">
        <f t="shared" si="294"/>
        <v>5.0134948167392572</v>
      </c>
      <c r="DY84" s="150">
        <f t="shared" si="295"/>
        <v>0.41818181818181821</v>
      </c>
      <c r="EA84" s="5">
        <f t="shared" si="250"/>
        <v>0.83727206636169405</v>
      </c>
      <c r="EB84" s="5">
        <f t="shared" si="251"/>
        <v>11.861354273457332</v>
      </c>
      <c r="EC84" s="5">
        <f t="shared" si="252"/>
        <v>46.757802353339045</v>
      </c>
      <c r="ED84" s="5"/>
      <c r="EE84" s="150">
        <f t="shared" si="296"/>
        <v>10.76292616243502</v>
      </c>
      <c r="EF84" s="150">
        <f t="shared" si="253"/>
        <v>0.59291026559961257</v>
      </c>
      <c r="EG84" s="150">
        <f t="shared" si="254"/>
        <v>0.56402768832316086</v>
      </c>
      <c r="EH84" s="150"/>
      <c r="EI84" s="456">
        <f t="shared" si="255"/>
        <v>0.39385797056529598</v>
      </c>
      <c r="EJ84" s="456">
        <f t="shared" si="256"/>
        <v>2.0975999999999999</v>
      </c>
      <c r="EK84" s="456">
        <f t="shared" si="257"/>
        <v>2.657554630185489E-2</v>
      </c>
      <c r="EL84" s="456">
        <f t="shared" si="258"/>
        <v>3.3816231231344127E-2</v>
      </c>
      <c r="EM84">
        <f t="shared" si="259"/>
        <v>5.4000000000000003E-3</v>
      </c>
      <c r="EN84" s="144">
        <f t="shared" si="297"/>
        <v>31.975546301854887</v>
      </c>
      <c r="EO84">
        <f t="shared" si="260"/>
        <v>2.938586219873073</v>
      </c>
      <c r="EP84" s="144">
        <f t="shared" si="298"/>
        <v>2938.5862198730729</v>
      </c>
      <c r="EQ84" s="150">
        <f t="shared" si="261"/>
        <v>0.87640624999999994</v>
      </c>
      <c r="ER84" s="150">
        <f t="shared" si="262"/>
        <v>0.28045000000000003</v>
      </c>
      <c r="ES84" s="456"/>
      <c r="EU84" s="144">
        <f t="shared" si="299"/>
        <v>1156.8562499999998</v>
      </c>
      <c r="EV84" s="456">
        <f t="shared" si="263"/>
        <v>0.17376086936704235</v>
      </c>
      <c r="EW84" s="456">
        <f t="shared" si="300"/>
        <v>7.0308516610680633E-2</v>
      </c>
      <c r="EX84" s="456">
        <f t="shared" si="264"/>
        <v>9.54381699585506E-3</v>
      </c>
      <c r="EY84" s="456">
        <f t="shared" si="265"/>
        <v>32.367401730078967</v>
      </c>
      <c r="EZ84" s="456">
        <f t="shared" si="266"/>
        <v>33.358698613967697</v>
      </c>
      <c r="FA84" s="538">
        <f t="shared" si="267"/>
        <v>9.644140938382062E-2</v>
      </c>
      <c r="FB84" s="144">
        <f t="shared" si="301"/>
        <v>33455.140023351516</v>
      </c>
      <c r="FC84" s="150">
        <f t="shared" si="302"/>
        <v>37.550582493224589</v>
      </c>
      <c r="FD84" s="5">
        <f t="shared" si="303"/>
        <v>71.89</v>
      </c>
      <c r="FE84" s="150">
        <f t="shared" si="304"/>
        <v>0.65688612361370313</v>
      </c>
      <c r="FF84" s="5">
        <f t="shared" si="305"/>
        <v>65.688612361370318</v>
      </c>
      <c r="FG84">
        <f t="shared" si="306"/>
        <v>79</v>
      </c>
      <c r="FI84" s="59">
        <f t="shared" si="268"/>
        <v>-50</v>
      </c>
      <c r="FJ84">
        <f t="shared" si="269"/>
        <v>-50</v>
      </c>
      <c r="FL84">
        <f t="shared" si="270"/>
        <v>0.56766977275315589</v>
      </c>
    </row>
    <row r="85" spans="5:168">
      <c r="E85" s="147">
        <v>80</v>
      </c>
      <c r="F85" s="188">
        <f t="shared" si="307"/>
        <v>0.4</v>
      </c>
      <c r="G85" s="188">
        <f t="shared" si="271"/>
        <v>0.4</v>
      </c>
      <c r="H85" s="188">
        <f t="shared" si="176"/>
        <v>68</v>
      </c>
      <c r="I85" s="188">
        <f t="shared" si="308"/>
        <v>4.8000000000000007</v>
      </c>
      <c r="J85" s="465">
        <f t="shared" si="177"/>
        <v>11.912036334675244</v>
      </c>
      <c r="K85" s="379">
        <f t="shared" si="178"/>
        <v>8.6775656409914976</v>
      </c>
      <c r="L85" s="149">
        <f t="shared" si="179"/>
        <v>20.589601975666742</v>
      </c>
      <c r="M85" s="379"/>
      <c r="N85" s="188">
        <f t="shared" si="180"/>
        <v>0.42145378289715563</v>
      </c>
      <c r="O85" s="149">
        <f t="shared" si="272"/>
        <v>156.31197285599495</v>
      </c>
      <c r="P85" s="149">
        <f t="shared" si="181"/>
        <v>11.033786319246703</v>
      </c>
      <c r="Q85" s="188">
        <f t="shared" si="182"/>
        <v>0.91948219327055858</v>
      </c>
      <c r="R85" s="188">
        <f t="shared" si="183"/>
        <v>13.02599773799958</v>
      </c>
      <c r="S85" s="379">
        <f t="shared" si="184"/>
        <v>170</v>
      </c>
      <c r="T85" s="188">
        <f t="shared" si="185"/>
        <v>29.00183044525798</v>
      </c>
      <c r="U85" s="188">
        <f t="shared" si="186"/>
        <v>3.6519990743524691</v>
      </c>
      <c r="V85" s="188">
        <f t="shared" si="187"/>
        <v>5.013243053142304</v>
      </c>
      <c r="W85" s="172">
        <f t="shared" si="188"/>
        <v>251.01863876286251</v>
      </c>
      <c r="X85" s="379">
        <f t="shared" si="273"/>
        <v>112.80007760855031</v>
      </c>
      <c r="Z85" s="188">
        <f t="shared" si="189"/>
        <v>13.333333333333332</v>
      </c>
      <c r="AA85" s="150">
        <f t="shared" si="190"/>
        <v>2.3047938589508385</v>
      </c>
      <c r="AB85" s="150">
        <f t="shared" si="191"/>
        <v>0.18013343755949368</v>
      </c>
      <c r="AC85" s="150"/>
      <c r="AD85" s="150">
        <f t="shared" si="192"/>
        <v>2.304793858950839</v>
      </c>
      <c r="AE85" s="314">
        <f t="shared" si="193"/>
        <v>557.40598117427726</v>
      </c>
      <c r="AF85" s="456">
        <f t="shared" si="194"/>
        <v>0.18013343755949374</v>
      </c>
      <c r="AH85" s="150">
        <f t="shared" si="195"/>
        <v>16.653327995729061</v>
      </c>
      <c r="AI85" s="150">
        <f t="shared" si="196"/>
        <v>29.00183044525798</v>
      </c>
      <c r="AJ85" s="150">
        <f t="shared" si="197"/>
        <v>12.806294156981219</v>
      </c>
      <c r="AL85" s="314">
        <f t="shared" si="198"/>
        <v>400</v>
      </c>
      <c r="AM85" s="144">
        <f t="shared" si="199"/>
        <v>112.80007760855031</v>
      </c>
      <c r="AO85">
        <f t="shared" si="274"/>
        <v>400</v>
      </c>
      <c r="AP85">
        <f t="shared" si="200"/>
        <v>112.80007760855031</v>
      </c>
      <c r="AR85" s="5">
        <f t="shared" si="275"/>
        <v>8.8652421274947724</v>
      </c>
      <c r="AS85" s="5">
        <f t="shared" si="201"/>
        <v>3.6519990743524691</v>
      </c>
      <c r="AT85" s="5">
        <f t="shared" si="276"/>
        <v>5.2132430531423033</v>
      </c>
      <c r="AU85" s="150">
        <f t="shared" si="277"/>
        <v>0.41194577901331242</v>
      </c>
      <c r="AW85" s="5">
        <f t="shared" si="202"/>
        <v>0.85929389984763993</v>
      </c>
      <c r="AX85" s="5">
        <f t="shared" si="203"/>
        <v>12.173330247841564</v>
      </c>
      <c r="AY85" s="5">
        <f t="shared" si="204"/>
        <v>49.599765824217393</v>
      </c>
      <c r="AZ85" s="5"/>
      <c r="BA85" s="150">
        <f t="shared" si="278"/>
        <v>10.746939658865701</v>
      </c>
      <c r="BB85" s="150">
        <f t="shared" si="205"/>
        <v>0.59968198906264347</v>
      </c>
      <c r="BC85" s="150">
        <f t="shared" si="206"/>
        <v>0.57046953922779031</v>
      </c>
      <c r="BD85" s="150"/>
      <c r="BE85" s="456">
        <f t="shared" si="207"/>
        <v>0.39268882090642143</v>
      </c>
      <c r="BF85" s="456">
        <f t="shared" si="208"/>
        <v>1.6132002349694428</v>
      </c>
      <c r="BG85" s="456">
        <f t="shared" si="209"/>
        <v>6.1540480934647535E-2</v>
      </c>
      <c r="BH85" s="456">
        <f t="shared" si="210"/>
        <v>3.2756377867908533E-2</v>
      </c>
      <c r="BI85">
        <f t="shared" si="211"/>
        <v>5.36041635060386E-3</v>
      </c>
      <c r="BJ85" s="144">
        <f t="shared" si="279"/>
        <v>66.900897285251389</v>
      </c>
      <c r="BK85">
        <f t="shared" si="212"/>
        <v>2.3653669233906904</v>
      </c>
      <c r="BL85" s="144">
        <f t="shared" si="280"/>
        <v>2365.3669233906903</v>
      </c>
      <c r="BM85" s="150">
        <f t="shared" si="213"/>
        <v>0.88749999999999996</v>
      </c>
      <c r="BN85" s="150">
        <f t="shared" si="214"/>
        <v>0.28400000000000003</v>
      </c>
      <c r="BO85" s="456"/>
      <c r="BQ85" s="144">
        <f t="shared" si="281"/>
        <v>1171.5</v>
      </c>
      <c r="BR85" s="456">
        <f t="shared" si="215"/>
        <v>0.17324506804695064</v>
      </c>
      <c r="BS85" s="456">
        <f t="shared" si="216"/>
        <v>7.1923697601225689E-2</v>
      </c>
      <c r="BT85" s="456">
        <f t="shared" si="217"/>
        <v>9.7630648556030208E-3</v>
      </c>
      <c r="BU85" s="456">
        <f t="shared" si="218"/>
        <v>30.606031677571181</v>
      </c>
      <c r="BV85" s="456">
        <f t="shared" si="219"/>
        <v>31.56591976395266</v>
      </c>
      <c r="BW85" s="538">
        <f t="shared" si="220"/>
        <v>9.4876841160026024E-2</v>
      </c>
      <c r="BX85" s="144">
        <f t="shared" si="282"/>
        <v>31660.796605112686</v>
      </c>
      <c r="BY85" s="150">
        <f t="shared" si="283"/>
        <v>35.197663528503377</v>
      </c>
      <c r="BZ85" s="5">
        <f t="shared" si="284"/>
        <v>72.8</v>
      </c>
      <c r="CA85" s="150">
        <f t="shared" si="285"/>
        <v>0.67408865730494427</v>
      </c>
      <c r="CB85" s="5">
        <f t="shared" si="286"/>
        <v>67.408865730494426</v>
      </c>
      <c r="CC85">
        <f t="shared" si="287"/>
        <v>80</v>
      </c>
      <c r="CE85" s="59">
        <f t="shared" si="221"/>
        <v>-50</v>
      </c>
      <c r="CF85">
        <f t="shared" si="222"/>
        <v>-50</v>
      </c>
      <c r="CG85" s="150">
        <f t="shared" si="223"/>
        <v>0.56766977275315589</v>
      </c>
      <c r="CH85" s="150">
        <f t="shared" si="224"/>
        <v>0.15382552837714245</v>
      </c>
      <c r="CI85" s="147">
        <v>80</v>
      </c>
      <c r="CJ85" s="188">
        <f t="shared" si="309"/>
        <v>0.4</v>
      </c>
      <c r="CK85" s="188">
        <f t="shared" si="288"/>
        <v>0.4</v>
      </c>
      <c r="CL85" s="188">
        <f t="shared" si="225"/>
        <v>68</v>
      </c>
      <c r="CM85" s="188">
        <f t="shared" si="310"/>
        <v>4.8000000000000007</v>
      </c>
      <c r="CN85" s="465">
        <f t="shared" si="289"/>
        <v>12</v>
      </c>
      <c r="CO85" s="379">
        <f t="shared" si="226"/>
        <v>8.625</v>
      </c>
      <c r="CP85" s="379">
        <f t="shared" si="227"/>
        <v>20.625</v>
      </c>
      <c r="CQ85" s="379"/>
      <c r="CR85" s="188">
        <f t="shared" si="228"/>
        <v>0.4156318480642805</v>
      </c>
      <c r="CS85" s="149">
        <f t="shared" si="290"/>
        <v>155.29102015588504</v>
      </c>
      <c r="CT85" s="149">
        <f t="shared" si="229"/>
        <v>10.961719069827179</v>
      </c>
      <c r="CU85" s="188">
        <f t="shared" si="230"/>
        <v>0.91347658915226493</v>
      </c>
      <c r="CV85" s="188">
        <f t="shared" si="231"/>
        <v>12.940918346323754</v>
      </c>
      <c r="CW85" s="379">
        <f t="shared" si="232"/>
        <v>170</v>
      </c>
      <c r="CX85" s="188">
        <f t="shared" si="233"/>
        <v>29.192501464557701</v>
      </c>
      <c r="CY85" s="188">
        <f t="shared" si="234"/>
        <v>3.6490626830697126</v>
      </c>
      <c r="CZ85" s="188">
        <f t="shared" si="235"/>
        <v>5.0769567764448178</v>
      </c>
      <c r="DA85" s="172">
        <f t="shared" si="236"/>
        <v>250.90909090909091</v>
      </c>
      <c r="DB85" s="379">
        <f t="shared" si="291"/>
        <v>114.59979027546596</v>
      </c>
      <c r="DD85" s="188">
        <f t="shared" si="237"/>
        <v>13.333333333333332</v>
      </c>
      <c r="DE85" s="150">
        <f t="shared" si="238"/>
        <v>2.318840579710145</v>
      </c>
      <c r="DF85" s="150">
        <f t="shared" si="239"/>
        <v>0.18115218115218115</v>
      </c>
      <c r="DG85" s="150"/>
      <c r="DH85" s="150">
        <f t="shared" si="240"/>
        <v>2.3188405797101455</v>
      </c>
      <c r="DI85" s="314">
        <f t="shared" si="241"/>
        <v>554.02941176470563</v>
      </c>
      <c r="DJ85" s="456">
        <f t="shared" si="242"/>
        <v>0.18115218115218121</v>
      </c>
      <c r="DL85" s="150">
        <f t="shared" si="243"/>
        <v>16.653327995729061</v>
      </c>
      <c r="DM85" s="150">
        <f t="shared" si="244"/>
        <v>29.192501464557701</v>
      </c>
      <c r="DN85" s="150">
        <f t="shared" si="245"/>
        <v>12.947531949055087</v>
      </c>
      <c r="DP85" s="314">
        <f t="shared" si="246"/>
        <v>400</v>
      </c>
      <c r="DQ85" s="144">
        <f t="shared" si="247"/>
        <v>114.59979027546596</v>
      </c>
      <c r="DS85">
        <f t="shared" si="292"/>
        <v>400</v>
      </c>
      <c r="DT85">
        <f t="shared" si="248"/>
        <v>114.59979027546596</v>
      </c>
      <c r="DV85" s="5">
        <f t="shared" si="293"/>
        <v>8.7260194595145304</v>
      </c>
      <c r="DW85" s="5">
        <f t="shared" si="249"/>
        <v>3.6490626830697126</v>
      </c>
      <c r="DX85" s="5">
        <f t="shared" si="294"/>
        <v>5.0769567764448178</v>
      </c>
      <c r="DY85" s="150">
        <f t="shared" si="295"/>
        <v>0.41818181818181815</v>
      </c>
      <c r="EA85" s="5">
        <f t="shared" si="250"/>
        <v>0.85860298425169701</v>
      </c>
      <c r="EB85" s="5">
        <f t="shared" si="251"/>
        <v>12.163542276899042</v>
      </c>
      <c r="EC85" s="5">
        <f t="shared" si="252"/>
        <v>47.949036221978837</v>
      </c>
      <c r="ED85" s="5"/>
      <c r="EE85" s="150">
        <f t="shared" si="296"/>
        <v>10.899165734111413</v>
      </c>
      <c r="EF85" s="150">
        <f t="shared" si="253"/>
        <v>0.60041545883505065</v>
      </c>
      <c r="EG85" s="150">
        <f t="shared" si="254"/>
        <v>0.57116727931459321</v>
      </c>
      <c r="EH85" s="150"/>
      <c r="EI85" s="456">
        <f t="shared" si="255"/>
        <v>0.4038921665787365</v>
      </c>
      <c r="EJ85" s="456">
        <f t="shared" si="256"/>
        <v>2.0975999999999999</v>
      </c>
      <c r="EK85" s="456">
        <f t="shared" si="257"/>
        <v>2.6243351973081704E-2</v>
      </c>
      <c r="EL85" s="456">
        <f t="shared" si="258"/>
        <v>3.3393528340952335E-2</v>
      </c>
      <c r="EM85">
        <f t="shared" si="259"/>
        <v>5.4000000000000003E-3</v>
      </c>
      <c r="EN85" s="144">
        <f t="shared" si="297"/>
        <v>31.643351973081707</v>
      </c>
      <c r="EO85">
        <f t="shared" si="260"/>
        <v>2.9595970035942631</v>
      </c>
      <c r="EP85" s="144">
        <f t="shared" si="298"/>
        <v>2959.5970035942632</v>
      </c>
      <c r="EQ85" s="150">
        <f t="shared" si="261"/>
        <v>0.88749999999999996</v>
      </c>
      <c r="ER85" s="150">
        <f t="shared" si="262"/>
        <v>0.28400000000000003</v>
      </c>
      <c r="ES85" s="456"/>
      <c r="EU85" s="144">
        <f t="shared" si="299"/>
        <v>1171.5</v>
      </c>
      <c r="EV85" s="456">
        <f t="shared" si="263"/>
        <v>0.1781877205494426</v>
      </c>
      <c r="EW85" s="456">
        <f t="shared" si="300"/>
        <v>7.2099744641620875E-2</v>
      </c>
      <c r="EX85" s="456">
        <f t="shared" si="264"/>
        <v>9.7869618287890359E-3</v>
      </c>
      <c r="EY85" s="456">
        <f t="shared" si="265"/>
        <v>32.367401730079031</v>
      </c>
      <c r="EZ85" s="456">
        <f t="shared" si="266"/>
        <v>33.384490192231198</v>
      </c>
      <c r="FA85" s="538">
        <f t="shared" si="267"/>
        <v>9.7662186717793045E-2</v>
      </c>
      <c r="FB85" s="144">
        <f t="shared" si="301"/>
        <v>33482.152378948987</v>
      </c>
      <c r="FC85" s="150">
        <f t="shared" si="302"/>
        <v>37.613249382543252</v>
      </c>
      <c r="FD85" s="5">
        <f t="shared" si="303"/>
        <v>72.8</v>
      </c>
      <c r="FE85" s="150">
        <f t="shared" si="304"/>
        <v>0.65934116065883974</v>
      </c>
      <c r="FF85" s="5">
        <f t="shared" si="305"/>
        <v>65.93411606588397</v>
      </c>
      <c r="FG85">
        <f t="shared" si="306"/>
        <v>80</v>
      </c>
      <c r="FI85" s="59">
        <f t="shared" si="268"/>
        <v>-50</v>
      </c>
      <c r="FJ85">
        <f t="shared" si="269"/>
        <v>-50</v>
      </c>
      <c r="FL85">
        <f t="shared" si="270"/>
        <v>0.56766977275315589</v>
      </c>
    </row>
    <row r="86" spans="5:168">
      <c r="E86" s="147">
        <v>81</v>
      </c>
      <c r="F86" s="188">
        <f t="shared" si="307"/>
        <v>0.40500000000000003</v>
      </c>
      <c r="G86" s="188">
        <f t="shared" si="271"/>
        <v>0.40500000000000003</v>
      </c>
      <c r="H86" s="188">
        <f t="shared" si="176"/>
        <v>68.850000000000009</v>
      </c>
      <c r="I86" s="188">
        <f t="shared" si="308"/>
        <v>4.8600000000000003</v>
      </c>
      <c r="J86" s="465">
        <f t="shared" si="177"/>
        <v>11.910936788858685</v>
      </c>
      <c r="K86" s="379">
        <f t="shared" si="178"/>
        <v>8.6782227115038921</v>
      </c>
      <c r="L86" s="149">
        <f t="shared" si="179"/>
        <v>20.589159500362577</v>
      </c>
      <c r="M86" s="379"/>
      <c r="N86" s="188">
        <f t="shared" si="180"/>
        <v>0.42149475365184613</v>
      </c>
      <c r="O86" s="149">
        <f t="shared" si="272"/>
        <v>156.31273855110979</v>
      </c>
      <c r="P86" s="149">
        <f t="shared" si="181"/>
        <v>11.033840368313632</v>
      </c>
      <c r="Q86" s="188">
        <f t="shared" si="182"/>
        <v>0.91948669735946931</v>
      </c>
      <c r="R86" s="188">
        <f t="shared" si="183"/>
        <v>13.026061545925815</v>
      </c>
      <c r="S86" s="379">
        <f t="shared" si="184"/>
        <v>170</v>
      </c>
      <c r="T86" s="188">
        <f t="shared" si="185"/>
        <v>29.364209485071509</v>
      </c>
      <c r="U86" s="188">
        <f t="shared" si="186"/>
        <v>3.6979722928936654</v>
      </c>
      <c r="V86" s="188">
        <f t="shared" si="187"/>
        <v>5.0754994071792217</v>
      </c>
      <c r="W86" s="172">
        <f t="shared" si="188"/>
        <v>251.01986837913515</v>
      </c>
      <c r="X86" s="379">
        <f t="shared" si="273"/>
        <v>111.43958920513199</v>
      </c>
      <c r="Z86" s="188">
        <f t="shared" si="189"/>
        <v>13.333333333333334</v>
      </c>
      <c r="AA86" s="150">
        <f t="shared" si="190"/>
        <v>2.3046193517813167</v>
      </c>
      <c r="AB86" s="150">
        <f t="shared" si="191"/>
        <v>0.18012068109741056</v>
      </c>
      <c r="AC86" s="150"/>
      <c r="AD86" s="150">
        <f t="shared" si="192"/>
        <v>2.3046193517813167</v>
      </c>
      <c r="AE86" s="314">
        <f t="shared" si="193"/>
        <v>564.4162906455457</v>
      </c>
      <c r="AF86" s="456">
        <f t="shared" si="194"/>
        <v>0.18012068109741058</v>
      </c>
      <c r="AH86" s="150">
        <f t="shared" si="195"/>
        <v>16.757088052522729</v>
      </c>
      <c r="AI86" s="150">
        <f t="shared" si="196"/>
        <v>29.364209485071509</v>
      </c>
      <c r="AJ86" s="150">
        <f t="shared" si="197"/>
        <v>13.074723075361613</v>
      </c>
      <c r="AL86" s="314">
        <f t="shared" si="198"/>
        <v>405</v>
      </c>
      <c r="AM86" s="144">
        <f t="shared" si="199"/>
        <v>111.43958920513199</v>
      </c>
      <c r="AO86">
        <f t="shared" si="274"/>
        <v>405</v>
      </c>
      <c r="AP86">
        <f t="shared" si="200"/>
        <v>111.43958920513199</v>
      </c>
      <c r="AR86" s="5">
        <f t="shared" si="275"/>
        <v>8.9734717000728867</v>
      </c>
      <c r="AS86" s="5">
        <f t="shared" si="201"/>
        <v>3.6979722928936654</v>
      </c>
      <c r="AT86" s="5">
        <f t="shared" si="276"/>
        <v>5.2754994071792218</v>
      </c>
      <c r="AU86" s="150">
        <f t="shared" si="277"/>
        <v>0.41210051321203017</v>
      </c>
      <c r="AW86" s="5">
        <f t="shared" si="202"/>
        <v>0.88098751683643217</v>
      </c>
      <c r="AX86" s="5">
        <f t="shared" si="203"/>
        <v>12.480656488516122</v>
      </c>
      <c r="AY86" s="5">
        <f t="shared" si="204"/>
        <v>50.824176780122272</v>
      </c>
      <c r="AZ86" s="5"/>
      <c r="BA86" s="150">
        <f t="shared" si="278"/>
        <v>10.883266501957548</v>
      </c>
      <c r="BB86" s="150">
        <f t="shared" si="205"/>
        <v>0.60709515169827466</v>
      </c>
      <c r="BC86" s="150">
        <f t="shared" si="206"/>
        <v>0.57752158272767851</v>
      </c>
      <c r="BD86" s="150"/>
      <c r="BE86" s="456">
        <f t="shared" si="207"/>
        <v>0.40271466515894638</v>
      </c>
      <c r="BF86" s="456">
        <f t="shared" si="208"/>
        <v>1.6136225408514528</v>
      </c>
      <c r="BG86" s="456">
        <f t="shared" si="209"/>
        <v>6.0792625548180726E-2</v>
      </c>
      <c r="BH86" s="456">
        <f t="shared" si="210"/>
        <v>3.235991036954295E-2</v>
      </c>
      <c r="BI86">
        <f t="shared" si="211"/>
        <v>5.3599215549864077E-3</v>
      </c>
      <c r="BJ86" s="144">
        <f t="shared" si="279"/>
        <v>66.152547103167137</v>
      </c>
      <c r="BK86">
        <f t="shared" si="212"/>
        <v>2.3857064038190301</v>
      </c>
      <c r="BL86" s="144">
        <f t="shared" si="280"/>
        <v>2385.7064038190301</v>
      </c>
      <c r="BM86" s="150">
        <f t="shared" si="213"/>
        <v>0.89859375000000008</v>
      </c>
      <c r="BN86" s="150">
        <f t="shared" si="214"/>
        <v>0.28755000000000003</v>
      </c>
      <c r="BO86" s="456"/>
      <c r="BQ86" s="144">
        <f t="shared" si="281"/>
        <v>1186.14375</v>
      </c>
      <c r="BR86" s="456">
        <f t="shared" si="215"/>
        <v>0.17766823462894693</v>
      </c>
      <c r="BS86" s="456">
        <f t="shared" si="216"/>
        <v>7.3712904643110227E-2</v>
      </c>
      <c r="BT86" s="456">
        <f t="shared" si="217"/>
        <v>1.0005935355488485E-2</v>
      </c>
      <c r="BU86" s="456">
        <f t="shared" si="218"/>
        <v>30.627711303044453</v>
      </c>
      <c r="BV86" s="456">
        <f t="shared" si="219"/>
        <v>31.612887285836624</v>
      </c>
      <c r="BW86" s="538">
        <f t="shared" si="220"/>
        <v>9.6089543434583952E-2</v>
      </c>
      <c r="BX86" s="144">
        <f t="shared" si="282"/>
        <v>31708.976829271207</v>
      </c>
      <c r="BY86" s="150">
        <f t="shared" si="283"/>
        <v>35.280826983090243</v>
      </c>
      <c r="BZ86" s="5">
        <f t="shared" si="284"/>
        <v>73.710000000000008</v>
      </c>
      <c r="CA86" s="150">
        <f t="shared" si="285"/>
        <v>0.67629544650978746</v>
      </c>
      <c r="CB86" s="5">
        <f t="shared" si="286"/>
        <v>67.629544650978744</v>
      </c>
      <c r="CC86">
        <f t="shared" si="287"/>
        <v>81</v>
      </c>
      <c r="CE86" s="59">
        <f t="shared" si="221"/>
        <v>-50</v>
      </c>
      <c r="CF86">
        <f t="shared" si="222"/>
        <v>-50</v>
      </c>
      <c r="CG86" s="150">
        <f t="shared" si="223"/>
        <v>0.56766977275315589</v>
      </c>
      <c r="CH86" s="150">
        <f t="shared" si="224"/>
        <v>0.15382552837714242</v>
      </c>
      <c r="CI86" s="147">
        <v>81</v>
      </c>
      <c r="CJ86" s="188">
        <f t="shared" si="309"/>
        <v>0.40500000000000003</v>
      </c>
      <c r="CK86" s="188">
        <f t="shared" si="288"/>
        <v>0.40500000000000003</v>
      </c>
      <c r="CL86" s="188">
        <f t="shared" si="225"/>
        <v>68.850000000000009</v>
      </c>
      <c r="CM86" s="188">
        <f t="shared" si="310"/>
        <v>4.8600000000000003</v>
      </c>
      <c r="CN86" s="465">
        <f t="shared" si="289"/>
        <v>12</v>
      </c>
      <c r="CO86" s="379">
        <f t="shared" si="226"/>
        <v>8.625</v>
      </c>
      <c r="CP86" s="379">
        <f t="shared" si="227"/>
        <v>20.625</v>
      </c>
      <c r="CQ86" s="379"/>
      <c r="CR86" s="188">
        <f t="shared" si="228"/>
        <v>0.4156318480642805</v>
      </c>
      <c r="CS86" s="149">
        <f t="shared" si="290"/>
        <v>155.29102015588504</v>
      </c>
      <c r="CT86" s="149">
        <f t="shared" si="229"/>
        <v>10.961719069827179</v>
      </c>
      <c r="CU86" s="188">
        <f t="shared" si="230"/>
        <v>0.91347658915226493</v>
      </c>
      <c r="CV86" s="188">
        <f t="shared" si="231"/>
        <v>12.940918346323754</v>
      </c>
      <c r="CW86" s="379">
        <f t="shared" si="232"/>
        <v>170</v>
      </c>
      <c r="CX86" s="188">
        <f t="shared" si="233"/>
        <v>29.557407732864675</v>
      </c>
      <c r="CY86" s="188">
        <f t="shared" si="234"/>
        <v>3.6946759666080844</v>
      </c>
      <c r="CZ86" s="188">
        <f t="shared" si="235"/>
        <v>5.1404187361503784</v>
      </c>
      <c r="DA86" s="172">
        <f t="shared" si="236"/>
        <v>250.90909090909091</v>
      </c>
      <c r="DB86" s="379">
        <f t="shared" si="291"/>
        <v>113.18497804984291</v>
      </c>
      <c r="DD86" s="188">
        <f t="shared" si="237"/>
        <v>13.333333333333332</v>
      </c>
      <c r="DE86" s="150">
        <f t="shared" si="238"/>
        <v>2.318840579710145</v>
      </c>
      <c r="DF86" s="150">
        <f t="shared" si="239"/>
        <v>0.18115218115218115</v>
      </c>
      <c r="DG86" s="150"/>
      <c r="DH86" s="150">
        <f t="shared" si="240"/>
        <v>2.3188405797101455</v>
      </c>
      <c r="DI86" s="314">
        <f t="shared" si="241"/>
        <v>560.95477941176466</v>
      </c>
      <c r="DJ86" s="456">
        <f t="shared" si="242"/>
        <v>0.18115218115218121</v>
      </c>
      <c r="DL86" s="150">
        <f t="shared" si="243"/>
        <v>16.757088052522729</v>
      </c>
      <c r="DM86" s="150">
        <f t="shared" si="244"/>
        <v>29.557407732864675</v>
      </c>
      <c r="DN86" s="150">
        <f t="shared" si="245"/>
        <v>13.217832888541732</v>
      </c>
      <c r="DP86" s="314">
        <f t="shared" si="246"/>
        <v>405</v>
      </c>
      <c r="DQ86" s="144">
        <f t="shared" si="247"/>
        <v>113.18497804984291</v>
      </c>
      <c r="DS86">
        <f t="shared" si="292"/>
        <v>405</v>
      </c>
      <c r="DT86">
        <f t="shared" si="248"/>
        <v>113.18497804984291</v>
      </c>
      <c r="DV86" s="5">
        <f t="shared" si="293"/>
        <v>8.8350947027584628</v>
      </c>
      <c r="DW86" s="5">
        <f t="shared" si="249"/>
        <v>3.6946759666080844</v>
      </c>
      <c r="DX86" s="5">
        <f t="shared" si="294"/>
        <v>5.1404187361503784</v>
      </c>
      <c r="DY86" s="150">
        <f t="shared" si="295"/>
        <v>0.41818181818181815</v>
      </c>
      <c r="EA86" s="5">
        <f t="shared" si="250"/>
        <v>0.88020221557427902</v>
      </c>
      <c r="EB86" s="5">
        <f t="shared" si="251"/>
        <v>12.469531387302284</v>
      </c>
      <c r="EC86" s="5">
        <f t="shared" si="252"/>
        <v>49.155254164437991</v>
      </c>
      <c r="ED86" s="5"/>
      <c r="EE86" s="150">
        <f t="shared" si="296"/>
        <v>11.035405305787807</v>
      </c>
      <c r="EF86" s="150">
        <f t="shared" si="253"/>
        <v>0.60792065207048895</v>
      </c>
      <c r="EG86" s="150">
        <f t="shared" si="254"/>
        <v>0.57830687030602568</v>
      </c>
      <c r="EH86" s="150"/>
      <c r="EI86" s="456">
        <f t="shared" si="255"/>
        <v>0.41405257889423286</v>
      </c>
      <c r="EJ86" s="456">
        <f t="shared" si="256"/>
        <v>2.0975999999999999</v>
      </c>
      <c r="EK86" s="456">
        <f t="shared" si="257"/>
        <v>2.5919359973414026E-2</v>
      </c>
      <c r="EL86" s="456">
        <f t="shared" si="258"/>
        <v>3.298126255896526E-2</v>
      </c>
      <c r="EM86">
        <f t="shared" si="259"/>
        <v>5.4000000000000003E-3</v>
      </c>
      <c r="EN86" s="144">
        <f t="shared" si="297"/>
        <v>31.319359973414027</v>
      </c>
      <c r="EO86">
        <f t="shared" si="260"/>
        <v>2.9810165002810871</v>
      </c>
      <c r="EP86" s="144">
        <f t="shared" si="298"/>
        <v>2981.0165002810872</v>
      </c>
      <c r="EQ86" s="150">
        <f t="shared" si="261"/>
        <v>0.89859375000000008</v>
      </c>
      <c r="ER86" s="150">
        <f t="shared" si="262"/>
        <v>0.28755000000000003</v>
      </c>
      <c r="ES86" s="456"/>
      <c r="EU86" s="144">
        <f t="shared" si="299"/>
        <v>1186.14375</v>
      </c>
      <c r="EV86" s="456">
        <f t="shared" si="263"/>
        <v>0.18267025539451451</v>
      </c>
      <c r="EW86" s="456">
        <f t="shared" si="300"/>
        <v>7.3913503842761699E-2</v>
      </c>
      <c r="EX86" s="456">
        <f t="shared" si="264"/>
        <v>1.0033165087294512E-2</v>
      </c>
      <c r="EY86" s="456">
        <f t="shared" si="265"/>
        <v>32.367401730078967</v>
      </c>
      <c r="EZ86" s="456">
        <f t="shared" si="266"/>
        <v>33.410633953392441</v>
      </c>
      <c r="FA86" s="538">
        <f t="shared" si="267"/>
        <v>9.8882964051765471E-2</v>
      </c>
      <c r="FB86" s="144">
        <f t="shared" si="301"/>
        <v>33509.516917444213</v>
      </c>
      <c r="FC86" s="150">
        <f t="shared" si="302"/>
        <v>37.676677167725295</v>
      </c>
      <c r="FD86" s="5">
        <f t="shared" si="303"/>
        <v>73.710000000000008</v>
      </c>
      <c r="FE86" s="150">
        <f t="shared" si="304"/>
        <v>0.66174880043335871</v>
      </c>
      <c r="FF86" s="5">
        <f t="shared" si="305"/>
        <v>66.174880043335875</v>
      </c>
      <c r="FG86">
        <f t="shared" si="306"/>
        <v>81</v>
      </c>
      <c r="FI86" s="59">
        <f t="shared" si="268"/>
        <v>-50</v>
      </c>
      <c r="FJ86">
        <f t="shared" si="269"/>
        <v>-50</v>
      </c>
      <c r="FL86">
        <f t="shared" si="270"/>
        <v>0.56766977275315589</v>
      </c>
    </row>
    <row r="87" spans="5:168">
      <c r="E87" s="147">
        <v>82</v>
      </c>
      <c r="F87" s="188">
        <f t="shared" si="307"/>
        <v>0.41</v>
      </c>
      <c r="G87" s="188">
        <f t="shared" si="271"/>
        <v>0.41</v>
      </c>
      <c r="H87" s="188">
        <f t="shared" si="176"/>
        <v>69.7</v>
      </c>
      <c r="I87" s="188">
        <f t="shared" si="308"/>
        <v>4.92</v>
      </c>
      <c r="J87" s="465">
        <f t="shared" si="177"/>
        <v>11.909837243042125</v>
      </c>
      <c r="K87" s="379">
        <f t="shared" si="178"/>
        <v>8.6788797820162848</v>
      </c>
      <c r="L87" s="149">
        <f t="shared" si="179"/>
        <v>20.588717025058408</v>
      </c>
      <c r="M87" s="379"/>
      <c r="N87" s="188">
        <f t="shared" si="180"/>
        <v>0.42153572616755436</v>
      </c>
      <c r="O87" s="149">
        <f t="shared" si="272"/>
        <v>156.31350209398073</v>
      </c>
      <c r="P87" s="149">
        <f t="shared" si="181"/>
        <v>11.033894265457464</v>
      </c>
      <c r="Q87" s="188">
        <f t="shared" si="182"/>
        <v>0.91949118878812197</v>
      </c>
      <c r="R87" s="188">
        <f t="shared" si="183"/>
        <v>13.026125174498395</v>
      </c>
      <c r="S87" s="379">
        <f t="shared" si="184"/>
        <v>170</v>
      </c>
      <c r="T87" s="188">
        <f t="shared" si="185"/>
        <v>29.726585383986475</v>
      </c>
      <c r="U87" s="188">
        <f t="shared" si="186"/>
        <v>3.7439536045742083</v>
      </c>
      <c r="V87" s="188">
        <f t="shared" si="187"/>
        <v>5.137745791614198</v>
      </c>
      <c r="W87" s="172">
        <f t="shared" si="188"/>
        <v>251.02109453915722</v>
      </c>
      <c r="X87" s="379">
        <f t="shared" si="273"/>
        <v>110.11155031399747</v>
      </c>
      <c r="Z87" s="188">
        <f t="shared" si="189"/>
        <v>13.333333333333334</v>
      </c>
      <c r="AA87" s="150">
        <f t="shared" si="190"/>
        <v>2.3044448710353707</v>
      </c>
      <c r="AB87" s="150">
        <f t="shared" si="191"/>
        <v>0.18010792408702522</v>
      </c>
      <c r="AC87" s="150"/>
      <c r="AD87" s="150">
        <f t="shared" si="192"/>
        <v>2.3044448710353707</v>
      </c>
      <c r="AE87" s="314">
        <f t="shared" si="193"/>
        <v>571.42765529475446</v>
      </c>
      <c r="AF87" s="456">
        <f t="shared" si="194"/>
        <v>0.18010792408702522</v>
      </c>
      <c r="AH87" s="150">
        <f t="shared" si="195"/>
        <v>16.860209567697154</v>
      </c>
      <c r="AI87" s="150">
        <f t="shared" si="196"/>
        <v>29.726585383986475</v>
      </c>
      <c r="AJ87" s="150">
        <f t="shared" si="197"/>
        <v>13.343149667150474</v>
      </c>
      <c r="AL87" s="314">
        <f t="shared" si="198"/>
        <v>410</v>
      </c>
      <c r="AM87" s="144">
        <f t="shared" si="199"/>
        <v>110.11155031399747</v>
      </c>
      <c r="AO87">
        <f t="shared" si="274"/>
        <v>410</v>
      </c>
      <c r="AP87">
        <f t="shared" si="200"/>
        <v>110.11155031399747</v>
      </c>
      <c r="AR87" s="5">
        <f t="shared" si="275"/>
        <v>9.0816993961884052</v>
      </c>
      <c r="AS87" s="5">
        <f t="shared" si="201"/>
        <v>3.7439536045742083</v>
      </c>
      <c r="AT87" s="5">
        <f t="shared" si="276"/>
        <v>5.3377457916141964</v>
      </c>
      <c r="AU87" s="150">
        <f t="shared" si="277"/>
        <v>0.41225253570334514</v>
      </c>
      <c r="AW87" s="5">
        <f t="shared" si="202"/>
        <v>0.90295351639730903</v>
      </c>
      <c r="AX87" s="5">
        <f t="shared" si="203"/>
        <v>12.791841482295212</v>
      </c>
      <c r="AY87" s="5">
        <f t="shared" si="204"/>
        <v>52.063527273481476</v>
      </c>
      <c r="AZ87" s="5"/>
      <c r="BA87" s="150">
        <f t="shared" si="278"/>
        <v>11.019605984698176</v>
      </c>
      <c r="BB87" s="150">
        <f t="shared" si="205"/>
        <v>0.6145076845796863</v>
      </c>
      <c r="BC87" s="150">
        <f t="shared" si="206"/>
        <v>0.58457302715071258</v>
      </c>
      <c r="BD87" s="150"/>
      <c r="BE87" s="456">
        <f t="shared" si="207"/>
        <v>0.4128678345971859</v>
      </c>
      <c r="BF87" s="456">
        <f t="shared" si="208"/>
        <v>1.614034098467702</v>
      </c>
      <c r="BG87" s="456">
        <f t="shared" si="209"/>
        <v>6.0062607441098918E-2</v>
      </c>
      <c r="BH87" s="456">
        <f t="shared" si="210"/>
        <v>3.1972899169878909E-2</v>
      </c>
      <c r="BI87">
        <f t="shared" si="211"/>
        <v>5.3594267593689562E-3</v>
      </c>
      <c r="BJ87" s="144">
        <f t="shared" si="279"/>
        <v>65.422034200467863</v>
      </c>
      <c r="BK87">
        <f t="shared" si="212"/>
        <v>2.406411891440027</v>
      </c>
      <c r="BL87" s="144">
        <f t="shared" si="280"/>
        <v>2406.4118914400269</v>
      </c>
      <c r="BM87" s="150">
        <f t="shared" si="213"/>
        <v>0.90968749999999987</v>
      </c>
      <c r="BN87" s="150">
        <f t="shared" si="214"/>
        <v>0.29110000000000003</v>
      </c>
      <c r="BO87" s="456"/>
      <c r="BQ87" s="144">
        <f t="shared" si="281"/>
        <v>1200.7874999999999</v>
      </c>
      <c r="BR87" s="456">
        <f t="shared" si="215"/>
        <v>0.18214757408699378</v>
      </c>
      <c r="BS87" s="456">
        <f t="shared" si="216"/>
        <v>7.5523938881497443E-2</v>
      </c>
      <c r="BT87" s="456">
        <f t="shared" si="217"/>
        <v>1.0251768722164432E-2</v>
      </c>
      <c r="BU87" s="456">
        <f t="shared" si="218"/>
        <v>30.648890822783002</v>
      </c>
      <c r="BV87" s="456">
        <f t="shared" si="219"/>
        <v>31.659705466964926</v>
      </c>
      <c r="BW87" s="538">
        <f t="shared" si="220"/>
        <v>9.7302260297485191E-2</v>
      </c>
      <c r="BX87" s="144">
        <f t="shared" si="282"/>
        <v>31757.007727262411</v>
      </c>
      <c r="BY87" s="150">
        <f t="shared" si="283"/>
        <v>35.364207118702438</v>
      </c>
      <c r="BZ87" s="5">
        <f t="shared" si="284"/>
        <v>74.62</v>
      </c>
      <c r="CA87" s="150">
        <f t="shared" si="285"/>
        <v>0.6784610441339548</v>
      </c>
      <c r="CB87" s="5">
        <f t="shared" si="286"/>
        <v>67.84610441339548</v>
      </c>
      <c r="CC87">
        <f t="shared" si="287"/>
        <v>82</v>
      </c>
      <c r="CE87" s="59">
        <f t="shared" si="221"/>
        <v>-50</v>
      </c>
      <c r="CF87">
        <f t="shared" si="222"/>
        <v>-50</v>
      </c>
      <c r="CG87" s="150">
        <f t="shared" si="223"/>
        <v>0.56766977275315589</v>
      </c>
      <c r="CH87" s="150">
        <f t="shared" si="224"/>
        <v>0.15382552837714242</v>
      </c>
      <c r="CI87" s="147">
        <v>82</v>
      </c>
      <c r="CJ87" s="188">
        <f t="shared" si="309"/>
        <v>0.41</v>
      </c>
      <c r="CK87" s="188">
        <f t="shared" si="288"/>
        <v>0.41</v>
      </c>
      <c r="CL87" s="188">
        <f t="shared" si="225"/>
        <v>69.7</v>
      </c>
      <c r="CM87" s="188">
        <f t="shared" si="310"/>
        <v>4.92</v>
      </c>
      <c r="CN87" s="465">
        <f t="shared" si="289"/>
        <v>12</v>
      </c>
      <c r="CO87" s="379">
        <f t="shared" si="226"/>
        <v>8.625</v>
      </c>
      <c r="CP87" s="379">
        <f t="shared" si="227"/>
        <v>20.625</v>
      </c>
      <c r="CQ87" s="379"/>
      <c r="CR87" s="188">
        <f t="shared" si="228"/>
        <v>0.4156318480642805</v>
      </c>
      <c r="CS87" s="149">
        <f t="shared" si="290"/>
        <v>155.29102015588504</v>
      </c>
      <c r="CT87" s="149">
        <f t="shared" si="229"/>
        <v>10.961719069827179</v>
      </c>
      <c r="CU87" s="188">
        <f t="shared" si="230"/>
        <v>0.91347658915226493</v>
      </c>
      <c r="CV87" s="188">
        <f t="shared" si="231"/>
        <v>12.940918346323754</v>
      </c>
      <c r="CW87" s="379">
        <f t="shared" si="232"/>
        <v>170</v>
      </c>
      <c r="CX87" s="188">
        <f t="shared" si="233"/>
        <v>29.922314001171646</v>
      </c>
      <c r="CY87" s="188">
        <f t="shared" si="234"/>
        <v>3.7402892501464562</v>
      </c>
      <c r="CZ87" s="188">
        <f t="shared" si="235"/>
        <v>5.2038806958559389</v>
      </c>
      <c r="DA87" s="172">
        <f t="shared" si="236"/>
        <v>250.90909090909091</v>
      </c>
      <c r="DB87" s="379">
        <f t="shared" si="291"/>
        <v>111.80467343947896</v>
      </c>
      <c r="DD87" s="188">
        <f t="shared" si="237"/>
        <v>13.333333333333332</v>
      </c>
      <c r="DE87" s="150">
        <f t="shared" si="238"/>
        <v>2.318840579710145</v>
      </c>
      <c r="DF87" s="150">
        <f t="shared" si="239"/>
        <v>0.18115218115218115</v>
      </c>
      <c r="DG87" s="150"/>
      <c r="DH87" s="150">
        <f t="shared" si="240"/>
        <v>2.3188405797101455</v>
      </c>
      <c r="DI87" s="314">
        <f t="shared" si="241"/>
        <v>567.88014705882324</v>
      </c>
      <c r="DJ87" s="456">
        <f t="shared" si="242"/>
        <v>0.18115218115218121</v>
      </c>
      <c r="DL87" s="150">
        <f t="shared" si="243"/>
        <v>16.860209567697154</v>
      </c>
      <c r="DM87" s="150">
        <f t="shared" si="244"/>
        <v>29.922314001171646</v>
      </c>
      <c r="DN87" s="150">
        <f t="shared" si="245"/>
        <v>13.48813382802838</v>
      </c>
      <c r="DP87" s="314">
        <f t="shared" si="246"/>
        <v>410</v>
      </c>
      <c r="DQ87" s="144">
        <f t="shared" si="247"/>
        <v>111.80467343947896</v>
      </c>
      <c r="DS87">
        <f t="shared" si="292"/>
        <v>410</v>
      </c>
      <c r="DT87">
        <f t="shared" si="248"/>
        <v>111.80467343947896</v>
      </c>
      <c r="DV87" s="5">
        <f t="shared" si="293"/>
        <v>8.9441699460023969</v>
      </c>
      <c r="DW87" s="5">
        <f t="shared" si="249"/>
        <v>3.7402892501464562</v>
      </c>
      <c r="DX87" s="5">
        <f t="shared" si="294"/>
        <v>5.2038806958559407</v>
      </c>
      <c r="DY87" s="150">
        <f t="shared" si="295"/>
        <v>0.4181818181818181</v>
      </c>
      <c r="EA87" s="5">
        <f t="shared" si="250"/>
        <v>0.90206976032943942</v>
      </c>
      <c r="EB87" s="5">
        <f t="shared" si="251"/>
        <v>12.779321604667057</v>
      </c>
      <c r="EC87" s="5">
        <f t="shared" si="252"/>
        <v>50.376456180716531</v>
      </c>
      <c r="ED87" s="5"/>
      <c r="EE87" s="150">
        <f t="shared" si="296"/>
        <v>11.1716448774642</v>
      </c>
      <c r="EF87" s="150">
        <f t="shared" si="253"/>
        <v>0.61542584530592703</v>
      </c>
      <c r="EG87" s="150">
        <f t="shared" si="254"/>
        <v>0.58544646129745825</v>
      </c>
      <c r="EH87" s="150"/>
      <c r="EI87" s="456">
        <f t="shared" si="255"/>
        <v>0.42433920751178505</v>
      </c>
      <c r="EJ87" s="456">
        <f t="shared" si="256"/>
        <v>2.0975999999999995</v>
      </c>
      <c r="EK87" s="456">
        <f t="shared" si="257"/>
        <v>2.5603270217640681E-2</v>
      </c>
      <c r="EL87" s="456">
        <f t="shared" si="258"/>
        <v>3.2579052039953482E-2</v>
      </c>
      <c r="EM87">
        <f t="shared" si="259"/>
        <v>5.4000000000000003E-3</v>
      </c>
      <c r="EN87" s="144">
        <f t="shared" si="297"/>
        <v>31.003270217640683</v>
      </c>
      <c r="EO87">
        <f t="shared" si="260"/>
        <v>3.0028493866054426</v>
      </c>
      <c r="EP87" s="144">
        <f t="shared" si="298"/>
        <v>3002.8493866054428</v>
      </c>
      <c r="EQ87" s="150">
        <f t="shared" si="261"/>
        <v>0.90968749999999987</v>
      </c>
      <c r="ER87" s="150">
        <f t="shared" si="262"/>
        <v>0.29110000000000003</v>
      </c>
      <c r="ES87" s="456"/>
      <c r="EU87" s="144">
        <f t="shared" si="299"/>
        <v>1200.7874999999999</v>
      </c>
      <c r="EV87" s="456">
        <f t="shared" si="263"/>
        <v>0.18720847390225814</v>
      </c>
      <c r="EW87" s="456">
        <f t="shared" si="300"/>
        <v>7.5749794214102967E-2</v>
      </c>
      <c r="EX87" s="456">
        <f t="shared" si="264"/>
        <v>1.0282426771371488E-2</v>
      </c>
      <c r="EY87" s="456">
        <f t="shared" si="265"/>
        <v>32.36740173007891</v>
      </c>
      <c r="EZ87" s="456">
        <f t="shared" si="266"/>
        <v>33.43713098415266</v>
      </c>
      <c r="FA87" s="538">
        <f t="shared" si="267"/>
        <v>0.10010374138573787</v>
      </c>
      <c r="FB87" s="144">
        <f t="shared" si="301"/>
        <v>33537.234725538394</v>
      </c>
      <c r="FC87" s="150">
        <f t="shared" si="302"/>
        <v>37.740871612143842</v>
      </c>
      <c r="FD87" s="5">
        <f t="shared" si="303"/>
        <v>74.62</v>
      </c>
      <c r="FE87" s="150">
        <f t="shared" si="304"/>
        <v>0.66411019182531106</v>
      </c>
      <c r="FF87" s="5">
        <f t="shared" si="305"/>
        <v>66.411019182531106</v>
      </c>
      <c r="FG87">
        <f t="shared" si="306"/>
        <v>82</v>
      </c>
      <c r="FI87" s="59">
        <f t="shared" si="268"/>
        <v>-50</v>
      </c>
      <c r="FJ87">
        <f t="shared" si="269"/>
        <v>-50</v>
      </c>
      <c r="FL87">
        <f t="shared" si="270"/>
        <v>0.56766977275315578</v>
      </c>
    </row>
    <row r="88" spans="5:168">
      <c r="E88" s="147">
        <v>83</v>
      </c>
      <c r="F88" s="188">
        <f t="shared" si="307"/>
        <v>0.41499999999999998</v>
      </c>
      <c r="G88" s="188">
        <f t="shared" si="271"/>
        <v>0.41499999999999998</v>
      </c>
      <c r="H88" s="188">
        <f t="shared" si="176"/>
        <v>70.55</v>
      </c>
      <c r="I88" s="188">
        <f t="shared" si="308"/>
        <v>4.9799999999999995</v>
      </c>
      <c r="J88" s="465">
        <f t="shared" si="177"/>
        <v>11.908737697225565</v>
      </c>
      <c r="K88" s="379">
        <f t="shared" si="178"/>
        <v>8.6795368525286776</v>
      </c>
      <c r="L88" s="149">
        <f t="shared" si="179"/>
        <v>20.588274549754242</v>
      </c>
      <c r="M88" s="379"/>
      <c r="N88" s="188">
        <f t="shared" si="180"/>
        <v>0.42157670044439366</v>
      </c>
      <c r="O88" s="149">
        <f t="shared" si="272"/>
        <v>156.31426348446894</v>
      </c>
      <c r="P88" s="149">
        <f t="shared" si="181"/>
        <v>11.033948010668396</v>
      </c>
      <c r="Q88" s="188">
        <f t="shared" si="182"/>
        <v>0.91949566755569967</v>
      </c>
      <c r="R88" s="188">
        <f t="shared" si="183"/>
        <v>13.026188623705744</v>
      </c>
      <c r="S88" s="379">
        <f t="shared" si="184"/>
        <v>170</v>
      </c>
      <c r="T88" s="188">
        <f t="shared" si="185"/>
        <v>30.088958157043979</v>
      </c>
      <c r="U88" s="188">
        <f t="shared" si="186"/>
        <v>3.7899430135303867</v>
      </c>
      <c r="V88" s="188">
        <f t="shared" si="187"/>
        <v>5.1999822113108367</v>
      </c>
      <c r="W88" s="172">
        <f t="shared" si="188"/>
        <v>251.02231724270598</v>
      </c>
      <c r="X88" s="379">
        <f t="shared" si="273"/>
        <v>108.8148135631079</v>
      </c>
      <c r="Z88" s="188">
        <f t="shared" si="189"/>
        <v>13.333333333333334</v>
      </c>
      <c r="AA88" s="150">
        <f t="shared" si="190"/>
        <v>2.3042704167069981</v>
      </c>
      <c r="AB88" s="150">
        <f t="shared" si="191"/>
        <v>0.18009516652830235</v>
      </c>
      <c r="AC88" s="150"/>
      <c r="AD88" s="150">
        <f t="shared" si="192"/>
        <v>2.3042704167069981</v>
      </c>
      <c r="AE88" s="314">
        <f t="shared" si="193"/>
        <v>578.44007512190376</v>
      </c>
      <c r="AF88" s="456">
        <f t="shared" si="194"/>
        <v>0.18009516652830238</v>
      </c>
      <c r="AH88" s="150">
        <f t="shared" si="195"/>
        <v>16.962704186931202</v>
      </c>
      <c r="AI88" s="150">
        <f t="shared" si="196"/>
        <v>30.088958157043979</v>
      </c>
      <c r="AJ88" s="150">
        <f t="shared" si="197"/>
        <v>13.611573943489367</v>
      </c>
      <c r="AL88" s="314">
        <f t="shared" si="198"/>
        <v>415</v>
      </c>
      <c r="AM88" s="144">
        <f t="shared" si="199"/>
        <v>108.8148135631079</v>
      </c>
      <c r="AO88">
        <f t="shared" si="274"/>
        <v>415</v>
      </c>
      <c r="AP88">
        <f t="shared" si="200"/>
        <v>108.8148135631079</v>
      </c>
      <c r="AR88" s="5">
        <f t="shared" si="275"/>
        <v>9.1899252248412218</v>
      </c>
      <c r="AS88" s="5">
        <f t="shared" si="201"/>
        <v>3.7899430135303867</v>
      </c>
      <c r="AT88" s="5">
        <f t="shared" si="276"/>
        <v>5.3999822113108351</v>
      </c>
      <c r="AU88" s="150">
        <f t="shared" si="277"/>
        <v>0.41240194243211237</v>
      </c>
      <c r="AW88" s="5">
        <f t="shared" si="202"/>
        <v>0.92519197095006489</v>
      </c>
      <c r="AX88" s="5">
        <f t="shared" si="203"/>
        <v>13.10688625512592</v>
      </c>
      <c r="AY88" s="5">
        <f t="shared" si="204"/>
        <v>53.317817932505065</v>
      </c>
      <c r="AZ88" s="5"/>
      <c r="BA88" s="150">
        <f t="shared" si="278"/>
        <v>11.155958090626246</v>
      </c>
      <c r="BB88" s="150">
        <f t="shared" si="205"/>
        <v>0.62191958927421331</v>
      </c>
      <c r="BC88" s="150">
        <f t="shared" si="206"/>
        <v>0.59162387398787752</v>
      </c>
      <c r="BD88" s="150"/>
      <c r="BE88" s="456">
        <f t="shared" si="207"/>
        <v>0.42314836312735121</v>
      </c>
      <c r="BF88" s="456">
        <f t="shared" si="208"/>
        <v>1.6144352870469201</v>
      </c>
      <c r="BG88" s="456">
        <f t="shared" si="209"/>
        <v>5.9349795911136406E-2</v>
      </c>
      <c r="BH88" s="456">
        <f t="shared" si="210"/>
        <v>3.1595009906755421E-2</v>
      </c>
      <c r="BI88">
        <f t="shared" si="211"/>
        <v>5.3589319637515039E-3</v>
      </c>
      <c r="BJ88" s="144">
        <f t="shared" si="279"/>
        <v>64.708727874887899</v>
      </c>
      <c r="BK88">
        <f t="shared" si="212"/>
        <v>2.4274885399231105</v>
      </c>
      <c r="BL88" s="144">
        <f t="shared" si="280"/>
        <v>2427.4885399231107</v>
      </c>
      <c r="BM88" s="150">
        <f t="shared" si="213"/>
        <v>0.92078124999999988</v>
      </c>
      <c r="BN88" s="150">
        <f t="shared" si="214"/>
        <v>0.29465000000000002</v>
      </c>
      <c r="BO88" s="456"/>
      <c r="BQ88" s="144">
        <f t="shared" si="281"/>
        <v>1215.4312499999999</v>
      </c>
      <c r="BR88" s="456">
        <f t="shared" si="215"/>
        <v>0.18668310137971381</v>
      </c>
      <c r="BS88" s="456">
        <f t="shared" si="216"/>
        <v>7.735679510460125E-2</v>
      </c>
      <c r="BT88" s="456">
        <f t="shared" si="217"/>
        <v>1.0500564248172719E-2</v>
      </c>
      <c r="BU88" s="456">
        <f t="shared" si="218"/>
        <v>30.66958758215543</v>
      </c>
      <c r="BV88" s="456">
        <f t="shared" si="219"/>
        <v>31.706392767753659</v>
      </c>
      <c r="BW88" s="538">
        <f t="shared" si="220"/>
        <v>9.8514991235087612E-2</v>
      </c>
      <c r="BX88" s="144">
        <f t="shared" si="282"/>
        <v>31804.907758988746</v>
      </c>
      <c r="BY88" s="150">
        <f t="shared" si="283"/>
        <v>35.447827548911853</v>
      </c>
      <c r="BZ88" s="5">
        <f t="shared" si="284"/>
        <v>75.53</v>
      </c>
      <c r="CA88" s="150">
        <f t="shared" si="285"/>
        <v>0.68058639881656779</v>
      </c>
      <c r="CB88" s="5">
        <f t="shared" si="286"/>
        <v>68.058639881656774</v>
      </c>
      <c r="CC88">
        <f t="shared" si="287"/>
        <v>83</v>
      </c>
      <c r="CE88" s="59">
        <f t="shared" si="221"/>
        <v>-50</v>
      </c>
      <c r="CF88">
        <f t="shared" si="222"/>
        <v>-50</v>
      </c>
      <c r="CG88" s="150">
        <f t="shared" si="223"/>
        <v>0.56766977275315589</v>
      </c>
      <c r="CH88" s="150">
        <f t="shared" si="224"/>
        <v>0.15382552837714242</v>
      </c>
      <c r="CI88" s="147">
        <v>83</v>
      </c>
      <c r="CJ88" s="188">
        <f t="shared" si="309"/>
        <v>0.41499999999999998</v>
      </c>
      <c r="CK88" s="188">
        <f t="shared" si="288"/>
        <v>0.41499999999999998</v>
      </c>
      <c r="CL88" s="188">
        <f t="shared" si="225"/>
        <v>70.55</v>
      </c>
      <c r="CM88" s="188">
        <f t="shared" si="310"/>
        <v>4.9799999999999995</v>
      </c>
      <c r="CN88" s="465">
        <f t="shared" si="289"/>
        <v>12</v>
      </c>
      <c r="CO88" s="379">
        <f t="shared" si="226"/>
        <v>8.625</v>
      </c>
      <c r="CP88" s="379">
        <f t="shared" si="227"/>
        <v>20.625</v>
      </c>
      <c r="CQ88" s="379"/>
      <c r="CR88" s="188">
        <f t="shared" si="228"/>
        <v>0.4156318480642805</v>
      </c>
      <c r="CS88" s="149">
        <f t="shared" si="290"/>
        <v>155.29102015588504</v>
      </c>
      <c r="CT88" s="149">
        <f t="shared" si="229"/>
        <v>10.961719069827179</v>
      </c>
      <c r="CU88" s="188">
        <f t="shared" si="230"/>
        <v>0.91347658915226493</v>
      </c>
      <c r="CV88" s="188">
        <f t="shared" si="231"/>
        <v>12.940918346323754</v>
      </c>
      <c r="CW88" s="379">
        <f t="shared" si="232"/>
        <v>170</v>
      </c>
      <c r="CX88" s="188">
        <f t="shared" si="233"/>
        <v>30.287220269478617</v>
      </c>
      <c r="CY88" s="188">
        <f t="shared" si="234"/>
        <v>3.7859025336848271</v>
      </c>
      <c r="CZ88" s="188">
        <f t="shared" si="235"/>
        <v>5.2673426555614986</v>
      </c>
      <c r="DA88" s="172">
        <f t="shared" si="236"/>
        <v>250.90909090909091</v>
      </c>
      <c r="DB88" s="379">
        <f t="shared" si="291"/>
        <v>110.45762918117201</v>
      </c>
      <c r="DD88" s="188">
        <f t="shared" si="237"/>
        <v>13.333333333333332</v>
      </c>
      <c r="DE88" s="150">
        <f t="shared" si="238"/>
        <v>2.318840579710145</v>
      </c>
      <c r="DF88" s="150">
        <f t="shared" si="239"/>
        <v>0.18115218115218115</v>
      </c>
      <c r="DG88" s="150"/>
      <c r="DH88" s="150">
        <f t="shared" si="240"/>
        <v>2.3188405797101455</v>
      </c>
      <c r="DI88" s="314">
        <f t="shared" si="241"/>
        <v>574.80551470588205</v>
      </c>
      <c r="DJ88" s="456">
        <f t="shared" si="242"/>
        <v>0.18115218115218121</v>
      </c>
      <c r="DL88" s="150">
        <f t="shared" si="243"/>
        <v>16.962704186931202</v>
      </c>
      <c r="DM88" s="150">
        <f t="shared" si="244"/>
        <v>30.287220269478617</v>
      </c>
      <c r="DN88" s="150">
        <f t="shared" si="245"/>
        <v>13.758434767515023</v>
      </c>
      <c r="DP88" s="314">
        <f t="shared" si="246"/>
        <v>415</v>
      </c>
      <c r="DQ88" s="144">
        <f t="shared" si="247"/>
        <v>110.45762918117201</v>
      </c>
      <c r="DS88">
        <f t="shared" si="292"/>
        <v>415</v>
      </c>
      <c r="DT88">
        <f t="shared" si="248"/>
        <v>110.45762918117201</v>
      </c>
      <c r="DV88" s="5">
        <f t="shared" si="293"/>
        <v>9.0532451892463257</v>
      </c>
      <c r="DW88" s="5">
        <f t="shared" si="249"/>
        <v>3.7859025336848271</v>
      </c>
      <c r="DX88" s="5">
        <f t="shared" si="294"/>
        <v>5.2673426555614986</v>
      </c>
      <c r="DY88" s="150">
        <f t="shared" si="295"/>
        <v>0.41818181818181815</v>
      </c>
      <c r="EA88" s="5">
        <f t="shared" si="250"/>
        <v>0.92420561851717831</v>
      </c>
      <c r="EB88" s="5">
        <f t="shared" si="251"/>
        <v>13.092912928993359</v>
      </c>
      <c r="EC88" s="5">
        <f t="shared" si="252"/>
        <v>51.612642270814398</v>
      </c>
      <c r="ED88" s="5"/>
      <c r="EE88" s="150">
        <f t="shared" si="296"/>
        <v>11.307884449140591</v>
      </c>
      <c r="EF88" s="150">
        <f t="shared" si="253"/>
        <v>0.62293103854136511</v>
      </c>
      <c r="EG88" s="150">
        <f t="shared" si="254"/>
        <v>0.59258605228889061</v>
      </c>
      <c r="EH88" s="150"/>
      <c r="EI88" s="456">
        <f t="shared" si="255"/>
        <v>0.43475205243139303</v>
      </c>
      <c r="EJ88" s="456">
        <f t="shared" si="256"/>
        <v>2.0975999999999999</v>
      </c>
      <c r="EK88" s="456">
        <f t="shared" si="257"/>
        <v>2.5294797082488392E-2</v>
      </c>
      <c r="EL88" s="456">
        <f t="shared" si="258"/>
        <v>3.2186533340676941E-2</v>
      </c>
      <c r="EM88">
        <f t="shared" si="259"/>
        <v>5.4000000000000003E-3</v>
      </c>
      <c r="EN88" s="144">
        <f t="shared" si="297"/>
        <v>30.694797082488392</v>
      </c>
      <c r="EO88">
        <f t="shared" si="260"/>
        <v>3.0251005095158421</v>
      </c>
      <c r="EP88" s="144">
        <f t="shared" si="298"/>
        <v>3025.1005095158421</v>
      </c>
      <c r="EQ88" s="150">
        <f t="shared" si="261"/>
        <v>0.92078124999999988</v>
      </c>
      <c r="ER88" s="150">
        <f t="shared" si="262"/>
        <v>0.29465000000000002</v>
      </c>
      <c r="ES88" s="456"/>
      <c r="EU88" s="144">
        <f t="shared" si="299"/>
        <v>1215.4312499999999</v>
      </c>
      <c r="EV88" s="456">
        <f t="shared" si="263"/>
        <v>0.19180237607267342</v>
      </c>
      <c r="EW88" s="456">
        <f t="shared" si="300"/>
        <v>7.7608615755644747E-2</v>
      </c>
      <c r="EX88" s="456">
        <f t="shared" si="264"/>
        <v>1.0534746881019954E-2</v>
      </c>
      <c r="EY88" s="456">
        <f t="shared" si="265"/>
        <v>32.36740173007891</v>
      </c>
      <c r="EZ88" s="456">
        <f t="shared" si="266"/>
        <v>33.463982387651889</v>
      </c>
      <c r="FA88" s="538">
        <f t="shared" si="267"/>
        <v>0.10132451871971028</v>
      </c>
      <c r="FB88" s="144">
        <f t="shared" si="301"/>
        <v>33565.306906371596</v>
      </c>
      <c r="FC88" s="150">
        <f t="shared" si="302"/>
        <v>37.805838665887435</v>
      </c>
      <c r="FD88" s="5">
        <f t="shared" si="303"/>
        <v>75.53</v>
      </c>
      <c r="FE88" s="150">
        <f t="shared" si="304"/>
        <v>0.66642644453059063</v>
      </c>
      <c r="FF88" s="5">
        <f t="shared" si="305"/>
        <v>66.642644453059063</v>
      </c>
      <c r="FG88">
        <f t="shared" si="306"/>
        <v>83</v>
      </c>
      <c r="FI88" s="59">
        <f t="shared" si="268"/>
        <v>-50</v>
      </c>
      <c r="FJ88">
        <f t="shared" si="269"/>
        <v>-50</v>
      </c>
      <c r="FL88">
        <f t="shared" si="270"/>
        <v>0.56766977275315589</v>
      </c>
    </row>
    <row r="89" spans="5:168">
      <c r="E89" s="147">
        <v>84</v>
      </c>
      <c r="F89" s="188">
        <f t="shared" si="307"/>
        <v>0.42</v>
      </c>
      <c r="G89" s="188">
        <f t="shared" si="271"/>
        <v>0.42</v>
      </c>
      <c r="H89" s="188">
        <f t="shared" si="176"/>
        <v>71.399999999999991</v>
      </c>
      <c r="I89" s="188">
        <f t="shared" si="308"/>
        <v>5.04</v>
      </c>
      <c r="J89" s="465">
        <f t="shared" si="177"/>
        <v>11.907638151409007</v>
      </c>
      <c r="K89" s="379">
        <f t="shared" si="178"/>
        <v>8.6801939230410721</v>
      </c>
      <c r="L89" s="149">
        <f t="shared" si="179"/>
        <v>20.587832074450077</v>
      </c>
      <c r="M89" s="379"/>
      <c r="N89" s="188">
        <f t="shared" si="180"/>
        <v>0.42161767648247778</v>
      </c>
      <c r="O89" s="149">
        <f t="shared" si="272"/>
        <v>156.31502272243577</v>
      </c>
      <c r="P89" s="149">
        <f t="shared" si="181"/>
        <v>11.034001603936643</v>
      </c>
      <c r="Q89" s="188">
        <f t="shared" si="182"/>
        <v>0.91950013366138683</v>
      </c>
      <c r="R89" s="188">
        <f t="shared" si="183"/>
        <v>13.026251893536314</v>
      </c>
      <c r="S89" s="379">
        <f t="shared" si="184"/>
        <v>170</v>
      </c>
      <c r="T89" s="188">
        <f t="shared" si="185"/>
        <v>30.451327819285801</v>
      </c>
      <c r="U89" s="188">
        <f t="shared" si="186"/>
        <v>3.8359405239001019</v>
      </c>
      <c r="V89" s="188">
        <f t="shared" si="187"/>
        <v>5.2622086711313871</v>
      </c>
      <c r="W89" s="172">
        <f t="shared" si="188"/>
        <v>251.02353648955855</v>
      </c>
      <c r="X89" s="379">
        <f t="shared" si="273"/>
        <v>107.54828504304437</v>
      </c>
      <c r="Z89" s="188">
        <f t="shared" si="189"/>
        <v>13.333333333333336</v>
      </c>
      <c r="AA89" s="150">
        <f t="shared" si="190"/>
        <v>2.3040959887902002</v>
      </c>
      <c r="AB89" s="150">
        <f t="shared" si="191"/>
        <v>0.18008240842120665</v>
      </c>
      <c r="AC89" s="150"/>
      <c r="AD89" s="150">
        <f t="shared" si="192"/>
        <v>2.3040959887901997</v>
      </c>
      <c r="AE89" s="314">
        <f t="shared" si="193"/>
        <v>585.45355012699372</v>
      </c>
      <c r="AF89" s="456">
        <f t="shared" si="194"/>
        <v>0.18008240842120654</v>
      </c>
      <c r="AH89" s="150">
        <f t="shared" si="195"/>
        <v>17.064583206161235</v>
      </c>
      <c r="AI89" s="150">
        <f t="shared" si="196"/>
        <v>30.451327819285801</v>
      </c>
      <c r="AJ89" s="150">
        <f t="shared" si="197"/>
        <v>13.879995915520343</v>
      </c>
      <c r="AL89" s="314">
        <f t="shared" si="198"/>
        <v>420</v>
      </c>
      <c r="AM89" s="144">
        <f t="shared" si="199"/>
        <v>107.54828504304437</v>
      </c>
      <c r="AO89">
        <f t="shared" si="274"/>
        <v>420</v>
      </c>
      <c r="AP89">
        <f t="shared" si="200"/>
        <v>107.54828504304437</v>
      </c>
      <c r="AR89" s="5">
        <f t="shared" si="275"/>
        <v>9.2981491950314883</v>
      </c>
      <c r="AS89" s="5">
        <f t="shared" si="201"/>
        <v>3.8359405239001019</v>
      </c>
      <c r="AT89" s="5">
        <f t="shared" si="276"/>
        <v>5.4622086711313864</v>
      </c>
      <c r="AU89" s="150">
        <f t="shared" si="277"/>
        <v>0.41254882487257311</v>
      </c>
      <c r="AW89" s="5">
        <f t="shared" si="202"/>
        <v>0.94770295296355456</v>
      </c>
      <c r="AX89" s="5">
        <f t="shared" si="203"/>
        <v>13.425791833650356</v>
      </c>
      <c r="AY89" s="5">
        <f t="shared" si="204"/>
        <v>54.587049387936034</v>
      </c>
      <c r="AZ89" s="5"/>
      <c r="BA89" s="150">
        <f t="shared" si="278"/>
        <v>11.292322804302279</v>
      </c>
      <c r="BB89" s="150">
        <f t="shared" si="205"/>
        <v>0.62933086728818077</v>
      </c>
      <c r="BC89" s="150">
        <f t="shared" si="206"/>
        <v>0.59867412467212044</v>
      </c>
      <c r="BD89" s="150"/>
      <c r="BE89" s="456">
        <f t="shared" si="207"/>
        <v>0.4335562846763219</v>
      </c>
      <c r="BF89" s="456">
        <f t="shared" si="208"/>
        <v>1.6148264681474007</v>
      </c>
      <c r="BG89" s="456">
        <f t="shared" si="209"/>
        <v>5.8653589644050194E-2</v>
      </c>
      <c r="BH89" s="456">
        <f t="shared" si="210"/>
        <v>3.1225923797855257E-2</v>
      </c>
      <c r="BI89">
        <f t="shared" si="211"/>
        <v>5.3584371681340524E-3</v>
      </c>
      <c r="BJ89" s="144">
        <f t="shared" si="279"/>
        <v>64.012026812184246</v>
      </c>
      <c r="BK89">
        <f t="shared" si="212"/>
        <v>2.4489416323182924</v>
      </c>
      <c r="BL89" s="144">
        <f t="shared" si="280"/>
        <v>2448.9416323182922</v>
      </c>
      <c r="BM89" s="150">
        <f t="shared" si="213"/>
        <v>0.93187500000000001</v>
      </c>
      <c r="BN89" s="150">
        <f t="shared" si="214"/>
        <v>0.29820000000000002</v>
      </c>
      <c r="BO89" s="456"/>
      <c r="BQ89" s="144">
        <f t="shared" si="281"/>
        <v>1230.075</v>
      </c>
      <c r="BR89" s="456">
        <f t="shared" si="215"/>
        <v>0.19127483147484792</v>
      </c>
      <c r="BS89" s="456">
        <f t="shared" si="216"/>
        <v>7.9211468104338767E-2</v>
      </c>
      <c r="BT89" s="456">
        <f t="shared" si="217"/>
        <v>1.0752321226557887E-2</v>
      </c>
      <c r="BU89" s="456">
        <f t="shared" si="218"/>
        <v>30.689818131992588</v>
      </c>
      <c r="BV89" s="456">
        <f t="shared" si="219"/>
        <v>31.752966870524251</v>
      </c>
      <c r="BW89" s="538">
        <f t="shared" si="220"/>
        <v>9.9727735757682609E-2</v>
      </c>
      <c r="BX89" s="144">
        <f t="shared" si="282"/>
        <v>31852.694606281933</v>
      </c>
      <c r="BY89" s="150">
        <f t="shared" si="283"/>
        <v>35.531711238600224</v>
      </c>
      <c r="BZ89" s="5">
        <f t="shared" si="284"/>
        <v>76.44</v>
      </c>
      <c r="CA89" s="150">
        <f t="shared" si="285"/>
        <v>0.68267242819138674</v>
      </c>
      <c r="CB89" s="5">
        <f t="shared" si="286"/>
        <v>68.267242819138673</v>
      </c>
      <c r="CC89">
        <f t="shared" si="287"/>
        <v>84</v>
      </c>
      <c r="CE89" s="59">
        <f t="shared" si="221"/>
        <v>-50</v>
      </c>
      <c r="CF89">
        <f t="shared" si="222"/>
        <v>-50</v>
      </c>
      <c r="CG89" s="150">
        <f t="shared" si="223"/>
        <v>0.56766977275315578</v>
      </c>
      <c r="CH89" s="150">
        <f t="shared" si="224"/>
        <v>0.15382552837714242</v>
      </c>
      <c r="CI89" s="147">
        <v>84</v>
      </c>
      <c r="CJ89" s="188">
        <f t="shared" si="309"/>
        <v>0.42</v>
      </c>
      <c r="CK89" s="188">
        <f t="shared" si="288"/>
        <v>0.42</v>
      </c>
      <c r="CL89" s="188">
        <f t="shared" si="225"/>
        <v>71.399999999999991</v>
      </c>
      <c r="CM89" s="188">
        <f t="shared" si="310"/>
        <v>5.04</v>
      </c>
      <c r="CN89" s="465">
        <f t="shared" si="289"/>
        <v>12</v>
      </c>
      <c r="CO89" s="379">
        <f t="shared" si="226"/>
        <v>8.625</v>
      </c>
      <c r="CP89" s="379">
        <f t="shared" si="227"/>
        <v>20.625</v>
      </c>
      <c r="CQ89" s="379"/>
      <c r="CR89" s="188">
        <f t="shared" si="228"/>
        <v>0.4156318480642805</v>
      </c>
      <c r="CS89" s="149">
        <f t="shared" si="290"/>
        <v>155.29102015588504</v>
      </c>
      <c r="CT89" s="149">
        <f t="shared" si="229"/>
        <v>10.961719069827179</v>
      </c>
      <c r="CU89" s="188">
        <f t="shared" si="230"/>
        <v>0.91347658915226493</v>
      </c>
      <c r="CV89" s="188">
        <f t="shared" si="231"/>
        <v>12.940918346323754</v>
      </c>
      <c r="CW89" s="379">
        <f t="shared" si="232"/>
        <v>170</v>
      </c>
      <c r="CX89" s="188">
        <f t="shared" si="233"/>
        <v>30.652126537785588</v>
      </c>
      <c r="CY89" s="188">
        <f t="shared" si="234"/>
        <v>3.8315158172231989</v>
      </c>
      <c r="CZ89" s="188">
        <f t="shared" si="235"/>
        <v>5.3308046152670583</v>
      </c>
      <c r="DA89" s="172">
        <f t="shared" si="236"/>
        <v>250.90909090909091</v>
      </c>
      <c r="DB89" s="379">
        <f t="shared" si="291"/>
        <v>109.14265740520567</v>
      </c>
      <c r="DD89" s="188">
        <f t="shared" si="237"/>
        <v>13.333333333333332</v>
      </c>
      <c r="DE89" s="150">
        <f t="shared" si="238"/>
        <v>2.318840579710145</v>
      </c>
      <c r="DF89" s="150">
        <f t="shared" si="239"/>
        <v>0.18115218115218115</v>
      </c>
      <c r="DG89" s="150"/>
      <c r="DH89" s="150">
        <f t="shared" si="240"/>
        <v>2.3188405797101455</v>
      </c>
      <c r="DI89" s="314">
        <f t="shared" si="241"/>
        <v>581.73088235294097</v>
      </c>
      <c r="DJ89" s="456">
        <f t="shared" si="242"/>
        <v>0.18115218115218121</v>
      </c>
      <c r="DL89" s="150">
        <f t="shared" si="243"/>
        <v>17.064583206161235</v>
      </c>
      <c r="DM89" s="150">
        <f t="shared" si="244"/>
        <v>30.652126537785588</v>
      </c>
      <c r="DN89" s="150">
        <f t="shared" si="245"/>
        <v>14.028735707001669</v>
      </c>
      <c r="DP89" s="314">
        <f t="shared" si="246"/>
        <v>420</v>
      </c>
      <c r="DQ89" s="144">
        <f t="shared" si="247"/>
        <v>109.14265740520567</v>
      </c>
      <c r="DS89">
        <f t="shared" si="292"/>
        <v>420</v>
      </c>
      <c r="DT89">
        <f t="shared" si="248"/>
        <v>109.14265740520567</v>
      </c>
      <c r="DV89" s="5">
        <f t="shared" si="293"/>
        <v>9.1623204324902563</v>
      </c>
      <c r="DW89" s="5">
        <f t="shared" si="249"/>
        <v>3.8315158172231989</v>
      </c>
      <c r="DX89" s="5">
        <f t="shared" si="294"/>
        <v>5.3308046152670574</v>
      </c>
      <c r="DY89" s="150">
        <f t="shared" si="295"/>
        <v>0.41818181818181827</v>
      </c>
      <c r="EA89" s="5">
        <f t="shared" si="250"/>
        <v>0.94660979013749613</v>
      </c>
      <c r="EB89" s="5">
        <f t="shared" si="251"/>
        <v>13.410305360281196</v>
      </c>
      <c r="EC89" s="5">
        <f t="shared" si="252"/>
        <v>52.863812434731635</v>
      </c>
      <c r="ED89" s="5"/>
      <c r="EE89" s="150">
        <f t="shared" si="296"/>
        <v>11.444124020816986</v>
      </c>
      <c r="EF89" s="150">
        <f t="shared" si="253"/>
        <v>0.6304362317768033</v>
      </c>
      <c r="EG89" s="150">
        <f t="shared" si="254"/>
        <v>0.59972564328032285</v>
      </c>
      <c r="EH89" s="150"/>
      <c r="EI89" s="456">
        <f t="shared" si="255"/>
        <v>0.44529111365305712</v>
      </c>
      <c r="EJ89" s="456">
        <f t="shared" si="256"/>
        <v>2.0975999999999999</v>
      </c>
      <c r="EK89" s="456">
        <f t="shared" si="257"/>
        <v>2.4993668545792096E-2</v>
      </c>
      <c r="EL89" s="456">
        <f t="shared" si="258"/>
        <v>3.1803360324716499E-2</v>
      </c>
      <c r="EM89">
        <f t="shared" si="259"/>
        <v>5.4000000000000003E-3</v>
      </c>
      <c r="EN89" s="144">
        <f t="shared" si="297"/>
        <v>30.393668545792099</v>
      </c>
      <c r="EO89">
        <f t="shared" si="260"/>
        <v>3.0477748880023632</v>
      </c>
      <c r="EP89" s="144">
        <f t="shared" si="298"/>
        <v>3047.7748880023632</v>
      </c>
      <c r="EQ89" s="150">
        <f t="shared" si="261"/>
        <v>0.93187500000000001</v>
      </c>
      <c r="ER89" s="150">
        <f t="shared" si="262"/>
        <v>0.29820000000000002</v>
      </c>
      <c r="ES89" s="456"/>
      <c r="EU89" s="144">
        <f t="shared" si="299"/>
        <v>1230.075</v>
      </c>
      <c r="EV89" s="456">
        <f t="shared" si="263"/>
        <v>0.1964519619057605</v>
      </c>
      <c r="EW89" s="456">
        <f t="shared" si="300"/>
        <v>7.9489968467387054E-2</v>
      </c>
      <c r="EX89" s="456">
        <f t="shared" si="264"/>
        <v>1.0790125416239912E-2</v>
      </c>
      <c r="EY89" s="456">
        <f t="shared" si="265"/>
        <v>32.367401730079024</v>
      </c>
      <c r="EZ89" s="456">
        <f t="shared" si="266"/>
        <v>33.491189283587019</v>
      </c>
      <c r="FA89" s="538">
        <f t="shared" si="267"/>
        <v>0.10254529605368268</v>
      </c>
      <c r="FB89" s="144">
        <f t="shared" si="301"/>
        <v>33593.734579640703</v>
      </c>
      <c r="FC89" s="150">
        <f t="shared" si="302"/>
        <v>37.871584467643068</v>
      </c>
      <c r="FD89" s="5">
        <f t="shared" si="303"/>
        <v>76.44</v>
      </c>
      <c r="FE89" s="150">
        <f t="shared" si="304"/>
        <v>0.66869863064173551</v>
      </c>
      <c r="FF89" s="5">
        <f t="shared" si="305"/>
        <v>66.869863064173558</v>
      </c>
      <c r="FG89">
        <f t="shared" si="306"/>
        <v>84</v>
      </c>
      <c r="FI89" s="59">
        <f t="shared" si="268"/>
        <v>-50</v>
      </c>
      <c r="FJ89">
        <f t="shared" si="269"/>
        <v>-50</v>
      </c>
      <c r="FL89">
        <f t="shared" si="270"/>
        <v>0.56766977275315589</v>
      </c>
    </row>
    <row r="90" spans="5:168">
      <c r="E90" s="147">
        <v>85</v>
      </c>
      <c r="F90" s="188">
        <f t="shared" si="307"/>
        <v>0.42499999999999999</v>
      </c>
      <c r="G90" s="188">
        <f t="shared" si="271"/>
        <v>0.42499999999999999</v>
      </c>
      <c r="H90" s="188">
        <f t="shared" si="176"/>
        <v>72.25</v>
      </c>
      <c r="I90" s="188">
        <f t="shared" si="308"/>
        <v>5.0999999999999996</v>
      </c>
      <c r="J90" s="465">
        <f t="shared" si="177"/>
        <v>11.906538605592447</v>
      </c>
      <c r="K90" s="379">
        <f t="shared" si="178"/>
        <v>8.6808509935534648</v>
      </c>
      <c r="L90" s="149">
        <f t="shared" si="179"/>
        <v>20.587389599145911</v>
      </c>
      <c r="M90" s="379"/>
      <c r="N90" s="188">
        <f t="shared" si="180"/>
        <v>0.42165865428192018</v>
      </c>
      <c r="O90" s="149">
        <f t="shared" si="272"/>
        <v>156.31577980774236</v>
      </c>
      <c r="P90" s="149">
        <f t="shared" si="181"/>
        <v>11.034055045252401</v>
      </c>
      <c r="Q90" s="188">
        <f t="shared" si="182"/>
        <v>0.91950458710436678</v>
      </c>
      <c r="R90" s="188">
        <f t="shared" si="183"/>
        <v>13.02631498397853</v>
      </c>
      <c r="S90" s="379">
        <f t="shared" si="184"/>
        <v>170</v>
      </c>
      <c r="T90" s="188">
        <f t="shared" si="185"/>
        <v>30.813694385754502</v>
      </c>
      <c r="U90" s="188">
        <f t="shared" si="186"/>
        <v>3.8819461398228845</v>
      </c>
      <c r="V90" s="188">
        <f t="shared" si="187"/>
        <v>5.3244251759367653</v>
      </c>
      <c r="W90" s="172">
        <f t="shared" si="188"/>
        <v>251.02475227949205</v>
      </c>
      <c r="X90" s="379">
        <f t="shared" si="273"/>
        <v>106.31092122895225</v>
      </c>
      <c r="Z90" s="188">
        <f t="shared" si="189"/>
        <v>13.333333333333334</v>
      </c>
      <c r="AA90" s="150">
        <f t="shared" si="190"/>
        <v>2.3039215872789796</v>
      </c>
      <c r="AB90" s="150">
        <f t="shared" si="191"/>
        <v>0.18006964976570256</v>
      </c>
      <c r="AC90" s="150"/>
      <c r="AD90" s="150">
        <f t="shared" si="192"/>
        <v>2.3039215872789796</v>
      </c>
      <c r="AE90" s="314">
        <f t="shared" si="193"/>
        <v>592.46808031002365</v>
      </c>
      <c r="AF90" s="456">
        <f t="shared" si="194"/>
        <v>0.18006964976570258</v>
      </c>
      <c r="AH90" s="150">
        <f t="shared" si="195"/>
        <v>17.165857586111642</v>
      </c>
      <c r="AI90" s="150">
        <f t="shared" si="196"/>
        <v>30.813694385754502</v>
      </c>
      <c r="AJ90" s="150">
        <f t="shared" si="197"/>
        <v>14.148415594386048</v>
      </c>
      <c r="AL90" s="314">
        <f t="shared" si="198"/>
        <v>425</v>
      </c>
      <c r="AM90" s="144">
        <f t="shared" si="199"/>
        <v>106.31092122895225</v>
      </c>
      <c r="AO90">
        <f t="shared" si="274"/>
        <v>425</v>
      </c>
      <c r="AP90">
        <f t="shared" si="200"/>
        <v>106.31092122895225</v>
      </c>
      <c r="AR90" s="5">
        <f t="shared" si="275"/>
        <v>9.4063713157596496</v>
      </c>
      <c r="AS90" s="5">
        <f t="shared" si="201"/>
        <v>3.8819461398228845</v>
      </c>
      <c r="AT90" s="5">
        <f t="shared" si="276"/>
        <v>5.5244251759367646</v>
      </c>
      <c r="AU90" s="150">
        <f t="shared" si="277"/>
        <v>0.41269327028574593</v>
      </c>
      <c r="AW90" s="5">
        <f t="shared" si="202"/>
        <v>0.97048653495572113</v>
      </c>
      <c r="AX90" s="5">
        <f t="shared" si="203"/>
        <v>13.748559245206049</v>
      </c>
      <c r="AY90" s="5">
        <f t="shared" si="204"/>
        <v>55.871222273051025</v>
      </c>
      <c r="AZ90" s="5"/>
      <c r="BA90" s="150">
        <f t="shared" si="278"/>
        <v>11.428700111249741</v>
      </c>
      <c r="BB90" s="150">
        <f t="shared" si="205"/>
        <v>0.63674152007040052</v>
      </c>
      <c r="BC90" s="150">
        <f t="shared" si="206"/>
        <v>0.60572378058167708</v>
      </c>
      <c r="BD90" s="150"/>
      <c r="BE90" s="456">
        <f t="shared" si="207"/>
        <v>0.4440916331917914</v>
      </c>
      <c r="BF90" s="456">
        <f t="shared" si="208"/>
        <v>1.6152079866743612</v>
      </c>
      <c r="BG90" s="456">
        <f t="shared" si="209"/>
        <v>5.7973415021634687E-2</v>
      </c>
      <c r="BH90" s="456">
        <f t="shared" si="210"/>
        <v>3.0865336743711436E-2</v>
      </c>
      <c r="BI90">
        <f t="shared" si="211"/>
        <v>5.357942372516601E-3</v>
      </c>
      <c r="BJ90" s="144">
        <f t="shared" si="279"/>
        <v>63.331357394151283</v>
      </c>
      <c r="BK90">
        <f t="shared" si="212"/>
        <v>2.4707765847793692</v>
      </c>
      <c r="BL90" s="144">
        <f t="shared" si="280"/>
        <v>2470.7765847793694</v>
      </c>
      <c r="BM90" s="150">
        <f t="shared" si="213"/>
        <v>0.94296874999999991</v>
      </c>
      <c r="BN90" s="150">
        <f t="shared" si="214"/>
        <v>0.30175000000000002</v>
      </c>
      <c r="BO90" s="456"/>
      <c r="BQ90" s="144">
        <f t="shared" si="281"/>
        <v>1244.7187499999998</v>
      </c>
      <c r="BR90" s="456">
        <f t="shared" si="215"/>
        <v>0.19592277934931976</v>
      </c>
      <c r="BS90" s="456">
        <f t="shared" si="216"/>
        <v>8.1087952676312858E-2</v>
      </c>
      <c r="BT90" s="456">
        <f t="shared" si="217"/>
        <v>1.100703895086479E-2</v>
      </c>
      <c r="BU90" s="456">
        <f t="shared" si="218"/>
        <v>30.709598273555994</v>
      </c>
      <c r="BV90" s="456">
        <f t="shared" si="219"/>
        <v>31.799444724596338</v>
      </c>
      <c r="BW90" s="538">
        <f t="shared" si="220"/>
        <v>0.10094049339811749</v>
      </c>
      <c r="BX90" s="144">
        <f t="shared" si="282"/>
        <v>31900.385217994455</v>
      </c>
      <c r="BY90" s="150">
        <f t="shared" si="283"/>
        <v>35.615880552773824</v>
      </c>
      <c r="BZ90" s="5">
        <f t="shared" si="284"/>
        <v>77.349999999999994</v>
      </c>
      <c r="CA90" s="150">
        <f t="shared" si="285"/>
        <v>0.68472002007601485</v>
      </c>
      <c r="CB90" s="5">
        <f t="shared" si="286"/>
        <v>68.472002007601489</v>
      </c>
      <c r="CC90">
        <f t="shared" si="287"/>
        <v>85</v>
      </c>
      <c r="CE90" s="59">
        <f t="shared" si="221"/>
        <v>-50</v>
      </c>
      <c r="CF90">
        <f t="shared" si="222"/>
        <v>-50</v>
      </c>
      <c r="CG90" s="150">
        <f t="shared" si="223"/>
        <v>0.56766977275315589</v>
      </c>
      <c r="CH90" s="150">
        <f t="shared" si="224"/>
        <v>0.15382552837714242</v>
      </c>
      <c r="CI90" s="147">
        <v>85</v>
      </c>
      <c r="CJ90" s="188">
        <f t="shared" si="309"/>
        <v>0.42499999999999999</v>
      </c>
      <c r="CK90" s="188">
        <f t="shared" si="288"/>
        <v>0.42499999999999999</v>
      </c>
      <c r="CL90" s="188">
        <f t="shared" si="225"/>
        <v>72.25</v>
      </c>
      <c r="CM90" s="188">
        <f t="shared" si="310"/>
        <v>5.0999999999999996</v>
      </c>
      <c r="CN90" s="465">
        <f t="shared" si="289"/>
        <v>12</v>
      </c>
      <c r="CO90" s="379">
        <f t="shared" si="226"/>
        <v>8.625</v>
      </c>
      <c r="CP90" s="379">
        <f t="shared" si="227"/>
        <v>20.625</v>
      </c>
      <c r="CQ90" s="379"/>
      <c r="CR90" s="188">
        <f t="shared" si="228"/>
        <v>0.4156318480642805</v>
      </c>
      <c r="CS90" s="149">
        <f t="shared" si="290"/>
        <v>155.29102015588504</v>
      </c>
      <c r="CT90" s="149">
        <f t="shared" si="229"/>
        <v>10.961719069827179</v>
      </c>
      <c r="CU90" s="188">
        <f t="shared" si="230"/>
        <v>0.91347658915226493</v>
      </c>
      <c r="CV90" s="188">
        <f t="shared" si="231"/>
        <v>12.940918346323754</v>
      </c>
      <c r="CW90" s="379">
        <f t="shared" si="232"/>
        <v>170</v>
      </c>
      <c r="CX90" s="188">
        <f t="shared" si="233"/>
        <v>31.017032806092555</v>
      </c>
      <c r="CY90" s="188">
        <f t="shared" si="234"/>
        <v>3.8771291007615698</v>
      </c>
      <c r="CZ90" s="188">
        <f t="shared" si="235"/>
        <v>5.3942665749726189</v>
      </c>
      <c r="DA90" s="172">
        <f t="shared" si="236"/>
        <v>250.90909090909091</v>
      </c>
      <c r="DB90" s="379">
        <f t="shared" si="291"/>
        <v>107.85862614161502</v>
      </c>
      <c r="DD90" s="188">
        <f t="shared" si="237"/>
        <v>13.333333333333332</v>
      </c>
      <c r="DE90" s="150">
        <f t="shared" si="238"/>
        <v>2.318840579710145</v>
      </c>
      <c r="DF90" s="150">
        <f t="shared" si="239"/>
        <v>0.18115218115218115</v>
      </c>
      <c r="DG90" s="150"/>
      <c r="DH90" s="150">
        <f t="shared" si="240"/>
        <v>2.3188405797101455</v>
      </c>
      <c r="DI90" s="314">
        <f t="shared" si="241"/>
        <v>588.65624999999977</v>
      </c>
      <c r="DJ90" s="456">
        <f t="shared" si="242"/>
        <v>0.18115218115218121</v>
      </c>
      <c r="DL90" s="150">
        <f t="shared" si="243"/>
        <v>17.165857586111642</v>
      </c>
      <c r="DM90" s="150">
        <f t="shared" si="244"/>
        <v>31.017032806092555</v>
      </c>
      <c r="DN90" s="150">
        <f t="shared" si="245"/>
        <v>14.299036646488313</v>
      </c>
      <c r="DP90" s="314">
        <f t="shared" si="246"/>
        <v>425</v>
      </c>
      <c r="DQ90" s="144">
        <f t="shared" si="247"/>
        <v>107.85862614161502</v>
      </c>
      <c r="DS90">
        <f t="shared" si="292"/>
        <v>425</v>
      </c>
      <c r="DT90">
        <f t="shared" si="248"/>
        <v>107.85862614161502</v>
      </c>
      <c r="DV90" s="5">
        <f t="shared" si="293"/>
        <v>9.2713956757341887</v>
      </c>
      <c r="DW90" s="5">
        <f t="shared" si="249"/>
        <v>3.8771291007615698</v>
      </c>
      <c r="DX90" s="5">
        <f t="shared" si="294"/>
        <v>5.3942665749726189</v>
      </c>
      <c r="DY90" s="150">
        <f t="shared" si="295"/>
        <v>0.41818181818181815</v>
      </c>
      <c r="EA90" s="5">
        <f t="shared" si="250"/>
        <v>0.96928227519039245</v>
      </c>
      <c r="EB90" s="5">
        <f t="shared" si="251"/>
        <v>13.731498898530559</v>
      </c>
      <c r="EC90" s="5">
        <f t="shared" si="252"/>
        <v>54.129966672468278</v>
      </c>
      <c r="ED90" s="5"/>
      <c r="EE90" s="150">
        <f t="shared" si="296"/>
        <v>11.580363592493375</v>
      </c>
      <c r="EF90" s="150">
        <f t="shared" si="253"/>
        <v>0.63794142501224127</v>
      </c>
      <c r="EG90" s="150">
        <f t="shared" si="254"/>
        <v>0.60686523427175521</v>
      </c>
      <c r="EH90" s="150"/>
      <c r="EI90" s="456">
        <f t="shared" si="255"/>
        <v>0.45595639117677661</v>
      </c>
      <c r="EJ90" s="456">
        <f t="shared" si="256"/>
        <v>2.0975999999999999</v>
      </c>
      <c r="EK90" s="456">
        <f t="shared" si="257"/>
        <v>2.4699625386429839E-2</v>
      </c>
      <c r="EL90" s="456">
        <f t="shared" si="258"/>
        <v>3.1429203144425717E-2</v>
      </c>
      <c r="EM90">
        <f t="shared" si="259"/>
        <v>5.4000000000000003E-3</v>
      </c>
      <c r="EN90" s="144">
        <f t="shared" si="297"/>
        <v>30.099625386429839</v>
      </c>
      <c r="EO90">
        <f t="shared" si="260"/>
        <v>3.0708777151324695</v>
      </c>
      <c r="EP90" s="144">
        <f t="shared" si="298"/>
        <v>3070.8777151324693</v>
      </c>
      <c r="EQ90" s="150">
        <f t="shared" si="261"/>
        <v>0.94296874999999991</v>
      </c>
      <c r="ER90" s="150">
        <f t="shared" si="262"/>
        <v>0.30175000000000002</v>
      </c>
      <c r="ES90" s="456"/>
      <c r="EU90" s="144">
        <f t="shared" si="299"/>
        <v>1244.7187499999998</v>
      </c>
      <c r="EV90" s="456">
        <f t="shared" si="263"/>
        <v>0.20115723140151912</v>
      </c>
      <c r="EW90" s="456">
        <f t="shared" si="300"/>
        <v>8.1393852349329818E-2</v>
      </c>
      <c r="EX90" s="456">
        <f t="shared" si="264"/>
        <v>1.1048562377031371E-2</v>
      </c>
      <c r="EY90" s="456">
        <f t="shared" si="265"/>
        <v>32.367401730078917</v>
      </c>
      <c r="EZ90" s="456">
        <f t="shared" si="266"/>
        <v>33.518752808331406</v>
      </c>
      <c r="FA90" s="538">
        <f t="shared" si="267"/>
        <v>0.10376607338765509</v>
      </c>
      <c r="FB90" s="144">
        <f t="shared" si="301"/>
        <v>33622.518881719057</v>
      </c>
      <c r="FC90" s="150">
        <f t="shared" si="302"/>
        <v>37.938115346851532</v>
      </c>
      <c r="FD90" s="5">
        <f t="shared" si="303"/>
        <v>77.349999999999994</v>
      </c>
      <c r="FE90" s="150">
        <f t="shared" si="304"/>
        <v>0.67092778615807591</v>
      </c>
      <c r="FF90" s="5">
        <f t="shared" si="305"/>
        <v>67.092778615807589</v>
      </c>
      <c r="FG90">
        <f t="shared" si="306"/>
        <v>85</v>
      </c>
      <c r="FI90" s="59">
        <f t="shared" si="268"/>
        <v>-50</v>
      </c>
      <c r="FJ90">
        <f t="shared" si="269"/>
        <v>-50</v>
      </c>
      <c r="FL90">
        <f t="shared" si="270"/>
        <v>0.56766977275315589</v>
      </c>
    </row>
    <row r="91" spans="5:168">
      <c r="E91" s="147">
        <v>86</v>
      </c>
      <c r="F91" s="188">
        <f t="shared" si="307"/>
        <v>0.43</v>
      </c>
      <c r="G91" s="188">
        <f t="shared" si="271"/>
        <v>0.43</v>
      </c>
      <c r="H91" s="188">
        <f t="shared" si="176"/>
        <v>73.099999999999994</v>
      </c>
      <c r="I91" s="188">
        <f t="shared" si="308"/>
        <v>5.16</v>
      </c>
      <c r="J91" s="465">
        <f t="shared" si="177"/>
        <v>11.905439059775887</v>
      </c>
      <c r="K91" s="379">
        <f t="shared" si="178"/>
        <v>8.6815080640658593</v>
      </c>
      <c r="L91" s="149">
        <f t="shared" si="179"/>
        <v>20.586947123841746</v>
      </c>
      <c r="M91" s="379"/>
      <c r="N91" s="188">
        <f t="shared" si="180"/>
        <v>0.42169963384283449</v>
      </c>
      <c r="O91" s="149">
        <f t="shared" si="272"/>
        <v>156.31653474024986</v>
      </c>
      <c r="P91" s="149">
        <f t="shared" si="181"/>
        <v>11.034108334605872</v>
      </c>
      <c r="Q91" s="188">
        <f t="shared" si="182"/>
        <v>0.91950902788382272</v>
      </c>
      <c r="R91" s="188">
        <f t="shared" si="183"/>
        <v>13.026377895020822</v>
      </c>
      <c r="S91" s="379">
        <f t="shared" si="184"/>
        <v>170</v>
      </c>
      <c r="T91" s="188">
        <f t="shared" si="185"/>
        <v>31.17605787149337</v>
      </c>
      <c r="U91" s="188">
        <f t="shared" si="186"/>
        <v>3.927959865439886</v>
      </c>
      <c r="V91" s="188">
        <f t="shared" si="187"/>
        <v>5.3866317305865374</v>
      </c>
      <c r="W91" s="172">
        <f t="shared" si="188"/>
        <v>251.02596461228356</v>
      </c>
      <c r="X91" s="379">
        <f t="shared" si="273"/>
        <v>105.10172611272458</v>
      </c>
      <c r="Z91" s="188">
        <f t="shared" si="189"/>
        <v>13.333333333333334</v>
      </c>
      <c r="AA91" s="150">
        <f t="shared" si="190"/>
        <v>2.3037472121673397</v>
      </c>
      <c r="AB91" s="150">
        <f t="shared" si="191"/>
        <v>0.18005689056175483</v>
      </c>
      <c r="AC91" s="150"/>
      <c r="AD91" s="150">
        <f t="shared" si="192"/>
        <v>2.3037472121673397</v>
      </c>
      <c r="AE91" s="314">
        <f t="shared" si="193"/>
        <v>599.4836656709947</v>
      </c>
      <c r="AF91" s="456">
        <f t="shared" si="194"/>
        <v>0.18005689056175486</v>
      </c>
      <c r="AH91" s="150">
        <f t="shared" si="195"/>
        <v>17.266537966058316</v>
      </c>
      <c r="AI91" s="150">
        <f t="shared" si="196"/>
        <v>31.17605787149337</v>
      </c>
      <c r="AJ91" s="150">
        <f t="shared" si="197"/>
        <v>14.416832991229654</v>
      </c>
      <c r="AL91" s="314">
        <f t="shared" si="198"/>
        <v>430</v>
      </c>
      <c r="AM91" s="144">
        <f t="shared" si="199"/>
        <v>105.10172611272458</v>
      </c>
      <c r="AO91">
        <f t="shared" si="274"/>
        <v>430</v>
      </c>
      <c r="AP91">
        <f t="shared" si="200"/>
        <v>105.10172611272458</v>
      </c>
      <c r="AR91" s="5">
        <f t="shared" si="275"/>
        <v>9.5145915960264222</v>
      </c>
      <c r="AS91" s="5">
        <f t="shared" si="201"/>
        <v>3.927959865439886</v>
      </c>
      <c r="AT91" s="5">
        <f t="shared" si="276"/>
        <v>5.5866317305865358</v>
      </c>
      <c r="AU91" s="150">
        <f t="shared" si="277"/>
        <v>0.41283536195923737</v>
      </c>
      <c r="AW91" s="5">
        <f t="shared" si="202"/>
        <v>0.99354278949361829</v>
      </c>
      <c r="AX91" s="5">
        <f t="shared" si="203"/>
        <v>14.07518951782626</v>
      </c>
      <c r="AY91" s="5">
        <f t="shared" si="204"/>
        <v>57.170337223660425</v>
      </c>
      <c r="AZ91" s="5"/>
      <c r="BA91" s="150">
        <f t="shared" si="278"/>
        <v>11.565089997900088</v>
      </c>
      <c r="BB91" s="150">
        <f t="shared" si="205"/>
        <v>0.64415154901542904</v>
      </c>
      <c r="BC91" s="150">
        <f t="shared" si="206"/>
        <v>0.61277284304317003</v>
      </c>
      <c r="BD91" s="150"/>
      <c r="BE91" s="456">
        <f t="shared" si="207"/>
        <v>0.45475444264239745</v>
      </c>
      <c r="BF91" s="456">
        <f t="shared" si="208"/>
        <v>1.6155801718278122</v>
      </c>
      <c r="BG91" s="456">
        <f t="shared" si="209"/>
        <v>5.7308724545303273E-2</v>
      </c>
      <c r="BH91" s="456">
        <f t="shared" si="210"/>
        <v>3.0512958491980567E-2</v>
      </c>
      <c r="BI91">
        <f t="shared" si="211"/>
        <v>5.3574475768991487E-3</v>
      </c>
      <c r="BJ91" s="144">
        <f t="shared" si="279"/>
        <v>62.666172122202418</v>
      </c>
      <c r="BK91">
        <f t="shared" si="212"/>
        <v>2.4929989504081851</v>
      </c>
      <c r="BL91" s="144">
        <f t="shared" si="280"/>
        <v>2492.998950408185</v>
      </c>
      <c r="BM91" s="150">
        <f t="shared" si="213"/>
        <v>0.95406249999999992</v>
      </c>
      <c r="BN91" s="150">
        <f t="shared" si="214"/>
        <v>0.30530000000000002</v>
      </c>
      <c r="BO91" s="456"/>
      <c r="BQ91" s="144">
        <f t="shared" si="281"/>
        <v>1259.3625</v>
      </c>
      <c r="BR91" s="456">
        <f t="shared" si="215"/>
        <v>0.200626959989293</v>
      </c>
      <c r="BS91" s="456">
        <f t="shared" si="216"/>
        <v>8.2986243619795341E-2</v>
      </c>
      <c r="BT91" s="456">
        <f t="shared" si="217"/>
        <v>1.1264716715136285E-2</v>
      </c>
      <c r="BU91" s="456">
        <f t="shared" si="218"/>
        <v>30.728943100487417</v>
      </c>
      <c r="BV91" s="456">
        <f t="shared" si="219"/>
        <v>31.845842588363801</v>
      </c>
      <c r="BW91" s="538">
        <f t="shared" si="220"/>
        <v>0.10215326371051152</v>
      </c>
      <c r="BX91" s="144">
        <f t="shared" si="282"/>
        <v>31947.995852074313</v>
      </c>
      <c r="BY91" s="150">
        <f t="shared" si="283"/>
        <v>35.700357302482502</v>
      </c>
      <c r="BZ91" s="5">
        <f t="shared" si="284"/>
        <v>78.259999999999991</v>
      </c>
      <c r="CA91" s="150">
        <f t="shared" si="285"/>
        <v>0.68673003360524909</v>
      </c>
      <c r="CB91" s="5">
        <f t="shared" si="286"/>
        <v>68.673003360524916</v>
      </c>
      <c r="CC91">
        <f t="shared" si="287"/>
        <v>86</v>
      </c>
      <c r="CE91" s="59">
        <f t="shared" si="221"/>
        <v>-50</v>
      </c>
      <c r="CF91">
        <f t="shared" si="222"/>
        <v>-50</v>
      </c>
      <c r="CG91" s="150">
        <f t="shared" si="223"/>
        <v>0.56766977275315589</v>
      </c>
      <c r="CH91" s="150">
        <f t="shared" si="224"/>
        <v>0.15382552837714242</v>
      </c>
      <c r="CI91" s="147">
        <v>86</v>
      </c>
      <c r="CJ91" s="188">
        <f t="shared" si="309"/>
        <v>0.43</v>
      </c>
      <c r="CK91" s="188">
        <f t="shared" si="288"/>
        <v>0.43</v>
      </c>
      <c r="CL91" s="188">
        <f t="shared" si="225"/>
        <v>73.099999999999994</v>
      </c>
      <c r="CM91" s="188">
        <f t="shared" si="310"/>
        <v>5.16</v>
      </c>
      <c r="CN91" s="465">
        <f t="shared" si="289"/>
        <v>12</v>
      </c>
      <c r="CO91" s="379">
        <f t="shared" si="226"/>
        <v>8.625</v>
      </c>
      <c r="CP91" s="379">
        <f t="shared" si="227"/>
        <v>20.625</v>
      </c>
      <c r="CQ91" s="379"/>
      <c r="CR91" s="188">
        <f t="shared" si="228"/>
        <v>0.4156318480642805</v>
      </c>
      <c r="CS91" s="149">
        <f t="shared" si="290"/>
        <v>155.29102015588504</v>
      </c>
      <c r="CT91" s="149">
        <f t="shared" si="229"/>
        <v>10.961719069827179</v>
      </c>
      <c r="CU91" s="188">
        <f t="shared" si="230"/>
        <v>0.91347658915226493</v>
      </c>
      <c r="CV91" s="188">
        <f t="shared" si="231"/>
        <v>12.940918346323754</v>
      </c>
      <c r="CW91" s="379">
        <f t="shared" si="232"/>
        <v>170</v>
      </c>
      <c r="CX91" s="188">
        <f t="shared" si="233"/>
        <v>31.381939074399526</v>
      </c>
      <c r="CY91" s="188">
        <f t="shared" si="234"/>
        <v>3.9227423842999403</v>
      </c>
      <c r="CZ91" s="188">
        <f t="shared" si="235"/>
        <v>5.4577285346781785</v>
      </c>
      <c r="DA91" s="172">
        <f t="shared" si="236"/>
        <v>250.90909090909091</v>
      </c>
      <c r="DB91" s="379">
        <f t="shared" si="291"/>
        <v>106.6044560702009</v>
      </c>
      <c r="DD91" s="188">
        <f t="shared" si="237"/>
        <v>13.333333333333332</v>
      </c>
      <c r="DE91" s="150">
        <f t="shared" si="238"/>
        <v>2.318840579710145</v>
      </c>
      <c r="DF91" s="150">
        <f t="shared" si="239"/>
        <v>0.18115218115218115</v>
      </c>
      <c r="DG91" s="150"/>
      <c r="DH91" s="150">
        <f t="shared" si="240"/>
        <v>2.3188405797101455</v>
      </c>
      <c r="DI91" s="314">
        <f t="shared" si="241"/>
        <v>595.58161764705858</v>
      </c>
      <c r="DJ91" s="456">
        <f t="shared" si="242"/>
        <v>0.18115218115218121</v>
      </c>
      <c r="DL91" s="150">
        <f t="shared" si="243"/>
        <v>17.266537966058316</v>
      </c>
      <c r="DM91" s="150">
        <f t="shared" si="244"/>
        <v>31.381939074399526</v>
      </c>
      <c r="DN91" s="150">
        <f t="shared" si="245"/>
        <v>14.569337585974955</v>
      </c>
      <c r="DP91" s="314">
        <f t="shared" si="246"/>
        <v>430</v>
      </c>
      <c r="DQ91" s="144">
        <f t="shared" si="247"/>
        <v>106.6044560702009</v>
      </c>
      <c r="DS91">
        <f>IF(CL91&gt;CS91, "",DP91)</f>
        <v>430</v>
      </c>
      <c r="DT91">
        <f>IF(CL91&gt;CS91, "",DQ91)</f>
        <v>106.6044560702009</v>
      </c>
      <c r="DV91" s="5">
        <f t="shared" si="293"/>
        <v>9.3804709189781192</v>
      </c>
      <c r="DW91" s="5">
        <f t="shared" si="249"/>
        <v>3.9227423842999403</v>
      </c>
      <c r="DX91" s="5">
        <f t="shared" si="294"/>
        <v>5.4577285346781785</v>
      </c>
      <c r="DY91" s="150">
        <f t="shared" si="295"/>
        <v>0.41818181818181815</v>
      </c>
      <c r="EA91" s="5">
        <f t="shared" si="250"/>
        <v>0.99222307367586726</v>
      </c>
      <c r="EB91" s="5">
        <f t="shared" si="251"/>
        <v>14.056493543741453</v>
      </c>
      <c r="EC91" s="5">
        <f t="shared" si="252"/>
        <v>55.411104984024263</v>
      </c>
      <c r="ED91" s="5"/>
      <c r="EE91" s="150">
        <f t="shared" si="296"/>
        <v>11.716603164169767</v>
      </c>
      <c r="EF91" s="150">
        <f t="shared" si="253"/>
        <v>0.64544661824767946</v>
      </c>
      <c r="EG91" s="150">
        <f t="shared" si="254"/>
        <v>0.61400482526318778</v>
      </c>
      <c r="EH91" s="150"/>
      <c r="EI91" s="456">
        <f t="shared" si="255"/>
        <v>0.4667478850025521</v>
      </c>
      <c r="EJ91" s="456">
        <f t="shared" si="256"/>
        <v>2.0975999999999995</v>
      </c>
      <c r="EK91" s="456">
        <f t="shared" si="257"/>
        <v>2.4412420440076008E-2</v>
      </c>
      <c r="EL91" s="456">
        <f t="shared" si="258"/>
        <v>3.1063747293909143E-2</v>
      </c>
      <c r="EM91">
        <f t="shared" si="259"/>
        <v>5.4000000000000003E-3</v>
      </c>
      <c r="EN91" s="144">
        <f t="shared" si="297"/>
        <v>29.812420440076011</v>
      </c>
      <c r="EO91">
        <f t="shared" si="260"/>
        <v>3.0944143603517578</v>
      </c>
      <c r="EP91" s="144">
        <f t="shared" si="298"/>
        <v>3094.4143603517578</v>
      </c>
      <c r="EQ91" s="150">
        <f t="shared" si="261"/>
        <v>0.95406249999999992</v>
      </c>
      <c r="ER91" s="150">
        <f t="shared" si="262"/>
        <v>0.30530000000000002</v>
      </c>
      <c r="ES91" s="456"/>
      <c r="EU91" s="144">
        <f t="shared" si="299"/>
        <v>1259.3625</v>
      </c>
      <c r="EV91" s="456">
        <f t="shared" si="263"/>
        <v>0.20591818455994948</v>
      </c>
      <c r="EW91" s="456">
        <f t="shared" si="300"/>
        <v>8.3320267401473136E-2</v>
      </c>
      <c r="EX91" s="456">
        <f t="shared" si="264"/>
        <v>1.1310057763394332E-2</v>
      </c>
      <c r="EY91" s="456">
        <f t="shared" si="265"/>
        <v>32.367401730078967</v>
      </c>
      <c r="EZ91" s="456">
        <f t="shared" si="266"/>
        <v>33.546674115058124</v>
      </c>
      <c r="FA91" s="538">
        <f t="shared" si="267"/>
        <v>0.1049868507216275</v>
      </c>
      <c r="FB91" s="144">
        <f t="shared" si="301"/>
        <v>33651.660965779753</v>
      </c>
      <c r="FC91" s="150">
        <f t="shared" si="302"/>
        <v>38.005437826131512</v>
      </c>
      <c r="FD91" s="5">
        <f t="shared" si="303"/>
        <v>78.259999999999991</v>
      </c>
      <c r="FE91" s="150">
        <f t="shared" si="304"/>
        <v>0.67311491242163879</v>
      </c>
      <c r="FF91" s="5">
        <f t="shared" si="305"/>
        <v>67.311491242163882</v>
      </c>
      <c r="FG91">
        <f t="shared" si="306"/>
        <v>86</v>
      </c>
      <c r="FI91" s="59">
        <f t="shared" si="268"/>
        <v>-50</v>
      </c>
      <c r="FJ91">
        <f t="shared" si="269"/>
        <v>-50</v>
      </c>
      <c r="FL91">
        <f t="shared" si="270"/>
        <v>0.56766977275315589</v>
      </c>
    </row>
    <row r="92" spans="5:168">
      <c r="E92" s="147">
        <v>87</v>
      </c>
      <c r="F92" s="188">
        <f t="shared" si="307"/>
        <v>0.435</v>
      </c>
      <c r="G92" s="188">
        <f t="shared" si="271"/>
        <v>0.435</v>
      </c>
      <c r="H92" s="188">
        <f t="shared" si="176"/>
        <v>73.95</v>
      </c>
      <c r="I92" s="188">
        <f t="shared" si="308"/>
        <v>5.22</v>
      </c>
      <c r="J92" s="465">
        <f t="shared" si="177"/>
        <v>11.904339513959327</v>
      </c>
      <c r="K92" s="379">
        <f t="shared" si="178"/>
        <v>8.6821651345782538</v>
      </c>
      <c r="L92" s="149">
        <f t="shared" si="179"/>
        <v>20.586504648537581</v>
      </c>
      <c r="M92" s="379"/>
      <c r="N92" s="188">
        <f t="shared" si="180"/>
        <v>0.42174061516533434</v>
      </c>
      <c r="O92" s="149">
        <f t="shared" si="272"/>
        <v>156.31728751981953</v>
      </c>
      <c r="P92" s="149">
        <f t="shared" si="181"/>
        <v>11.034161471987261</v>
      </c>
      <c r="Q92" s="188">
        <f t="shared" si="182"/>
        <v>0.91951345599893841</v>
      </c>
      <c r="R92" s="188">
        <f t="shared" si="183"/>
        <v>13.026440626651627</v>
      </c>
      <c r="S92" s="379">
        <f t="shared" si="184"/>
        <v>170</v>
      </c>
      <c r="T92" s="188">
        <f t="shared" si="185"/>
        <v>31.538418291546439</v>
      </c>
      <c r="U92" s="188">
        <f t="shared" si="186"/>
        <v>3.973981704893879</v>
      </c>
      <c r="V92" s="188">
        <f t="shared" si="187"/>
        <v>5.4488283399389266</v>
      </c>
      <c r="W92" s="172">
        <f t="shared" si="188"/>
        <v>251.02717348771014</v>
      </c>
      <c r="X92" s="379">
        <f t="shared" si="273"/>
        <v>103.91974852885863</v>
      </c>
      <c r="Z92" s="188">
        <f t="shared" si="189"/>
        <v>13.333333333333334</v>
      </c>
      <c r="AA92" s="150">
        <f t="shared" si="190"/>
        <v>2.303572863449288</v>
      </c>
      <c r="AB92" s="150">
        <f t="shared" si="191"/>
        <v>0.18004413080932816</v>
      </c>
      <c r="AC92" s="150"/>
      <c r="AD92" s="150">
        <f t="shared" si="192"/>
        <v>2.303572863449288</v>
      </c>
      <c r="AE92" s="314">
        <f t="shared" si="193"/>
        <v>606.50030620990606</v>
      </c>
      <c r="AF92" s="456">
        <f t="shared" si="194"/>
        <v>0.18004413080932818</v>
      </c>
      <c r="AH92" s="150">
        <f t="shared" si="195"/>
        <v>17.366634676873925</v>
      </c>
      <c r="AI92" s="150">
        <f t="shared" si="196"/>
        <v>31.538418291546439</v>
      </c>
      <c r="AJ92" s="150">
        <f t="shared" si="197"/>
        <v>14.685248117194893</v>
      </c>
      <c r="AL92" s="314">
        <f t="shared" si="198"/>
        <v>435</v>
      </c>
      <c r="AM92" s="144">
        <f t="shared" si="199"/>
        <v>103.91974852885863</v>
      </c>
      <c r="AO92">
        <f t="shared" si="274"/>
        <v>435</v>
      </c>
      <c r="AP92">
        <f t="shared" si="200"/>
        <v>103.91974852885863</v>
      </c>
      <c r="AR92" s="5">
        <f t="shared" si="275"/>
        <v>9.6228100448328053</v>
      </c>
      <c r="AS92" s="5">
        <f t="shared" si="201"/>
        <v>3.973981704893879</v>
      </c>
      <c r="AT92" s="5">
        <f t="shared" si="276"/>
        <v>5.6488283399389267</v>
      </c>
      <c r="AU92" s="150">
        <f t="shared" si="277"/>
        <v>0.41297517943085682</v>
      </c>
      <c r="AW92" s="5">
        <f t="shared" si="202"/>
        <v>1.0168717891934336</v>
      </c>
      <c r="AX92" s="5">
        <f t="shared" si="203"/>
        <v>14.405683680240312</v>
      </c>
      <c r="AY92" s="5">
        <f t="shared" si="204"/>
        <v>58.48439487810893</v>
      </c>
      <c r="AZ92" s="5"/>
      <c r="BA92" s="150">
        <f t="shared" si="278"/>
        <v>11.701492451541579</v>
      </c>
      <c r="BB92" s="150">
        <f t="shared" si="205"/>
        <v>0.65156095546660442</v>
      </c>
      <c r="BC92" s="150">
        <f t="shared" si="206"/>
        <v>0.61982131333449964</v>
      </c>
      <c r="BD92" s="150"/>
      <c r="BE92" s="456">
        <f t="shared" si="207"/>
        <v>0.46554474701784743</v>
      </c>
      <c r="BF92" s="456">
        <f t="shared" si="208"/>
        <v>1.6159433379864143</v>
      </c>
      <c r="BG92" s="456">
        <f t="shared" si="209"/>
        <v>5.6658995366130629E-2</v>
      </c>
      <c r="BH92" s="456">
        <f t="shared" si="210"/>
        <v>3.0168511858155642E-2</v>
      </c>
      <c r="BI92">
        <f t="shared" si="211"/>
        <v>5.3569527812816972E-3</v>
      </c>
      <c r="BJ92" s="144">
        <f t="shared" si="279"/>
        <v>62.015948147412324</v>
      </c>
      <c r="BK92">
        <f t="shared" si="212"/>
        <v>2.515614423225855</v>
      </c>
      <c r="BL92" s="144">
        <f t="shared" si="280"/>
        <v>2515.6144232258553</v>
      </c>
      <c r="BM92" s="150">
        <f t="shared" si="213"/>
        <v>0.96515624999999983</v>
      </c>
      <c r="BN92" s="150">
        <f t="shared" si="214"/>
        <v>0.30885000000000001</v>
      </c>
      <c r="BO92" s="456"/>
      <c r="BQ92" s="144">
        <f t="shared" si="281"/>
        <v>1274.0062499999997</v>
      </c>
      <c r="BR92" s="456">
        <f t="shared" si="215"/>
        <v>0.20538738839022683</v>
      </c>
      <c r="BS92" s="456">
        <f t="shared" si="216"/>
        <v>8.4906335737710892E-2</v>
      </c>
      <c r="BT92" s="456">
        <f t="shared" si="217"/>
        <v>1.1525353813911118E-2</v>
      </c>
      <c r="BU92" s="456">
        <f t="shared" si="218"/>
        <v>30.74786703797286</v>
      </c>
      <c r="BV92" s="456">
        <f t="shared" si="219"/>
        <v>31.892176068587158</v>
      </c>
      <c r="BW92" s="538">
        <f t="shared" si="220"/>
        <v>0.10336604626905874</v>
      </c>
      <c r="BX92" s="144">
        <f t="shared" si="282"/>
        <v>31995.542114856216</v>
      </c>
      <c r="BY92" s="150">
        <f t="shared" si="283"/>
        <v>35.785162788082076</v>
      </c>
      <c r="BZ92" s="5">
        <f t="shared" si="284"/>
        <v>79.17</v>
      </c>
      <c r="CA92" s="150">
        <f t="shared" si="285"/>
        <v>0.68870330031151861</v>
      </c>
      <c r="CB92" s="5">
        <f t="shared" si="286"/>
        <v>68.870330031151866</v>
      </c>
      <c r="CC92">
        <f t="shared" si="287"/>
        <v>87</v>
      </c>
      <c r="CE92" s="59">
        <f t="shared" si="221"/>
        <v>-50</v>
      </c>
      <c r="CF92">
        <f t="shared" si="222"/>
        <v>-50</v>
      </c>
      <c r="CG92" s="150">
        <f t="shared" si="223"/>
        <v>0.56766977275315589</v>
      </c>
      <c r="CH92" s="150">
        <f t="shared" si="224"/>
        <v>0.15382552837714239</v>
      </c>
      <c r="CI92" s="147">
        <v>87</v>
      </c>
      <c r="CJ92" s="188">
        <f t="shared" si="309"/>
        <v>0.435</v>
      </c>
      <c r="CK92" s="188">
        <f t="shared" si="288"/>
        <v>0.435</v>
      </c>
      <c r="CL92" s="188">
        <f t="shared" si="225"/>
        <v>73.95</v>
      </c>
      <c r="CM92" s="188">
        <f t="shared" si="310"/>
        <v>5.22</v>
      </c>
      <c r="CN92" s="465">
        <f t="shared" si="289"/>
        <v>12</v>
      </c>
      <c r="CO92" s="379">
        <f t="shared" si="226"/>
        <v>8.625</v>
      </c>
      <c r="CP92" s="379">
        <f t="shared" si="227"/>
        <v>20.625</v>
      </c>
      <c r="CQ92" s="379"/>
      <c r="CR92" s="188">
        <f t="shared" si="228"/>
        <v>0.4156318480642805</v>
      </c>
      <c r="CS92" s="149">
        <f t="shared" si="290"/>
        <v>155.29102015588504</v>
      </c>
      <c r="CT92" s="149">
        <f t="shared" si="229"/>
        <v>10.961719069827179</v>
      </c>
      <c r="CU92" s="188">
        <f t="shared" si="230"/>
        <v>0.91347658915226493</v>
      </c>
      <c r="CV92" s="188">
        <f t="shared" si="231"/>
        <v>12.940918346323754</v>
      </c>
      <c r="CW92" s="379">
        <f t="shared" si="232"/>
        <v>170</v>
      </c>
      <c r="CX92" s="188">
        <f t="shared" si="233"/>
        <v>31.746845342706504</v>
      </c>
      <c r="CY92" s="188">
        <f t="shared" si="234"/>
        <v>3.968355667838313</v>
      </c>
      <c r="CZ92" s="188">
        <f t="shared" si="235"/>
        <v>5.52119049438374</v>
      </c>
      <c r="DA92" s="172">
        <f t="shared" si="236"/>
        <v>250.90909090909091</v>
      </c>
      <c r="DB92" s="379">
        <f t="shared" si="291"/>
        <v>105.37911749468132</v>
      </c>
      <c r="DD92" s="188">
        <f t="shared" si="237"/>
        <v>13.333333333333332</v>
      </c>
      <c r="DE92" s="150">
        <f t="shared" si="238"/>
        <v>2.318840579710145</v>
      </c>
      <c r="DF92" s="150">
        <f t="shared" si="239"/>
        <v>0.18115218115218115</v>
      </c>
      <c r="DG92" s="150"/>
      <c r="DH92" s="150">
        <f t="shared" si="240"/>
        <v>2.3188405797101455</v>
      </c>
      <c r="DI92" s="314">
        <f t="shared" si="241"/>
        <v>602.50698529411738</v>
      </c>
      <c r="DJ92" s="456">
        <f t="shared" si="242"/>
        <v>0.18115218115218121</v>
      </c>
      <c r="DL92" s="150">
        <f t="shared" si="243"/>
        <v>17.366634676873925</v>
      </c>
      <c r="DM92" s="150">
        <f t="shared" si="244"/>
        <v>31.746845342706504</v>
      </c>
      <c r="DN92" s="150">
        <f t="shared" si="245"/>
        <v>14.839638525461606</v>
      </c>
      <c r="DP92" s="314">
        <f t="shared" si="246"/>
        <v>435</v>
      </c>
      <c r="DQ92" s="144">
        <f t="shared" si="247"/>
        <v>105.37911749468132</v>
      </c>
      <c r="DS92">
        <f>IF(CL92&gt;CS92, "",DP92)</f>
        <v>435</v>
      </c>
      <c r="DT92">
        <f>IF(CL92&gt;CS92, "",DQ92)</f>
        <v>105.37911749468132</v>
      </c>
      <c r="DV92" s="5">
        <f t="shared" si="293"/>
        <v>9.4895461622220534</v>
      </c>
      <c r="DW92" s="5">
        <f t="shared" si="249"/>
        <v>3.968355667838313</v>
      </c>
      <c r="DX92" s="5">
        <f t="shared" si="294"/>
        <v>5.52119049438374</v>
      </c>
      <c r="DY92" s="150">
        <f t="shared" si="295"/>
        <v>0.41818181818181815</v>
      </c>
      <c r="EA92" s="5">
        <f t="shared" si="250"/>
        <v>1.0154321855939212</v>
      </c>
      <c r="EB92" s="5">
        <f t="shared" si="251"/>
        <v>14.385289295913884</v>
      </c>
      <c r="EC92" s="5">
        <f t="shared" si="252"/>
        <v>56.707227369399661</v>
      </c>
      <c r="ED92" s="5"/>
      <c r="EE92" s="150">
        <f t="shared" si="296"/>
        <v>11.852842735846163</v>
      </c>
      <c r="EF92" s="150">
        <f t="shared" si="253"/>
        <v>0.65295181148311776</v>
      </c>
      <c r="EG92" s="150">
        <f t="shared" si="254"/>
        <v>0.62114441625462014</v>
      </c>
      <c r="EH92" s="150"/>
      <c r="EI92" s="456">
        <f t="shared" si="255"/>
        <v>0.47766559513038387</v>
      </c>
      <c r="EJ92" s="456">
        <f t="shared" si="256"/>
        <v>2.0975999999999999</v>
      </c>
      <c r="EK92" s="456">
        <f t="shared" si="257"/>
        <v>2.4131817906282022E-2</v>
      </c>
      <c r="EL92" s="456">
        <f t="shared" si="258"/>
        <v>3.0706692727312485E-2</v>
      </c>
      <c r="EM92">
        <f t="shared" si="259"/>
        <v>5.4000000000000003E-3</v>
      </c>
      <c r="EN92" s="144">
        <f t="shared" si="297"/>
        <v>29.531817906282022</v>
      </c>
      <c r="EO92">
        <f t="shared" si="260"/>
        <v>3.118390372045011</v>
      </c>
      <c r="EP92" s="144">
        <f t="shared" si="298"/>
        <v>3118.3903720450112</v>
      </c>
      <c r="EQ92" s="150">
        <f t="shared" si="261"/>
        <v>0.96515624999999983</v>
      </c>
      <c r="ER92" s="150">
        <f t="shared" si="262"/>
        <v>0.30885000000000001</v>
      </c>
      <c r="ES92" s="456"/>
      <c r="EU92" s="144">
        <f t="shared" si="299"/>
        <v>1274.0062499999997</v>
      </c>
      <c r="EV92" s="456">
        <f t="shared" si="263"/>
        <v>0.21073482138105173</v>
      </c>
      <c r="EW92" s="456">
        <f t="shared" si="300"/>
        <v>8.5269213623816995E-2</v>
      </c>
      <c r="EX92" s="456">
        <f t="shared" si="264"/>
        <v>1.1574611575328783E-2</v>
      </c>
      <c r="EY92" s="456">
        <f t="shared" si="265"/>
        <v>32.367401730078967</v>
      </c>
      <c r="EZ92" s="456">
        <f t="shared" si="266"/>
        <v>33.574954373862781</v>
      </c>
      <c r="FA92" s="538">
        <f t="shared" si="267"/>
        <v>0.10620762805559995</v>
      </c>
      <c r="FB92" s="144">
        <f t="shared" si="301"/>
        <v>33681.162001918383</v>
      </c>
      <c r="FC92" s="150">
        <f t="shared" si="302"/>
        <v>38.073558623963393</v>
      </c>
      <c r="FD92" s="5">
        <f t="shared" si="303"/>
        <v>79.17</v>
      </c>
      <c r="FE92" s="150">
        <f t="shared" si="304"/>
        <v>0.67526097748297498</v>
      </c>
      <c r="FF92" s="5">
        <f t="shared" si="305"/>
        <v>67.526097748297502</v>
      </c>
      <c r="FG92">
        <f t="shared" si="306"/>
        <v>87</v>
      </c>
      <c r="FI92" s="59">
        <f t="shared" si="268"/>
        <v>-50</v>
      </c>
      <c r="FJ92">
        <f t="shared" si="269"/>
        <v>-50</v>
      </c>
      <c r="FL92">
        <f t="shared" si="270"/>
        <v>0.56766977275315578</v>
      </c>
    </row>
    <row r="93" spans="5:168">
      <c r="E93" s="147">
        <v>88</v>
      </c>
      <c r="F93" s="188">
        <f t="shared" si="307"/>
        <v>0.44</v>
      </c>
      <c r="G93" s="188">
        <f t="shared" si="271"/>
        <v>0.44</v>
      </c>
      <c r="H93" s="188">
        <f t="shared" si="176"/>
        <v>74.8</v>
      </c>
      <c r="I93" s="188">
        <f t="shared" si="308"/>
        <v>5.28</v>
      </c>
      <c r="J93" s="465">
        <f t="shared" si="177"/>
        <v>11.903239968142769</v>
      </c>
      <c r="K93" s="379">
        <f t="shared" si="178"/>
        <v>8.6828222050906447</v>
      </c>
      <c r="L93" s="149">
        <f t="shared" si="179"/>
        <v>20.586062173233415</v>
      </c>
      <c r="M93" s="379"/>
      <c r="N93" s="188">
        <f t="shared" si="180"/>
        <v>0.42178159824953299</v>
      </c>
      <c r="O93" s="149">
        <f t="shared" si="272"/>
        <v>156.31803814631252</v>
      </c>
      <c r="P93" s="149">
        <f t="shared" si="181"/>
        <v>11.034214457386765</v>
      </c>
      <c r="Q93" s="188">
        <f t="shared" si="182"/>
        <v>0.91951787144889718</v>
      </c>
      <c r="R93" s="188">
        <f t="shared" si="183"/>
        <v>13.026503178859377</v>
      </c>
      <c r="S93" s="379">
        <f t="shared" si="184"/>
        <v>170</v>
      </c>
      <c r="T93" s="188">
        <f t="shared" si="185"/>
        <v>31.900775660958491</v>
      </c>
      <c r="U93" s="188">
        <f t="shared" si="186"/>
        <v>4.0200116623292637</v>
      </c>
      <c r="V93" s="188">
        <f t="shared" si="187"/>
        <v>5.5110150088508227</v>
      </c>
      <c r="W93" s="172">
        <f t="shared" si="188"/>
        <v>251.02837890554883</v>
      </c>
      <c r="X93" s="379">
        <f t="shared" si="273"/>
        <v>102.76407965889683</v>
      </c>
      <c r="Z93" s="188">
        <f t="shared" si="189"/>
        <v>13.333333333333334</v>
      </c>
      <c r="AA93" s="150">
        <f t="shared" si="190"/>
        <v>2.3033985411188334</v>
      </c>
      <c r="AB93" s="150">
        <f t="shared" si="191"/>
        <v>0.18003137050838713</v>
      </c>
      <c r="AC93" s="150"/>
      <c r="AD93" s="150">
        <f t="shared" si="192"/>
        <v>2.3033985411188334</v>
      </c>
      <c r="AE93" s="314">
        <f t="shared" si="193"/>
        <v>613.51800192675773</v>
      </c>
      <c r="AF93" s="456">
        <f t="shared" si="194"/>
        <v>0.18003137050838713</v>
      </c>
      <c r="AH93" s="150">
        <f t="shared" si="195"/>
        <v>17.466157753400335</v>
      </c>
      <c r="AI93" s="150">
        <f t="shared" si="196"/>
        <v>31.900775660958491</v>
      </c>
      <c r="AJ93" s="150">
        <f t="shared" si="197"/>
        <v>14.953660983426042</v>
      </c>
      <c r="AL93" s="314">
        <f t="shared" si="198"/>
        <v>440</v>
      </c>
      <c r="AM93" s="144">
        <f t="shared" si="199"/>
        <v>102.76407965889683</v>
      </c>
      <c r="AO93">
        <f t="shared" si="274"/>
        <v>440</v>
      </c>
      <c r="AP93">
        <f t="shared" si="200"/>
        <v>102.76407965889683</v>
      </c>
      <c r="AR93" s="5">
        <f t="shared" si="275"/>
        <v>9.7310266711800857</v>
      </c>
      <c r="AS93" s="5">
        <f t="shared" si="201"/>
        <v>4.0200116623292637</v>
      </c>
      <c r="AT93" s="5">
        <f t="shared" si="276"/>
        <v>5.711015008850822</v>
      </c>
      <c r="AU93" s="150">
        <f t="shared" si="277"/>
        <v>0.41311279869729872</v>
      </c>
      <c r="AW93" s="5">
        <f t="shared" si="202"/>
        <v>1.0404736067205154</v>
      </c>
      <c r="AX93" s="5">
        <f t="shared" si="203"/>
        <v>14.740042761873967</v>
      </c>
      <c r="AY93" s="5">
        <f t="shared" si="204"/>
        <v>59.813395877275838</v>
      </c>
      <c r="AZ93" s="5"/>
      <c r="BA93" s="150">
        <f t="shared" si="278"/>
        <v>11.837907460271504</v>
      </c>
      <c r="BB93" s="150">
        <f t="shared" si="205"/>
        <v>0.65896974071888448</v>
      </c>
      <c r="BC93" s="150">
        <f t="shared" si="206"/>
        <v>0.62686919268754171</v>
      </c>
      <c r="BD93" s="150"/>
      <c r="BE93" s="456">
        <f t="shared" si="207"/>
        <v>0.47646258032903588</v>
      </c>
      <c r="BF93" s="456">
        <f t="shared" si="208"/>
        <v>1.6162977855323044</v>
      </c>
      <c r="BG93" s="456">
        <f t="shared" si="209"/>
        <v>5.6023727913061615E-2</v>
      </c>
      <c r="BH93" s="456">
        <f t="shared" si="210"/>
        <v>2.9831731998321072E-2</v>
      </c>
      <c r="BI93">
        <f t="shared" si="211"/>
        <v>5.3564579856642458E-3</v>
      </c>
      <c r="BJ93" s="144">
        <f t="shared" si="279"/>
        <v>61.380185898725863</v>
      </c>
      <c r="BK93">
        <f t="shared" si="212"/>
        <v>2.5386288422770118</v>
      </c>
      <c r="BL93" s="144">
        <f t="shared" si="280"/>
        <v>2538.6288422770117</v>
      </c>
      <c r="BM93" s="150">
        <f t="shared" si="213"/>
        <v>0.97625000000000006</v>
      </c>
      <c r="BN93" s="150">
        <f t="shared" si="214"/>
        <v>0.31240000000000001</v>
      </c>
      <c r="BO93" s="456"/>
      <c r="BQ93" s="144">
        <f t="shared" si="281"/>
        <v>1288.6500000000001</v>
      </c>
      <c r="BR93" s="456">
        <f t="shared" si="215"/>
        <v>0.2102040795569276</v>
      </c>
      <c r="BS93" s="456">
        <f t="shared" si="216"/>
        <v>8.6848223836622773E-2</v>
      </c>
      <c r="BT93" s="456">
        <f t="shared" si="217"/>
        <v>1.1788949542221908E-2</v>
      </c>
      <c r="BU93" s="456">
        <f t="shared" si="218"/>
        <v>30.766383879334114</v>
      </c>
      <c r="BV93" s="456">
        <f t="shared" si="219"/>
        <v>31.938460157115497</v>
      </c>
      <c r="BW93" s="538">
        <f t="shared" si="220"/>
        <v>0.10457884066691082</v>
      </c>
      <c r="BX93" s="144">
        <f t="shared" si="282"/>
        <v>32043.038997782409</v>
      </c>
      <c r="BY93" s="150">
        <f t="shared" si="283"/>
        <v>35.870317840059421</v>
      </c>
      <c r="BZ93" s="5">
        <f t="shared" si="284"/>
        <v>80.08</v>
      </c>
      <c r="CA93" s="150">
        <f t="shared" si="285"/>
        <v>0.69064062515517599</v>
      </c>
      <c r="CB93" s="5">
        <f t="shared" si="286"/>
        <v>69.064062515517605</v>
      </c>
      <c r="CC93">
        <f t="shared" si="287"/>
        <v>88</v>
      </c>
      <c r="CE93" s="59">
        <f t="shared" si="221"/>
        <v>-50</v>
      </c>
      <c r="CF93">
        <f t="shared" si="222"/>
        <v>-50</v>
      </c>
      <c r="CG93" s="150">
        <f t="shared" si="223"/>
        <v>0.56766977275315589</v>
      </c>
      <c r="CH93" s="150">
        <f t="shared" si="224"/>
        <v>0.15382552837714242</v>
      </c>
      <c r="CI93" s="147">
        <v>88</v>
      </c>
      <c r="CJ93" s="188">
        <f t="shared" si="309"/>
        <v>0.44</v>
      </c>
      <c r="CK93" s="188">
        <f t="shared" si="288"/>
        <v>0.44</v>
      </c>
      <c r="CL93" s="188">
        <f t="shared" si="225"/>
        <v>74.8</v>
      </c>
      <c r="CM93" s="188">
        <f t="shared" si="310"/>
        <v>5.28</v>
      </c>
      <c r="CN93" s="465">
        <f t="shared" si="289"/>
        <v>12</v>
      </c>
      <c r="CO93" s="379">
        <f t="shared" si="226"/>
        <v>8.625</v>
      </c>
      <c r="CP93" s="379">
        <f t="shared" si="227"/>
        <v>20.625</v>
      </c>
      <c r="CQ93" s="379"/>
      <c r="CR93" s="188">
        <f t="shared" si="228"/>
        <v>0.4156318480642805</v>
      </c>
      <c r="CS93" s="149">
        <f t="shared" si="290"/>
        <v>155.29102015588504</v>
      </c>
      <c r="CT93" s="149">
        <f t="shared" si="229"/>
        <v>10.961719069827179</v>
      </c>
      <c r="CU93" s="188">
        <f t="shared" si="230"/>
        <v>0.91347658915226493</v>
      </c>
      <c r="CV93" s="188">
        <f t="shared" si="231"/>
        <v>12.940918346323754</v>
      </c>
      <c r="CW93" s="379">
        <f t="shared" si="232"/>
        <v>170</v>
      </c>
      <c r="CX93" s="188">
        <f t="shared" si="233"/>
        <v>32.111751611013474</v>
      </c>
      <c r="CY93" s="188">
        <f t="shared" si="234"/>
        <v>4.0139689513766843</v>
      </c>
      <c r="CZ93" s="188">
        <f t="shared" si="235"/>
        <v>5.5846524540892997</v>
      </c>
      <c r="DA93" s="172">
        <f t="shared" si="236"/>
        <v>250.90909090909091</v>
      </c>
      <c r="DB93" s="379">
        <f t="shared" si="291"/>
        <v>104.18162752315087</v>
      </c>
      <c r="DD93" s="188">
        <f t="shared" si="237"/>
        <v>13.333333333333332</v>
      </c>
      <c r="DE93" s="150">
        <f t="shared" si="238"/>
        <v>2.318840579710145</v>
      </c>
      <c r="DF93" s="150">
        <f t="shared" si="239"/>
        <v>0.18115218115218115</v>
      </c>
      <c r="DG93" s="150"/>
      <c r="DH93" s="150">
        <f t="shared" si="240"/>
        <v>2.3188405797101455</v>
      </c>
      <c r="DI93" s="314">
        <f t="shared" si="241"/>
        <v>609.43235294117619</v>
      </c>
      <c r="DJ93" s="456">
        <f t="shared" si="242"/>
        <v>0.18115218115218121</v>
      </c>
      <c r="DL93" s="150">
        <f t="shared" si="243"/>
        <v>17.466157753400335</v>
      </c>
      <c r="DM93" s="150">
        <f t="shared" si="244"/>
        <v>32.111751611013474</v>
      </c>
      <c r="DN93" s="150">
        <f t="shared" si="245"/>
        <v>15.109939464948249</v>
      </c>
      <c r="DP93" s="314">
        <f t="shared" si="246"/>
        <v>440</v>
      </c>
      <c r="DQ93" s="144">
        <f t="shared" si="247"/>
        <v>104.18162752315087</v>
      </c>
      <c r="DS93">
        <f>IF(CL93&gt;CS93, "",DP93)</f>
        <v>440</v>
      </c>
      <c r="DT93">
        <f>IF(CL93&gt;CS93, "",DQ93)</f>
        <v>104.18162752315087</v>
      </c>
      <c r="DV93" s="5">
        <f t="shared" si="293"/>
        <v>9.598621405465984</v>
      </c>
      <c r="DW93" s="5">
        <f t="shared" si="249"/>
        <v>4.0139689513766843</v>
      </c>
      <c r="DX93" s="5">
        <f t="shared" si="294"/>
        <v>5.5846524540892997</v>
      </c>
      <c r="DY93" s="150">
        <f t="shared" si="295"/>
        <v>0.41818181818181821</v>
      </c>
      <c r="EA93" s="5">
        <f t="shared" si="250"/>
        <v>1.0389096109445537</v>
      </c>
      <c r="EB93" s="5">
        <f t="shared" si="251"/>
        <v>14.717886155047841</v>
      </c>
      <c r="EC93" s="5">
        <f t="shared" si="252"/>
        <v>58.018333828594379</v>
      </c>
      <c r="ED93" s="5"/>
      <c r="EE93" s="150">
        <f t="shared" si="296"/>
        <v>11.989082307522555</v>
      </c>
      <c r="EF93" s="150">
        <f t="shared" si="253"/>
        <v>0.66045700471855584</v>
      </c>
      <c r="EG93" s="150">
        <f t="shared" si="254"/>
        <v>0.62828400724605271</v>
      </c>
      <c r="EH93" s="150"/>
      <c r="EI93" s="456">
        <f t="shared" si="255"/>
        <v>0.48870952156027114</v>
      </c>
      <c r="EJ93" s="456">
        <f t="shared" si="256"/>
        <v>2.0975999999999999</v>
      </c>
      <c r="EK93" s="456">
        <f t="shared" si="257"/>
        <v>2.3857592702801547E-2</v>
      </c>
      <c r="EL93" s="456">
        <f t="shared" si="258"/>
        <v>3.0357753037229387E-2</v>
      </c>
      <c r="EM93">
        <f t="shared" si="259"/>
        <v>5.4000000000000003E-3</v>
      </c>
      <c r="EN93" s="144">
        <f t="shared" si="297"/>
        <v>29.257592702801546</v>
      </c>
      <c r="EO93">
        <f t="shared" si="260"/>
        <v>3.1428114803540854</v>
      </c>
      <c r="EP93" s="144">
        <f t="shared" si="298"/>
        <v>3142.8114803540852</v>
      </c>
      <c r="EQ93" s="150">
        <f t="shared" si="261"/>
        <v>0.97625000000000006</v>
      </c>
      <c r="ER93" s="150">
        <f t="shared" si="262"/>
        <v>0.31240000000000001</v>
      </c>
      <c r="ES93" s="456"/>
      <c r="EU93" s="144">
        <f t="shared" si="299"/>
        <v>1288.6500000000001</v>
      </c>
      <c r="EV93" s="456">
        <f t="shared" si="263"/>
        <v>0.21560714186482552</v>
      </c>
      <c r="EW93" s="456">
        <f t="shared" si="300"/>
        <v>8.7240691016361296E-2</v>
      </c>
      <c r="EX93" s="456">
        <f t="shared" si="264"/>
        <v>1.1842223812834739E-2</v>
      </c>
      <c r="EY93" s="456">
        <f t="shared" si="265"/>
        <v>32.367401730078967</v>
      </c>
      <c r="EZ93" s="456">
        <f t="shared" si="266"/>
        <v>33.603594771890684</v>
      </c>
      <c r="FA93" s="538">
        <f t="shared" si="267"/>
        <v>0.10742840538957235</v>
      </c>
      <c r="FB93" s="144">
        <f t="shared" si="301"/>
        <v>33711.023177280251</v>
      </c>
      <c r="FC93" s="150">
        <f t="shared" si="302"/>
        <v>38.142484657634341</v>
      </c>
      <c r="FD93" s="5">
        <f t="shared" si="303"/>
        <v>80.08</v>
      </c>
      <c r="FE93" s="150">
        <f t="shared" si="304"/>
        <v>0.6773669174007565</v>
      </c>
      <c r="FF93" s="5">
        <f t="shared" si="305"/>
        <v>67.736691740075656</v>
      </c>
      <c r="FG93">
        <f t="shared" si="306"/>
        <v>88</v>
      </c>
      <c r="FI93" s="59">
        <f t="shared" si="268"/>
        <v>-50</v>
      </c>
      <c r="FJ93">
        <f t="shared" si="269"/>
        <v>-50</v>
      </c>
      <c r="FL93">
        <f t="shared" si="270"/>
        <v>0.56766977275315589</v>
      </c>
    </row>
    <row r="94" spans="5:168">
      <c r="E94" s="147">
        <v>89</v>
      </c>
      <c r="F94" s="188">
        <f t="shared" si="307"/>
        <v>0.44500000000000001</v>
      </c>
      <c r="G94" s="188">
        <f t="shared" si="271"/>
        <v>0.44500000000000001</v>
      </c>
      <c r="H94" s="188">
        <f t="shared" si="176"/>
        <v>75.650000000000006</v>
      </c>
      <c r="I94" s="188">
        <f t="shared" si="308"/>
        <v>5.34</v>
      </c>
      <c r="J94" s="465">
        <f t="shared" si="177"/>
        <v>11.902140422326209</v>
      </c>
      <c r="K94" s="379">
        <f t="shared" si="178"/>
        <v>8.6834792756030392</v>
      </c>
      <c r="L94" s="149">
        <f t="shared" si="179"/>
        <v>20.585619697929246</v>
      </c>
      <c r="M94" s="379"/>
      <c r="N94" s="188">
        <f t="shared" si="180"/>
        <v>0.4218225830955446</v>
      </c>
      <c r="O94" s="149">
        <f t="shared" si="272"/>
        <v>156.31878661959001</v>
      </c>
      <c r="P94" s="149">
        <f t="shared" si="181"/>
        <v>11.03426729079459</v>
      </c>
      <c r="Q94" s="188">
        <f t="shared" si="182"/>
        <v>0.91952227423288246</v>
      </c>
      <c r="R94" s="188">
        <f t="shared" si="183"/>
        <v>13.026565551632501</v>
      </c>
      <c r="S94" s="379">
        <f t="shared" si="184"/>
        <v>170</v>
      </c>
      <c r="T94" s="188">
        <f t="shared" si="185"/>
        <v>32.263129994775042</v>
      </c>
      <c r="U94" s="188">
        <f t="shared" si="186"/>
        <v>4.0660497418920629</v>
      </c>
      <c r="V94" s="188">
        <f t="shared" si="187"/>
        <v>5.5731917421777588</v>
      </c>
      <c r="W94" s="172">
        <f t="shared" si="188"/>
        <v>251.0295808655768</v>
      </c>
      <c r="X94" s="379">
        <f t="shared" si="273"/>
        <v>101.63385070069127</v>
      </c>
      <c r="Z94" s="188">
        <f t="shared" si="189"/>
        <v>13.333333333333334</v>
      </c>
      <c r="AA94" s="150">
        <f t="shared" si="190"/>
        <v>2.3032242451699831</v>
      </c>
      <c r="AB94" s="150">
        <f t="shared" si="191"/>
        <v>0.18001860965889638</v>
      </c>
      <c r="AC94" s="150"/>
      <c r="AD94" s="150">
        <f t="shared" si="192"/>
        <v>2.3032242451699831</v>
      </c>
      <c r="AE94" s="314">
        <f t="shared" si="193"/>
        <v>620.53675282154995</v>
      </c>
      <c r="AF94" s="456">
        <f t="shared" si="194"/>
        <v>0.18001860965889638</v>
      </c>
      <c r="AH94" s="150">
        <f t="shared" si="195"/>
        <v>17.565116946190063</v>
      </c>
      <c r="AI94" s="150">
        <f t="shared" si="196"/>
        <v>32.263129994775042</v>
      </c>
      <c r="AJ94" s="150">
        <f t="shared" si="197"/>
        <v>15.222071601067929</v>
      </c>
      <c r="AL94" s="314">
        <f t="shared" si="198"/>
        <v>445</v>
      </c>
      <c r="AM94" s="144">
        <f t="shared" si="199"/>
        <v>101.63385070069127</v>
      </c>
      <c r="AO94">
        <f t="shared" si="274"/>
        <v>445</v>
      </c>
      <c r="AP94">
        <f t="shared" si="200"/>
        <v>101.63385070069127</v>
      </c>
      <c r="AR94" s="5">
        <f t="shared" si="275"/>
        <v>9.8392414840698201</v>
      </c>
      <c r="AS94" s="5">
        <f t="shared" si="201"/>
        <v>4.0660497418920629</v>
      </c>
      <c r="AT94" s="5">
        <f t="shared" si="276"/>
        <v>5.7731917421777572</v>
      </c>
      <c r="AU94" s="150">
        <f t="shared" si="277"/>
        <v>0.41324829240904215</v>
      </c>
      <c r="AW94" s="5">
        <f t="shared" si="202"/>
        <v>1.0643483147893931</v>
      </c>
      <c r="AX94" s="5">
        <f t="shared" si="203"/>
        <v>15.078267792849733</v>
      </c>
      <c r="AY94" s="5">
        <f t="shared" si="204"/>
        <v>61.15734086457541</v>
      </c>
      <c r="AZ94" s="5"/>
      <c r="BA94" s="150">
        <f t="shared" si="278"/>
        <v>11.974335012951595</v>
      </c>
      <c r="BB94" s="150">
        <f t="shared" si="205"/>
        <v>0.66637790602149471</v>
      </c>
      <c r="BC94" s="150">
        <f t="shared" si="206"/>
        <v>0.6339164822906681</v>
      </c>
      <c r="BD94" s="150"/>
      <c r="BE94" s="456">
        <f t="shared" si="207"/>
        <v>0.48750797660815487</v>
      </c>
      <c r="BF94" s="456">
        <f t="shared" si="208"/>
        <v>1.6166438016214559</v>
      </c>
      <c r="BG94" s="456">
        <f t="shared" si="209"/>
        <v>5.5402444611722494E-2</v>
      </c>
      <c r="BH94" s="456">
        <f t="shared" si="210"/>
        <v>2.9502365729939875E-2</v>
      </c>
      <c r="BI94">
        <f t="shared" si="211"/>
        <v>5.3559631900467934E-3</v>
      </c>
      <c r="BJ94" s="144">
        <f t="shared" si="279"/>
        <v>60.758407801769287</v>
      </c>
      <c r="BK94">
        <f t="shared" si="212"/>
        <v>2.5620481958733605</v>
      </c>
      <c r="BL94" s="144">
        <f t="shared" si="280"/>
        <v>2562.0481958733603</v>
      </c>
      <c r="BM94" s="150">
        <f t="shared" si="213"/>
        <v>0.98734374999999996</v>
      </c>
      <c r="BN94" s="150">
        <f t="shared" si="214"/>
        <v>0.31595000000000001</v>
      </c>
      <c r="BO94" s="456"/>
      <c r="BQ94" s="144">
        <f t="shared" si="281"/>
        <v>1303.2937499999998</v>
      </c>
      <c r="BR94" s="456">
        <f t="shared" si="215"/>
        <v>0.21507704850359774</v>
      </c>
      <c r="BS94" s="456">
        <f t="shared" si="216"/>
        <v>8.8811902726718406E-2</v>
      </c>
      <c r="BT94" s="456">
        <f t="shared" si="217"/>
        <v>1.2055503195593247E-2</v>
      </c>
      <c r="BU94" s="456">
        <f t="shared" si="218"/>
        <v>30.784506820244381</v>
      </c>
      <c r="BV94" s="456">
        <f t="shared" si="219"/>
        <v>31.984709265234578</v>
      </c>
      <c r="BW94" s="538">
        <f t="shared" si="220"/>
        <v>0.10579164651513365</v>
      </c>
      <c r="BX94" s="144">
        <f t="shared" si="282"/>
        <v>32090.500911749714</v>
      </c>
      <c r="BY94" s="150">
        <f t="shared" si="283"/>
        <v>35.955842857623075</v>
      </c>
      <c r="BZ94" s="5">
        <f t="shared" si="284"/>
        <v>80.990000000000009</v>
      </c>
      <c r="CA94" s="150">
        <f t="shared" si="285"/>
        <v>0.69254278750722342</v>
      </c>
      <c r="CB94" s="5">
        <f t="shared" si="286"/>
        <v>69.254278750722335</v>
      </c>
      <c r="CC94">
        <f t="shared" si="287"/>
        <v>89</v>
      </c>
      <c r="CE94" s="59">
        <f t="shared" si="221"/>
        <v>-50</v>
      </c>
      <c r="CF94">
        <f t="shared" si="222"/>
        <v>-50</v>
      </c>
      <c r="CG94" s="150">
        <f t="shared" si="223"/>
        <v>0.56766977275315578</v>
      </c>
      <c r="CH94" s="150">
        <f t="shared" si="224"/>
        <v>0.15382552837714239</v>
      </c>
      <c r="CI94" s="147">
        <v>89</v>
      </c>
      <c r="CJ94" s="188">
        <f t="shared" si="309"/>
        <v>0.44500000000000001</v>
      </c>
      <c r="CK94" s="188">
        <f t="shared" si="288"/>
        <v>0.44500000000000001</v>
      </c>
      <c r="CL94" s="188">
        <f t="shared" si="225"/>
        <v>75.650000000000006</v>
      </c>
      <c r="CM94" s="188">
        <f t="shared" si="310"/>
        <v>5.34</v>
      </c>
      <c r="CN94" s="465">
        <f t="shared" si="289"/>
        <v>12</v>
      </c>
      <c r="CO94" s="379">
        <f t="shared" si="226"/>
        <v>8.625</v>
      </c>
      <c r="CP94" s="379">
        <f t="shared" si="227"/>
        <v>20.625</v>
      </c>
      <c r="CQ94" s="379"/>
      <c r="CR94" s="188">
        <f t="shared" si="228"/>
        <v>0.4156318480642805</v>
      </c>
      <c r="CS94" s="149">
        <f t="shared" si="290"/>
        <v>155.29102015588504</v>
      </c>
      <c r="CT94" s="149">
        <f t="shared" si="229"/>
        <v>10.961719069827179</v>
      </c>
      <c r="CU94" s="188">
        <f t="shared" si="230"/>
        <v>0.91347658915226493</v>
      </c>
      <c r="CV94" s="188">
        <f t="shared" si="231"/>
        <v>12.940918346323754</v>
      </c>
      <c r="CW94" s="379">
        <f t="shared" si="232"/>
        <v>170</v>
      </c>
      <c r="CX94" s="188">
        <f t="shared" si="233"/>
        <v>32.476657879320449</v>
      </c>
      <c r="CY94" s="188">
        <f t="shared" si="234"/>
        <v>4.0595822349150561</v>
      </c>
      <c r="CZ94" s="188">
        <f t="shared" si="235"/>
        <v>5.6481144137948602</v>
      </c>
      <c r="DA94" s="172">
        <f t="shared" si="236"/>
        <v>250.90909090909091</v>
      </c>
      <c r="DB94" s="379">
        <f t="shared" si="291"/>
        <v>103.01104743862108</v>
      </c>
      <c r="DD94" s="188">
        <f t="shared" si="237"/>
        <v>13.333333333333332</v>
      </c>
      <c r="DE94" s="150">
        <f t="shared" si="238"/>
        <v>2.318840579710145</v>
      </c>
      <c r="DF94" s="150">
        <f t="shared" si="239"/>
        <v>0.18115218115218115</v>
      </c>
      <c r="DG94" s="150"/>
      <c r="DH94" s="150">
        <f t="shared" si="240"/>
        <v>2.3188405797101455</v>
      </c>
      <c r="DI94" s="314">
        <f t="shared" si="241"/>
        <v>616.357720588235</v>
      </c>
      <c r="DJ94" s="456">
        <f t="shared" si="242"/>
        <v>0.18115218115218121</v>
      </c>
      <c r="DL94" s="150">
        <f t="shared" si="243"/>
        <v>17.565116946190063</v>
      </c>
      <c r="DM94" s="150">
        <f t="shared" si="244"/>
        <v>32.476657879320449</v>
      </c>
      <c r="DN94" s="150">
        <f t="shared" si="245"/>
        <v>15.380240404434897</v>
      </c>
      <c r="DP94" s="314">
        <f t="shared" si="246"/>
        <v>445</v>
      </c>
      <c r="DQ94" s="144">
        <f t="shared" si="247"/>
        <v>103.01104743862108</v>
      </c>
      <c r="DS94">
        <f>IF(CL94&gt;CS94, "",DP94)</f>
        <v>445</v>
      </c>
      <c r="DT94">
        <f>IF(CL94&gt;CS94, "",DQ94)</f>
        <v>103.01104743862108</v>
      </c>
      <c r="DV94" s="5">
        <f t="shared" si="293"/>
        <v>9.7076966487099163</v>
      </c>
      <c r="DW94" s="5">
        <f t="shared" si="249"/>
        <v>4.0595822349150561</v>
      </c>
      <c r="DX94" s="5">
        <f t="shared" si="294"/>
        <v>5.6481144137948602</v>
      </c>
      <c r="DY94" s="150">
        <f t="shared" si="295"/>
        <v>0.41818181818181821</v>
      </c>
      <c r="EA94" s="5">
        <f t="shared" si="250"/>
        <v>1.0626553497277649</v>
      </c>
      <c r="EB94" s="5">
        <f t="shared" si="251"/>
        <v>15.054284121143334</v>
      </c>
      <c r="EC94" s="5">
        <f t="shared" si="252"/>
        <v>59.344424361608496</v>
      </c>
      <c r="ED94" s="5"/>
      <c r="EE94" s="150">
        <f t="shared" si="296"/>
        <v>12.12532187919895</v>
      </c>
      <c r="EF94" s="150">
        <f t="shared" si="253"/>
        <v>0.66796219795399403</v>
      </c>
      <c r="EG94" s="150">
        <f t="shared" si="254"/>
        <v>0.63542359823748507</v>
      </c>
      <c r="EH94" s="150"/>
      <c r="EI94" s="456">
        <f t="shared" si="255"/>
        <v>0.49987966429221453</v>
      </c>
      <c r="EJ94" s="456">
        <f t="shared" si="256"/>
        <v>2.0976000000000004</v>
      </c>
      <c r="EK94" s="456">
        <f t="shared" si="257"/>
        <v>2.3589529863444224E-2</v>
      </c>
      <c r="EL94" s="456">
        <f t="shared" si="258"/>
        <v>3.0016654688496472E-2</v>
      </c>
      <c r="EM94">
        <f t="shared" si="259"/>
        <v>5.4000000000000003E-3</v>
      </c>
      <c r="EN94" s="144">
        <f t="shared" si="297"/>
        <v>28.989529863444226</v>
      </c>
      <c r="EO94">
        <f t="shared" si="260"/>
        <v>3.1676836002503292</v>
      </c>
      <c r="EP94" s="144">
        <f t="shared" si="298"/>
        <v>3167.6836002503292</v>
      </c>
      <c r="EQ94" s="150">
        <f t="shared" si="261"/>
        <v>0.98734374999999996</v>
      </c>
      <c r="ER94" s="150">
        <f t="shared" si="262"/>
        <v>0.31595000000000001</v>
      </c>
      <c r="ES94" s="456"/>
      <c r="EU94" s="144">
        <f t="shared" si="299"/>
        <v>1303.2937499999998</v>
      </c>
      <c r="EV94" s="456">
        <f t="shared" si="263"/>
        <v>0.22053514601127114</v>
      </c>
      <c r="EW94" s="456">
        <f t="shared" si="300"/>
        <v>8.9234699579106139E-2</v>
      </c>
      <c r="EX94" s="456">
        <f t="shared" si="264"/>
        <v>1.2112894475912185E-2</v>
      </c>
      <c r="EY94" s="456">
        <f t="shared" si="265"/>
        <v>32.367401730078967</v>
      </c>
      <c r="EZ94" s="456">
        <f t="shared" si="266"/>
        <v>33.63259651346501</v>
      </c>
      <c r="FA94" s="538">
        <f t="shared" si="267"/>
        <v>0.10864918272354482</v>
      </c>
      <c r="FB94" s="144">
        <f t="shared" si="301"/>
        <v>33741.245696188555</v>
      </c>
      <c r="FC94" s="150">
        <f t="shared" si="302"/>
        <v>38.212223046438886</v>
      </c>
      <c r="FD94" s="5">
        <f t="shared" si="303"/>
        <v>80.990000000000009</v>
      </c>
      <c r="FE94" s="150">
        <f t="shared" si="304"/>
        <v>0.67943363747878982</v>
      </c>
      <c r="FF94" s="5">
        <f t="shared" si="305"/>
        <v>67.943363747878976</v>
      </c>
      <c r="FG94">
        <f t="shared" si="306"/>
        <v>89</v>
      </c>
      <c r="FI94" s="59">
        <f t="shared" si="268"/>
        <v>-50</v>
      </c>
      <c r="FJ94">
        <f t="shared" si="269"/>
        <v>-50</v>
      </c>
      <c r="FL94">
        <f t="shared" si="270"/>
        <v>0.56766977275315578</v>
      </c>
    </row>
    <row r="95" spans="5:168">
      <c r="E95" s="147">
        <v>90</v>
      </c>
      <c r="F95" s="188">
        <f t="shared" si="307"/>
        <v>0.45</v>
      </c>
      <c r="G95" s="188">
        <f t="shared" si="271"/>
        <v>0.45</v>
      </c>
      <c r="H95" s="188">
        <f t="shared" si="176"/>
        <v>76.5</v>
      </c>
      <c r="I95" s="188">
        <f t="shared" si="308"/>
        <v>5.4</v>
      </c>
      <c r="J95" s="465">
        <f t="shared" si="177"/>
        <v>11.901040876509649</v>
      </c>
      <c r="K95" s="379">
        <f t="shared" si="178"/>
        <v>8.6841363461154337</v>
      </c>
      <c r="L95" s="149">
        <f t="shared" si="179"/>
        <v>20.585177222625084</v>
      </c>
      <c r="M95" s="379"/>
      <c r="N95" s="188">
        <f t="shared" si="180"/>
        <v>0.42186356970348232</v>
      </c>
      <c r="O95" s="149">
        <f t="shared" si="272"/>
        <v>156.31953293951312</v>
      </c>
      <c r="P95" s="149">
        <f t="shared" si="181"/>
        <v>11.034319972200926</v>
      </c>
      <c r="Q95" s="188">
        <f t="shared" si="182"/>
        <v>0.91952666435007724</v>
      </c>
      <c r="R95" s="188">
        <f t="shared" si="183"/>
        <v>13.026627744959427</v>
      </c>
      <c r="S95" s="379">
        <f t="shared" si="184"/>
        <v>170</v>
      </c>
      <c r="T95" s="188">
        <f t="shared" si="185"/>
        <v>32.625481308042389</v>
      </c>
      <c r="U95" s="188">
        <f t="shared" si="186"/>
        <v>4.1120959477299293</v>
      </c>
      <c r="V95" s="188">
        <f t="shared" si="187"/>
        <v>5.6353585447739434</v>
      </c>
      <c r="W95" s="172">
        <f t="shared" si="188"/>
        <v>251.03077936757106</v>
      </c>
      <c r="X95" s="379">
        <f t="shared" si="273"/>
        <v>100.52823068992902</v>
      </c>
      <c r="Z95" s="188">
        <f t="shared" si="189"/>
        <v>13.333333333333334</v>
      </c>
      <c r="AA95" s="150">
        <f t="shared" si="190"/>
        <v>2.3030499755967502</v>
      </c>
      <c r="AB95" s="150">
        <f t="shared" si="191"/>
        <v>0.18000584826082056</v>
      </c>
      <c r="AC95" s="150"/>
      <c r="AD95" s="150">
        <f t="shared" si="192"/>
        <v>2.3030499755967502</v>
      </c>
      <c r="AE95" s="314">
        <f t="shared" si="193"/>
        <v>627.55655889428272</v>
      </c>
      <c r="AF95" s="456">
        <f t="shared" si="194"/>
        <v>0.18000584826082058</v>
      </c>
      <c r="AH95" s="150">
        <f t="shared" si="195"/>
        <v>17.663521732655695</v>
      </c>
      <c r="AI95" s="150">
        <f t="shared" si="196"/>
        <v>32.625481308042389</v>
      </c>
      <c r="AJ95" s="150">
        <f t="shared" si="197"/>
        <v>15.490479981265963</v>
      </c>
      <c r="AL95" s="314">
        <f t="shared" si="198"/>
        <v>450</v>
      </c>
      <c r="AM95" s="144">
        <f t="shared" si="199"/>
        <v>100.52823068992902</v>
      </c>
      <c r="AO95">
        <f t="shared" si="274"/>
        <v>450</v>
      </c>
      <c r="AP95">
        <f t="shared" si="200"/>
        <v>100.52823068992902</v>
      </c>
      <c r="AR95" s="5">
        <f t="shared" si="275"/>
        <v>9.9474544925038728</v>
      </c>
      <c r="AS95" s="5">
        <f t="shared" si="201"/>
        <v>4.1120959477299293</v>
      </c>
      <c r="AT95" s="5">
        <f t="shared" si="276"/>
        <v>5.8353585447739436</v>
      </c>
      <c r="AU95" s="150">
        <f t="shared" si="277"/>
        <v>0.4133817300525166</v>
      </c>
      <c r="AW95" s="5">
        <f t="shared" si="202"/>
        <v>1.0884959861638048</v>
      </c>
      <c r="AX95" s="5">
        <f t="shared" si="203"/>
        <v>15.420359803987234</v>
      </c>
      <c r="AY95" s="5">
        <f t="shared" si="204"/>
        <v>62.516230485957394</v>
      </c>
      <c r="AZ95" s="5"/>
      <c r="BA95" s="150">
        <f t="shared" si="278"/>
        <v>12.110775099166327</v>
      </c>
      <c r="BB95" s="150">
        <f t="shared" si="205"/>
        <v>0.6737854525804079</v>
      </c>
      <c r="BC95" s="150">
        <f t="shared" si="206"/>
        <v>0.64096318329110491</v>
      </c>
      <c r="BD95" s="150"/>
      <c r="BE95" s="456">
        <f t="shared" si="207"/>
        <v>0.49868096990879635</v>
      </c>
      <c r="BF95" s="456">
        <f t="shared" si="208"/>
        <v>1.6169816609037013</v>
      </c>
      <c r="BG95" s="456">
        <f t="shared" si="209"/>
        <v>5.4794688686928897E-2</v>
      </c>
      <c r="BH95" s="456">
        <f t="shared" si="210"/>
        <v>2.9180170897012185E-2</v>
      </c>
      <c r="BI95">
        <f t="shared" si="211"/>
        <v>5.355468394429342E-3</v>
      </c>
      <c r="BJ95" s="144">
        <f t="shared" si="279"/>
        <v>60.150157081358238</v>
      </c>
      <c r="BK95">
        <f t="shared" si="212"/>
        <v>2.5858786259830269</v>
      </c>
      <c r="BL95" s="144">
        <f t="shared" si="280"/>
        <v>2585.8786259830267</v>
      </c>
      <c r="BM95" s="150">
        <f t="shared" si="213"/>
        <v>0.99843749999999998</v>
      </c>
      <c r="BN95" s="150">
        <f t="shared" si="214"/>
        <v>0.31950000000000001</v>
      </c>
      <c r="BO95" s="456"/>
      <c r="BQ95" s="144">
        <f t="shared" si="281"/>
        <v>1317.9375</v>
      </c>
      <c r="BR95" s="456">
        <f t="shared" si="215"/>
        <v>0.22000631025388076</v>
      </c>
      <c r="BS95" s="456">
        <f t="shared" si="216"/>
        <v>9.0797367221797029E-2</v>
      </c>
      <c r="BT95" s="456">
        <f t="shared" si="217"/>
        <v>1.2325014070039995E-2</v>
      </c>
      <c r="BU95" s="456">
        <f t="shared" si="218"/>
        <v>30.802248490742919</v>
      </c>
      <c r="BV95" s="456">
        <f t="shared" si="219"/>
        <v>32.030937255815992</v>
      </c>
      <c r="BW95" s="538">
        <f t="shared" si="220"/>
        <v>0.10700446344173201</v>
      </c>
      <c r="BX95" s="144">
        <f t="shared" si="282"/>
        <v>32137.941719257724</v>
      </c>
      <c r="BY95" s="150">
        <f t="shared" si="283"/>
        <v>36.041757845240753</v>
      </c>
      <c r="BZ95" s="5">
        <f t="shared" si="284"/>
        <v>81.900000000000006</v>
      </c>
      <c r="CA95" s="150">
        <f t="shared" si="285"/>
        <v>0.69441054208693798</v>
      </c>
      <c r="CB95" s="5">
        <f t="shared" si="286"/>
        <v>69.441054208693799</v>
      </c>
      <c r="CC95">
        <f t="shared" si="287"/>
        <v>90</v>
      </c>
      <c r="CE95" s="59">
        <f t="shared" si="221"/>
        <v>-50</v>
      </c>
      <c r="CF95">
        <f t="shared" si="222"/>
        <v>-50</v>
      </c>
      <c r="CG95" s="150">
        <f t="shared" si="223"/>
        <v>0.56766977275315589</v>
      </c>
      <c r="CH95" s="150">
        <f t="shared" si="224"/>
        <v>0.15382552837714242</v>
      </c>
      <c r="CI95" s="147">
        <v>90</v>
      </c>
      <c r="CJ95" s="188">
        <f t="shared" si="309"/>
        <v>0.45</v>
      </c>
      <c r="CK95" s="188">
        <f t="shared" si="288"/>
        <v>0.45</v>
      </c>
      <c r="CL95" s="188">
        <f t="shared" si="225"/>
        <v>76.5</v>
      </c>
      <c r="CM95" s="188">
        <f t="shared" si="310"/>
        <v>5.4</v>
      </c>
      <c r="CN95" s="465">
        <f t="shared" si="289"/>
        <v>12</v>
      </c>
      <c r="CO95" s="379">
        <f t="shared" si="226"/>
        <v>8.625</v>
      </c>
      <c r="CP95" s="379">
        <f t="shared" si="227"/>
        <v>20.625</v>
      </c>
      <c r="CQ95" s="379"/>
      <c r="CR95" s="188">
        <f t="shared" si="228"/>
        <v>0.4156318480642805</v>
      </c>
      <c r="CS95" s="149">
        <f t="shared" si="290"/>
        <v>155.29102015588504</v>
      </c>
      <c r="CT95" s="149">
        <f t="shared" si="229"/>
        <v>10.961719069827179</v>
      </c>
      <c r="CU95" s="188">
        <f t="shared" si="230"/>
        <v>0.91347658915226493</v>
      </c>
      <c r="CV95" s="188">
        <f t="shared" si="231"/>
        <v>12.940918346323754</v>
      </c>
      <c r="CW95" s="379">
        <f t="shared" si="232"/>
        <v>170</v>
      </c>
      <c r="CX95" s="188">
        <f t="shared" si="233"/>
        <v>32.841564147627416</v>
      </c>
      <c r="CY95" s="188">
        <f t="shared" si="234"/>
        <v>4.105195518453427</v>
      </c>
      <c r="CZ95" s="188">
        <f t="shared" si="235"/>
        <v>5.7115763735004208</v>
      </c>
      <c r="DA95" s="172">
        <f t="shared" si="236"/>
        <v>250.90909090909091</v>
      </c>
      <c r="DB95" s="379">
        <f t="shared" si="291"/>
        <v>101.86648024485862</v>
      </c>
      <c r="DD95" s="188">
        <f t="shared" si="237"/>
        <v>13.333333333333332</v>
      </c>
      <c r="DE95" s="150">
        <f t="shared" si="238"/>
        <v>2.318840579710145</v>
      </c>
      <c r="DF95" s="150">
        <f t="shared" si="239"/>
        <v>0.18115218115218115</v>
      </c>
      <c r="DG95" s="150"/>
      <c r="DH95" s="150">
        <f t="shared" si="240"/>
        <v>2.3188405797101455</v>
      </c>
      <c r="DI95" s="314">
        <f t="shared" si="241"/>
        <v>623.28308823529392</v>
      </c>
      <c r="DJ95" s="456">
        <f t="shared" si="242"/>
        <v>0.18115218115218121</v>
      </c>
      <c r="DL95" s="150">
        <f t="shared" si="243"/>
        <v>17.663521732655695</v>
      </c>
      <c r="DM95" s="150">
        <f t="shared" si="244"/>
        <v>32.841564147627416</v>
      </c>
      <c r="DN95" s="150">
        <f t="shared" si="245"/>
        <v>15.650541343921541</v>
      </c>
      <c r="DP95" s="314">
        <f t="shared" si="246"/>
        <v>450</v>
      </c>
      <c r="DQ95" s="144">
        <f t="shared" si="247"/>
        <v>101.86648024485862</v>
      </c>
      <c r="DS95">
        <f>IF(CL95&gt;CS95, "",DP95)</f>
        <v>450</v>
      </c>
      <c r="DT95">
        <f>IF(CL95&gt;CS95, "",DQ95)</f>
        <v>101.86648024485862</v>
      </c>
      <c r="DV95" s="5">
        <f t="shared" si="293"/>
        <v>9.8167718919538469</v>
      </c>
      <c r="DW95" s="5">
        <f t="shared" si="249"/>
        <v>4.105195518453427</v>
      </c>
      <c r="DX95" s="5">
        <f t="shared" si="294"/>
        <v>5.7115763735004199</v>
      </c>
      <c r="DY95" s="150">
        <f t="shared" si="295"/>
        <v>0.41818181818181821</v>
      </c>
      <c r="EA95" s="5">
        <f t="shared" si="250"/>
        <v>1.0866694019435541</v>
      </c>
      <c r="EB95" s="5">
        <f t="shared" si="251"/>
        <v>15.394483194200353</v>
      </c>
      <c r="EC95" s="5">
        <f t="shared" si="252"/>
        <v>60.685498968441955</v>
      </c>
      <c r="ED95" s="5"/>
      <c r="EE95" s="150">
        <f t="shared" si="296"/>
        <v>12.261561450875341</v>
      </c>
      <c r="EF95" s="150">
        <f t="shared" si="253"/>
        <v>0.67546739118943211</v>
      </c>
      <c r="EG95" s="150">
        <f t="shared" si="254"/>
        <v>0.64256318922891742</v>
      </c>
      <c r="EH95" s="150"/>
      <c r="EI95" s="456">
        <f t="shared" si="255"/>
        <v>0.51117602332621337</v>
      </c>
      <c r="EJ95" s="456">
        <f t="shared" si="256"/>
        <v>2.0975999999999995</v>
      </c>
      <c r="EK95" s="456">
        <f t="shared" si="257"/>
        <v>2.3327423976072625E-2</v>
      </c>
      <c r="EL95" s="456">
        <f t="shared" si="258"/>
        <v>2.9683136303068732E-2</v>
      </c>
      <c r="EM95">
        <f t="shared" si="259"/>
        <v>5.4000000000000003E-3</v>
      </c>
      <c r="EN95" s="144">
        <f t="shared" si="297"/>
        <v>28.727423976072629</v>
      </c>
      <c r="EO95">
        <f t="shared" si="260"/>
        <v>3.1930128348601983</v>
      </c>
      <c r="EP95" s="144">
        <f t="shared" si="298"/>
        <v>3193.0128348601984</v>
      </c>
      <c r="EQ95" s="150">
        <f t="shared" si="261"/>
        <v>0.99843749999999998</v>
      </c>
      <c r="ER95" s="150">
        <f t="shared" si="262"/>
        <v>0.31950000000000001</v>
      </c>
      <c r="ES95" s="456"/>
      <c r="EU95" s="144">
        <f t="shared" si="299"/>
        <v>1317.9375</v>
      </c>
      <c r="EV95" s="456">
        <f t="shared" si="263"/>
        <v>0.22551883382038829</v>
      </c>
      <c r="EW95" s="456">
        <f t="shared" si="300"/>
        <v>9.1251239312051466E-2</v>
      </c>
      <c r="EX95" s="456">
        <f t="shared" si="264"/>
        <v>1.2386623564561126E-2</v>
      </c>
      <c r="EY95" s="456">
        <f t="shared" si="265"/>
        <v>32.367401730079024</v>
      </c>
      <c r="EZ95" s="456">
        <f t="shared" si="266"/>
        <v>33.661960820217438</v>
      </c>
      <c r="FA95" s="538">
        <f t="shared" si="267"/>
        <v>0.10986996005751719</v>
      </c>
      <c r="FB95" s="144">
        <f t="shared" si="301"/>
        <v>33771.830780274955</v>
      </c>
      <c r="FC95" s="150">
        <f t="shared" si="302"/>
        <v>38.282781115135151</v>
      </c>
      <c r="FD95" s="5">
        <f t="shared" si="303"/>
        <v>81.900000000000006</v>
      </c>
      <c r="FE95" s="150">
        <f t="shared" si="304"/>
        <v>0.68146201344383739</v>
      </c>
      <c r="FF95" s="5">
        <f t="shared" si="305"/>
        <v>68.146201344383741</v>
      </c>
      <c r="FG95">
        <f t="shared" si="306"/>
        <v>90</v>
      </c>
      <c r="FI95" s="59">
        <f t="shared" si="268"/>
        <v>-50</v>
      </c>
      <c r="FJ95">
        <f t="shared" si="269"/>
        <v>-50</v>
      </c>
      <c r="FL95">
        <f t="shared" si="270"/>
        <v>0.56766977275315589</v>
      </c>
    </row>
    <row r="96" spans="5:168">
      <c r="E96" s="147">
        <v>91</v>
      </c>
      <c r="F96" s="188">
        <f t="shared" si="307"/>
        <v>0.45500000000000002</v>
      </c>
      <c r="G96" s="188">
        <f t="shared" si="271"/>
        <v>0.45500000000000002</v>
      </c>
      <c r="H96" s="188">
        <f t="shared" si="176"/>
        <v>77.350000000000009</v>
      </c>
      <c r="I96" s="188">
        <f t="shared" si="308"/>
        <v>5.46</v>
      </c>
      <c r="J96" s="465">
        <f t="shared" si="177"/>
        <v>11.899941330693089</v>
      </c>
      <c r="K96" s="379">
        <f t="shared" si="178"/>
        <v>8.6847934166278282</v>
      </c>
      <c r="L96" s="149">
        <f t="shared" si="179"/>
        <v>20.584734747320915</v>
      </c>
      <c r="M96" s="379"/>
      <c r="N96" s="188">
        <f t="shared" si="180"/>
        <v>0.42190455807346006</v>
      </c>
      <c r="O96" s="149">
        <f t="shared" si="272"/>
        <v>156.32027710594303</v>
      </c>
      <c r="P96" s="149">
        <f t="shared" si="181"/>
        <v>11.03437250159598</v>
      </c>
      <c r="Q96" s="188">
        <f t="shared" si="182"/>
        <v>0.91953104179966494</v>
      </c>
      <c r="R96" s="188">
        <f t="shared" si="183"/>
        <v>13.026689758828587</v>
      </c>
      <c r="S96" s="379">
        <f t="shared" si="184"/>
        <v>170</v>
      </c>
      <c r="T96" s="188">
        <f t="shared" si="185"/>
        <v>32.987829615807527</v>
      </c>
      <c r="U96" s="188">
        <f t="shared" si="186"/>
        <v>4.1581502839921409</v>
      </c>
      <c r="V96" s="188">
        <f t="shared" si="187"/>
        <v>5.697515421492235</v>
      </c>
      <c r="W96" s="172">
        <f t="shared" si="188"/>
        <v>251.03197441130845</v>
      </c>
      <c r="X96" s="379">
        <f t="shared" si="273"/>
        <v>99.44642446243995</v>
      </c>
      <c r="Z96" s="188">
        <f t="shared" si="189"/>
        <v>13.333333333333334</v>
      </c>
      <c r="AA96" s="150">
        <f t="shared" si="190"/>
        <v>2.3028757323931481</v>
      </c>
      <c r="AB96" s="150">
        <f t="shared" si="191"/>
        <v>0.17999308631412417</v>
      </c>
      <c r="AC96" s="150"/>
      <c r="AD96" s="150">
        <f t="shared" si="192"/>
        <v>2.3028757323931481</v>
      </c>
      <c r="AE96" s="314">
        <f t="shared" si="193"/>
        <v>634.57742014495602</v>
      </c>
      <c r="AF96" s="456">
        <f t="shared" si="194"/>
        <v>0.1799930863141242</v>
      </c>
      <c r="AH96" s="150">
        <f t="shared" si="195"/>
        <v>17.761381327663305</v>
      </c>
      <c r="AI96" s="150">
        <f t="shared" si="196"/>
        <v>32.987829615807527</v>
      </c>
      <c r="AJ96" s="150">
        <f t="shared" si="197"/>
        <v>15.758886135166069</v>
      </c>
      <c r="AL96" s="314">
        <f t="shared" si="198"/>
        <v>455</v>
      </c>
      <c r="AM96" s="144">
        <f t="shared" si="199"/>
        <v>99.44642446243995</v>
      </c>
      <c r="AO96">
        <f t="shared" si="274"/>
        <v>455</v>
      </c>
      <c r="AP96">
        <f t="shared" si="200"/>
        <v>99.44642446243995</v>
      </c>
      <c r="AR96" s="5">
        <f t="shared" si="275"/>
        <v>10.055665705484378</v>
      </c>
      <c r="AS96" s="5">
        <f t="shared" si="201"/>
        <v>4.1581502839921409</v>
      </c>
      <c r="AT96" s="5">
        <f t="shared" si="276"/>
        <v>5.897515421492237</v>
      </c>
      <c r="AU96" s="150">
        <f t="shared" si="277"/>
        <v>0.41351317812049765</v>
      </c>
      <c r="AW96" s="5">
        <f t="shared" si="202"/>
        <v>1.1129166936567203</v>
      </c>
      <c r="AX96" s="5">
        <f t="shared" si="203"/>
        <v>15.766319826803537</v>
      </c>
      <c r="AY96" s="5">
        <f t="shared" si="204"/>
        <v>63.890065389907207</v>
      </c>
      <c r="AZ96" s="5"/>
      <c r="BA96" s="150">
        <f t="shared" si="278"/>
        <v>12.247227709183958</v>
      </c>
      <c r="BB96" s="150">
        <f t="shared" si="205"/>
        <v>0.68119238156065975</v>
      </c>
      <c r="BC96" s="150">
        <f t="shared" si="206"/>
        <v>0.64800929679713504</v>
      </c>
      <c r="BD96" s="150"/>
      <c r="BE96" s="456">
        <f t="shared" si="207"/>
        <v>0.50998159430605139</v>
      </c>
      <c r="BF96" s="456">
        <f t="shared" si="208"/>
        <v>1.6173116261962301</v>
      </c>
      <c r="BG96" s="456">
        <f t="shared" si="209"/>
        <v>5.4200023042580876E-2</v>
      </c>
      <c r="BH96" s="456">
        <f t="shared" si="210"/>
        <v>2.8864915776259673E-2</v>
      </c>
      <c r="BI96">
        <f t="shared" si="211"/>
        <v>5.3549735988118897E-3</v>
      </c>
      <c r="BJ96" s="144">
        <f t="shared" si="279"/>
        <v>59.554996641392762</v>
      </c>
      <c r="BK96">
        <f t="shared" si="212"/>
        <v>2.6101264327724749</v>
      </c>
      <c r="BL96" s="144">
        <f t="shared" si="280"/>
        <v>2610.1264327724748</v>
      </c>
      <c r="BM96" s="150">
        <f t="shared" si="213"/>
        <v>1.00953125</v>
      </c>
      <c r="BN96" s="150">
        <f t="shared" si="214"/>
        <v>0.32305</v>
      </c>
      <c r="BO96" s="456"/>
      <c r="BQ96" s="144">
        <f t="shared" si="281"/>
        <v>1332.58125</v>
      </c>
      <c r="BR96" s="456">
        <f t="shared" si="215"/>
        <v>0.22499187984090505</v>
      </c>
      <c r="BS96" s="456">
        <f t="shared" si="216"/>
        <v>9.2804612139256698E-2</v>
      </c>
      <c r="BT96" s="456">
        <f t="shared" si="217"/>
        <v>1.2597481462065524E-2</v>
      </c>
      <c r="BU96" s="456">
        <f t="shared" si="218"/>
        <v>30.819620985216144</v>
      </c>
      <c r="BV96" s="456">
        <f t="shared" si="219"/>
        <v>32.077157473434923</v>
      </c>
      <c r="BW96" s="538">
        <f t="shared" si="220"/>
        <v>0.10821729109073742</v>
      </c>
      <c r="BX96" s="144">
        <f t="shared" si="282"/>
        <v>32185.374764525663</v>
      </c>
      <c r="BY96" s="150">
        <f t="shared" si="283"/>
        <v>36.128082447298134</v>
      </c>
      <c r="BZ96" s="5">
        <f t="shared" si="284"/>
        <v>82.81</v>
      </c>
      <c r="CA96" s="150">
        <f t="shared" si="285"/>
        <v>0.69624461985666686</v>
      </c>
      <c r="CB96" s="5">
        <f t="shared" si="286"/>
        <v>69.624461985666684</v>
      </c>
      <c r="CC96">
        <f t="shared" si="287"/>
        <v>91</v>
      </c>
      <c r="CE96" s="59">
        <f t="shared" si="221"/>
        <v>-50</v>
      </c>
      <c r="CF96">
        <f t="shared" si="222"/>
        <v>-50</v>
      </c>
      <c r="CG96" s="150">
        <f t="shared" si="223"/>
        <v>0.56766977275315589</v>
      </c>
      <c r="CH96" s="150">
        <f t="shared" si="224"/>
        <v>0.15382552837714239</v>
      </c>
      <c r="CI96" s="147">
        <v>91</v>
      </c>
      <c r="CJ96" s="188">
        <f t="shared" si="309"/>
        <v>0.45500000000000002</v>
      </c>
      <c r="CK96" s="188">
        <f t="shared" si="288"/>
        <v>0.45500000000000002</v>
      </c>
      <c r="CL96" s="188">
        <f t="shared" si="225"/>
        <v>77.350000000000009</v>
      </c>
      <c r="CM96" s="188">
        <f t="shared" si="310"/>
        <v>5.46</v>
      </c>
      <c r="CN96" s="465">
        <f t="shared" si="289"/>
        <v>12</v>
      </c>
      <c r="CO96" s="379">
        <f t="shared" si="226"/>
        <v>8.625</v>
      </c>
      <c r="CP96" s="379">
        <f t="shared" si="227"/>
        <v>20.625</v>
      </c>
      <c r="CQ96" s="379"/>
      <c r="CR96" s="188">
        <f t="shared" si="228"/>
        <v>0.4156318480642805</v>
      </c>
      <c r="CS96" s="149">
        <f t="shared" si="290"/>
        <v>155.29102015588504</v>
      </c>
      <c r="CT96" s="149">
        <f t="shared" si="229"/>
        <v>10.961719069827179</v>
      </c>
      <c r="CU96" s="188">
        <f t="shared" si="230"/>
        <v>0.91347658915226493</v>
      </c>
      <c r="CV96" s="188">
        <f t="shared" si="231"/>
        <v>12.940918346323754</v>
      </c>
      <c r="CW96" s="379">
        <f t="shared" si="232"/>
        <v>170</v>
      </c>
      <c r="CX96" s="188">
        <f t="shared" si="233"/>
        <v>33.20647041593439</v>
      </c>
      <c r="CY96" s="188">
        <f t="shared" si="234"/>
        <v>4.1508088019917988</v>
      </c>
      <c r="CZ96" s="188">
        <f t="shared" si="235"/>
        <v>5.7750383332059805</v>
      </c>
      <c r="DA96" s="172">
        <f t="shared" si="236"/>
        <v>250.90909090909091</v>
      </c>
      <c r="DB96" s="379">
        <f t="shared" si="291"/>
        <v>100.74706837403599</v>
      </c>
      <c r="DD96" s="188">
        <f t="shared" si="237"/>
        <v>13.333333333333332</v>
      </c>
      <c r="DE96" s="150">
        <f t="shared" si="238"/>
        <v>2.318840579710145</v>
      </c>
      <c r="DF96" s="150">
        <f t="shared" si="239"/>
        <v>0.18115218115218115</v>
      </c>
      <c r="DG96" s="150"/>
      <c r="DH96" s="150">
        <f t="shared" si="240"/>
        <v>2.3188405797101455</v>
      </c>
      <c r="DI96" s="314">
        <f t="shared" si="241"/>
        <v>630.20845588235272</v>
      </c>
      <c r="DJ96" s="456">
        <f t="shared" si="242"/>
        <v>0.18115218115218121</v>
      </c>
      <c r="DL96" s="150">
        <f t="shared" si="243"/>
        <v>17.761381327663305</v>
      </c>
      <c r="DM96" s="150">
        <f t="shared" si="244"/>
        <v>33.20647041593439</v>
      </c>
      <c r="DN96" s="150">
        <f t="shared" si="245"/>
        <v>15.920842283408188</v>
      </c>
      <c r="DP96" s="314">
        <f t="shared" si="246"/>
        <v>455</v>
      </c>
      <c r="DQ96" s="144">
        <f t="shared" si="247"/>
        <v>100.74706837403599</v>
      </c>
      <c r="DS96">
        <f t="shared" ref="DS96:DS105" si="311">IF(CL96&gt;CS96, "",DP96)</f>
        <v>455</v>
      </c>
      <c r="DT96">
        <f t="shared" ref="DT96:DT105" si="312">IF(CL96&gt;CS96, "",DQ96)</f>
        <v>100.74706837403599</v>
      </c>
      <c r="DV96" s="5">
        <f t="shared" si="293"/>
        <v>9.9258471351977793</v>
      </c>
      <c r="DW96" s="5">
        <f t="shared" si="249"/>
        <v>4.1508088019917988</v>
      </c>
      <c r="DX96" s="5">
        <f t="shared" si="294"/>
        <v>5.7750383332059805</v>
      </c>
      <c r="DY96" s="150">
        <f t="shared" si="295"/>
        <v>0.41818181818181821</v>
      </c>
      <c r="EA96" s="5">
        <f t="shared" si="250"/>
        <v>1.1109517675919225</v>
      </c>
      <c r="EB96" s="5">
        <f t="shared" si="251"/>
        <v>15.738483374218903</v>
      </c>
      <c r="EC96" s="5">
        <f t="shared" si="252"/>
        <v>62.041557649094798</v>
      </c>
      <c r="ED96" s="5"/>
      <c r="EE96" s="150">
        <f t="shared" si="296"/>
        <v>12.397801022551734</v>
      </c>
      <c r="EF96" s="150">
        <f t="shared" si="253"/>
        <v>0.68297258442487019</v>
      </c>
      <c r="EG96" s="150">
        <f t="shared" si="254"/>
        <v>0.64970278022035</v>
      </c>
      <c r="EH96" s="150"/>
      <c r="EI96" s="456">
        <f t="shared" si="255"/>
        <v>0.52259859866226832</v>
      </c>
      <c r="EJ96" s="456">
        <f t="shared" si="256"/>
        <v>2.0975999999999999</v>
      </c>
      <c r="EK96" s="456">
        <f t="shared" si="257"/>
        <v>2.3071078657654242E-2</v>
      </c>
      <c r="EL96" s="456">
        <f t="shared" si="258"/>
        <v>2.9356947992045995E-2</v>
      </c>
      <c r="EM96">
        <f t="shared" si="259"/>
        <v>5.4000000000000003E-3</v>
      </c>
      <c r="EN96" s="144">
        <f t="shared" si="297"/>
        <v>28.471078657654239</v>
      </c>
      <c r="EO96">
        <f t="shared" si="260"/>
        <v>3.218805479043799</v>
      </c>
      <c r="EP96" s="144">
        <f t="shared" si="298"/>
        <v>3218.8054790437991</v>
      </c>
      <c r="EQ96" s="150">
        <f t="shared" si="261"/>
        <v>1.00953125</v>
      </c>
      <c r="ER96" s="150">
        <f t="shared" si="262"/>
        <v>0.32305</v>
      </c>
      <c r="ES96" s="456"/>
      <c r="EU96" s="144">
        <f t="shared" si="299"/>
        <v>1332.58125</v>
      </c>
      <c r="EV96" s="456">
        <f t="shared" si="263"/>
        <v>0.23055820529217724</v>
      </c>
      <c r="EW96" s="456">
        <f t="shared" si="300"/>
        <v>9.3290310215197292E-2</v>
      </c>
      <c r="EX96" s="456">
        <f t="shared" si="264"/>
        <v>1.2663411078781573E-2</v>
      </c>
      <c r="EY96" s="456">
        <f t="shared" si="265"/>
        <v>32.367401730078967</v>
      </c>
      <c r="EZ96" s="456">
        <f t="shared" si="266"/>
        <v>33.691688931220725</v>
      </c>
      <c r="FA96" s="538">
        <f t="shared" si="267"/>
        <v>0.1110907373914896</v>
      </c>
      <c r="FB96" s="144">
        <f t="shared" si="301"/>
        <v>33802.779668612216</v>
      </c>
      <c r="FC96" s="150">
        <f t="shared" si="302"/>
        <v>38.354166397656016</v>
      </c>
      <c r="FD96" s="5">
        <f t="shared" si="303"/>
        <v>82.81</v>
      </c>
      <c r="FE96" s="150">
        <f t="shared" si="304"/>
        <v>0.68345289256743491</v>
      </c>
      <c r="FF96" s="5">
        <f t="shared" si="305"/>
        <v>68.345289256743484</v>
      </c>
      <c r="FG96">
        <f t="shared" si="306"/>
        <v>91</v>
      </c>
      <c r="FI96" s="59">
        <f t="shared" si="268"/>
        <v>-50</v>
      </c>
      <c r="FJ96">
        <f t="shared" si="269"/>
        <v>-50</v>
      </c>
      <c r="FL96">
        <f t="shared" si="270"/>
        <v>0.56766977275315578</v>
      </c>
    </row>
    <row r="97" spans="5:169">
      <c r="E97" s="147">
        <v>92</v>
      </c>
      <c r="F97" s="188">
        <f t="shared" si="307"/>
        <v>0.46</v>
      </c>
      <c r="G97" s="188">
        <f t="shared" si="271"/>
        <v>0.46</v>
      </c>
      <c r="H97" s="188">
        <f t="shared" si="176"/>
        <v>78.2</v>
      </c>
      <c r="I97" s="188">
        <f t="shared" si="308"/>
        <v>5.5200000000000005</v>
      </c>
      <c r="J97" s="465">
        <f t="shared" si="177"/>
        <v>11.898841784876531</v>
      </c>
      <c r="K97" s="379">
        <f t="shared" si="178"/>
        <v>8.6854504871402227</v>
      </c>
      <c r="L97" s="149">
        <f t="shared" si="179"/>
        <v>20.584292272016754</v>
      </c>
      <c r="M97" s="379"/>
      <c r="N97" s="188">
        <f t="shared" si="180"/>
        <v>0.42194554820559116</v>
      </c>
      <c r="O97" s="149">
        <f t="shared" si="272"/>
        <v>156.32101911874082</v>
      </c>
      <c r="P97" s="149">
        <f t="shared" si="181"/>
        <v>11.03442487896994</v>
      </c>
      <c r="Q97" s="188">
        <f t="shared" si="182"/>
        <v>0.91953540658082833</v>
      </c>
      <c r="R97" s="188">
        <f t="shared" si="183"/>
        <v>13.026751593228402</v>
      </c>
      <c r="S97" s="379">
        <f t="shared" si="184"/>
        <v>170</v>
      </c>
      <c r="T97" s="188">
        <f t="shared" si="185"/>
        <v>33.350174933118282</v>
      </c>
      <c r="U97" s="188">
        <f t="shared" si="186"/>
        <v>4.2042127548296095</v>
      </c>
      <c r="V97" s="188">
        <f t="shared" si="187"/>
        <v>5.7596623771841653</v>
      </c>
      <c r="W97" s="172">
        <f t="shared" si="188"/>
        <v>251.03316599656611</v>
      </c>
      <c r="X97" s="379">
        <f t="shared" si="273"/>
        <v>98.387670746784281</v>
      </c>
      <c r="Z97" s="188">
        <f t="shared" si="189"/>
        <v>13.333333333333334</v>
      </c>
      <c r="AA97" s="150">
        <f t="shared" si="190"/>
        <v>2.302701515553192</v>
      </c>
      <c r="AB97" s="150">
        <f t="shared" si="191"/>
        <v>0.17998032381877199</v>
      </c>
      <c r="AC97" s="150"/>
      <c r="AD97" s="150">
        <f t="shared" si="192"/>
        <v>2.302701515553192</v>
      </c>
      <c r="AE97" s="314">
        <f t="shared" si="193"/>
        <v>641.59933657356987</v>
      </c>
      <c r="AF97" s="456">
        <f t="shared" si="194"/>
        <v>0.17998032381877202</v>
      </c>
      <c r="AH97" s="150">
        <f t="shared" si="195"/>
        <v>17.858704693603435</v>
      </c>
      <c r="AI97" s="150">
        <f t="shared" si="196"/>
        <v>33.350174933118282</v>
      </c>
      <c r="AJ97" s="150">
        <f t="shared" si="197"/>
        <v>16.027290073914774</v>
      </c>
      <c r="AL97" s="314">
        <f t="shared" si="198"/>
        <v>460</v>
      </c>
      <c r="AM97" s="144">
        <f t="shared" si="199"/>
        <v>98.387670746784281</v>
      </c>
      <c r="AO97">
        <f t="shared" si="274"/>
        <v>460</v>
      </c>
      <c r="AP97">
        <f t="shared" si="200"/>
        <v>98.387670746784281</v>
      </c>
      <c r="AR97" s="5">
        <f t="shared" si="275"/>
        <v>10.163875132013777</v>
      </c>
      <c r="AS97" s="5">
        <f t="shared" si="201"/>
        <v>4.2042127548296095</v>
      </c>
      <c r="AT97" s="5">
        <f t="shared" si="276"/>
        <v>5.9596623771841672</v>
      </c>
      <c r="AU97" s="150">
        <f t="shared" si="277"/>
        <v>0.41364270027160649</v>
      </c>
      <c r="AW97" s="5">
        <f t="shared" si="202"/>
        <v>1.1376105101303651</v>
      </c>
      <c r="AX97" s="5">
        <f t="shared" si="203"/>
        <v>16.116148893513504</v>
      </c>
      <c r="AY97" s="5">
        <f t="shared" si="204"/>
        <v>65.278846227446479</v>
      </c>
      <c r="AZ97" s="5"/>
      <c r="BA97" s="150">
        <f t="shared" si="278"/>
        <v>12.383692833920065</v>
      </c>
      <c r="BB97" s="150">
        <f t="shared" si="205"/>
        <v>0.68859869408852192</v>
      </c>
      <c r="BC97" s="150">
        <f t="shared" si="206"/>
        <v>0.65505482388016567</v>
      </c>
      <c r="BD97" s="150"/>
      <c r="BE97" s="456">
        <f t="shared" si="207"/>
        <v>0.52140988389660281</v>
      </c>
      <c r="BF97" s="456">
        <f t="shared" si="208"/>
        <v>1.6176339491140306</v>
      </c>
      <c r="BG97" s="456">
        <f t="shared" si="209"/>
        <v>5.3618029213171811E-2</v>
      </c>
      <c r="BH97" s="456">
        <f t="shared" si="210"/>
        <v>2.8556378521275946E-2</v>
      </c>
      <c r="BI97">
        <f t="shared" si="211"/>
        <v>5.3544788031944391E-3</v>
      </c>
      <c r="BJ97" s="144">
        <f t="shared" si="279"/>
        <v>58.972508016366248</v>
      </c>
      <c r="BK97">
        <f t="shared" si="212"/>
        <v>2.6347980793080126</v>
      </c>
      <c r="BL97" s="144">
        <f t="shared" si="280"/>
        <v>2634.7980793080123</v>
      </c>
      <c r="BM97" s="150">
        <f t="shared" si="213"/>
        <v>1.0206250000000001</v>
      </c>
      <c r="BN97" s="150">
        <f t="shared" si="214"/>
        <v>0.3266</v>
      </c>
      <c r="BO97" s="456"/>
      <c r="BQ97" s="144">
        <f t="shared" si="281"/>
        <v>1347.2250000000001</v>
      </c>
      <c r="BR97" s="456">
        <f t="shared" si="215"/>
        <v>0.23003377230732477</v>
      </c>
      <c r="BS97" s="456">
        <f t="shared" si="216"/>
        <v>9.483363230008357E-2</v>
      </c>
      <c r="BT97" s="456">
        <f t="shared" si="217"/>
        <v>1.2872904668660244E-2</v>
      </c>
      <c r="BU97" s="456">
        <f t="shared" si="218"/>
        <v>30.836635890490268</v>
      </c>
      <c r="BV97" s="456">
        <f t="shared" si="219"/>
        <v>32.123382772601552</v>
      </c>
      <c r="BW97" s="538">
        <f t="shared" si="220"/>
        <v>0.10943012912135447</v>
      </c>
      <c r="BX97" s="144">
        <f t="shared" si="282"/>
        <v>32232.812901722908</v>
      </c>
      <c r="BY97" s="150">
        <f t="shared" si="283"/>
        <v>36.214835981030923</v>
      </c>
      <c r="BZ97" s="5">
        <f t="shared" si="284"/>
        <v>83.72</v>
      </c>
      <c r="CA97" s="150">
        <f t="shared" si="285"/>
        <v>0.69804572887598137</v>
      </c>
      <c r="CB97" s="5">
        <f t="shared" si="286"/>
        <v>69.804572887598141</v>
      </c>
      <c r="CC97">
        <f t="shared" si="287"/>
        <v>92</v>
      </c>
      <c r="CE97" s="59">
        <f t="shared" si="221"/>
        <v>-50</v>
      </c>
      <c r="CF97">
        <f t="shared" si="222"/>
        <v>-50</v>
      </c>
      <c r="CG97" s="150">
        <f t="shared" si="223"/>
        <v>0.56766977275315578</v>
      </c>
      <c r="CH97" s="150">
        <f t="shared" si="224"/>
        <v>0.15382552837714242</v>
      </c>
      <c r="CI97" s="147">
        <v>92</v>
      </c>
      <c r="CJ97" s="188">
        <f t="shared" si="309"/>
        <v>0.46</v>
      </c>
      <c r="CK97" s="188">
        <f t="shared" si="288"/>
        <v>0.46</v>
      </c>
      <c r="CL97" s="188">
        <f t="shared" si="225"/>
        <v>78.2</v>
      </c>
      <c r="CM97" s="188">
        <f t="shared" si="310"/>
        <v>5.5200000000000005</v>
      </c>
      <c r="CN97" s="465">
        <f t="shared" si="289"/>
        <v>12</v>
      </c>
      <c r="CO97" s="379">
        <f t="shared" si="226"/>
        <v>8.625</v>
      </c>
      <c r="CP97" s="379">
        <f t="shared" si="227"/>
        <v>20.625</v>
      </c>
      <c r="CQ97" s="379"/>
      <c r="CR97" s="188">
        <f t="shared" si="228"/>
        <v>0.4156318480642805</v>
      </c>
      <c r="CS97" s="149">
        <f t="shared" si="290"/>
        <v>155.29102015588504</v>
      </c>
      <c r="CT97" s="149">
        <f t="shared" si="229"/>
        <v>10.961719069827179</v>
      </c>
      <c r="CU97" s="188">
        <f t="shared" si="230"/>
        <v>0.91347658915226493</v>
      </c>
      <c r="CV97" s="188">
        <f t="shared" si="231"/>
        <v>12.940918346323754</v>
      </c>
      <c r="CW97" s="379">
        <f t="shared" si="232"/>
        <v>170</v>
      </c>
      <c r="CX97" s="188">
        <f t="shared" si="233"/>
        <v>33.571376684241358</v>
      </c>
      <c r="CY97" s="188">
        <f t="shared" si="234"/>
        <v>4.1964220855301706</v>
      </c>
      <c r="CZ97" s="188">
        <f t="shared" si="235"/>
        <v>5.838500292911541</v>
      </c>
      <c r="DA97" s="172">
        <f t="shared" si="236"/>
        <v>250.90909090909091</v>
      </c>
      <c r="DB97" s="379">
        <f t="shared" si="291"/>
        <v>99.651991543883426</v>
      </c>
      <c r="DD97" s="188">
        <f t="shared" si="237"/>
        <v>13.333333333333332</v>
      </c>
      <c r="DE97" s="150">
        <f t="shared" si="238"/>
        <v>2.318840579710145</v>
      </c>
      <c r="DF97" s="150">
        <f t="shared" si="239"/>
        <v>0.18115218115218115</v>
      </c>
      <c r="DG97" s="150"/>
      <c r="DH97" s="150">
        <f t="shared" si="240"/>
        <v>2.3188405797101455</v>
      </c>
      <c r="DI97" s="314">
        <f t="shared" si="241"/>
        <v>637.13382352941153</v>
      </c>
      <c r="DJ97" s="456">
        <f t="shared" si="242"/>
        <v>0.18115218115218121</v>
      </c>
      <c r="DL97" s="150">
        <f t="shared" si="243"/>
        <v>17.858704693603435</v>
      </c>
      <c r="DM97" s="150">
        <f t="shared" si="244"/>
        <v>33.571376684241358</v>
      </c>
      <c r="DN97" s="150">
        <f t="shared" si="245"/>
        <v>16.191143222894834</v>
      </c>
      <c r="DP97" s="314">
        <f t="shared" si="246"/>
        <v>460</v>
      </c>
      <c r="DQ97" s="144">
        <f t="shared" si="247"/>
        <v>99.651991543883426</v>
      </c>
      <c r="DS97">
        <f t="shared" si="311"/>
        <v>460</v>
      </c>
      <c r="DT97">
        <f t="shared" si="312"/>
        <v>99.651991543883426</v>
      </c>
      <c r="DV97" s="5">
        <f t="shared" si="293"/>
        <v>10.034922378441712</v>
      </c>
      <c r="DW97" s="5">
        <f t="shared" si="249"/>
        <v>4.1964220855301706</v>
      </c>
      <c r="DX97" s="5">
        <f t="shared" si="294"/>
        <v>5.838500292911541</v>
      </c>
      <c r="DY97" s="150">
        <f t="shared" si="295"/>
        <v>0.41818181818181821</v>
      </c>
      <c r="EA97" s="5">
        <f t="shared" si="250"/>
        <v>1.1355024466728698</v>
      </c>
      <c r="EB97" s="5">
        <f t="shared" si="251"/>
        <v>16.086284661198988</v>
      </c>
      <c r="EC97" s="5">
        <f t="shared" si="252"/>
        <v>63.412600403567005</v>
      </c>
      <c r="ED97" s="5"/>
      <c r="EE97" s="150">
        <f t="shared" si="296"/>
        <v>12.534040594228125</v>
      </c>
      <c r="EF97" s="150">
        <f t="shared" si="253"/>
        <v>0.69047777766030827</v>
      </c>
      <c r="EG97" s="150">
        <f t="shared" si="254"/>
        <v>0.65684237121178224</v>
      </c>
      <c r="EH97" s="150"/>
      <c r="EI97" s="456">
        <f t="shared" si="255"/>
        <v>0.53414739030037905</v>
      </c>
      <c r="EJ97" s="456">
        <f t="shared" si="256"/>
        <v>2.0975999999999995</v>
      </c>
      <c r="EK97" s="456">
        <f t="shared" si="257"/>
        <v>2.2820306063549303E-2</v>
      </c>
      <c r="EL97" s="456">
        <f t="shared" si="258"/>
        <v>2.9037850731262888E-2</v>
      </c>
      <c r="EM97">
        <f t="shared" si="259"/>
        <v>5.4000000000000003E-3</v>
      </c>
      <c r="EN97" s="144">
        <f t="shared" si="297"/>
        <v>28.220306063549305</v>
      </c>
      <c r="EO97">
        <f t="shared" si="260"/>
        <v>3.2450680232269344</v>
      </c>
      <c r="EP97" s="144">
        <f t="shared" si="298"/>
        <v>3245.0680232269347</v>
      </c>
      <c r="EQ97" s="150">
        <f t="shared" si="261"/>
        <v>1.0206250000000001</v>
      </c>
      <c r="ER97" s="150">
        <f t="shared" si="262"/>
        <v>0.3266</v>
      </c>
      <c r="ES97" s="456"/>
      <c r="EU97" s="144">
        <f t="shared" si="299"/>
        <v>1347.2250000000001</v>
      </c>
      <c r="EV97" s="456">
        <f t="shared" si="263"/>
        <v>0.23565326042663784</v>
      </c>
      <c r="EW97" s="456">
        <f t="shared" si="300"/>
        <v>9.5351912288543617E-2</v>
      </c>
      <c r="EX97" s="456">
        <f t="shared" si="264"/>
        <v>1.2943257018573502E-2</v>
      </c>
      <c r="EY97" s="456">
        <f t="shared" si="265"/>
        <v>32.367401730078967</v>
      </c>
      <c r="EZ97" s="456">
        <f t="shared" si="266"/>
        <v>33.721782103124298</v>
      </c>
      <c r="FA97" s="538">
        <f t="shared" si="267"/>
        <v>0.11231151472546198</v>
      </c>
      <c r="FB97" s="144">
        <f t="shared" si="301"/>
        <v>33834.093617849758</v>
      </c>
      <c r="FC97" s="150">
        <f t="shared" si="302"/>
        <v>38.426386641076697</v>
      </c>
      <c r="FD97" s="5">
        <f t="shared" si="303"/>
        <v>83.72</v>
      </c>
      <c r="FE97" s="150">
        <f t="shared" si="304"/>
        <v>0.68540709473468564</v>
      </c>
      <c r="FF97" s="5">
        <f t="shared" si="305"/>
        <v>68.540709473468567</v>
      </c>
      <c r="FG97">
        <f t="shared" si="306"/>
        <v>92</v>
      </c>
      <c r="FI97" s="59">
        <f t="shared" si="268"/>
        <v>-50</v>
      </c>
      <c r="FJ97">
        <f t="shared" si="269"/>
        <v>-50</v>
      </c>
      <c r="FL97">
        <f t="shared" si="270"/>
        <v>0.56766977275315578</v>
      </c>
    </row>
    <row r="98" spans="5:169">
      <c r="E98" s="147">
        <v>93</v>
      </c>
      <c r="F98" s="188">
        <f t="shared" si="307"/>
        <v>0.46500000000000002</v>
      </c>
      <c r="G98" s="188">
        <f t="shared" si="271"/>
        <v>0.46500000000000002</v>
      </c>
      <c r="H98" s="188">
        <f t="shared" si="176"/>
        <v>79.05</v>
      </c>
      <c r="I98" s="188">
        <f t="shared" si="308"/>
        <v>5.58</v>
      </c>
      <c r="J98" s="465">
        <f t="shared" si="177"/>
        <v>11.897742239059971</v>
      </c>
      <c r="K98" s="379">
        <f t="shared" si="178"/>
        <v>8.6861075576526154</v>
      </c>
      <c r="L98" s="149">
        <f t="shared" si="179"/>
        <v>20.583849796712585</v>
      </c>
      <c r="M98" s="379"/>
      <c r="N98" s="188">
        <f t="shared" si="180"/>
        <v>0.42198654009998948</v>
      </c>
      <c r="O98" s="149">
        <f t="shared" si="272"/>
        <v>156.32175897776764</v>
      </c>
      <c r="P98" s="149">
        <f t="shared" si="181"/>
        <v>11.034477104313009</v>
      </c>
      <c r="Q98" s="188">
        <f t="shared" si="182"/>
        <v>0.91953975869275084</v>
      </c>
      <c r="R98" s="188">
        <f t="shared" si="183"/>
        <v>13.026813248147304</v>
      </c>
      <c r="S98" s="379">
        <f t="shared" si="184"/>
        <v>170</v>
      </c>
      <c r="T98" s="188">
        <f t="shared" si="185"/>
        <v>33.712517275023174</v>
      </c>
      <c r="U98" s="188">
        <f t="shared" si="186"/>
        <v>4.2502833643948694</v>
      </c>
      <c r="V98" s="188">
        <f t="shared" si="187"/>
        <v>5.8217994166999203</v>
      </c>
      <c r="W98" s="172">
        <f t="shared" si="188"/>
        <v>251.03435412312092</v>
      </c>
      <c r="X98" s="379">
        <f t="shared" si="273"/>
        <v>97.351240377506087</v>
      </c>
      <c r="Z98" s="188">
        <f t="shared" si="189"/>
        <v>13.333333333333336</v>
      </c>
      <c r="AA98" s="150">
        <f t="shared" si="190"/>
        <v>2.3025273250709</v>
      </c>
      <c r="AB98" s="150">
        <f t="shared" si="191"/>
        <v>0.17996756077472864</v>
      </c>
      <c r="AC98" s="150"/>
      <c r="AD98" s="150">
        <f t="shared" si="192"/>
        <v>2.3025273250708995</v>
      </c>
      <c r="AE98" s="314">
        <f t="shared" si="193"/>
        <v>648.62230818012415</v>
      </c>
      <c r="AF98" s="456">
        <f t="shared" si="194"/>
        <v>0.17996756077472861</v>
      </c>
      <c r="AH98" s="150">
        <f t="shared" si="195"/>
        <v>17.955500549970751</v>
      </c>
      <c r="AI98" s="150">
        <f t="shared" si="196"/>
        <v>33.712517275023174</v>
      </c>
      <c r="AJ98" s="150">
        <f t="shared" si="197"/>
        <v>16.295691808659139</v>
      </c>
      <c r="AL98" s="314">
        <f t="shared" si="198"/>
        <v>465</v>
      </c>
      <c r="AM98" s="144">
        <f t="shared" si="199"/>
        <v>97.351240377506087</v>
      </c>
      <c r="AO98">
        <f t="shared" si="274"/>
        <v>465</v>
      </c>
      <c r="AP98">
        <f t="shared" si="200"/>
        <v>97.351240377506087</v>
      </c>
      <c r="AR98" s="5">
        <f t="shared" si="275"/>
        <v>10.272082781094788</v>
      </c>
      <c r="AS98" s="5">
        <f t="shared" si="201"/>
        <v>4.2502833643948694</v>
      </c>
      <c r="AT98" s="5">
        <f t="shared" si="276"/>
        <v>6.0217994166999187</v>
      </c>
      <c r="AU98" s="150">
        <f t="shared" si="277"/>
        <v>0.41377035747972024</v>
      </c>
      <c r="AW98" s="5">
        <f t="shared" si="202"/>
        <v>1.1625775084962438</v>
      </c>
      <c r="AX98" s="5">
        <f t="shared" si="203"/>
        <v>16.469848037030122</v>
      </c>
      <c r="AY98" s="5">
        <f t="shared" si="204"/>
        <v>66.682573652133328</v>
      </c>
      <c r="AZ98" s="5"/>
      <c r="BA98" s="150">
        <f t="shared" si="278"/>
        <v>12.520170464903353</v>
      </c>
      <c r="BB98" s="150">
        <f t="shared" si="205"/>
        <v>0.69600439125353286</v>
      </c>
      <c r="BC98" s="150">
        <f t="shared" si="206"/>
        <v>0.6620997655766605</v>
      </c>
      <c r="BD98" s="150"/>
      <c r="BE98" s="456">
        <f t="shared" si="207"/>
        <v>0.53296587279881003</v>
      </c>
      <c r="BF98" s="456">
        <f t="shared" si="208"/>
        <v>1.6179488706604352</v>
      </c>
      <c r="BG98" s="456">
        <f t="shared" si="209"/>
        <v>5.3048306381626532E-2</v>
      </c>
      <c r="BH98" s="456">
        <f t="shared" si="210"/>
        <v>2.8254346641840476E-2</v>
      </c>
      <c r="BI98">
        <f t="shared" si="211"/>
        <v>5.3539840075769868E-3</v>
      </c>
      <c r="BJ98" s="144">
        <f t="shared" si="279"/>
        <v>58.402290389203522</v>
      </c>
      <c r="BK98">
        <f t="shared" si="212"/>
        <v>2.65990019642416</v>
      </c>
      <c r="BL98" s="144">
        <f t="shared" si="280"/>
        <v>2659.9001964241602</v>
      </c>
      <c r="BM98" s="150">
        <f t="shared" si="213"/>
        <v>1.03171875</v>
      </c>
      <c r="BN98" s="150">
        <f t="shared" si="214"/>
        <v>0.33015000000000005</v>
      </c>
      <c r="BO98" s="456"/>
      <c r="BQ98" s="144">
        <f t="shared" si="281"/>
        <v>1361.8687500000001</v>
      </c>
      <c r="BR98" s="456">
        <f t="shared" si="215"/>
        <v>0.23513200270535736</v>
      </c>
      <c r="BS98" s="456">
        <f t="shared" si="216"/>
        <v>9.6884422528840178E-2</v>
      </c>
      <c r="BT98" s="456">
        <f t="shared" si="217"/>
        <v>1.3151282987300063E-2</v>
      </c>
      <c r="BU98" s="456">
        <f t="shared" si="218"/>
        <v>30.853304312175911</v>
      </c>
      <c r="BV98" s="456">
        <f t="shared" si="219"/>
        <v>32.169625544246678</v>
      </c>
      <c r="BW98" s="538">
        <f t="shared" si="220"/>
        <v>0.11064297720716046</v>
      </c>
      <c r="BX98" s="144">
        <f t="shared" si="282"/>
        <v>32280.26852145384</v>
      </c>
      <c r="BY98" s="150">
        <f t="shared" si="283"/>
        <v>36.302037467878002</v>
      </c>
      <c r="BZ98" s="5">
        <f t="shared" si="284"/>
        <v>84.63</v>
      </c>
      <c r="CA98" s="150">
        <f t="shared" si="285"/>
        <v>0.69981455511720325</v>
      </c>
      <c r="CB98" s="5">
        <f t="shared" si="286"/>
        <v>69.981455511720327</v>
      </c>
      <c r="CC98">
        <f t="shared" si="287"/>
        <v>93</v>
      </c>
      <c r="CE98" s="59">
        <f t="shared" si="221"/>
        <v>-50</v>
      </c>
      <c r="CF98">
        <f t="shared" si="222"/>
        <v>-50</v>
      </c>
      <c r="CG98" s="150">
        <f t="shared" si="223"/>
        <v>0.56766977275315589</v>
      </c>
      <c r="CH98" s="150">
        <f t="shared" si="224"/>
        <v>0.15382552837714242</v>
      </c>
      <c r="CI98" s="147">
        <v>93</v>
      </c>
      <c r="CJ98" s="188">
        <f t="shared" si="309"/>
        <v>0.46500000000000002</v>
      </c>
      <c r="CK98" s="188">
        <f t="shared" si="288"/>
        <v>0.46500000000000002</v>
      </c>
      <c r="CL98" s="188">
        <f t="shared" si="225"/>
        <v>79.05</v>
      </c>
      <c r="CM98" s="188">
        <f t="shared" si="310"/>
        <v>5.58</v>
      </c>
      <c r="CN98" s="465">
        <f t="shared" si="289"/>
        <v>12</v>
      </c>
      <c r="CO98" s="379">
        <f t="shared" si="226"/>
        <v>8.625</v>
      </c>
      <c r="CP98" s="379">
        <f t="shared" si="227"/>
        <v>20.625</v>
      </c>
      <c r="CQ98" s="379"/>
      <c r="CR98" s="188">
        <f t="shared" si="228"/>
        <v>0.4156318480642805</v>
      </c>
      <c r="CS98" s="149">
        <f t="shared" si="290"/>
        <v>155.29102015588504</v>
      </c>
      <c r="CT98" s="149">
        <f t="shared" si="229"/>
        <v>10.961719069827179</v>
      </c>
      <c r="CU98" s="188">
        <f t="shared" si="230"/>
        <v>0.91347658915226493</v>
      </c>
      <c r="CV98" s="188">
        <f t="shared" si="231"/>
        <v>12.940918346323754</v>
      </c>
      <c r="CW98" s="379">
        <f t="shared" si="232"/>
        <v>170</v>
      </c>
      <c r="CX98" s="188">
        <f t="shared" si="233"/>
        <v>33.936282952548325</v>
      </c>
      <c r="CY98" s="188">
        <f t="shared" si="234"/>
        <v>4.2420353690685415</v>
      </c>
      <c r="CZ98" s="188">
        <f t="shared" si="235"/>
        <v>5.9019622526170998</v>
      </c>
      <c r="DA98" s="172">
        <f t="shared" si="236"/>
        <v>250.90909090909091</v>
      </c>
      <c r="DB98" s="379">
        <f t="shared" si="291"/>
        <v>98.580464753088989</v>
      </c>
      <c r="DD98" s="188">
        <f t="shared" si="237"/>
        <v>13.333333333333332</v>
      </c>
      <c r="DE98" s="150">
        <f t="shared" si="238"/>
        <v>2.318840579710145</v>
      </c>
      <c r="DF98" s="150">
        <f t="shared" si="239"/>
        <v>0.18115218115218115</v>
      </c>
      <c r="DG98" s="150"/>
      <c r="DH98" s="150">
        <f t="shared" si="240"/>
        <v>2.3188405797101455</v>
      </c>
      <c r="DI98" s="314">
        <f t="shared" si="241"/>
        <v>644.05919117647045</v>
      </c>
      <c r="DJ98" s="456">
        <f t="shared" si="242"/>
        <v>0.18115218115218121</v>
      </c>
      <c r="DL98" s="150">
        <f t="shared" si="243"/>
        <v>17.955500549970751</v>
      </c>
      <c r="DM98" s="150">
        <f t="shared" si="244"/>
        <v>33.936282952548325</v>
      </c>
      <c r="DN98" s="150">
        <f t="shared" si="245"/>
        <v>16.461444162381472</v>
      </c>
      <c r="DP98" s="314">
        <f t="shared" si="246"/>
        <v>465</v>
      </c>
      <c r="DQ98" s="144">
        <f t="shared" si="247"/>
        <v>98.580464753088989</v>
      </c>
      <c r="DS98">
        <f t="shared" si="311"/>
        <v>465</v>
      </c>
      <c r="DT98">
        <f t="shared" si="312"/>
        <v>98.580464753088989</v>
      </c>
      <c r="DV98" s="5">
        <f t="shared" si="293"/>
        <v>10.143997621685642</v>
      </c>
      <c r="DW98" s="5">
        <f t="shared" si="249"/>
        <v>4.2420353690685415</v>
      </c>
      <c r="DX98" s="5">
        <f t="shared" si="294"/>
        <v>5.9019622526171007</v>
      </c>
      <c r="DY98" s="150">
        <f t="shared" si="295"/>
        <v>0.41818181818181821</v>
      </c>
      <c r="EA98" s="5">
        <f t="shared" si="250"/>
        <v>1.1603214391863952</v>
      </c>
      <c r="EB98" s="5">
        <f t="shared" si="251"/>
        <v>16.4378870551406</v>
      </c>
      <c r="EC98" s="5">
        <f t="shared" si="252"/>
        <v>64.798627231858575</v>
      </c>
      <c r="ED98" s="5"/>
      <c r="EE98" s="150">
        <f t="shared" si="296"/>
        <v>12.670280165904517</v>
      </c>
      <c r="EF98" s="150">
        <f t="shared" si="253"/>
        <v>0.69798297089574646</v>
      </c>
      <c r="EG98" s="150">
        <f t="shared" si="254"/>
        <v>0.66398196220321459</v>
      </c>
      <c r="EH98" s="150"/>
      <c r="EI98" s="456">
        <f t="shared" si="255"/>
        <v>0.54582239824054546</v>
      </c>
      <c r="EJ98" s="456">
        <f t="shared" si="256"/>
        <v>2.0975999999999995</v>
      </c>
      <c r="EK98" s="456">
        <f t="shared" si="257"/>
        <v>2.2574926428457376E-2</v>
      </c>
      <c r="EL98" s="456">
        <f t="shared" si="258"/>
        <v>2.8725615777163288E-2</v>
      </c>
      <c r="EM98">
        <f t="shared" si="259"/>
        <v>5.4000000000000003E-3</v>
      </c>
      <c r="EN98" s="144">
        <f t="shared" si="297"/>
        <v>27.974926428457376</v>
      </c>
      <c r="EO98">
        <f t="shared" si="260"/>
        <v>3.271807157488233</v>
      </c>
      <c r="EP98" s="144">
        <f t="shared" si="298"/>
        <v>3271.8071574882329</v>
      </c>
      <c r="EQ98" s="150">
        <f t="shared" si="261"/>
        <v>1.03171875</v>
      </c>
      <c r="ER98" s="150">
        <f t="shared" si="262"/>
        <v>0.33015000000000005</v>
      </c>
      <c r="ES98" s="456"/>
      <c r="EU98" s="144">
        <f t="shared" si="299"/>
        <v>1361.8687500000001</v>
      </c>
      <c r="EV98" s="456">
        <f t="shared" si="263"/>
        <v>0.24080399922377008</v>
      </c>
      <c r="EW98" s="456">
        <f t="shared" si="300"/>
        <v>9.7436045532090496E-2</v>
      </c>
      <c r="EX98" s="456">
        <f t="shared" si="264"/>
        <v>1.3226161383936933E-2</v>
      </c>
      <c r="EY98" s="456">
        <f t="shared" si="265"/>
        <v>32.367401730078967</v>
      </c>
      <c r="EZ98" s="456">
        <f t="shared" si="266"/>
        <v>33.752241610290938</v>
      </c>
      <c r="FA98" s="538">
        <f t="shared" si="267"/>
        <v>0.11353229205943438</v>
      </c>
      <c r="FB98" s="144">
        <f t="shared" si="301"/>
        <v>33865.773902350367</v>
      </c>
      <c r="FC98" s="150">
        <f t="shared" si="302"/>
        <v>38.499449809838602</v>
      </c>
      <c r="FD98" s="5">
        <f t="shared" si="303"/>
        <v>84.63</v>
      </c>
      <c r="FE98" s="150">
        <f t="shared" si="304"/>
        <v>0.68732541346284548</v>
      </c>
      <c r="FF98" s="5">
        <f t="shared" si="305"/>
        <v>68.732541346284549</v>
      </c>
      <c r="FG98">
        <f t="shared" si="306"/>
        <v>93</v>
      </c>
      <c r="FI98" s="59">
        <f t="shared" si="268"/>
        <v>-50</v>
      </c>
      <c r="FJ98">
        <f t="shared" si="269"/>
        <v>-50</v>
      </c>
      <c r="FL98">
        <f t="shared" si="270"/>
        <v>0.56766977275315589</v>
      </c>
    </row>
    <row r="99" spans="5:169">
      <c r="E99" s="147">
        <v>94</v>
      </c>
      <c r="F99" s="188">
        <f t="shared" si="307"/>
        <v>0.47</v>
      </c>
      <c r="G99" s="188">
        <f t="shared" si="271"/>
        <v>0.47</v>
      </c>
      <c r="H99" s="188">
        <f t="shared" si="176"/>
        <v>79.899999999999991</v>
      </c>
      <c r="I99" s="188">
        <f t="shared" si="308"/>
        <v>5.64</v>
      </c>
      <c r="J99" s="465">
        <f t="shared" si="177"/>
        <v>11.896642693243411</v>
      </c>
      <c r="K99" s="379">
        <f t="shared" si="178"/>
        <v>8.6867646281650082</v>
      </c>
      <c r="L99" s="149">
        <f t="shared" si="179"/>
        <v>20.583407321408419</v>
      </c>
      <c r="M99" s="379"/>
      <c r="N99" s="188">
        <f t="shared" si="180"/>
        <v>0.42202753375676855</v>
      </c>
      <c r="O99" s="149">
        <f t="shared" si="272"/>
        <v>156.32249668288455</v>
      </c>
      <c r="P99" s="149">
        <f t="shared" si="181"/>
        <v>11.034529177615381</v>
      </c>
      <c r="Q99" s="188">
        <f t="shared" si="182"/>
        <v>0.91954409813461502</v>
      </c>
      <c r="R99" s="188">
        <f t="shared" si="183"/>
        <v>13.026874723573712</v>
      </c>
      <c r="S99" s="379">
        <f t="shared" si="184"/>
        <v>170</v>
      </c>
      <c r="T99" s="188">
        <f t="shared" si="185"/>
        <v>34.074856656571512</v>
      </c>
      <c r="U99" s="188">
        <f t="shared" si="186"/>
        <v>4.2963621168420918</v>
      </c>
      <c r="V99" s="188">
        <f t="shared" si="187"/>
        <v>5.8839265448883502</v>
      </c>
      <c r="W99" s="172">
        <f t="shared" si="188"/>
        <v>251.03553879074988</v>
      </c>
      <c r="X99" s="379">
        <f t="shared" si="273"/>
        <v>96.33643462023872</v>
      </c>
      <c r="Z99" s="188">
        <f t="shared" si="189"/>
        <v>13.333333333333334</v>
      </c>
      <c r="AA99" s="150">
        <f t="shared" si="190"/>
        <v>2.3023531609402892</v>
      </c>
      <c r="AB99" s="150">
        <f t="shared" si="191"/>
        <v>0.17995479718195859</v>
      </c>
      <c r="AC99" s="150"/>
      <c r="AD99" s="150">
        <f t="shared" si="192"/>
        <v>2.3023531609402892</v>
      </c>
      <c r="AE99" s="314">
        <f t="shared" si="193"/>
        <v>655.64633496461886</v>
      </c>
      <c r="AF99" s="456">
        <f t="shared" si="194"/>
        <v>0.17995479718195856</v>
      </c>
      <c r="AH99" s="150">
        <f t="shared" si="195"/>
        <v>18.05177738248139</v>
      </c>
      <c r="AI99" s="150">
        <f t="shared" si="196"/>
        <v>34.074856656571512</v>
      </c>
      <c r="AJ99" s="150">
        <f t="shared" si="197"/>
        <v>16.5640913505468</v>
      </c>
      <c r="AL99" s="314">
        <f t="shared" si="198"/>
        <v>470</v>
      </c>
      <c r="AM99" s="144">
        <f t="shared" si="199"/>
        <v>96.33643462023872</v>
      </c>
      <c r="AO99">
        <f t="shared" si="274"/>
        <v>470</v>
      </c>
      <c r="AP99">
        <f t="shared" si="200"/>
        <v>96.33643462023872</v>
      </c>
      <c r="AR99" s="5">
        <f t="shared" si="275"/>
        <v>10.380288661730443</v>
      </c>
      <c r="AS99" s="5">
        <f t="shared" si="201"/>
        <v>4.2963621168420918</v>
      </c>
      <c r="AT99" s="5">
        <f t="shared" si="276"/>
        <v>6.0839265448883513</v>
      </c>
      <c r="AU99" s="150">
        <f t="shared" si="277"/>
        <v>0.41389620817402856</v>
      </c>
      <c r="AW99" s="5">
        <f t="shared" si="202"/>
        <v>1.1878177617151664</v>
      </c>
      <c r="AX99" s="5">
        <f t="shared" si="203"/>
        <v>16.827418290964857</v>
      </c>
      <c r="AY99" s="5">
        <f t="shared" si="204"/>
        <v>68.101248320062936</v>
      </c>
      <c r="AZ99" s="5"/>
      <c r="BA99" s="150">
        <f t="shared" si="278"/>
        <v>12.65666059424367</v>
      </c>
      <c r="BB99" s="150">
        <f t="shared" si="205"/>
        <v>0.70340947411040655</v>
      </c>
      <c r="BC99" s="150">
        <f t="shared" si="206"/>
        <v>0.66914412288995473</v>
      </c>
      <c r="BD99" s="150"/>
      <c r="BE99" s="456">
        <f t="shared" si="207"/>
        <v>0.54464959515279376</v>
      </c>
      <c r="BF99" s="456">
        <f t="shared" si="208"/>
        <v>1.6182566217807139</v>
      </c>
      <c r="BG99" s="456">
        <f t="shared" si="209"/>
        <v>5.2490470458623699E-2</v>
      </c>
      <c r="BH99" s="456">
        <f t="shared" si="210"/>
        <v>2.7958616515828271E-2</v>
      </c>
      <c r="BI99">
        <f t="shared" si="211"/>
        <v>5.3534892119595345E-3</v>
      </c>
      <c r="BJ99" s="144">
        <f t="shared" si="279"/>
        <v>57.843959670583239</v>
      </c>
      <c r="BK99">
        <f t="shared" si="212"/>
        <v>2.6854395877665485</v>
      </c>
      <c r="BL99" s="144">
        <f t="shared" si="280"/>
        <v>2685.4395877665484</v>
      </c>
      <c r="BM99" s="150">
        <f t="shared" si="213"/>
        <v>1.0428124999999997</v>
      </c>
      <c r="BN99" s="150">
        <f t="shared" si="214"/>
        <v>0.3337</v>
      </c>
      <c r="BO99" s="456"/>
      <c r="BQ99" s="144">
        <f t="shared" si="281"/>
        <v>1376.5124999999996</v>
      </c>
      <c r="BR99" s="456">
        <f t="shared" si="215"/>
        <v>0.24028658609682077</v>
      </c>
      <c r="BS99" s="456">
        <f t="shared" si="216"/>
        <v>9.8956977653655742E-2</v>
      </c>
      <c r="BT99" s="456">
        <f t="shared" si="217"/>
        <v>1.3432615715945005E-2</v>
      </c>
      <c r="BU99" s="456">
        <f t="shared" si="218"/>
        <v>30.86963689938823</v>
      </c>
      <c r="BV99" s="456">
        <f t="shared" si="219"/>
        <v>32.215897740585028</v>
      </c>
      <c r="BW99" s="538">
        <f t="shared" si="220"/>
        <v>0.11185583503535593</v>
      </c>
      <c r="BX99" s="144">
        <f t="shared" si="282"/>
        <v>32327.753575620383</v>
      </c>
      <c r="BY99" s="150">
        <f t="shared" si="283"/>
        <v>36.389705663386934</v>
      </c>
      <c r="BZ99" s="5">
        <f t="shared" si="284"/>
        <v>85.539999999999992</v>
      </c>
      <c r="CA99" s="150">
        <f t="shared" si="285"/>
        <v>0.70155176324423751</v>
      </c>
      <c r="CB99" s="5">
        <f t="shared" si="286"/>
        <v>70.155176324423749</v>
      </c>
      <c r="CC99">
        <f t="shared" si="287"/>
        <v>94</v>
      </c>
      <c r="CE99" s="59">
        <f t="shared" si="221"/>
        <v>-50</v>
      </c>
      <c r="CF99">
        <f t="shared" si="222"/>
        <v>-50</v>
      </c>
      <c r="CG99" s="150">
        <f t="shared" si="223"/>
        <v>0.56766977275315578</v>
      </c>
      <c r="CH99" s="150">
        <f t="shared" si="224"/>
        <v>0.15382552837714242</v>
      </c>
      <c r="CI99" s="147">
        <v>94</v>
      </c>
      <c r="CJ99" s="188">
        <f t="shared" si="309"/>
        <v>0.47</v>
      </c>
      <c r="CK99" s="188">
        <f t="shared" si="288"/>
        <v>0.47</v>
      </c>
      <c r="CL99" s="188">
        <f t="shared" si="225"/>
        <v>79.899999999999991</v>
      </c>
      <c r="CM99" s="188">
        <f t="shared" si="310"/>
        <v>5.64</v>
      </c>
      <c r="CN99" s="465">
        <f t="shared" si="289"/>
        <v>12</v>
      </c>
      <c r="CO99" s="379">
        <f t="shared" si="226"/>
        <v>8.625</v>
      </c>
      <c r="CP99" s="379">
        <f t="shared" si="227"/>
        <v>20.625</v>
      </c>
      <c r="CQ99" s="379"/>
      <c r="CR99" s="188">
        <f t="shared" si="228"/>
        <v>0.4156318480642805</v>
      </c>
      <c r="CS99" s="149">
        <f t="shared" si="290"/>
        <v>155.29102015588504</v>
      </c>
      <c r="CT99" s="149">
        <f t="shared" si="229"/>
        <v>10.961719069827179</v>
      </c>
      <c r="CU99" s="188">
        <f t="shared" si="230"/>
        <v>0.91347658915226493</v>
      </c>
      <c r="CV99" s="188">
        <f t="shared" si="231"/>
        <v>12.940918346323754</v>
      </c>
      <c r="CW99" s="379">
        <f t="shared" si="232"/>
        <v>170</v>
      </c>
      <c r="CX99" s="188">
        <f t="shared" si="233"/>
        <v>34.301189220855299</v>
      </c>
      <c r="CY99" s="188">
        <f t="shared" si="234"/>
        <v>4.2876486526069124</v>
      </c>
      <c r="CZ99" s="188">
        <f t="shared" si="235"/>
        <v>5.9654242123226613</v>
      </c>
      <c r="DA99" s="172">
        <f t="shared" si="236"/>
        <v>250.90909090909091</v>
      </c>
      <c r="DB99" s="379">
        <f t="shared" si="291"/>
        <v>97.531736404651866</v>
      </c>
      <c r="DD99" s="188">
        <f t="shared" si="237"/>
        <v>13.333333333333332</v>
      </c>
      <c r="DE99" s="150">
        <f t="shared" si="238"/>
        <v>2.318840579710145</v>
      </c>
      <c r="DF99" s="150">
        <f t="shared" si="239"/>
        <v>0.18115218115218115</v>
      </c>
      <c r="DG99" s="150"/>
      <c r="DH99" s="150">
        <f t="shared" si="240"/>
        <v>2.3188405797101455</v>
      </c>
      <c r="DI99" s="314">
        <f t="shared" si="241"/>
        <v>650.98455882352914</v>
      </c>
      <c r="DJ99" s="456">
        <f t="shared" si="242"/>
        <v>0.18115218115218121</v>
      </c>
      <c r="DL99" s="150">
        <f t="shared" si="243"/>
        <v>18.05177738248139</v>
      </c>
      <c r="DM99" s="150">
        <f t="shared" si="244"/>
        <v>34.301189220855299</v>
      </c>
      <c r="DN99" s="150">
        <f t="shared" si="245"/>
        <v>16.731745101868121</v>
      </c>
      <c r="DP99" s="314">
        <f t="shared" si="246"/>
        <v>470</v>
      </c>
      <c r="DQ99" s="144">
        <f t="shared" si="247"/>
        <v>97.531736404651866</v>
      </c>
      <c r="DS99">
        <f t="shared" si="311"/>
        <v>470</v>
      </c>
      <c r="DT99">
        <f t="shared" si="312"/>
        <v>97.531736404651866</v>
      </c>
      <c r="DV99" s="5">
        <f t="shared" si="293"/>
        <v>10.253072864929575</v>
      </c>
      <c r="DW99" s="5">
        <f t="shared" si="249"/>
        <v>4.2876486526069124</v>
      </c>
      <c r="DX99" s="5">
        <f t="shared" si="294"/>
        <v>5.9654242123226622</v>
      </c>
      <c r="DY99" s="150">
        <f t="shared" si="295"/>
        <v>0.4181818181818181</v>
      </c>
      <c r="EA99" s="5">
        <f t="shared" si="250"/>
        <v>1.1854087451324991</v>
      </c>
      <c r="EB99" s="5">
        <f t="shared" si="251"/>
        <v>16.793290556043736</v>
      </c>
      <c r="EC99" s="5">
        <f t="shared" si="252"/>
        <v>66.199638133969529</v>
      </c>
      <c r="ED99" s="5"/>
      <c r="EE99" s="150">
        <f t="shared" si="296"/>
        <v>12.80651973758091</v>
      </c>
      <c r="EF99" s="150">
        <f t="shared" si="253"/>
        <v>0.70548816413118465</v>
      </c>
      <c r="EG99" s="150">
        <f t="shared" si="254"/>
        <v>0.67112155319464717</v>
      </c>
      <c r="EH99" s="150"/>
      <c r="EI99" s="456">
        <f t="shared" si="255"/>
        <v>0.55762362248276798</v>
      </c>
      <c r="EJ99" s="456">
        <f t="shared" si="256"/>
        <v>2.0975999999999995</v>
      </c>
      <c r="EK99" s="456">
        <f t="shared" si="257"/>
        <v>2.2334767636665274E-2</v>
      </c>
      <c r="EL99" s="456">
        <f t="shared" si="258"/>
        <v>2.8420024119959423E-2</v>
      </c>
      <c r="EM99">
        <f t="shared" si="259"/>
        <v>5.4000000000000003E-3</v>
      </c>
      <c r="EN99" s="144">
        <f t="shared" si="297"/>
        <v>27.734767636665275</v>
      </c>
      <c r="EO99">
        <f t="shared" si="260"/>
        <v>3.2990297759036777</v>
      </c>
      <c r="EP99" s="144">
        <f t="shared" si="298"/>
        <v>3299.0297759036775</v>
      </c>
      <c r="EQ99" s="150">
        <f t="shared" si="261"/>
        <v>1.0428124999999997</v>
      </c>
      <c r="ER99" s="150">
        <f t="shared" si="262"/>
        <v>0.3337</v>
      </c>
      <c r="ES99" s="456"/>
      <c r="EU99" s="144">
        <f t="shared" si="299"/>
        <v>1376.5124999999996</v>
      </c>
      <c r="EV99" s="456">
        <f t="shared" si="263"/>
        <v>0.24601042168357412</v>
      </c>
      <c r="EW99" s="456">
        <f t="shared" si="300"/>
        <v>9.9542709945837873E-2</v>
      </c>
      <c r="EX99" s="456">
        <f t="shared" si="264"/>
        <v>1.3512124174871869E-2</v>
      </c>
      <c r="EY99" s="456">
        <f t="shared" si="265"/>
        <v>32.367401730079024</v>
      </c>
      <c r="EZ99" s="456">
        <f t="shared" si="266"/>
        <v>33.783068744936685</v>
      </c>
      <c r="FA99" s="538">
        <f t="shared" si="267"/>
        <v>0.11475306939340681</v>
      </c>
      <c r="FB99" s="144">
        <f t="shared" si="301"/>
        <v>33897.821814330091</v>
      </c>
      <c r="FC99" s="150">
        <f t="shared" si="302"/>
        <v>38.573364090233774</v>
      </c>
      <c r="FD99" s="5">
        <f t="shared" si="303"/>
        <v>85.539999999999992</v>
      </c>
      <c r="FE99" s="150">
        <f t="shared" si="304"/>
        <v>0.68920861687231438</v>
      </c>
      <c r="FF99" s="5">
        <f t="shared" si="305"/>
        <v>68.920861687231437</v>
      </c>
      <c r="FG99">
        <f t="shared" si="306"/>
        <v>94</v>
      </c>
      <c r="FI99" s="59">
        <f t="shared" si="268"/>
        <v>-50</v>
      </c>
      <c r="FJ99">
        <f t="shared" si="269"/>
        <v>-50</v>
      </c>
      <c r="FL99">
        <f t="shared" si="270"/>
        <v>0.56766977275315578</v>
      </c>
    </row>
    <row r="100" spans="5:169">
      <c r="E100" s="147">
        <v>95</v>
      </c>
      <c r="F100" s="188">
        <f t="shared" si="307"/>
        <v>0.47499999999999998</v>
      </c>
      <c r="G100" s="188">
        <f t="shared" si="271"/>
        <v>0.47499999999999998</v>
      </c>
      <c r="H100" s="188">
        <f t="shared" si="176"/>
        <v>80.75</v>
      </c>
      <c r="I100" s="188">
        <f t="shared" si="308"/>
        <v>5.6999999999999993</v>
      </c>
      <c r="J100" s="465">
        <f t="shared" si="177"/>
        <v>11.895543147426851</v>
      </c>
      <c r="K100" s="379">
        <f t="shared" si="178"/>
        <v>8.6874216986774027</v>
      </c>
      <c r="L100" s="149">
        <f t="shared" si="179"/>
        <v>20.582964846104254</v>
      </c>
      <c r="M100" s="379"/>
      <c r="N100" s="188">
        <f t="shared" si="180"/>
        <v>0.42206852917604215</v>
      </c>
      <c r="O100" s="149">
        <f t="shared" si="272"/>
        <v>156.32323223395269</v>
      </c>
      <c r="P100" s="149">
        <f t="shared" si="181"/>
        <v>11.03458109886725</v>
      </c>
      <c r="Q100" s="188">
        <f t="shared" si="182"/>
        <v>0.91954842490560407</v>
      </c>
      <c r="R100" s="188">
        <f t="shared" si="183"/>
        <v>13.026936019496057</v>
      </c>
      <c r="S100" s="379">
        <f t="shared" si="184"/>
        <v>170</v>
      </c>
      <c r="T100" s="188">
        <f t="shared" si="185"/>
        <v>34.437193092813352</v>
      </c>
      <c r="U100" s="188">
        <f t="shared" si="186"/>
        <v>4.3424490163270768</v>
      </c>
      <c r="V100" s="188">
        <f t="shared" si="187"/>
        <v>5.9460437665969703</v>
      </c>
      <c r="W100" s="172">
        <f t="shared" si="188"/>
        <v>251.03671999922989</v>
      </c>
      <c r="X100" s="379">
        <f t="shared" si="273"/>
        <v>95.342583600578479</v>
      </c>
      <c r="Z100" s="188">
        <f t="shared" si="189"/>
        <v>13.333333333333332</v>
      </c>
      <c r="AA100" s="150">
        <f t="shared" si="190"/>
        <v>2.3021790231553805</v>
      </c>
      <c r="AB100" s="150">
        <f t="shared" si="191"/>
        <v>0.17994203304042644</v>
      </c>
      <c r="AC100" s="150"/>
      <c r="AD100" s="150">
        <f t="shared" si="192"/>
        <v>2.3021790231553809</v>
      </c>
      <c r="AE100" s="314">
        <f t="shared" si="193"/>
        <v>662.671416927054</v>
      </c>
      <c r="AF100" s="456">
        <f t="shared" si="194"/>
        <v>0.17994203304042647</v>
      </c>
      <c r="AH100" s="150">
        <f t="shared" si="195"/>
        <v>18.147543451754931</v>
      </c>
      <c r="AI100" s="150">
        <f t="shared" si="196"/>
        <v>34.437193092813352</v>
      </c>
      <c r="AJ100" s="150">
        <f t="shared" si="197"/>
        <v>16.832488710725936</v>
      </c>
      <c r="AL100" s="314">
        <f t="shared" si="198"/>
        <v>475</v>
      </c>
      <c r="AM100" s="144">
        <f t="shared" si="199"/>
        <v>95.342583600578479</v>
      </c>
      <c r="AO100">
        <f t="shared" si="274"/>
        <v>475</v>
      </c>
      <c r="AP100">
        <f t="shared" si="200"/>
        <v>95.342583600578479</v>
      </c>
      <c r="AR100" s="5">
        <f t="shared" si="275"/>
        <v>10.488492782924046</v>
      </c>
      <c r="AS100" s="5">
        <f t="shared" si="201"/>
        <v>4.3424490163270768</v>
      </c>
      <c r="AT100" s="5">
        <f t="shared" si="276"/>
        <v>6.1460437665969696</v>
      </c>
      <c r="AU100" s="150">
        <f t="shared" si="277"/>
        <v>0.41402030837041415</v>
      </c>
      <c r="AW100" s="5">
        <f t="shared" si="202"/>
        <v>1.2133313427972714</v>
      </c>
      <c r="AX100" s="5">
        <f t="shared" si="203"/>
        <v>17.188860689628012</v>
      </c>
      <c r="AY100" s="5">
        <f t="shared" si="204"/>
        <v>69.534870889867591</v>
      </c>
      <c r="AZ100" s="5"/>
      <c r="BA100" s="150">
        <f t="shared" si="278"/>
        <v>12.79316321460197</v>
      </c>
      <c r="BB100" s="150">
        <f t="shared" si="205"/>
        <v>0.71081394368081996</v>
      </c>
      <c r="BC100" s="150">
        <f t="shared" si="206"/>
        <v>0.67618789679195646</v>
      </c>
      <c r="BD100" s="150"/>
      <c r="BE100" s="456">
        <f t="shared" si="207"/>
        <v>0.55646108512051307</v>
      </c>
      <c r="BF100" s="456">
        <f t="shared" si="208"/>
        <v>1.618557423881358</v>
      </c>
      <c r="BG100" s="456">
        <f t="shared" si="209"/>
        <v>5.1944153218958754E-2</v>
      </c>
      <c r="BH100" s="456">
        <f t="shared" si="210"/>
        <v>2.7668992931358969E-2</v>
      </c>
      <c r="BI100">
        <f t="shared" si="211"/>
        <v>5.352994416342083E-3</v>
      </c>
      <c r="BJ100" s="144">
        <f t="shared" si="279"/>
        <v>57.297147635300838</v>
      </c>
      <c r="BK100">
        <f t="shared" si="212"/>
        <v>2.711423235017262</v>
      </c>
      <c r="BL100" s="144">
        <f t="shared" si="280"/>
        <v>2711.423235017262</v>
      </c>
      <c r="BM100" s="150">
        <f t="shared" si="213"/>
        <v>1.05390625</v>
      </c>
      <c r="BN100" s="150">
        <f t="shared" si="214"/>
        <v>0.33724999999999999</v>
      </c>
      <c r="BO100" s="456"/>
      <c r="BQ100" s="144">
        <f t="shared" si="281"/>
        <v>1391.15625</v>
      </c>
      <c r="BR100" s="456">
        <f t="shared" si="215"/>
        <v>0.24549753755316753</v>
      </c>
      <c r="BS100" s="456">
        <f t="shared" si="216"/>
        <v>0.10105129250621599</v>
      </c>
      <c r="BT100" s="456">
        <f t="shared" si="217"/>
        <v>1.3716902153037886E-2</v>
      </c>
      <c r="BU100" s="456">
        <f t="shared" si="218"/>
        <v>30.885643867959509</v>
      </c>
      <c r="BV100" s="456">
        <f t="shared" si="219"/>
        <v>32.262210898473313</v>
      </c>
      <c r="BW100" s="538">
        <f t="shared" si="220"/>
        <v>0.11306870230606132</v>
      </c>
      <c r="BX100" s="144">
        <f t="shared" si="282"/>
        <v>32375.279600779373</v>
      </c>
      <c r="BY100" s="150">
        <f t="shared" si="283"/>
        <v>36.477859085796631</v>
      </c>
      <c r="BZ100" s="5">
        <f t="shared" si="284"/>
        <v>86.45</v>
      </c>
      <c r="CA100" s="150">
        <f t="shared" si="285"/>
        <v>0.70325799735650518</v>
      </c>
      <c r="CB100" s="5">
        <f t="shared" si="286"/>
        <v>70.32579973565052</v>
      </c>
      <c r="CC100">
        <f t="shared" si="287"/>
        <v>95</v>
      </c>
      <c r="CE100" s="59">
        <f t="shared" si="221"/>
        <v>-50</v>
      </c>
      <c r="CF100">
        <f t="shared" si="222"/>
        <v>-50</v>
      </c>
      <c r="CG100" s="150">
        <f t="shared" si="223"/>
        <v>0.56766977275315578</v>
      </c>
      <c r="CH100" s="150">
        <f t="shared" si="224"/>
        <v>0.15382552837714239</v>
      </c>
      <c r="CI100" s="147">
        <v>95</v>
      </c>
      <c r="CJ100" s="188">
        <f t="shared" si="309"/>
        <v>0.47499999999999998</v>
      </c>
      <c r="CK100" s="188">
        <f t="shared" si="288"/>
        <v>0.47499999999999998</v>
      </c>
      <c r="CL100" s="188">
        <f t="shared" si="225"/>
        <v>80.75</v>
      </c>
      <c r="CM100" s="188">
        <f t="shared" si="310"/>
        <v>5.6999999999999993</v>
      </c>
      <c r="CN100" s="465">
        <f t="shared" si="289"/>
        <v>12</v>
      </c>
      <c r="CO100" s="379">
        <f t="shared" si="226"/>
        <v>8.625</v>
      </c>
      <c r="CP100" s="379">
        <f t="shared" si="227"/>
        <v>20.625</v>
      </c>
      <c r="CQ100" s="379"/>
      <c r="CR100" s="188">
        <f t="shared" si="228"/>
        <v>0.4156318480642805</v>
      </c>
      <c r="CS100" s="149">
        <f t="shared" si="290"/>
        <v>155.29102015588504</v>
      </c>
      <c r="CT100" s="149">
        <f t="shared" si="229"/>
        <v>10.961719069827179</v>
      </c>
      <c r="CU100" s="188">
        <f t="shared" si="230"/>
        <v>0.91347658915226493</v>
      </c>
      <c r="CV100" s="188">
        <f t="shared" si="231"/>
        <v>12.940918346323754</v>
      </c>
      <c r="CW100" s="379">
        <f t="shared" si="232"/>
        <v>170</v>
      </c>
      <c r="CX100" s="188">
        <f t="shared" si="233"/>
        <v>34.666095489162274</v>
      </c>
      <c r="CY100" s="188">
        <f t="shared" si="234"/>
        <v>4.3332619361452842</v>
      </c>
      <c r="CZ100" s="188">
        <f t="shared" si="235"/>
        <v>6.0288861720282219</v>
      </c>
      <c r="DA100" s="172">
        <f t="shared" si="236"/>
        <v>250.90909090909091</v>
      </c>
      <c r="DB100" s="379">
        <f t="shared" si="291"/>
        <v>96.505086547760783</v>
      </c>
      <c r="DD100" s="188">
        <f t="shared" si="237"/>
        <v>13.333333333333332</v>
      </c>
      <c r="DE100" s="150">
        <f t="shared" si="238"/>
        <v>2.318840579710145</v>
      </c>
      <c r="DF100" s="150">
        <f t="shared" si="239"/>
        <v>0.18115218115218115</v>
      </c>
      <c r="DG100" s="150"/>
      <c r="DH100" s="150">
        <f t="shared" si="240"/>
        <v>2.3188405797101455</v>
      </c>
      <c r="DI100" s="314">
        <f t="shared" si="241"/>
        <v>657.90992647058795</v>
      </c>
      <c r="DJ100" s="456">
        <f t="shared" si="242"/>
        <v>0.18115218115218121</v>
      </c>
      <c r="DL100" s="150">
        <f t="shared" si="243"/>
        <v>18.147543451754931</v>
      </c>
      <c r="DM100" s="150">
        <f t="shared" si="244"/>
        <v>34.666095489162274</v>
      </c>
      <c r="DN100" s="150">
        <f t="shared" si="245"/>
        <v>17.00204604135477</v>
      </c>
      <c r="DP100" s="314">
        <f t="shared" si="246"/>
        <v>475</v>
      </c>
      <c r="DQ100" s="144">
        <f t="shared" si="247"/>
        <v>96.505086547760783</v>
      </c>
      <c r="DS100">
        <f t="shared" si="311"/>
        <v>475</v>
      </c>
      <c r="DT100">
        <f t="shared" si="312"/>
        <v>96.505086547760783</v>
      </c>
      <c r="DV100" s="5">
        <f t="shared" si="293"/>
        <v>10.362148108173509</v>
      </c>
      <c r="DW100" s="5">
        <f t="shared" si="249"/>
        <v>4.3332619361452842</v>
      </c>
      <c r="DX100" s="5">
        <f t="shared" si="294"/>
        <v>6.0288861720282245</v>
      </c>
      <c r="DY100" s="150">
        <f t="shared" si="295"/>
        <v>0.41818181818181804</v>
      </c>
      <c r="EA100" s="5">
        <f t="shared" si="250"/>
        <v>1.2107643645111823</v>
      </c>
      <c r="EB100" s="5">
        <f t="shared" si="251"/>
        <v>17.152495163908419</v>
      </c>
      <c r="EC100" s="5">
        <f t="shared" si="252"/>
        <v>67.615633109899875</v>
      </c>
      <c r="ED100" s="5"/>
      <c r="EE100" s="150">
        <f t="shared" si="296"/>
        <v>12.942759309257301</v>
      </c>
      <c r="EF100" s="150">
        <f t="shared" si="253"/>
        <v>0.71299335736662295</v>
      </c>
      <c r="EG100" s="150">
        <f t="shared" si="254"/>
        <v>0.67826114418607975</v>
      </c>
      <c r="EH100" s="150"/>
      <c r="EI100" s="456">
        <f t="shared" si="255"/>
        <v>0.56955106302704617</v>
      </c>
      <c r="EJ100" s="456">
        <f t="shared" si="256"/>
        <v>2.0975999999999995</v>
      </c>
      <c r="EK100" s="456">
        <f t="shared" si="257"/>
        <v>2.2099664819437221E-2</v>
      </c>
      <c r="EL100" s="456">
        <f t="shared" si="258"/>
        <v>2.8120865971328266E-2</v>
      </c>
      <c r="EM100">
        <f t="shared" si="259"/>
        <v>5.4000000000000003E-3</v>
      </c>
      <c r="EN100" s="144">
        <f t="shared" si="297"/>
        <v>27.499664819437221</v>
      </c>
      <c r="EO100">
        <f t="shared" si="260"/>
        <v>3.326742981151777</v>
      </c>
      <c r="EP100" s="144">
        <f t="shared" si="298"/>
        <v>3326.7429811517768</v>
      </c>
      <c r="EQ100" s="150">
        <f t="shared" si="261"/>
        <v>1.05390625</v>
      </c>
      <c r="ER100" s="150">
        <f t="shared" si="262"/>
        <v>0.33724999999999999</v>
      </c>
      <c r="ES100" s="456"/>
      <c r="EU100" s="144">
        <f t="shared" si="299"/>
        <v>1391.15625</v>
      </c>
      <c r="EV100" s="456">
        <f t="shared" si="263"/>
        <v>0.25127252780604981</v>
      </c>
      <c r="EW100" s="456">
        <f t="shared" si="300"/>
        <v>0.10167190552978578</v>
      </c>
      <c r="EX100" s="456">
        <f t="shared" si="264"/>
        <v>1.3801145391378302E-2</v>
      </c>
      <c r="EY100" s="456">
        <f t="shared" si="265"/>
        <v>32.367401730078967</v>
      </c>
      <c r="EZ100" s="456">
        <f t="shared" si="266"/>
        <v>33.814264817272381</v>
      </c>
      <c r="FA100" s="538">
        <f t="shared" si="267"/>
        <v>0.11597384672737922</v>
      </c>
      <c r="FB100" s="144">
        <f t="shared" si="301"/>
        <v>33930.238663999757</v>
      </c>
      <c r="FC100" s="150">
        <f t="shared" si="302"/>
        <v>38.648137895151535</v>
      </c>
      <c r="FD100" s="5">
        <f t="shared" si="303"/>
        <v>86.45</v>
      </c>
      <c r="FE100" s="150">
        <f t="shared" si="304"/>
        <v>0.69105744861251506</v>
      </c>
      <c r="FF100" s="5">
        <f t="shared" si="305"/>
        <v>69.105744861251509</v>
      </c>
      <c r="FG100">
        <f t="shared" si="306"/>
        <v>95</v>
      </c>
      <c r="FI100" s="59">
        <f t="shared" si="268"/>
        <v>-50</v>
      </c>
      <c r="FJ100">
        <f t="shared" si="269"/>
        <v>-50</v>
      </c>
      <c r="FL100">
        <f t="shared" si="270"/>
        <v>0.56766977275315578</v>
      </c>
    </row>
    <row r="101" spans="5:169">
      <c r="E101" s="147">
        <v>96</v>
      </c>
      <c r="F101" s="188">
        <f t="shared" si="307"/>
        <v>0.48</v>
      </c>
      <c r="G101" s="188">
        <f t="shared" si="271"/>
        <v>0.48</v>
      </c>
      <c r="H101" s="188">
        <f t="shared" si="176"/>
        <v>81.599999999999994</v>
      </c>
      <c r="I101" s="188">
        <f t="shared" si="308"/>
        <v>5.76</v>
      </c>
      <c r="J101" s="465">
        <f t="shared" si="177"/>
        <v>11.894443601610293</v>
      </c>
      <c r="K101" s="379">
        <f t="shared" si="178"/>
        <v>8.6880787691897954</v>
      </c>
      <c r="L101" s="149">
        <f t="shared" si="179"/>
        <v>20.582522370800088</v>
      </c>
      <c r="M101" s="379"/>
      <c r="N101" s="188">
        <f t="shared" si="180"/>
        <v>0.42210952635792376</v>
      </c>
      <c r="O101" s="149">
        <f t="shared" si="272"/>
        <v>156.32396563083316</v>
      </c>
      <c r="P101" s="149">
        <f t="shared" si="181"/>
        <v>11.034632868058811</v>
      </c>
      <c r="Q101" s="188">
        <f t="shared" si="182"/>
        <v>0.91955273900490098</v>
      </c>
      <c r="R101" s="188">
        <f t="shared" si="183"/>
        <v>13.026997135902763</v>
      </c>
      <c r="S101" s="379">
        <f t="shared" si="184"/>
        <v>170</v>
      </c>
      <c r="T101" s="188">
        <f t="shared" si="185"/>
        <v>34.799526598799524</v>
      </c>
      <c r="U101" s="188">
        <f t="shared" si="186"/>
        <v>4.388544067007258</v>
      </c>
      <c r="V101" s="188">
        <f t="shared" si="187"/>
        <v>6.0081510866719645</v>
      </c>
      <c r="W101" s="172">
        <f t="shared" si="188"/>
        <v>251.03789774833788</v>
      </c>
      <c r="X101" s="379">
        <f t="shared" si="273"/>
        <v>94.369044829301842</v>
      </c>
      <c r="Z101" s="188">
        <f t="shared" si="189"/>
        <v>13.333333333333334</v>
      </c>
      <c r="AA101" s="150">
        <f t="shared" si="190"/>
        <v>2.3020049117101982</v>
      </c>
      <c r="AB101" s="150">
        <f>0.5*AA101*Z101*Nps*W101/1000*(Pout/Pout_total)</f>
        <v>0.17992926835009701</v>
      </c>
      <c r="AC101" s="150"/>
      <c r="AD101" s="150">
        <f t="shared" si="192"/>
        <v>2.3020049117101982</v>
      </c>
      <c r="AE101" s="314">
        <f>MAX(10, F101/(0.5*AD101/1000000*Isw_min*Nps)/1000*Pout_total/Pout)</f>
        <v>669.69755406742979</v>
      </c>
      <c r="AF101" s="456">
        <f t="shared" si="194"/>
        <v>0.17992926835009701</v>
      </c>
      <c r="AH101" s="150">
        <f t="shared" si="195"/>
        <v>18.242806801586209</v>
      </c>
      <c r="AI101" s="150">
        <f>MAX(IF(F101&gt;AB101,T101,AH101),Isw_min)</f>
        <v>34.799526598799524</v>
      </c>
      <c r="AJ101" s="150">
        <f>IF(F101&gt;AF101, (AI101-Isw_min)/1.08*0.8+1.2, AE101*0.2/350+1)</f>
        <v>17.100883900345323</v>
      </c>
      <c r="AL101" s="314">
        <f t="shared" si="198"/>
        <v>480</v>
      </c>
      <c r="AM101" s="144">
        <f t="shared" si="199"/>
        <v>94.369044829301842</v>
      </c>
      <c r="AO101">
        <f t="shared" si="274"/>
        <v>480</v>
      </c>
      <c r="AP101">
        <f t="shared" si="200"/>
        <v>94.369044829301842</v>
      </c>
      <c r="AR101" s="5">
        <f t="shared" si="275"/>
        <v>10.596695153679223</v>
      </c>
      <c r="AS101" s="5">
        <f t="shared" si="201"/>
        <v>4.388544067007258</v>
      </c>
      <c r="AT101" s="5">
        <f t="shared" si="276"/>
        <v>6.2081510866719647</v>
      </c>
      <c r="AU101" s="150">
        <f t="shared" si="277"/>
        <v>0.41414271179477452</v>
      </c>
      <c r="AW101" s="5">
        <f t="shared" si="202"/>
        <v>1.2391183248020492</v>
      </c>
      <c r="AX101" s="5">
        <f t="shared" si="203"/>
        <v>17.554176268029032</v>
      </c>
      <c r="AY101" s="5">
        <f t="shared" si="204"/>
        <v>70.983442022717469</v>
      </c>
      <c r="AZ101" s="5"/>
      <c r="BA101" s="150">
        <f t="shared" si="278"/>
        <v>12.929678319162138</v>
      </c>
      <c r="BB101" s="150">
        <f t="shared" si="205"/>
        <v>0.71821780095509491</v>
      </c>
      <c r="BC101" s="150">
        <f t="shared" si="206"/>
        <v>0.68323108822474565</v>
      </c>
      <c r="BD101" s="150"/>
      <c r="BE101" s="456">
        <f t="shared" si="207"/>
        <v>0.56840037688583889</v>
      </c>
      <c r="BF101" s="456">
        <f t="shared" si="208"/>
        <v>1.6188514893175245</v>
      </c>
      <c r="BG101" s="456">
        <f t="shared" si="209"/>
        <v>5.1409001490866357E-2</v>
      </c>
      <c r="BH101" s="456">
        <f t="shared" si="210"/>
        <v>2.7385288657022132E-2</v>
      </c>
      <c r="BI101">
        <f t="shared" si="211"/>
        <v>5.3524996207246316E-3</v>
      </c>
      <c r="BJ101" s="144">
        <f t="shared" si="279"/>
        <v>56.761501111590995</v>
      </c>
      <c r="BK101">
        <f t="shared" si="212"/>
        <v>2.7378583033109214</v>
      </c>
      <c r="BL101" s="144">
        <f t="shared" si="280"/>
        <v>2737.8583033109212</v>
      </c>
      <c r="BM101" s="150">
        <f t="shared" si="213"/>
        <v>1.0649999999999999</v>
      </c>
      <c r="BN101" s="150">
        <f t="shared" si="214"/>
        <v>0.34079999999999999</v>
      </c>
      <c r="BO101" s="456"/>
      <c r="BQ101" s="144">
        <f t="shared" si="281"/>
        <v>1405.8</v>
      </c>
      <c r="BR101" s="456">
        <f t="shared" si="215"/>
        <v>0.25076487215551718</v>
      </c>
      <c r="BS101" s="456">
        <f t="shared" si="216"/>
        <v>0.10316736192175446</v>
      </c>
      <c r="BT101" s="456">
        <f t="shared" si="217"/>
        <v>1.4004141597503105E-2</v>
      </c>
      <c r="BU101" s="456">
        <f t="shared" si="218"/>
        <v>30.901335022249317</v>
      </c>
      <c r="BV101" s="456">
        <f>(BU101+(BR101+BS101+BT101)*(1+Ltc*(Ta-25)))/(1-(BR101+BS101+BT101)*Ltc*ThetaCa)</f>
        <v>32.308576161368137</v>
      </c>
      <c r="BW101" s="538">
        <f t="shared" si="220"/>
        <v>0.11428157873165658</v>
      </c>
      <c r="BX101" s="144">
        <f t="shared" si="282"/>
        <v>32422.857740099793</v>
      </c>
      <c r="BY101" s="150">
        <f t="shared" si="283"/>
        <v>36.566516043410715</v>
      </c>
      <c r="BZ101" s="5">
        <f t="shared" si="284"/>
        <v>87.36</v>
      </c>
      <c r="CA101" s="150">
        <f t="shared" si="285"/>
        <v>0.70493388169968663</v>
      </c>
      <c r="CB101" s="5">
        <f t="shared" si="286"/>
        <v>70.493388169968668</v>
      </c>
      <c r="CC101">
        <f t="shared" si="287"/>
        <v>96</v>
      </c>
      <c r="CE101" s="59">
        <f t="shared" si="221"/>
        <v>-50</v>
      </c>
      <c r="CF101">
        <f t="shared" si="222"/>
        <v>-50</v>
      </c>
      <c r="CG101" s="150">
        <f t="shared" si="223"/>
        <v>0.56766977275315589</v>
      </c>
      <c r="CH101" s="150">
        <f t="shared" si="224"/>
        <v>0.15382552837714245</v>
      </c>
      <c r="CI101" s="147">
        <v>96</v>
      </c>
      <c r="CJ101" s="188">
        <f t="shared" si="309"/>
        <v>0.48</v>
      </c>
      <c r="CK101" s="188">
        <f t="shared" si="288"/>
        <v>0.48</v>
      </c>
      <c r="CL101" s="188">
        <f t="shared" si="225"/>
        <v>81.599999999999994</v>
      </c>
      <c r="CM101" s="188">
        <f t="shared" si="310"/>
        <v>5.76</v>
      </c>
      <c r="CN101" s="465">
        <f t="shared" si="289"/>
        <v>12</v>
      </c>
      <c r="CO101" s="379">
        <f t="shared" si="226"/>
        <v>8.625</v>
      </c>
      <c r="CP101" s="379">
        <f t="shared" si="227"/>
        <v>20.625</v>
      </c>
      <c r="CQ101" s="379"/>
      <c r="CR101" s="188">
        <f t="shared" si="228"/>
        <v>0.4156318480642805</v>
      </c>
      <c r="CS101" s="149">
        <f t="shared" si="290"/>
        <v>155.29102015588504</v>
      </c>
      <c r="CT101" s="149">
        <f t="shared" si="229"/>
        <v>10.961719069827179</v>
      </c>
      <c r="CU101" s="188">
        <f t="shared" si="230"/>
        <v>0.91347658915226493</v>
      </c>
      <c r="CV101" s="188">
        <f t="shared" si="231"/>
        <v>12.940918346323754</v>
      </c>
      <c r="CW101" s="379">
        <f t="shared" si="232"/>
        <v>170</v>
      </c>
      <c r="CX101" s="188">
        <f t="shared" si="233"/>
        <v>35.031001757469241</v>
      </c>
      <c r="CY101" s="188">
        <f t="shared" si="234"/>
        <v>4.3788752196836551</v>
      </c>
      <c r="CZ101" s="188">
        <f t="shared" si="235"/>
        <v>6.0923481317337806</v>
      </c>
      <c r="DA101" s="172">
        <f t="shared" si="236"/>
        <v>250.90909090909091</v>
      </c>
      <c r="DB101" s="379">
        <f t="shared" si="291"/>
        <v>95.499825229554972</v>
      </c>
      <c r="DD101" s="188">
        <f t="shared" si="237"/>
        <v>13.333333333333332</v>
      </c>
      <c r="DE101" s="150">
        <f t="shared" si="238"/>
        <v>2.318840579710145</v>
      </c>
      <c r="DF101" s="150">
        <f t="shared" si="239"/>
        <v>0.18115218115218115</v>
      </c>
      <c r="DG101" s="150"/>
      <c r="DH101" s="150">
        <f t="shared" si="240"/>
        <v>2.3188405797101455</v>
      </c>
      <c r="DI101" s="314">
        <f t="shared" si="241"/>
        <v>664.83529411764675</v>
      </c>
      <c r="DJ101" s="456">
        <f t="shared" si="242"/>
        <v>0.18115218115218121</v>
      </c>
      <c r="DL101" s="150">
        <f t="shared" si="243"/>
        <v>18.242806801586209</v>
      </c>
      <c r="DM101" s="150">
        <f t="shared" si="244"/>
        <v>35.031001757469241</v>
      </c>
      <c r="DN101" s="150">
        <f t="shared" si="245"/>
        <v>17.272346980841412</v>
      </c>
      <c r="DP101" s="314">
        <f t="shared" si="246"/>
        <v>480</v>
      </c>
      <c r="DQ101" s="144">
        <f t="shared" si="247"/>
        <v>95.499825229554972</v>
      </c>
      <c r="DS101">
        <f t="shared" si="311"/>
        <v>480</v>
      </c>
      <c r="DT101">
        <f t="shared" si="312"/>
        <v>95.499825229554972</v>
      </c>
      <c r="DV101" s="5">
        <f t="shared" si="293"/>
        <v>10.471223351417436</v>
      </c>
      <c r="DW101" s="5">
        <f t="shared" si="249"/>
        <v>4.3788752196836551</v>
      </c>
      <c r="DX101" s="5">
        <f t="shared" si="294"/>
        <v>6.0923481317337806</v>
      </c>
      <c r="DY101" s="150">
        <f t="shared" si="295"/>
        <v>0.41818181818181821</v>
      </c>
      <c r="EA101" s="5">
        <f t="shared" si="250"/>
        <v>1.2363882973224438</v>
      </c>
      <c r="EB101" s="5">
        <f t="shared" si="251"/>
        <v>17.51550087873462</v>
      </c>
      <c r="EC101" s="5">
        <f t="shared" si="252"/>
        <v>69.046612159649499</v>
      </c>
      <c r="ED101" s="5"/>
      <c r="EE101" s="150">
        <f t="shared" si="296"/>
        <v>13.078998880933694</v>
      </c>
      <c r="EF101" s="150">
        <f t="shared" si="253"/>
        <v>0.72049855060206092</v>
      </c>
      <c r="EG101" s="150">
        <f t="shared" si="254"/>
        <v>0.68540073517751188</v>
      </c>
      <c r="EH101" s="150"/>
      <c r="EI101" s="456">
        <f t="shared" si="255"/>
        <v>0.58160471987338036</v>
      </c>
      <c r="EJ101" s="456">
        <f t="shared" si="256"/>
        <v>2.0975999999999999</v>
      </c>
      <c r="EK101" s="456">
        <f t="shared" si="257"/>
        <v>2.186945997756809E-2</v>
      </c>
      <c r="EL101" s="456">
        <f t="shared" si="258"/>
        <v>2.782794028412694E-2</v>
      </c>
      <c r="EM101">
        <f t="shared" si="259"/>
        <v>5.4000000000000003E-3</v>
      </c>
      <c r="EN101" s="144">
        <f t="shared" si="297"/>
        <v>27.269459977568093</v>
      </c>
      <c r="EO101">
        <f t="shared" si="260"/>
        <v>3.3549540893833938</v>
      </c>
      <c r="EP101" s="144">
        <f t="shared" si="298"/>
        <v>3354.9540893833937</v>
      </c>
      <c r="EQ101" s="150">
        <f t="shared" si="261"/>
        <v>1.0649999999999999</v>
      </c>
      <c r="ER101" s="150">
        <f t="shared" si="262"/>
        <v>0.34079999999999999</v>
      </c>
      <c r="ES101" s="456"/>
      <c r="EU101" s="144">
        <f t="shared" si="299"/>
        <v>1405.8</v>
      </c>
      <c r="EV101" s="456">
        <f t="shared" si="263"/>
        <v>0.25659031759119727</v>
      </c>
      <c r="EW101" s="456">
        <f t="shared" si="300"/>
        <v>0.1038236322839341</v>
      </c>
      <c r="EX101" s="456">
        <f t="shared" si="264"/>
        <v>1.4093225033456213E-2</v>
      </c>
      <c r="EY101" s="456">
        <f t="shared" si="265"/>
        <v>32.367401730079024</v>
      </c>
      <c r="EZ101" s="456">
        <f t="shared" si="266"/>
        <v>33.845831155648469</v>
      </c>
      <c r="FA101" s="538">
        <f t="shared" si="267"/>
        <v>0.11719462406135166</v>
      </c>
      <c r="FB101" s="144">
        <f t="shared" si="301"/>
        <v>33963.025779709824</v>
      </c>
      <c r="FC101" s="150">
        <f t="shared" si="302"/>
        <v>38.723779869093221</v>
      </c>
      <c r="FD101" s="5">
        <f t="shared" si="303"/>
        <v>87.36</v>
      </c>
      <c r="FE101" s="150">
        <f t="shared" si="304"/>
        <v>0.69287262874496403</v>
      </c>
      <c r="FF101" s="5">
        <f t="shared" si="305"/>
        <v>69.287262874496406</v>
      </c>
      <c r="FG101">
        <f t="shared" si="306"/>
        <v>96</v>
      </c>
      <c r="FI101" s="59">
        <f t="shared" si="268"/>
        <v>-50</v>
      </c>
      <c r="FJ101">
        <f t="shared" si="269"/>
        <v>-50</v>
      </c>
      <c r="FL101">
        <f t="shared" si="270"/>
        <v>0.56766977275315589</v>
      </c>
    </row>
    <row r="102" spans="5:169">
      <c r="E102" s="147">
        <v>97</v>
      </c>
      <c r="F102" s="188">
        <f t="shared" si="307"/>
        <v>0.48499999999999999</v>
      </c>
      <c r="G102" s="188">
        <f t="shared" si="271"/>
        <v>0.48499999999999999</v>
      </c>
      <c r="H102" s="188">
        <f t="shared" si="176"/>
        <v>82.45</v>
      </c>
      <c r="I102" s="188">
        <f t="shared" si="308"/>
        <v>5.82</v>
      </c>
      <c r="J102" s="465">
        <f t="shared" si="177"/>
        <v>11.893344055793733</v>
      </c>
      <c r="K102" s="379">
        <f t="shared" si="178"/>
        <v>8.6887358397021899</v>
      </c>
      <c r="L102" s="149">
        <f t="shared" si="179"/>
        <v>20.582079895495923</v>
      </c>
      <c r="M102" s="379"/>
      <c r="N102" s="188">
        <f t="shared" si="180"/>
        <v>0.42215052530252728</v>
      </c>
      <c r="O102" s="149">
        <f>N102*J102*Isw_max*0.5*Efficiency*Pout/(Pout+Pout2)</f>
        <v>156.32469687338693</v>
      </c>
      <c r="P102" s="149">
        <f t="shared" si="181"/>
        <v>11.034684485180252</v>
      </c>
      <c r="Q102" s="188">
        <f t="shared" si="182"/>
        <v>0.91955704043168784</v>
      </c>
      <c r="R102" s="188">
        <f t="shared" si="183"/>
        <v>13.027058072782244</v>
      </c>
      <c r="S102" s="379">
        <f t="shared" si="184"/>
        <v>170</v>
      </c>
      <c r="T102" s="188">
        <f t="shared" si="185"/>
        <v>35.161857189581625</v>
      </c>
      <c r="U102" s="188">
        <f t="shared" si="186"/>
        <v>4.4346472730417039</v>
      </c>
      <c r="V102" s="188">
        <f t="shared" si="187"/>
        <v>6.0702485099581773</v>
      </c>
      <c r="W102" s="172">
        <f t="shared" si="188"/>
        <v>251.03907203785076</v>
      </c>
      <c r="X102" s="379">
        <f t="shared" si="273"/>
        <v>93.415201817104048</v>
      </c>
      <c r="Z102" s="188">
        <f t="shared" si="189"/>
        <v>13.333333333333332</v>
      </c>
      <c r="AA102" s="150">
        <f t="shared" si="190"/>
        <v>2.3018308265987639</v>
      </c>
      <c r="AB102" s="150">
        <f>0.5*AA102*Z102*Nps*W102/1000*(Pout/Pout_total)</f>
        <v>0.17991650311093471</v>
      </c>
      <c r="AC102" s="150"/>
      <c r="AD102" s="150">
        <f t="shared" si="192"/>
        <v>2.3018308265987644</v>
      </c>
      <c r="AE102" s="314">
        <f>MAX(10, F102/(0.5*AD102/1000000*Isw_min*Nps)/1000*Pout_total/Pout)</f>
        <v>676.72474638574602</v>
      </c>
      <c r="AF102" s="456">
        <f t="shared" si="194"/>
        <v>0.17991650311093479</v>
      </c>
      <c r="AH102" s="150">
        <f t="shared" si="195"/>
        <v>18.33757526683031</v>
      </c>
      <c r="AI102" s="150">
        <f>MAX(IF(F102&gt;AB102,T102,AH102),Isw_min)</f>
        <v>35.161857189581625</v>
      </c>
      <c r="AJ102" s="150">
        <f>IF(F102&gt;AF102, (AI102-Isw_min)/1.08*0.8+1.2, AE102*0.2/350+1)</f>
        <v>17.369276930554285</v>
      </c>
      <c r="AL102" s="314">
        <f t="shared" si="198"/>
        <v>485</v>
      </c>
      <c r="AM102" s="144">
        <f t="shared" si="199"/>
        <v>93.415201817104048</v>
      </c>
      <c r="AO102">
        <f t="shared" si="274"/>
        <v>485</v>
      </c>
      <c r="AP102">
        <f t="shared" si="200"/>
        <v>93.415201817104048</v>
      </c>
      <c r="AR102" s="5">
        <f t="shared" si="275"/>
        <v>10.704895782999881</v>
      </c>
      <c r="AS102" s="5">
        <f t="shared" si="201"/>
        <v>4.4346472730417039</v>
      </c>
      <c r="AT102" s="5">
        <f t="shared" si="276"/>
        <v>6.2702485099581766</v>
      </c>
      <c r="AU102" s="150">
        <f t="shared" si="277"/>
        <v>0.41426346999886093</v>
      </c>
      <c r="AW102" s="5">
        <f t="shared" si="202"/>
        <v>1.2651787808383683</v>
      </c>
      <c r="AX102" s="5">
        <f t="shared" si="203"/>
        <v>17.923366061876884</v>
      </c>
      <c r="AY102" s="5">
        <f t="shared" si="204"/>
        <v>72.446962382320706</v>
      </c>
      <c r="AZ102" s="5"/>
      <c r="BA102" s="150">
        <f t="shared" si="278"/>
        <v>13.066205901604532</v>
      </c>
      <c r="BB102" s="150">
        <f t="shared" si="205"/>
        <v>0.7256210468937746</v>
      </c>
      <c r="BC102" s="150">
        <f t="shared" si="206"/>
        <v>0.69027369810207406</v>
      </c>
      <c r="BD102" s="150"/>
      <c r="BE102" s="456">
        <f t="shared" si="207"/>
        <v>0.58046750465462527</v>
      </c>
      <c r="BF102" s="456">
        <f t="shared" si="208"/>
        <v>1.6191390218508934</v>
      </c>
      <c r="BG102" s="456">
        <f t="shared" si="209"/>
        <v>5.0884676394551964E-2</v>
      </c>
      <c r="BH102" s="456">
        <f t="shared" si="210"/>
        <v>2.710732403819038E-2</v>
      </c>
      <c r="BI102">
        <f t="shared" si="211"/>
        <v>5.3520048251071801E-3</v>
      </c>
      <c r="BJ102" s="144">
        <f t="shared" si="279"/>
        <v>56.23668121965914</v>
      </c>
      <c r="BK102">
        <f t="shared" si="212"/>
        <v>2.7647521468502059</v>
      </c>
      <c r="BL102" s="144">
        <f t="shared" si="280"/>
        <v>2764.7521468502059</v>
      </c>
      <c r="BM102" s="150">
        <f t="shared" si="213"/>
        <v>1.0760937499999998</v>
      </c>
      <c r="BN102" s="150">
        <f t="shared" si="214"/>
        <v>0.34434999999999999</v>
      </c>
      <c r="BO102" s="456"/>
      <c r="BQ102" s="144">
        <f t="shared" si="281"/>
        <v>1420.4437499999997</v>
      </c>
      <c r="BR102" s="456">
        <f t="shared" si="215"/>
        <v>0.25608860499468761</v>
      </c>
      <c r="BS102" s="456">
        <f t="shared" si="216"/>
        <v>0.10530518073904349</v>
      </c>
      <c r="BT102" s="456">
        <f t="shared" si="217"/>
        <v>1.4294333348745398E-2</v>
      </c>
      <c r="BU102" s="456">
        <f t="shared" si="218"/>
        <v>30.916719775651323</v>
      </c>
      <c r="BV102" s="456">
        <f>(BU102+(BR102+BS102+BT102)*(1+Ltc*(Ta-25)))/(1-(BR102+BS102+BT102)*Ltc*ThetaCa)</f>
        <v>32.355004299982873</v>
      </c>
      <c r="BW102" s="538">
        <f t="shared" si="220"/>
        <v>0.11549446403616116</v>
      </c>
      <c r="BX102" s="144">
        <f t="shared" si="282"/>
        <v>32470.498764019034</v>
      </c>
      <c r="BY102" s="150">
        <f t="shared" si="283"/>
        <v>36.655694660869237</v>
      </c>
      <c r="BZ102" s="5">
        <f t="shared" si="284"/>
        <v>88.27000000000001</v>
      </c>
      <c r="CA102" s="150">
        <f t="shared" si="285"/>
        <v>0.70658002134487241</v>
      </c>
      <c r="CB102" s="5">
        <f t="shared" si="286"/>
        <v>70.658002134487248</v>
      </c>
      <c r="CC102">
        <f t="shared" si="287"/>
        <v>97</v>
      </c>
      <c r="CE102" s="59">
        <f t="shared" si="221"/>
        <v>-50</v>
      </c>
      <c r="CF102">
        <f t="shared" si="222"/>
        <v>-50</v>
      </c>
      <c r="CG102" s="150">
        <f t="shared" si="223"/>
        <v>0.56766977275315589</v>
      </c>
      <c r="CH102" s="150">
        <f t="shared" si="224"/>
        <v>0.15382552837714242</v>
      </c>
      <c r="CI102" s="147">
        <v>97</v>
      </c>
      <c r="CJ102" s="188">
        <f t="shared" si="309"/>
        <v>0.48499999999999999</v>
      </c>
      <c r="CK102" s="188">
        <f t="shared" si="288"/>
        <v>0.48499999999999999</v>
      </c>
      <c r="CL102" s="188">
        <f t="shared" si="225"/>
        <v>82.45</v>
      </c>
      <c r="CM102" s="188">
        <f t="shared" si="310"/>
        <v>5.82</v>
      </c>
      <c r="CN102" s="465">
        <f t="shared" si="289"/>
        <v>12</v>
      </c>
      <c r="CO102" s="379">
        <f t="shared" si="226"/>
        <v>8.625</v>
      </c>
      <c r="CP102" s="379">
        <f t="shared" si="227"/>
        <v>20.625</v>
      </c>
      <c r="CQ102" s="379"/>
      <c r="CR102" s="188">
        <f t="shared" si="228"/>
        <v>0.4156318480642805</v>
      </c>
      <c r="CS102" s="149">
        <f t="shared" si="290"/>
        <v>155.29102015588504</v>
      </c>
      <c r="CT102" s="149">
        <f t="shared" si="229"/>
        <v>10.961719069827179</v>
      </c>
      <c r="CU102" s="188">
        <f t="shared" si="230"/>
        <v>0.91347658915226493</v>
      </c>
      <c r="CV102" s="188">
        <f t="shared" si="231"/>
        <v>12.940918346323754</v>
      </c>
      <c r="CW102" s="379">
        <f t="shared" si="232"/>
        <v>170</v>
      </c>
      <c r="CX102" s="188">
        <f t="shared" si="233"/>
        <v>35.395908025776215</v>
      </c>
      <c r="CY102" s="188">
        <f t="shared" si="234"/>
        <v>4.4244885032220269</v>
      </c>
      <c r="CZ102" s="188">
        <f t="shared" si="235"/>
        <v>6.1558100914393412</v>
      </c>
      <c r="DA102" s="172">
        <f t="shared" si="236"/>
        <v>250.90909090909091</v>
      </c>
      <c r="DB102" s="379">
        <f t="shared" si="291"/>
        <v>94.515290948837901</v>
      </c>
      <c r="DD102" s="188">
        <f t="shared" si="237"/>
        <v>13.333333333333332</v>
      </c>
      <c r="DE102" s="150">
        <f t="shared" si="238"/>
        <v>2.318840579710145</v>
      </c>
      <c r="DF102" s="150">
        <f t="shared" si="239"/>
        <v>0.18115218115218115</v>
      </c>
      <c r="DG102" s="150"/>
      <c r="DH102" s="150">
        <f t="shared" si="240"/>
        <v>2.3188405797101455</v>
      </c>
      <c r="DI102" s="314">
        <f t="shared" si="241"/>
        <v>671.76066176470567</v>
      </c>
      <c r="DJ102" s="456">
        <f t="shared" si="242"/>
        <v>0.18115218115218121</v>
      </c>
      <c r="DL102" s="150">
        <f t="shared" si="243"/>
        <v>18.33757526683031</v>
      </c>
      <c r="DM102" s="150">
        <f t="shared" si="244"/>
        <v>35.395908025776215</v>
      </c>
      <c r="DN102" s="150">
        <f t="shared" si="245"/>
        <v>17.542647920328058</v>
      </c>
      <c r="DP102" s="314">
        <f t="shared" si="246"/>
        <v>485</v>
      </c>
      <c r="DQ102" s="144">
        <f t="shared" si="247"/>
        <v>94.515290948837901</v>
      </c>
      <c r="DS102">
        <f t="shared" si="311"/>
        <v>485</v>
      </c>
      <c r="DT102">
        <f t="shared" si="312"/>
        <v>94.515290948837901</v>
      </c>
      <c r="DV102" s="5">
        <f t="shared" si="293"/>
        <v>10.580298594661368</v>
      </c>
      <c r="DW102" s="5">
        <f t="shared" si="249"/>
        <v>4.4244885032220269</v>
      </c>
      <c r="DX102" s="5">
        <f t="shared" si="294"/>
        <v>6.1558100914393412</v>
      </c>
      <c r="DY102" s="150">
        <f t="shared" si="295"/>
        <v>0.41818181818181821</v>
      </c>
      <c r="EA102" s="5">
        <f t="shared" si="250"/>
        <v>1.2622805435662843</v>
      </c>
      <c r="EB102" s="5">
        <f t="shared" si="251"/>
        <v>17.882307700522357</v>
      </c>
      <c r="EC102" s="5">
        <f t="shared" si="252"/>
        <v>70.492575283218557</v>
      </c>
      <c r="ED102" s="5"/>
      <c r="EE102" s="150">
        <f t="shared" si="296"/>
        <v>13.215238452610089</v>
      </c>
      <c r="EF102" s="150">
        <f t="shared" si="253"/>
        <v>0.728003743837499</v>
      </c>
      <c r="EG102" s="150">
        <f t="shared" si="254"/>
        <v>0.69254032616894434</v>
      </c>
      <c r="EH102" s="150"/>
      <c r="EI102" s="456">
        <f t="shared" si="255"/>
        <v>0.59378459302177067</v>
      </c>
      <c r="EJ102" s="456">
        <f t="shared" si="256"/>
        <v>2.0975999999999999</v>
      </c>
      <c r="EK102" s="456">
        <f t="shared" si="257"/>
        <v>2.1644001627283881E-2</v>
      </c>
      <c r="EL102" s="456">
        <f t="shared" si="258"/>
        <v>2.7541054301816352E-2</v>
      </c>
      <c r="EM102">
        <f t="shared" si="259"/>
        <v>5.4000000000000003E-3</v>
      </c>
      <c r="EN102" s="144">
        <f t="shared" si="297"/>
        <v>27.044001627283883</v>
      </c>
      <c r="EO102">
        <f t="shared" si="260"/>
        <v>3.3836706353610344</v>
      </c>
      <c r="EP102" s="144">
        <f t="shared" si="298"/>
        <v>3383.6706353610343</v>
      </c>
      <c r="EQ102" s="150">
        <f t="shared" si="261"/>
        <v>1.0760937499999998</v>
      </c>
      <c r="ER102" s="150">
        <f t="shared" si="262"/>
        <v>0.34434999999999999</v>
      </c>
      <c r="ES102" s="456"/>
      <c r="EU102" s="144">
        <f t="shared" si="299"/>
        <v>1420.4437499999997</v>
      </c>
      <c r="EV102" s="456">
        <f t="shared" si="263"/>
        <v>0.26196379103901646</v>
      </c>
      <c r="EW102" s="456">
        <f t="shared" si="300"/>
        <v>0.10599789020828297</v>
      </c>
      <c r="EX102" s="456">
        <f t="shared" si="264"/>
        <v>1.4388363101105634E-2</v>
      </c>
      <c r="EY102" s="456">
        <f t="shared" si="265"/>
        <v>32.367401730079031</v>
      </c>
      <c r="EZ102" s="456">
        <f t="shared" si="266"/>
        <v>33.877769106700818</v>
      </c>
      <c r="FA102" s="538">
        <f t="shared" si="267"/>
        <v>0.1184154013953241</v>
      </c>
      <c r="FB102" s="144">
        <f t="shared" si="301"/>
        <v>33996.184508096143</v>
      </c>
      <c r="FC102" s="150">
        <f t="shared" si="302"/>
        <v>38.800298893457175</v>
      </c>
      <c r="FD102" s="5">
        <f t="shared" si="303"/>
        <v>88.27000000000001</v>
      </c>
      <c r="FE102" s="150">
        <f t="shared" si="304"/>
        <v>0.69465485458573206</v>
      </c>
      <c r="FF102" s="5">
        <f t="shared" si="305"/>
        <v>69.465485458573212</v>
      </c>
      <c r="FG102">
        <f t="shared" si="306"/>
        <v>97</v>
      </c>
      <c r="FI102" s="59">
        <f t="shared" si="268"/>
        <v>-50</v>
      </c>
      <c r="FJ102">
        <f t="shared" si="269"/>
        <v>-50</v>
      </c>
      <c r="FL102">
        <f t="shared" si="270"/>
        <v>0.56766977275315589</v>
      </c>
    </row>
    <row r="103" spans="5:169">
      <c r="E103" s="147">
        <v>98</v>
      </c>
      <c r="F103" s="188">
        <f t="shared" si="307"/>
        <v>0.49</v>
      </c>
      <c r="G103" s="188">
        <f t="shared" si="271"/>
        <v>0.49</v>
      </c>
      <c r="H103" s="188">
        <f t="shared" si="176"/>
        <v>83.3</v>
      </c>
      <c r="I103" s="188">
        <f t="shared" si="308"/>
        <v>5.88</v>
      </c>
      <c r="J103" s="465">
        <f t="shared" si="177"/>
        <v>11.892244509977173</v>
      </c>
      <c r="K103" s="379">
        <f t="shared" si="178"/>
        <v>8.6893929102145844</v>
      </c>
      <c r="L103" s="149">
        <f t="shared" si="179"/>
        <v>20.581637420191758</v>
      </c>
      <c r="M103" s="379"/>
      <c r="N103" s="188">
        <f t="shared" si="180"/>
        <v>0.42219152600996629</v>
      </c>
      <c r="O103" s="149">
        <f>N103*J103*Isw_max*0.5*Efficiency*Pout/(Pout+Pout2)</f>
        <v>156.32542596147513</v>
      </c>
      <c r="P103" s="149">
        <f t="shared" si="181"/>
        <v>11.034735950221775</v>
      </c>
      <c r="Q103" s="188">
        <f t="shared" si="182"/>
        <v>0.91956132918514788</v>
      </c>
      <c r="R103" s="188">
        <f t="shared" si="183"/>
        <v>13.027118830122928</v>
      </c>
      <c r="S103" s="379">
        <f t="shared" si="184"/>
        <v>170</v>
      </c>
      <c r="T103" s="188">
        <f t="shared" si="185"/>
        <v>35.52418488021199</v>
      </c>
      <c r="U103" s="188">
        <f t="shared" si="186"/>
        <v>4.4807586385911149</v>
      </c>
      <c r="V103" s="188">
        <f t="shared" si="187"/>
        <v>6.1323360412991246</v>
      </c>
      <c r="W103" s="172">
        <f t="shared" si="188"/>
        <v>251.04024286754535</v>
      </c>
      <c r="X103" s="379">
        <f t="shared" si="273"/>
        <v>92.480462772582598</v>
      </c>
      <c r="Z103" s="188">
        <f t="shared" si="189"/>
        <v>13.333333333333334</v>
      </c>
      <c r="AA103" s="150">
        <f t="shared" si="190"/>
        <v>2.3016567678151065</v>
      </c>
      <c r="AB103" s="150">
        <f>0.5*AA103*Z103*Nps*W103/1000*(Pout/Pout_total)</f>
        <v>0.17990373732290429</v>
      </c>
      <c r="AC103" s="150"/>
      <c r="AD103" s="150">
        <f t="shared" si="192"/>
        <v>2.3016567678151065</v>
      </c>
      <c r="AE103" s="314">
        <f>MAX(10, F103/(0.5*AD103/1000000*Isw_min*Nps)/1000*Pout_total/Pout)</f>
        <v>683.7529938820029</v>
      </c>
      <c r="AF103" s="456">
        <f t="shared" si="194"/>
        <v>0.17990373732290427</v>
      </c>
      <c r="AH103" s="150">
        <f t="shared" si="195"/>
        <v>18.431856480922733</v>
      </c>
      <c r="AI103" s="150">
        <f>MAX(IF(F103&gt;AB103,T103,AH103),Isw_min)</f>
        <v>35.52418488021199</v>
      </c>
      <c r="AJ103" s="150">
        <f>IF(F103&gt;AF103, (AI103-Isw_min)/1.08*0.8+1.2, AE103*0.2/350+1)</f>
        <v>17.637667812502706</v>
      </c>
      <c r="AL103" s="314">
        <f t="shared" si="198"/>
        <v>490</v>
      </c>
      <c r="AM103" s="144">
        <f t="shared" si="199"/>
        <v>92.480462772582598</v>
      </c>
      <c r="AO103">
        <f t="shared" si="274"/>
        <v>490</v>
      </c>
      <c r="AP103">
        <f t="shared" si="200"/>
        <v>92.480462772582598</v>
      </c>
      <c r="AR103" s="5">
        <f t="shared" si="275"/>
        <v>10.813094679890236</v>
      </c>
      <c r="AS103" s="5">
        <f t="shared" si="201"/>
        <v>4.4807586385911149</v>
      </c>
      <c r="AT103" s="5">
        <f t="shared" si="276"/>
        <v>6.3323360412991212</v>
      </c>
      <c r="AU103" s="150">
        <f t="shared" si="277"/>
        <v>0.41438263246915352</v>
      </c>
      <c r="AW103" s="5">
        <f t="shared" si="202"/>
        <v>1.2915127840644978</v>
      </c>
      <c r="AX103" s="5">
        <f t="shared" si="203"/>
        <v>18.296431107580389</v>
      </c>
      <c r="AY103" s="5">
        <f t="shared" si="204"/>
        <v>73.925432634923908</v>
      </c>
      <c r="AZ103" s="5"/>
      <c r="BA103" s="150">
        <f t="shared" si="278"/>
        <v>13.202745956081106</v>
      </c>
      <c r="BB103" s="150">
        <f t="shared" si="205"/>
        <v>0.73302368242910776</v>
      </c>
      <c r="BC103" s="150">
        <f t="shared" si="206"/>
        <v>0.69731572731077807</v>
      </c>
      <c r="BD103" s="150"/>
      <c r="BE103" s="456">
        <f t="shared" si="207"/>
        <v>0.59266250265477438</v>
      </c>
      <c r="BF103" s="456">
        <f t="shared" si="208"/>
        <v>1.6194202170800087</v>
      </c>
      <c r="BG103" s="456">
        <f t="shared" si="209"/>
        <v>5.037085262648263E-2</v>
      </c>
      <c r="BH103" s="456">
        <f t="shared" si="210"/>
        <v>2.6834926617591424E-2</v>
      </c>
      <c r="BI103">
        <f t="shared" si="211"/>
        <v>5.3515100294897278E-3</v>
      </c>
      <c r="BJ103" s="144">
        <f t="shared" si="279"/>
        <v>55.722362655972354</v>
      </c>
      <c r="BK103">
        <f t="shared" si="212"/>
        <v>2.7921123147298696</v>
      </c>
      <c r="BL103" s="144">
        <f t="shared" si="280"/>
        <v>2792.1123147298695</v>
      </c>
      <c r="BM103" s="150">
        <f t="shared" si="213"/>
        <v>1.0871875</v>
      </c>
      <c r="BN103" s="150">
        <f t="shared" si="214"/>
        <v>0.34789999999999999</v>
      </c>
      <c r="BO103" s="456"/>
      <c r="BQ103" s="144">
        <f t="shared" si="281"/>
        <v>1435.0874999999999</v>
      </c>
      <c r="BR103" s="456">
        <f t="shared" si="215"/>
        <v>0.26146875117122403</v>
      </c>
      <c r="BS103" s="456">
        <f t="shared" si="216"/>
        <v>0.1074647438003859</v>
      </c>
      <c r="BT103" s="456">
        <f t="shared" si="217"/>
        <v>1.4587476706648781E-2</v>
      </c>
      <c r="BU103" s="456">
        <f t="shared" si="218"/>
        <v>30.931807169884848</v>
      </c>
      <c r="BV103" s="456">
        <f>(BU103+(BR103+BS103+BT103)*(1+Ltc*(Ta-25)))/(1-(BR103+BS103+BT103)*Ltc*ThetaCa)</f>
        <v>32.401505731731682</v>
      </c>
      <c r="BW103" s="538">
        <f t="shared" si="220"/>
        <v>0.11670735795465101</v>
      </c>
      <c r="BX103" s="144">
        <f t="shared" si="282"/>
        <v>32518.213089686335</v>
      </c>
      <c r="BY103" s="150">
        <f t="shared" si="283"/>
        <v>36.745412904416206</v>
      </c>
      <c r="BZ103" s="5">
        <f t="shared" si="284"/>
        <v>89.179999999999993</v>
      </c>
      <c r="CA103" s="150">
        <f t="shared" si="285"/>
        <v>0.70819700283764131</v>
      </c>
      <c r="CB103" s="5">
        <f t="shared" si="286"/>
        <v>70.819700283764135</v>
      </c>
      <c r="CC103">
        <f t="shared" si="287"/>
        <v>98</v>
      </c>
      <c r="CE103" s="59">
        <f t="shared" si="221"/>
        <v>-50</v>
      </c>
      <c r="CF103">
        <f t="shared" si="222"/>
        <v>-50</v>
      </c>
      <c r="CG103" s="150">
        <f t="shared" si="223"/>
        <v>0.56766977275315578</v>
      </c>
      <c r="CH103" s="150">
        <f t="shared" si="224"/>
        <v>0.15382552837714239</v>
      </c>
      <c r="CI103" s="147">
        <v>98</v>
      </c>
      <c r="CJ103" s="188">
        <f t="shared" si="309"/>
        <v>0.49</v>
      </c>
      <c r="CK103" s="188">
        <f t="shared" si="288"/>
        <v>0.49</v>
      </c>
      <c r="CL103" s="188">
        <f t="shared" si="225"/>
        <v>83.3</v>
      </c>
      <c r="CM103" s="188">
        <f t="shared" si="310"/>
        <v>5.88</v>
      </c>
      <c r="CN103" s="465">
        <f t="shared" si="289"/>
        <v>12</v>
      </c>
      <c r="CO103" s="379">
        <f t="shared" si="226"/>
        <v>8.625</v>
      </c>
      <c r="CP103" s="379">
        <f t="shared" si="227"/>
        <v>20.625</v>
      </c>
      <c r="CQ103" s="379"/>
      <c r="CR103" s="188">
        <f t="shared" si="228"/>
        <v>0.4156318480642805</v>
      </c>
      <c r="CS103" s="149">
        <f t="shared" si="290"/>
        <v>155.29102015588504</v>
      </c>
      <c r="CT103" s="149">
        <f t="shared" si="229"/>
        <v>10.961719069827179</v>
      </c>
      <c r="CU103" s="188">
        <f t="shared" si="230"/>
        <v>0.91347658915226493</v>
      </c>
      <c r="CV103" s="188">
        <f t="shared" si="231"/>
        <v>12.940918346323754</v>
      </c>
      <c r="CW103" s="379">
        <f t="shared" si="232"/>
        <v>170</v>
      </c>
      <c r="CX103" s="188">
        <f t="shared" si="233"/>
        <v>35.760814294083183</v>
      </c>
      <c r="CY103" s="188">
        <f t="shared" si="234"/>
        <v>4.4701017867603978</v>
      </c>
      <c r="CZ103" s="188">
        <f t="shared" si="235"/>
        <v>6.2192720511449018</v>
      </c>
      <c r="DA103" s="172">
        <f t="shared" si="236"/>
        <v>250.90909090909091</v>
      </c>
      <c r="DB103" s="379">
        <f t="shared" si="291"/>
        <v>93.550849204461997</v>
      </c>
      <c r="DD103" s="188">
        <f t="shared" si="237"/>
        <v>13.333333333333332</v>
      </c>
      <c r="DE103" s="150">
        <f t="shared" si="238"/>
        <v>2.318840579710145</v>
      </c>
      <c r="DF103" s="150">
        <f t="shared" si="239"/>
        <v>0.18115218115218115</v>
      </c>
      <c r="DG103" s="150"/>
      <c r="DH103" s="150">
        <f t="shared" si="240"/>
        <v>2.3188405797101455</v>
      </c>
      <c r="DI103" s="314">
        <f t="shared" si="241"/>
        <v>678.68602941176448</v>
      </c>
      <c r="DJ103" s="456">
        <f t="shared" si="242"/>
        <v>0.18115218115218121</v>
      </c>
      <c r="DL103" s="150">
        <f t="shared" si="243"/>
        <v>18.431856480922733</v>
      </c>
      <c r="DM103" s="150">
        <f t="shared" si="244"/>
        <v>35.760814294083183</v>
      </c>
      <c r="DN103" s="150">
        <f t="shared" si="245"/>
        <v>17.8129488598147</v>
      </c>
      <c r="DP103" s="314">
        <f t="shared" si="246"/>
        <v>490</v>
      </c>
      <c r="DQ103" s="144">
        <f t="shared" si="247"/>
        <v>93.550849204461997</v>
      </c>
      <c r="DS103">
        <f t="shared" si="311"/>
        <v>490</v>
      </c>
      <c r="DT103">
        <f t="shared" si="312"/>
        <v>93.550849204461997</v>
      </c>
      <c r="DV103" s="5">
        <f t="shared" si="293"/>
        <v>10.6893738379053</v>
      </c>
      <c r="DW103" s="5">
        <f t="shared" si="249"/>
        <v>4.4701017867603978</v>
      </c>
      <c r="DX103" s="5">
        <f t="shared" si="294"/>
        <v>6.2192720511449027</v>
      </c>
      <c r="DY103" s="150">
        <f t="shared" si="295"/>
        <v>0.41818181818181815</v>
      </c>
      <c r="EA103" s="5">
        <f t="shared" si="250"/>
        <v>1.2884411032427028</v>
      </c>
      <c r="EB103" s="5">
        <f t="shared" si="251"/>
        <v>18.252915629271623</v>
      </c>
      <c r="EC103" s="5">
        <f t="shared" si="252"/>
        <v>71.953522480606978</v>
      </c>
      <c r="ED103" s="5"/>
      <c r="EE103" s="150">
        <f t="shared" si="296"/>
        <v>13.351478024286481</v>
      </c>
      <c r="EF103" s="150">
        <f t="shared" si="253"/>
        <v>0.73550893707293707</v>
      </c>
      <c r="EG103" s="150">
        <f t="shared" si="254"/>
        <v>0.6996799171603767</v>
      </c>
      <c r="EH103" s="150"/>
      <c r="EI103" s="456">
        <f t="shared" si="255"/>
        <v>0.60609068247221642</v>
      </c>
      <c r="EJ103" s="456">
        <f t="shared" si="256"/>
        <v>2.0975999999999995</v>
      </c>
      <c r="EK103" s="456">
        <f t="shared" si="257"/>
        <v>2.1423144467821797E-2</v>
      </c>
      <c r="EL103" s="456">
        <f t="shared" si="258"/>
        <v>2.7260023135471285E-2</v>
      </c>
      <c r="EM103">
        <f t="shared" si="259"/>
        <v>5.4000000000000003E-3</v>
      </c>
      <c r="EN103" s="144">
        <f t="shared" si="297"/>
        <v>26.823144467821795</v>
      </c>
      <c r="EO103">
        <f t="shared" si="260"/>
        <v>3.4129003778732097</v>
      </c>
      <c r="EP103" s="144">
        <f t="shared" si="298"/>
        <v>3412.9003778732094</v>
      </c>
      <c r="EQ103" s="150">
        <f t="shared" si="261"/>
        <v>1.0871875</v>
      </c>
      <c r="ER103" s="150">
        <f t="shared" si="262"/>
        <v>0.34789999999999999</v>
      </c>
      <c r="ES103" s="456"/>
      <c r="EU103" s="144">
        <f t="shared" si="299"/>
        <v>1435.0874999999999</v>
      </c>
      <c r="EV103" s="456">
        <f t="shared" si="263"/>
        <v>0.26739294814950726</v>
      </c>
      <c r="EW103" s="456">
        <f t="shared" si="300"/>
        <v>0.10819467930283236</v>
      </c>
      <c r="EX103" s="456">
        <f t="shared" si="264"/>
        <v>1.4686559594326548E-2</v>
      </c>
      <c r="EY103" s="456">
        <f t="shared" si="265"/>
        <v>32.36740173007891</v>
      </c>
      <c r="EZ103" s="456">
        <f t="shared" si="266"/>
        <v>33.910080035500151</v>
      </c>
      <c r="FA103" s="538">
        <f t="shared" si="267"/>
        <v>0.11963617872929647</v>
      </c>
      <c r="FB103" s="144">
        <f t="shared" si="301"/>
        <v>34029.716214229447</v>
      </c>
      <c r="FC103" s="150">
        <f t="shared" si="302"/>
        <v>38.877704092102654</v>
      </c>
      <c r="FD103" s="5">
        <f t="shared" si="303"/>
        <v>89.179999999999993</v>
      </c>
      <c r="FE103" s="150">
        <f t="shared" si="304"/>
        <v>0.69640480150932005</v>
      </c>
      <c r="FF103" s="5">
        <f t="shared" si="305"/>
        <v>69.640480150932007</v>
      </c>
      <c r="FG103">
        <f t="shared" si="306"/>
        <v>98</v>
      </c>
      <c r="FI103" s="59">
        <f t="shared" si="268"/>
        <v>-50</v>
      </c>
      <c r="FJ103">
        <f t="shared" si="269"/>
        <v>-50</v>
      </c>
      <c r="FL103">
        <f t="shared" si="270"/>
        <v>0.56766977275315578</v>
      </c>
    </row>
    <row r="104" spans="5:169">
      <c r="E104" s="147">
        <v>99</v>
      </c>
      <c r="F104" s="188">
        <f>IF(PLOT_TYPE=1, E104/100*Iout_max, min_I*EXP(O104*rr/100))</f>
        <v>0.495</v>
      </c>
      <c r="G104" s="188">
        <f t="shared" si="271"/>
        <v>0.495</v>
      </c>
      <c r="H104" s="188">
        <f t="shared" si="176"/>
        <v>84.15</v>
      </c>
      <c r="I104" s="188">
        <f t="shared" si="308"/>
        <v>5.9399999999999995</v>
      </c>
      <c r="J104" s="465">
        <f t="shared" si="177"/>
        <v>11.891144964160613</v>
      </c>
      <c r="K104" s="379">
        <f t="shared" si="178"/>
        <v>8.6900499807269771</v>
      </c>
      <c r="L104" s="149">
        <f t="shared" si="179"/>
        <v>20.581194944887592</v>
      </c>
      <c r="M104" s="379"/>
      <c r="N104" s="188">
        <f t="shared" si="180"/>
        <v>0.42223252848035442</v>
      </c>
      <c r="O104" s="149">
        <f>N104*J104*Isw_max*0.5*Efficiency*Pout/(Pout+Pout2)</f>
        <v>156.32615289495877</v>
      </c>
      <c r="P104" s="149">
        <f t="shared" si="181"/>
        <v>11.034787263173559</v>
      </c>
      <c r="Q104" s="188">
        <f t="shared" si="182"/>
        <v>0.91956560526446329</v>
      </c>
      <c r="R104" s="188">
        <f t="shared" si="183"/>
        <v>13.027179407913231</v>
      </c>
      <c r="S104" s="379">
        <f t="shared" si="184"/>
        <v>170</v>
      </c>
      <c r="T104" s="188">
        <f t="shared" si="185"/>
        <v>35.886509685743782</v>
      </c>
      <c r="U104" s="188">
        <f t="shared" si="186"/>
        <v>4.526878167817836</v>
      </c>
      <c r="V104" s="188">
        <f t="shared" si="187"/>
        <v>6.1944136855369942</v>
      </c>
      <c r="W104" s="172">
        <f t="shared" si="188"/>
        <v>251.04141023719848</v>
      </c>
      <c r="X104" s="379">
        <f t="shared" si="273"/>
        <v>91.564259377686852</v>
      </c>
      <c r="Z104" s="188">
        <f t="shared" si="189"/>
        <v>13.333333333333334</v>
      </c>
      <c r="AA104" s="150">
        <f t="shared" si="190"/>
        <v>2.3014827353532525</v>
      </c>
      <c r="AB104" s="150">
        <f>0.5*AA104*Z104*Nps*W104/1000*(Pout/Pout_total)</f>
        <v>0.17989097098597023</v>
      </c>
      <c r="AC104" s="150"/>
      <c r="AD104" s="150">
        <f t="shared" si="192"/>
        <v>2.3014827353532525</v>
      </c>
      <c r="AE104" s="314">
        <f>MAX(10, F104/(0.5*AD104/1000000*Isw_min*Nps)/1000*Pout_total/Pout)</f>
        <v>690.78229655619975</v>
      </c>
      <c r="AF104" s="456">
        <f t="shared" si="194"/>
        <v>0.17989097098597026</v>
      </c>
      <c r="AH104" s="150">
        <f t="shared" si="195"/>
        <v>18.525657883055057</v>
      </c>
      <c r="AI104" s="150">
        <f>MAX(IF(F104&gt;AB104,T104,AH104),Isw_min)</f>
        <v>35.886509685743782</v>
      </c>
      <c r="AJ104" s="150">
        <f>IF(F104&gt;AF104, (AI104-Isw_min)/1.08*0.8+1.2, AE104*0.2/350+1)</f>
        <v>17.906056557341071</v>
      </c>
      <c r="AL104" s="314">
        <f t="shared" si="198"/>
        <v>495</v>
      </c>
      <c r="AM104" s="144">
        <f t="shared" si="199"/>
        <v>91.564259377686852</v>
      </c>
      <c r="AO104">
        <f t="shared" si="274"/>
        <v>495</v>
      </c>
      <c r="AP104">
        <f t="shared" si="200"/>
        <v>91.564259377686852</v>
      </c>
      <c r="AR104" s="5">
        <f t="shared" si="275"/>
        <v>10.921291853354829</v>
      </c>
      <c r="AS104" s="5">
        <f t="shared" si="201"/>
        <v>4.526878167817836</v>
      </c>
      <c r="AT104" s="5">
        <f t="shared" si="276"/>
        <v>6.3944136855369926</v>
      </c>
      <c r="AU104" s="150">
        <f t="shared" si="277"/>
        <v>0.41450024672926022</v>
      </c>
      <c r="AW104" s="5">
        <f t="shared" si="202"/>
        <v>1.3181204076881345</v>
      </c>
      <c r="AX104" s="5">
        <f t="shared" si="203"/>
        <v>18.673372442248574</v>
      </c>
      <c r="AY104" s="5">
        <f t="shared" si="204"/>
        <v>75.418853449312792</v>
      </c>
      <c r="AZ104" s="5"/>
      <c r="BA104" s="150">
        <f t="shared" si="278"/>
        <v>13.339298477192054</v>
      </c>
      <c r="BB104" s="150">
        <f t="shared" si="205"/>
        <v>0.7404257084664454</v>
      </c>
      <c r="BC104" s="150">
        <f t="shared" si="206"/>
        <v>0.70435717671210563</v>
      </c>
      <c r="BD104" s="150"/>
      <c r="BE104" s="456">
        <f t="shared" si="207"/>
        <v>0.60498540513630206</v>
      </c>
      <c r="BF104" s="456">
        <f t="shared" si="208"/>
        <v>1.6196952628450132</v>
      </c>
      <c r="BG104" s="456">
        <f t="shared" si="209"/>
        <v>4.9867217786260333E-2</v>
      </c>
      <c r="BH104" s="456">
        <f t="shared" si="210"/>
        <v>2.6567930778454901E-2</v>
      </c>
      <c r="BI104">
        <f t="shared" si="211"/>
        <v>5.3510152338722755E-3</v>
      </c>
      <c r="BJ104" s="144">
        <f t="shared" si="279"/>
        <v>55.218233020132608</v>
      </c>
      <c r="BK104">
        <f t="shared" si="212"/>
        <v>2.8199465569787696</v>
      </c>
      <c r="BL104" s="144">
        <f t="shared" si="280"/>
        <v>2819.9465569787694</v>
      </c>
      <c r="BM104" s="150">
        <f t="shared" si="213"/>
        <v>1.0982812499999999</v>
      </c>
      <c r="BN104" s="150">
        <f t="shared" si="214"/>
        <v>0.35144999999999998</v>
      </c>
      <c r="BO104" s="456"/>
      <c r="BQ104" s="144">
        <f t="shared" si="281"/>
        <v>1449.7312499999998</v>
      </c>
      <c r="BR104" s="456">
        <f t="shared" si="215"/>
        <v>0.26690532579542736</v>
      </c>
      <c r="BS104" s="456">
        <f t="shared" si="216"/>
        <v>0.10964604595160753</v>
      </c>
      <c r="BT104" s="456">
        <f t="shared" si="217"/>
        <v>1.4883570971575451E-2</v>
      </c>
      <c r="BU104" s="456">
        <f t="shared" si="218"/>
        <v>30.9466058931568</v>
      </c>
      <c r="BV104" s="456">
        <f>(BU104+(BR104+BS104+BT104)*(1+Ltc*(Ta-25)))/(1-(BR104+BS104+BT104)*Ltc*ThetaCa)</f>
        <v>32.448090539046269</v>
      </c>
      <c r="BW104" s="538">
        <f t="shared" si="220"/>
        <v>0.11792026023271047</v>
      </c>
      <c r="BX104" s="144">
        <f t="shared" si="282"/>
        <v>32566.010799278978</v>
      </c>
      <c r="BY104" s="150">
        <f t="shared" si="283"/>
        <v>36.835688606257747</v>
      </c>
      <c r="BZ104" s="5">
        <f t="shared" si="284"/>
        <v>90.09</v>
      </c>
      <c r="CA104" s="150">
        <f t="shared" si="285"/>
        <v>0.70978539481847924</v>
      </c>
      <c r="CB104" s="5">
        <f t="shared" si="286"/>
        <v>70.978539481847918</v>
      </c>
      <c r="CC104">
        <f t="shared" si="287"/>
        <v>99</v>
      </c>
      <c r="CE104" s="59">
        <f t="shared" si="221"/>
        <v>-50</v>
      </c>
      <c r="CF104">
        <f t="shared" si="222"/>
        <v>-50</v>
      </c>
      <c r="CG104" s="150">
        <f t="shared" si="223"/>
        <v>0.56766977275315589</v>
      </c>
      <c r="CH104" s="150">
        <f t="shared" si="224"/>
        <v>0.15382552837714239</v>
      </c>
      <c r="CI104" s="147">
        <v>99</v>
      </c>
      <c r="CJ104" s="188">
        <f t="shared" si="309"/>
        <v>0.495</v>
      </c>
      <c r="CK104" s="188">
        <f t="shared" si="288"/>
        <v>0.495</v>
      </c>
      <c r="CL104" s="188">
        <f t="shared" si="225"/>
        <v>84.15</v>
      </c>
      <c r="CM104" s="188">
        <f t="shared" si="310"/>
        <v>5.9399999999999995</v>
      </c>
      <c r="CN104" s="465">
        <f t="shared" si="289"/>
        <v>12</v>
      </c>
      <c r="CO104" s="379">
        <f t="shared" si="226"/>
        <v>8.625</v>
      </c>
      <c r="CP104" s="379">
        <f t="shared" si="227"/>
        <v>20.625</v>
      </c>
      <c r="CQ104" s="379"/>
      <c r="CR104" s="188">
        <f t="shared" si="228"/>
        <v>0.4156318480642805</v>
      </c>
      <c r="CS104" s="149">
        <f t="shared" si="290"/>
        <v>155.29102015588504</v>
      </c>
      <c r="CT104" s="149">
        <f t="shared" si="229"/>
        <v>10.961719069827179</v>
      </c>
      <c r="CU104" s="188">
        <f t="shared" si="230"/>
        <v>0.91347658915226493</v>
      </c>
      <c r="CV104" s="188">
        <f t="shared" si="231"/>
        <v>12.940918346323754</v>
      </c>
      <c r="CW104" s="379">
        <f t="shared" si="232"/>
        <v>170</v>
      </c>
      <c r="CX104" s="188">
        <f t="shared" si="233"/>
        <v>36.125720562390157</v>
      </c>
      <c r="CY104" s="188">
        <f t="shared" si="234"/>
        <v>4.5157150702987696</v>
      </c>
      <c r="CZ104" s="188">
        <f t="shared" si="235"/>
        <v>6.2827340108504623</v>
      </c>
      <c r="DA104" s="172">
        <f t="shared" si="236"/>
        <v>250.90909090909091</v>
      </c>
      <c r="DB104" s="379">
        <f t="shared" si="291"/>
        <v>92.60589113168966</v>
      </c>
      <c r="DD104" s="188">
        <f t="shared" si="237"/>
        <v>13.333333333333332</v>
      </c>
      <c r="DE104" s="150">
        <f t="shared" si="238"/>
        <v>2.318840579710145</v>
      </c>
      <c r="DF104" s="150">
        <f t="shared" si="239"/>
        <v>0.18115218115218115</v>
      </c>
      <c r="DG104" s="150"/>
      <c r="DH104" s="150">
        <f t="shared" si="240"/>
        <v>2.3188405797101455</v>
      </c>
      <c r="DI104" s="314">
        <f t="shared" si="241"/>
        <v>685.61139705882329</v>
      </c>
      <c r="DJ104" s="456">
        <f t="shared" si="242"/>
        <v>0.18115218115218121</v>
      </c>
      <c r="DL104" s="150">
        <f t="shared" si="243"/>
        <v>18.525657883055057</v>
      </c>
      <c r="DM104" s="150">
        <f t="shared" si="244"/>
        <v>36.125720562390157</v>
      </c>
      <c r="DN104" s="150">
        <f t="shared" si="245"/>
        <v>18.083249799301349</v>
      </c>
      <c r="DP104" s="314">
        <f t="shared" si="246"/>
        <v>495</v>
      </c>
      <c r="DQ104" s="144">
        <f t="shared" si="247"/>
        <v>92.60589113168966</v>
      </c>
      <c r="DS104">
        <f t="shared" si="311"/>
        <v>495</v>
      </c>
      <c r="DT104">
        <f t="shared" si="312"/>
        <v>92.60589113168966</v>
      </c>
      <c r="DV104" s="5">
        <f t="shared" si="293"/>
        <v>10.798449081149231</v>
      </c>
      <c r="DW104" s="5">
        <f t="shared" si="249"/>
        <v>4.5157150702987696</v>
      </c>
      <c r="DX104" s="5">
        <f t="shared" si="294"/>
        <v>6.2827340108504615</v>
      </c>
      <c r="DY104" s="150">
        <f t="shared" si="295"/>
        <v>0.41818181818181821</v>
      </c>
      <c r="EA104" s="5">
        <f t="shared" si="250"/>
        <v>1.3148699763517007</v>
      </c>
      <c r="EB104" s="5">
        <f t="shared" si="251"/>
        <v>18.627324664982424</v>
      </c>
      <c r="EC104" s="5">
        <f t="shared" si="252"/>
        <v>73.429453751814762</v>
      </c>
      <c r="ED104" s="5"/>
      <c r="EE104" s="150">
        <f t="shared" si="296"/>
        <v>13.487717595962874</v>
      </c>
      <c r="EF104" s="150">
        <f t="shared" si="253"/>
        <v>0.74301413030837526</v>
      </c>
      <c r="EG104" s="150">
        <f t="shared" si="254"/>
        <v>0.70681950815180916</v>
      </c>
      <c r="EH104" s="150"/>
      <c r="EI104" s="456">
        <f t="shared" si="255"/>
        <v>0.61852298822471818</v>
      </c>
      <c r="EJ104" s="456">
        <f t="shared" si="256"/>
        <v>2.0975999999999999</v>
      </c>
      <c r="EK104" s="456">
        <f t="shared" si="257"/>
        <v>2.1206749069156931E-2</v>
      </c>
      <c r="EL104" s="456">
        <f t="shared" si="258"/>
        <v>2.6984669366426121E-2</v>
      </c>
      <c r="EM104">
        <f t="shared" si="259"/>
        <v>5.4000000000000003E-3</v>
      </c>
      <c r="EN104" s="144">
        <f t="shared" si="297"/>
        <v>26.60674906915693</v>
      </c>
      <c r="EO104">
        <f t="shared" si="260"/>
        <v>3.4426513054302386</v>
      </c>
      <c r="EP104" s="144">
        <f t="shared" si="298"/>
        <v>3442.6513054302386</v>
      </c>
      <c r="EQ104" s="150">
        <f t="shared" si="261"/>
        <v>1.0982812499999999</v>
      </c>
      <c r="ER104" s="150">
        <f t="shared" si="262"/>
        <v>0.35144999999999998</v>
      </c>
      <c r="ES104" s="456"/>
      <c r="EU104" s="144">
        <f t="shared" si="299"/>
        <v>1449.7312499999998</v>
      </c>
      <c r="EV104" s="456">
        <f t="shared" si="263"/>
        <v>0.27287778892266978</v>
      </c>
      <c r="EW104" s="456">
        <f t="shared" si="300"/>
        <v>0.11041399956758224</v>
      </c>
      <c r="EX104" s="456">
        <f t="shared" si="264"/>
        <v>1.4987814513118963E-2</v>
      </c>
      <c r="EY104" s="456">
        <f t="shared" si="265"/>
        <v>32.367401730078967</v>
      </c>
      <c r="EZ104" s="456">
        <f t="shared" si="266"/>
        <v>33.942765325703775</v>
      </c>
      <c r="FA104" s="538">
        <f t="shared" si="267"/>
        <v>0.12085695606326889</v>
      </c>
      <c r="FB104" s="144">
        <f t="shared" si="301"/>
        <v>34063.622281767042</v>
      </c>
      <c r="FC104" s="150">
        <f t="shared" si="302"/>
        <v>38.956004837197284</v>
      </c>
      <c r="FD104" s="5">
        <f t="shared" si="303"/>
        <v>90.09</v>
      </c>
      <c r="FE104" s="150">
        <f t="shared" si="304"/>
        <v>0.6981231237158898</v>
      </c>
      <c r="FF104" s="5">
        <f t="shared" si="305"/>
        <v>69.812312371588973</v>
      </c>
      <c r="FG104">
        <f t="shared" si="306"/>
        <v>99</v>
      </c>
      <c r="FI104" s="59">
        <f t="shared" si="268"/>
        <v>-50</v>
      </c>
      <c r="FJ104">
        <f t="shared" si="269"/>
        <v>-50</v>
      </c>
      <c r="FL104">
        <f t="shared" si="270"/>
        <v>0.56766977275315578</v>
      </c>
    </row>
    <row r="105" spans="5:169">
      <c r="E105" s="147">
        <v>100</v>
      </c>
      <c r="F105" s="188">
        <f>IF(PLOT_TYPE=1, E105/100*Iout_max, min_I*EXP(O105*rr/100))</f>
        <v>0.5</v>
      </c>
      <c r="G105" s="188">
        <f t="shared" si="271"/>
        <v>0.5</v>
      </c>
      <c r="H105" s="188">
        <f t="shared" si="176"/>
        <v>85</v>
      </c>
      <c r="I105" s="188">
        <f t="shared" si="308"/>
        <v>6</v>
      </c>
      <c r="J105" s="465">
        <f t="shared" si="177"/>
        <v>11.890045418344055</v>
      </c>
      <c r="K105" s="379">
        <f t="shared" si="178"/>
        <v>8.6907070512393698</v>
      </c>
      <c r="L105" s="149">
        <f t="shared" si="179"/>
        <v>20.580752469583423</v>
      </c>
      <c r="M105" s="379"/>
      <c r="N105" s="188">
        <f t="shared" si="180"/>
        <v>0.42227353271380552</v>
      </c>
      <c r="O105" s="149">
        <f>N105*J105*Isw_max*0.5*Efficiency*Pout/(Pout+Pout2)</f>
        <v>156.32687767369893</v>
      </c>
      <c r="P105" s="149">
        <f t="shared" si="181"/>
        <v>11.034838424025809</v>
      </c>
      <c r="Q105" s="188">
        <f t="shared" si="182"/>
        <v>0.91956986866881729</v>
      </c>
      <c r="R105" s="188">
        <f t="shared" si="183"/>
        <v>13.027239806141578</v>
      </c>
      <c r="S105" s="379">
        <f t="shared" si="184"/>
        <v>170</v>
      </c>
      <c r="T105" s="188">
        <f t="shared" si="185"/>
        <v>36.248831621230863</v>
      </c>
      <c r="U105" s="188">
        <f t="shared" si="186"/>
        <v>4.5730058648858334</v>
      </c>
      <c r="V105" s="188">
        <f t="shared" si="187"/>
        <v>6.2564814475126278</v>
      </c>
      <c r="W105" s="172">
        <f t="shared" si="188"/>
        <v>251.04257414658707</v>
      </c>
      <c r="X105" s="379">
        <f t="shared" si="273"/>
        <v>90.66604563531078</v>
      </c>
      <c r="Z105" s="188">
        <f t="shared" si="189"/>
        <v>13.333333333333334</v>
      </c>
      <c r="AA105" s="150">
        <f t="shared" si="190"/>
        <v>2.3013087292072316</v>
      </c>
      <c r="AB105" s="150">
        <f>0.5*AA105*Z105*Nps*W105/1000*(Pout/Pout_total)</f>
        <v>0.17987820410009722</v>
      </c>
      <c r="AC105" s="150"/>
      <c r="AD105" s="150">
        <f t="shared" si="192"/>
        <v>2.3013087292072316</v>
      </c>
      <c r="AE105" s="314">
        <f>MAX(10, F105/(0.5*AD105/1000000*Isw_min*Nps)/1000*Pout_total/Pout)</f>
        <v>697.81265440833761</v>
      </c>
      <c r="AF105" s="456">
        <f t="shared" si="194"/>
        <v>0.17987820410009722</v>
      </c>
      <c r="AH105" s="150">
        <f t="shared" si="195"/>
        <v>18.618986725025255</v>
      </c>
      <c r="AI105" s="150">
        <f>MAX(IF(F105&gt;AB105,T105,AH105),Isw_min)</f>
        <v>36.248831621230863</v>
      </c>
      <c r="AJ105" s="150">
        <f>IF(F105&gt;AF105, (AI105-Isw_min)/1.08*0.8+1.2, AE105*0.2/350+1)</f>
        <v>18.17444317622039</v>
      </c>
      <c r="AL105" s="314">
        <f t="shared" si="198"/>
        <v>500</v>
      </c>
      <c r="AM105" s="144">
        <f t="shared" si="199"/>
        <v>90.66604563531078</v>
      </c>
      <c r="AO105">
        <f t="shared" si="274"/>
        <v>500</v>
      </c>
      <c r="AP105" s="3">
        <f t="shared" si="200"/>
        <v>90.66604563531078</v>
      </c>
      <c r="AR105" s="5">
        <f t="shared" si="275"/>
        <v>11.02948731239846</v>
      </c>
      <c r="AS105" s="5">
        <f t="shared" si="201"/>
        <v>4.5730058648858334</v>
      </c>
      <c r="AT105" s="5">
        <f t="shared" si="276"/>
        <v>6.4564814475126271</v>
      </c>
      <c r="AU105" s="150">
        <f t="shared" si="277"/>
        <v>0.41461635843628281</v>
      </c>
      <c r="AW105" s="5">
        <f t="shared" si="202"/>
        <v>1.3450017249664215</v>
      </c>
      <c r="AX105" s="5">
        <f t="shared" si="203"/>
        <v>19.054191103690975</v>
      </c>
      <c r="AY105" s="5">
        <f t="shared" si="204"/>
        <v>76.927225496811943</v>
      </c>
      <c r="AZ105" s="5"/>
      <c r="BA105" s="150">
        <f t="shared" si="278"/>
        <v>13.475863459963776</v>
      </c>
      <c r="BB105" s="150">
        <f t="shared" si="205"/>
        <v>0.74782712588555267</v>
      </c>
      <c r="BC105" s="150">
        <f t="shared" si="206"/>
        <v>0.71139804714296595</v>
      </c>
      <c r="BD105" s="150"/>
      <c r="BE105" s="456">
        <f t="shared" si="207"/>
        <v>0.61743624637139527</v>
      </c>
      <c r="BF105" s="456">
        <f t="shared" si="208"/>
        <v>1.6199643396085499</v>
      </c>
      <c r="BG105" s="456">
        <f t="shared" si="209"/>
        <v>4.9373471743151896E-2</v>
      </c>
      <c r="BH105" s="456">
        <f t="shared" si="210"/>
        <v>2.6306177408682897E-2</v>
      </c>
      <c r="BI105">
        <f t="shared" si="211"/>
        <v>5.3505204382548249E-3</v>
      </c>
      <c r="BJ105" s="144">
        <f t="shared" si="279"/>
        <v>54.723992181406722</v>
      </c>
      <c r="BK105">
        <f t="shared" si="212"/>
        <v>2.8482628308298525</v>
      </c>
      <c r="BL105" s="144">
        <f t="shared" si="280"/>
        <v>2848.2628308298526</v>
      </c>
      <c r="BM105" s="150">
        <f t="shared" si="213"/>
        <v>1.109375</v>
      </c>
      <c r="BN105" s="150">
        <f t="shared" si="214"/>
        <v>0.35499999999999998</v>
      </c>
      <c r="BO105" s="456"/>
      <c r="BQ105" s="144">
        <f t="shared" si="281"/>
        <v>1464.375</v>
      </c>
      <c r="BR105" s="456">
        <f t="shared" si="215"/>
        <v>0.27239834398738028</v>
      </c>
      <c r="BS105" s="456">
        <f t="shared" si="216"/>
        <v>0.11184908204204924</v>
      </c>
      <c r="BT105" s="456">
        <f t="shared" si="217"/>
        <v>1.5182615444364767E-2</v>
      </c>
      <c r="BU105" s="456">
        <f t="shared" si="218"/>
        <v>30.961124297268519</v>
      </c>
      <c r="BV105" s="456">
        <f>(BU105+(BR105+BS105+BT105)*(1+Ltc*(Ta-25)))/(1-(BR105+BS105+BT105)*Ltc*ThetaCa)</f>
        <v>32.494768486640019</v>
      </c>
      <c r="BW105" s="538">
        <f t="shared" si="220"/>
        <v>0.11913317062591647</v>
      </c>
      <c r="BX105" s="144">
        <f t="shared" si="282"/>
        <v>32613.901657265935</v>
      </c>
      <c r="BY105" s="150">
        <f>SUM(BK105,BM105:BP105,BV105:BW105)+BI105+BG105</f>
        <v>36.981263480277192</v>
      </c>
      <c r="BZ105" s="5">
        <f t="shared" si="284"/>
        <v>91</v>
      </c>
      <c r="CA105" s="150">
        <f t="shared" si="285"/>
        <v>0.71104158159857311</v>
      </c>
      <c r="CB105" s="5">
        <f t="shared" si="286"/>
        <v>71.104158159857306</v>
      </c>
      <c r="CC105">
        <f t="shared" si="287"/>
        <v>100</v>
      </c>
      <c r="CE105" s="59">
        <f t="shared" si="221"/>
        <v>-50</v>
      </c>
      <c r="CF105">
        <f t="shared" si="222"/>
        <v>-50</v>
      </c>
      <c r="CG105" s="150">
        <f t="shared" si="223"/>
        <v>0.56766977275315578</v>
      </c>
      <c r="CH105" s="150">
        <f t="shared" si="224"/>
        <v>0.15382552837714239</v>
      </c>
      <c r="CI105" s="147">
        <v>100</v>
      </c>
      <c r="CJ105" s="188">
        <f t="shared" si="309"/>
        <v>0.5</v>
      </c>
      <c r="CK105" s="188">
        <f t="shared" si="288"/>
        <v>0.5</v>
      </c>
      <c r="CL105" s="188">
        <f t="shared" si="225"/>
        <v>85</v>
      </c>
      <c r="CM105" s="188">
        <f t="shared" si="310"/>
        <v>6</v>
      </c>
      <c r="CN105" s="465">
        <f t="shared" si="289"/>
        <v>12</v>
      </c>
      <c r="CO105" s="379">
        <f t="shared" si="226"/>
        <v>8.625</v>
      </c>
      <c r="CP105" s="379">
        <f t="shared" si="227"/>
        <v>20.625</v>
      </c>
      <c r="CQ105" s="379"/>
      <c r="CR105" s="188">
        <f t="shared" si="228"/>
        <v>0.4156318480642805</v>
      </c>
      <c r="CS105" s="149">
        <f t="shared" si="290"/>
        <v>155.29102015588504</v>
      </c>
      <c r="CT105" s="149">
        <f t="shared" si="229"/>
        <v>10.961719069827179</v>
      </c>
      <c r="CU105" s="188">
        <f t="shared" si="230"/>
        <v>0.91347658915226493</v>
      </c>
      <c r="CV105" s="188">
        <f t="shared" si="231"/>
        <v>12.940918346323754</v>
      </c>
      <c r="CW105" s="379">
        <f t="shared" si="232"/>
        <v>170</v>
      </c>
      <c r="CX105" s="188">
        <f t="shared" si="233"/>
        <v>36.490626830697131</v>
      </c>
      <c r="CY105" s="188">
        <f t="shared" si="234"/>
        <v>4.5613283538371414</v>
      </c>
      <c r="CZ105" s="188">
        <f t="shared" si="235"/>
        <v>6.3461959705560229</v>
      </c>
      <c r="DA105" s="172">
        <f t="shared" si="236"/>
        <v>250.90909090909091</v>
      </c>
      <c r="DB105" s="379">
        <f t="shared" si="291"/>
        <v>91.679832220372745</v>
      </c>
      <c r="DD105" s="188">
        <f t="shared" si="237"/>
        <v>13.333333333333332</v>
      </c>
      <c r="DE105" s="150">
        <f t="shared" si="238"/>
        <v>2.318840579710145</v>
      </c>
      <c r="DF105" s="150">
        <f t="shared" si="239"/>
        <v>0.18115218115218115</v>
      </c>
      <c r="DG105" s="150"/>
      <c r="DH105" s="150">
        <f t="shared" si="240"/>
        <v>2.3188405797101455</v>
      </c>
      <c r="DI105" s="314">
        <f t="shared" si="241"/>
        <v>692.53676470588209</v>
      </c>
      <c r="DJ105" s="456">
        <f t="shared" si="242"/>
        <v>0.18115218115218121</v>
      </c>
      <c r="DL105" s="150">
        <f t="shared" si="243"/>
        <v>18.618986725025255</v>
      </c>
      <c r="DM105" s="150">
        <f t="shared" si="244"/>
        <v>36.490626830697131</v>
      </c>
      <c r="DN105" s="150">
        <f t="shared" si="245"/>
        <v>18.353550738787995</v>
      </c>
      <c r="DP105" s="314">
        <f t="shared" si="246"/>
        <v>500</v>
      </c>
      <c r="DQ105" s="144">
        <f t="shared" si="247"/>
        <v>91.679832220372745</v>
      </c>
      <c r="DS105">
        <f t="shared" si="311"/>
        <v>500</v>
      </c>
      <c r="DT105">
        <f t="shared" si="312"/>
        <v>91.679832220372745</v>
      </c>
      <c r="DV105" s="5">
        <f t="shared" si="293"/>
        <v>10.907524324393165</v>
      </c>
      <c r="DW105" s="5">
        <f t="shared" si="249"/>
        <v>4.5613283538371414</v>
      </c>
      <c r="DX105" s="5">
        <f t="shared" si="294"/>
        <v>6.3461959705560238</v>
      </c>
      <c r="DY105" s="150">
        <f t="shared" si="295"/>
        <v>0.41818181818181815</v>
      </c>
      <c r="EA105" s="5">
        <f t="shared" si="250"/>
        <v>1.3415671628932768</v>
      </c>
      <c r="EB105" s="5">
        <f t="shared" si="251"/>
        <v>19.005534807654758</v>
      </c>
      <c r="EC105" s="5">
        <f t="shared" si="252"/>
        <v>74.920369096841924</v>
      </c>
      <c r="ED105" s="5"/>
      <c r="EE105" s="150">
        <f t="shared" si="296"/>
        <v>13.623957167639269</v>
      </c>
      <c r="EF105" s="150">
        <f t="shared" si="253"/>
        <v>0.75051932354381357</v>
      </c>
      <c r="EG105" s="150">
        <f t="shared" si="254"/>
        <v>0.71395909914324174</v>
      </c>
      <c r="EH105" s="150"/>
      <c r="EI105" s="456">
        <f t="shared" si="255"/>
        <v>0.63108151027927595</v>
      </c>
      <c r="EJ105" s="456">
        <f t="shared" si="256"/>
        <v>2.0975999999999995</v>
      </c>
      <c r="EK105" s="456">
        <f t="shared" si="257"/>
        <v>2.0994681578465357E-2</v>
      </c>
      <c r="EL105" s="456">
        <f t="shared" si="258"/>
        <v>2.6714822672761856E-2</v>
      </c>
      <c r="EM105">
        <f t="shared" si="259"/>
        <v>5.4000000000000003E-3</v>
      </c>
      <c r="EN105" s="144">
        <f t="shared" si="297"/>
        <v>26.394681578465356</v>
      </c>
      <c r="EO105">
        <f t="shared" si="260"/>
        <v>3.4729316422486494</v>
      </c>
      <c r="EP105" s="144">
        <f t="shared" si="298"/>
        <v>3472.9316422486495</v>
      </c>
      <c r="EQ105" s="150">
        <f t="shared" si="261"/>
        <v>1.109375</v>
      </c>
      <c r="ER105" s="150">
        <f t="shared" si="262"/>
        <v>0.35499999999999998</v>
      </c>
      <c r="ES105" s="456"/>
      <c r="EU105" s="144">
        <f t="shared" si="299"/>
        <v>1464.375</v>
      </c>
      <c r="EV105" s="456">
        <f t="shared" si="263"/>
        <v>0.27841831335850409</v>
      </c>
      <c r="EW105" s="456">
        <f t="shared" si="300"/>
        <v>0.11265585100253271</v>
      </c>
      <c r="EX105" s="456">
        <f t="shared" si="264"/>
        <v>1.5292127857482879E-2</v>
      </c>
      <c r="EY105" s="456">
        <f t="shared" si="265"/>
        <v>32.367401730078967</v>
      </c>
      <c r="EZ105" s="456">
        <f t="shared" si="266"/>
        <v>33.975826379708515</v>
      </c>
      <c r="FA105" s="538">
        <f t="shared" si="267"/>
        <v>0.12207773339724132</v>
      </c>
      <c r="FB105" s="144">
        <f t="shared" si="301"/>
        <v>34097.904113105753</v>
      </c>
      <c r="FC105" s="150">
        <f t="shared" si="302"/>
        <v>39.035210755354406</v>
      </c>
      <c r="FD105" s="5">
        <f t="shared" si="303"/>
        <v>91</v>
      </c>
      <c r="FE105" s="150">
        <f t="shared" si="304"/>
        <v>0.69981045496366023</v>
      </c>
      <c r="FF105" s="5">
        <f t="shared" si="305"/>
        <v>69.981045496366022</v>
      </c>
      <c r="FG105">
        <f t="shared" si="306"/>
        <v>100</v>
      </c>
      <c r="FI105" s="59">
        <f t="shared" si="268"/>
        <v>-50</v>
      </c>
      <c r="FJ105">
        <f t="shared" si="269"/>
        <v>-50</v>
      </c>
      <c r="FL105">
        <f t="shared" si="270"/>
        <v>0.56766977275315578</v>
      </c>
    </row>
    <row r="106" spans="5:169">
      <c r="E106" s="147"/>
      <c r="F106" s="188"/>
      <c r="G106" s="188"/>
      <c r="H106" s="188"/>
      <c r="I106" s="188"/>
      <c r="J106" s="465"/>
      <c r="K106" s="379"/>
      <c r="L106" s="379"/>
      <c r="M106" s="379"/>
      <c r="N106" s="188"/>
      <c r="O106" s="149"/>
      <c r="P106" s="149"/>
      <c r="Q106" s="188"/>
      <c r="R106" s="188"/>
      <c r="S106" s="188"/>
      <c r="T106" s="188"/>
      <c r="U106" s="188"/>
      <c r="V106" s="188"/>
      <c r="W106" s="172"/>
      <c r="X106" s="379"/>
      <c r="Z106" s="188"/>
      <c r="AA106" s="150"/>
      <c r="AB106" s="150"/>
      <c r="AC106" s="150"/>
      <c r="AD106" s="150"/>
      <c r="AE106" s="314"/>
      <c r="AF106" s="456"/>
      <c r="AH106" s="150"/>
      <c r="AI106" s="150"/>
      <c r="AJ106" s="150"/>
      <c r="AL106" s="314"/>
      <c r="AM106" s="144"/>
      <c r="AP106" s="3"/>
      <c r="AR106" s="5"/>
      <c r="AS106" s="5"/>
      <c r="AT106" s="5"/>
      <c r="AU106" s="150"/>
      <c r="AW106" s="5"/>
      <c r="AX106" s="5"/>
      <c r="AY106" s="5"/>
      <c r="AZ106" s="5"/>
      <c r="BA106" s="150"/>
      <c r="BB106" s="150"/>
      <c r="BC106" s="150"/>
      <c r="BD106" s="150"/>
      <c r="BE106" s="456"/>
      <c r="BF106" s="456"/>
      <c r="BG106" s="456"/>
      <c r="BH106" s="456"/>
      <c r="BL106" s="144"/>
      <c r="BM106" s="150"/>
      <c r="BN106" s="150"/>
      <c r="BO106" s="456"/>
      <c r="BQ106" s="144"/>
      <c r="BR106" s="456"/>
      <c r="BS106" s="456"/>
      <c r="BT106" s="456"/>
      <c r="BU106" s="456"/>
      <c r="BV106" s="456"/>
      <c r="BW106" s="538"/>
      <c r="BX106" s="144"/>
      <c r="BY106" s="150"/>
      <c r="BZ106" s="5"/>
      <c r="CA106" s="150"/>
      <c r="CB106" s="5"/>
      <c r="CI106" s="147"/>
      <c r="CJ106" s="188"/>
      <c r="CK106" s="188"/>
      <c r="CL106" s="188"/>
      <c r="CM106" s="188"/>
      <c r="CN106" s="465"/>
      <c r="CO106" s="379"/>
      <c r="CP106" s="379"/>
      <c r="CQ106" s="379"/>
      <c r="CR106" s="188"/>
      <c r="CS106" s="149"/>
      <c r="CT106" s="149"/>
      <c r="CU106" s="188"/>
      <c r="CV106" s="188"/>
      <c r="CW106" s="188"/>
      <c r="CX106" s="188"/>
      <c r="CY106" s="188"/>
      <c r="CZ106" s="188"/>
      <c r="DA106" s="172"/>
      <c r="DB106" s="379"/>
      <c r="DD106" s="188"/>
      <c r="DE106" s="150"/>
      <c r="DF106" s="150"/>
      <c r="DG106" s="150"/>
      <c r="DH106" s="150"/>
      <c r="DI106" s="314"/>
      <c r="DJ106" s="456"/>
      <c r="DL106" s="150"/>
      <c r="DM106" s="150"/>
      <c r="DN106" s="150"/>
      <c r="DP106" s="314"/>
      <c r="DQ106" s="144"/>
      <c r="DT106" s="3"/>
      <c r="DV106" s="5"/>
      <c r="DW106" s="5"/>
      <c r="DX106" s="5"/>
      <c r="DY106" s="150"/>
      <c r="EA106" s="5"/>
      <c r="EB106" s="5"/>
      <c r="EC106" s="5"/>
      <c r="ED106" s="5"/>
      <c r="EE106" s="150"/>
      <c r="EF106" s="150"/>
      <c r="EG106" s="150"/>
      <c r="EH106" s="150"/>
      <c r="EI106" s="456"/>
      <c r="EJ106" s="456"/>
      <c r="EK106" s="456"/>
      <c r="EL106" s="456"/>
      <c r="EP106" s="144"/>
      <c r="EQ106" s="150"/>
      <c r="ER106" s="150"/>
      <c r="ES106" s="456"/>
      <c r="EU106" s="144"/>
      <c r="EV106" s="456"/>
      <c r="EW106" s="456"/>
      <c r="EX106" s="456"/>
      <c r="EY106" s="456"/>
      <c r="EZ106" s="456"/>
      <c r="FA106" s="538"/>
      <c r="FB106" s="144"/>
      <c r="FC106" s="150"/>
      <c r="FD106" s="5"/>
      <c r="FE106" s="150"/>
      <c r="FF106" s="5"/>
    </row>
    <row r="107" spans="5:169">
      <c r="G107" s="188"/>
      <c r="H107" s="188"/>
      <c r="I107" s="188"/>
      <c r="J107" s="465"/>
      <c r="K107" s="379"/>
      <c r="L107" s="379"/>
      <c r="M107" s="379"/>
      <c r="N107" s="188"/>
      <c r="O107" s="149"/>
      <c r="P107" s="149"/>
      <c r="Q107" s="188"/>
      <c r="R107" s="188"/>
      <c r="S107" s="188"/>
      <c r="T107" s="188"/>
      <c r="U107" s="188"/>
      <c r="V107" s="188"/>
      <c r="W107" s="172"/>
      <c r="X107" s="379"/>
      <c r="Z107" s="188"/>
      <c r="AA107" s="150"/>
      <c r="AB107" s="150"/>
      <c r="AC107" s="150"/>
      <c r="AD107" s="150"/>
      <c r="AE107" s="314"/>
      <c r="AF107" s="456"/>
      <c r="AH107" s="150"/>
      <c r="AI107" s="150"/>
      <c r="AJ107" s="150"/>
      <c r="AL107" s="314"/>
      <c r="AM107" s="144"/>
      <c r="AR107" s="5"/>
      <c r="AS107" s="5"/>
      <c r="AT107" s="5"/>
      <c r="AU107" s="150"/>
      <c r="AW107" s="5"/>
      <c r="AX107" s="5"/>
      <c r="AY107" s="5"/>
      <c r="AZ107" s="5"/>
      <c r="BA107" s="150"/>
      <c r="BB107" s="150"/>
      <c r="BC107" s="150"/>
      <c r="BD107" s="150"/>
      <c r="BE107" s="456"/>
      <c r="BF107" s="456"/>
      <c r="BG107" s="456"/>
      <c r="BH107" s="456"/>
      <c r="BL107" s="144"/>
      <c r="BM107" s="150"/>
      <c r="BN107" s="150"/>
      <c r="BO107" s="456"/>
      <c r="BQ107" s="144"/>
      <c r="BR107" s="456"/>
      <c r="BS107" s="456"/>
      <c r="BT107" s="456"/>
      <c r="BU107" s="456"/>
      <c r="BV107" s="456"/>
      <c r="BW107" s="538"/>
      <c r="BX107" s="144"/>
      <c r="BY107" s="150"/>
      <c r="BZ107" s="5"/>
      <c r="CA107" s="150"/>
      <c r="CB107" s="5"/>
      <c r="CK107" s="188"/>
      <c r="CL107" s="188"/>
      <c r="CM107" s="188"/>
      <c r="CN107" s="465"/>
      <c r="CO107" s="379"/>
      <c r="CP107" s="379"/>
      <c r="CQ107" s="379"/>
      <c r="CR107" s="188"/>
      <c r="CS107" s="149"/>
      <c r="CT107" s="149"/>
      <c r="CU107" s="188"/>
      <c r="CV107" s="188"/>
      <c r="CW107" s="188"/>
      <c r="CX107" s="188"/>
      <c r="CY107" s="188"/>
      <c r="CZ107" s="188"/>
      <c r="DA107" s="172"/>
      <c r="DB107" s="379"/>
      <c r="DD107" s="188"/>
      <c r="DE107" s="150"/>
      <c r="DF107" s="150"/>
      <c r="DG107" s="150"/>
      <c r="DH107" s="150"/>
      <c r="DI107" s="314"/>
      <c r="DJ107" s="456"/>
      <c r="DL107" s="150"/>
      <c r="DM107" s="150"/>
      <c r="DN107" s="150"/>
      <c r="DP107" s="314"/>
      <c r="DQ107" s="144"/>
      <c r="DV107" s="5"/>
      <c r="DW107" s="5"/>
      <c r="DX107" s="5"/>
      <c r="DY107" s="150"/>
      <c r="EA107" s="5"/>
      <c r="EB107" s="5"/>
      <c r="EC107" s="5"/>
      <c r="ED107" s="5"/>
      <c r="EE107" s="150"/>
      <c r="EF107" s="150"/>
      <c r="EG107" s="150"/>
      <c r="EH107" s="150"/>
      <c r="EI107" s="456"/>
      <c r="EJ107" s="456"/>
      <c r="EK107" s="456"/>
      <c r="EL107" s="456"/>
      <c r="EP107" s="144"/>
      <c r="EQ107" s="150"/>
      <c r="ER107" s="150"/>
      <c r="ES107" s="456"/>
      <c r="EU107" s="144"/>
      <c r="EV107" s="456"/>
      <c r="EW107" s="456"/>
      <c r="EX107" s="456"/>
      <c r="EY107" s="456"/>
      <c r="EZ107" s="456"/>
      <c r="FA107" s="538"/>
      <c r="FB107" s="144"/>
      <c r="FC107" s="150"/>
      <c r="FD107" s="5"/>
      <c r="FE107" s="150"/>
      <c r="FF107" s="5"/>
    </row>
    <row r="108" spans="5:169">
      <c r="E108" s="159" t="s">
        <v>434</v>
      </c>
      <c r="G108" s="188"/>
      <c r="H108" s="188"/>
      <c r="I108" s="188"/>
      <c r="J108" s="465"/>
      <c r="K108" s="379"/>
      <c r="L108" s="379"/>
      <c r="M108" s="379"/>
      <c r="N108" s="188"/>
      <c r="O108" s="149"/>
      <c r="P108" s="149"/>
      <c r="Q108" s="188"/>
      <c r="R108" s="188"/>
      <c r="S108" s="188"/>
      <c r="T108" s="188"/>
      <c r="U108" s="188"/>
      <c r="V108" s="188"/>
      <c r="W108" s="172"/>
      <c r="X108" s="379"/>
      <c r="Z108" s="188"/>
      <c r="AA108" s="150"/>
      <c r="AB108" s="150"/>
      <c r="AC108" s="150"/>
      <c r="AD108" s="150"/>
      <c r="AE108" s="314"/>
      <c r="AF108" s="456"/>
      <c r="AH108" s="150"/>
      <c r="AI108" s="150"/>
      <c r="AJ108" s="150"/>
      <c r="AL108" s="314"/>
      <c r="AM108" s="144"/>
      <c r="AR108" s="5"/>
      <c r="AS108" s="5"/>
      <c r="AT108" s="5"/>
      <c r="AU108" s="150"/>
      <c r="AW108" s="461" t="s">
        <v>470</v>
      </c>
      <c r="AX108" s="461" t="s">
        <v>470</v>
      </c>
      <c r="AY108" s="461"/>
      <c r="AZ108" s="461"/>
      <c r="BA108" s="480" t="s">
        <v>471</v>
      </c>
      <c r="BB108" s="461"/>
      <c r="BC108" s="461"/>
      <c r="BD108" s="461"/>
      <c r="BE108" s="480" t="s">
        <v>493</v>
      </c>
      <c r="BF108" s="461"/>
      <c r="BG108" s="461"/>
      <c r="BH108" s="461"/>
      <c r="BI108" s="461"/>
      <c r="BJ108" s="461"/>
      <c r="BK108" s="461"/>
      <c r="BL108" s="461"/>
      <c r="BM108" s="480" t="s">
        <v>489</v>
      </c>
      <c r="BN108" s="461"/>
      <c r="BO108" s="461"/>
      <c r="BP108" s="461"/>
      <c r="BQ108" s="461"/>
      <c r="BR108" s="481" t="s">
        <v>490</v>
      </c>
      <c r="BS108" s="461"/>
      <c r="BT108" s="461"/>
      <c r="BU108" s="461"/>
      <c r="BV108" s="461"/>
      <c r="BW108" s="461"/>
      <c r="BX108" s="461"/>
      <c r="BY108" s="480"/>
      <c r="BZ108" s="461"/>
      <c r="CA108" s="461"/>
      <c r="CB108" s="461"/>
      <c r="CC108" s="461"/>
      <c r="CI108" s="159" t="s">
        <v>434</v>
      </c>
      <c r="CK108" s="188"/>
      <c r="CL108" s="188"/>
      <c r="CM108" s="188"/>
      <c r="CN108" s="465"/>
      <c r="CO108" s="379"/>
      <c r="CP108" s="379"/>
      <c r="CQ108" s="379"/>
      <c r="CR108" s="188"/>
      <c r="CS108" s="149"/>
      <c r="CT108" s="149"/>
      <c r="CU108" s="188"/>
      <c r="CV108" s="188"/>
      <c r="CW108" s="188"/>
      <c r="CX108" s="188"/>
      <c r="CY108" s="188"/>
      <c r="CZ108" s="188"/>
      <c r="DA108" s="172"/>
      <c r="DB108" s="379"/>
      <c r="DD108" s="188"/>
      <c r="DE108" s="150"/>
      <c r="DF108" s="150"/>
      <c r="DG108" s="150"/>
      <c r="DH108" s="150"/>
      <c r="DI108" s="314"/>
      <c r="DJ108" s="456"/>
      <c r="DL108" s="150"/>
      <c r="DM108" s="150"/>
      <c r="DN108" s="150"/>
      <c r="DP108" s="314"/>
      <c r="DQ108" s="144"/>
      <c r="DV108" s="5"/>
      <c r="DW108" s="5"/>
      <c r="DX108" s="5"/>
      <c r="DY108" s="150"/>
      <c r="EA108" s="461" t="s">
        <v>470</v>
      </c>
      <c r="EB108" s="461" t="s">
        <v>470</v>
      </c>
      <c r="EC108" s="461"/>
      <c r="ED108" s="461"/>
      <c r="EE108" s="480" t="s">
        <v>471</v>
      </c>
      <c r="EF108" s="461"/>
      <c r="EG108" s="461"/>
      <c r="EH108" s="461"/>
      <c r="EI108" s="480" t="s">
        <v>493</v>
      </c>
      <c r="EJ108" s="461"/>
      <c r="EK108" s="461"/>
      <c r="EL108" s="461"/>
      <c r="EM108" s="461"/>
      <c r="EN108" s="461"/>
      <c r="EO108" s="461"/>
      <c r="EP108" s="461"/>
      <c r="EQ108" s="480" t="s">
        <v>489</v>
      </c>
      <c r="ER108" s="461"/>
      <c r="ES108" s="461"/>
      <c r="ET108" s="461"/>
      <c r="EU108" s="461"/>
      <c r="EV108" s="481" t="s">
        <v>490</v>
      </c>
      <c r="EW108" s="461"/>
      <c r="EX108" s="461"/>
      <c r="EY108" s="461"/>
      <c r="EZ108" s="461"/>
      <c r="FA108" s="461"/>
      <c r="FB108" s="461"/>
      <c r="FC108" s="480"/>
      <c r="FD108" s="461"/>
      <c r="FE108" s="461"/>
      <c r="FF108" s="461"/>
      <c r="FG108" s="461"/>
    </row>
    <row r="109" spans="5:169" ht="45" customHeight="1" thickBot="1">
      <c r="E109" s="211" t="s">
        <v>25</v>
      </c>
      <c r="F109" s="516" t="s">
        <v>580</v>
      </c>
      <c r="G109" s="380" t="s">
        <v>579</v>
      </c>
      <c r="H109" s="517" t="s">
        <v>581</v>
      </c>
      <c r="I109" s="518" t="s">
        <v>582</v>
      </c>
      <c r="J109" s="212" t="s">
        <v>412</v>
      </c>
      <c r="K109" s="213" t="s">
        <v>586</v>
      </c>
      <c r="L109" s="519" t="s">
        <v>413</v>
      </c>
      <c r="M109" s="520"/>
      <c r="N109" s="214" t="s">
        <v>48</v>
      </c>
      <c r="O109" s="520" t="s">
        <v>590</v>
      </c>
      <c r="P109" s="520" t="s">
        <v>606</v>
      </c>
      <c r="Q109" s="520" t="s">
        <v>583</v>
      </c>
      <c r="R109" s="520" t="s">
        <v>584</v>
      </c>
      <c r="S109" s="520" t="s">
        <v>585</v>
      </c>
      <c r="T109" s="520" t="s">
        <v>414</v>
      </c>
      <c r="U109" s="520" t="s">
        <v>466</v>
      </c>
      <c r="V109" s="520" t="s">
        <v>465</v>
      </c>
      <c r="W109" s="521" t="s">
        <v>420</v>
      </c>
      <c r="X109" s="522" t="s">
        <v>425</v>
      </c>
      <c r="Z109" s="215" t="s">
        <v>417</v>
      </c>
      <c r="AA109" s="215" t="s">
        <v>464</v>
      </c>
      <c r="AB109" s="215" t="s">
        <v>587</v>
      </c>
      <c r="AC109" s="468"/>
      <c r="AD109" s="215" t="s">
        <v>463</v>
      </c>
      <c r="AE109" s="521" t="s">
        <v>426</v>
      </c>
      <c r="AF109" s="215" t="s">
        <v>588</v>
      </c>
      <c r="AG109" s="468"/>
      <c r="AH109" s="215" t="s">
        <v>429</v>
      </c>
      <c r="AI109" s="470" t="s">
        <v>430</v>
      </c>
      <c r="AJ109" s="470" t="s">
        <v>431</v>
      </c>
      <c r="AL109" s="467" t="s">
        <v>275</v>
      </c>
      <c r="AM109" s="467" t="s">
        <v>432</v>
      </c>
      <c r="AO109" s="215" t="s">
        <v>275</v>
      </c>
      <c r="AP109" s="215" t="s">
        <v>432</v>
      </c>
      <c r="AQ109" s="471"/>
      <c r="AR109" s="215" t="s">
        <v>467</v>
      </c>
      <c r="AS109" s="215" t="s">
        <v>461</v>
      </c>
      <c r="AT109" s="215" t="s">
        <v>462</v>
      </c>
      <c r="AU109" s="215" t="s">
        <v>48</v>
      </c>
      <c r="AV109" s="468"/>
      <c r="AW109" s="215" t="s">
        <v>591</v>
      </c>
      <c r="AX109" s="215" t="s">
        <v>592</v>
      </c>
      <c r="AY109" s="215" t="s">
        <v>514</v>
      </c>
      <c r="AZ109" s="468"/>
      <c r="BA109" s="479" t="s">
        <v>456</v>
      </c>
      <c r="BB109" s="215" t="s">
        <v>599</v>
      </c>
      <c r="BC109" s="215" t="s">
        <v>598</v>
      </c>
      <c r="BD109" s="468"/>
      <c r="BE109" s="479" t="s">
        <v>474</v>
      </c>
      <c r="BF109" s="215" t="s">
        <v>475</v>
      </c>
      <c r="BG109" s="215" t="s">
        <v>473</v>
      </c>
      <c r="BH109" s="215" t="s">
        <v>469</v>
      </c>
      <c r="BI109" s="215" t="s">
        <v>478</v>
      </c>
      <c r="BJ109" s="215" t="s">
        <v>491</v>
      </c>
      <c r="BK109" s="215" t="s">
        <v>776</v>
      </c>
      <c r="BL109" s="215" t="s">
        <v>778</v>
      </c>
      <c r="BM109" s="479" t="s">
        <v>601</v>
      </c>
      <c r="BN109" s="215" t="s">
        <v>600</v>
      </c>
      <c r="BO109" s="215" t="s">
        <v>477</v>
      </c>
      <c r="BP109" s="215" t="s">
        <v>483</v>
      </c>
      <c r="BQ109" s="215" t="s">
        <v>487</v>
      </c>
      <c r="BR109" s="479" t="s">
        <v>458</v>
      </c>
      <c r="BS109" s="215" t="s">
        <v>603</v>
      </c>
      <c r="BT109" s="215" t="s">
        <v>602</v>
      </c>
      <c r="BU109" s="215" t="s">
        <v>468</v>
      </c>
      <c r="BV109" s="215" t="s">
        <v>673</v>
      </c>
      <c r="BW109" s="215" t="s">
        <v>484</v>
      </c>
      <c r="BX109" s="215" t="s">
        <v>667</v>
      </c>
      <c r="BY109" s="479" t="s">
        <v>482</v>
      </c>
      <c r="BZ109" s="215" t="s">
        <v>223</v>
      </c>
      <c r="CA109" s="215" t="s">
        <v>47</v>
      </c>
      <c r="CB109" s="215" t="s">
        <v>485</v>
      </c>
      <c r="CC109" s="215" t="s">
        <v>604</v>
      </c>
      <c r="CE109" s="490" t="s">
        <v>497</v>
      </c>
      <c r="CG109" s="668" t="s">
        <v>829</v>
      </c>
      <c r="CH109" s="669" t="s">
        <v>830</v>
      </c>
      <c r="CI109" s="211" t="s">
        <v>25</v>
      </c>
      <c r="CJ109" s="516" t="s">
        <v>580</v>
      </c>
      <c r="CK109" s="380" t="s">
        <v>579</v>
      </c>
      <c r="CL109" s="517" t="s">
        <v>581</v>
      </c>
      <c r="CM109" s="518" t="s">
        <v>582</v>
      </c>
      <c r="CN109" s="212" t="s">
        <v>412</v>
      </c>
      <c r="CO109" s="213" t="s">
        <v>586</v>
      </c>
      <c r="CP109" s="519" t="s">
        <v>413</v>
      </c>
      <c r="CQ109" s="520"/>
      <c r="CR109" s="214" t="s">
        <v>48</v>
      </c>
      <c r="CS109" s="520" t="s">
        <v>590</v>
      </c>
      <c r="CT109" s="520" t="s">
        <v>606</v>
      </c>
      <c r="CU109" s="520" t="s">
        <v>583</v>
      </c>
      <c r="CV109" s="520" t="s">
        <v>584</v>
      </c>
      <c r="CW109" s="520" t="s">
        <v>585</v>
      </c>
      <c r="CX109" s="520" t="s">
        <v>414</v>
      </c>
      <c r="CY109" s="520" t="s">
        <v>466</v>
      </c>
      <c r="CZ109" s="520" t="s">
        <v>465</v>
      </c>
      <c r="DA109" s="521" t="s">
        <v>420</v>
      </c>
      <c r="DB109" s="522" t="s">
        <v>425</v>
      </c>
      <c r="DD109" s="215" t="s">
        <v>417</v>
      </c>
      <c r="DE109" s="215" t="s">
        <v>464</v>
      </c>
      <c r="DF109" s="215" t="s">
        <v>587</v>
      </c>
      <c r="DG109" s="468"/>
      <c r="DH109" s="215" t="s">
        <v>463</v>
      </c>
      <c r="DI109" s="521" t="s">
        <v>426</v>
      </c>
      <c r="DJ109" s="215" t="s">
        <v>588</v>
      </c>
      <c r="DK109" s="468"/>
      <c r="DL109" s="215" t="s">
        <v>429</v>
      </c>
      <c r="DM109" s="470" t="s">
        <v>430</v>
      </c>
      <c r="DN109" s="470" t="s">
        <v>431</v>
      </c>
      <c r="DP109" s="467" t="s">
        <v>275</v>
      </c>
      <c r="DQ109" s="467" t="s">
        <v>432</v>
      </c>
      <c r="DS109" s="215" t="s">
        <v>275</v>
      </c>
      <c r="DT109" s="215" t="s">
        <v>432</v>
      </c>
      <c r="DU109" s="471"/>
      <c r="DV109" s="215" t="s">
        <v>467</v>
      </c>
      <c r="DW109" s="215" t="s">
        <v>461</v>
      </c>
      <c r="DX109" s="215" t="s">
        <v>462</v>
      </c>
      <c r="DY109" s="215" t="s">
        <v>48</v>
      </c>
      <c r="DZ109" s="468"/>
      <c r="EA109" s="215" t="s">
        <v>591</v>
      </c>
      <c r="EB109" s="215" t="s">
        <v>592</v>
      </c>
      <c r="EC109" s="215" t="s">
        <v>514</v>
      </c>
      <c r="ED109" s="468"/>
      <c r="EE109" s="479" t="s">
        <v>456</v>
      </c>
      <c r="EF109" s="215" t="s">
        <v>599</v>
      </c>
      <c r="EG109" s="215" t="s">
        <v>598</v>
      </c>
      <c r="EH109" s="468"/>
      <c r="EI109" s="479" t="s">
        <v>474</v>
      </c>
      <c r="EJ109" s="215" t="s">
        <v>475</v>
      </c>
      <c r="EK109" s="215" t="s">
        <v>473</v>
      </c>
      <c r="EL109" s="215" t="s">
        <v>469</v>
      </c>
      <c r="EM109" s="215" t="s">
        <v>478</v>
      </c>
      <c r="EN109" s="215" t="s">
        <v>491</v>
      </c>
      <c r="EO109" s="215" t="s">
        <v>776</v>
      </c>
      <c r="EP109" s="215" t="s">
        <v>778</v>
      </c>
      <c r="EQ109" s="479" t="s">
        <v>601</v>
      </c>
      <c r="ER109" s="215" t="s">
        <v>600</v>
      </c>
      <c r="ES109" s="215" t="s">
        <v>477</v>
      </c>
      <c r="ET109" s="215" t="s">
        <v>483</v>
      </c>
      <c r="EU109" s="215" t="s">
        <v>487</v>
      </c>
      <c r="EV109" s="479" t="s">
        <v>458</v>
      </c>
      <c r="EW109" s="215" t="s">
        <v>603</v>
      </c>
      <c r="EX109" s="215" t="s">
        <v>602</v>
      </c>
      <c r="EY109" s="215" t="s">
        <v>468</v>
      </c>
      <c r="EZ109" s="215" t="s">
        <v>673</v>
      </c>
      <c r="FA109" s="215" t="s">
        <v>484</v>
      </c>
      <c r="FB109" s="215" t="s">
        <v>486</v>
      </c>
      <c r="FC109" s="479" t="s">
        <v>482</v>
      </c>
      <c r="FD109" s="215" t="s">
        <v>223</v>
      </c>
      <c r="FE109" s="215" t="s">
        <v>47</v>
      </c>
      <c r="FF109" s="215" t="s">
        <v>485</v>
      </c>
      <c r="FG109" s="215" t="s">
        <v>604</v>
      </c>
      <c r="FI109" s="490" t="s">
        <v>497</v>
      </c>
      <c r="FL109" s="668" t="s">
        <v>876</v>
      </c>
      <c r="FM109" s="668" t="s">
        <v>875</v>
      </c>
    </row>
    <row r="110" spans="5:169">
      <c r="E110" s="147">
        <v>0.1</v>
      </c>
      <c r="F110" s="188">
        <v>1.0000000000000001E-9</v>
      </c>
      <c r="G110" s="188">
        <f t="shared" ref="G110:G141" si="313">IF(PLOT_TYPE=1, E110/100*Iout2, min_I*EXP(Q110*rr/100))</f>
        <v>5.0000000000000001E-4</v>
      </c>
      <c r="H110" s="188">
        <f t="shared" ref="H110:H141" si="314">F110*Vout</f>
        <v>1.7000000000000001E-7</v>
      </c>
      <c r="I110" s="188">
        <f t="shared" ref="I110:I141" si="315">Vout2*G110</f>
        <v>6.0000000000000001E-3</v>
      </c>
      <c r="J110" s="465">
        <f t="shared" ref="J110:J141" si="316">VIN_min-(F110/CG110/Nps+G110/CH110/(Nps/Nsec1sec2))*(Rdcr_pri+RON/1000)</f>
        <v>8.9977250986215438</v>
      </c>
      <c r="K110" s="379">
        <f t="shared" ref="K110:K141" si="317">MAX((S110+Vfwd2+Rdcr_sec*F110/CG110)*Nps,(Vout2+Vfwd22+Rdcr_sec2*G110/CH110)*Nps/Nsec1sec2)</f>
        <v>8.6312914229544351</v>
      </c>
      <c r="L110" s="149">
        <f t="shared" ref="L110:L141" si="318">MAX((Vout+Vfwd2+F110/CG110*Rdcr_sec)*Nps+J110, (Vout2+Vfwd22+G110/CH110*Rdcr_sec2)*Nps/Nsec1sec2+J110)</f>
        <v>17.629016521575977</v>
      </c>
      <c r="M110" s="379"/>
      <c r="N110" s="188">
        <f t="shared" ref="N110:N141" si="319">MAX((Vout+Vfwd2+F110/CG110*Rdcr_sec)*Nps/((Vout+Vfwd2+F110/CG110*Rdcr_sec)*Nps+J110), (Vout2+Vfwd22+G110/CH110*Rdcr_sec2)*Nps/Nsec1sec2/((Vout2+Vfwd22+G110/CH110*Rdcr_sec2)*Nps/Nsec1sec2+J110))</f>
        <v>0.48960708683837717</v>
      </c>
      <c r="O110" s="149">
        <f t="shared" ref="O110:O141" si="320">N110*J110*Isw_max*0.5*Efficiency*Pout/(Pout+Pout2)</f>
        <v>137.16291126931677</v>
      </c>
      <c r="P110" s="149">
        <f t="shared" ref="P110:P141" si="321">N110*J110*Isw_max*0.5*Efficiency*(Pout2/Pout_total)</f>
        <v>9.6820878543047133</v>
      </c>
      <c r="Q110" s="188">
        <f t="shared" ref="Q110:Q173" si="322">O110/Vout</f>
        <v>0.80684065452539278</v>
      </c>
      <c r="R110" s="188">
        <f t="shared" ref="R110:R141" si="323">O110/Vout2</f>
        <v>11.430242605776398</v>
      </c>
      <c r="S110" s="188">
        <f t="shared" ref="S110:S141" si="324">MIN(Vout,O110/F110)</f>
        <v>170</v>
      </c>
      <c r="T110" s="188">
        <f t="shared" ref="T110:T141" si="325">MIN(2*(Vout*F110+Vout2*G110)/(Efficiency*J110*N110), Isw_max)</f>
        <v>2.7240378339107333E-3</v>
      </c>
      <c r="U110" s="188">
        <f t="shared" ref="U110:U173" si="326">L*T110/J110*1000000</f>
        <v>4.5412109239613093E-4</v>
      </c>
      <c r="V110" s="188">
        <f t="shared" ref="V110:V173" si="327">L*T110/K110*1000000</f>
        <v>4.7340039290058751E-4</v>
      </c>
      <c r="W110" s="172">
        <f t="shared" ref="W110:W173" si="328">IF(1/((350000*L)*(1/J110+1/K110))&gt;Isw_min, 350, 0.001/((Isw_min*L)*(1/J110+1/K110)))</f>
        <v>220.26749868543214</v>
      </c>
      <c r="X110" s="379">
        <f>MIN(1/(U110+V110+0.2)*1000, 350)</f>
        <v>350</v>
      </c>
      <c r="Z110" s="188">
        <f t="shared" ref="Z110:Z173" si="329">1/((W110*1000*L)*(1/J110+1/K110))</f>
        <v>13.333333333333336</v>
      </c>
      <c r="AA110" s="150">
        <f t="shared" ref="AA110:AA173" si="330">L*Z110/K110*1000000</f>
        <v>2.3171503567601861</v>
      </c>
      <c r="AB110" s="150">
        <f t="shared" ref="AB110:AB141" si="331">0.5*AA110*Z110*Nps*W110/1000*(Pout/(Pout+Pout2))</f>
        <v>0.15891354439098154</v>
      </c>
      <c r="AC110" s="150"/>
      <c r="AD110" s="150">
        <f t="shared" ref="AD110:AD173" si="332">L*Isw_min/K110*1000000</f>
        <v>2.3171503567601857</v>
      </c>
      <c r="AE110" s="314">
        <f t="shared" ref="AE110:AE141" si="333">MAX(10, F110/(0.5*AD110/1000000*Isw_min*Nps)/1000*Pout_total/Pout)</f>
        <v>10</v>
      </c>
      <c r="AF110" s="456">
        <f t="shared" ref="AF110:AF141" si="334">0.5*AD110/1000000*Isw_min*Nps*W110*1000*(Pout/Pout_total)</f>
        <v>0.15891354439098149</v>
      </c>
      <c r="AH110" s="150">
        <f t="shared" ref="AH110:AH141" si="335">SQRT((H110+I110)/(0.5*L*Fsw_DCM))</f>
        <v>0.1511879309872004</v>
      </c>
      <c r="AI110" s="150">
        <f t="shared" ref="AI110:AI141" si="336">MAX(IF(F110&gt;AB110,T110,AH110),Isw_min)</f>
        <v>13.333333333333334</v>
      </c>
      <c r="AJ110" s="150">
        <f t="shared" ref="AJ110:AJ141" si="337">IF(F110&gt;AF110, (AI110-Isw_min)/1.08*0.8+1.2, AE110*0.2/350+1)</f>
        <v>1.0057142857142858</v>
      </c>
      <c r="AL110" s="314">
        <f t="shared" ref="AL110:AL141" si="338">F110*1000</f>
        <v>1.0000000000000002E-6</v>
      </c>
      <c r="AM110" s="144">
        <f t="shared" ref="AM110:AM141" si="339">IF(F110&gt;AF110, X110, AE110)</f>
        <v>10</v>
      </c>
      <c r="AO110" s="144">
        <f t="shared" ref="AO110:AO173" si="340">IF(H110&gt;O110, "",AL110)</f>
        <v>1.0000000000000002E-6</v>
      </c>
      <c r="AP110" s="144">
        <f t="shared" ref="AP110:AP173" si="341">IF(H110&gt;O110, "",AM110)</f>
        <v>10</v>
      </c>
      <c r="AR110" s="5">
        <f t="shared" si="275"/>
        <v>100</v>
      </c>
      <c r="AS110" s="5">
        <f>L*AI110/J110*1000000</f>
        <v>2.2227840682823277</v>
      </c>
      <c r="AT110" s="5">
        <f>AR110-AS110</f>
        <v>97.777215931717677</v>
      </c>
      <c r="AU110" s="150">
        <f>AS110/AR110</f>
        <v>2.2227840682823276E-2</v>
      </c>
      <c r="AW110" s="5">
        <f t="shared" ref="AW110:AW169" si="342">F110*AS110/Vout_ripple*1000</f>
        <v>1.3075200401660751E-9</v>
      </c>
      <c r="AX110" s="5">
        <f t="shared" ref="AX110:AX169" si="343">G110*AS110/Vout_ripple2*1000</f>
        <v>9.2616002845096988E-3</v>
      </c>
      <c r="AY110" s="5">
        <f t="shared" ref="AY110:AY169" si="344">H110/Efficiency/J110*AT110/Vinripple1</f>
        <v>3.0789498690319922E-6</v>
      </c>
      <c r="AZ110" s="5"/>
      <c r="BA110" s="150">
        <f t="shared" ref="BA110:BA169" si="345">AI110*SQRT(AU110/3)</f>
        <v>1.1476956799591673</v>
      </c>
      <c r="BB110" s="150">
        <f t="shared" ref="BB110:BB169" si="346">AI110*Npri_sec1*SQRT((1-AU110)/3)*(Pout/Pout_total)</f>
        <v>0.3555039909576046</v>
      </c>
      <c r="BC110" s="150">
        <f t="shared" ref="BC110:BC169" si="347">AI110*Npri_sec2*SQRT((1-AU110)/3)*(Pout2/Pout_total)</f>
        <v>0.33818624139808889</v>
      </c>
      <c r="BD110" s="150"/>
      <c r="BE110" s="456">
        <f t="shared" ref="BE110:BE169" si="348">Rdson*BA110^2</f>
        <v>4.4784982709095804E-3</v>
      </c>
      <c r="BF110" s="456">
        <f t="shared" ref="BF110:BF141" si="349">0.5*L110*AI110*AM110*1000*Tfall</f>
        <v>5.6295326092232624E-2</v>
      </c>
      <c r="BG110" s="456">
        <f t="shared" ref="BG110:BG141" si="350">Qg*Vdd*AM110*1000*0+Qg*J110*AM110*1000</f>
        <v>4.1209580951686664E-3</v>
      </c>
      <c r="BH110" s="456">
        <f t="shared" ref="BH110:BH169" si="351">0.5*(Coss+Csw)*L110^2*AM110*1000</f>
        <v>2.1288582310982915E-3</v>
      </c>
      <c r="BI110">
        <f t="shared" ref="BI110:BI169" si="352">J110*IQ</f>
        <v>4.0489762943796944E-3</v>
      </c>
      <c r="BJ110" s="144">
        <f>(BG110+BI110)*1000</f>
        <v>8.1699343895483612</v>
      </c>
      <c r="BK110">
        <f t="shared" ref="BK110:BK141" si="353">(BF110+BG110*0+BH110+BI110*0+BE110*(1+RdsonTC*(Ta-25)))/(1-BE110*RdsonTC*ThetaJA)</f>
        <v>6.4180170681527607E-2</v>
      </c>
      <c r="BL110" s="144">
        <f>SUM(BE110:BI110)*1000</f>
        <v>71.072616983788862</v>
      </c>
      <c r="BM110" s="150">
        <f t="shared" ref="BM110:BM141" si="354">Vfwd2*F110*(1+Diode_TC/1000*(Ta-25))</f>
        <v>2.21875E-9</v>
      </c>
      <c r="BN110" s="150">
        <f t="shared" ref="BN110:BN141" si="355">Vfwd2*G110*(1+Diode_TC/1000*(Ta-25))</f>
        <v>1.1093749999999999E-3</v>
      </c>
      <c r="BO110" s="456"/>
      <c r="BQ110" s="144">
        <f t="shared" ref="BQ110:BQ169" si="356">SUM(BM110:BP110)*1000</f>
        <v>1.1093772187499997</v>
      </c>
      <c r="BR110" s="456">
        <f t="shared" ref="BR110:BR169" si="357">Rdcr_pri*BA110^2</f>
        <v>1.975808060695403E-3</v>
      </c>
      <c r="BS110" s="456">
        <f t="shared" ref="BS110:BS169" si="358">Rdcr_sec*BB110^2</f>
        <v>2.5276617517356926E-2</v>
      </c>
      <c r="BT110" s="456">
        <f t="shared" ref="BT110:BT169" si="359">Rdcr_sec2*BC110^2</f>
        <v>3.4310980161289936E-3</v>
      </c>
      <c r="BU110" s="456">
        <f t="shared" ref="BU110:BU169" si="360">AI110^2.5*AM110^2.5*k_core</f>
        <v>1.026400478559336E-2</v>
      </c>
      <c r="BV110" s="456"/>
      <c r="BW110" s="538">
        <f t="shared" ref="BW110:BW141" si="361">0.5*Lleak*0.000000001*AI110^2*AM110*1000</f>
        <v>1.7777777777777781E-3</v>
      </c>
      <c r="BX110" s="144">
        <f t="shared" ref="BX110:BX169" si="362">SUM(BR110:BW110)*1000</f>
        <v>42.72530615755246</v>
      </c>
      <c r="BY110" s="150">
        <f t="shared" ref="BY110:BY169" si="363">SUM(BE110:BI110,BM110:BP110,BR110:BW110)</f>
        <v>0.11490730036009132</v>
      </c>
      <c r="BZ110" s="5">
        <f t="shared" ref="BZ110:BZ169" si="364">MIN(H110+I110,O110+P110)</f>
        <v>6.00017E-3</v>
      </c>
      <c r="CA110" s="150">
        <f t="shared" ref="CA110:CA169" si="365">BZ110/(BZ110+BY110)</f>
        <v>4.9626131306279596E-2</v>
      </c>
      <c r="CB110" s="5">
        <f t="shared" ref="CB110:CB169" si="366">CA110*100</f>
        <v>4.9626131306279593</v>
      </c>
      <c r="CC110">
        <f t="shared" ref="CC110:CC169" si="367">F110/Iout*100</f>
        <v>2.0000000000000002E-7</v>
      </c>
      <c r="CE110" s="59">
        <f t="shared" ref="CE110:CE141" si="368">IF(ABS(F110-Ioutmax_Vinmin)&lt;Iout/200, AM110, -50)</f>
        <v>-50</v>
      </c>
      <c r="CF110">
        <f t="shared" ref="CF110:CF141" si="369">IF(ABS(F110-Ioutmax_Vinmin)&lt;Iout/200, (O110+P110)*CA110, -50)</f>
        <v>-50</v>
      </c>
      <c r="CG110" s="150">
        <f t="shared" ref="CG110:CG173" si="370">MIN(SQRT(2*DT110*1000*Ls1_*(CL110+CJ110*Vfwd1))/(CW110+Vfwd1), 1-DY110)</f>
        <v>8.3844361630063719E-6</v>
      </c>
      <c r="CH110" s="150">
        <f t="shared" ref="CH110:CH141" si="371">MIN(SQRT(2*DT110*1000*Ls2_*(CM110+CK110*Vfwd22))/(Vout2+Vfwd22), 1-DY110)</f>
        <v>1.606539879484176E-3</v>
      </c>
      <c r="CI110" s="147">
        <v>0.1</v>
      </c>
      <c r="CJ110" s="188">
        <v>1.0000000000000001E-9</v>
      </c>
      <c r="CK110" s="188">
        <f t="shared" ref="CK110:CK173" si="372">IF(PLOT_TYPE=1, CI110/100*Iout2, min_I*EXP(CU110*rr/100))</f>
        <v>5.0000000000000001E-4</v>
      </c>
      <c r="CL110" s="188">
        <f t="shared" ref="CL110:CL173" si="373">CJ110*Vout</f>
        <v>1.7000000000000001E-7</v>
      </c>
      <c r="CM110" s="188">
        <f t="shared" ref="CM110:CM173" si="374">Vout2*CK110</f>
        <v>6.0000000000000001E-3</v>
      </c>
      <c r="CN110" s="465">
        <f t="shared" ref="CN110:CN173" si="375">VIN_min</f>
        <v>9</v>
      </c>
      <c r="CO110" s="379">
        <f t="shared" ref="CO110:CO141" si="376">(CW110+Vfwd2)*Nps</f>
        <v>8.625</v>
      </c>
      <c r="CP110" s="379">
        <f t="shared" ref="CP110:CP141" si="377">(Vout+Vfwd2)*Nps+CN110</f>
        <v>17.625</v>
      </c>
      <c r="CQ110" s="379"/>
      <c r="CR110" s="188">
        <f t="shared" ref="CR110:CR173" si="378">(Vout+Vfwd1)*Nps/((Vout+Vfwd1)*Nps+CN110)</f>
        <v>0.48674080410607357</v>
      </c>
      <c r="CS110" s="149">
        <f t="shared" ref="CS110:CS173" si="379">CR110*CN110*Isw_max*0.5*Efficiency*Pout/(Pout+Pout2)</f>
        <v>136.39440115060304</v>
      </c>
      <c r="CT110" s="149">
        <f t="shared" ref="CT110:CT173" si="380">CR110*CN110*Isw_max*0.5*Efficiency*(Pout2/Pout_total)</f>
        <v>9.6278400812190377</v>
      </c>
      <c r="CU110" s="188">
        <f t="shared" ref="CU110:CU173" si="381">CS110/Vout</f>
        <v>0.80232000676825321</v>
      </c>
      <c r="CV110" s="188">
        <f t="shared" ref="CV110:CV173" si="382">CS110/Vout2</f>
        <v>11.366200095883586</v>
      </c>
      <c r="CW110" s="188">
        <f t="shared" ref="CW110:CW173" si="383">MIN(Vout,CS110/CJ110)</f>
        <v>170</v>
      </c>
      <c r="CX110" s="188">
        <f t="shared" ref="CX110:CX173" si="384">MIN(2*(Vout*CJ110+Vout2*CK110)/(Efficiency*CN110*CR110), Isw_max)</f>
        <v>2.7393863425112285E-3</v>
      </c>
      <c r="CY110" s="188">
        <f t="shared" ref="CY110:CY173" si="385">L*CX110/CN110*1000000</f>
        <v>4.5656439041853806E-4</v>
      </c>
      <c r="CZ110" s="188">
        <f t="shared" ref="CZ110:CZ173" si="386">L*CX110/CO110*1000000</f>
        <v>4.7641501608890928E-4</v>
      </c>
      <c r="DA110" s="172">
        <f t="shared" ref="DA110:DA173" si="387">IF(1/((350000*L)*(1/CN110+1/CO110))&gt;Isw_min, 350, 0.001/((Isw_min*L)*(1/CN110+1/CO110)))</f>
        <v>220.21276595744678</v>
      </c>
      <c r="DB110" s="379">
        <f t="shared" ref="DB110:DB173" si="388">MIN(1/(CY110+CZ110)*1000, 350)</f>
        <v>350</v>
      </c>
      <c r="DD110" s="188">
        <f t="shared" ref="DD110:DD173" si="389">1/((DA110*1000*L)*(1/CN110+1/CO110))</f>
        <v>13.333333333333336</v>
      </c>
      <c r="DE110" s="150">
        <f t="shared" ref="DE110:DE173" si="390">L*DD110/CO110*1000000</f>
        <v>2.3188405797101459</v>
      </c>
      <c r="DF110" s="150">
        <f t="shared" ref="DF110:DF173" si="391">0.5*DE110*DD110*Nps*DA110/1000*(Pout/(Pout+Pout2))</f>
        <v>0.15898994622398885</v>
      </c>
      <c r="DG110" s="150"/>
      <c r="DH110" s="150">
        <f t="shared" ref="DH110:DH173" si="392">L*Isw_min/CO110*1000000</f>
        <v>2.3188405797101455</v>
      </c>
      <c r="DI110" s="314">
        <f t="shared" ref="DI110:DI173" si="393">MAX(10, CJ110/(0.5*DH110/1000000*Isw_min*Nps)/1000*Pout_total/Pout)</f>
        <v>10</v>
      </c>
      <c r="DJ110" s="456">
        <f t="shared" ref="DJ110:DJ173" si="394">0.5*DH110/1000000*Isw_min*Nps*DA110*1000*(Pout/Pout_total)</f>
        <v>0.15898994622398879</v>
      </c>
      <c r="DL110" s="150">
        <f t="shared" ref="DL110:DL173" si="395">SQRT((CL110+CM110)/(0.5*L*Fsw_DCM))</f>
        <v>0.1511879309872004</v>
      </c>
      <c r="DM110" s="150">
        <f t="shared" ref="DM110:DM173" si="396">MAX(IF(CJ110&gt;DF110,CX110,DL110),Isw_min)</f>
        <v>13.333333333333334</v>
      </c>
      <c r="DN110" s="150">
        <f t="shared" ref="DN110:DN173" si="397">IF(CJ110&gt;DJ110, (DM110-Isw_min)/1.08*0.8+1.2, DI110*0.2/350+1)</f>
        <v>1.0057142857142858</v>
      </c>
      <c r="DP110" s="314">
        <f t="shared" ref="DP110:DP173" si="398">CJ110*1000</f>
        <v>1.0000000000000002E-6</v>
      </c>
      <c r="DQ110" s="144">
        <f t="shared" ref="DQ110:DQ173" si="399">IF(CJ110&gt;DJ110, DB110, DI110)</f>
        <v>10</v>
      </c>
      <c r="DS110" s="144">
        <f t="shared" ref="DS110:DS173" si="400">IF(CL110&gt;CS110, "",DP110)</f>
        <v>1.0000000000000002E-6</v>
      </c>
      <c r="DT110" s="144">
        <f t="shared" ref="DT110:DT173" si="401">IF(CL110&gt;CS110, "",DQ110)</f>
        <v>10</v>
      </c>
      <c r="DV110" s="5">
        <f t="shared" ref="DV110:DV173" si="402">1/DQ110*1000</f>
        <v>100</v>
      </c>
      <c r="DW110" s="5">
        <f t="shared" ref="DW110:DW173" si="403">L*DM110/CN110*1000000</f>
        <v>2.2222222222222223</v>
      </c>
      <c r="DX110" s="5">
        <f t="shared" ref="DX110:DX173" si="404">DV110-DW110</f>
        <v>97.777777777777771</v>
      </c>
      <c r="DY110" s="150">
        <f t="shared" ref="DY110:DY173" si="405">DW110/DV110</f>
        <v>2.2222222222222223E-2</v>
      </c>
      <c r="EA110" s="5">
        <f t="shared" ref="EA110:EA173" si="406">CJ110*DW110/Vout_ripple*1000</f>
        <v>1.3071895424836604E-9</v>
      </c>
      <c r="EB110" s="5">
        <f t="shared" ref="EB110:EB173" si="407">CK110*DW110/Vout_ripple2*1000</f>
        <v>9.2592592592592587E-3</v>
      </c>
      <c r="EC110" s="5">
        <f t="shared" ref="EC110:EC173" si="408">CL110/Efficiency/CN110*DX110/Vinripple1</f>
        <v>3.0781893004115222E-6</v>
      </c>
      <c r="ED110" s="5"/>
      <c r="EE110" s="150">
        <f t="shared" ref="EE110:EE173" si="409">DM110*SQRT(DY110/3)</f>
        <v>1.147550621098494</v>
      </c>
      <c r="EF110" s="150">
        <f t="shared" ref="EF110:EF173" si="410">DM110*Npri_sec1*SQRT((1-DY110)/3)*(Pout/Pout_total)</f>
        <v>0.35550501235214854</v>
      </c>
      <c r="EG110" s="150">
        <f t="shared" ref="EG110:EG173" si="411">DM110*Npri_sec2*SQRT((1-DY110)/3)*(Pout2/Pout_total)</f>
        <v>0.33818721303720006</v>
      </c>
      <c r="EH110" s="150"/>
      <c r="EI110" s="456">
        <f t="shared" ref="EI110:EI173" si="412">Rdson*EE110^2</f>
        <v>4.4773662551440344E-3</v>
      </c>
      <c r="EJ110" s="456">
        <f t="shared" ref="EJ110:EJ173" si="413">0.5*CP110*DM110*DQ110*1000*Trise</f>
        <v>7.1440000000000003E-2</v>
      </c>
      <c r="EK110" s="456">
        <f t="shared" ref="EK110:EK173" si="414">Qg*Vdd*DQ110*1000</f>
        <v>2.2899999999999999E-3</v>
      </c>
      <c r="EL110" s="456">
        <f t="shared" ref="EL110:EL173" si="415">0.5*(Coss+Csw)*CP110^2*DQ110*1000</f>
        <v>2.1278882812500004E-3</v>
      </c>
      <c r="EM110">
        <f t="shared" ref="EM110:EM173" si="416">CN110*IQ</f>
        <v>4.0499999999999998E-3</v>
      </c>
      <c r="EN110" s="144">
        <f t="shared" ref="EN110:EN173" si="417">(EK110+EM110)*1000</f>
        <v>6.34</v>
      </c>
      <c r="EP110" s="144">
        <f>SUM(EI110:EM110)*1000</f>
        <v>84.385254536394029</v>
      </c>
      <c r="EQ110" s="150">
        <f t="shared" ref="EQ110:EQ173" si="418">Vfwd2*CJ110</f>
        <v>2.5000000000000001E-9</v>
      </c>
      <c r="ER110" s="150">
        <f t="shared" ref="ER110:ER141" si="419">Vfwd22*CK110*(1+Diode_TC/1000*(Ta-25))</f>
        <v>3.5500000000000001E-4</v>
      </c>
      <c r="ES110" s="456"/>
      <c r="EU110" s="144">
        <f t="shared" ref="EU110:EU169" si="420">SUM(EQ110:ET110)*1000</f>
        <v>0.3550025</v>
      </c>
      <c r="EV110" s="456">
        <f t="shared" ref="EV110:EV173" si="421">Rdcr_pri*EE110^2</f>
        <v>1.9753086419753096E-3</v>
      </c>
      <c r="EW110" s="456">
        <f t="shared" ref="EW110:EW173" si="422">Rdcr_sec*EF110^2</f>
        <v>2.527676276150026E-2</v>
      </c>
      <c r="EX110" s="456">
        <f t="shared" ref="EX110:EX173" si="423">Rdcr_sec2*EG110^2</f>
        <v>3.4311177318560562E-3</v>
      </c>
      <c r="EY110" s="456">
        <f t="shared" ref="EY110:EY173" si="424">DM110^2.5*DQ110^2.5*k_core</f>
        <v>1.026400478559336E-2</v>
      </c>
      <c r="EZ110" s="456"/>
      <c r="FA110" s="538">
        <f t="shared" ref="FA110:FA173" si="425">0.5*Lleak*0.000000001*DM110^2*DQ110*1000</f>
        <v>1.7777777777777781E-3</v>
      </c>
      <c r="FB110" s="144">
        <f t="shared" ref="FB110:FB169" si="426">SUM(EV110:FA110)*1000</f>
        <v>42.72497169870276</v>
      </c>
      <c r="FC110" s="150">
        <f t="shared" ref="FC110:FC173" si="427">SUM(EI110:EM110,EQ110:ET110,EV110:FA110)</f>
        <v>0.12746522873509677</v>
      </c>
      <c r="FD110" s="5">
        <f t="shared" ref="FD110:FD173" si="428">MIN(CL110+CM110,CS110+CT110)</f>
        <v>6.00017E-3</v>
      </c>
      <c r="FE110" s="150">
        <f t="shared" ref="FE110:FE173" si="429">FD110/(FD110+FC110)</f>
        <v>4.49567457698095E-2</v>
      </c>
      <c r="FF110" s="5">
        <f t="shared" ref="FF110:FF173" si="430">FE110*100</f>
        <v>4.4956745769809503</v>
      </c>
      <c r="FG110">
        <f t="shared" ref="FG110:FG173" si="431">CJ110/Iout*100</f>
        <v>2.0000000000000002E-7</v>
      </c>
      <c r="FI110" s="59">
        <f t="shared" ref="FI110:FI173" si="432">IF(ABS(CJ110-Ioutmax_Vinmin)&lt;Iout/200, DQ110, -50)</f>
        <v>-50</v>
      </c>
      <c r="FJ110">
        <f t="shared" ref="FJ110:FJ173" si="433">IF(ABS(CJ110-Ioutmax_Vinmin)&lt;Iout/200, (CS110+CT110)*FE110, -50)</f>
        <v>-50</v>
      </c>
    </row>
    <row r="111" spans="5:169">
      <c r="E111" s="147">
        <v>1</v>
      </c>
      <c r="F111" s="188">
        <f t="shared" ref="F111:F142" si="434">IF(PLOT_TYPE=1, E111/100*Iout_max, min_I*EXP(O111*rr/100))</f>
        <v>5.0000000000000001E-3</v>
      </c>
      <c r="G111" s="188">
        <f t="shared" si="313"/>
        <v>5.0000000000000001E-3</v>
      </c>
      <c r="H111" s="188">
        <f t="shared" si="314"/>
        <v>0.85</v>
      </c>
      <c r="I111" s="188">
        <f t="shared" si="315"/>
        <v>0.06</v>
      </c>
      <c r="J111" s="465">
        <f t="shared" si="316"/>
        <v>8.9667072066231999</v>
      </c>
      <c r="K111" s="379">
        <f t="shared" si="317"/>
        <v>8.6448952262594769</v>
      </c>
      <c r="L111" s="149">
        <f t="shared" si="318"/>
        <v>17.611602432882677</v>
      </c>
      <c r="M111" s="379"/>
      <c r="N111" s="188">
        <f t="shared" si="319"/>
        <v>0.49086363715084591</v>
      </c>
      <c r="O111" s="149">
        <f t="shared" si="320"/>
        <v>137.04087676935168</v>
      </c>
      <c r="P111" s="149">
        <f t="shared" si="321"/>
        <v>9.6734736543071769</v>
      </c>
      <c r="Q111" s="188">
        <f t="shared" si="322"/>
        <v>0.80612280452559815</v>
      </c>
      <c r="R111" s="188">
        <f t="shared" si="323"/>
        <v>11.420073064112641</v>
      </c>
      <c r="S111" s="188">
        <f t="shared" si="324"/>
        <v>170</v>
      </c>
      <c r="T111" s="188">
        <f t="shared" si="325"/>
        <v>0.41350192732669239</v>
      </c>
      <c r="U111" s="188">
        <f t="shared" si="326"/>
        <v>6.917287212544343E-2</v>
      </c>
      <c r="V111" s="188">
        <f t="shared" si="327"/>
        <v>7.174787834397077E-2</v>
      </c>
      <c r="W111" s="172">
        <f t="shared" si="328"/>
        <v>220.07152563548826</v>
      </c>
      <c r="X111" s="379">
        <f t="shared" ref="X111:X174" si="435">MIN(1/(U111+V111+0.2)*1000, 350)</f>
        <v>350</v>
      </c>
      <c r="Z111" s="188">
        <f t="shared" si="329"/>
        <v>13.333333333333334</v>
      </c>
      <c r="AA111" s="150">
        <f t="shared" si="330"/>
        <v>2.3135040363761261</v>
      </c>
      <c r="AB111" s="150">
        <f t="shared" si="331"/>
        <v>0.15852231077720919</v>
      </c>
      <c r="AC111" s="150"/>
      <c r="AD111" s="150">
        <f t="shared" si="332"/>
        <v>2.3135040363761261</v>
      </c>
      <c r="AE111" s="314">
        <f t="shared" si="333"/>
        <v>10</v>
      </c>
      <c r="AF111" s="456">
        <f t="shared" si="334"/>
        <v>0.15852231077720919</v>
      </c>
      <c r="AH111" s="150">
        <f t="shared" si="335"/>
        <v>1.8618986725025255</v>
      </c>
      <c r="AI111" s="150">
        <f t="shared" si="336"/>
        <v>13.333333333333334</v>
      </c>
      <c r="AJ111" s="150">
        <f t="shared" si="337"/>
        <v>1.0057142857142858</v>
      </c>
      <c r="AL111" s="314">
        <f t="shared" si="338"/>
        <v>5</v>
      </c>
      <c r="AM111" s="144">
        <f t="shared" si="339"/>
        <v>10</v>
      </c>
      <c r="AO111" s="144">
        <f t="shared" si="340"/>
        <v>5</v>
      </c>
      <c r="AP111" s="144">
        <f t="shared" si="341"/>
        <v>10</v>
      </c>
      <c r="AR111" s="5">
        <f t="shared" si="275"/>
        <v>100</v>
      </c>
      <c r="AS111" s="5">
        <f>L*AI111/J111*1000000</f>
        <v>2.230473186994121</v>
      </c>
      <c r="AT111" s="5">
        <f>AR111-AS111</f>
        <v>97.769526813005882</v>
      </c>
      <c r="AU111" s="150">
        <f>AS111/AR111</f>
        <v>2.2304731869941211E-2</v>
      </c>
      <c r="AW111" s="5">
        <f t="shared" si="342"/>
        <v>6.5602152558650621E-3</v>
      </c>
      <c r="AX111" s="5">
        <f t="shared" si="343"/>
        <v>9.2936382791421704E-2</v>
      </c>
      <c r="AY111" s="5">
        <f t="shared" si="344"/>
        <v>15.446788487690458</v>
      </c>
      <c r="AZ111" s="5"/>
      <c r="BA111" s="150">
        <f t="shared" si="345"/>
        <v>1.1496790372052144</v>
      </c>
      <c r="BB111" s="150">
        <f t="shared" si="346"/>
        <v>0.35549001241410993</v>
      </c>
      <c r="BC111" s="150">
        <f t="shared" si="347"/>
        <v>0.33817294379467255</v>
      </c>
      <c r="BD111" s="150"/>
      <c r="BE111" s="456">
        <f t="shared" si="348"/>
        <v>4.493990421202969E-3</v>
      </c>
      <c r="BF111" s="456">
        <f t="shared" si="349"/>
        <v>5.6239717102338681E-2</v>
      </c>
      <c r="BG111" s="456">
        <f t="shared" si="350"/>
        <v>4.1067519006334251E-3</v>
      </c>
      <c r="BH111" s="456">
        <f t="shared" si="351"/>
        <v>2.1246545007393451E-3</v>
      </c>
      <c r="BI111">
        <f t="shared" si="352"/>
        <v>4.03501824298044E-3</v>
      </c>
      <c r="BJ111" s="144">
        <f t="shared" ref="BJ111:BJ174" si="436">(BG111+BI111)*1000</f>
        <v>8.141770143613865</v>
      </c>
      <c r="BK111">
        <f t="shared" si="353"/>
        <v>6.4140226583984203E-2</v>
      </c>
      <c r="BL111" s="144">
        <f t="shared" ref="BL111:BL174" si="437">SUM(BE111:BI111)*1000</f>
        <v>71.000132167894861</v>
      </c>
      <c r="BM111" s="150">
        <f t="shared" si="354"/>
        <v>1.1093749999999999E-2</v>
      </c>
      <c r="BN111" s="150">
        <f t="shared" si="355"/>
        <v>1.1093749999999999E-2</v>
      </c>
      <c r="BO111" s="456"/>
      <c r="BQ111" s="144">
        <f t="shared" si="356"/>
        <v>22.1875</v>
      </c>
      <c r="BR111" s="456">
        <f t="shared" si="357"/>
        <v>1.9826428328836633E-3</v>
      </c>
      <c r="BS111" s="456">
        <f t="shared" si="358"/>
        <v>2.5274629785236809E-2</v>
      </c>
      <c r="BT111" s="456">
        <f t="shared" si="359"/>
        <v>3.4308281974426429E-3</v>
      </c>
      <c r="BU111" s="456">
        <f t="shared" si="360"/>
        <v>1.026400478559336E-2</v>
      </c>
      <c r="BV111" s="456"/>
      <c r="BW111" s="538">
        <f t="shared" si="361"/>
        <v>1.7777777777777781E-3</v>
      </c>
      <c r="BX111" s="144">
        <f t="shared" si="362"/>
        <v>42.729883378934254</v>
      </c>
      <c r="BY111" s="150">
        <f t="shared" si="363"/>
        <v>0.1359175155468291</v>
      </c>
      <c r="BZ111" s="5">
        <f t="shared" si="364"/>
        <v>0.90999999999999992</v>
      </c>
      <c r="CA111" s="150">
        <f t="shared" si="365"/>
        <v>0.87004948905959534</v>
      </c>
      <c r="CB111" s="5">
        <f t="shared" si="366"/>
        <v>87.004948905959537</v>
      </c>
      <c r="CC111">
        <f t="shared" si="367"/>
        <v>1</v>
      </c>
      <c r="CE111" s="59">
        <f t="shared" si="368"/>
        <v>-50</v>
      </c>
      <c r="CF111">
        <f t="shared" si="369"/>
        <v>-50</v>
      </c>
      <c r="CG111" s="150">
        <f t="shared" si="370"/>
        <v>1.8748169213489752E-2</v>
      </c>
      <c r="CH111" s="150">
        <f t="shared" si="371"/>
        <v>5.08032517106241E-3</v>
      </c>
      <c r="CI111" s="147">
        <v>1</v>
      </c>
      <c r="CJ111" s="188">
        <f t="shared" ref="CJ111:CJ174" si="438">IF(PLOT_TYPE=1, CI111/100*Iout_max, min_I*EXP(CS111*rr/100))</f>
        <v>5.0000000000000001E-3</v>
      </c>
      <c r="CK111" s="188">
        <f t="shared" si="372"/>
        <v>5.0000000000000001E-3</v>
      </c>
      <c r="CL111" s="188">
        <f t="shared" si="373"/>
        <v>0.85</v>
      </c>
      <c r="CM111" s="188">
        <f t="shared" si="374"/>
        <v>0.06</v>
      </c>
      <c r="CN111" s="465">
        <f t="shared" si="375"/>
        <v>9</v>
      </c>
      <c r="CO111" s="379">
        <f t="shared" si="376"/>
        <v>8.625</v>
      </c>
      <c r="CP111" s="379">
        <f t="shared" si="377"/>
        <v>17.625</v>
      </c>
      <c r="CQ111" s="379"/>
      <c r="CR111" s="188">
        <f t="shared" si="378"/>
        <v>0.48674080410607357</v>
      </c>
      <c r="CS111" s="149">
        <f t="shared" si="379"/>
        <v>136.39440115060304</v>
      </c>
      <c r="CT111" s="149">
        <f t="shared" si="380"/>
        <v>9.6278400812190377</v>
      </c>
      <c r="CU111" s="188">
        <f t="shared" si="381"/>
        <v>0.80232000676825321</v>
      </c>
      <c r="CV111" s="188">
        <f t="shared" si="382"/>
        <v>11.366200095883586</v>
      </c>
      <c r="CW111" s="188">
        <f t="shared" si="383"/>
        <v>170</v>
      </c>
      <c r="CX111" s="188">
        <f t="shared" si="384"/>
        <v>0.41546182386252684</v>
      </c>
      <c r="CY111" s="188">
        <f t="shared" si="385"/>
        <v>6.9243637310421144E-2</v>
      </c>
      <c r="CZ111" s="188">
        <f t="shared" si="386"/>
        <v>7.2254230236961189E-2</v>
      </c>
      <c r="DA111" s="172">
        <f t="shared" si="387"/>
        <v>220.21276595744678</v>
      </c>
      <c r="DB111" s="379">
        <f t="shared" si="388"/>
        <v>350</v>
      </c>
      <c r="DD111" s="188">
        <f t="shared" si="389"/>
        <v>13.333333333333336</v>
      </c>
      <c r="DE111" s="150">
        <f t="shared" si="390"/>
        <v>2.3188405797101459</v>
      </c>
      <c r="DF111" s="150">
        <f t="shared" si="391"/>
        <v>0.15898994622398885</v>
      </c>
      <c r="DG111" s="150"/>
      <c r="DH111" s="150">
        <f t="shared" si="392"/>
        <v>2.3188405797101455</v>
      </c>
      <c r="DI111" s="314">
        <f t="shared" si="393"/>
        <v>10</v>
      </c>
      <c r="DJ111" s="456">
        <f t="shared" si="394"/>
        <v>0.15898994622398879</v>
      </c>
      <c r="DL111" s="150">
        <f t="shared" si="395"/>
        <v>1.8618986725025255</v>
      </c>
      <c r="DM111" s="150">
        <f t="shared" si="396"/>
        <v>13.333333333333334</v>
      </c>
      <c r="DN111" s="150">
        <f t="shared" si="397"/>
        <v>1.0057142857142858</v>
      </c>
      <c r="DP111" s="314">
        <f t="shared" si="398"/>
        <v>5</v>
      </c>
      <c r="DQ111" s="144">
        <f t="shared" si="399"/>
        <v>10</v>
      </c>
      <c r="DS111" s="144">
        <f t="shared" si="400"/>
        <v>5</v>
      </c>
      <c r="DT111" s="144">
        <f t="shared" si="401"/>
        <v>10</v>
      </c>
      <c r="DV111" s="5">
        <f t="shared" si="402"/>
        <v>100</v>
      </c>
      <c r="DW111" s="5">
        <f t="shared" si="403"/>
        <v>2.2222222222222223</v>
      </c>
      <c r="DX111" s="5">
        <f t="shared" si="404"/>
        <v>97.777777777777771</v>
      </c>
      <c r="DY111" s="150">
        <f t="shared" si="405"/>
        <v>2.2222222222222223E-2</v>
      </c>
      <c r="EA111" s="5">
        <f t="shared" si="406"/>
        <v>6.5359477124183009E-3</v>
      </c>
      <c r="EB111" s="5">
        <f t="shared" si="407"/>
        <v>9.2592592592592601E-2</v>
      </c>
      <c r="EC111" s="5">
        <f t="shared" si="408"/>
        <v>15.390946502057608</v>
      </c>
      <c r="ED111" s="5"/>
      <c r="EE111" s="150">
        <f t="shared" si="409"/>
        <v>1.147550621098494</v>
      </c>
      <c r="EF111" s="150">
        <f t="shared" si="410"/>
        <v>0.35550501235214854</v>
      </c>
      <c r="EG111" s="150">
        <f t="shared" si="411"/>
        <v>0.33818721303720006</v>
      </c>
      <c r="EH111" s="150"/>
      <c r="EI111" s="456">
        <f t="shared" si="412"/>
        <v>4.4773662551440344E-3</v>
      </c>
      <c r="EJ111" s="456">
        <f t="shared" si="413"/>
        <v>7.1440000000000003E-2</v>
      </c>
      <c r="EK111" s="456">
        <f t="shared" si="414"/>
        <v>2.2899999999999999E-3</v>
      </c>
      <c r="EL111" s="456">
        <f t="shared" si="415"/>
        <v>2.1278882812500004E-3</v>
      </c>
      <c r="EM111">
        <f t="shared" si="416"/>
        <v>4.0499999999999998E-3</v>
      </c>
      <c r="EN111" s="144">
        <f t="shared" si="417"/>
        <v>6.34</v>
      </c>
      <c r="EP111" s="144">
        <f t="shared" ref="EP111:EP174" si="439">SUM(EI111:EM111)*1000</f>
        <v>84.385254536394029</v>
      </c>
      <c r="EQ111" s="150">
        <f t="shared" si="418"/>
        <v>1.2500000000000001E-2</v>
      </c>
      <c r="ER111" s="150">
        <f t="shared" si="419"/>
        <v>3.5499999999999998E-3</v>
      </c>
      <c r="ES111" s="456"/>
      <c r="EU111" s="144">
        <f t="shared" si="420"/>
        <v>16.05</v>
      </c>
      <c r="EV111" s="456">
        <f t="shared" si="421"/>
        <v>1.9753086419753096E-3</v>
      </c>
      <c r="EW111" s="456">
        <f t="shared" si="422"/>
        <v>2.527676276150026E-2</v>
      </c>
      <c r="EX111" s="456">
        <f t="shared" si="423"/>
        <v>3.4311177318560562E-3</v>
      </c>
      <c r="EY111" s="456">
        <f t="shared" si="424"/>
        <v>1.026400478559336E-2</v>
      </c>
      <c r="EZ111" s="456"/>
      <c r="FA111" s="538">
        <f t="shared" si="425"/>
        <v>1.7777777777777781E-3</v>
      </c>
      <c r="FB111" s="144">
        <f t="shared" si="426"/>
        <v>42.72497169870276</v>
      </c>
      <c r="FC111" s="150">
        <f t="shared" si="427"/>
        <v>0.14316022623509678</v>
      </c>
      <c r="FD111" s="5">
        <f t="shared" si="428"/>
        <v>0.90999999999999992</v>
      </c>
      <c r="FE111" s="150">
        <f t="shared" si="429"/>
        <v>0.86406605313336315</v>
      </c>
      <c r="FF111" s="5">
        <f t="shared" si="430"/>
        <v>86.406605313336314</v>
      </c>
      <c r="FG111">
        <f t="shared" si="431"/>
        <v>1</v>
      </c>
      <c r="FI111" s="59">
        <f t="shared" si="432"/>
        <v>-50</v>
      </c>
      <c r="FJ111">
        <f t="shared" si="433"/>
        <v>-50</v>
      </c>
    </row>
    <row r="112" spans="5:169">
      <c r="E112" s="147">
        <v>3</v>
      </c>
      <c r="F112" s="188">
        <f>IF(PLOT_TYPE=1, E112/100*Iout_max, min_I*EXP(O112*rr/100))</f>
        <v>1.4999999999999999E-2</v>
      </c>
      <c r="G112" s="188">
        <f>IF(PLOT_TYPE=1, E112/100*Iout2, min_I*EXP(Q112*rr/100))</f>
        <v>1.4999999999999999E-2</v>
      </c>
      <c r="H112" s="188">
        <f>F112*Vout</f>
        <v>2.5499999999999998</v>
      </c>
      <c r="I112" s="188">
        <f>Vout2*G112</f>
        <v>0.18</v>
      </c>
      <c r="J112" s="465">
        <f>VIN_min-(F112/CG112/Nps+G112/CH112/(Nps/Nsec1sec2))*(Rdcr_pri+RON/1000)</f>
        <v>8.9599936602740051</v>
      </c>
      <c r="K112" s="379">
        <f t="shared" si="317"/>
        <v>8.6489071312417067</v>
      </c>
      <c r="L112" s="149">
        <f t="shared" si="318"/>
        <v>17.608900791515712</v>
      </c>
      <c r="M112" s="379"/>
      <c r="N112" s="188">
        <f t="shared" si="319"/>
        <v>0.49116678171126432</v>
      </c>
      <c r="O112" s="149">
        <f>N112*J112*Isw_max*0.5*Efficiency*Pout/(Pout+Pout2)</f>
        <v>137.02284112562629</v>
      </c>
      <c r="P112" s="149">
        <f>N112*J112*Isw_max*0.5*Efficiency*(Pout2/Pout_total)</f>
        <v>9.6722005500442094</v>
      </c>
      <c r="Q112" s="188">
        <f>O112/Vout</f>
        <v>0.80601671250368401</v>
      </c>
      <c r="R112" s="188">
        <f>O112/Vout2</f>
        <v>11.41857009380219</v>
      </c>
      <c r="S112" s="188">
        <f>MIN(Vout,O112/F112)</f>
        <v>170</v>
      </c>
      <c r="T112" s="188">
        <f>MIN(2*(Vout*F112+Vout2*G112)/(Efficiency*J112*N112), Isw_max)</f>
        <v>1.2406690636646438</v>
      </c>
      <c r="U112" s="188">
        <f>L*T112/J112*1000000</f>
        <v>0.207701441101249</v>
      </c>
      <c r="V112" s="188">
        <f>L*T112/K112*1000000</f>
        <v>0.21517210986976859</v>
      </c>
      <c r="W112" s="172">
        <f>IF(1/((350000*L)*(1/J112+1/K112))&gt;Isw_min, 350, 0.001/((Isw_min*L)*(1/J112+1/K112)))</f>
        <v>220.04256251350569</v>
      </c>
      <c r="X112" s="379">
        <f t="shared" si="435"/>
        <v>350</v>
      </c>
      <c r="Z112" s="188">
        <f>1/((W112*1000*L)*(1/J112+1/K112))</f>
        <v>13.333333333333334</v>
      </c>
      <c r="AA112" s="150">
        <f>L*Z112/K112*1000000</f>
        <v>2.3124308882628322</v>
      </c>
      <c r="AB112" s="150">
        <f>0.5*AA112*Z112*Nps*W112/1000*(Pout/(Pout+Pout2))</f>
        <v>0.15842792510821443</v>
      </c>
      <c r="AC112" s="150"/>
      <c r="AD112" s="150">
        <f>L*Isw_min/K112*1000000</f>
        <v>2.3124308882628322</v>
      </c>
      <c r="AE112" s="314">
        <f>MAX(10, F112/(0.5*AD112/1000000*Isw_min*Nps)/1000*Pout_total/Pout)</f>
        <v>20.833691001432225</v>
      </c>
      <c r="AF112" s="456">
        <f>0.5*AD112/1000000*Isw_min*Nps*W112*1000*(Pout/Pout_total)</f>
        <v>0.15842792510821441</v>
      </c>
      <c r="AH112" s="150">
        <f>SQRT((H112+I112)/(0.5*L*Fsw_DCM))</f>
        <v>3.2249030993194201</v>
      </c>
      <c r="AI112" s="150">
        <f>MAX(IF(F112&gt;AB112,T112,AH112),Isw_min)</f>
        <v>13.333333333333334</v>
      </c>
      <c r="AJ112" s="150">
        <f>IF(F112&gt;AF112, (AI112-Isw_min)/1.08*0.8+1.2, AE112*0.2/350+1)</f>
        <v>1.0119049662865327</v>
      </c>
      <c r="AL112" s="314">
        <f>F112*1000</f>
        <v>15</v>
      </c>
      <c r="AM112" s="144">
        <f>IF(F112&gt;AF112, X112, AE112)</f>
        <v>20.833691001432225</v>
      </c>
      <c r="AO112" s="144">
        <f>IF(H112&gt;O112, "",AL112)</f>
        <v>15</v>
      </c>
      <c r="AP112" s="144">
        <f>IF(H112&gt;O112, "",AM112)</f>
        <v>20.833691001432225</v>
      </c>
      <c r="AR112" s="5">
        <f>1/AM112*1000</f>
        <v>47.999175946847558</v>
      </c>
      <c r="AS112" s="5">
        <f>L*AI112/J112*1000000</f>
        <v>2.2321444365160836</v>
      </c>
      <c r="AT112" s="5">
        <f>AR112-AS112</f>
        <v>45.767031510331478</v>
      </c>
      <c r="AU112" s="150">
        <f>AS112/AR112</f>
        <v>4.6503807460942133E-2</v>
      </c>
      <c r="AW112" s="5">
        <f>F112*AS112/Vout_ripple*1000</f>
        <v>1.969539208690662E-2</v>
      </c>
      <c r="AX112" s="5">
        <f>G112*AS112/Vout_ripple2*1000</f>
        <v>0.27901805456451045</v>
      </c>
      <c r="AY112" s="5">
        <f>H112/Efficiency/J112*AT112/Vinripple1</f>
        <v>21.708707761849066</v>
      </c>
      <c r="AZ112" s="5"/>
      <c r="BA112" s="150">
        <f>AI112*SQRT(AU112/3)</f>
        <v>1.6600545722567814</v>
      </c>
      <c r="BB112" s="150">
        <f>AI112*Npri_sec1*SQRT((1-AU112)/3)*(Pout/Pout_total)</f>
        <v>0.35106305561824369</v>
      </c>
      <c r="BC112" s="150">
        <f>AI112*Npri_sec2*SQRT((1-AU112)/3)*(Pout2/Pout_total)</f>
        <v>0.33396163838684029</v>
      </c>
      <c r="BD112" s="150"/>
      <c r="BE112" s="456">
        <f>Rdson*BA112^2</f>
        <v>9.3696560217601949E-3</v>
      </c>
      <c r="BF112" s="456">
        <f t="shared" si="349"/>
        <v>0.11715011508359018</v>
      </c>
      <c r="BG112" s="456">
        <f t="shared" si="350"/>
        <v>8.5494740596166671E-3</v>
      </c>
      <c r="BH112" s="456">
        <f>0.5*(Coss+Csw)*L112^2*AM112*1000</f>
        <v>4.4250815969993345E-3</v>
      </c>
      <c r="BI112">
        <f>J112*IQ</f>
        <v>4.0319971471233021E-3</v>
      </c>
      <c r="BJ112" s="144">
        <f>(BG112+BI112)*1000</f>
        <v>12.58147120673997</v>
      </c>
      <c r="BK112">
        <f t="shared" si="353"/>
        <v>0.13377246814620769</v>
      </c>
      <c r="BL112" s="144">
        <f>SUM(BE112:BI112)*1000</f>
        <v>143.52632390908968</v>
      </c>
      <c r="BM112" s="150">
        <f t="shared" si="354"/>
        <v>3.3281249999999998E-2</v>
      </c>
      <c r="BN112" s="150">
        <f t="shared" si="355"/>
        <v>3.3281249999999998E-2</v>
      </c>
      <c r="BO112" s="456"/>
      <c r="BQ112" s="144">
        <f>SUM(BM112:BP112)*1000</f>
        <v>66.5625</v>
      </c>
      <c r="BR112" s="456">
        <f>Rdcr_pri*BA112^2</f>
        <v>4.1336717743059685E-3</v>
      </c>
      <c r="BS112" s="456">
        <f>Rdcr_sec*BB112^2</f>
        <v>2.4649053804003614E-2</v>
      </c>
      <c r="BT112" s="456">
        <f>Rdcr_sec2*BC112^2</f>
        <v>3.3459112774206802E-3</v>
      </c>
      <c r="BU112" s="456">
        <f>AI112^2.5*AM112^2.5*k_core</f>
        <v>6.4303171342882715E-2</v>
      </c>
      <c r="BV112" s="456"/>
      <c r="BW112" s="538">
        <f>0.5*Lleak*0.000000001*AI112^2*AM112*1000</f>
        <v>3.7037672891435075E-3</v>
      </c>
      <c r="BX112" s="144">
        <f>SUM(BR112:BW112)*1000</f>
        <v>100.1355754877565</v>
      </c>
      <c r="BY112" s="150">
        <f>SUM(BE112:BI112,BM112:BP112,BR112:BW112)</f>
        <v>0.31022439939684615</v>
      </c>
      <c r="BZ112" s="5">
        <f>MIN(H112+I112,O112+P112)</f>
        <v>2.73</v>
      </c>
      <c r="CA112" s="150">
        <f>BZ112/(BZ112+BY112)</f>
        <v>0.89796003233893129</v>
      </c>
      <c r="CB112" s="5">
        <f>CA112*100</f>
        <v>89.796003233893131</v>
      </c>
      <c r="CC112">
        <f>F112/Iout*100</f>
        <v>3</v>
      </c>
      <c r="CE112" s="59">
        <f>IF(ABS(F112-Ioutmax_Vinmin)&lt;Iout/200, AM112, -50)</f>
        <v>-50</v>
      </c>
      <c r="CF112">
        <f>IF(ABS(F112-Ioutmax_Vinmin)&lt;Iout/200, (O112+P112)*CA112, -50)</f>
        <v>-50</v>
      </c>
      <c r="CG112" s="150">
        <f>MIN(SQRT(2*DT112*1000*Ls1_*(CL112+CJ112*Vfwd1))/(CW112+Vfwd1), 1-DY112)</f>
        <v>4.6806000855841405E-2</v>
      </c>
      <c r="CH112" s="150">
        <f t="shared" si="371"/>
        <v>1.2683355990493431E-2</v>
      </c>
      <c r="CI112" s="147">
        <v>3</v>
      </c>
      <c r="CJ112" s="188">
        <f>IF(PLOT_TYPE=1, CI112/100*Iout_max, min_I*EXP(CS112*rr/100))</f>
        <v>1.4999999999999999E-2</v>
      </c>
      <c r="CK112" s="188">
        <f>IF(PLOT_TYPE=1, CI112/100*Iout2, min_I*EXP(CU112*rr/100))</f>
        <v>1.4999999999999999E-2</v>
      </c>
      <c r="CL112" s="188">
        <f>CJ112*Vout</f>
        <v>2.5499999999999998</v>
      </c>
      <c r="CM112" s="188">
        <f>Vout2*CK112</f>
        <v>0.18</v>
      </c>
      <c r="CN112" s="465">
        <f t="shared" si="375"/>
        <v>9</v>
      </c>
      <c r="CO112" s="379">
        <f t="shared" si="376"/>
        <v>8.625</v>
      </c>
      <c r="CP112" s="379">
        <f t="shared" si="377"/>
        <v>17.625</v>
      </c>
      <c r="CQ112" s="379"/>
      <c r="CR112" s="188">
        <f>(Vout+Vfwd1)*Nps/((Vout+Vfwd1)*Nps+CN112)</f>
        <v>0.48674080410607357</v>
      </c>
      <c r="CS112" s="149">
        <f>CR112*CN112*Isw_max*0.5*Efficiency*Pout/(Pout+Pout2)</f>
        <v>136.39440115060304</v>
      </c>
      <c r="CT112" s="149">
        <f>CR112*CN112*Isw_max*0.5*Efficiency*(Pout2/Pout_total)</f>
        <v>9.6278400812190377</v>
      </c>
      <c r="CU112" s="188">
        <f>CS112/Vout</f>
        <v>0.80232000676825321</v>
      </c>
      <c r="CV112" s="188">
        <f>CS112/Vout2</f>
        <v>11.366200095883586</v>
      </c>
      <c r="CW112" s="188">
        <f>MIN(Vout,CS112/CJ112)</f>
        <v>170</v>
      </c>
      <c r="CX112" s="188">
        <f>MIN(2*(Vout*CJ112+Vout2*CK112)/(Efficiency*CN112*CR112), Isw_max)</f>
        <v>1.2463854715875806</v>
      </c>
      <c r="CY112" s="188">
        <f>L*CX112/CN112*1000000</f>
        <v>0.20773091193126342</v>
      </c>
      <c r="CZ112" s="188">
        <f>L*CX112/CO112*1000000</f>
        <v>0.21676269071088358</v>
      </c>
      <c r="DA112" s="172">
        <f>IF(1/((350000*L)*(1/CN112+1/CO112))&gt;Isw_min, 350, 0.001/((Isw_min*L)*(1/CN112+1/CO112)))</f>
        <v>220.21276595744678</v>
      </c>
      <c r="DB112" s="379">
        <f>MIN(1/(CY112+CZ112)*1000, 350)</f>
        <v>350</v>
      </c>
      <c r="DD112" s="188">
        <f>1/((DA112*1000*L)*(1/CN112+1/CO112))</f>
        <v>13.333333333333336</v>
      </c>
      <c r="DE112" s="150">
        <f>L*DD112/CO112*1000000</f>
        <v>2.3188405797101459</v>
      </c>
      <c r="DF112" s="150">
        <f>0.5*DE112*DD112*Nps*DA112/1000*(Pout/(Pout+Pout2))</f>
        <v>0.15898994622398885</v>
      </c>
      <c r="DG112" s="150"/>
      <c r="DH112" s="150">
        <f>L*Isw_min/CO112*1000000</f>
        <v>2.3188405797101455</v>
      </c>
      <c r="DI112" s="314">
        <f>MAX(10, CJ112/(0.5*DH112/1000000*Isw_min*Nps)/1000*Pout_total/Pout)</f>
        <v>20.776102941176461</v>
      </c>
      <c r="DJ112" s="456">
        <f>0.5*DH112/1000000*Isw_min*Nps*DA112*1000*(Pout/Pout_total)</f>
        <v>0.15898994622398879</v>
      </c>
      <c r="DL112" s="150">
        <f>SQRT((CL112+CM112)/(0.5*L*Fsw_DCM))</f>
        <v>3.2249030993194201</v>
      </c>
      <c r="DM112" s="150">
        <f>MAX(IF(CJ112&gt;DF112,CX112,DL112),Isw_min)</f>
        <v>13.333333333333334</v>
      </c>
      <c r="DN112" s="150">
        <f>IF(CJ112&gt;DJ112, (DM112-Isw_min)/1.08*0.8+1.2, DI112*0.2/350+1)</f>
        <v>1.0118720588235295</v>
      </c>
      <c r="DP112" s="314">
        <f>CJ112*1000</f>
        <v>15</v>
      </c>
      <c r="DQ112" s="144">
        <f>IF(CJ112&gt;DJ112, DB112, DI112)</f>
        <v>20.776102941176461</v>
      </c>
      <c r="DS112" s="144">
        <f>IF(CL112&gt;CS112, "",DP112)</f>
        <v>15</v>
      </c>
      <c r="DT112" s="144">
        <f>IF(CL112&gt;CS112, "",DQ112)</f>
        <v>20.776102941176461</v>
      </c>
      <c r="DV112" s="5">
        <f>1/DQ112*1000</f>
        <v>48.132222045265543</v>
      </c>
      <c r="DW112" s="5">
        <f>L*DM112/CN112*1000000</f>
        <v>2.2222222222222223</v>
      </c>
      <c r="DX112" s="5">
        <f>DV112-DW112</f>
        <v>45.909999823043321</v>
      </c>
      <c r="DY112" s="150">
        <f>DW112/DV112</f>
        <v>4.6169117647058805E-2</v>
      </c>
      <c r="EA112" s="5">
        <f>CJ112*DW112/Vout_ripple*1000</f>
        <v>1.9607843137254902E-2</v>
      </c>
      <c r="EB112" s="5">
        <f>CK112*DW112/Vout_ripple2*1000</f>
        <v>0.27777777777777779</v>
      </c>
      <c r="EC112" s="5">
        <f>CL112/Efficiency/CN112*DX112/Vinripple1</f>
        <v>21.679722138659343</v>
      </c>
      <c r="ED112" s="5"/>
      <c r="EE112" s="150">
        <f>DM112*SQRT(DY112/3)</f>
        <v>1.6540700445925196</v>
      </c>
      <c r="EF112" s="150">
        <f>DM112*Npri_sec1*SQRT((1-DY112)/3)*(Pout/Pout_total)</f>
        <v>0.35112466410745596</v>
      </c>
      <c r="EG112" s="150">
        <f>DM112*Npri_sec2*SQRT((1-DY112)/3)*(Pout2/Pout_total)</f>
        <v>0.33402024572722139</v>
      </c>
      <c r="EH112" s="150"/>
      <c r="EI112" s="456">
        <f>Rdson*EE112^2</f>
        <v>9.3022222222222187E-3</v>
      </c>
      <c r="EJ112" s="456">
        <f>0.5*CP112*DM112*DQ112*1000*Trise</f>
        <v>0.14842447941176465</v>
      </c>
      <c r="EK112" s="456">
        <f>Qg*Vdd*DQ112*1000</f>
        <v>4.7577275735294095E-3</v>
      </c>
      <c r="EL112" s="456">
        <f>0.5*(Coss+Csw)*CP112^2*DQ112*1000</f>
        <v>4.4209225978573052E-3</v>
      </c>
      <c r="EM112">
        <f>CN112*IQ</f>
        <v>4.0499999999999998E-3</v>
      </c>
      <c r="EN112" s="144">
        <f>(EK112+EM112)*1000</f>
        <v>8.8077275735294087</v>
      </c>
      <c r="EP112" s="144">
        <f>SUM(EI112:EM112)*1000</f>
        <v>170.95535180537357</v>
      </c>
      <c r="EQ112" s="150">
        <f>Vfwd2*CJ112</f>
        <v>3.7499999999999999E-2</v>
      </c>
      <c r="ER112" s="150">
        <f t="shared" si="419"/>
        <v>1.065E-2</v>
      </c>
      <c r="ES112" s="456"/>
      <c r="EU112" s="144">
        <f>SUM(EQ112:ET112)*1000</f>
        <v>48.15</v>
      </c>
      <c r="EV112" s="456">
        <f>Rdcr_pri*EE112^2</f>
        <v>4.1039215686274498E-3</v>
      </c>
      <c r="EW112" s="456">
        <f>Rdcr_sec*EF112^2</f>
        <v>2.4657705948914754E-2</v>
      </c>
      <c r="EX112" s="456">
        <f>Rdcr_sec2*EG112^2</f>
        <v>3.3470857366702006E-3</v>
      </c>
      <c r="EY112" s="456">
        <f>DM112^2.5*DQ112^2.5*k_core</f>
        <v>6.3859728384361686E-2</v>
      </c>
      <c r="EZ112" s="456"/>
      <c r="FA112" s="538">
        <f>0.5*Lleak*0.000000001*DM112^2*DQ112*1000</f>
        <v>3.6935294117647049E-3</v>
      </c>
      <c r="FB112" s="144">
        <f>SUM(EV112:FA112)*1000</f>
        <v>99.661971050338806</v>
      </c>
      <c r="FC112" s="150">
        <f>SUM(EI112:EM112,EQ112:ET112,EV112:FA112)</f>
        <v>0.31876732285571241</v>
      </c>
      <c r="FD112" s="5">
        <f>MIN(CL112+CM112,CS112+CT112)</f>
        <v>2.73</v>
      </c>
      <c r="FE112" s="150">
        <f>FD112/(FD112+FC112)</f>
        <v>0.89544386661913888</v>
      </c>
      <c r="FF112" s="5">
        <f>FE112*100</f>
        <v>89.54438666191389</v>
      </c>
      <c r="FG112">
        <f>CJ112/Iout*100</f>
        <v>3</v>
      </c>
      <c r="FI112" s="59">
        <f>IF(ABS(CJ112-Ioutmax_Vinmin)&lt;Iout/200, DQ112, -50)</f>
        <v>-50</v>
      </c>
      <c r="FJ112">
        <f>IF(ABS(CJ112-Ioutmax_Vinmin)&lt;Iout/200, (CS112+CT112)*FE112, -50)</f>
        <v>-50</v>
      </c>
    </row>
    <row r="113" spans="5:166">
      <c r="E113" s="147">
        <v>3</v>
      </c>
      <c r="F113" s="188">
        <f t="shared" si="434"/>
        <v>1.4999999999999999E-2</v>
      </c>
      <c r="G113" s="188">
        <f t="shared" si="313"/>
        <v>1.4999999999999999E-2</v>
      </c>
      <c r="H113" s="188">
        <f t="shared" si="314"/>
        <v>2.5499999999999998</v>
      </c>
      <c r="I113" s="188">
        <f t="shared" si="315"/>
        <v>0.18</v>
      </c>
      <c r="J113" s="465">
        <f t="shared" si="316"/>
        <v>8.9599936602740051</v>
      </c>
      <c r="K113" s="379">
        <f t="shared" si="317"/>
        <v>8.6489071312417067</v>
      </c>
      <c r="L113" s="149">
        <f t="shared" si="318"/>
        <v>17.608900791515712</v>
      </c>
      <c r="M113" s="379"/>
      <c r="N113" s="188">
        <f t="shared" si="319"/>
        <v>0.49116678171126432</v>
      </c>
      <c r="O113" s="149">
        <f t="shared" si="320"/>
        <v>137.02284112562629</v>
      </c>
      <c r="P113" s="149">
        <f t="shared" si="321"/>
        <v>9.6722005500442094</v>
      </c>
      <c r="Q113" s="188">
        <f t="shared" si="322"/>
        <v>0.80601671250368401</v>
      </c>
      <c r="R113" s="188">
        <f t="shared" si="323"/>
        <v>11.41857009380219</v>
      </c>
      <c r="S113" s="188">
        <f t="shared" si="324"/>
        <v>170</v>
      </c>
      <c r="T113" s="188">
        <f t="shared" si="325"/>
        <v>1.2406690636646438</v>
      </c>
      <c r="U113" s="188">
        <f t="shared" si="326"/>
        <v>0.207701441101249</v>
      </c>
      <c r="V113" s="188">
        <f t="shared" si="327"/>
        <v>0.21517210986976859</v>
      </c>
      <c r="W113" s="172">
        <f t="shared" si="328"/>
        <v>220.04256251350569</v>
      </c>
      <c r="X113" s="379">
        <f t="shared" si="435"/>
        <v>350</v>
      </c>
      <c r="Z113" s="188">
        <f t="shared" si="329"/>
        <v>13.333333333333334</v>
      </c>
      <c r="AA113" s="150">
        <f t="shared" si="330"/>
        <v>2.3124308882628322</v>
      </c>
      <c r="AB113" s="150">
        <f t="shared" si="331"/>
        <v>0.15842792510821443</v>
      </c>
      <c r="AC113" s="150"/>
      <c r="AD113" s="150">
        <f t="shared" si="332"/>
        <v>2.3124308882628322</v>
      </c>
      <c r="AE113" s="314">
        <f t="shared" si="333"/>
        <v>20.833691001432225</v>
      </c>
      <c r="AF113" s="456">
        <f t="shared" si="334"/>
        <v>0.15842792510821441</v>
      </c>
      <c r="AH113" s="150">
        <f t="shared" si="335"/>
        <v>3.2249030993194201</v>
      </c>
      <c r="AI113" s="150">
        <f t="shared" si="336"/>
        <v>13.333333333333334</v>
      </c>
      <c r="AJ113" s="150">
        <f t="shared" si="337"/>
        <v>1.0119049662865327</v>
      </c>
      <c r="AL113" s="314">
        <f t="shared" si="338"/>
        <v>15</v>
      </c>
      <c r="AM113" s="144">
        <f t="shared" si="339"/>
        <v>20.833691001432225</v>
      </c>
      <c r="AO113" s="144">
        <f t="shared" si="340"/>
        <v>15</v>
      </c>
      <c r="AP113" s="144">
        <f t="shared" si="341"/>
        <v>20.833691001432225</v>
      </c>
      <c r="AR113" s="5">
        <f t="shared" si="275"/>
        <v>47.999175946847558</v>
      </c>
      <c r="AS113" s="5">
        <f>L*AI113/J113*1000000</f>
        <v>2.2321444365160836</v>
      </c>
      <c r="AT113" s="5">
        <f>AR113-AS113</f>
        <v>45.767031510331478</v>
      </c>
      <c r="AU113" s="150">
        <f>AS113/AR113</f>
        <v>4.6503807460942133E-2</v>
      </c>
      <c r="AW113" s="5">
        <f t="shared" si="342"/>
        <v>1.969539208690662E-2</v>
      </c>
      <c r="AX113" s="5">
        <f t="shared" si="343"/>
        <v>0.27901805456451045</v>
      </c>
      <c r="AY113" s="5">
        <f t="shared" si="344"/>
        <v>21.708707761849066</v>
      </c>
      <c r="AZ113" s="5"/>
      <c r="BA113" s="150">
        <f t="shared" si="345"/>
        <v>1.6600545722567814</v>
      </c>
      <c r="BB113" s="150">
        <f t="shared" si="346"/>
        <v>0.35106305561824369</v>
      </c>
      <c r="BC113" s="150">
        <f t="shared" si="347"/>
        <v>0.33396163838684029</v>
      </c>
      <c r="BD113" s="150"/>
      <c r="BE113" s="456">
        <f t="shared" si="348"/>
        <v>9.3696560217601949E-3</v>
      </c>
      <c r="BF113" s="456">
        <f t="shared" si="349"/>
        <v>0.11715011508359018</v>
      </c>
      <c r="BG113" s="456">
        <f t="shared" si="350"/>
        <v>8.5494740596166671E-3</v>
      </c>
      <c r="BH113" s="456">
        <f t="shared" si="351"/>
        <v>4.4250815969993345E-3</v>
      </c>
      <c r="BI113">
        <f t="shared" si="352"/>
        <v>4.0319971471233021E-3</v>
      </c>
      <c r="BJ113" s="144">
        <f t="shared" si="436"/>
        <v>12.58147120673997</v>
      </c>
      <c r="BK113">
        <f t="shared" si="353"/>
        <v>0.13377246814620769</v>
      </c>
      <c r="BL113" s="144">
        <f t="shared" si="437"/>
        <v>143.52632390908968</v>
      </c>
      <c r="BM113" s="150">
        <f t="shared" si="354"/>
        <v>3.3281249999999998E-2</v>
      </c>
      <c r="BN113" s="150">
        <f t="shared" si="355"/>
        <v>3.3281249999999998E-2</v>
      </c>
      <c r="BO113" s="456"/>
      <c r="BQ113" s="144">
        <f t="shared" si="356"/>
        <v>66.5625</v>
      </c>
      <c r="BR113" s="456">
        <f t="shared" si="357"/>
        <v>4.1336717743059685E-3</v>
      </c>
      <c r="BS113" s="456">
        <f t="shared" si="358"/>
        <v>2.4649053804003614E-2</v>
      </c>
      <c r="BT113" s="456">
        <f t="shared" si="359"/>
        <v>3.3459112774206802E-3</v>
      </c>
      <c r="BU113" s="456">
        <f t="shared" si="360"/>
        <v>6.4303171342882715E-2</v>
      </c>
      <c r="BV113" s="456"/>
      <c r="BW113" s="538">
        <f t="shared" si="361"/>
        <v>3.7037672891435075E-3</v>
      </c>
      <c r="BX113" s="144">
        <f t="shared" si="362"/>
        <v>100.1355754877565</v>
      </c>
      <c r="BY113" s="150">
        <f t="shared" si="363"/>
        <v>0.31022439939684615</v>
      </c>
      <c r="BZ113" s="5">
        <f t="shared" si="364"/>
        <v>2.73</v>
      </c>
      <c r="CA113" s="150">
        <f t="shared" si="365"/>
        <v>0.89796003233893129</v>
      </c>
      <c r="CB113" s="5">
        <f t="shared" si="366"/>
        <v>89.796003233893131</v>
      </c>
      <c r="CC113">
        <f t="shared" si="367"/>
        <v>3</v>
      </c>
      <c r="CE113" s="59">
        <f t="shared" si="368"/>
        <v>-50</v>
      </c>
      <c r="CF113">
        <f t="shared" si="369"/>
        <v>-50</v>
      </c>
      <c r="CG113" s="150">
        <f t="shared" si="370"/>
        <v>4.6806000855841405E-2</v>
      </c>
      <c r="CH113" s="150">
        <f t="shared" si="371"/>
        <v>1.2683355990493431E-2</v>
      </c>
      <c r="CI113" s="147">
        <v>3</v>
      </c>
      <c r="CJ113" s="188">
        <f t="shared" si="438"/>
        <v>1.4999999999999999E-2</v>
      </c>
      <c r="CK113" s="188">
        <f t="shared" si="372"/>
        <v>1.4999999999999999E-2</v>
      </c>
      <c r="CL113" s="188">
        <f t="shared" si="373"/>
        <v>2.5499999999999998</v>
      </c>
      <c r="CM113" s="188">
        <f t="shared" si="374"/>
        <v>0.18</v>
      </c>
      <c r="CN113" s="465">
        <f t="shared" si="375"/>
        <v>9</v>
      </c>
      <c r="CO113" s="379">
        <f t="shared" si="376"/>
        <v>8.625</v>
      </c>
      <c r="CP113" s="379">
        <f t="shared" si="377"/>
        <v>17.625</v>
      </c>
      <c r="CQ113" s="379"/>
      <c r="CR113" s="188">
        <f t="shared" si="378"/>
        <v>0.48674080410607357</v>
      </c>
      <c r="CS113" s="149">
        <f t="shared" si="379"/>
        <v>136.39440115060304</v>
      </c>
      <c r="CT113" s="149">
        <f t="shared" si="380"/>
        <v>9.6278400812190377</v>
      </c>
      <c r="CU113" s="188">
        <f t="shared" si="381"/>
        <v>0.80232000676825321</v>
      </c>
      <c r="CV113" s="188">
        <f t="shared" si="382"/>
        <v>11.366200095883586</v>
      </c>
      <c r="CW113" s="188">
        <f t="shared" si="383"/>
        <v>170</v>
      </c>
      <c r="CX113" s="188">
        <f t="shared" si="384"/>
        <v>1.2463854715875806</v>
      </c>
      <c r="CY113" s="188">
        <f t="shared" si="385"/>
        <v>0.20773091193126342</v>
      </c>
      <c r="CZ113" s="188">
        <f t="shared" si="386"/>
        <v>0.21676269071088358</v>
      </c>
      <c r="DA113" s="172">
        <f t="shared" si="387"/>
        <v>220.21276595744678</v>
      </c>
      <c r="DB113" s="379">
        <f t="shared" si="388"/>
        <v>350</v>
      </c>
      <c r="DD113" s="188">
        <f t="shared" si="389"/>
        <v>13.333333333333336</v>
      </c>
      <c r="DE113" s="150">
        <f t="shared" si="390"/>
        <v>2.3188405797101459</v>
      </c>
      <c r="DF113" s="150">
        <f t="shared" si="391"/>
        <v>0.15898994622398885</v>
      </c>
      <c r="DG113" s="150"/>
      <c r="DH113" s="150">
        <f t="shared" si="392"/>
        <v>2.3188405797101455</v>
      </c>
      <c r="DI113" s="314">
        <f t="shared" si="393"/>
        <v>20.776102941176461</v>
      </c>
      <c r="DJ113" s="456">
        <f t="shared" si="394"/>
        <v>0.15898994622398879</v>
      </c>
      <c r="DL113" s="150">
        <f t="shared" si="395"/>
        <v>3.2249030993194201</v>
      </c>
      <c r="DM113" s="150">
        <f t="shared" si="396"/>
        <v>13.333333333333334</v>
      </c>
      <c r="DN113" s="150">
        <f t="shared" si="397"/>
        <v>1.0118720588235295</v>
      </c>
      <c r="DP113" s="314">
        <f t="shared" si="398"/>
        <v>15</v>
      </c>
      <c r="DQ113" s="144">
        <f t="shared" si="399"/>
        <v>20.776102941176461</v>
      </c>
      <c r="DS113" s="144">
        <f t="shared" si="400"/>
        <v>15</v>
      </c>
      <c r="DT113" s="144">
        <f t="shared" si="401"/>
        <v>20.776102941176461</v>
      </c>
      <c r="DV113" s="5">
        <f t="shared" si="402"/>
        <v>48.132222045265543</v>
      </c>
      <c r="DW113" s="5">
        <f t="shared" si="403"/>
        <v>2.2222222222222223</v>
      </c>
      <c r="DX113" s="5">
        <f t="shared" si="404"/>
        <v>45.909999823043321</v>
      </c>
      <c r="DY113" s="150">
        <f t="shared" si="405"/>
        <v>4.6169117647058805E-2</v>
      </c>
      <c r="EA113" s="5">
        <f t="shared" si="406"/>
        <v>1.9607843137254902E-2</v>
      </c>
      <c r="EB113" s="5">
        <f t="shared" si="407"/>
        <v>0.27777777777777779</v>
      </c>
      <c r="EC113" s="5">
        <f t="shared" si="408"/>
        <v>21.679722138659343</v>
      </c>
      <c r="ED113" s="5"/>
      <c r="EE113" s="150">
        <f t="shared" si="409"/>
        <v>1.6540700445925196</v>
      </c>
      <c r="EF113" s="150">
        <f t="shared" si="410"/>
        <v>0.35112466410745596</v>
      </c>
      <c r="EG113" s="150">
        <f t="shared" si="411"/>
        <v>0.33402024572722139</v>
      </c>
      <c r="EH113" s="150"/>
      <c r="EI113" s="456">
        <f t="shared" si="412"/>
        <v>9.3022222222222187E-3</v>
      </c>
      <c r="EJ113" s="456">
        <f t="shared" si="413"/>
        <v>0.14842447941176465</v>
      </c>
      <c r="EK113" s="456">
        <f t="shared" si="414"/>
        <v>4.7577275735294095E-3</v>
      </c>
      <c r="EL113" s="456">
        <f t="shared" si="415"/>
        <v>4.4209225978573052E-3</v>
      </c>
      <c r="EM113">
        <f t="shared" si="416"/>
        <v>4.0499999999999998E-3</v>
      </c>
      <c r="EN113" s="144">
        <f t="shared" si="417"/>
        <v>8.8077275735294087</v>
      </c>
      <c r="EP113" s="144">
        <f t="shared" si="439"/>
        <v>170.95535180537357</v>
      </c>
      <c r="EQ113" s="150">
        <f t="shared" si="418"/>
        <v>3.7499999999999999E-2</v>
      </c>
      <c r="ER113" s="150">
        <f t="shared" si="419"/>
        <v>1.065E-2</v>
      </c>
      <c r="ES113" s="456"/>
      <c r="EU113" s="144">
        <f t="shared" si="420"/>
        <v>48.15</v>
      </c>
      <c r="EV113" s="456">
        <f t="shared" si="421"/>
        <v>4.1039215686274498E-3</v>
      </c>
      <c r="EW113" s="456">
        <f t="shared" si="422"/>
        <v>2.4657705948914754E-2</v>
      </c>
      <c r="EX113" s="456">
        <f t="shared" si="423"/>
        <v>3.3470857366702006E-3</v>
      </c>
      <c r="EY113" s="456">
        <f t="shared" si="424"/>
        <v>6.3859728384361686E-2</v>
      </c>
      <c r="EZ113" s="456"/>
      <c r="FA113" s="538">
        <f t="shared" si="425"/>
        <v>3.6935294117647049E-3</v>
      </c>
      <c r="FB113" s="144">
        <f t="shared" si="426"/>
        <v>99.661971050338806</v>
      </c>
      <c r="FC113" s="150">
        <f t="shared" si="427"/>
        <v>0.31876732285571241</v>
      </c>
      <c r="FD113" s="5">
        <f t="shared" si="428"/>
        <v>2.73</v>
      </c>
      <c r="FE113" s="150">
        <f t="shared" si="429"/>
        <v>0.89544386661913888</v>
      </c>
      <c r="FF113" s="5">
        <f t="shared" si="430"/>
        <v>89.54438666191389</v>
      </c>
      <c r="FG113">
        <f t="shared" si="431"/>
        <v>3</v>
      </c>
      <c r="FI113" s="59">
        <f t="shared" si="432"/>
        <v>-50</v>
      </c>
      <c r="FJ113">
        <f t="shared" si="433"/>
        <v>-50</v>
      </c>
    </row>
    <row r="114" spans="5:166">
      <c r="E114" s="147">
        <v>4</v>
      </c>
      <c r="F114" s="188">
        <f t="shared" si="434"/>
        <v>0.02</v>
      </c>
      <c r="G114" s="188">
        <f t="shared" si="313"/>
        <v>0.02</v>
      </c>
      <c r="H114" s="188">
        <f t="shared" si="314"/>
        <v>3.4</v>
      </c>
      <c r="I114" s="188">
        <f t="shared" si="315"/>
        <v>0.24</v>
      </c>
      <c r="J114" s="465">
        <f t="shared" si="316"/>
        <v>8.9599936602740051</v>
      </c>
      <c r="K114" s="379">
        <f t="shared" si="317"/>
        <v>8.6489071312417067</v>
      </c>
      <c r="L114" s="149">
        <f t="shared" si="318"/>
        <v>17.608900791515712</v>
      </c>
      <c r="M114" s="379"/>
      <c r="N114" s="188">
        <f t="shared" si="319"/>
        <v>0.49116678171126432</v>
      </c>
      <c r="O114" s="149">
        <f t="shared" si="320"/>
        <v>137.02284112562629</v>
      </c>
      <c r="P114" s="149">
        <f t="shared" si="321"/>
        <v>9.6722005500442094</v>
      </c>
      <c r="Q114" s="188">
        <f t="shared" si="322"/>
        <v>0.80601671250368401</v>
      </c>
      <c r="R114" s="188">
        <f t="shared" si="323"/>
        <v>11.41857009380219</v>
      </c>
      <c r="S114" s="188">
        <f t="shared" si="324"/>
        <v>170</v>
      </c>
      <c r="T114" s="188">
        <f t="shared" si="325"/>
        <v>1.6542254182195251</v>
      </c>
      <c r="U114" s="188">
        <f t="shared" si="326"/>
        <v>0.27693525480166531</v>
      </c>
      <c r="V114" s="188">
        <f t="shared" si="327"/>
        <v>0.28689614649302481</v>
      </c>
      <c r="W114" s="172">
        <f t="shared" si="328"/>
        <v>220.04256251350569</v>
      </c>
      <c r="X114" s="379">
        <f t="shared" si="435"/>
        <v>350</v>
      </c>
      <c r="Z114" s="188">
        <f t="shared" si="329"/>
        <v>13.333333333333334</v>
      </c>
      <c r="AA114" s="150">
        <f t="shared" si="330"/>
        <v>2.3124308882628322</v>
      </c>
      <c r="AB114" s="150">
        <f t="shared" si="331"/>
        <v>0.15842792510821443</v>
      </c>
      <c r="AC114" s="150"/>
      <c r="AD114" s="150">
        <f t="shared" si="332"/>
        <v>2.3124308882628322</v>
      </c>
      <c r="AE114" s="314">
        <f t="shared" si="333"/>
        <v>27.778254668576302</v>
      </c>
      <c r="AF114" s="456">
        <f t="shared" si="334"/>
        <v>0.15842792510821441</v>
      </c>
      <c r="AH114" s="150">
        <f t="shared" si="335"/>
        <v>3.723797345005051</v>
      </c>
      <c r="AI114" s="150">
        <f t="shared" si="336"/>
        <v>13.333333333333334</v>
      </c>
      <c r="AJ114" s="150">
        <f t="shared" si="337"/>
        <v>1.0158732883820436</v>
      </c>
      <c r="AL114" s="314">
        <f t="shared" si="338"/>
        <v>20</v>
      </c>
      <c r="AM114" s="144">
        <f t="shared" si="339"/>
        <v>27.778254668576302</v>
      </c>
      <c r="AO114" s="144">
        <f t="shared" si="340"/>
        <v>20</v>
      </c>
      <c r="AP114" s="144">
        <f t="shared" si="341"/>
        <v>27.778254668576302</v>
      </c>
      <c r="AR114" s="5">
        <f t="shared" si="275"/>
        <v>35.999381960135665</v>
      </c>
      <c r="AS114" s="5">
        <f>L*AI114/J114*1000000</f>
        <v>2.2321444365160836</v>
      </c>
      <c r="AT114" s="5">
        <f>AR114-AS114</f>
        <v>33.767237523619585</v>
      </c>
      <c r="AU114" s="150">
        <f>AS114/AR114</f>
        <v>6.2005076614589517E-2</v>
      </c>
      <c r="AW114" s="5">
        <f t="shared" si="342"/>
        <v>2.6260522782542164E-2</v>
      </c>
      <c r="AX114" s="5">
        <f t="shared" si="343"/>
        <v>0.37202407275268068</v>
      </c>
      <c r="AY114" s="5">
        <f t="shared" si="344"/>
        <v>21.355782889544962</v>
      </c>
      <c r="AZ114" s="5"/>
      <c r="BA114" s="150">
        <f t="shared" si="345"/>
        <v>1.9168659083238435</v>
      </c>
      <c r="BB114" s="150">
        <f t="shared" si="346"/>
        <v>0.34819769426187336</v>
      </c>
      <c r="BC114" s="150">
        <f t="shared" si="347"/>
        <v>0.33123585805242545</v>
      </c>
      <c r="BD114" s="150"/>
      <c r="BE114" s="456">
        <f t="shared" si="348"/>
        <v>1.2492874695680257E-2</v>
      </c>
      <c r="BF114" s="456">
        <f t="shared" si="349"/>
        <v>0.15620015344478691</v>
      </c>
      <c r="BG114" s="456">
        <f t="shared" si="350"/>
        <v>1.1399298746155558E-2</v>
      </c>
      <c r="BH114" s="456">
        <f t="shared" si="351"/>
        <v>5.9001087959991141E-3</v>
      </c>
      <c r="BI114">
        <f t="shared" si="352"/>
        <v>4.0319971471233021E-3</v>
      </c>
      <c r="BJ114" s="144">
        <f t="shared" si="436"/>
        <v>15.431295893278859</v>
      </c>
      <c r="BK114">
        <f t="shared" si="353"/>
        <v>0.17849604416661521</v>
      </c>
      <c r="BL114" s="144">
        <f t="shared" si="437"/>
        <v>190.02443282974514</v>
      </c>
      <c r="BM114" s="150">
        <f t="shared" si="354"/>
        <v>4.4374999999999998E-2</v>
      </c>
      <c r="BN114" s="150">
        <f t="shared" si="355"/>
        <v>4.4374999999999998E-2</v>
      </c>
      <c r="BO114" s="456"/>
      <c r="BQ114" s="144">
        <f t="shared" si="356"/>
        <v>88.75</v>
      </c>
      <c r="BR114" s="456">
        <f t="shared" si="357"/>
        <v>5.5115623657412908E-3</v>
      </c>
      <c r="BS114" s="456">
        <f t="shared" si="358"/>
        <v>2.4248326857857008E-2</v>
      </c>
      <c r="BT114" s="456">
        <f t="shared" si="359"/>
        <v>3.2915158097917962E-3</v>
      </c>
      <c r="BU114" s="456">
        <f t="shared" si="360"/>
        <v>0.1320016116784353</v>
      </c>
      <c r="BV114" s="456"/>
      <c r="BW114" s="538">
        <f t="shared" si="361"/>
        <v>4.9383563855246769E-3</v>
      </c>
      <c r="BX114" s="144">
        <f t="shared" si="362"/>
        <v>169.99137309735008</v>
      </c>
      <c r="BY114" s="150">
        <f t="shared" si="363"/>
        <v>0.4487658059270952</v>
      </c>
      <c r="BZ114" s="5">
        <f t="shared" si="364"/>
        <v>3.6399999999999997</v>
      </c>
      <c r="CA114" s="150">
        <f t="shared" si="365"/>
        <v>0.89024418926695126</v>
      </c>
      <c r="CB114" s="5">
        <f t="shared" si="366"/>
        <v>89.02441892669512</v>
      </c>
      <c r="CC114">
        <f t="shared" si="367"/>
        <v>4</v>
      </c>
      <c r="CE114" s="59">
        <f t="shared" si="368"/>
        <v>-50</v>
      </c>
      <c r="CF114">
        <f t="shared" si="369"/>
        <v>-50</v>
      </c>
      <c r="CG114" s="150">
        <f t="shared" si="370"/>
        <v>6.2408001141121883E-2</v>
      </c>
      <c r="CH114" s="150">
        <f t="shared" si="371"/>
        <v>1.6911141320657911E-2</v>
      </c>
      <c r="CI114" s="147">
        <v>4</v>
      </c>
      <c r="CJ114" s="188">
        <f t="shared" si="438"/>
        <v>0.02</v>
      </c>
      <c r="CK114" s="188">
        <f t="shared" si="372"/>
        <v>0.02</v>
      </c>
      <c r="CL114" s="188">
        <f t="shared" si="373"/>
        <v>3.4</v>
      </c>
      <c r="CM114" s="188">
        <f t="shared" si="374"/>
        <v>0.24</v>
      </c>
      <c r="CN114" s="465">
        <f t="shared" si="375"/>
        <v>9</v>
      </c>
      <c r="CO114" s="379">
        <f t="shared" si="376"/>
        <v>8.625</v>
      </c>
      <c r="CP114" s="379">
        <f t="shared" si="377"/>
        <v>17.625</v>
      </c>
      <c r="CQ114" s="379"/>
      <c r="CR114" s="188">
        <f t="shared" si="378"/>
        <v>0.48674080410607357</v>
      </c>
      <c r="CS114" s="149">
        <f t="shared" si="379"/>
        <v>136.39440115060304</v>
      </c>
      <c r="CT114" s="149">
        <f t="shared" si="380"/>
        <v>9.6278400812190377</v>
      </c>
      <c r="CU114" s="188">
        <f t="shared" si="381"/>
        <v>0.80232000676825321</v>
      </c>
      <c r="CV114" s="188">
        <f t="shared" si="382"/>
        <v>11.366200095883586</v>
      </c>
      <c r="CW114" s="188">
        <f t="shared" si="383"/>
        <v>170</v>
      </c>
      <c r="CX114" s="188">
        <f t="shared" si="384"/>
        <v>1.6618472954501073</v>
      </c>
      <c r="CY114" s="188">
        <f t="shared" si="385"/>
        <v>0.27697454924168458</v>
      </c>
      <c r="CZ114" s="188">
        <f t="shared" si="386"/>
        <v>0.28901692094784476</v>
      </c>
      <c r="DA114" s="172">
        <f t="shared" si="387"/>
        <v>220.21276595744678</v>
      </c>
      <c r="DB114" s="379">
        <f t="shared" si="388"/>
        <v>350</v>
      </c>
      <c r="DD114" s="188">
        <f t="shared" si="389"/>
        <v>13.333333333333336</v>
      </c>
      <c r="DE114" s="150">
        <f t="shared" si="390"/>
        <v>2.3188405797101459</v>
      </c>
      <c r="DF114" s="150">
        <f t="shared" si="391"/>
        <v>0.15898994622398885</v>
      </c>
      <c r="DG114" s="150"/>
      <c r="DH114" s="150">
        <f t="shared" si="392"/>
        <v>2.3188405797101455</v>
      </c>
      <c r="DI114" s="314">
        <f t="shared" si="393"/>
        <v>27.701470588235289</v>
      </c>
      <c r="DJ114" s="456">
        <f t="shared" si="394"/>
        <v>0.15898994622398879</v>
      </c>
      <c r="DL114" s="150">
        <f t="shared" si="395"/>
        <v>3.723797345005051</v>
      </c>
      <c r="DM114" s="150">
        <f t="shared" si="396"/>
        <v>13.333333333333334</v>
      </c>
      <c r="DN114" s="150">
        <f t="shared" si="397"/>
        <v>1.015829411764706</v>
      </c>
      <c r="DP114" s="314">
        <f t="shared" si="398"/>
        <v>20</v>
      </c>
      <c r="DQ114" s="144">
        <f t="shared" si="399"/>
        <v>27.701470588235289</v>
      </c>
      <c r="DS114" s="144">
        <f t="shared" si="400"/>
        <v>20</v>
      </c>
      <c r="DT114" s="144">
        <f t="shared" si="401"/>
        <v>27.701470588235289</v>
      </c>
      <c r="DV114" s="5">
        <f t="shared" si="402"/>
        <v>36.099166533949152</v>
      </c>
      <c r="DW114" s="5">
        <f t="shared" si="403"/>
        <v>2.2222222222222223</v>
      </c>
      <c r="DX114" s="5">
        <f t="shared" si="404"/>
        <v>33.87694431172693</v>
      </c>
      <c r="DY114" s="150">
        <f t="shared" si="405"/>
        <v>6.1558823529411749E-2</v>
      </c>
      <c r="EA114" s="5">
        <f t="shared" si="406"/>
        <v>2.6143790849673203E-2</v>
      </c>
      <c r="EB114" s="5">
        <f t="shared" si="407"/>
        <v>0.37037037037037041</v>
      </c>
      <c r="EC114" s="5">
        <f t="shared" si="408"/>
        <v>21.329927899976212</v>
      </c>
      <c r="ED114" s="5"/>
      <c r="EE114" s="150">
        <f t="shared" si="409"/>
        <v>1.9099555710079752</v>
      </c>
      <c r="EF114" s="150">
        <f t="shared" si="410"/>
        <v>0.34828051231063623</v>
      </c>
      <c r="EG114" s="150">
        <f t="shared" si="411"/>
        <v>0.33131464176609238</v>
      </c>
      <c r="EH114" s="150"/>
      <c r="EI114" s="456">
        <f t="shared" si="412"/>
        <v>1.2402962962962961E-2</v>
      </c>
      <c r="EJ114" s="456">
        <f t="shared" si="413"/>
        <v>0.19789930588235291</v>
      </c>
      <c r="EK114" s="456">
        <f t="shared" si="414"/>
        <v>6.3436367647058817E-3</v>
      </c>
      <c r="EL114" s="456">
        <f t="shared" si="415"/>
        <v>5.8945634638097417E-3</v>
      </c>
      <c r="EM114">
        <f t="shared" si="416"/>
        <v>4.0499999999999998E-3</v>
      </c>
      <c r="EN114" s="144">
        <f t="shared" si="417"/>
        <v>10.393636764705882</v>
      </c>
      <c r="EP114" s="144">
        <f t="shared" si="439"/>
        <v>226.59046907383146</v>
      </c>
      <c r="EQ114" s="150">
        <f t="shared" si="418"/>
        <v>0.05</v>
      </c>
      <c r="ER114" s="150">
        <f t="shared" si="419"/>
        <v>1.4199999999999999E-2</v>
      </c>
      <c r="ES114" s="456"/>
      <c r="EU114" s="144">
        <f t="shared" si="420"/>
        <v>64.2</v>
      </c>
      <c r="EV114" s="456">
        <f t="shared" si="421"/>
        <v>5.4718954248366009E-3</v>
      </c>
      <c r="EW114" s="456">
        <f t="shared" si="422"/>
        <v>2.4259863051071848E-2</v>
      </c>
      <c r="EX114" s="456">
        <f t="shared" si="423"/>
        <v>3.2930817554578233E-3</v>
      </c>
      <c r="EY114" s="456">
        <f t="shared" si="424"/>
        <v>0.13109131154875608</v>
      </c>
      <c r="EZ114" s="456"/>
      <c r="FA114" s="538">
        <f t="shared" si="425"/>
        <v>4.9247058823529413E-3</v>
      </c>
      <c r="FB114" s="144">
        <f t="shared" si="426"/>
        <v>169.04085766247528</v>
      </c>
      <c r="FC114" s="150">
        <f t="shared" si="427"/>
        <v>0.45983132673630678</v>
      </c>
      <c r="FD114" s="5">
        <f t="shared" si="428"/>
        <v>3.6399999999999997</v>
      </c>
      <c r="FE114" s="150">
        <f t="shared" si="429"/>
        <v>0.88784140368468323</v>
      </c>
      <c r="FF114" s="5">
        <f t="shared" si="430"/>
        <v>88.784140368468329</v>
      </c>
      <c r="FG114">
        <f t="shared" si="431"/>
        <v>4</v>
      </c>
      <c r="FI114" s="59">
        <f t="shared" si="432"/>
        <v>-50</v>
      </c>
      <c r="FJ114">
        <f t="shared" si="433"/>
        <v>-50</v>
      </c>
    </row>
    <row r="115" spans="5:166">
      <c r="E115" s="147">
        <v>5</v>
      </c>
      <c r="F115" s="188">
        <f t="shared" si="434"/>
        <v>2.5000000000000001E-2</v>
      </c>
      <c r="G115" s="188">
        <f t="shared" si="313"/>
        <v>2.5000000000000001E-2</v>
      </c>
      <c r="H115" s="188">
        <f t="shared" si="314"/>
        <v>4.25</v>
      </c>
      <c r="I115" s="188">
        <f t="shared" si="315"/>
        <v>0.30000000000000004</v>
      </c>
      <c r="J115" s="465">
        <f t="shared" si="316"/>
        <v>8.9599936602740051</v>
      </c>
      <c r="K115" s="379">
        <f t="shared" si="317"/>
        <v>8.6489071312417067</v>
      </c>
      <c r="L115" s="149">
        <f t="shared" si="318"/>
        <v>17.608900791515712</v>
      </c>
      <c r="M115" s="379"/>
      <c r="N115" s="188">
        <f t="shared" si="319"/>
        <v>0.49116678171126432</v>
      </c>
      <c r="O115" s="149">
        <f t="shared" si="320"/>
        <v>137.02284112562629</v>
      </c>
      <c r="P115" s="149">
        <f t="shared" si="321"/>
        <v>9.6722005500442094</v>
      </c>
      <c r="Q115" s="188">
        <f t="shared" si="322"/>
        <v>0.80601671250368401</v>
      </c>
      <c r="R115" s="188">
        <f t="shared" si="323"/>
        <v>11.41857009380219</v>
      </c>
      <c r="S115" s="188">
        <f t="shared" si="324"/>
        <v>170</v>
      </c>
      <c r="T115" s="188">
        <f t="shared" si="325"/>
        <v>2.0677817727744063</v>
      </c>
      <c r="U115" s="188">
        <f t="shared" si="326"/>
        <v>0.34616906850208168</v>
      </c>
      <c r="V115" s="188">
        <f t="shared" si="327"/>
        <v>0.35862018311628102</v>
      </c>
      <c r="W115" s="172">
        <f t="shared" si="328"/>
        <v>220.04256251350569</v>
      </c>
      <c r="X115" s="379">
        <f t="shared" si="435"/>
        <v>350</v>
      </c>
      <c r="Z115" s="188">
        <f t="shared" si="329"/>
        <v>13.333333333333334</v>
      </c>
      <c r="AA115" s="150">
        <f t="shared" si="330"/>
        <v>2.3124308882628322</v>
      </c>
      <c r="AB115" s="150">
        <f t="shared" si="331"/>
        <v>0.15842792510821443</v>
      </c>
      <c r="AC115" s="150"/>
      <c r="AD115" s="150">
        <f t="shared" si="332"/>
        <v>2.3124308882628322</v>
      </c>
      <c r="AE115" s="314">
        <f t="shared" si="333"/>
        <v>34.722818335720376</v>
      </c>
      <c r="AF115" s="456">
        <f t="shared" si="334"/>
        <v>0.15842792510821441</v>
      </c>
      <c r="AH115" s="150">
        <f t="shared" si="335"/>
        <v>4.1633319989322652</v>
      </c>
      <c r="AI115" s="150">
        <f t="shared" si="336"/>
        <v>13.333333333333334</v>
      </c>
      <c r="AJ115" s="150">
        <f t="shared" si="337"/>
        <v>1.0198416104775545</v>
      </c>
      <c r="AL115" s="314">
        <f t="shared" si="338"/>
        <v>25</v>
      </c>
      <c r="AM115" s="144">
        <f t="shared" si="339"/>
        <v>34.722818335720376</v>
      </c>
      <c r="AO115" s="144">
        <f t="shared" si="340"/>
        <v>25</v>
      </c>
      <c r="AP115" s="144">
        <f t="shared" si="341"/>
        <v>34.722818335720376</v>
      </c>
      <c r="AR115" s="5">
        <f t="shared" si="275"/>
        <v>28.799505568108533</v>
      </c>
      <c r="AS115" s="5">
        <f t="shared" ref="AS115:AS178" si="440">L*AI115/J115*1000000</f>
        <v>2.2321444365160836</v>
      </c>
      <c r="AT115" s="5">
        <f t="shared" ref="AT115:AT178" si="441">AR115-AS115</f>
        <v>26.567361131592449</v>
      </c>
      <c r="AU115" s="150">
        <f t="shared" ref="AU115:AU178" si="442">AS115/AR115</f>
        <v>7.7506345768236895E-2</v>
      </c>
      <c r="AW115" s="5">
        <f t="shared" si="342"/>
        <v>3.2825653478177702E-2</v>
      </c>
      <c r="AX115" s="5">
        <f t="shared" si="343"/>
        <v>0.46503009094085079</v>
      </c>
      <c r="AY115" s="5">
        <f t="shared" si="344"/>
        <v>21.002858017240861</v>
      </c>
      <c r="AZ115" s="5"/>
      <c r="BA115" s="150">
        <f t="shared" si="345"/>
        <v>2.143121237381997</v>
      </c>
      <c r="BB115" s="150">
        <f t="shared" si="346"/>
        <v>0.34530855703059543</v>
      </c>
      <c r="BC115" s="150">
        <f t="shared" si="347"/>
        <v>0.32848746004289175</v>
      </c>
      <c r="BD115" s="150"/>
      <c r="BE115" s="456">
        <f t="shared" si="348"/>
        <v>1.561609336960032E-2</v>
      </c>
      <c r="BF115" s="456">
        <f t="shared" si="349"/>
        <v>0.19525019180598363</v>
      </c>
      <c r="BG115" s="456">
        <f t="shared" si="350"/>
        <v>1.4249123432694445E-2</v>
      </c>
      <c r="BH115" s="456">
        <f t="shared" si="351"/>
        <v>7.3751359949988911E-3</v>
      </c>
      <c r="BI115">
        <f t="shared" si="352"/>
        <v>4.0319971471233021E-3</v>
      </c>
      <c r="BJ115" s="144">
        <f t="shared" si="436"/>
        <v>18.281120579817749</v>
      </c>
      <c r="BK115">
        <f t="shared" si="353"/>
        <v>0.22328624403958747</v>
      </c>
      <c r="BL115" s="144">
        <f t="shared" si="437"/>
        <v>236.52254175040059</v>
      </c>
      <c r="BM115" s="150">
        <f t="shared" si="354"/>
        <v>5.5468749999999997E-2</v>
      </c>
      <c r="BN115" s="150">
        <f t="shared" si="355"/>
        <v>5.5468749999999997E-2</v>
      </c>
      <c r="BO115" s="456"/>
      <c r="BQ115" s="144">
        <f t="shared" si="356"/>
        <v>110.9375</v>
      </c>
      <c r="BR115" s="456">
        <f t="shared" si="357"/>
        <v>6.889452957176613E-3</v>
      </c>
      <c r="BS115" s="456">
        <f t="shared" si="358"/>
        <v>2.3847599911710399E-2</v>
      </c>
      <c r="BT115" s="456">
        <f t="shared" si="359"/>
        <v>3.2371203421629122E-3</v>
      </c>
      <c r="BU115" s="456">
        <f t="shared" si="360"/>
        <v>0.23059732566602448</v>
      </c>
      <c r="BV115" s="456"/>
      <c r="BW115" s="538">
        <f t="shared" si="361"/>
        <v>6.172945481905846E-3</v>
      </c>
      <c r="BX115" s="144">
        <f t="shared" si="362"/>
        <v>270.74444435898027</v>
      </c>
      <c r="BY115" s="150">
        <f t="shared" si="363"/>
        <v>0.61820448610938084</v>
      </c>
      <c r="BZ115" s="5">
        <f t="shared" si="364"/>
        <v>4.55</v>
      </c>
      <c r="CA115" s="150">
        <f t="shared" si="365"/>
        <v>0.88038312188092915</v>
      </c>
      <c r="CB115" s="5">
        <f t="shared" si="366"/>
        <v>88.038312188092917</v>
      </c>
      <c r="CC115">
        <f t="shared" si="367"/>
        <v>5</v>
      </c>
      <c r="CE115" s="59">
        <f t="shared" si="368"/>
        <v>-50</v>
      </c>
      <c r="CF115">
        <f t="shared" si="369"/>
        <v>-50</v>
      </c>
      <c r="CG115" s="150">
        <f t="shared" si="370"/>
        <v>7.8010001426402339E-2</v>
      </c>
      <c r="CH115" s="150">
        <f t="shared" si="371"/>
        <v>2.1138926650822388E-2</v>
      </c>
      <c r="CI115" s="147">
        <v>5</v>
      </c>
      <c r="CJ115" s="188">
        <f t="shared" si="438"/>
        <v>2.5000000000000001E-2</v>
      </c>
      <c r="CK115" s="188">
        <f t="shared" si="372"/>
        <v>2.5000000000000001E-2</v>
      </c>
      <c r="CL115" s="188">
        <f t="shared" si="373"/>
        <v>4.25</v>
      </c>
      <c r="CM115" s="188">
        <f t="shared" si="374"/>
        <v>0.30000000000000004</v>
      </c>
      <c r="CN115" s="465">
        <f t="shared" si="375"/>
        <v>9</v>
      </c>
      <c r="CO115" s="379">
        <f t="shared" si="376"/>
        <v>8.625</v>
      </c>
      <c r="CP115" s="379">
        <f t="shared" si="377"/>
        <v>17.625</v>
      </c>
      <c r="CQ115" s="379"/>
      <c r="CR115" s="188">
        <f t="shared" si="378"/>
        <v>0.48674080410607357</v>
      </c>
      <c r="CS115" s="149">
        <f t="shared" si="379"/>
        <v>136.39440115060304</v>
      </c>
      <c r="CT115" s="149">
        <f t="shared" si="380"/>
        <v>9.6278400812190377</v>
      </c>
      <c r="CU115" s="188">
        <f t="shared" si="381"/>
        <v>0.80232000676825321</v>
      </c>
      <c r="CV115" s="188">
        <f t="shared" si="382"/>
        <v>11.366200095883586</v>
      </c>
      <c r="CW115" s="188">
        <f t="shared" si="383"/>
        <v>170</v>
      </c>
      <c r="CX115" s="188">
        <f t="shared" si="384"/>
        <v>2.0773091193126341</v>
      </c>
      <c r="CY115" s="188">
        <f t="shared" si="385"/>
        <v>0.34621818655210568</v>
      </c>
      <c r="CZ115" s="188">
        <f t="shared" si="386"/>
        <v>0.36127115118480591</v>
      </c>
      <c r="DA115" s="172">
        <f t="shared" si="387"/>
        <v>220.21276595744678</v>
      </c>
      <c r="DB115" s="379">
        <f t="shared" si="388"/>
        <v>350</v>
      </c>
      <c r="DD115" s="188">
        <f t="shared" si="389"/>
        <v>13.333333333333336</v>
      </c>
      <c r="DE115" s="150">
        <f t="shared" si="390"/>
        <v>2.3188405797101459</v>
      </c>
      <c r="DF115" s="150">
        <f t="shared" si="391"/>
        <v>0.15898994622398885</v>
      </c>
      <c r="DG115" s="150"/>
      <c r="DH115" s="150">
        <f t="shared" si="392"/>
        <v>2.3188405797101455</v>
      </c>
      <c r="DI115" s="314">
        <f t="shared" si="393"/>
        <v>34.626838235294102</v>
      </c>
      <c r="DJ115" s="456">
        <f t="shared" si="394"/>
        <v>0.15898994622398879</v>
      </c>
      <c r="DL115" s="150">
        <f t="shared" si="395"/>
        <v>4.1633319989322652</v>
      </c>
      <c r="DM115" s="150">
        <f t="shared" si="396"/>
        <v>13.333333333333334</v>
      </c>
      <c r="DN115" s="150">
        <f t="shared" si="397"/>
        <v>1.0197867647058823</v>
      </c>
      <c r="DP115" s="314">
        <f t="shared" si="398"/>
        <v>25</v>
      </c>
      <c r="DQ115" s="144">
        <f t="shared" si="399"/>
        <v>34.626838235294102</v>
      </c>
      <c r="DS115" s="144">
        <f t="shared" si="400"/>
        <v>25</v>
      </c>
      <c r="DT115" s="144">
        <f t="shared" si="401"/>
        <v>34.626838235294102</v>
      </c>
      <c r="DV115" s="5">
        <f t="shared" si="402"/>
        <v>28.879333227159325</v>
      </c>
      <c r="DW115" s="5">
        <f t="shared" si="403"/>
        <v>2.2222222222222223</v>
      </c>
      <c r="DX115" s="5">
        <f t="shared" si="404"/>
        <v>26.657111004937104</v>
      </c>
      <c r="DY115" s="150">
        <f t="shared" si="405"/>
        <v>7.694852941176468E-2</v>
      </c>
      <c r="EA115" s="5">
        <f t="shared" si="406"/>
        <v>3.2679738562091505E-2</v>
      </c>
      <c r="EB115" s="5">
        <f t="shared" si="407"/>
        <v>0.46296296296296297</v>
      </c>
      <c r="EC115" s="5">
        <f t="shared" si="408"/>
        <v>20.980133661293088</v>
      </c>
      <c r="ED115" s="5"/>
      <c r="EE115" s="150">
        <f t="shared" si="409"/>
        <v>2.1353952453891294</v>
      </c>
      <c r="EF115" s="150">
        <f t="shared" si="410"/>
        <v>0.34541294238367032</v>
      </c>
      <c r="EG115" s="150">
        <f t="shared" si="411"/>
        <v>0.32858676044770108</v>
      </c>
      <c r="EH115" s="150"/>
      <c r="EI115" s="456">
        <f t="shared" si="412"/>
        <v>1.55037037037037E-2</v>
      </c>
      <c r="EJ115" s="456">
        <f t="shared" si="413"/>
        <v>0.24737413235294106</v>
      </c>
      <c r="EK115" s="456">
        <f t="shared" si="414"/>
        <v>7.9295459558823504E-3</v>
      </c>
      <c r="EL115" s="456">
        <f t="shared" si="415"/>
        <v>7.3682043297621756E-3</v>
      </c>
      <c r="EM115">
        <f t="shared" si="416"/>
        <v>4.0499999999999998E-3</v>
      </c>
      <c r="EN115" s="144">
        <f t="shared" si="417"/>
        <v>11.979545955882351</v>
      </c>
      <c r="EP115" s="144">
        <f t="shared" si="439"/>
        <v>282.22558634228926</v>
      </c>
      <c r="EQ115" s="150">
        <f t="shared" si="418"/>
        <v>6.25E-2</v>
      </c>
      <c r="ER115" s="150">
        <f t="shared" si="419"/>
        <v>1.7750000000000002E-2</v>
      </c>
      <c r="ES115" s="456"/>
      <c r="EU115" s="144">
        <f t="shared" si="420"/>
        <v>80.25</v>
      </c>
      <c r="EV115" s="456">
        <f t="shared" si="421"/>
        <v>6.8398692810457502E-3</v>
      </c>
      <c r="EW115" s="456">
        <f t="shared" si="422"/>
        <v>2.3862020153228952E-2</v>
      </c>
      <c r="EX115" s="456">
        <f t="shared" si="423"/>
        <v>3.2390777742454468E-3</v>
      </c>
      <c r="EY115" s="456">
        <f t="shared" si="424"/>
        <v>0.2290070967832982</v>
      </c>
      <c r="EZ115" s="456"/>
      <c r="FA115" s="538">
        <f t="shared" si="425"/>
        <v>6.1558823529411751E-3</v>
      </c>
      <c r="FB115" s="144">
        <f t="shared" si="426"/>
        <v>269.10394634475955</v>
      </c>
      <c r="FC115" s="150">
        <f t="shared" si="427"/>
        <v>0.63157953268704881</v>
      </c>
      <c r="FD115" s="5">
        <f t="shared" si="428"/>
        <v>4.55</v>
      </c>
      <c r="FE115" s="150">
        <f t="shared" si="429"/>
        <v>0.87811061690690173</v>
      </c>
      <c r="FF115" s="5">
        <f t="shared" si="430"/>
        <v>87.811061690690167</v>
      </c>
      <c r="FG115">
        <f t="shared" si="431"/>
        <v>5</v>
      </c>
      <c r="FI115" s="59">
        <f t="shared" si="432"/>
        <v>-50</v>
      </c>
      <c r="FJ115">
        <f t="shared" si="433"/>
        <v>-50</v>
      </c>
    </row>
    <row r="116" spans="5:166">
      <c r="E116" s="147">
        <v>6</v>
      </c>
      <c r="F116" s="188">
        <f t="shared" si="434"/>
        <v>0.03</v>
      </c>
      <c r="G116" s="188">
        <f t="shared" si="313"/>
        <v>0.03</v>
      </c>
      <c r="H116" s="188">
        <f t="shared" si="314"/>
        <v>5.0999999999999996</v>
      </c>
      <c r="I116" s="188">
        <f t="shared" si="315"/>
        <v>0.36</v>
      </c>
      <c r="J116" s="465">
        <f t="shared" si="316"/>
        <v>8.9599936602740051</v>
      </c>
      <c r="K116" s="379">
        <f t="shared" si="317"/>
        <v>8.6489071312417067</v>
      </c>
      <c r="L116" s="149">
        <f t="shared" si="318"/>
        <v>17.608900791515712</v>
      </c>
      <c r="M116" s="379"/>
      <c r="N116" s="188">
        <f t="shared" si="319"/>
        <v>0.49116678171126432</v>
      </c>
      <c r="O116" s="149">
        <f t="shared" si="320"/>
        <v>137.02284112562629</v>
      </c>
      <c r="P116" s="149">
        <f t="shared" si="321"/>
        <v>9.6722005500442094</v>
      </c>
      <c r="Q116" s="188">
        <f t="shared" si="322"/>
        <v>0.80601671250368401</v>
      </c>
      <c r="R116" s="188">
        <f t="shared" si="323"/>
        <v>11.41857009380219</v>
      </c>
      <c r="S116" s="188">
        <f t="shared" si="324"/>
        <v>170</v>
      </c>
      <c r="T116" s="188">
        <f t="shared" si="325"/>
        <v>2.4813381273292876</v>
      </c>
      <c r="U116" s="188">
        <f t="shared" si="326"/>
        <v>0.41540288220249799</v>
      </c>
      <c r="V116" s="188">
        <f t="shared" si="327"/>
        <v>0.43034421973953718</v>
      </c>
      <c r="W116" s="172">
        <f t="shared" si="328"/>
        <v>220.04256251350569</v>
      </c>
      <c r="X116" s="379">
        <f t="shared" si="435"/>
        <v>350</v>
      </c>
      <c r="Z116" s="188">
        <f t="shared" si="329"/>
        <v>13.333333333333334</v>
      </c>
      <c r="AA116" s="150">
        <f t="shared" si="330"/>
        <v>2.3124308882628322</v>
      </c>
      <c r="AB116" s="150">
        <f t="shared" si="331"/>
        <v>0.15842792510821443</v>
      </c>
      <c r="AC116" s="150"/>
      <c r="AD116" s="150">
        <f t="shared" si="332"/>
        <v>2.3124308882628322</v>
      </c>
      <c r="AE116" s="314">
        <f t="shared" si="333"/>
        <v>41.66738200286445</v>
      </c>
      <c r="AF116" s="456">
        <f t="shared" si="334"/>
        <v>0.15842792510821441</v>
      </c>
      <c r="AH116" s="150">
        <f t="shared" si="335"/>
        <v>4.5607017003965522</v>
      </c>
      <c r="AI116" s="150">
        <f t="shared" si="336"/>
        <v>13.333333333333334</v>
      </c>
      <c r="AJ116" s="150">
        <f t="shared" si="337"/>
        <v>1.0238099325730654</v>
      </c>
      <c r="AL116" s="314">
        <f t="shared" si="338"/>
        <v>30</v>
      </c>
      <c r="AM116" s="144">
        <f t="shared" si="339"/>
        <v>41.66738200286445</v>
      </c>
      <c r="AO116" s="144">
        <f t="shared" si="340"/>
        <v>30</v>
      </c>
      <c r="AP116" s="144">
        <f t="shared" si="341"/>
        <v>41.66738200286445</v>
      </c>
      <c r="AR116" s="5">
        <f t="shared" si="275"/>
        <v>23.999587973423779</v>
      </c>
      <c r="AS116" s="5">
        <f t="shared" si="440"/>
        <v>2.2321444365160836</v>
      </c>
      <c r="AT116" s="5">
        <f t="shared" si="441"/>
        <v>21.767443536907695</v>
      </c>
      <c r="AU116" s="150">
        <f t="shared" si="442"/>
        <v>9.3007614921884266E-2</v>
      </c>
      <c r="AW116" s="5">
        <f t="shared" si="342"/>
        <v>3.939078417381324E-2</v>
      </c>
      <c r="AX116" s="5">
        <f t="shared" si="343"/>
        <v>0.55803610912902091</v>
      </c>
      <c r="AY116" s="5">
        <f t="shared" si="344"/>
        <v>20.649933144936757</v>
      </c>
      <c r="AZ116" s="5"/>
      <c r="BA116" s="150">
        <f t="shared" si="345"/>
        <v>2.347671690365007</v>
      </c>
      <c r="BB116" s="150">
        <f t="shared" si="346"/>
        <v>0.34239504206080285</v>
      </c>
      <c r="BC116" s="150">
        <f t="shared" si="347"/>
        <v>0.3257158718133556</v>
      </c>
      <c r="BD116" s="150"/>
      <c r="BE116" s="456">
        <f t="shared" si="348"/>
        <v>1.8739312043520383E-2</v>
      </c>
      <c r="BF116" s="456">
        <f t="shared" si="349"/>
        <v>0.23430023016718035</v>
      </c>
      <c r="BG116" s="456">
        <f t="shared" si="350"/>
        <v>1.7098948119233334E-2</v>
      </c>
      <c r="BH116" s="456">
        <f t="shared" si="351"/>
        <v>8.850163193998669E-3</v>
      </c>
      <c r="BI116">
        <f t="shared" si="352"/>
        <v>4.0319971471233021E-3</v>
      </c>
      <c r="BJ116" s="144">
        <f t="shared" si="436"/>
        <v>21.130945266356637</v>
      </c>
      <c r="BK116">
        <f t="shared" si="353"/>
        <v>0.26814321674850439</v>
      </c>
      <c r="BL116" s="144">
        <f t="shared" si="437"/>
        <v>283.0206506710561</v>
      </c>
      <c r="BM116" s="150">
        <f t="shared" si="354"/>
        <v>6.6562499999999997E-2</v>
      </c>
      <c r="BN116" s="150">
        <f t="shared" si="355"/>
        <v>6.6562499999999997E-2</v>
      </c>
      <c r="BO116" s="456"/>
      <c r="BQ116" s="144">
        <f t="shared" si="356"/>
        <v>133.125</v>
      </c>
      <c r="BR116" s="456">
        <f t="shared" si="357"/>
        <v>8.2673435486119336E-3</v>
      </c>
      <c r="BS116" s="456">
        <f t="shared" si="358"/>
        <v>2.3446872965563789E-2</v>
      </c>
      <c r="BT116" s="456">
        <f t="shared" si="359"/>
        <v>3.1827248745340286E-3</v>
      </c>
      <c r="BU116" s="456">
        <f t="shared" si="360"/>
        <v>0.36375366806682247</v>
      </c>
      <c r="BV116" s="456"/>
      <c r="BW116" s="538">
        <f t="shared" si="361"/>
        <v>7.407534578287015E-3</v>
      </c>
      <c r="BX116" s="144">
        <f t="shared" si="362"/>
        <v>406.05814403381925</v>
      </c>
      <c r="BY116" s="150">
        <f t="shared" si="363"/>
        <v>0.82220379470487526</v>
      </c>
      <c r="BZ116" s="5">
        <f t="shared" si="364"/>
        <v>5.46</v>
      </c>
      <c r="CA116" s="150">
        <f t="shared" si="365"/>
        <v>0.86912175701815153</v>
      </c>
      <c r="CB116" s="5">
        <f t="shared" si="366"/>
        <v>86.912175701815158</v>
      </c>
      <c r="CC116">
        <f t="shared" si="367"/>
        <v>6</v>
      </c>
      <c r="CE116" s="59">
        <f t="shared" si="368"/>
        <v>-50</v>
      </c>
      <c r="CF116">
        <f t="shared" si="369"/>
        <v>-50</v>
      </c>
      <c r="CG116" s="150">
        <f t="shared" si="370"/>
        <v>9.361200171168281E-2</v>
      </c>
      <c r="CH116" s="150">
        <f t="shared" si="371"/>
        <v>2.5366711980986861E-2</v>
      </c>
      <c r="CI116" s="147">
        <v>6</v>
      </c>
      <c r="CJ116" s="188">
        <f t="shared" si="438"/>
        <v>0.03</v>
      </c>
      <c r="CK116" s="188">
        <f t="shared" si="372"/>
        <v>0.03</v>
      </c>
      <c r="CL116" s="188">
        <f t="shared" si="373"/>
        <v>5.0999999999999996</v>
      </c>
      <c r="CM116" s="188">
        <f t="shared" si="374"/>
        <v>0.36</v>
      </c>
      <c r="CN116" s="465">
        <f t="shared" si="375"/>
        <v>9</v>
      </c>
      <c r="CO116" s="379">
        <f t="shared" si="376"/>
        <v>8.625</v>
      </c>
      <c r="CP116" s="379">
        <f t="shared" si="377"/>
        <v>17.625</v>
      </c>
      <c r="CQ116" s="379"/>
      <c r="CR116" s="188">
        <f t="shared" si="378"/>
        <v>0.48674080410607357</v>
      </c>
      <c r="CS116" s="149">
        <f t="shared" si="379"/>
        <v>136.39440115060304</v>
      </c>
      <c r="CT116" s="149">
        <f t="shared" si="380"/>
        <v>9.6278400812190377</v>
      </c>
      <c r="CU116" s="188">
        <f t="shared" si="381"/>
        <v>0.80232000676825321</v>
      </c>
      <c r="CV116" s="188">
        <f t="shared" si="382"/>
        <v>11.366200095883586</v>
      </c>
      <c r="CW116" s="188">
        <f t="shared" si="383"/>
        <v>170</v>
      </c>
      <c r="CX116" s="188">
        <f t="shared" si="384"/>
        <v>2.4927709431751612</v>
      </c>
      <c r="CY116" s="188">
        <f t="shared" si="385"/>
        <v>0.41546182386252684</v>
      </c>
      <c r="CZ116" s="188">
        <f t="shared" si="386"/>
        <v>0.43352538142176716</v>
      </c>
      <c r="DA116" s="172">
        <f t="shared" si="387"/>
        <v>220.21276595744678</v>
      </c>
      <c r="DB116" s="379">
        <f t="shared" si="388"/>
        <v>350</v>
      </c>
      <c r="DD116" s="188">
        <f t="shared" si="389"/>
        <v>13.333333333333336</v>
      </c>
      <c r="DE116" s="150">
        <f t="shared" si="390"/>
        <v>2.3188405797101459</v>
      </c>
      <c r="DF116" s="150">
        <f t="shared" si="391"/>
        <v>0.15898994622398885</v>
      </c>
      <c r="DG116" s="150"/>
      <c r="DH116" s="150">
        <f t="shared" si="392"/>
        <v>2.3188405797101455</v>
      </c>
      <c r="DI116" s="314">
        <f t="shared" si="393"/>
        <v>41.552205882352922</v>
      </c>
      <c r="DJ116" s="456">
        <f t="shared" si="394"/>
        <v>0.15898994622398879</v>
      </c>
      <c r="DL116" s="150">
        <f t="shared" si="395"/>
        <v>4.5607017003965522</v>
      </c>
      <c r="DM116" s="150">
        <f t="shared" si="396"/>
        <v>13.333333333333334</v>
      </c>
      <c r="DN116" s="150">
        <f t="shared" si="397"/>
        <v>1.0237441176470587</v>
      </c>
      <c r="DP116" s="314">
        <f t="shared" si="398"/>
        <v>30</v>
      </c>
      <c r="DQ116" s="144">
        <f t="shared" si="399"/>
        <v>41.552205882352922</v>
      </c>
      <c r="DS116" s="144">
        <f t="shared" si="400"/>
        <v>30</v>
      </c>
      <c r="DT116" s="144">
        <f t="shared" si="401"/>
        <v>41.552205882352922</v>
      </c>
      <c r="DV116" s="5">
        <f t="shared" si="402"/>
        <v>24.066111022632771</v>
      </c>
      <c r="DW116" s="5">
        <f t="shared" si="403"/>
        <v>2.2222222222222223</v>
      </c>
      <c r="DX116" s="5">
        <f t="shared" si="404"/>
        <v>21.84388880041055</v>
      </c>
      <c r="DY116" s="150">
        <f t="shared" si="405"/>
        <v>9.233823529411761E-2</v>
      </c>
      <c r="EA116" s="5">
        <f t="shared" si="406"/>
        <v>3.9215686274509803E-2</v>
      </c>
      <c r="EB116" s="5">
        <f t="shared" si="407"/>
        <v>0.55555555555555558</v>
      </c>
      <c r="EC116" s="5">
        <f t="shared" si="408"/>
        <v>20.630339422609961</v>
      </c>
      <c r="ED116" s="5"/>
      <c r="EE116" s="150">
        <f t="shared" si="409"/>
        <v>2.3392082901778117</v>
      </c>
      <c r="EF116" s="150">
        <f t="shared" si="410"/>
        <v>0.34252136616119333</v>
      </c>
      <c r="EG116" s="150">
        <f t="shared" si="411"/>
        <v>0.32583604225812046</v>
      </c>
      <c r="EH116" s="150"/>
      <c r="EI116" s="456">
        <f t="shared" si="412"/>
        <v>1.8604444444444444E-2</v>
      </c>
      <c r="EJ116" s="456">
        <f t="shared" si="413"/>
        <v>0.2968489588235293</v>
      </c>
      <c r="EK116" s="456">
        <f t="shared" si="414"/>
        <v>9.515455147058819E-3</v>
      </c>
      <c r="EL116" s="456">
        <f t="shared" si="415"/>
        <v>8.8418451957146104E-3</v>
      </c>
      <c r="EM116">
        <f t="shared" si="416"/>
        <v>4.0499999999999998E-3</v>
      </c>
      <c r="EN116" s="144">
        <f t="shared" si="417"/>
        <v>13.565455147058818</v>
      </c>
      <c r="EP116" s="144">
        <f t="shared" si="439"/>
        <v>337.86070361074718</v>
      </c>
      <c r="EQ116" s="150">
        <f t="shared" si="418"/>
        <v>7.4999999999999997E-2</v>
      </c>
      <c r="ER116" s="150">
        <f t="shared" si="419"/>
        <v>2.1299999999999999E-2</v>
      </c>
      <c r="ES116" s="456"/>
      <c r="EU116" s="144">
        <f t="shared" si="420"/>
        <v>96.3</v>
      </c>
      <c r="EV116" s="456">
        <f t="shared" si="421"/>
        <v>8.207843137254903E-3</v>
      </c>
      <c r="EW116" s="456">
        <f t="shared" si="422"/>
        <v>2.3464177255386055E-2</v>
      </c>
      <c r="EX116" s="456">
        <f t="shared" si="423"/>
        <v>3.1850737930330694E-3</v>
      </c>
      <c r="EY116" s="456">
        <f t="shared" si="424"/>
        <v>0.36124517588250604</v>
      </c>
      <c r="EZ116" s="456"/>
      <c r="FA116" s="538">
        <f t="shared" si="425"/>
        <v>7.3870588235294098E-3</v>
      </c>
      <c r="FB116" s="144">
        <f t="shared" si="426"/>
        <v>403.48932889170948</v>
      </c>
      <c r="FC116" s="150">
        <f t="shared" si="427"/>
        <v>0.83765003250245673</v>
      </c>
      <c r="FD116" s="5">
        <f t="shared" si="428"/>
        <v>5.46</v>
      </c>
      <c r="FE116" s="150">
        <f t="shared" si="429"/>
        <v>0.86699006324909977</v>
      </c>
      <c r="FF116" s="5">
        <f t="shared" si="430"/>
        <v>86.699006324909973</v>
      </c>
      <c r="FG116">
        <f t="shared" si="431"/>
        <v>6</v>
      </c>
      <c r="FI116" s="59">
        <f t="shared" si="432"/>
        <v>-50</v>
      </c>
      <c r="FJ116">
        <f t="shared" si="433"/>
        <v>-50</v>
      </c>
    </row>
    <row r="117" spans="5:166">
      <c r="E117" s="147">
        <v>7</v>
      </c>
      <c r="F117" s="188">
        <f t="shared" si="434"/>
        <v>3.5000000000000003E-2</v>
      </c>
      <c r="G117" s="188">
        <f t="shared" si="313"/>
        <v>3.5000000000000003E-2</v>
      </c>
      <c r="H117" s="188">
        <f t="shared" si="314"/>
        <v>5.95</v>
      </c>
      <c r="I117" s="188">
        <f t="shared" si="315"/>
        <v>0.42000000000000004</v>
      </c>
      <c r="J117" s="465">
        <f t="shared" si="316"/>
        <v>8.9599936602740051</v>
      </c>
      <c r="K117" s="379">
        <f t="shared" si="317"/>
        <v>8.6489071312417067</v>
      </c>
      <c r="L117" s="149">
        <f t="shared" si="318"/>
        <v>17.608900791515712</v>
      </c>
      <c r="M117" s="379"/>
      <c r="N117" s="188">
        <f t="shared" si="319"/>
        <v>0.49116678171126432</v>
      </c>
      <c r="O117" s="149">
        <f t="shared" si="320"/>
        <v>137.02284112562629</v>
      </c>
      <c r="P117" s="149">
        <f t="shared" si="321"/>
        <v>9.6722005500442094</v>
      </c>
      <c r="Q117" s="188">
        <f t="shared" si="322"/>
        <v>0.80601671250368401</v>
      </c>
      <c r="R117" s="188">
        <f t="shared" si="323"/>
        <v>11.41857009380219</v>
      </c>
      <c r="S117" s="188">
        <f t="shared" si="324"/>
        <v>170</v>
      </c>
      <c r="T117" s="188">
        <f t="shared" si="325"/>
        <v>2.8948944818841693</v>
      </c>
      <c r="U117" s="188">
        <f t="shared" si="326"/>
        <v>0.48463669590291436</v>
      </c>
      <c r="V117" s="188">
        <f t="shared" si="327"/>
        <v>0.50206825636279351</v>
      </c>
      <c r="W117" s="172">
        <f t="shared" si="328"/>
        <v>220.04256251350569</v>
      </c>
      <c r="X117" s="379">
        <f t="shared" si="435"/>
        <v>350</v>
      </c>
      <c r="Z117" s="188">
        <f t="shared" si="329"/>
        <v>13.333333333333334</v>
      </c>
      <c r="AA117" s="150">
        <f t="shared" si="330"/>
        <v>2.3124308882628322</v>
      </c>
      <c r="AB117" s="150">
        <f t="shared" si="331"/>
        <v>0.15842792510821443</v>
      </c>
      <c r="AC117" s="150"/>
      <c r="AD117" s="150">
        <f t="shared" si="332"/>
        <v>2.3124308882628322</v>
      </c>
      <c r="AE117" s="314">
        <f t="shared" si="333"/>
        <v>48.611945670008538</v>
      </c>
      <c r="AF117" s="456">
        <f t="shared" si="334"/>
        <v>0.15842792510821441</v>
      </c>
      <c r="AH117" s="150">
        <f t="shared" si="335"/>
        <v>4.9261208538429777</v>
      </c>
      <c r="AI117" s="150">
        <f t="shared" si="336"/>
        <v>13.333333333333334</v>
      </c>
      <c r="AJ117" s="150">
        <f t="shared" si="337"/>
        <v>1.0277782546685763</v>
      </c>
      <c r="AL117" s="314">
        <f t="shared" si="338"/>
        <v>35</v>
      </c>
      <c r="AM117" s="144">
        <f t="shared" si="339"/>
        <v>48.611945670008538</v>
      </c>
      <c r="AO117" s="144">
        <f t="shared" si="340"/>
        <v>35</v>
      </c>
      <c r="AP117" s="144">
        <f t="shared" si="341"/>
        <v>48.611945670008538</v>
      </c>
      <c r="AR117" s="5">
        <f t="shared" si="275"/>
        <v>20.571075405791802</v>
      </c>
      <c r="AS117" s="5">
        <f t="shared" si="440"/>
        <v>2.2321444365160836</v>
      </c>
      <c r="AT117" s="5">
        <f t="shared" si="441"/>
        <v>18.338930969275719</v>
      </c>
      <c r="AU117" s="150">
        <f t="shared" si="442"/>
        <v>0.10850888407553169</v>
      </c>
      <c r="AW117" s="5">
        <f t="shared" si="342"/>
        <v>4.5955914869448784E-2</v>
      </c>
      <c r="AX117" s="5">
        <f t="shared" si="343"/>
        <v>0.65104212731719113</v>
      </c>
      <c r="AY117" s="5">
        <f t="shared" si="344"/>
        <v>20.297008272632645</v>
      </c>
      <c r="AZ117" s="5"/>
      <c r="BA117" s="150">
        <f t="shared" si="345"/>
        <v>2.5357752450414135</v>
      </c>
      <c r="BB117" s="150">
        <f t="shared" si="346"/>
        <v>0.33945652165938112</v>
      </c>
      <c r="BC117" s="150">
        <f t="shared" si="347"/>
        <v>0.32292049624766489</v>
      </c>
      <c r="BD117" s="150"/>
      <c r="BE117" s="456">
        <f t="shared" si="348"/>
        <v>2.1862530717440456E-2</v>
      </c>
      <c r="BF117" s="456">
        <f t="shared" si="349"/>
        <v>0.27335026852837713</v>
      </c>
      <c r="BG117" s="456">
        <f t="shared" si="350"/>
        <v>1.994877280577223E-2</v>
      </c>
      <c r="BH117" s="456">
        <f t="shared" si="351"/>
        <v>1.0325190392998451E-2</v>
      </c>
      <c r="BI117">
        <f t="shared" si="352"/>
        <v>4.0319971471233021E-3</v>
      </c>
      <c r="BJ117" s="144">
        <f t="shared" si="436"/>
        <v>23.980769952895532</v>
      </c>
      <c r="BK117">
        <f t="shared" si="353"/>
        <v>0.31306711172128354</v>
      </c>
      <c r="BL117" s="144">
        <f t="shared" si="437"/>
        <v>329.51875959171156</v>
      </c>
      <c r="BM117" s="150">
        <f t="shared" si="354"/>
        <v>7.765625000000001E-2</v>
      </c>
      <c r="BN117" s="150">
        <f t="shared" si="355"/>
        <v>7.765625000000001E-2</v>
      </c>
      <c r="BO117" s="456"/>
      <c r="BQ117" s="144">
        <f t="shared" si="356"/>
        <v>155.31250000000003</v>
      </c>
      <c r="BR117" s="456">
        <f t="shared" si="357"/>
        <v>9.645234140047261E-3</v>
      </c>
      <c r="BS117" s="456">
        <f t="shared" si="358"/>
        <v>2.304614601941718E-2</v>
      </c>
      <c r="BT117" s="456">
        <f t="shared" si="359"/>
        <v>3.1283294069051446E-3</v>
      </c>
      <c r="BU117" s="456">
        <f t="shared" si="360"/>
        <v>0.53477901315256604</v>
      </c>
      <c r="BV117" s="456"/>
      <c r="BW117" s="538">
        <f t="shared" si="361"/>
        <v>8.6421236746681857E-3</v>
      </c>
      <c r="BX117" s="144">
        <f t="shared" si="362"/>
        <v>579.24084639360387</v>
      </c>
      <c r="BY117" s="150">
        <f t="shared" si="363"/>
        <v>1.0640721059853153</v>
      </c>
      <c r="BZ117" s="5">
        <f t="shared" si="364"/>
        <v>6.37</v>
      </c>
      <c r="CA117" s="150">
        <f t="shared" si="365"/>
        <v>0.85686551181974546</v>
      </c>
      <c r="CB117" s="5">
        <f t="shared" si="366"/>
        <v>85.686551181974551</v>
      </c>
      <c r="CC117">
        <f t="shared" si="367"/>
        <v>7.0000000000000009</v>
      </c>
      <c r="CE117" s="59">
        <f t="shared" si="368"/>
        <v>-50</v>
      </c>
      <c r="CF117">
        <f t="shared" si="369"/>
        <v>-50</v>
      </c>
      <c r="CG117" s="150">
        <f t="shared" si="370"/>
        <v>0.10921400199696328</v>
      </c>
      <c r="CH117" s="150">
        <f t="shared" si="371"/>
        <v>2.9594497311151342E-2</v>
      </c>
      <c r="CI117" s="147">
        <v>7</v>
      </c>
      <c r="CJ117" s="188">
        <f t="shared" si="438"/>
        <v>3.5000000000000003E-2</v>
      </c>
      <c r="CK117" s="188">
        <f t="shared" si="372"/>
        <v>3.5000000000000003E-2</v>
      </c>
      <c r="CL117" s="188">
        <f t="shared" si="373"/>
        <v>5.95</v>
      </c>
      <c r="CM117" s="188">
        <f t="shared" si="374"/>
        <v>0.42000000000000004</v>
      </c>
      <c r="CN117" s="465">
        <f t="shared" si="375"/>
        <v>9</v>
      </c>
      <c r="CO117" s="379">
        <f t="shared" si="376"/>
        <v>8.625</v>
      </c>
      <c r="CP117" s="379">
        <f t="shared" si="377"/>
        <v>17.625</v>
      </c>
      <c r="CQ117" s="379"/>
      <c r="CR117" s="188">
        <f t="shared" si="378"/>
        <v>0.48674080410607357</v>
      </c>
      <c r="CS117" s="149">
        <f t="shared" si="379"/>
        <v>136.39440115060304</v>
      </c>
      <c r="CT117" s="149">
        <f t="shared" si="380"/>
        <v>9.6278400812190377</v>
      </c>
      <c r="CU117" s="188">
        <f t="shared" si="381"/>
        <v>0.80232000676825321</v>
      </c>
      <c r="CV117" s="188">
        <f t="shared" si="382"/>
        <v>11.366200095883586</v>
      </c>
      <c r="CW117" s="188">
        <f t="shared" si="383"/>
        <v>170</v>
      </c>
      <c r="CX117" s="188">
        <f t="shared" si="384"/>
        <v>2.908232767037688</v>
      </c>
      <c r="CY117" s="188">
        <f t="shared" si="385"/>
        <v>0.48470546117294805</v>
      </c>
      <c r="CZ117" s="188">
        <f t="shared" si="386"/>
        <v>0.50577961165872831</v>
      </c>
      <c r="DA117" s="172">
        <f t="shared" si="387"/>
        <v>220.21276595744678</v>
      </c>
      <c r="DB117" s="379">
        <f t="shared" si="388"/>
        <v>350</v>
      </c>
      <c r="DD117" s="188">
        <f t="shared" si="389"/>
        <v>13.333333333333336</v>
      </c>
      <c r="DE117" s="150">
        <f t="shared" si="390"/>
        <v>2.3188405797101459</v>
      </c>
      <c r="DF117" s="150">
        <f t="shared" si="391"/>
        <v>0.15898994622398885</v>
      </c>
      <c r="DG117" s="150"/>
      <c r="DH117" s="150">
        <f t="shared" si="392"/>
        <v>2.3188405797101455</v>
      </c>
      <c r="DI117" s="314">
        <f t="shared" si="393"/>
        <v>48.477573529411757</v>
      </c>
      <c r="DJ117" s="456">
        <f t="shared" si="394"/>
        <v>0.15898994622398879</v>
      </c>
      <c r="DL117" s="150">
        <f t="shared" si="395"/>
        <v>4.9261208538429777</v>
      </c>
      <c r="DM117" s="150">
        <f t="shared" si="396"/>
        <v>13.333333333333334</v>
      </c>
      <c r="DN117" s="150">
        <f t="shared" si="397"/>
        <v>1.0277014705882352</v>
      </c>
      <c r="DP117" s="314">
        <f t="shared" si="398"/>
        <v>35</v>
      </c>
      <c r="DQ117" s="144">
        <f t="shared" si="399"/>
        <v>48.477573529411757</v>
      </c>
      <c r="DS117" s="144">
        <f t="shared" si="400"/>
        <v>35</v>
      </c>
      <c r="DT117" s="144">
        <f t="shared" si="401"/>
        <v>48.477573529411757</v>
      </c>
      <c r="DV117" s="5">
        <f t="shared" si="402"/>
        <v>20.628095162256656</v>
      </c>
      <c r="DW117" s="5">
        <f t="shared" si="403"/>
        <v>2.2222222222222223</v>
      </c>
      <c r="DX117" s="5">
        <f t="shared" si="404"/>
        <v>18.405872940034435</v>
      </c>
      <c r="DY117" s="150">
        <f t="shared" si="405"/>
        <v>0.10772794117647058</v>
      </c>
      <c r="EA117" s="5">
        <f t="shared" si="406"/>
        <v>4.5751633986928109E-2</v>
      </c>
      <c r="EB117" s="5">
        <f t="shared" si="407"/>
        <v>0.64814814814814825</v>
      </c>
      <c r="EC117" s="5">
        <f t="shared" si="408"/>
        <v>20.280545183926829</v>
      </c>
      <c r="ED117" s="5"/>
      <c r="EE117" s="150">
        <f t="shared" si="409"/>
        <v>2.5266337280347346</v>
      </c>
      <c r="EF117" s="150">
        <f t="shared" si="410"/>
        <v>0.33960517043725319</v>
      </c>
      <c r="EG117" s="150">
        <f t="shared" si="411"/>
        <v>0.32306190386264433</v>
      </c>
      <c r="EH117" s="150"/>
      <c r="EI117" s="456">
        <f t="shared" si="412"/>
        <v>2.1705185185185185E-2</v>
      </c>
      <c r="EJ117" s="456">
        <f t="shared" si="413"/>
        <v>0.34632378529411761</v>
      </c>
      <c r="EK117" s="456">
        <f t="shared" si="414"/>
        <v>1.1101364338235293E-2</v>
      </c>
      <c r="EL117" s="456">
        <f t="shared" si="415"/>
        <v>1.0315486061667049E-2</v>
      </c>
      <c r="EM117">
        <f t="shared" si="416"/>
        <v>4.0499999999999998E-3</v>
      </c>
      <c r="EN117" s="144">
        <f t="shared" si="417"/>
        <v>15.151364338235293</v>
      </c>
      <c r="EP117" s="144">
        <f t="shared" si="439"/>
        <v>393.4958208792051</v>
      </c>
      <c r="EQ117" s="150">
        <f t="shared" si="418"/>
        <v>8.7500000000000008E-2</v>
      </c>
      <c r="ER117" s="150">
        <f t="shared" si="419"/>
        <v>2.4850000000000004E-2</v>
      </c>
      <c r="ES117" s="456"/>
      <c r="EU117" s="144">
        <f t="shared" si="420"/>
        <v>112.35000000000001</v>
      </c>
      <c r="EV117" s="456">
        <f t="shared" si="421"/>
        <v>9.5758169934640532E-3</v>
      </c>
      <c r="EW117" s="456">
        <f t="shared" si="422"/>
        <v>2.3066334357543159E-2</v>
      </c>
      <c r="EX117" s="456">
        <f t="shared" si="423"/>
        <v>3.1310698118206933E-3</v>
      </c>
      <c r="EY117" s="456">
        <f t="shared" si="424"/>
        <v>0.53109110814267468</v>
      </c>
      <c r="EZ117" s="456"/>
      <c r="FA117" s="538">
        <f t="shared" si="425"/>
        <v>8.6182352941176488E-3</v>
      </c>
      <c r="FB117" s="144">
        <f t="shared" si="426"/>
        <v>575.48256459962022</v>
      </c>
      <c r="FC117" s="150">
        <f t="shared" si="427"/>
        <v>1.0813283854788254</v>
      </c>
      <c r="FD117" s="5">
        <f t="shared" si="428"/>
        <v>6.37</v>
      </c>
      <c r="FE117" s="150">
        <f t="shared" si="429"/>
        <v>0.85488112594982091</v>
      </c>
      <c r="FF117" s="5">
        <f t="shared" si="430"/>
        <v>85.488112594982084</v>
      </c>
      <c r="FG117">
        <f t="shared" si="431"/>
        <v>7.0000000000000009</v>
      </c>
      <c r="FI117" s="59">
        <f t="shared" si="432"/>
        <v>-50</v>
      </c>
      <c r="FJ117">
        <f t="shared" si="433"/>
        <v>-50</v>
      </c>
    </row>
    <row r="118" spans="5:166">
      <c r="E118" s="147">
        <v>8</v>
      </c>
      <c r="F118" s="188">
        <f t="shared" si="434"/>
        <v>0.04</v>
      </c>
      <c r="G118" s="188">
        <f t="shared" si="313"/>
        <v>0.04</v>
      </c>
      <c r="H118" s="188">
        <f t="shared" si="314"/>
        <v>6.8</v>
      </c>
      <c r="I118" s="188">
        <f t="shared" si="315"/>
        <v>0.48</v>
      </c>
      <c r="J118" s="465">
        <f t="shared" si="316"/>
        <v>8.9599936602740051</v>
      </c>
      <c r="K118" s="379">
        <f t="shared" si="317"/>
        <v>8.6489071312417067</v>
      </c>
      <c r="L118" s="149">
        <f t="shared" si="318"/>
        <v>17.608900791515712</v>
      </c>
      <c r="M118" s="379"/>
      <c r="N118" s="188">
        <f t="shared" si="319"/>
        <v>0.49116678171126432</v>
      </c>
      <c r="O118" s="149">
        <f t="shared" si="320"/>
        <v>137.02284112562629</v>
      </c>
      <c r="P118" s="149">
        <f t="shared" si="321"/>
        <v>9.6722005500442094</v>
      </c>
      <c r="Q118" s="188">
        <f t="shared" si="322"/>
        <v>0.80601671250368401</v>
      </c>
      <c r="R118" s="188">
        <f t="shared" si="323"/>
        <v>11.41857009380219</v>
      </c>
      <c r="S118" s="188">
        <f t="shared" si="324"/>
        <v>170</v>
      </c>
      <c r="T118" s="188">
        <f t="shared" si="325"/>
        <v>3.3084508364390501</v>
      </c>
      <c r="U118" s="188">
        <f t="shared" si="326"/>
        <v>0.55387050960333062</v>
      </c>
      <c r="V118" s="188">
        <f t="shared" si="327"/>
        <v>0.57379229298604961</v>
      </c>
      <c r="W118" s="172">
        <f t="shared" si="328"/>
        <v>220.04256251350569</v>
      </c>
      <c r="X118" s="379">
        <f t="shared" si="435"/>
        <v>350</v>
      </c>
      <c r="Z118" s="188">
        <f t="shared" si="329"/>
        <v>13.333333333333334</v>
      </c>
      <c r="AA118" s="150">
        <f t="shared" si="330"/>
        <v>2.3124308882628322</v>
      </c>
      <c r="AB118" s="150">
        <f t="shared" si="331"/>
        <v>0.15842792510821443</v>
      </c>
      <c r="AC118" s="150"/>
      <c r="AD118" s="150">
        <f t="shared" si="332"/>
        <v>2.3124308882628322</v>
      </c>
      <c r="AE118" s="314">
        <f t="shared" si="333"/>
        <v>55.556509337152605</v>
      </c>
      <c r="AF118" s="456">
        <f t="shared" si="334"/>
        <v>0.15842792510821441</v>
      </c>
      <c r="AH118" s="150">
        <f t="shared" si="335"/>
        <v>5.2662447088350666</v>
      </c>
      <c r="AI118" s="150">
        <f t="shared" si="336"/>
        <v>13.333333333333334</v>
      </c>
      <c r="AJ118" s="150">
        <f t="shared" si="337"/>
        <v>1.0317465767640872</v>
      </c>
      <c r="AL118" s="314">
        <f t="shared" si="338"/>
        <v>40</v>
      </c>
      <c r="AM118" s="144">
        <f t="shared" si="339"/>
        <v>55.556509337152605</v>
      </c>
      <c r="AO118" s="144">
        <f t="shared" si="340"/>
        <v>40</v>
      </c>
      <c r="AP118" s="144">
        <f t="shared" si="341"/>
        <v>55.556509337152605</v>
      </c>
      <c r="AR118" s="5">
        <f t="shared" si="275"/>
        <v>17.999690980067832</v>
      </c>
      <c r="AS118" s="5">
        <f t="shared" si="440"/>
        <v>2.2321444365160836</v>
      </c>
      <c r="AT118" s="5">
        <f t="shared" si="441"/>
        <v>15.767546543551749</v>
      </c>
      <c r="AU118" s="150">
        <f t="shared" si="442"/>
        <v>0.12401015322917903</v>
      </c>
      <c r="AW118" s="5">
        <f t="shared" si="342"/>
        <v>5.2521045565084329E-2</v>
      </c>
      <c r="AX118" s="5">
        <f t="shared" si="343"/>
        <v>0.74404814550536136</v>
      </c>
      <c r="AY118" s="5">
        <f t="shared" si="344"/>
        <v>19.944083400328545</v>
      </c>
      <c r="AZ118" s="5"/>
      <c r="BA118" s="150">
        <f t="shared" si="345"/>
        <v>2.7108577648022014</v>
      </c>
      <c r="BB118" s="150">
        <f t="shared" si="346"/>
        <v>0.33649234072464834</v>
      </c>
      <c r="BC118" s="150">
        <f t="shared" si="347"/>
        <v>0.32010071015626013</v>
      </c>
      <c r="BD118" s="150"/>
      <c r="BE118" s="456">
        <f t="shared" si="348"/>
        <v>2.4985749391360515E-2</v>
      </c>
      <c r="BF118" s="456">
        <f t="shared" si="349"/>
        <v>0.31240030688957382</v>
      </c>
      <c r="BG118" s="456">
        <f t="shared" si="350"/>
        <v>2.2798597492311116E-2</v>
      </c>
      <c r="BH118" s="456">
        <f t="shared" si="351"/>
        <v>1.1800217591998228E-2</v>
      </c>
      <c r="BI118">
        <f t="shared" si="352"/>
        <v>4.0319971471233021E-3</v>
      </c>
      <c r="BJ118" s="144">
        <f t="shared" si="436"/>
        <v>26.830594639434416</v>
      </c>
      <c r="BK118">
        <f t="shared" si="353"/>
        <v>0.35805807883203911</v>
      </c>
      <c r="BL118" s="144">
        <f t="shared" si="437"/>
        <v>376.01686851236701</v>
      </c>
      <c r="BM118" s="150">
        <f t="shared" si="354"/>
        <v>8.8749999999999996E-2</v>
      </c>
      <c r="BN118" s="150">
        <f t="shared" si="355"/>
        <v>8.8749999999999996E-2</v>
      </c>
      <c r="BO118" s="456"/>
      <c r="BQ118" s="144">
        <f t="shared" si="356"/>
        <v>177.5</v>
      </c>
      <c r="BR118" s="456">
        <f t="shared" si="357"/>
        <v>1.1023124731482582E-2</v>
      </c>
      <c r="BS118" s="456">
        <f t="shared" si="358"/>
        <v>2.264541907327057E-2</v>
      </c>
      <c r="BT118" s="456">
        <f t="shared" si="359"/>
        <v>3.0739339392762614E-3</v>
      </c>
      <c r="BU118" s="456">
        <f t="shared" si="360"/>
        <v>0.74671387796299926</v>
      </c>
      <c r="BV118" s="456"/>
      <c r="BW118" s="538">
        <f t="shared" si="361"/>
        <v>9.8767127710493539E-3</v>
      </c>
      <c r="BX118" s="144">
        <f t="shared" si="362"/>
        <v>793.33306847807808</v>
      </c>
      <c r="BY118" s="150">
        <f t="shared" si="363"/>
        <v>1.346849936990445</v>
      </c>
      <c r="BZ118" s="5">
        <f t="shared" si="364"/>
        <v>7.2799999999999994</v>
      </c>
      <c r="CA118" s="150">
        <f t="shared" si="365"/>
        <v>0.84387697168402287</v>
      </c>
      <c r="CB118" s="5">
        <f t="shared" si="366"/>
        <v>84.387697168402283</v>
      </c>
      <c r="CC118">
        <f t="shared" si="367"/>
        <v>8</v>
      </c>
      <c r="CE118" s="59">
        <f t="shared" si="368"/>
        <v>-50</v>
      </c>
      <c r="CF118">
        <f t="shared" si="369"/>
        <v>-50</v>
      </c>
      <c r="CG118" s="150">
        <f t="shared" si="370"/>
        <v>0.12481600228224377</v>
      </c>
      <c r="CH118" s="150">
        <f t="shared" si="371"/>
        <v>3.3822282641315822E-2</v>
      </c>
      <c r="CI118" s="147">
        <v>8</v>
      </c>
      <c r="CJ118" s="188">
        <f t="shared" si="438"/>
        <v>0.04</v>
      </c>
      <c r="CK118" s="188">
        <f t="shared" si="372"/>
        <v>0.04</v>
      </c>
      <c r="CL118" s="188">
        <f t="shared" si="373"/>
        <v>6.8</v>
      </c>
      <c r="CM118" s="188">
        <f t="shared" si="374"/>
        <v>0.48</v>
      </c>
      <c r="CN118" s="465">
        <f t="shared" si="375"/>
        <v>9</v>
      </c>
      <c r="CO118" s="379">
        <f t="shared" si="376"/>
        <v>8.625</v>
      </c>
      <c r="CP118" s="379">
        <f t="shared" si="377"/>
        <v>17.625</v>
      </c>
      <c r="CQ118" s="379"/>
      <c r="CR118" s="188">
        <f t="shared" si="378"/>
        <v>0.48674080410607357</v>
      </c>
      <c r="CS118" s="149">
        <f t="shared" si="379"/>
        <v>136.39440115060304</v>
      </c>
      <c r="CT118" s="149">
        <f t="shared" si="380"/>
        <v>9.6278400812190377</v>
      </c>
      <c r="CU118" s="188">
        <f t="shared" si="381"/>
        <v>0.80232000676825321</v>
      </c>
      <c r="CV118" s="188">
        <f t="shared" si="382"/>
        <v>11.366200095883586</v>
      </c>
      <c r="CW118" s="188">
        <f t="shared" si="383"/>
        <v>170</v>
      </c>
      <c r="CX118" s="188">
        <f t="shared" si="384"/>
        <v>3.3236945909002147</v>
      </c>
      <c r="CY118" s="188">
        <f t="shared" si="385"/>
        <v>0.55394909848336915</v>
      </c>
      <c r="CZ118" s="188">
        <f t="shared" si="386"/>
        <v>0.57803384189568952</v>
      </c>
      <c r="DA118" s="172">
        <f t="shared" si="387"/>
        <v>220.21276595744678</v>
      </c>
      <c r="DB118" s="379">
        <f t="shared" si="388"/>
        <v>350</v>
      </c>
      <c r="DD118" s="188">
        <f t="shared" si="389"/>
        <v>13.333333333333336</v>
      </c>
      <c r="DE118" s="150">
        <f t="shared" si="390"/>
        <v>2.3188405797101459</v>
      </c>
      <c r="DF118" s="150">
        <f t="shared" si="391"/>
        <v>0.15898994622398885</v>
      </c>
      <c r="DG118" s="150"/>
      <c r="DH118" s="150">
        <f t="shared" si="392"/>
        <v>2.3188405797101455</v>
      </c>
      <c r="DI118" s="314">
        <f t="shared" si="393"/>
        <v>55.402941176470577</v>
      </c>
      <c r="DJ118" s="456">
        <f t="shared" si="394"/>
        <v>0.15898994622398879</v>
      </c>
      <c r="DL118" s="150">
        <f t="shared" si="395"/>
        <v>5.2662447088350666</v>
      </c>
      <c r="DM118" s="150">
        <f t="shared" si="396"/>
        <v>13.333333333333334</v>
      </c>
      <c r="DN118" s="150">
        <f t="shared" si="397"/>
        <v>1.0316588235294117</v>
      </c>
      <c r="DP118" s="314">
        <f t="shared" si="398"/>
        <v>40</v>
      </c>
      <c r="DQ118" s="144">
        <f t="shared" si="399"/>
        <v>55.402941176470577</v>
      </c>
      <c r="DS118" s="144">
        <f t="shared" si="400"/>
        <v>40</v>
      </c>
      <c r="DT118" s="144">
        <f t="shared" si="401"/>
        <v>55.402941176470577</v>
      </c>
      <c r="DV118" s="5">
        <f t="shared" si="402"/>
        <v>18.049583266974576</v>
      </c>
      <c r="DW118" s="5">
        <f t="shared" si="403"/>
        <v>2.2222222222222223</v>
      </c>
      <c r="DX118" s="5">
        <f t="shared" si="404"/>
        <v>15.827361044752355</v>
      </c>
      <c r="DY118" s="150">
        <f t="shared" si="405"/>
        <v>0.1231176470588235</v>
      </c>
      <c r="EA118" s="5">
        <f t="shared" si="406"/>
        <v>5.2287581699346407E-2</v>
      </c>
      <c r="EB118" s="5">
        <f t="shared" si="407"/>
        <v>0.74074074074074081</v>
      </c>
      <c r="EC118" s="5">
        <f t="shared" si="408"/>
        <v>19.930750945243702</v>
      </c>
      <c r="ED118" s="5"/>
      <c r="EE118" s="150">
        <f t="shared" si="409"/>
        <v>2.7010850720495272</v>
      </c>
      <c r="EF118" s="150">
        <f t="shared" si="410"/>
        <v>0.33666371544688523</v>
      </c>
      <c r="EG118" s="150">
        <f t="shared" si="411"/>
        <v>0.32026373666132918</v>
      </c>
      <c r="EH118" s="150"/>
      <c r="EI118" s="456">
        <f t="shared" si="412"/>
        <v>2.4805925925925915E-2</v>
      </c>
      <c r="EJ118" s="456">
        <f t="shared" si="413"/>
        <v>0.39579861176470582</v>
      </c>
      <c r="EK118" s="456">
        <f t="shared" si="414"/>
        <v>1.2687273529411763E-2</v>
      </c>
      <c r="EL118" s="456">
        <f t="shared" si="415"/>
        <v>1.1789126927619483E-2</v>
      </c>
      <c r="EM118">
        <f t="shared" si="416"/>
        <v>4.0499999999999998E-3</v>
      </c>
      <c r="EN118" s="144">
        <f t="shared" si="417"/>
        <v>16.737273529411762</v>
      </c>
      <c r="EP118" s="144">
        <f t="shared" si="439"/>
        <v>449.1309381476629</v>
      </c>
      <c r="EQ118" s="150">
        <f t="shared" si="418"/>
        <v>0.1</v>
      </c>
      <c r="ER118" s="150">
        <f t="shared" si="419"/>
        <v>2.8399999999999998E-2</v>
      </c>
      <c r="ES118" s="456"/>
      <c r="EU118" s="144">
        <f t="shared" si="420"/>
        <v>128.4</v>
      </c>
      <c r="EV118" s="456">
        <f t="shared" si="421"/>
        <v>1.0943790849673198E-2</v>
      </c>
      <c r="EW118" s="456">
        <f t="shared" si="422"/>
        <v>2.2668491459700263E-2</v>
      </c>
      <c r="EX118" s="456">
        <f t="shared" si="423"/>
        <v>3.077065830608316E-3</v>
      </c>
      <c r="EY118" s="456">
        <f t="shared" si="424"/>
        <v>0.74156444280611111</v>
      </c>
      <c r="EZ118" s="456"/>
      <c r="FA118" s="538">
        <f t="shared" si="425"/>
        <v>9.8494117647058826E-3</v>
      </c>
      <c r="FB118" s="144">
        <f t="shared" si="426"/>
        <v>788.10320271079877</v>
      </c>
      <c r="FC118" s="150">
        <f t="shared" si="427"/>
        <v>1.3656341408584618</v>
      </c>
      <c r="FD118" s="5">
        <f t="shared" si="428"/>
        <v>7.2799999999999994</v>
      </c>
      <c r="FE118" s="150">
        <f t="shared" si="429"/>
        <v>0.84204349633480291</v>
      </c>
      <c r="FF118" s="5">
        <f t="shared" si="430"/>
        <v>84.204349633480291</v>
      </c>
      <c r="FG118">
        <f t="shared" si="431"/>
        <v>8</v>
      </c>
      <c r="FI118" s="59">
        <f t="shared" si="432"/>
        <v>-50</v>
      </c>
      <c r="FJ118">
        <f t="shared" si="433"/>
        <v>-50</v>
      </c>
    </row>
    <row r="119" spans="5:166">
      <c r="E119" s="147">
        <v>9</v>
      </c>
      <c r="F119" s="188">
        <f t="shared" si="434"/>
        <v>4.4999999999999998E-2</v>
      </c>
      <c r="G119" s="188">
        <f t="shared" si="313"/>
        <v>4.4999999999999998E-2</v>
      </c>
      <c r="H119" s="188">
        <f t="shared" si="314"/>
        <v>7.6499999999999995</v>
      </c>
      <c r="I119" s="188">
        <f t="shared" si="315"/>
        <v>0.54</v>
      </c>
      <c r="J119" s="465">
        <f t="shared" si="316"/>
        <v>8.9599936602740051</v>
      </c>
      <c r="K119" s="379">
        <f t="shared" si="317"/>
        <v>8.6489071312417067</v>
      </c>
      <c r="L119" s="149">
        <f t="shared" si="318"/>
        <v>17.608900791515712</v>
      </c>
      <c r="M119" s="379"/>
      <c r="N119" s="188">
        <f t="shared" si="319"/>
        <v>0.49116678171126432</v>
      </c>
      <c r="O119" s="149">
        <f t="shared" si="320"/>
        <v>137.02284112562629</v>
      </c>
      <c r="P119" s="149">
        <f t="shared" si="321"/>
        <v>9.6722005500442094</v>
      </c>
      <c r="Q119" s="188">
        <f t="shared" si="322"/>
        <v>0.80601671250368401</v>
      </c>
      <c r="R119" s="188">
        <f t="shared" si="323"/>
        <v>11.41857009380219</v>
      </c>
      <c r="S119" s="188">
        <f t="shared" si="324"/>
        <v>170</v>
      </c>
      <c r="T119" s="188">
        <f t="shared" si="325"/>
        <v>3.7220071909939314</v>
      </c>
      <c r="U119" s="188">
        <f t="shared" si="326"/>
        <v>0.6231043233037471</v>
      </c>
      <c r="V119" s="188">
        <f t="shared" si="327"/>
        <v>0.64551632960930594</v>
      </c>
      <c r="W119" s="172">
        <f t="shared" si="328"/>
        <v>220.04256251350569</v>
      </c>
      <c r="X119" s="379">
        <f t="shared" si="435"/>
        <v>350</v>
      </c>
      <c r="Z119" s="188">
        <f t="shared" si="329"/>
        <v>13.333333333333334</v>
      </c>
      <c r="AA119" s="150">
        <f t="shared" si="330"/>
        <v>2.3124308882628322</v>
      </c>
      <c r="AB119" s="150">
        <f t="shared" si="331"/>
        <v>0.15842792510821443</v>
      </c>
      <c r="AC119" s="150"/>
      <c r="AD119" s="150">
        <f t="shared" si="332"/>
        <v>2.3124308882628322</v>
      </c>
      <c r="AE119" s="314">
        <f t="shared" si="333"/>
        <v>62.501073004296671</v>
      </c>
      <c r="AF119" s="456">
        <f t="shared" si="334"/>
        <v>0.15842792510821441</v>
      </c>
      <c r="AH119" s="150">
        <f t="shared" si="335"/>
        <v>5.5856960175075763</v>
      </c>
      <c r="AI119" s="150">
        <f t="shared" si="336"/>
        <v>13.333333333333334</v>
      </c>
      <c r="AJ119" s="150">
        <f t="shared" si="337"/>
        <v>1.0357148988595981</v>
      </c>
      <c r="AL119" s="314">
        <f t="shared" si="338"/>
        <v>45</v>
      </c>
      <c r="AM119" s="144">
        <f t="shared" si="339"/>
        <v>62.501073004296671</v>
      </c>
      <c r="AO119" s="144">
        <f t="shared" si="340"/>
        <v>45</v>
      </c>
      <c r="AP119" s="144">
        <f t="shared" si="341"/>
        <v>62.501073004296671</v>
      </c>
      <c r="AR119" s="5">
        <f t="shared" si="275"/>
        <v>15.999725315615851</v>
      </c>
      <c r="AS119" s="5">
        <f t="shared" si="440"/>
        <v>2.2321444365160836</v>
      </c>
      <c r="AT119" s="5">
        <f t="shared" si="441"/>
        <v>13.767580879099768</v>
      </c>
      <c r="AU119" s="150">
        <f t="shared" si="442"/>
        <v>0.13951142238282641</v>
      </c>
      <c r="AW119" s="5">
        <f t="shared" si="342"/>
        <v>5.9086176260719853E-2</v>
      </c>
      <c r="AX119" s="5">
        <f t="shared" si="343"/>
        <v>0.83705416369353136</v>
      </c>
      <c r="AY119" s="5">
        <f t="shared" si="344"/>
        <v>19.59115852802444</v>
      </c>
      <c r="AZ119" s="5"/>
      <c r="BA119" s="150">
        <f t="shared" si="345"/>
        <v>2.8752988624857654</v>
      </c>
      <c r="BB119" s="150">
        <f t="shared" si="346"/>
        <v>0.33350181504096765</v>
      </c>
      <c r="BC119" s="150">
        <f t="shared" si="347"/>
        <v>0.31725586265386163</v>
      </c>
      <c r="BD119" s="150"/>
      <c r="BE119" s="456">
        <f t="shared" si="348"/>
        <v>2.8108968065280585E-2</v>
      </c>
      <c r="BF119" s="456">
        <f t="shared" si="349"/>
        <v>0.35145034525077051</v>
      </c>
      <c r="BG119" s="456">
        <f t="shared" si="350"/>
        <v>2.5648422178850001E-2</v>
      </c>
      <c r="BH119" s="456">
        <f t="shared" si="351"/>
        <v>1.3275244790998003E-2</v>
      </c>
      <c r="BI119">
        <f t="shared" si="352"/>
        <v>4.0319971471233021E-3</v>
      </c>
      <c r="BJ119" s="144">
        <f t="shared" si="436"/>
        <v>29.680419325973304</v>
      </c>
      <c r="BK119">
        <f t="shared" si="353"/>
        <v>0.40311626840274922</v>
      </c>
      <c r="BL119" s="144">
        <f t="shared" si="437"/>
        <v>422.51497743302241</v>
      </c>
      <c r="BM119" s="150">
        <f t="shared" si="354"/>
        <v>9.9843749999999981E-2</v>
      </c>
      <c r="BN119" s="150">
        <f t="shared" si="355"/>
        <v>9.9843749999999981E-2</v>
      </c>
      <c r="BO119" s="456"/>
      <c r="BQ119" s="144">
        <f t="shared" si="356"/>
        <v>199.68749999999997</v>
      </c>
      <c r="BR119" s="456">
        <f t="shared" si="357"/>
        <v>1.2401015322917906E-2</v>
      </c>
      <c r="BS119" s="456">
        <f t="shared" si="358"/>
        <v>2.2244692127123961E-2</v>
      </c>
      <c r="BT119" s="456">
        <f t="shared" si="359"/>
        <v>3.0195384716473774E-3</v>
      </c>
      <c r="BU119" s="456">
        <f t="shared" si="360"/>
        <v>1.0023872386831185</v>
      </c>
      <c r="BV119" s="456"/>
      <c r="BW119" s="538">
        <f t="shared" si="361"/>
        <v>1.1111301867430522E-2</v>
      </c>
      <c r="BX119" s="144">
        <f t="shared" si="362"/>
        <v>1051.1637864722384</v>
      </c>
      <c r="BY119" s="150">
        <f t="shared" si="363"/>
        <v>1.6733662639052607</v>
      </c>
      <c r="BZ119" s="5">
        <f t="shared" si="364"/>
        <v>8.19</v>
      </c>
      <c r="CA119" s="150">
        <f t="shared" si="365"/>
        <v>0.83034531830893255</v>
      </c>
      <c r="CB119" s="5">
        <f t="shared" si="366"/>
        <v>83.034531830893258</v>
      </c>
      <c r="CC119">
        <f t="shared" si="367"/>
        <v>9</v>
      </c>
      <c r="CE119" s="59">
        <f t="shared" si="368"/>
        <v>-50</v>
      </c>
      <c r="CF119">
        <f t="shared" si="369"/>
        <v>-50</v>
      </c>
      <c r="CG119" s="150">
        <f t="shared" si="370"/>
        <v>0.14041800256752421</v>
      </c>
      <c r="CH119" s="150">
        <f t="shared" si="371"/>
        <v>3.8050067971480292E-2</v>
      </c>
      <c r="CI119" s="147">
        <v>9</v>
      </c>
      <c r="CJ119" s="188">
        <f t="shared" si="438"/>
        <v>4.4999999999999998E-2</v>
      </c>
      <c r="CK119" s="188">
        <f t="shared" si="372"/>
        <v>4.4999999999999998E-2</v>
      </c>
      <c r="CL119" s="188">
        <f t="shared" si="373"/>
        <v>7.6499999999999995</v>
      </c>
      <c r="CM119" s="188">
        <f t="shared" si="374"/>
        <v>0.54</v>
      </c>
      <c r="CN119" s="465">
        <f t="shared" si="375"/>
        <v>9</v>
      </c>
      <c r="CO119" s="379">
        <f t="shared" si="376"/>
        <v>8.625</v>
      </c>
      <c r="CP119" s="379">
        <f t="shared" si="377"/>
        <v>17.625</v>
      </c>
      <c r="CQ119" s="379"/>
      <c r="CR119" s="188">
        <f t="shared" si="378"/>
        <v>0.48674080410607357</v>
      </c>
      <c r="CS119" s="149">
        <f t="shared" si="379"/>
        <v>136.39440115060304</v>
      </c>
      <c r="CT119" s="149">
        <f t="shared" si="380"/>
        <v>9.6278400812190377</v>
      </c>
      <c r="CU119" s="188">
        <f t="shared" si="381"/>
        <v>0.80232000676825321</v>
      </c>
      <c r="CV119" s="188">
        <f t="shared" si="382"/>
        <v>11.366200095883586</v>
      </c>
      <c r="CW119" s="188">
        <f t="shared" si="383"/>
        <v>170</v>
      </c>
      <c r="CX119" s="188">
        <f t="shared" si="384"/>
        <v>3.7391564147627414</v>
      </c>
      <c r="CY119" s="188">
        <f t="shared" si="385"/>
        <v>0.62319273579379031</v>
      </c>
      <c r="CZ119" s="188">
        <f t="shared" si="386"/>
        <v>0.65028807213265072</v>
      </c>
      <c r="DA119" s="172">
        <f t="shared" si="387"/>
        <v>220.21276595744678</v>
      </c>
      <c r="DB119" s="379">
        <f t="shared" si="388"/>
        <v>350</v>
      </c>
      <c r="DD119" s="188">
        <f t="shared" si="389"/>
        <v>13.333333333333336</v>
      </c>
      <c r="DE119" s="150">
        <f t="shared" si="390"/>
        <v>2.3188405797101459</v>
      </c>
      <c r="DF119" s="150">
        <f t="shared" si="391"/>
        <v>0.15898994622398885</v>
      </c>
      <c r="DG119" s="150"/>
      <c r="DH119" s="150">
        <f t="shared" si="392"/>
        <v>2.3188405797101455</v>
      </c>
      <c r="DI119" s="314">
        <f t="shared" si="393"/>
        <v>62.32830882352939</v>
      </c>
      <c r="DJ119" s="456">
        <f t="shared" si="394"/>
        <v>0.15898994622398879</v>
      </c>
      <c r="DL119" s="150">
        <f t="shared" si="395"/>
        <v>5.5856960175075763</v>
      </c>
      <c r="DM119" s="150">
        <f t="shared" si="396"/>
        <v>13.333333333333334</v>
      </c>
      <c r="DN119" s="150">
        <f t="shared" si="397"/>
        <v>1.0356161764705882</v>
      </c>
      <c r="DP119" s="314">
        <f t="shared" si="398"/>
        <v>45</v>
      </c>
      <c r="DQ119" s="144">
        <f t="shared" si="399"/>
        <v>62.32830882352939</v>
      </c>
      <c r="DS119" s="144">
        <f t="shared" si="400"/>
        <v>45</v>
      </c>
      <c r="DT119" s="144">
        <f t="shared" si="401"/>
        <v>62.32830882352939</v>
      </c>
      <c r="DV119" s="5">
        <f t="shared" si="402"/>
        <v>16.044074015088512</v>
      </c>
      <c r="DW119" s="5">
        <f t="shared" si="403"/>
        <v>2.2222222222222223</v>
      </c>
      <c r="DX119" s="5">
        <f t="shared" si="404"/>
        <v>13.821851792866291</v>
      </c>
      <c r="DY119" s="150">
        <f t="shared" si="405"/>
        <v>0.13850735294117644</v>
      </c>
      <c r="EA119" s="5">
        <f t="shared" si="406"/>
        <v>5.8823529411764705E-2</v>
      </c>
      <c r="EB119" s="5">
        <f t="shared" si="407"/>
        <v>0.83333333333333337</v>
      </c>
      <c r="EC119" s="5">
        <f t="shared" si="408"/>
        <v>19.580956706560574</v>
      </c>
      <c r="ED119" s="5"/>
      <c r="EE119" s="150">
        <f t="shared" si="409"/>
        <v>2.8649333565119623</v>
      </c>
      <c r="EF119" s="150">
        <f t="shared" si="410"/>
        <v>0.33369633322721237</v>
      </c>
      <c r="EG119" s="150">
        <f t="shared" si="411"/>
        <v>0.3174409052299309</v>
      </c>
      <c r="EH119" s="150"/>
      <c r="EI119" s="456">
        <f t="shared" si="412"/>
        <v>2.7906666666666656E-2</v>
      </c>
      <c r="EJ119" s="456">
        <f t="shared" si="413"/>
        <v>0.44527343823529397</v>
      </c>
      <c r="EK119" s="456">
        <f t="shared" si="414"/>
        <v>1.427318272058823E-2</v>
      </c>
      <c r="EL119" s="456">
        <f t="shared" si="415"/>
        <v>1.3262767793571916E-2</v>
      </c>
      <c r="EM119">
        <f t="shared" si="416"/>
        <v>4.0499999999999998E-3</v>
      </c>
      <c r="EN119" s="144">
        <f t="shared" si="417"/>
        <v>18.323182720588228</v>
      </c>
      <c r="EP119" s="144">
        <f t="shared" si="439"/>
        <v>504.76605541612076</v>
      </c>
      <c r="EQ119" s="150">
        <f t="shared" si="418"/>
        <v>0.11249999999999999</v>
      </c>
      <c r="ER119" s="150">
        <f t="shared" si="419"/>
        <v>3.1949999999999999E-2</v>
      </c>
      <c r="ES119" s="456"/>
      <c r="EU119" s="144">
        <f t="shared" si="420"/>
        <v>144.44999999999999</v>
      </c>
      <c r="EV119" s="456">
        <f t="shared" si="421"/>
        <v>1.231176470588235E-2</v>
      </c>
      <c r="EW119" s="456">
        <f t="shared" si="422"/>
        <v>2.2270648561857353E-2</v>
      </c>
      <c r="EX119" s="456">
        <f t="shared" si="423"/>
        <v>3.0230618493959391E-3</v>
      </c>
      <c r="EY119" s="456">
        <f t="shared" si="424"/>
        <v>0.99547464707336497</v>
      </c>
      <c r="EZ119" s="456"/>
      <c r="FA119" s="538">
        <f t="shared" si="425"/>
        <v>1.1080588235294116E-2</v>
      </c>
      <c r="FB119" s="144">
        <f t="shared" si="426"/>
        <v>1044.1607104257946</v>
      </c>
      <c r="FC119" s="150">
        <f t="shared" si="427"/>
        <v>1.6933767658419154</v>
      </c>
      <c r="FD119" s="5">
        <f t="shared" si="428"/>
        <v>8.19</v>
      </c>
      <c r="FE119" s="150">
        <f t="shared" si="429"/>
        <v>0.82866414931236665</v>
      </c>
      <c r="FF119" s="5">
        <f t="shared" si="430"/>
        <v>82.866414931236662</v>
      </c>
      <c r="FG119">
        <f t="shared" si="431"/>
        <v>9</v>
      </c>
      <c r="FI119" s="59">
        <f t="shared" si="432"/>
        <v>-50</v>
      </c>
      <c r="FJ119">
        <f t="shared" si="433"/>
        <v>-50</v>
      </c>
    </row>
    <row r="120" spans="5:166">
      <c r="E120" s="147">
        <v>10</v>
      </c>
      <c r="F120" s="188">
        <f t="shared" si="434"/>
        <v>0.05</v>
      </c>
      <c r="G120" s="188">
        <f t="shared" si="313"/>
        <v>0.05</v>
      </c>
      <c r="H120" s="188">
        <f t="shared" si="314"/>
        <v>8.5</v>
      </c>
      <c r="I120" s="188">
        <f t="shared" si="315"/>
        <v>0.60000000000000009</v>
      </c>
      <c r="J120" s="465">
        <f t="shared" si="316"/>
        <v>8.9599936602740051</v>
      </c>
      <c r="K120" s="379">
        <f t="shared" si="317"/>
        <v>8.6489071312417067</v>
      </c>
      <c r="L120" s="149">
        <f t="shared" si="318"/>
        <v>17.608900791515712</v>
      </c>
      <c r="M120" s="379"/>
      <c r="N120" s="188">
        <f t="shared" si="319"/>
        <v>0.49116678171126432</v>
      </c>
      <c r="O120" s="149">
        <f t="shared" si="320"/>
        <v>137.02284112562629</v>
      </c>
      <c r="P120" s="149">
        <f t="shared" si="321"/>
        <v>9.6722005500442094</v>
      </c>
      <c r="Q120" s="188">
        <f t="shared" si="322"/>
        <v>0.80601671250368401</v>
      </c>
      <c r="R120" s="188">
        <f t="shared" si="323"/>
        <v>11.41857009380219</v>
      </c>
      <c r="S120" s="188">
        <f t="shared" si="324"/>
        <v>170</v>
      </c>
      <c r="T120" s="188">
        <f t="shared" si="325"/>
        <v>4.1355635455488127</v>
      </c>
      <c r="U120" s="188">
        <f t="shared" si="326"/>
        <v>0.69233813700416336</v>
      </c>
      <c r="V120" s="188">
        <f t="shared" si="327"/>
        <v>0.71724036623256204</v>
      </c>
      <c r="W120" s="172">
        <f t="shared" si="328"/>
        <v>220.04256251350569</v>
      </c>
      <c r="X120" s="379">
        <f t="shared" si="435"/>
        <v>350</v>
      </c>
      <c r="Z120" s="188">
        <f t="shared" si="329"/>
        <v>13.333333333333334</v>
      </c>
      <c r="AA120" s="150">
        <f t="shared" si="330"/>
        <v>2.3124308882628322</v>
      </c>
      <c r="AB120" s="150">
        <f t="shared" si="331"/>
        <v>0.15842792510821443</v>
      </c>
      <c r="AC120" s="150"/>
      <c r="AD120" s="150">
        <f t="shared" si="332"/>
        <v>2.3124308882628322</v>
      </c>
      <c r="AE120" s="314">
        <f t="shared" si="333"/>
        <v>69.445636671440752</v>
      </c>
      <c r="AF120" s="456">
        <f t="shared" si="334"/>
        <v>0.15842792510821441</v>
      </c>
      <c r="AH120" s="150">
        <f t="shared" si="335"/>
        <v>5.8878405775518976</v>
      </c>
      <c r="AI120" s="150">
        <f t="shared" si="336"/>
        <v>13.333333333333334</v>
      </c>
      <c r="AJ120" s="150">
        <f t="shared" si="337"/>
        <v>1.039683220955109</v>
      </c>
      <c r="AL120" s="314">
        <f t="shared" si="338"/>
        <v>50</v>
      </c>
      <c r="AM120" s="144">
        <f t="shared" si="339"/>
        <v>69.445636671440752</v>
      </c>
      <c r="AO120" s="144">
        <f t="shared" si="340"/>
        <v>50</v>
      </c>
      <c r="AP120" s="144">
        <f t="shared" si="341"/>
        <v>69.445636671440752</v>
      </c>
      <c r="AR120" s="5">
        <f t="shared" si="275"/>
        <v>14.399752784054266</v>
      </c>
      <c r="AS120" s="5">
        <f t="shared" si="440"/>
        <v>2.2321444365160836</v>
      </c>
      <c r="AT120" s="5">
        <f t="shared" si="441"/>
        <v>12.167608347538183</v>
      </c>
      <c r="AU120" s="150">
        <f t="shared" si="442"/>
        <v>0.15501269153647379</v>
      </c>
      <c r="AW120" s="5">
        <f t="shared" si="342"/>
        <v>6.5651306956355404E-2</v>
      </c>
      <c r="AX120" s="5">
        <f t="shared" si="343"/>
        <v>0.93006018188170159</v>
      </c>
      <c r="AY120" s="5">
        <f t="shared" si="344"/>
        <v>19.238233655720339</v>
      </c>
      <c r="AZ120" s="5"/>
      <c r="BA120" s="150">
        <f t="shared" si="345"/>
        <v>3.0308311197154296</v>
      </c>
      <c r="BB120" s="150">
        <f t="shared" si="346"/>
        <v>0.33048422943445688</v>
      </c>
      <c r="BC120" s="150">
        <f t="shared" si="347"/>
        <v>0.31438527340502098</v>
      </c>
      <c r="BD120" s="150"/>
      <c r="BE120" s="456">
        <f t="shared" si="348"/>
        <v>3.1232186739200647E-2</v>
      </c>
      <c r="BF120" s="456">
        <f t="shared" si="349"/>
        <v>0.39050038361196726</v>
      </c>
      <c r="BG120" s="456">
        <f t="shared" si="350"/>
        <v>2.849824686538889E-2</v>
      </c>
      <c r="BH120" s="456">
        <f t="shared" si="351"/>
        <v>1.4750271989997782E-2</v>
      </c>
      <c r="BI120">
        <f t="shared" si="352"/>
        <v>4.0319971471233021E-3</v>
      </c>
      <c r="BJ120" s="144">
        <f t="shared" si="436"/>
        <v>32.530244012512192</v>
      </c>
      <c r="BK120">
        <f t="shared" si="353"/>
        <v>0.4482418312049295</v>
      </c>
      <c r="BL120" s="144">
        <f t="shared" si="437"/>
        <v>469.01308635367786</v>
      </c>
      <c r="BM120" s="150">
        <f t="shared" si="354"/>
        <v>0.11093749999999999</v>
      </c>
      <c r="BN120" s="150">
        <f t="shared" si="355"/>
        <v>0.11093749999999999</v>
      </c>
      <c r="BO120" s="456"/>
      <c r="BQ120" s="144">
        <f t="shared" si="356"/>
        <v>221.875</v>
      </c>
      <c r="BR120" s="456">
        <f t="shared" si="357"/>
        <v>1.3778905914353228E-2</v>
      </c>
      <c r="BS120" s="456">
        <f t="shared" si="358"/>
        <v>2.1843965180977348E-2</v>
      </c>
      <c r="BT120" s="456">
        <f t="shared" si="359"/>
        <v>2.9651430040184938E-3</v>
      </c>
      <c r="BU120" s="456">
        <f t="shared" si="360"/>
        <v>1.3044554616154278</v>
      </c>
      <c r="BV120" s="456"/>
      <c r="BW120" s="538">
        <f t="shared" si="361"/>
        <v>1.2345890963811692E-2</v>
      </c>
      <c r="BX120" s="144">
        <f t="shared" si="362"/>
        <v>1355.3893666785887</v>
      </c>
      <c r="BY120" s="150">
        <f t="shared" si="363"/>
        <v>2.0462774530322667</v>
      </c>
      <c r="BZ120" s="5">
        <f t="shared" si="364"/>
        <v>9.1</v>
      </c>
      <c r="CA120" s="150">
        <f t="shared" si="365"/>
        <v>0.81641606700938607</v>
      </c>
      <c r="CB120" s="5">
        <f t="shared" si="366"/>
        <v>81.64160670093861</v>
      </c>
      <c r="CC120">
        <f t="shared" si="367"/>
        <v>10</v>
      </c>
      <c r="CE120" s="59">
        <f t="shared" si="368"/>
        <v>-50</v>
      </c>
      <c r="CF120">
        <f t="shared" si="369"/>
        <v>-50</v>
      </c>
      <c r="CG120" s="150">
        <f t="shared" si="370"/>
        <v>0.15602000285280468</v>
      </c>
      <c r="CH120" s="150">
        <f t="shared" si="371"/>
        <v>4.2277853301644776E-2</v>
      </c>
      <c r="CI120" s="147">
        <v>10</v>
      </c>
      <c r="CJ120" s="188">
        <f t="shared" si="438"/>
        <v>0.05</v>
      </c>
      <c r="CK120" s="188">
        <f t="shared" si="372"/>
        <v>0.05</v>
      </c>
      <c r="CL120" s="188">
        <f t="shared" si="373"/>
        <v>8.5</v>
      </c>
      <c r="CM120" s="188">
        <f t="shared" si="374"/>
        <v>0.60000000000000009</v>
      </c>
      <c r="CN120" s="465">
        <f t="shared" si="375"/>
        <v>9</v>
      </c>
      <c r="CO120" s="379">
        <f t="shared" si="376"/>
        <v>8.625</v>
      </c>
      <c r="CP120" s="379">
        <f t="shared" si="377"/>
        <v>17.625</v>
      </c>
      <c r="CQ120" s="379"/>
      <c r="CR120" s="188">
        <f t="shared" si="378"/>
        <v>0.48674080410607357</v>
      </c>
      <c r="CS120" s="149">
        <f t="shared" si="379"/>
        <v>136.39440115060304</v>
      </c>
      <c r="CT120" s="149">
        <f t="shared" si="380"/>
        <v>9.6278400812190377</v>
      </c>
      <c r="CU120" s="188">
        <f t="shared" si="381"/>
        <v>0.80232000676825321</v>
      </c>
      <c r="CV120" s="188">
        <f t="shared" si="382"/>
        <v>11.366200095883586</v>
      </c>
      <c r="CW120" s="188">
        <f t="shared" si="383"/>
        <v>170</v>
      </c>
      <c r="CX120" s="188">
        <f t="shared" si="384"/>
        <v>4.1546182386252681</v>
      </c>
      <c r="CY120" s="188">
        <f t="shared" si="385"/>
        <v>0.69243637310421136</v>
      </c>
      <c r="CZ120" s="188">
        <f t="shared" si="386"/>
        <v>0.72254230236961181</v>
      </c>
      <c r="DA120" s="172">
        <f t="shared" si="387"/>
        <v>220.21276595744678</v>
      </c>
      <c r="DB120" s="379">
        <f t="shared" si="388"/>
        <v>350</v>
      </c>
      <c r="DD120" s="188">
        <f t="shared" si="389"/>
        <v>13.333333333333336</v>
      </c>
      <c r="DE120" s="150">
        <f t="shared" si="390"/>
        <v>2.3188405797101459</v>
      </c>
      <c r="DF120" s="150">
        <f t="shared" si="391"/>
        <v>0.15898994622398885</v>
      </c>
      <c r="DG120" s="150"/>
      <c r="DH120" s="150">
        <f t="shared" si="392"/>
        <v>2.3188405797101455</v>
      </c>
      <c r="DI120" s="314">
        <f t="shared" si="393"/>
        <v>69.253676470588204</v>
      </c>
      <c r="DJ120" s="456">
        <f t="shared" si="394"/>
        <v>0.15898994622398879</v>
      </c>
      <c r="DL120" s="150">
        <f t="shared" si="395"/>
        <v>5.8878405775518976</v>
      </c>
      <c r="DM120" s="150">
        <f t="shared" si="396"/>
        <v>13.333333333333334</v>
      </c>
      <c r="DN120" s="150">
        <f t="shared" si="397"/>
        <v>1.0395735294117647</v>
      </c>
      <c r="DP120" s="314">
        <f t="shared" si="398"/>
        <v>50</v>
      </c>
      <c r="DQ120" s="144">
        <f t="shared" si="399"/>
        <v>69.253676470588204</v>
      </c>
      <c r="DS120" s="144">
        <f t="shared" si="400"/>
        <v>50</v>
      </c>
      <c r="DT120" s="144">
        <f t="shared" si="401"/>
        <v>69.253676470588204</v>
      </c>
      <c r="DV120" s="5">
        <f t="shared" si="402"/>
        <v>14.439666613579663</v>
      </c>
      <c r="DW120" s="5">
        <f t="shared" si="403"/>
        <v>2.2222222222222223</v>
      </c>
      <c r="DX120" s="5">
        <f t="shared" si="404"/>
        <v>12.217444391357439</v>
      </c>
      <c r="DY120" s="150">
        <f t="shared" si="405"/>
        <v>0.15389705882352936</v>
      </c>
      <c r="EA120" s="5">
        <f t="shared" si="406"/>
        <v>6.535947712418301E-2</v>
      </c>
      <c r="EB120" s="5">
        <f t="shared" si="407"/>
        <v>0.92592592592592593</v>
      </c>
      <c r="EC120" s="5">
        <f t="shared" si="408"/>
        <v>19.231162467877446</v>
      </c>
      <c r="ED120" s="5"/>
      <c r="EE120" s="150">
        <f t="shared" si="409"/>
        <v>3.0199049170563304</v>
      </c>
      <c r="EF120" s="150">
        <f t="shared" si="410"/>
        <v>0.33070232584617892</v>
      </c>
      <c r="EG120" s="150">
        <f t="shared" si="411"/>
        <v>0.31459274563492201</v>
      </c>
      <c r="EH120" s="150"/>
      <c r="EI120" s="456">
        <f t="shared" si="412"/>
        <v>3.1007407407407407E-2</v>
      </c>
      <c r="EJ120" s="456">
        <f t="shared" si="413"/>
        <v>0.49474826470588212</v>
      </c>
      <c r="EK120" s="456">
        <f t="shared" si="414"/>
        <v>1.5859091911764701E-2</v>
      </c>
      <c r="EL120" s="456">
        <f t="shared" si="415"/>
        <v>1.4736408659524351E-2</v>
      </c>
      <c r="EM120">
        <f t="shared" si="416"/>
        <v>4.0499999999999998E-3</v>
      </c>
      <c r="EN120" s="144">
        <f t="shared" si="417"/>
        <v>19.909091911764701</v>
      </c>
      <c r="EP120" s="144">
        <f t="shared" si="439"/>
        <v>560.40117268457857</v>
      </c>
      <c r="EQ120" s="150">
        <f t="shared" si="418"/>
        <v>0.125</v>
      </c>
      <c r="ER120" s="150">
        <f t="shared" si="419"/>
        <v>3.5500000000000004E-2</v>
      </c>
      <c r="ES120" s="456"/>
      <c r="EU120" s="144">
        <f t="shared" si="420"/>
        <v>160.5</v>
      </c>
      <c r="EV120" s="456">
        <f t="shared" si="421"/>
        <v>1.3679738562091504E-2</v>
      </c>
      <c r="EW120" s="456">
        <f t="shared" si="422"/>
        <v>2.1872805664014464E-2</v>
      </c>
      <c r="EX120" s="456">
        <f t="shared" si="423"/>
        <v>2.9690578681835621E-3</v>
      </c>
      <c r="EY120" s="456">
        <f t="shared" si="424"/>
        <v>1.2954597686025144</v>
      </c>
      <c r="EZ120" s="456"/>
      <c r="FA120" s="538">
        <f t="shared" si="425"/>
        <v>1.231176470588235E-2</v>
      </c>
      <c r="FB120" s="144">
        <f t="shared" si="426"/>
        <v>1346.2931354026864</v>
      </c>
      <c r="FC120" s="150">
        <f t="shared" si="427"/>
        <v>2.0671943080872648</v>
      </c>
      <c r="FD120" s="5">
        <f t="shared" si="428"/>
        <v>9.1</v>
      </c>
      <c r="FE120" s="150">
        <f t="shared" si="429"/>
        <v>0.81488686853149805</v>
      </c>
      <c r="FF120" s="5">
        <f t="shared" si="430"/>
        <v>81.488686853149801</v>
      </c>
      <c r="FG120">
        <f t="shared" si="431"/>
        <v>10</v>
      </c>
      <c r="FI120" s="59">
        <f t="shared" si="432"/>
        <v>-50</v>
      </c>
      <c r="FJ120">
        <f t="shared" si="433"/>
        <v>-50</v>
      </c>
    </row>
    <row r="121" spans="5:166">
      <c r="E121" s="147">
        <v>11</v>
      </c>
      <c r="F121" s="188">
        <f t="shared" si="434"/>
        <v>5.5E-2</v>
      </c>
      <c r="G121" s="188">
        <f t="shared" si="313"/>
        <v>5.5E-2</v>
      </c>
      <c r="H121" s="188">
        <f t="shared" si="314"/>
        <v>9.35</v>
      </c>
      <c r="I121" s="188">
        <f t="shared" si="315"/>
        <v>0.66</v>
      </c>
      <c r="J121" s="465">
        <f t="shared" si="316"/>
        <v>8.9599936602740051</v>
      </c>
      <c r="K121" s="379">
        <f t="shared" si="317"/>
        <v>8.6489071312417067</v>
      </c>
      <c r="L121" s="149">
        <f t="shared" si="318"/>
        <v>17.608900791515712</v>
      </c>
      <c r="M121" s="379"/>
      <c r="N121" s="188">
        <f t="shared" si="319"/>
        <v>0.49116678171126432</v>
      </c>
      <c r="O121" s="149">
        <f t="shared" si="320"/>
        <v>137.02284112562629</v>
      </c>
      <c r="P121" s="149">
        <f t="shared" si="321"/>
        <v>9.6722005500442094</v>
      </c>
      <c r="Q121" s="188">
        <f t="shared" si="322"/>
        <v>0.80601671250368401</v>
      </c>
      <c r="R121" s="188">
        <f t="shared" si="323"/>
        <v>11.41857009380219</v>
      </c>
      <c r="S121" s="188">
        <f t="shared" si="324"/>
        <v>170</v>
      </c>
      <c r="T121" s="188">
        <f t="shared" si="325"/>
        <v>4.5491199001036939</v>
      </c>
      <c r="U121" s="188">
        <f t="shared" si="326"/>
        <v>0.76157195070457973</v>
      </c>
      <c r="V121" s="188">
        <f t="shared" si="327"/>
        <v>0.78896440285581826</v>
      </c>
      <c r="W121" s="172">
        <f t="shared" si="328"/>
        <v>220.04256251350569</v>
      </c>
      <c r="X121" s="379">
        <f t="shared" si="435"/>
        <v>350</v>
      </c>
      <c r="Z121" s="188">
        <f t="shared" si="329"/>
        <v>13.333333333333334</v>
      </c>
      <c r="AA121" s="150">
        <f t="shared" si="330"/>
        <v>2.3124308882628322</v>
      </c>
      <c r="AB121" s="150">
        <f t="shared" si="331"/>
        <v>0.15842792510821443</v>
      </c>
      <c r="AC121" s="150"/>
      <c r="AD121" s="150">
        <f t="shared" si="332"/>
        <v>2.3124308882628322</v>
      </c>
      <c r="AE121" s="314">
        <f t="shared" si="333"/>
        <v>76.390200338584819</v>
      </c>
      <c r="AF121" s="456">
        <f t="shared" si="334"/>
        <v>0.15842792510821441</v>
      </c>
      <c r="AH121" s="150">
        <f t="shared" si="335"/>
        <v>6.1752192943516855</v>
      </c>
      <c r="AI121" s="150">
        <f t="shared" si="336"/>
        <v>13.333333333333334</v>
      </c>
      <c r="AJ121" s="150">
        <f t="shared" si="337"/>
        <v>1.0436515430506199</v>
      </c>
      <c r="AL121" s="314">
        <f t="shared" si="338"/>
        <v>55</v>
      </c>
      <c r="AM121" s="144">
        <f t="shared" si="339"/>
        <v>76.390200338584819</v>
      </c>
      <c r="AO121" s="144">
        <f t="shared" si="340"/>
        <v>55</v>
      </c>
      <c r="AP121" s="144">
        <f t="shared" si="341"/>
        <v>76.390200338584819</v>
      </c>
      <c r="AR121" s="5">
        <f t="shared" si="275"/>
        <v>13.090684349140243</v>
      </c>
      <c r="AS121" s="5">
        <f t="shared" si="440"/>
        <v>2.2321444365160836</v>
      </c>
      <c r="AT121" s="5">
        <f t="shared" si="441"/>
        <v>10.85853991262416</v>
      </c>
      <c r="AU121" s="150">
        <f t="shared" si="442"/>
        <v>0.17051396069012115</v>
      </c>
      <c r="AW121" s="5">
        <f t="shared" si="342"/>
        <v>7.2216437651990942E-2</v>
      </c>
      <c r="AX121" s="5">
        <f t="shared" si="343"/>
        <v>1.0230662000698716</v>
      </c>
      <c r="AY121" s="5">
        <f t="shared" si="344"/>
        <v>18.885308783416235</v>
      </c>
      <c r="AZ121" s="5"/>
      <c r="BA121" s="150">
        <f t="shared" si="345"/>
        <v>3.1787624956669904</v>
      </c>
      <c r="BB121" s="150">
        <f t="shared" si="346"/>
        <v>0.32743883577571198</v>
      </c>
      <c r="BC121" s="150">
        <f t="shared" si="347"/>
        <v>0.31148823072413773</v>
      </c>
      <c r="BD121" s="150"/>
      <c r="BE121" s="456">
        <f t="shared" si="348"/>
        <v>3.435540541312071E-2</v>
      </c>
      <c r="BF121" s="456">
        <f t="shared" si="349"/>
        <v>0.4295504219731639</v>
      </c>
      <c r="BG121" s="456">
        <f t="shared" si="350"/>
        <v>3.1348071551927779E-2</v>
      </c>
      <c r="BH121" s="456">
        <f t="shared" si="351"/>
        <v>1.6225299188997559E-2</v>
      </c>
      <c r="BI121">
        <f t="shared" si="352"/>
        <v>4.0319971471233021E-3</v>
      </c>
      <c r="BJ121" s="144">
        <f t="shared" si="436"/>
        <v>35.38006869905108</v>
      </c>
      <c r="BK121">
        <f t="shared" si="353"/>
        <v>0.49343491846131465</v>
      </c>
      <c r="BL121" s="144">
        <f t="shared" si="437"/>
        <v>515.5111952743332</v>
      </c>
      <c r="BM121" s="150">
        <f t="shared" si="354"/>
        <v>0.12203125000000001</v>
      </c>
      <c r="BN121" s="150">
        <f t="shared" si="355"/>
        <v>0.12203125000000001</v>
      </c>
      <c r="BO121" s="456"/>
      <c r="BQ121" s="144">
        <f t="shared" si="356"/>
        <v>244.06250000000003</v>
      </c>
      <c r="BR121" s="456">
        <f t="shared" si="357"/>
        <v>1.515679650578855E-2</v>
      </c>
      <c r="BS121" s="456">
        <f t="shared" si="358"/>
        <v>2.1443238234830738E-2</v>
      </c>
      <c r="BT121" s="456">
        <f t="shared" si="359"/>
        <v>2.9107475363896098E-3</v>
      </c>
      <c r="BU121" s="456">
        <f t="shared" si="360"/>
        <v>1.65543056052523</v>
      </c>
      <c r="BV121" s="456"/>
      <c r="BW121" s="538">
        <f t="shared" si="361"/>
        <v>1.358048006019286E-2</v>
      </c>
      <c r="BX121" s="144">
        <f t="shared" si="362"/>
        <v>1708.5218228624317</v>
      </c>
      <c r="BY121" s="150">
        <f t="shared" si="363"/>
        <v>2.4680955181367654</v>
      </c>
      <c r="BZ121" s="5">
        <f t="shared" si="364"/>
        <v>10.01</v>
      </c>
      <c r="CA121" s="150">
        <f t="shared" si="365"/>
        <v>0.8022057521078102</v>
      </c>
      <c r="CB121" s="5">
        <f t="shared" si="366"/>
        <v>80.220575210781021</v>
      </c>
      <c r="CC121">
        <f t="shared" si="367"/>
        <v>11</v>
      </c>
      <c r="CE121" s="59">
        <f t="shared" si="368"/>
        <v>-50</v>
      </c>
      <c r="CF121">
        <f t="shared" si="369"/>
        <v>-50</v>
      </c>
      <c r="CG121" s="150">
        <f t="shared" si="370"/>
        <v>0.17162200313808512</v>
      </c>
      <c r="CH121" s="150">
        <f t="shared" si="371"/>
        <v>4.6505638631809246E-2</v>
      </c>
      <c r="CI121" s="147">
        <v>11</v>
      </c>
      <c r="CJ121" s="188">
        <f t="shared" si="438"/>
        <v>5.5E-2</v>
      </c>
      <c r="CK121" s="188">
        <f t="shared" si="372"/>
        <v>5.5E-2</v>
      </c>
      <c r="CL121" s="188">
        <f t="shared" si="373"/>
        <v>9.35</v>
      </c>
      <c r="CM121" s="188">
        <f t="shared" si="374"/>
        <v>0.66</v>
      </c>
      <c r="CN121" s="465">
        <f t="shared" si="375"/>
        <v>9</v>
      </c>
      <c r="CO121" s="379">
        <f t="shared" si="376"/>
        <v>8.625</v>
      </c>
      <c r="CP121" s="379">
        <f t="shared" si="377"/>
        <v>17.625</v>
      </c>
      <c r="CQ121" s="379"/>
      <c r="CR121" s="188">
        <f t="shared" si="378"/>
        <v>0.48674080410607357</v>
      </c>
      <c r="CS121" s="149">
        <f t="shared" si="379"/>
        <v>136.39440115060304</v>
      </c>
      <c r="CT121" s="149">
        <f t="shared" si="380"/>
        <v>9.6278400812190377</v>
      </c>
      <c r="CU121" s="188">
        <f t="shared" si="381"/>
        <v>0.80232000676825321</v>
      </c>
      <c r="CV121" s="188">
        <f t="shared" si="382"/>
        <v>11.366200095883586</v>
      </c>
      <c r="CW121" s="188">
        <f t="shared" si="383"/>
        <v>170</v>
      </c>
      <c r="CX121" s="188">
        <f t="shared" si="384"/>
        <v>4.5700800624877953</v>
      </c>
      <c r="CY121" s="188">
        <f t="shared" si="385"/>
        <v>0.76168001041463251</v>
      </c>
      <c r="CZ121" s="188">
        <f t="shared" si="386"/>
        <v>0.79479653260657313</v>
      </c>
      <c r="DA121" s="172">
        <f t="shared" si="387"/>
        <v>220.21276595744678</v>
      </c>
      <c r="DB121" s="379">
        <f t="shared" si="388"/>
        <v>350</v>
      </c>
      <c r="DD121" s="188">
        <f t="shared" si="389"/>
        <v>13.333333333333336</v>
      </c>
      <c r="DE121" s="150">
        <f t="shared" si="390"/>
        <v>2.3188405797101459</v>
      </c>
      <c r="DF121" s="150">
        <f t="shared" si="391"/>
        <v>0.15898994622398885</v>
      </c>
      <c r="DG121" s="150"/>
      <c r="DH121" s="150">
        <f t="shared" si="392"/>
        <v>2.3188405797101455</v>
      </c>
      <c r="DI121" s="314">
        <f t="shared" si="393"/>
        <v>76.179044117647024</v>
      </c>
      <c r="DJ121" s="456">
        <f t="shared" si="394"/>
        <v>0.15898994622398879</v>
      </c>
      <c r="DL121" s="150">
        <f t="shared" si="395"/>
        <v>6.1752192943516855</v>
      </c>
      <c r="DM121" s="150">
        <f t="shared" si="396"/>
        <v>13.333333333333334</v>
      </c>
      <c r="DN121" s="150">
        <f t="shared" si="397"/>
        <v>1.0435308823529412</v>
      </c>
      <c r="DP121" s="314">
        <f t="shared" si="398"/>
        <v>55</v>
      </c>
      <c r="DQ121" s="144">
        <f t="shared" si="399"/>
        <v>76.179044117647024</v>
      </c>
      <c r="DS121" s="144">
        <f t="shared" si="400"/>
        <v>55</v>
      </c>
      <c r="DT121" s="144">
        <f t="shared" si="401"/>
        <v>76.179044117647024</v>
      </c>
      <c r="DV121" s="5">
        <f t="shared" si="402"/>
        <v>13.126969648708785</v>
      </c>
      <c r="DW121" s="5">
        <f t="shared" si="403"/>
        <v>2.2222222222222223</v>
      </c>
      <c r="DX121" s="5">
        <f t="shared" si="404"/>
        <v>10.904747426486562</v>
      </c>
      <c r="DY121" s="150">
        <f t="shared" si="405"/>
        <v>0.16928676470588228</v>
      </c>
      <c r="EA121" s="5">
        <f t="shared" si="406"/>
        <v>7.1895424836601315E-2</v>
      </c>
      <c r="EB121" s="5">
        <f t="shared" si="407"/>
        <v>1.0185185185185186</v>
      </c>
      <c r="EC121" s="5">
        <f t="shared" si="408"/>
        <v>18.881368229194319</v>
      </c>
      <c r="ED121" s="5"/>
      <c r="EE121" s="150">
        <f t="shared" si="409"/>
        <v>3.1673029976412264</v>
      </c>
      <c r="EF121" s="150">
        <f t="shared" si="410"/>
        <v>0.32768096348561027</v>
      </c>
      <c r="EG121" s="150">
        <f t="shared" si="411"/>
        <v>0.31171856360993255</v>
      </c>
      <c r="EH121" s="150"/>
      <c r="EI121" s="456">
        <f t="shared" si="412"/>
        <v>3.4108148148148131E-2</v>
      </c>
      <c r="EJ121" s="456">
        <f t="shared" si="413"/>
        <v>0.54422309117647039</v>
      </c>
      <c r="EK121" s="456">
        <f t="shared" si="414"/>
        <v>1.7445001102941168E-2</v>
      </c>
      <c r="EL121" s="456">
        <f t="shared" si="415"/>
        <v>1.6210049525476788E-2</v>
      </c>
      <c r="EM121">
        <f t="shared" si="416"/>
        <v>4.0499999999999998E-3</v>
      </c>
      <c r="EN121" s="144">
        <f t="shared" si="417"/>
        <v>21.495001102941171</v>
      </c>
      <c r="EP121" s="144">
        <f t="shared" si="439"/>
        <v>616.03628995303643</v>
      </c>
      <c r="EQ121" s="150">
        <f t="shared" si="418"/>
        <v>0.13750000000000001</v>
      </c>
      <c r="ER121" s="150">
        <f t="shared" si="419"/>
        <v>3.9050000000000001E-2</v>
      </c>
      <c r="ES121" s="456"/>
      <c r="EU121" s="144">
        <f t="shared" si="420"/>
        <v>176.55</v>
      </c>
      <c r="EV121" s="456">
        <f t="shared" si="421"/>
        <v>1.5047712418300647E-2</v>
      </c>
      <c r="EW121" s="456">
        <f t="shared" si="422"/>
        <v>2.1474962766171571E-2</v>
      </c>
      <c r="EX121" s="456">
        <f t="shared" si="423"/>
        <v>2.915053886971187E-3</v>
      </c>
      <c r="EY121" s="456">
        <f t="shared" si="424"/>
        <v>1.6440144979881144</v>
      </c>
      <c r="EZ121" s="456"/>
      <c r="FA121" s="538">
        <f t="shared" si="425"/>
        <v>1.3542941176470584E-2</v>
      </c>
      <c r="FB121" s="144">
        <f t="shared" si="426"/>
        <v>1696.9951682360283</v>
      </c>
      <c r="FC121" s="150">
        <f t="shared" si="427"/>
        <v>2.4895814581890652</v>
      </c>
      <c r="FD121" s="5">
        <f t="shared" si="428"/>
        <v>10.01</v>
      </c>
      <c r="FE121" s="150">
        <f t="shared" si="429"/>
        <v>0.80082681436041026</v>
      </c>
      <c r="FF121" s="5">
        <f t="shared" si="430"/>
        <v>80.082681436041028</v>
      </c>
      <c r="FG121">
        <f t="shared" si="431"/>
        <v>11</v>
      </c>
      <c r="FI121" s="59">
        <f t="shared" si="432"/>
        <v>-50</v>
      </c>
      <c r="FJ121">
        <f t="shared" si="433"/>
        <v>-50</v>
      </c>
    </row>
    <row r="122" spans="5:166">
      <c r="E122" s="147">
        <v>12</v>
      </c>
      <c r="F122" s="188">
        <f t="shared" si="434"/>
        <v>0.06</v>
      </c>
      <c r="G122" s="188">
        <f t="shared" si="313"/>
        <v>0.06</v>
      </c>
      <c r="H122" s="188">
        <f t="shared" si="314"/>
        <v>10.199999999999999</v>
      </c>
      <c r="I122" s="188">
        <f t="shared" si="315"/>
        <v>0.72</v>
      </c>
      <c r="J122" s="465">
        <f t="shared" si="316"/>
        <v>8.9599936602740051</v>
      </c>
      <c r="K122" s="379">
        <f t="shared" si="317"/>
        <v>8.6489071312417067</v>
      </c>
      <c r="L122" s="149">
        <f t="shared" si="318"/>
        <v>17.608900791515712</v>
      </c>
      <c r="M122" s="379"/>
      <c r="N122" s="188">
        <f t="shared" si="319"/>
        <v>0.49116678171126432</v>
      </c>
      <c r="O122" s="149">
        <f t="shared" si="320"/>
        <v>137.02284112562629</v>
      </c>
      <c r="P122" s="149">
        <f t="shared" si="321"/>
        <v>9.6722005500442094</v>
      </c>
      <c r="Q122" s="188">
        <f t="shared" si="322"/>
        <v>0.80601671250368401</v>
      </c>
      <c r="R122" s="188">
        <f t="shared" si="323"/>
        <v>11.41857009380219</v>
      </c>
      <c r="S122" s="188">
        <f t="shared" si="324"/>
        <v>170</v>
      </c>
      <c r="T122" s="188">
        <f t="shared" si="325"/>
        <v>4.9626762546585752</v>
      </c>
      <c r="U122" s="188">
        <f t="shared" si="326"/>
        <v>0.83080576440499598</v>
      </c>
      <c r="V122" s="188">
        <f t="shared" si="327"/>
        <v>0.86068843947907436</v>
      </c>
      <c r="W122" s="172">
        <f t="shared" si="328"/>
        <v>220.04256251350569</v>
      </c>
      <c r="X122" s="379">
        <f t="shared" si="435"/>
        <v>350</v>
      </c>
      <c r="Z122" s="188">
        <f t="shared" si="329"/>
        <v>13.333333333333334</v>
      </c>
      <c r="AA122" s="150">
        <f t="shared" si="330"/>
        <v>2.3124308882628322</v>
      </c>
      <c r="AB122" s="150">
        <f t="shared" si="331"/>
        <v>0.15842792510821443</v>
      </c>
      <c r="AC122" s="150"/>
      <c r="AD122" s="150">
        <f t="shared" si="332"/>
        <v>2.3124308882628322</v>
      </c>
      <c r="AE122" s="314">
        <f t="shared" si="333"/>
        <v>83.3347640057289</v>
      </c>
      <c r="AF122" s="456">
        <f t="shared" si="334"/>
        <v>0.15842792510821441</v>
      </c>
      <c r="AH122" s="150">
        <f t="shared" si="335"/>
        <v>6.4498061986388402</v>
      </c>
      <c r="AI122" s="150">
        <f t="shared" si="336"/>
        <v>13.333333333333334</v>
      </c>
      <c r="AJ122" s="150">
        <f t="shared" si="337"/>
        <v>1.0476198651461308</v>
      </c>
      <c r="AL122" s="314">
        <f t="shared" si="338"/>
        <v>60</v>
      </c>
      <c r="AM122" s="144">
        <f t="shared" si="339"/>
        <v>83.3347640057289</v>
      </c>
      <c r="AO122" s="144">
        <f t="shared" si="340"/>
        <v>60</v>
      </c>
      <c r="AP122" s="144">
        <f t="shared" si="341"/>
        <v>83.3347640057289</v>
      </c>
      <c r="AR122" s="5">
        <f t="shared" si="275"/>
        <v>11.999793986711889</v>
      </c>
      <c r="AS122" s="5">
        <f t="shared" si="440"/>
        <v>2.2321444365160836</v>
      </c>
      <c r="AT122" s="5">
        <f t="shared" si="441"/>
        <v>9.7676495501958058</v>
      </c>
      <c r="AU122" s="150">
        <f t="shared" si="442"/>
        <v>0.18601522984376853</v>
      </c>
      <c r="AW122" s="5">
        <f t="shared" si="342"/>
        <v>7.8781568347626479E-2</v>
      </c>
      <c r="AX122" s="5">
        <f t="shared" si="343"/>
        <v>1.1160722182580418</v>
      </c>
      <c r="AY122" s="5">
        <f t="shared" si="344"/>
        <v>18.532383911112131</v>
      </c>
      <c r="AZ122" s="5"/>
      <c r="BA122" s="150">
        <f t="shared" si="345"/>
        <v>3.3201091445135629</v>
      </c>
      <c r="BB122" s="150">
        <f t="shared" si="346"/>
        <v>0.32436485081374133</v>
      </c>
      <c r="BC122" s="150">
        <f t="shared" si="347"/>
        <v>0.30856398951491015</v>
      </c>
      <c r="BD122" s="150"/>
      <c r="BE122" s="456">
        <f t="shared" si="348"/>
        <v>3.7478624087040779E-2</v>
      </c>
      <c r="BF122" s="456">
        <f t="shared" si="349"/>
        <v>0.4686004603343607</v>
      </c>
      <c r="BG122" s="456">
        <f t="shared" si="350"/>
        <v>3.4197896238466668E-2</v>
      </c>
      <c r="BH122" s="456">
        <f t="shared" si="351"/>
        <v>1.7700326387997338E-2</v>
      </c>
      <c r="BI122">
        <f t="shared" si="352"/>
        <v>4.0319971471233021E-3</v>
      </c>
      <c r="BJ122" s="144">
        <f t="shared" si="436"/>
        <v>38.229893385589968</v>
      </c>
      <c r="BK122">
        <f t="shared" si="353"/>
        <v>0.53869568184754868</v>
      </c>
      <c r="BL122" s="144">
        <f t="shared" si="437"/>
        <v>562.00930419498889</v>
      </c>
      <c r="BM122" s="150">
        <f t="shared" si="354"/>
        <v>0.13312499999999999</v>
      </c>
      <c r="BN122" s="150">
        <f t="shared" si="355"/>
        <v>0.13312499999999999</v>
      </c>
      <c r="BO122" s="456"/>
      <c r="BQ122" s="144">
        <f t="shared" si="356"/>
        <v>266.25</v>
      </c>
      <c r="BR122" s="456">
        <f t="shared" si="357"/>
        <v>1.6534687097223874E-2</v>
      </c>
      <c r="BS122" s="456">
        <f t="shared" si="358"/>
        <v>2.1042511288684135E-2</v>
      </c>
      <c r="BT122" s="456">
        <f t="shared" si="359"/>
        <v>2.8563520687607271E-3</v>
      </c>
      <c r="BU122" s="456">
        <f t="shared" si="360"/>
        <v>2.0577014829722442</v>
      </c>
      <c r="BV122" s="456"/>
      <c r="BW122" s="538">
        <f t="shared" si="361"/>
        <v>1.481506915657403E-2</v>
      </c>
      <c r="BX122" s="144">
        <f t="shared" si="362"/>
        <v>2112.9501025834866</v>
      </c>
      <c r="BY122" s="150">
        <f t="shared" si="363"/>
        <v>2.9412094067784755</v>
      </c>
      <c r="BZ122" s="5">
        <f t="shared" si="364"/>
        <v>10.92</v>
      </c>
      <c r="CA122" s="150">
        <f t="shared" si="365"/>
        <v>0.7878100445304469</v>
      </c>
      <c r="CB122" s="5">
        <f t="shared" si="366"/>
        <v>78.781004453044687</v>
      </c>
      <c r="CC122">
        <f t="shared" si="367"/>
        <v>12</v>
      </c>
      <c r="CE122" s="59">
        <f t="shared" si="368"/>
        <v>-50</v>
      </c>
      <c r="CF122">
        <f t="shared" si="369"/>
        <v>-50</v>
      </c>
      <c r="CG122" s="150">
        <f t="shared" si="370"/>
        <v>0.18722400342336562</v>
      </c>
      <c r="CH122" s="150">
        <f t="shared" si="371"/>
        <v>5.0733423961973723E-2</v>
      </c>
      <c r="CI122" s="147">
        <v>12</v>
      </c>
      <c r="CJ122" s="188">
        <f t="shared" si="438"/>
        <v>0.06</v>
      </c>
      <c r="CK122" s="188">
        <f t="shared" si="372"/>
        <v>0.06</v>
      </c>
      <c r="CL122" s="188">
        <f t="shared" si="373"/>
        <v>10.199999999999999</v>
      </c>
      <c r="CM122" s="188">
        <f t="shared" si="374"/>
        <v>0.72</v>
      </c>
      <c r="CN122" s="465">
        <f t="shared" si="375"/>
        <v>9</v>
      </c>
      <c r="CO122" s="379">
        <f t="shared" si="376"/>
        <v>8.625</v>
      </c>
      <c r="CP122" s="379">
        <f t="shared" si="377"/>
        <v>17.625</v>
      </c>
      <c r="CQ122" s="379"/>
      <c r="CR122" s="188">
        <f t="shared" si="378"/>
        <v>0.48674080410607357</v>
      </c>
      <c r="CS122" s="149">
        <f t="shared" si="379"/>
        <v>136.39440115060304</v>
      </c>
      <c r="CT122" s="149">
        <f t="shared" si="380"/>
        <v>9.6278400812190377</v>
      </c>
      <c r="CU122" s="188">
        <f t="shared" si="381"/>
        <v>0.80232000676825321</v>
      </c>
      <c r="CV122" s="188">
        <f t="shared" si="382"/>
        <v>11.366200095883586</v>
      </c>
      <c r="CW122" s="188">
        <f t="shared" si="383"/>
        <v>170</v>
      </c>
      <c r="CX122" s="188">
        <f t="shared" si="384"/>
        <v>4.9855418863503225</v>
      </c>
      <c r="CY122" s="188">
        <f t="shared" si="385"/>
        <v>0.83092364772505367</v>
      </c>
      <c r="CZ122" s="188">
        <f t="shared" si="386"/>
        <v>0.86705076284353433</v>
      </c>
      <c r="DA122" s="172">
        <f t="shared" si="387"/>
        <v>220.21276595744678</v>
      </c>
      <c r="DB122" s="379">
        <f t="shared" si="388"/>
        <v>350</v>
      </c>
      <c r="DD122" s="188">
        <f t="shared" si="389"/>
        <v>13.333333333333336</v>
      </c>
      <c r="DE122" s="150">
        <f t="shared" si="390"/>
        <v>2.3188405797101459</v>
      </c>
      <c r="DF122" s="150">
        <f t="shared" si="391"/>
        <v>0.15898994622398885</v>
      </c>
      <c r="DG122" s="150"/>
      <c r="DH122" s="150">
        <f t="shared" si="392"/>
        <v>2.3188405797101455</v>
      </c>
      <c r="DI122" s="314">
        <f t="shared" si="393"/>
        <v>83.104411764705844</v>
      </c>
      <c r="DJ122" s="456">
        <f t="shared" si="394"/>
        <v>0.15898994622398879</v>
      </c>
      <c r="DL122" s="150">
        <f t="shared" si="395"/>
        <v>6.4498061986388402</v>
      </c>
      <c r="DM122" s="150">
        <f t="shared" si="396"/>
        <v>13.333333333333334</v>
      </c>
      <c r="DN122" s="150">
        <f t="shared" si="397"/>
        <v>1.0474882352941177</v>
      </c>
      <c r="DP122" s="314">
        <f t="shared" si="398"/>
        <v>60</v>
      </c>
      <c r="DQ122" s="144">
        <f t="shared" si="399"/>
        <v>83.104411764705844</v>
      </c>
      <c r="DS122" s="144">
        <f t="shared" si="400"/>
        <v>60</v>
      </c>
      <c r="DT122" s="144">
        <f t="shared" si="401"/>
        <v>83.104411764705844</v>
      </c>
      <c r="DV122" s="5">
        <f t="shared" si="402"/>
        <v>12.033055511316386</v>
      </c>
      <c r="DW122" s="5">
        <f t="shared" si="403"/>
        <v>2.2222222222222223</v>
      </c>
      <c r="DX122" s="5">
        <f t="shared" si="404"/>
        <v>9.8108332890941625</v>
      </c>
      <c r="DY122" s="150">
        <f t="shared" si="405"/>
        <v>0.18467647058823522</v>
      </c>
      <c r="EA122" s="5">
        <f t="shared" si="406"/>
        <v>7.8431372549019607E-2</v>
      </c>
      <c r="EB122" s="5">
        <f t="shared" si="407"/>
        <v>1.1111111111111112</v>
      </c>
      <c r="EC122" s="5">
        <f t="shared" si="408"/>
        <v>18.531573990511195</v>
      </c>
      <c r="ED122" s="5"/>
      <c r="EE122" s="150">
        <f t="shared" si="409"/>
        <v>3.3081400891850392</v>
      </c>
      <c r="EF122" s="150">
        <f t="shared" si="410"/>
        <v>0.32463148236368472</v>
      </c>
      <c r="EG122" s="150">
        <f t="shared" si="411"/>
        <v>0.30881763257942429</v>
      </c>
      <c r="EH122" s="150"/>
      <c r="EI122" s="456">
        <f t="shared" si="412"/>
        <v>3.7208888888888875E-2</v>
      </c>
      <c r="EJ122" s="456">
        <f t="shared" si="413"/>
        <v>0.59369791764705859</v>
      </c>
      <c r="EK122" s="456">
        <f t="shared" si="414"/>
        <v>1.9030910294117638E-2</v>
      </c>
      <c r="EL122" s="456">
        <f t="shared" si="415"/>
        <v>1.7683690391429221E-2</v>
      </c>
      <c r="EM122">
        <f t="shared" si="416"/>
        <v>4.0499999999999998E-3</v>
      </c>
      <c r="EN122" s="144">
        <f t="shared" si="417"/>
        <v>23.080910294117636</v>
      </c>
      <c r="EP122" s="144">
        <f t="shared" si="439"/>
        <v>671.67140722149429</v>
      </c>
      <c r="EQ122" s="150">
        <f t="shared" si="418"/>
        <v>0.15</v>
      </c>
      <c r="ER122" s="150">
        <f t="shared" si="419"/>
        <v>4.2599999999999999E-2</v>
      </c>
      <c r="ES122" s="456"/>
      <c r="EU122" s="144">
        <f t="shared" si="420"/>
        <v>192.6</v>
      </c>
      <c r="EV122" s="456">
        <f t="shared" si="421"/>
        <v>1.6415686274509799E-2</v>
      </c>
      <c r="EW122" s="456">
        <f t="shared" si="422"/>
        <v>2.1077119868328671E-2</v>
      </c>
      <c r="EX122" s="456">
        <f t="shared" si="423"/>
        <v>2.8610499057588087E-3</v>
      </c>
      <c r="EY122" s="456">
        <f t="shared" si="424"/>
        <v>2.0435113082995717</v>
      </c>
      <c r="EZ122" s="456"/>
      <c r="FA122" s="538">
        <f t="shared" si="425"/>
        <v>1.477411764705882E-2</v>
      </c>
      <c r="FB122" s="144">
        <f t="shared" si="426"/>
        <v>2098.639281995228</v>
      </c>
      <c r="FC122" s="150">
        <f t="shared" si="427"/>
        <v>2.9629106892167223</v>
      </c>
      <c r="FD122" s="5">
        <f t="shared" si="428"/>
        <v>10.92</v>
      </c>
      <c r="FE122" s="150">
        <f t="shared" si="429"/>
        <v>0.78657856730879172</v>
      </c>
      <c r="FF122" s="5">
        <f t="shared" si="430"/>
        <v>78.657856730879175</v>
      </c>
      <c r="FG122">
        <f t="shared" si="431"/>
        <v>12</v>
      </c>
      <c r="FI122" s="59">
        <f t="shared" si="432"/>
        <v>-50</v>
      </c>
      <c r="FJ122">
        <f t="shared" si="433"/>
        <v>-50</v>
      </c>
    </row>
    <row r="123" spans="5:166">
      <c r="E123" s="147">
        <v>13</v>
      </c>
      <c r="F123" s="188">
        <f t="shared" si="434"/>
        <v>6.5000000000000002E-2</v>
      </c>
      <c r="G123" s="188">
        <f t="shared" si="313"/>
        <v>6.5000000000000002E-2</v>
      </c>
      <c r="H123" s="188">
        <f t="shared" si="314"/>
        <v>11.05</v>
      </c>
      <c r="I123" s="188">
        <f t="shared" si="315"/>
        <v>0.78</v>
      </c>
      <c r="J123" s="465">
        <f t="shared" si="316"/>
        <v>8.9599936602740051</v>
      </c>
      <c r="K123" s="379">
        <f t="shared" si="317"/>
        <v>8.6489071312417067</v>
      </c>
      <c r="L123" s="149">
        <f t="shared" si="318"/>
        <v>17.608900791515712</v>
      </c>
      <c r="M123" s="379"/>
      <c r="N123" s="188">
        <f t="shared" si="319"/>
        <v>0.49116678171126432</v>
      </c>
      <c r="O123" s="149">
        <f t="shared" si="320"/>
        <v>137.02284112562629</v>
      </c>
      <c r="P123" s="149">
        <f t="shared" si="321"/>
        <v>9.6722005500442094</v>
      </c>
      <c r="Q123" s="188">
        <f t="shared" si="322"/>
        <v>0.80601671250368401</v>
      </c>
      <c r="R123" s="188">
        <f t="shared" si="323"/>
        <v>11.41857009380219</v>
      </c>
      <c r="S123" s="188">
        <f t="shared" si="324"/>
        <v>170</v>
      </c>
      <c r="T123" s="188">
        <f t="shared" si="325"/>
        <v>5.3762326092134565</v>
      </c>
      <c r="U123" s="188">
        <f t="shared" si="326"/>
        <v>0.90003957810541235</v>
      </c>
      <c r="V123" s="188">
        <f t="shared" si="327"/>
        <v>0.93241247610233069</v>
      </c>
      <c r="W123" s="172">
        <f t="shared" si="328"/>
        <v>220.04256251350569</v>
      </c>
      <c r="X123" s="379">
        <f t="shared" si="435"/>
        <v>350</v>
      </c>
      <c r="Z123" s="188">
        <f t="shared" si="329"/>
        <v>13.333333333333334</v>
      </c>
      <c r="AA123" s="150">
        <f t="shared" si="330"/>
        <v>2.3124308882628322</v>
      </c>
      <c r="AB123" s="150">
        <f t="shared" si="331"/>
        <v>0.15842792510821443</v>
      </c>
      <c r="AC123" s="150"/>
      <c r="AD123" s="150">
        <f t="shared" si="332"/>
        <v>2.3124308882628322</v>
      </c>
      <c r="AE123" s="314">
        <f t="shared" si="333"/>
        <v>90.279327672872981</v>
      </c>
      <c r="AF123" s="456">
        <f t="shared" si="334"/>
        <v>0.15842792510821441</v>
      </c>
      <c r="AH123" s="150">
        <f t="shared" si="335"/>
        <v>6.7131711334261892</v>
      </c>
      <c r="AI123" s="150">
        <f t="shared" si="336"/>
        <v>13.333333333333334</v>
      </c>
      <c r="AJ123" s="150">
        <f t="shared" si="337"/>
        <v>1.0515881872416417</v>
      </c>
      <c r="AL123" s="314">
        <f t="shared" si="338"/>
        <v>65</v>
      </c>
      <c r="AM123" s="144">
        <f t="shared" si="339"/>
        <v>90.279327672872981</v>
      </c>
      <c r="AO123" s="144">
        <f t="shared" si="340"/>
        <v>65</v>
      </c>
      <c r="AP123" s="144">
        <f t="shared" si="341"/>
        <v>90.279327672872981</v>
      </c>
      <c r="AR123" s="5">
        <f t="shared" si="275"/>
        <v>11.076732910810975</v>
      </c>
      <c r="AS123" s="5">
        <f t="shared" si="440"/>
        <v>2.2321444365160836</v>
      </c>
      <c r="AT123" s="5">
        <f t="shared" si="441"/>
        <v>8.8445884742948913</v>
      </c>
      <c r="AU123" s="150">
        <f t="shared" si="442"/>
        <v>0.20151649899741592</v>
      </c>
      <c r="AW123" s="5">
        <f t="shared" si="342"/>
        <v>8.5346699043262017E-2</v>
      </c>
      <c r="AX123" s="5">
        <f t="shared" si="343"/>
        <v>1.209078236446212</v>
      </c>
      <c r="AY123" s="5">
        <f t="shared" si="344"/>
        <v>18.17945903880803</v>
      </c>
      <c r="AZ123" s="5"/>
      <c r="BA123" s="150">
        <f t="shared" si="345"/>
        <v>3.4556791603252357</v>
      </c>
      <c r="BB123" s="150">
        <f t="shared" si="346"/>
        <v>0.32126145382334248</v>
      </c>
      <c r="BC123" s="150">
        <f t="shared" si="347"/>
        <v>0.30561176903231563</v>
      </c>
      <c r="BD123" s="150"/>
      <c r="BE123" s="456">
        <f t="shared" si="348"/>
        <v>4.0601842760960821E-2</v>
      </c>
      <c r="BF123" s="456">
        <f t="shared" si="349"/>
        <v>0.50765049869555745</v>
      </c>
      <c r="BG123" s="456">
        <f t="shared" si="350"/>
        <v>3.7047720925005558E-2</v>
      </c>
      <c r="BH123" s="456">
        <f t="shared" si="351"/>
        <v>1.917535358699712E-2</v>
      </c>
      <c r="BI123">
        <f t="shared" si="352"/>
        <v>4.0319971471233021E-3</v>
      </c>
      <c r="BJ123" s="144">
        <f t="shared" si="436"/>
        <v>41.079718072128863</v>
      </c>
      <c r="BK123">
        <f t="shared" si="353"/>
        <v>0.58402427349388031</v>
      </c>
      <c r="BL123" s="144">
        <f t="shared" si="437"/>
        <v>608.50741311564411</v>
      </c>
      <c r="BM123" s="150">
        <f t="shared" si="354"/>
        <v>0.14421875000000001</v>
      </c>
      <c r="BN123" s="150">
        <f t="shared" si="355"/>
        <v>0.14421875000000001</v>
      </c>
      <c r="BO123" s="456"/>
      <c r="BQ123" s="144">
        <f t="shared" si="356"/>
        <v>288.4375</v>
      </c>
      <c r="BR123" s="456">
        <f t="shared" si="357"/>
        <v>1.7912577688659188E-2</v>
      </c>
      <c r="BS123" s="456">
        <f t="shared" si="358"/>
        <v>2.0641784342537522E-2</v>
      </c>
      <c r="BT123" s="456">
        <f t="shared" si="359"/>
        <v>2.8019566011318426E-3</v>
      </c>
      <c r="BU123" s="456">
        <f t="shared" si="360"/>
        <v>2.5135506221947477</v>
      </c>
      <c r="BV123" s="456"/>
      <c r="BW123" s="538">
        <f t="shared" si="361"/>
        <v>1.60496582529552E-2</v>
      </c>
      <c r="BX123" s="144">
        <f t="shared" si="362"/>
        <v>2570.9565990800311</v>
      </c>
      <c r="BY123" s="150">
        <f t="shared" si="363"/>
        <v>3.4679015121956756</v>
      </c>
      <c r="BZ123" s="5">
        <f t="shared" si="364"/>
        <v>11.83</v>
      </c>
      <c r="CA123" s="150">
        <f t="shared" si="365"/>
        <v>0.773308678354935</v>
      </c>
      <c r="CB123" s="5">
        <f t="shared" si="366"/>
        <v>77.330867835493507</v>
      </c>
      <c r="CC123">
        <f t="shared" si="367"/>
        <v>13</v>
      </c>
      <c r="CE123" s="59">
        <f t="shared" si="368"/>
        <v>-50</v>
      </c>
      <c r="CF123">
        <f t="shared" si="369"/>
        <v>-50</v>
      </c>
      <c r="CG123" s="150">
        <f t="shared" si="370"/>
        <v>0.20282600370864609</v>
      </c>
      <c r="CH123" s="150">
        <f t="shared" si="371"/>
        <v>5.4961209292138213E-2</v>
      </c>
      <c r="CI123" s="147">
        <v>13</v>
      </c>
      <c r="CJ123" s="188">
        <f t="shared" si="438"/>
        <v>6.5000000000000002E-2</v>
      </c>
      <c r="CK123" s="188">
        <f t="shared" si="372"/>
        <v>6.5000000000000002E-2</v>
      </c>
      <c r="CL123" s="188">
        <f t="shared" si="373"/>
        <v>11.05</v>
      </c>
      <c r="CM123" s="188">
        <f t="shared" si="374"/>
        <v>0.78</v>
      </c>
      <c r="CN123" s="465">
        <f t="shared" si="375"/>
        <v>9</v>
      </c>
      <c r="CO123" s="379">
        <f t="shared" si="376"/>
        <v>8.625</v>
      </c>
      <c r="CP123" s="379">
        <f t="shared" si="377"/>
        <v>17.625</v>
      </c>
      <c r="CQ123" s="379"/>
      <c r="CR123" s="188">
        <f t="shared" si="378"/>
        <v>0.48674080410607357</v>
      </c>
      <c r="CS123" s="149">
        <f t="shared" si="379"/>
        <v>136.39440115060304</v>
      </c>
      <c r="CT123" s="149">
        <f t="shared" si="380"/>
        <v>9.6278400812190377</v>
      </c>
      <c r="CU123" s="188">
        <f t="shared" si="381"/>
        <v>0.80232000676825321</v>
      </c>
      <c r="CV123" s="188">
        <f t="shared" si="382"/>
        <v>11.366200095883586</v>
      </c>
      <c r="CW123" s="188">
        <f t="shared" si="383"/>
        <v>170</v>
      </c>
      <c r="CX123" s="188">
        <f t="shared" si="384"/>
        <v>5.4010037102128496</v>
      </c>
      <c r="CY123" s="188">
        <f t="shared" si="385"/>
        <v>0.90016728503547505</v>
      </c>
      <c r="CZ123" s="188">
        <f t="shared" si="386"/>
        <v>0.93930499308049564</v>
      </c>
      <c r="DA123" s="172">
        <f t="shared" si="387"/>
        <v>220.21276595744678</v>
      </c>
      <c r="DB123" s="379">
        <f t="shared" si="388"/>
        <v>350</v>
      </c>
      <c r="DD123" s="188">
        <f t="shared" si="389"/>
        <v>13.333333333333336</v>
      </c>
      <c r="DE123" s="150">
        <f t="shared" si="390"/>
        <v>2.3188405797101459</v>
      </c>
      <c r="DF123" s="150">
        <f t="shared" si="391"/>
        <v>0.15898994622398885</v>
      </c>
      <c r="DG123" s="150"/>
      <c r="DH123" s="150">
        <f t="shared" si="392"/>
        <v>2.3188405797101455</v>
      </c>
      <c r="DI123" s="314">
        <f t="shared" si="393"/>
        <v>90.029779411764679</v>
      </c>
      <c r="DJ123" s="456">
        <f t="shared" si="394"/>
        <v>0.15898994622398879</v>
      </c>
      <c r="DL123" s="150">
        <f t="shared" si="395"/>
        <v>6.7131711334261892</v>
      </c>
      <c r="DM123" s="150">
        <f t="shared" si="396"/>
        <v>13.333333333333334</v>
      </c>
      <c r="DN123" s="150">
        <f t="shared" si="397"/>
        <v>1.051445588235294</v>
      </c>
      <c r="DP123" s="314">
        <f t="shared" si="398"/>
        <v>65</v>
      </c>
      <c r="DQ123" s="144">
        <f t="shared" si="399"/>
        <v>90.029779411764679</v>
      </c>
      <c r="DS123" s="144">
        <f t="shared" si="400"/>
        <v>65</v>
      </c>
      <c r="DT123" s="144">
        <f t="shared" si="401"/>
        <v>90.029779411764679</v>
      </c>
      <c r="DV123" s="5">
        <f t="shared" si="402"/>
        <v>11.107435856599739</v>
      </c>
      <c r="DW123" s="5">
        <f t="shared" si="403"/>
        <v>2.2222222222222223</v>
      </c>
      <c r="DX123" s="5">
        <f t="shared" si="404"/>
        <v>8.8852136343775179</v>
      </c>
      <c r="DY123" s="150">
        <f t="shared" si="405"/>
        <v>0.20006617647058819</v>
      </c>
      <c r="EA123" s="5">
        <f t="shared" si="406"/>
        <v>8.4967320261437926E-2</v>
      </c>
      <c r="EB123" s="5">
        <f t="shared" si="407"/>
        <v>1.2037037037037037</v>
      </c>
      <c r="EC123" s="5">
        <f t="shared" si="408"/>
        <v>18.181779751828067</v>
      </c>
      <c r="ED123" s="5"/>
      <c r="EE123" s="150">
        <f t="shared" si="409"/>
        <v>3.4432213725636784</v>
      </c>
      <c r="EF123" s="150">
        <f t="shared" si="410"/>
        <v>0.32155308248006087</v>
      </c>
      <c r="EG123" s="150">
        <f t="shared" si="411"/>
        <v>0.30588919151366084</v>
      </c>
      <c r="EH123" s="150"/>
      <c r="EI123" s="456">
        <f t="shared" si="412"/>
        <v>4.0309629629629626E-2</v>
      </c>
      <c r="EJ123" s="456">
        <f t="shared" si="413"/>
        <v>0.64317274411764691</v>
      </c>
      <c r="EK123" s="456">
        <f t="shared" si="414"/>
        <v>2.0616819485294112E-2</v>
      </c>
      <c r="EL123" s="456">
        <f t="shared" si="415"/>
        <v>1.9157331257381661E-2</v>
      </c>
      <c r="EM123">
        <f t="shared" si="416"/>
        <v>4.0499999999999998E-3</v>
      </c>
      <c r="EN123" s="144">
        <f t="shared" si="417"/>
        <v>24.666819485294109</v>
      </c>
      <c r="EP123" s="144">
        <f t="shared" si="439"/>
        <v>727.30652448995227</v>
      </c>
      <c r="EQ123" s="150">
        <f t="shared" si="418"/>
        <v>0.16250000000000001</v>
      </c>
      <c r="ER123" s="150">
        <f t="shared" si="419"/>
        <v>4.6150000000000004E-2</v>
      </c>
      <c r="ES123" s="456"/>
      <c r="EU123" s="144">
        <f t="shared" si="420"/>
        <v>208.65</v>
      </c>
      <c r="EV123" s="456">
        <f t="shared" si="421"/>
        <v>1.7783660130718953E-2</v>
      </c>
      <c r="EW123" s="456">
        <f t="shared" si="422"/>
        <v>2.0679276970485768E-2</v>
      </c>
      <c r="EX123" s="456">
        <f t="shared" si="423"/>
        <v>2.8070459245464327E-3</v>
      </c>
      <c r="EY123" s="456">
        <f t="shared" si="424"/>
        <v>2.496216853097192</v>
      </c>
      <c r="EZ123" s="456"/>
      <c r="FA123" s="538">
        <f t="shared" si="425"/>
        <v>1.6005294117647055E-2</v>
      </c>
      <c r="FB123" s="144">
        <f t="shared" si="426"/>
        <v>2553.4921302405901</v>
      </c>
      <c r="FC123" s="150">
        <f t="shared" si="427"/>
        <v>3.4894486547305426</v>
      </c>
      <c r="FD123" s="5">
        <f t="shared" si="428"/>
        <v>11.83</v>
      </c>
      <c r="FE123" s="150">
        <f t="shared" si="429"/>
        <v>0.77222100263686544</v>
      </c>
      <c r="FF123" s="5">
        <f t="shared" si="430"/>
        <v>77.222100263686542</v>
      </c>
      <c r="FG123">
        <f t="shared" si="431"/>
        <v>13</v>
      </c>
      <c r="FI123" s="59">
        <f t="shared" si="432"/>
        <v>-50</v>
      </c>
      <c r="FJ123">
        <f t="shared" si="433"/>
        <v>-50</v>
      </c>
    </row>
    <row r="124" spans="5:166">
      <c r="E124" s="147">
        <v>14</v>
      </c>
      <c r="F124" s="188">
        <f t="shared" si="434"/>
        <v>7.0000000000000007E-2</v>
      </c>
      <c r="G124" s="188">
        <f t="shared" si="313"/>
        <v>7.0000000000000007E-2</v>
      </c>
      <c r="H124" s="188">
        <f t="shared" si="314"/>
        <v>11.9</v>
      </c>
      <c r="I124" s="188">
        <f t="shared" si="315"/>
        <v>0.84000000000000008</v>
      </c>
      <c r="J124" s="465">
        <f t="shared" si="316"/>
        <v>8.9599936602740051</v>
      </c>
      <c r="K124" s="379">
        <f t="shared" si="317"/>
        <v>8.6489071312417067</v>
      </c>
      <c r="L124" s="149">
        <f t="shared" si="318"/>
        <v>17.608900791515712</v>
      </c>
      <c r="M124" s="379"/>
      <c r="N124" s="188">
        <f t="shared" si="319"/>
        <v>0.49116678171126432</v>
      </c>
      <c r="O124" s="149">
        <f t="shared" si="320"/>
        <v>137.02284112562629</v>
      </c>
      <c r="P124" s="149">
        <f t="shared" si="321"/>
        <v>9.6722005500442094</v>
      </c>
      <c r="Q124" s="188">
        <f t="shared" si="322"/>
        <v>0.80601671250368401</v>
      </c>
      <c r="R124" s="188">
        <f t="shared" si="323"/>
        <v>11.41857009380219</v>
      </c>
      <c r="S124" s="188">
        <f t="shared" si="324"/>
        <v>170</v>
      </c>
      <c r="T124" s="188">
        <f t="shared" si="325"/>
        <v>5.7897889637683386</v>
      </c>
      <c r="U124" s="188">
        <f t="shared" si="326"/>
        <v>0.96927339180582872</v>
      </c>
      <c r="V124" s="188">
        <f t="shared" si="327"/>
        <v>1.004136512725587</v>
      </c>
      <c r="W124" s="172">
        <f t="shared" si="328"/>
        <v>220.04256251350569</v>
      </c>
      <c r="X124" s="379">
        <f t="shared" si="435"/>
        <v>350</v>
      </c>
      <c r="Z124" s="188">
        <f t="shared" si="329"/>
        <v>13.333333333333334</v>
      </c>
      <c r="AA124" s="150">
        <f t="shared" si="330"/>
        <v>2.3124308882628322</v>
      </c>
      <c r="AB124" s="150">
        <f t="shared" si="331"/>
        <v>0.15842792510821443</v>
      </c>
      <c r="AC124" s="150"/>
      <c r="AD124" s="150">
        <f t="shared" si="332"/>
        <v>2.3124308882628322</v>
      </c>
      <c r="AE124" s="314">
        <f t="shared" si="333"/>
        <v>97.223891340017076</v>
      </c>
      <c r="AF124" s="456">
        <f t="shared" si="334"/>
        <v>0.15842792510821441</v>
      </c>
      <c r="AH124" s="150">
        <f t="shared" si="335"/>
        <v>6.9665869213936702</v>
      </c>
      <c r="AI124" s="150">
        <f t="shared" si="336"/>
        <v>13.333333333333334</v>
      </c>
      <c r="AJ124" s="150">
        <f t="shared" si="337"/>
        <v>1.0555565093371526</v>
      </c>
      <c r="AL124" s="314">
        <f t="shared" si="338"/>
        <v>70</v>
      </c>
      <c r="AM124" s="144">
        <f t="shared" si="339"/>
        <v>97.223891340017076</v>
      </c>
      <c r="AO124" s="144">
        <f t="shared" si="340"/>
        <v>70</v>
      </c>
      <c r="AP124" s="144">
        <f t="shared" si="341"/>
        <v>97.223891340017076</v>
      </c>
      <c r="AR124" s="5">
        <f t="shared" si="275"/>
        <v>10.285537702895901</v>
      </c>
      <c r="AS124" s="5">
        <f t="shared" si="440"/>
        <v>2.2321444365160836</v>
      </c>
      <c r="AT124" s="5">
        <f t="shared" si="441"/>
        <v>8.0533932663798176</v>
      </c>
      <c r="AU124" s="150">
        <f t="shared" si="442"/>
        <v>0.21701776815106338</v>
      </c>
      <c r="AW124" s="5">
        <f t="shared" si="342"/>
        <v>9.1911829738897569E-2</v>
      </c>
      <c r="AX124" s="5">
        <f t="shared" si="343"/>
        <v>1.3020842546343823</v>
      </c>
      <c r="AY124" s="5">
        <f t="shared" si="344"/>
        <v>17.826534166503915</v>
      </c>
      <c r="AZ124" s="5"/>
      <c r="BA124" s="150">
        <f t="shared" si="345"/>
        <v>3.586127742667526</v>
      </c>
      <c r="BB124" s="150">
        <f t="shared" si="346"/>
        <v>0.31812778404589964</v>
      </c>
      <c r="BC124" s="150">
        <f t="shared" si="347"/>
        <v>0.30263075044807547</v>
      </c>
      <c r="BD124" s="150"/>
      <c r="BE124" s="456">
        <f t="shared" si="348"/>
        <v>4.3725061434880932E-2</v>
      </c>
      <c r="BF124" s="456">
        <f t="shared" si="349"/>
        <v>0.54670053705675425</v>
      </c>
      <c r="BG124" s="456">
        <f t="shared" si="350"/>
        <v>3.989754561154446E-2</v>
      </c>
      <c r="BH124" s="456">
        <f t="shared" si="351"/>
        <v>2.0650380785996902E-2</v>
      </c>
      <c r="BI124">
        <f t="shared" si="352"/>
        <v>4.0319971471233021E-3</v>
      </c>
      <c r="BJ124" s="144">
        <f t="shared" si="436"/>
        <v>43.929542758667765</v>
      </c>
      <c r="BK124">
        <f t="shared" si="353"/>
        <v>0.62942084598686887</v>
      </c>
      <c r="BL124" s="144">
        <f t="shared" si="437"/>
        <v>655.00552203629991</v>
      </c>
      <c r="BM124" s="150">
        <f t="shared" si="354"/>
        <v>0.15531250000000002</v>
      </c>
      <c r="BN124" s="150">
        <f t="shared" si="355"/>
        <v>0.15531250000000002</v>
      </c>
      <c r="BO124" s="456"/>
      <c r="BQ124" s="144">
        <f t="shared" si="356"/>
        <v>310.62500000000006</v>
      </c>
      <c r="BR124" s="456">
        <f t="shared" si="357"/>
        <v>1.9290468280094529E-2</v>
      </c>
      <c r="BS124" s="456">
        <f t="shared" si="358"/>
        <v>2.0241057396390913E-2</v>
      </c>
      <c r="BT124" s="456">
        <f t="shared" si="359"/>
        <v>2.7475611335029599E-3</v>
      </c>
      <c r="BU124" s="456">
        <f t="shared" si="360"/>
        <v>3.0251669330914384</v>
      </c>
      <c r="BV124" s="456"/>
      <c r="BW124" s="538">
        <f t="shared" si="361"/>
        <v>1.7284247349336371E-2</v>
      </c>
      <c r="BX124" s="144">
        <f t="shared" si="362"/>
        <v>3084.7302672507626</v>
      </c>
      <c r="BY124" s="150">
        <f t="shared" si="363"/>
        <v>4.0503607892870637</v>
      </c>
      <c r="BZ124" s="5">
        <f t="shared" si="364"/>
        <v>12.74</v>
      </c>
      <c r="CA124" s="150">
        <f t="shared" si="365"/>
        <v>0.75876868638395434</v>
      </c>
      <c r="CB124" s="5">
        <f t="shared" si="366"/>
        <v>75.876868638395436</v>
      </c>
      <c r="CC124">
        <f t="shared" si="367"/>
        <v>14.000000000000002</v>
      </c>
      <c r="CE124" s="59">
        <f t="shared" si="368"/>
        <v>-50</v>
      </c>
      <c r="CF124">
        <f t="shared" si="369"/>
        <v>-50</v>
      </c>
      <c r="CG124" s="150">
        <f t="shared" si="370"/>
        <v>0.21842800399392656</v>
      </c>
      <c r="CH124" s="150">
        <f t="shared" si="371"/>
        <v>5.9188994622302683E-2</v>
      </c>
      <c r="CI124" s="147">
        <v>14</v>
      </c>
      <c r="CJ124" s="188">
        <f t="shared" si="438"/>
        <v>7.0000000000000007E-2</v>
      </c>
      <c r="CK124" s="188">
        <f t="shared" si="372"/>
        <v>7.0000000000000007E-2</v>
      </c>
      <c r="CL124" s="188">
        <f t="shared" si="373"/>
        <v>11.9</v>
      </c>
      <c r="CM124" s="188">
        <f t="shared" si="374"/>
        <v>0.84000000000000008</v>
      </c>
      <c r="CN124" s="465">
        <f t="shared" si="375"/>
        <v>9</v>
      </c>
      <c r="CO124" s="379">
        <f t="shared" si="376"/>
        <v>8.625</v>
      </c>
      <c r="CP124" s="379">
        <f t="shared" si="377"/>
        <v>17.625</v>
      </c>
      <c r="CQ124" s="379"/>
      <c r="CR124" s="188">
        <f t="shared" si="378"/>
        <v>0.48674080410607357</v>
      </c>
      <c r="CS124" s="149">
        <f t="shared" si="379"/>
        <v>136.39440115060304</v>
      </c>
      <c r="CT124" s="149">
        <f t="shared" si="380"/>
        <v>9.6278400812190377</v>
      </c>
      <c r="CU124" s="188">
        <f t="shared" si="381"/>
        <v>0.80232000676825321</v>
      </c>
      <c r="CV124" s="188">
        <f t="shared" si="382"/>
        <v>11.366200095883586</v>
      </c>
      <c r="CW124" s="188">
        <f t="shared" si="383"/>
        <v>170</v>
      </c>
      <c r="CX124" s="188">
        <f t="shared" si="384"/>
        <v>5.8164655340753759</v>
      </c>
      <c r="CY124" s="188">
        <f t="shared" si="385"/>
        <v>0.9694109223458961</v>
      </c>
      <c r="CZ124" s="188">
        <f t="shared" si="386"/>
        <v>1.0115592233174566</v>
      </c>
      <c r="DA124" s="172">
        <f t="shared" si="387"/>
        <v>220.21276595744678</v>
      </c>
      <c r="DB124" s="379">
        <f t="shared" si="388"/>
        <v>350</v>
      </c>
      <c r="DD124" s="188">
        <f t="shared" si="389"/>
        <v>13.333333333333336</v>
      </c>
      <c r="DE124" s="150">
        <f t="shared" si="390"/>
        <v>2.3188405797101459</v>
      </c>
      <c r="DF124" s="150">
        <f t="shared" si="391"/>
        <v>0.15898994622398885</v>
      </c>
      <c r="DG124" s="150"/>
      <c r="DH124" s="150">
        <f t="shared" si="392"/>
        <v>2.3188405797101455</v>
      </c>
      <c r="DI124" s="314">
        <f t="shared" si="393"/>
        <v>96.955147058823513</v>
      </c>
      <c r="DJ124" s="456">
        <f t="shared" si="394"/>
        <v>0.15898994622398879</v>
      </c>
      <c r="DL124" s="150">
        <f t="shared" si="395"/>
        <v>6.9665869213936702</v>
      </c>
      <c r="DM124" s="150">
        <f t="shared" si="396"/>
        <v>13.333333333333334</v>
      </c>
      <c r="DN124" s="150">
        <f t="shared" si="397"/>
        <v>1.0554029411764705</v>
      </c>
      <c r="DP124" s="314">
        <f t="shared" si="398"/>
        <v>70</v>
      </c>
      <c r="DQ124" s="144">
        <f t="shared" si="399"/>
        <v>96.955147058823513</v>
      </c>
      <c r="DS124" s="144">
        <f t="shared" si="400"/>
        <v>70</v>
      </c>
      <c r="DT124" s="144">
        <f t="shared" si="401"/>
        <v>96.955147058823513</v>
      </c>
      <c r="DV124" s="5">
        <f t="shared" si="402"/>
        <v>10.314047581128328</v>
      </c>
      <c r="DW124" s="5">
        <f t="shared" si="403"/>
        <v>2.2222222222222223</v>
      </c>
      <c r="DX124" s="5">
        <f t="shared" si="404"/>
        <v>8.0918253589061067</v>
      </c>
      <c r="DY124" s="150">
        <f t="shared" si="405"/>
        <v>0.21545588235294116</v>
      </c>
      <c r="EA124" s="5">
        <f t="shared" si="406"/>
        <v>9.1503267973856217E-2</v>
      </c>
      <c r="EB124" s="5">
        <f t="shared" si="407"/>
        <v>1.2962962962962965</v>
      </c>
      <c r="EC124" s="5">
        <f t="shared" si="408"/>
        <v>17.831985513144936</v>
      </c>
      <c r="ED124" s="5"/>
      <c r="EE124" s="150">
        <f t="shared" si="409"/>
        <v>3.5731996853360157</v>
      </c>
      <c r="EF124" s="150">
        <f t="shared" si="410"/>
        <v>0.31844492516479889</v>
      </c>
      <c r="EG124" s="150">
        <f t="shared" si="411"/>
        <v>0.30293244259702828</v>
      </c>
      <c r="EH124" s="150"/>
      <c r="EI124" s="456">
        <f t="shared" si="412"/>
        <v>4.3410370370370363E-2</v>
      </c>
      <c r="EJ124" s="456">
        <f t="shared" si="413"/>
        <v>0.69264757058823523</v>
      </c>
      <c r="EK124" s="456">
        <f t="shared" si="414"/>
        <v>2.2202728676470586E-2</v>
      </c>
      <c r="EL124" s="456">
        <f t="shared" si="415"/>
        <v>2.0630972123334097E-2</v>
      </c>
      <c r="EM124">
        <f t="shared" si="416"/>
        <v>4.0499999999999998E-3</v>
      </c>
      <c r="EN124" s="144">
        <f t="shared" si="417"/>
        <v>26.252728676470586</v>
      </c>
      <c r="EP124" s="144">
        <f t="shared" si="439"/>
        <v>782.94164175841024</v>
      </c>
      <c r="EQ124" s="150">
        <f t="shared" si="418"/>
        <v>0.17500000000000002</v>
      </c>
      <c r="ER124" s="150">
        <f t="shared" si="419"/>
        <v>4.9700000000000008E-2</v>
      </c>
      <c r="ES124" s="456"/>
      <c r="EU124" s="144">
        <f t="shared" si="420"/>
        <v>224.70000000000002</v>
      </c>
      <c r="EV124" s="456">
        <f t="shared" si="421"/>
        <v>1.9151633986928103E-2</v>
      </c>
      <c r="EW124" s="456">
        <f t="shared" si="422"/>
        <v>2.0281434072642875E-2</v>
      </c>
      <c r="EX124" s="456">
        <f t="shared" si="423"/>
        <v>2.7530419433340549E-3</v>
      </c>
      <c r="EY124" s="456">
        <f t="shared" si="424"/>
        <v>3.0043049919645104</v>
      </c>
      <c r="EZ124" s="456"/>
      <c r="FA124" s="538">
        <f t="shared" si="425"/>
        <v>1.7236470588235298E-2</v>
      </c>
      <c r="FB124" s="144">
        <f t="shared" si="426"/>
        <v>3063.727572555651</v>
      </c>
      <c r="FC124" s="150">
        <f t="shared" si="427"/>
        <v>4.0713692143140614</v>
      </c>
      <c r="FD124" s="5">
        <f t="shared" si="428"/>
        <v>12.74</v>
      </c>
      <c r="FE124" s="150">
        <f t="shared" si="429"/>
        <v>0.75782048669495106</v>
      </c>
      <c r="FF124" s="5">
        <f t="shared" si="430"/>
        <v>75.782048669495111</v>
      </c>
      <c r="FG124">
        <f t="shared" si="431"/>
        <v>14.000000000000002</v>
      </c>
      <c r="FI124" s="59">
        <f t="shared" si="432"/>
        <v>-50</v>
      </c>
      <c r="FJ124">
        <f t="shared" si="433"/>
        <v>-50</v>
      </c>
    </row>
    <row r="125" spans="5:166">
      <c r="E125" s="147">
        <v>15</v>
      </c>
      <c r="F125" s="188">
        <f t="shared" si="434"/>
        <v>7.4999999999999997E-2</v>
      </c>
      <c r="G125" s="188">
        <f t="shared" si="313"/>
        <v>7.4999999999999997E-2</v>
      </c>
      <c r="H125" s="188">
        <f t="shared" si="314"/>
        <v>12.75</v>
      </c>
      <c r="I125" s="188">
        <f t="shared" si="315"/>
        <v>0.89999999999999991</v>
      </c>
      <c r="J125" s="465">
        <f t="shared" si="316"/>
        <v>8.9599936602740051</v>
      </c>
      <c r="K125" s="379">
        <f t="shared" si="317"/>
        <v>8.6489071312417067</v>
      </c>
      <c r="L125" s="149">
        <f t="shared" si="318"/>
        <v>17.608900791515712</v>
      </c>
      <c r="M125" s="379"/>
      <c r="N125" s="188">
        <f t="shared" si="319"/>
        <v>0.49116678171126432</v>
      </c>
      <c r="O125" s="149">
        <f t="shared" si="320"/>
        <v>137.02284112562629</v>
      </c>
      <c r="P125" s="149">
        <f t="shared" si="321"/>
        <v>9.6722005500442094</v>
      </c>
      <c r="Q125" s="188">
        <f t="shared" si="322"/>
        <v>0.80601671250368401</v>
      </c>
      <c r="R125" s="188">
        <f t="shared" si="323"/>
        <v>11.41857009380219</v>
      </c>
      <c r="S125" s="188">
        <f t="shared" si="324"/>
        <v>170</v>
      </c>
      <c r="T125" s="188">
        <f t="shared" si="325"/>
        <v>6.2033453183232199</v>
      </c>
      <c r="U125" s="188">
        <f t="shared" si="326"/>
        <v>1.0385072055062452</v>
      </c>
      <c r="V125" s="188">
        <f t="shared" si="327"/>
        <v>1.0758605493488431</v>
      </c>
      <c r="W125" s="172">
        <f t="shared" si="328"/>
        <v>220.04256251350569</v>
      </c>
      <c r="X125" s="379">
        <f t="shared" si="435"/>
        <v>350</v>
      </c>
      <c r="Z125" s="188">
        <f t="shared" si="329"/>
        <v>13.333333333333334</v>
      </c>
      <c r="AA125" s="150">
        <f t="shared" si="330"/>
        <v>2.3124308882628322</v>
      </c>
      <c r="AB125" s="150">
        <f t="shared" si="331"/>
        <v>0.15842792510821443</v>
      </c>
      <c r="AC125" s="150"/>
      <c r="AD125" s="150">
        <f t="shared" si="332"/>
        <v>2.3124308882628322</v>
      </c>
      <c r="AE125" s="314">
        <f t="shared" si="333"/>
        <v>104.16845500716113</v>
      </c>
      <c r="AF125" s="456">
        <f t="shared" si="334"/>
        <v>0.15842792510821441</v>
      </c>
      <c r="AH125" s="150">
        <f t="shared" si="335"/>
        <v>7.2111025509279782</v>
      </c>
      <c r="AI125" s="150">
        <f t="shared" si="336"/>
        <v>13.333333333333334</v>
      </c>
      <c r="AJ125" s="150">
        <f t="shared" si="337"/>
        <v>1.0595248314326635</v>
      </c>
      <c r="AL125" s="314">
        <f t="shared" si="338"/>
        <v>75</v>
      </c>
      <c r="AM125" s="144">
        <f t="shared" si="339"/>
        <v>104.16845500716113</v>
      </c>
      <c r="AO125" s="144">
        <f t="shared" si="340"/>
        <v>75</v>
      </c>
      <c r="AP125" s="144">
        <f t="shared" si="341"/>
        <v>104.16845500716113</v>
      </c>
      <c r="AR125" s="5">
        <f t="shared" si="275"/>
        <v>9.5998351893695109</v>
      </c>
      <c r="AS125" s="5">
        <f t="shared" si="440"/>
        <v>2.2321444365160836</v>
      </c>
      <c r="AT125" s="5">
        <f t="shared" si="441"/>
        <v>7.3676907528534272</v>
      </c>
      <c r="AU125" s="150">
        <f t="shared" si="442"/>
        <v>0.23251903730471069</v>
      </c>
      <c r="AW125" s="5">
        <f t="shared" si="342"/>
        <v>9.8476960434533106E-2</v>
      </c>
      <c r="AX125" s="5">
        <f t="shared" si="343"/>
        <v>1.3950902728225523</v>
      </c>
      <c r="AY125" s="5">
        <f t="shared" si="344"/>
        <v>17.473609294199818</v>
      </c>
      <c r="AZ125" s="5"/>
      <c r="BA125" s="150">
        <f t="shared" si="345"/>
        <v>3.7119948699254999</v>
      </c>
      <c r="BB125" s="150">
        <f t="shared" si="346"/>
        <v>0.31496293790098784</v>
      </c>
      <c r="BC125" s="150">
        <f t="shared" si="347"/>
        <v>0.29962007419809045</v>
      </c>
      <c r="BD125" s="150"/>
      <c r="BE125" s="456">
        <f t="shared" si="348"/>
        <v>4.6848280108800981E-2</v>
      </c>
      <c r="BF125" s="456">
        <f t="shared" si="349"/>
        <v>0.58575057541795084</v>
      </c>
      <c r="BG125" s="456">
        <f t="shared" si="350"/>
        <v>4.2747370298083336E-2</v>
      </c>
      <c r="BH125" s="456">
        <f t="shared" si="351"/>
        <v>2.2125407984996674E-2</v>
      </c>
      <c r="BI125">
        <f t="shared" si="352"/>
        <v>4.0319971471233021E-3</v>
      </c>
      <c r="BJ125" s="144">
        <f t="shared" si="436"/>
        <v>46.779367445206638</v>
      </c>
      <c r="BK125">
        <f t="shared" si="353"/>
        <v>0.67488555237109482</v>
      </c>
      <c r="BL125" s="144">
        <f t="shared" si="437"/>
        <v>701.50363095695502</v>
      </c>
      <c r="BM125" s="150">
        <f t="shared" si="354"/>
        <v>0.16640624999999998</v>
      </c>
      <c r="BN125" s="150">
        <f t="shared" si="355"/>
        <v>0.16640624999999998</v>
      </c>
      <c r="BO125" s="456"/>
      <c r="BQ125" s="144">
        <f t="shared" si="356"/>
        <v>332.81249999999994</v>
      </c>
      <c r="BR125" s="456">
        <f t="shared" si="357"/>
        <v>2.0668358871529846E-2</v>
      </c>
      <c r="BS125" s="456">
        <f t="shared" si="358"/>
        <v>1.9840330450244303E-2</v>
      </c>
      <c r="BT125" s="456">
        <f t="shared" si="359"/>
        <v>2.6931656658740768E-3</v>
      </c>
      <c r="BU125" s="456">
        <f t="shared" si="360"/>
        <v>3.5946565572875477</v>
      </c>
      <c r="BV125" s="456"/>
      <c r="BW125" s="538">
        <f t="shared" si="361"/>
        <v>1.8518836445717536E-2</v>
      </c>
      <c r="BX125" s="144">
        <f t="shared" si="362"/>
        <v>3656.377248720913</v>
      </c>
      <c r="BY125" s="150">
        <f t="shared" si="363"/>
        <v>4.6906933796778683</v>
      </c>
      <c r="BZ125" s="5">
        <f t="shared" si="364"/>
        <v>13.65</v>
      </c>
      <c r="CA125" s="150">
        <f t="shared" si="365"/>
        <v>0.74424667145489054</v>
      </c>
      <c r="CB125" s="5">
        <f t="shared" si="366"/>
        <v>74.424667145489053</v>
      </c>
      <c r="CC125">
        <f t="shared" si="367"/>
        <v>15</v>
      </c>
      <c r="CE125" s="59">
        <f t="shared" si="368"/>
        <v>-50</v>
      </c>
      <c r="CF125">
        <f t="shared" si="369"/>
        <v>-50</v>
      </c>
      <c r="CG125" s="150">
        <f t="shared" si="370"/>
        <v>0.234030004279207</v>
      </c>
      <c r="CH125" s="150">
        <f t="shared" si="371"/>
        <v>6.3416779952467153E-2</v>
      </c>
      <c r="CI125" s="147">
        <v>15</v>
      </c>
      <c r="CJ125" s="188">
        <f t="shared" si="438"/>
        <v>7.4999999999999997E-2</v>
      </c>
      <c r="CK125" s="188">
        <f t="shared" si="372"/>
        <v>7.4999999999999997E-2</v>
      </c>
      <c r="CL125" s="188">
        <f t="shared" si="373"/>
        <v>12.75</v>
      </c>
      <c r="CM125" s="188">
        <f t="shared" si="374"/>
        <v>0.89999999999999991</v>
      </c>
      <c r="CN125" s="465">
        <f t="shared" si="375"/>
        <v>9</v>
      </c>
      <c r="CO125" s="379">
        <f t="shared" si="376"/>
        <v>8.625</v>
      </c>
      <c r="CP125" s="379">
        <f t="shared" si="377"/>
        <v>17.625</v>
      </c>
      <c r="CQ125" s="379"/>
      <c r="CR125" s="188">
        <f t="shared" si="378"/>
        <v>0.48674080410607357</v>
      </c>
      <c r="CS125" s="149">
        <f t="shared" si="379"/>
        <v>136.39440115060304</v>
      </c>
      <c r="CT125" s="149">
        <f t="shared" si="380"/>
        <v>9.6278400812190377</v>
      </c>
      <c r="CU125" s="188">
        <f t="shared" si="381"/>
        <v>0.80232000676825321</v>
      </c>
      <c r="CV125" s="188">
        <f t="shared" si="382"/>
        <v>11.366200095883586</v>
      </c>
      <c r="CW125" s="188">
        <f t="shared" si="383"/>
        <v>170</v>
      </c>
      <c r="CX125" s="188">
        <f t="shared" si="384"/>
        <v>6.2319273579379031</v>
      </c>
      <c r="CY125" s="188">
        <f t="shared" si="385"/>
        <v>1.0386545596563173</v>
      </c>
      <c r="CZ125" s="188">
        <f t="shared" si="386"/>
        <v>1.0838134535544179</v>
      </c>
      <c r="DA125" s="172">
        <f t="shared" si="387"/>
        <v>220.21276595744678</v>
      </c>
      <c r="DB125" s="379">
        <f t="shared" si="388"/>
        <v>350</v>
      </c>
      <c r="DD125" s="188">
        <f t="shared" si="389"/>
        <v>13.333333333333336</v>
      </c>
      <c r="DE125" s="150">
        <f t="shared" si="390"/>
        <v>2.3188405797101459</v>
      </c>
      <c r="DF125" s="150">
        <f t="shared" si="391"/>
        <v>0.15898994622398885</v>
      </c>
      <c r="DG125" s="150"/>
      <c r="DH125" s="150">
        <f t="shared" si="392"/>
        <v>2.3188405797101455</v>
      </c>
      <c r="DI125" s="314">
        <f t="shared" si="393"/>
        <v>103.88051470588231</v>
      </c>
      <c r="DJ125" s="456">
        <f t="shared" si="394"/>
        <v>0.15898994622398879</v>
      </c>
      <c r="DL125" s="150">
        <f t="shared" si="395"/>
        <v>7.2111025509279782</v>
      </c>
      <c r="DM125" s="150">
        <f t="shared" si="396"/>
        <v>13.333333333333334</v>
      </c>
      <c r="DN125" s="150">
        <f t="shared" si="397"/>
        <v>1.059360294117647</v>
      </c>
      <c r="DP125" s="314">
        <f t="shared" si="398"/>
        <v>75</v>
      </c>
      <c r="DQ125" s="144">
        <f t="shared" si="399"/>
        <v>103.88051470588231</v>
      </c>
      <c r="DS125" s="144">
        <f t="shared" si="400"/>
        <v>75</v>
      </c>
      <c r="DT125" s="144">
        <f t="shared" si="401"/>
        <v>103.88051470588231</v>
      </c>
      <c r="DV125" s="5">
        <f t="shared" si="402"/>
        <v>9.6264444090531089</v>
      </c>
      <c r="DW125" s="5">
        <f t="shared" si="403"/>
        <v>2.2222222222222223</v>
      </c>
      <c r="DX125" s="5">
        <f t="shared" si="404"/>
        <v>7.4042221868308866</v>
      </c>
      <c r="DY125" s="150">
        <f t="shared" si="405"/>
        <v>0.23084558823529402</v>
      </c>
      <c r="EA125" s="5">
        <f t="shared" si="406"/>
        <v>9.8039215686274508E-2</v>
      </c>
      <c r="EB125" s="5">
        <f t="shared" si="407"/>
        <v>1.3888888888888886</v>
      </c>
      <c r="EC125" s="5">
        <f t="shared" si="408"/>
        <v>17.482191274461815</v>
      </c>
      <c r="ED125" s="5"/>
      <c r="EE125" s="150">
        <f t="shared" si="409"/>
        <v>3.6986130592549822</v>
      </c>
      <c r="EF125" s="150">
        <f t="shared" si="410"/>
        <v>0.31530613040979694</v>
      </c>
      <c r="EG125" s="150">
        <f t="shared" si="411"/>
        <v>0.29994654868946674</v>
      </c>
      <c r="EH125" s="150"/>
      <c r="EI125" s="456">
        <f t="shared" si="412"/>
        <v>4.6511111111111093E-2</v>
      </c>
      <c r="EJ125" s="456">
        <f t="shared" si="413"/>
        <v>0.74212239705882321</v>
      </c>
      <c r="EK125" s="456">
        <f t="shared" si="414"/>
        <v>2.3788637867647049E-2</v>
      </c>
      <c r="EL125" s="456">
        <f t="shared" si="415"/>
        <v>2.2104612989286523E-2</v>
      </c>
      <c r="EM125">
        <f t="shared" si="416"/>
        <v>4.0499999999999998E-3</v>
      </c>
      <c r="EN125" s="144">
        <f t="shared" si="417"/>
        <v>27.838637867647051</v>
      </c>
      <c r="EP125" s="144">
        <f t="shared" si="439"/>
        <v>838.57675902686788</v>
      </c>
      <c r="EQ125" s="150">
        <f t="shared" si="418"/>
        <v>0.1875</v>
      </c>
      <c r="ER125" s="150">
        <f t="shared" si="419"/>
        <v>5.3249999999999999E-2</v>
      </c>
      <c r="ES125" s="456"/>
      <c r="EU125" s="144">
        <f t="shared" si="420"/>
        <v>240.75</v>
      </c>
      <c r="EV125" s="456">
        <f t="shared" si="421"/>
        <v>2.051960784313725E-2</v>
      </c>
      <c r="EW125" s="456">
        <f t="shared" si="422"/>
        <v>1.9883591174799976E-2</v>
      </c>
      <c r="EX125" s="456">
        <f t="shared" si="423"/>
        <v>2.6990379621216788E-3</v>
      </c>
      <c r="EY125" s="456">
        <f t="shared" si="424"/>
        <v>3.569867342302639</v>
      </c>
      <c r="EZ125" s="456"/>
      <c r="FA125" s="538">
        <f t="shared" si="425"/>
        <v>1.8467647058823526E-2</v>
      </c>
      <c r="FB125" s="144">
        <f t="shared" si="426"/>
        <v>3631.4372263415216</v>
      </c>
      <c r="FC125" s="150">
        <f t="shared" si="427"/>
        <v>4.7107639853683896</v>
      </c>
      <c r="FD125" s="5">
        <f t="shared" si="428"/>
        <v>13.65</v>
      </c>
      <c r="FE125" s="150">
        <f t="shared" si="429"/>
        <v>0.74343311699217007</v>
      </c>
      <c r="FF125" s="5">
        <f t="shared" si="430"/>
        <v>74.343311699217011</v>
      </c>
      <c r="FG125">
        <f t="shared" si="431"/>
        <v>15</v>
      </c>
      <c r="FI125" s="59">
        <f t="shared" si="432"/>
        <v>-50</v>
      </c>
      <c r="FJ125">
        <f t="shared" si="433"/>
        <v>-50</v>
      </c>
    </row>
    <row r="126" spans="5:166">
      <c r="E126" s="147">
        <v>16</v>
      </c>
      <c r="F126" s="188">
        <f t="shared" si="434"/>
        <v>0.08</v>
      </c>
      <c r="G126" s="188">
        <f t="shared" si="313"/>
        <v>0.08</v>
      </c>
      <c r="H126" s="188">
        <f t="shared" si="314"/>
        <v>13.6</v>
      </c>
      <c r="I126" s="188">
        <f t="shared" si="315"/>
        <v>0.96</v>
      </c>
      <c r="J126" s="465">
        <f t="shared" si="316"/>
        <v>8.9599936602740051</v>
      </c>
      <c r="K126" s="379">
        <f t="shared" si="317"/>
        <v>8.6489071312417067</v>
      </c>
      <c r="L126" s="149">
        <f t="shared" si="318"/>
        <v>17.608900791515712</v>
      </c>
      <c r="M126" s="379"/>
      <c r="N126" s="188">
        <f t="shared" si="319"/>
        <v>0.49116678171126432</v>
      </c>
      <c r="O126" s="149">
        <f t="shared" si="320"/>
        <v>137.02284112562629</v>
      </c>
      <c r="P126" s="149">
        <f t="shared" si="321"/>
        <v>9.6722005500442094</v>
      </c>
      <c r="Q126" s="188">
        <f t="shared" si="322"/>
        <v>0.80601671250368401</v>
      </c>
      <c r="R126" s="188">
        <f t="shared" si="323"/>
        <v>11.41857009380219</v>
      </c>
      <c r="S126" s="188">
        <f t="shared" si="324"/>
        <v>170</v>
      </c>
      <c r="T126" s="188">
        <f t="shared" si="325"/>
        <v>6.6169016728781003</v>
      </c>
      <c r="U126" s="188">
        <f t="shared" si="326"/>
        <v>1.1077410192066612</v>
      </c>
      <c r="V126" s="188">
        <f t="shared" si="327"/>
        <v>1.1475845859720992</v>
      </c>
      <c r="W126" s="172">
        <f t="shared" si="328"/>
        <v>220.04256251350569</v>
      </c>
      <c r="X126" s="379">
        <f t="shared" si="435"/>
        <v>350</v>
      </c>
      <c r="Z126" s="188">
        <f t="shared" si="329"/>
        <v>13.333333333333334</v>
      </c>
      <c r="AA126" s="150">
        <f t="shared" si="330"/>
        <v>2.3124308882628322</v>
      </c>
      <c r="AB126" s="150">
        <f t="shared" si="331"/>
        <v>0.15842792510821443</v>
      </c>
      <c r="AC126" s="150"/>
      <c r="AD126" s="150">
        <f t="shared" si="332"/>
        <v>2.3124308882628322</v>
      </c>
      <c r="AE126" s="314">
        <f t="shared" si="333"/>
        <v>111.11301867430521</v>
      </c>
      <c r="AF126" s="456">
        <f t="shared" si="334"/>
        <v>0.15842792510821441</v>
      </c>
      <c r="AH126" s="150">
        <f t="shared" si="335"/>
        <v>7.447594690010102</v>
      </c>
      <c r="AI126" s="150">
        <f t="shared" si="336"/>
        <v>13.333333333333334</v>
      </c>
      <c r="AJ126" s="150">
        <f t="shared" si="337"/>
        <v>1.0634931535281744</v>
      </c>
      <c r="AL126" s="314">
        <f t="shared" si="338"/>
        <v>80</v>
      </c>
      <c r="AM126" s="144">
        <f t="shared" si="339"/>
        <v>111.11301867430521</v>
      </c>
      <c r="AO126" s="144">
        <f t="shared" si="340"/>
        <v>80</v>
      </c>
      <c r="AP126" s="144">
        <f t="shared" si="341"/>
        <v>111.11301867430521</v>
      </c>
      <c r="AR126" s="5">
        <f t="shared" si="275"/>
        <v>8.9998454900339162</v>
      </c>
      <c r="AS126" s="5">
        <f t="shared" si="440"/>
        <v>2.2321444365160836</v>
      </c>
      <c r="AT126" s="5">
        <f t="shared" si="441"/>
        <v>6.7677010535178326</v>
      </c>
      <c r="AU126" s="150">
        <f t="shared" si="442"/>
        <v>0.24802030645835807</v>
      </c>
      <c r="AW126" s="5">
        <f t="shared" si="342"/>
        <v>0.10504209113016866</v>
      </c>
      <c r="AX126" s="5">
        <f t="shared" si="343"/>
        <v>1.4880962910107227</v>
      </c>
      <c r="AY126" s="5">
        <f t="shared" si="344"/>
        <v>17.120684421895714</v>
      </c>
      <c r="AZ126" s="5"/>
      <c r="BA126" s="150">
        <f t="shared" si="345"/>
        <v>3.833731816647687</v>
      </c>
      <c r="BB126" s="150">
        <f t="shared" si="346"/>
        <v>0.31176596594318706</v>
      </c>
      <c r="BC126" s="150">
        <f t="shared" si="347"/>
        <v>0.29657883708749871</v>
      </c>
      <c r="BD126" s="150"/>
      <c r="BE126" s="456">
        <f t="shared" si="348"/>
        <v>4.997149878272103E-2</v>
      </c>
      <c r="BF126" s="456">
        <f t="shared" si="349"/>
        <v>0.62480061377914764</v>
      </c>
      <c r="BG126" s="456">
        <f t="shared" si="350"/>
        <v>4.5597194984622232E-2</v>
      </c>
      <c r="BH126" s="456">
        <f t="shared" si="351"/>
        <v>2.3600435183996456E-2</v>
      </c>
      <c r="BI126">
        <f t="shared" si="352"/>
        <v>4.0319971471233021E-3</v>
      </c>
      <c r="BJ126" s="144">
        <f t="shared" si="436"/>
        <v>49.629192131745533</v>
      </c>
      <c r="BK126">
        <f t="shared" si="353"/>
        <v>0.72041854615088174</v>
      </c>
      <c r="BL126" s="144">
        <f t="shared" si="437"/>
        <v>748.0017398776107</v>
      </c>
      <c r="BM126" s="150">
        <f t="shared" si="354"/>
        <v>0.17749999999999999</v>
      </c>
      <c r="BN126" s="150">
        <f t="shared" si="355"/>
        <v>0.17749999999999999</v>
      </c>
      <c r="BO126" s="456"/>
      <c r="BQ126" s="144">
        <f t="shared" si="356"/>
        <v>355</v>
      </c>
      <c r="BR126" s="456">
        <f t="shared" si="357"/>
        <v>2.2046249462965163E-2</v>
      </c>
      <c r="BS126" s="456">
        <f t="shared" si="358"/>
        <v>1.9439603504097694E-2</v>
      </c>
      <c r="BT126" s="456">
        <f t="shared" si="359"/>
        <v>2.6387701982451927E-3</v>
      </c>
      <c r="BU126" s="456">
        <f t="shared" si="360"/>
        <v>4.2240515737099242</v>
      </c>
      <c r="BV126" s="456"/>
      <c r="BW126" s="538">
        <f t="shared" si="361"/>
        <v>1.9753425542098708E-2</v>
      </c>
      <c r="BX126" s="144">
        <f t="shared" si="362"/>
        <v>4287.9296224173313</v>
      </c>
      <c r="BY126" s="150">
        <f t="shared" si="363"/>
        <v>5.3909313622949417</v>
      </c>
      <c r="BZ126" s="5">
        <f t="shared" si="364"/>
        <v>14.559999999999999</v>
      </c>
      <c r="CA126" s="150">
        <f t="shared" si="365"/>
        <v>0.72979049126081363</v>
      </c>
      <c r="CB126" s="5">
        <f t="shared" si="366"/>
        <v>72.979049126081364</v>
      </c>
      <c r="CC126">
        <f t="shared" si="367"/>
        <v>16</v>
      </c>
      <c r="CE126" s="59">
        <f t="shared" si="368"/>
        <v>-50</v>
      </c>
      <c r="CF126">
        <f t="shared" si="369"/>
        <v>-50</v>
      </c>
      <c r="CG126" s="150">
        <f t="shared" si="370"/>
        <v>0.24963200456448753</v>
      </c>
      <c r="CH126" s="150">
        <f t="shared" si="371"/>
        <v>6.7644565282631644E-2</v>
      </c>
      <c r="CI126" s="147">
        <v>16</v>
      </c>
      <c r="CJ126" s="188">
        <f t="shared" si="438"/>
        <v>0.08</v>
      </c>
      <c r="CK126" s="188">
        <f t="shared" si="372"/>
        <v>0.08</v>
      </c>
      <c r="CL126" s="188">
        <f t="shared" si="373"/>
        <v>13.6</v>
      </c>
      <c r="CM126" s="188">
        <f t="shared" si="374"/>
        <v>0.96</v>
      </c>
      <c r="CN126" s="465">
        <f t="shared" si="375"/>
        <v>9</v>
      </c>
      <c r="CO126" s="379">
        <f t="shared" si="376"/>
        <v>8.625</v>
      </c>
      <c r="CP126" s="379">
        <f t="shared" si="377"/>
        <v>17.625</v>
      </c>
      <c r="CQ126" s="379"/>
      <c r="CR126" s="188">
        <f t="shared" si="378"/>
        <v>0.48674080410607357</v>
      </c>
      <c r="CS126" s="149">
        <f t="shared" si="379"/>
        <v>136.39440115060304</v>
      </c>
      <c r="CT126" s="149">
        <f t="shared" si="380"/>
        <v>9.6278400812190377</v>
      </c>
      <c r="CU126" s="188">
        <f t="shared" si="381"/>
        <v>0.80232000676825321</v>
      </c>
      <c r="CV126" s="188">
        <f t="shared" si="382"/>
        <v>11.366200095883586</v>
      </c>
      <c r="CW126" s="188">
        <f t="shared" si="383"/>
        <v>170</v>
      </c>
      <c r="CX126" s="188">
        <f t="shared" si="384"/>
        <v>6.6473891818004294</v>
      </c>
      <c r="CY126" s="188">
        <f t="shared" si="385"/>
        <v>1.1078981969667383</v>
      </c>
      <c r="CZ126" s="188">
        <f t="shared" si="386"/>
        <v>1.156067683791379</v>
      </c>
      <c r="DA126" s="172">
        <f t="shared" si="387"/>
        <v>220.21276595744678</v>
      </c>
      <c r="DB126" s="379">
        <f t="shared" si="388"/>
        <v>350</v>
      </c>
      <c r="DD126" s="188">
        <f t="shared" si="389"/>
        <v>13.333333333333336</v>
      </c>
      <c r="DE126" s="150">
        <f t="shared" si="390"/>
        <v>2.3188405797101459</v>
      </c>
      <c r="DF126" s="150">
        <f t="shared" si="391"/>
        <v>0.15898994622398885</v>
      </c>
      <c r="DG126" s="150"/>
      <c r="DH126" s="150">
        <f t="shared" si="392"/>
        <v>2.3188405797101455</v>
      </c>
      <c r="DI126" s="314">
        <f t="shared" si="393"/>
        <v>110.80588235294115</v>
      </c>
      <c r="DJ126" s="456">
        <f t="shared" si="394"/>
        <v>0.15898994622398879</v>
      </c>
      <c r="DL126" s="150">
        <f t="shared" si="395"/>
        <v>7.447594690010102</v>
      </c>
      <c r="DM126" s="150">
        <f t="shared" si="396"/>
        <v>13.333333333333334</v>
      </c>
      <c r="DN126" s="150">
        <f t="shared" si="397"/>
        <v>1.0633176470588235</v>
      </c>
      <c r="DP126" s="314">
        <f t="shared" si="398"/>
        <v>80</v>
      </c>
      <c r="DQ126" s="144">
        <f t="shared" si="399"/>
        <v>110.80588235294115</v>
      </c>
      <c r="DS126" s="144">
        <f t="shared" si="400"/>
        <v>80</v>
      </c>
      <c r="DT126" s="144">
        <f t="shared" si="401"/>
        <v>110.80588235294115</v>
      </c>
      <c r="DV126" s="5">
        <f t="shared" si="402"/>
        <v>9.024791633487288</v>
      </c>
      <c r="DW126" s="5">
        <f t="shared" si="403"/>
        <v>2.2222222222222223</v>
      </c>
      <c r="DX126" s="5">
        <f t="shared" si="404"/>
        <v>6.8025694112650656</v>
      </c>
      <c r="DY126" s="150">
        <f t="shared" si="405"/>
        <v>0.246235294117647</v>
      </c>
      <c r="EA126" s="5">
        <f t="shared" si="406"/>
        <v>0.10457516339869281</v>
      </c>
      <c r="EB126" s="5">
        <f t="shared" si="407"/>
        <v>1.4814814814814816</v>
      </c>
      <c r="EC126" s="5">
        <f t="shared" si="408"/>
        <v>17.132397035778681</v>
      </c>
      <c r="ED126" s="5"/>
      <c r="EE126" s="150">
        <f t="shared" si="409"/>
        <v>3.8199111420159504</v>
      </c>
      <c r="EF126" s="150">
        <f t="shared" si="410"/>
        <v>0.31213577395868186</v>
      </c>
      <c r="EG126" s="150">
        <f t="shared" si="411"/>
        <v>0.29693063055812108</v>
      </c>
      <c r="EH126" s="150"/>
      <c r="EI126" s="456">
        <f t="shared" si="412"/>
        <v>4.9611851851851844E-2</v>
      </c>
      <c r="EJ126" s="456">
        <f t="shared" si="413"/>
        <v>0.79159722352941164</v>
      </c>
      <c r="EK126" s="456">
        <f t="shared" si="414"/>
        <v>2.5374547058823527E-2</v>
      </c>
      <c r="EL126" s="456">
        <f t="shared" si="415"/>
        <v>2.3578253855238967E-2</v>
      </c>
      <c r="EM126">
        <f t="shared" si="416"/>
        <v>4.0499999999999998E-3</v>
      </c>
      <c r="EN126" s="144">
        <f t="shared" si="417"/>
        <v>29.424547058823524</v>
      </c>
      <c r="EP126" s="144">
        <f t="shared" si="439"/>
        <v>894.21187629532585</v>
      </c>
      <c r="EQ126" s="150">
        <f t="shared" si="418"/>
        <v>0.2</v>
      </c>
      <c r="ER126" s="150">
        <f t="shared" si="419"/>
        <v>5.6799999999999996E-2</v>
      </c>
      <c r="ES126" s="456"/>
      <c r="EU126" s="144">
        <f t="shared" si="420"/>
        <v>256.8</v>
      </c>
      <c r="EV126" s="456">
        <f t="shared" si="421"/>
        <v>2.1887581699346403E-2</v>
      </c>
      <c r="EW126" s="456">
        <f t="shared" si="422"/>
        <v>1.9485748276957069E-2</v>
      </c>
      <c r="EX126" s="456">
        <f t="shared" si="423"/>
        <v>2.6450339809093015E-3</v>
      </c>
      <c r="EY126" s="456">
        <f t="shared" si="424"/>
        <v>4.1949219695601965</v>
      </c>
      <c r="EZ126" s="456"/>
      <c r="FA126" s="538">
        <f t="shared" si="425"/>
        <v>1.9698823529411765E-2</v>
      </c>
      <c r="FB126" s="144">
        <f t="shared" si="426"/>
        <v>4258.6391570468213</v>
      </c>
      <c r="FC126" s="150">
        <f t="shared" si="427"/>
        <v>5.409651033342147</v>
      </c>
      <c r="FD126" s="5">
        <f t="shared" si="428"/>
        <v>14.559999999999999</v>
      </c>
      <c r="FE126" s="150">
        <f t="shared" si="429"/>
        <v>0.72910638126274852</v>
      </c>
      <c r="FF126" s="5">
        <f t="shared" si="430"/>
        <v>72.910638126274847</v>
      </c>
      <c r="FG126">
        <f t="shared" si="431"/>
        <v>16</v>
      </c>
      <c r="FI126" s="59">
        <f t="shared" si="432"/>
        <v>-50</v>
      </c>
      <c r="FJ126">
        <f t="shared" si="433"/>
        <v>-50</v>
      </c>
    </row>
    <row r="127" spans="5:166">
      <c r="E127" s="147">
        <v>17</v>
      </c>
      <c r="F127" s="188">
        <f t="shared" si="434"/>
        <v>8.5000000000000006E-2</v>
      </c>
      <c r="G127" s="188">
        <f t="shared" si="313"/>
        <v>8.5000000000000006E-2</v>
      </c>
      <c r="H127" s="188">
        <f t="shared" si="314"/>
        <v>14.450000000000001</v>
      </c>
      <c r="I127" s="188">
        <f t="shared" si="315"/>
        <v>1.02</v>
      </c>
      <c r="J127" s="465">
        <f t="shared" si="316"/>
        <v>8.9599936602740051</v>
      </c>
      <c r="K127" s="379">
        <f t="shared" si="317"/>
        <v>8.6489071312417067</v>
      </c>
      <c r="L127" s="149">
        <f t="shared" si="318"/>
        <v>17.608900791515712</v>
      </c>
      <c r="M127" s="379"/>
      <c r="N127" s="188">
        <f t="shared" si="319"/>
        <v>0.49116678171126432</v>
      </c>
      <c r="O127" s="149">
        <f t="shared" si="320"/>
        <v>137.02284112562629</v>
      </c>
      <c r="P127" s="149">
        <f t="shared" si="321"/>
        <v>9.6722005500442094</v>
      </c>
      <c r="Q127" s="188">
        <f t="shared" si="322"/>
        <v>0.80601671250368401</v>
      </c>
      <c r="R127" s="188">
        <f t="shared" si="323"/>
        <v>11.41857009380219</v>
      </c>
      <c r="S127" s="188">
        <f t="shared" si="324"/>
        <v>170</v>
      </c>
      <c r="T127" s="188">
        <f t="shared" si="325"/>
        <v>7.0304580274329824</v>
      </c>
      <c r="U127" s="188">
        <f t="shared" si="326"/>
        <v>1.1769748329070779</v>
      </c>
      <c r="V127" s="188">
        <f t="shared" si="327"/>
        <v>1.2193086225953556</v>
      </c>
      <c r="W127" s="172">
        <f t="shared" si="328"/>
        <v>220.04256251350569</v>
      </c>
      <c r="X127" s="379">
        <f t="shared" si="435"/>
        <v>350</v>
      </c>
      <c r="Z127" s="188">
        <f t="shared" si="329"/>
        <v>13.333333333333334</v>
      </c>
      <c r="AA127" s="150">
        <f t="shared" si="330"/>
        <v>2.3124308882628322</v>
      </c>
      <c r="AB127" s="150">
        <f t="shared" si="331"/>
        <v>0.15842792510821443</v>
      </c>
      <c r="AC127" s="150"/>
      <c r="AD127" s="150">
        <f t="shared" si="332"/>
        <v>2.3124308882628322</v>
      </c>
      <c r="AE127" s="314">
        <f t="shared" si="333"/>
        <v>118.0575823414493</v>
      </c>
      <c r="AF127" s="456">
        <f t="shared" si="334"/>
        <v>0.15842792510821441</v>
      </c>
      <c r="AH127" s="150">
        <f t="shared" si="335"/>
        <v>7.6768048909252169</v>
      </c>
      <c r="AI127" s="150">
        <f t="shared" si="336"/>
        <v>13.333333333333334</v>
      </c>
      <c r="AJ127" s="150">
        <f t="shared" si="337"/>
        <v>1.0674614756236853</v>
      </c>
      <c r="AL127" s="314">
        <f t="shared" si="338"/>
        <v>85</v>
      </c>
      <c r="AM127" s="144">
        <f t="shared" si="339"/>
        <v>118.0575823414493</v>
      </c>
      <c r="AO127" s="144">
        <f t="shared" si="340"/>
        <v>85</v>
      </c>
      <c r="AP127" s="144">
        <f t="shared" si="341"/>
        <v>118.0575823414493</v>
      </c>
      <c r="AR127" s="5">
        <f t="shared" si="275"/>
        <v>8.4704428141495676</v>
      </c>
      <c r="AS127" s="5">
        <f t="shared" si="440"/>
        <v>2.2321444365160836</v>
      </c>
      <c r="AT127" s="5">
        <f t="shared" si="441"/>
        <v>6.2382983776334839</v>
      </c>
      <c r="AU127" s="150">
        <f t="shared" si="442"/>
        <v>0.26352157561200545</v>
      </c>
      <c r="AW127" s="5">
        <f t="shared" si="342"/>
        <v>0.1116072218258042</v>
      </c>
      <c r="AX127" s="5">
        <f t="shared" si="343"/>
        <v>1.5811023091988927</v>
      </c>
      <c r="AY127" s="5">
        <f t="shared" si="344"/>
        <v>16.767759549591609</v>
      </c>
      <c r="AZ127" s="5"/>
      <c r="BA127" s="150">
        <f t="shared" si="345"/>
        <v>3.951720305082373</v>
      </c>
      <c r="BB127" s="150">
        <f t="shared" si="346"/>
        <v>0.30853586953505979</v>
      </c>
      <c r="BC127" s="150">
        <f t="shared" si="347"/>
        <v>0.29350608912572324</v>
      </c>
      <c r="BD127" s="150"/>
      <c r="BE127" s="456">
        <f t="shared" si="348"/>
        <v>5.3094717456641093E-2</v>
      </c>
      <c r="BF127" s="456">
        <f t="shared" si="349"/>
        <v>0.66385065214034444</v>
      </c>
      <c r="BG127" s="456">
        <f t="shared" si="350"/>
        <v>4.8447019671161121E-2</v>
      </c>
      <c r="BH127" s="456">
        <f t="shared" si="351"/>
        <v>2.5075462382996239E-2</v>
      </c>
      <c r="BI127">
        <f t="shared" si="352"/>
        <v>4.0319971471233021E-3</v>
      </c>
      <c r="BJ127" s="144">
        <f t="shared" si="436"/>
        <v>52.479016818284421</v>
      </c>
      <c r="BK127">
        <f t="shared" si="353"/>
        <v>0.76601998129202198</v>
      </c>
      <c r="BL127" s="144">
        <f t="shared" si="437"/>
        <v>794.49984879826627</v>
      </c>
      <c r="BM127" s="150">
        <f t="shared" si="354"/>
        <v>0.18859375</v>
      </c>
      <c r="BN127" s="150">
        <f t="shared" si="355"/>
        <v>0.18859375</v>
      </c>
      <c r="BO127" s="456"/>
      <c r="BQ127" s="144">
        <f t="shared" si="356"/>
        <v>377.1875</v>
      </c>
      <c r="BR127" s="456">
        <f t="shared" si="357"/>
        <v>2.3424140054400484E-2</v>
      </c>
      <c r="BS127" s="456">
        <f t="shared" si="358"/>
        <v>1.9038876557951088E-2</v>
      </c>
      <c r="BT127" s="456">
        <f t="shared" si="359"/>
        <v>2.5843747306163096E-3</v>
      </c>
      <c r="BU127" s="456">
        <f t="shared" si="360"/>
        <v>4.9153173076832823</v>
      </c>
      <c r="BV127" s="456"/>
      <c r="BW127" s="538">
        <f t="shared" si="361"/>
        <v>2.0988014638479879E-2</v>
      </c>
      <c r="BX127" s="144">
        <f t="shared" si="362"/>
        <v>4981.3527136647299</v>
      </c>
      <c r="BY127" s="150">
        <f t="shared" si="363"/>
        <v>6.1530400624629955</v>
      </c>
      <c r="BZ127" s="5">
        <f t="shared" si="364"/>
        <v>15.47</v>
      </c>
      <c r="CA127" s="150">
        <f t="shared" si="365"/>
        <v>0.71544056503208786</v>
      </c>
      <c r="CB127" s="5">
        <f t="shared" si="366"/>
        <v>71.544056503208793</v>
      </c>
      <c r="CC127">
        <f t="shared" si="367"/>
        <v>17</v>
      </c>
      <c r="CE127" s="59">
        <f t="shared" si="368"/>
        <v>-50</v>
      </c>
      <c r="CF127">
        <f t="shared" si="369"/>
        <v>-50</v>
      </c>
      <c r="CG127" s="150">
        <f t="shared" si="370"/>
        <v>0.26523400484976795</v>
      </c>
      <c r="CH127" s="150">
        <f t="shared" si="371"/>
        <v>7.1872350612796107E-2</v>
      </c>
      <c r="CI127" s="147">
        <v>17</v>
      </c>
      <c r="CJ127" s="188">
        <f t="shared" si="438"/>
        <v>8.5000000000000006E-2</v>
      </c>
      <c r="CK127" s="188">
        <f t="shared" si="372"/>
        <v>8.5000000000000006E-2</v>
      </c>
      <c r="CL127" s="188">
        <f t="shared" si="373"/>
        <v>14.450000000000001</v>
      </c>
      <c r="CM127" s="188">
        <f t="shared" si="374"/>
        <v>1.02</v>
      </c>
      <c r="CN127" s="465">
        <f t="shared" si="375"/>
        <v>9</v>
      </c>
      <c r="CO127" s="379">
        <f t="shared" si="376"/>
        <v>8.625</v>
      </c>
      <c r="CP127" s="379">
        <f t="shared" si="377"/>
        <v>17.625</v>
      </c>
      <c r="CQ127" s="379"/>
      <c r="CR127" s="188">
        <f t="shared" si="378"/>
        <v>0.48674080410607357</v>
      </c>
      <c r="CS127" s="149">
        <f t="shared" si="379"/>
        <v>136.39440115060304</v>
      </c>
      <c r="CT127" s="149">
        <f t="shared" si="380"/>
        <v>9.6278400812190377</v>
      </c>
      <c r="CU127" s="188">
        <f t="shared" si="381"/>
        <v>0.80232000676825321</v>
      </c>
      <c r="CV127" s="188">
        <f t="shared" si="382"/>
        <v>11.366200095883586</v>
      </c>
      <c r="CW127" s="188">
        <f t="shared" si="383"/>
        <v>170</v>
      </c>
      <c r="CX127" s="188">
        <f t="shared" si="384"/>
        <v>7.0628510056629565</v>
      </c>
      <c r="CY127" s="188">
        <f t="shared" si="385"/>
        <v>1.1771418342771593</v>
      </c>
      <c r="CZ127" s="188">
        <f t="shared" si="386"/>
        <v>1.2283219140283403</v>
      </c>
      <c r="DA127" s="172">
        <f t="shared" si="387"/>
        <v>220.21276595744678</v>
      </c>
      <c r="DB127" s="379">
        <f t="shared" si="388"/>
        <v>350</v>
      </c>
      <c r="DD127" s="188">
        <f t="shared" si="389"/>
        <v>13.333333333333336</v>
      </c>
      <c r="DE127" s="150">
        <f t="shared" si="390"/>
        <v>2.3188405797101459</v>
      </c>
      <c r="DF127" s="150">
        <f t="shared" si="391"/>
        <v>0.15898994622398885</v>
      </c>
      <c r="DG127" s="150"/>
      <c r="DH127" s="150">
        <f t="shared" si="392"/>
        <v>2.3188405797101455</v>
      </c>
      <c r="DI127" s="314">
        <f t="shared" si="393"/>
        <v>117.73124999999997</v>
      </c>
      <c r="DJ127" s="456">
        <f t="shared" si="394"/>
        <v>0.15898994622398879</v>
      </c>
      <c r="DL127" s="150">
        <f t="shared" si="395"/>
        <v>7.6768048909252169</v>
      </c>
      <c r="DM127" s="150">
        <f t="shared" si="396"/>
        <v>13.333333333333334</v>
      </c>
      <c r="DN127" s="150">
        <f t="shared" si="397"/>
        <v>1.067275</v>
      </c>
      <c r="DP127" s="314">
        <f t="shared" si="398"/>
        <v>85</v>
      </c>
      <c r="DQ127" s="144">
        <f t="shared" si="399"/>
        <v>117.73124999999997</v>
      </c>
      <c r="DS127" s="144">
        <f t="shared" si="400"/>
        <v>85</v>
      </c>
      <c r="DT127" s="144">
        <f t="shared" si="401"/>
        <v>117.73124999999997</v>
      </c>
      <c r="DV127" s="5">
        <f t="shared" si="402"/>
        <v>8.4939215373997996</v>
      </c>
      <c r="DW127" s="5">
        <f t="shared" si="403"/>
        <v>2.2222222222222223</v>
      </c>
      <c r="DX127" s="5">
        <f t="shared" si="404"/>
        <v>6.2716993151775773</v>
      </c>
      <c r="DY127" s="150">
        <f t="shared" si="405"/>
        <v>0.261625</v>
      </c>
      <c r="EA127" s="5">
        <f t="shared" si="406"/>
        <v>0.11111111111111113</v>
      </c>
      <c r="EB127" s="5">
        <f t="shared" si="407"/>
        <v>1.5740740740740744</v>
      </c>
      <c r="EC127" s="5">
        <f t="shared" si="408"/>
        <v>16.782602797095553</v>
      </c>
      <c r="ED127" s="5"/>
      <c r="EE127" s="150">
        <f t="shared" si="409"/>
        <v>3.9374742797513873</v>
      </c>
      <c r="EF127" s="150">
        <f t="shared" si="410"/>
        <v>0.30893288412788117</v>
      </c>
      <c r="EG127" s="150">
        <f t="shared" si="411"/>
        <v>0.29388376385326925</v>
      </c>
      <c r="EH127" s="150"/>
      <c r="EI127" s="456">
        <f t="shared" si="412"/>
        <v>5.2712592592592603E-2</v>
      </c>
      <c r="EJ127" s="456">
        <f t="shared" si="413"/>
        <v>0.84107204999999985</v>
      </c>
      <c r="EK127" s="456">
        <f t="shared" si="414"/>
        <v>2.6960456249999997E-2</v>
      </c>
      <c r="EL127" s="456">
        <f t="shared" si="415"/>
        <v>2.5051894721191403E-2</v>
      </c>
      <c r="EM127">
        <f t="shared" si="416"/>
        <v>4.0499999999999998E-3</v>
      </c>
      <c r="EN127" s="144">
        <f t="shared" si="417"/>
        <v>31.010456249999997</v>
      </c>
      <c r="EP127" s="144">
        <f t="shared" si="439"/>
        <v>949.84699356378383</v>
      </c>
      <c r="EQ127" s="150">
        <f t="shared" si="418"/>
        <v>0.21250000000000002</v>
      </c>
      <c r="ER127" s="150">
        <f t="shared" si="419"/>
        <v>6.0350000000000001E-2</v>
      </c>
      <c r="ES127" s="456"/>
      <c r="EU127" s="144">
        <f t="shared" si="420"/>
        <v>272.85000000000002</v>
      </c>
      <c r="EV127" s="456">
        <f t="shared" si="421"/>
        <v>2.3255555555555561E-2</v>
      </c>
      <c r="EW127" s="456">
        <f t="shared" si="422"/>
        <v>1.9087905379114173E-2</v>
      </c>
      <c r="EX127" s="456">
        <f t="shared" si="423"/>
        <v>2.5910299996969237E-3</v>
      </c>
      <c r="EY127" s="456">
        <f t="shared" si="424"/>
        <v>4.8814206459250924</v>
      </c>
      <c r="EZ127" s="456"/>
      <c r="FA127" s="538">
        <f t="shared" si="425"/>
        <v>2.0930000000000001E-2</v>
      </c>
      <c r="FB127" s="144">
        <f t="shared" si="426"/>
        <v>4947.2851368594584</v>
      </c>
      <c r="FC127" s="150">
        <f t="shared" si="427"/>
        <v>6.1699821304232429</v>
      </c>
      <c r="FD127" s="5">
        <f t="shared" si="428"/>
        <v>15.47</v>
      </c>
      <c r="FE127" s="150">
        <f t="shared" si="429"/>
        <v>0.71488044244967375</v>
      </c>
      <c r="FF127" s="5">
        <f t="shared" si="430"/>
        <v>71.488044244967369</v>
      </c>
      <c r="FG127">
        <f t="shared" si="431"/>
        <v>17</v>
      </c>
      <c r="FI127" s="59">
        <f t="shared" si="432"/>
        <v>-50</v>
      </c>
      <c r="FJ127">
        <f t="shared" si="433"/>
        <v>-50</v>
      </c>
    </row>
    <row r="128" spans="5:166">
      <c r="E128" s="147">
        <v>18</v>
      </c>
      <c r="F128" s="188">
        <f t="shared" si="434"/>
        <v>0.09</v>
      </c>
      <c r="G128" s="188">
        <f t="shared" si="313"/>
        <v>0.09</v>
      </c>
      <c r="H128" s="188">
        <f t="shared" si="314"/>
        <v>15.299999999999999</v>
      </c>
      <c r="I128" s="188">
        <f t="shared" si="315"/>
        <v>1.08</v>
      </c>
      <c r="J128" s="465">
        <f t="shared" si="316"/>
        <v>8.9599936602740051</v>
      </c>
      <c r="K128" s="379">
        <f t="shared" si="317"/>
        <v>8.6489071312417067</v>
      </c>
      <c r="L128" s="149">
        <f t="shared" si="318"/>
        <v>17.608900791515712</v>
      </c>
      <c r="M128" s="379"/>
      <c r="N128" s="188">
        <f t="shared" si="319"/>
        <v>0.49116678171126432</v>
      </c>
      <c r="O128" s="149">
        <f t="shared" si="320"/>
        <v>137.02284112562629</v>
      </c>
      <c r="P128" s="149">
        <f t="shared" si="321"/>
        <v>9.6722005500442094</v>
      </c>
      <c r="Q128" s="188">
        <f t="shared" si="322"/>
        <v>0.80601671250368401</v>
      </c>
      <c r="R128" s="188">
        <f t="shared" si="323"/>
        <v>11.41857009380219</v>
      </c>
      <c r="S128" s="188">
        <f t="shared" si="324"/>
        <v>170</v>
      </c>
      <c r="T128" s="188">
        <f t="shared" si="325"/>
        <v>7.4440143819878628</v>
      </c>
      <c r="U128" s="188">
        <f t="shared" si="326"/>
        <v>1.2462086466074942</v>
      </c>
      <c r="V128" s="188">
        <f t="shared" si="327"/>
        <v>1.2910326592186119</v>
      </c>
      <c r="W128" s="172">
        <f t="shared" si="328"/>
        <v>220.04256251350569</v>
      </c>
      <c r="X128" s="379">
        <f t="shared" si="435"/>
        <v>350</v>
      </c>
      <c r="Z128" s="188">
        <f t="shared" si="329"/>
        <v>13.333333333333334</v>
      </c>
      <c r="AA128" s="150">
        <f t="shared" si="330"/>
        <v>2.3124308882628322</v>
      </c>
      <c r="AB128" s="150">
        <f t="shared" si="331"/>
        <v>0.15842792510821443</v>
      </c>
      <c r="AC128" s="150"/>
      <c r="AD128" s="150">
        <f t="shared" si="332"/>
        <v>2.3124308882628322</v>
      </c>
      <c r="AE128" s="314">
        <f t="shared" si="333"/>
        <v>125.00214600859334</v>
      </c>
      <c r="AF128" s="456">
        <f t="shared" si="334"/>
        <v>0.15842792510821441</v>
      </c>
      <c r="AH128" s="150">
        <f t="shared" si="335"/>
        <v>7.8993670632525994</v>
      </c>
      <c r="AI128" s="150">
        <f t="shared" si="336"/>
        <v>13.333333333333334</v>
      </c>
      <c r="AJ128" s="150">
        <f t="shared" si="337"/>
        <v>1.0714297977191962</v>
      </c>
      <c r="AL128" s="314">
        <f t="shared" si="338"/>
        <v>90</v>
      </c>
      <c r="AM128" s="144">
        <f t="shared" si="339"/>
        <v>125.00214600859334</v>
      </c>
      <c r="AO128" s="144">
        <f t="shared" si="340"/>
        <v>90</v>
      </c>
      <c r="AP128" s="144">
        <f t="shared" si="341"/>
        <v>125.00214600859334</v>
      </c>
      <c r="AR128" s="5">
        <f t="shared" si="275"/>
        <v>7.9998626578079257</v>
      </c>
      <c r="AS128" s="5">
        <f t="shared" si="440"/>
        <v>2.2321444365160836</v>
      </c>
      <c r="AT128" s="5">
        <f t="shared" si="441"/>
        <v>5.7677182212918421</v>
      </c>
      <c r="AU128" s="150">
        <f t="shared" si="442"/>
        <v>0.27902284476565281</v>
      </c>
      <c r="AW128" s="5">
        <f t="shared" si="342"/>
        <v>0.11817235252143971</v>
      </c>
      <c r="AX128" s="5">
        <f t="shared" si="343"/>
        <v>1.6741083273870627</v>
      </c>
      <c r="AY128" s="5">
        <f t="shared" si="344"/>
        <v>16.414834677287505</v>
      </c>
      <c r="AZ128" s="5"/>
      <c r="BA128" s="150">
        <f t="shared" si="345"/>
        <v>4.0662866472033024</v>
      </c>
      <c r="BB128" s="150">
        <f t="shared" si="346"/>
        <v>0.30527159720324848</v>
      </c>
      <c r="BC128" s="150">
        <f t="shared" si="347"/>
        <v>0.2904008300600755</v>
      </c>
      <c r="BD128" s="150"/>
      <c r="BE128" s="456">
        <f t="shared" si="348"/>
        <v>5.6217936130561169E-2</v>
      </c>
      <c r="BF128" s="456">
        <f t="shared" si="349"/>
        <v>0.70290069050154103</v>
      </c>
      <c r="BG128" s="456">
        <f t="shared" si="350"/>
        <v>5.1296844357700003E-2</v>
      </c>
      <c r="BH128" s="456">
        <f t="shared" si="351"/>
        <v>2.6550489581996007E-2</v>
      </c>
      <c r="BI128">
        <f t="shared" si="352"/>
        <v>4.0319971471233021E-3</v>
      </c>
      <c r="BJ128" s="144">
        <f t="shared" si="436"/>
        <v>55.328841504823302</v>
      </c>
      <c r="BK128">
        <f t="shared" si="353"/>
        <v>0.81169001222351267</v>
      </c>
      <c r="BL128" s="144">
        <f t="shared" si="437"/>
        <v>840.9979577189215</v>
      </c>
      <c r="BM128" s="150">
        <f t="shared" si="354"/>
        <v>0.19968749999999996</v>
      </c>
      <c r="BN128" s="150">
        <f t="shared" si="355"/>
        <v>0.19968749999999996</v>
      </c>
      <c r="BO128" s="456"/>
      <c r="BQ128" s="144">
        <f t="shared" si="356"/>
        <v>399.37499999999994</v>
      </c>
      <c r="BR128" s="456">
        <f t="shared" si="357"/>
        <v>2.4802030645835811E-2</v>
      </c>
      <c r="BS128" s="456">
        <f t="shared" si="358"/>
        <v>1.8638149611804478E-2</v>
      </c>
      <c r="BT128" s="456">
        <f t="shared" si="359"/>
        <v>2.5299792629874251E-3</v>
      </c>
      <c r="BU128" s="456">
        <f t="shared" si="360"/>
        <v>5.6703585107815373</v>
      </c>
      <c r="BV128" s="456"/>
      <c r="BW128" s="538">
        <f t="shared" si="361"/>
        <v>2.2222603734861044E-2</v>
      </c>
      <c r="BX128" s="144">
        <f t="shared" si="362"/>
        <v>5738.5512740370259</v>
      </c>
      <c r="BY128" s="150">
        <f t="shared" si="363"/>
        <v>6.9789242317559479</v>
      </c>
      <c r="BZ128" s="5">
        <f t="shared" si="364"/>
        <v>16.38</v>
      </c>
      <c r="CA128" s="150">
        <f t="shared" si="365"/>
        <v>0.70123092302905576</v>
      </c>
      <c r="CB128" s="5">
        <f t="shared" si="366"/>
        <v>70.123092302905576</v>
      </c>
      <c r="CC128">
        <f t="shared" si="367"/>
        <v>18</v>
      </c>
      <c r="CE128" s="59">
        <f t="shared" si="368"/>
        <v>-50</v>
      </c>
      <c r="CF128">
        <f t="shared" si="369"/>
        <v>-50</v>
      </c>
      <c r="CG128" s="150">
        <f t="shared" si="370"/>
        <v>0.28083600513504842</v>
      </c>
      <c r="CH128" s="150">
        <f t="shared" si="371"/>
        <v>7.6100135942960584E-2</v>
      </c>
      <c r="CI128" s="147">
        <v>18</v>
      </c>
      <c r="CJ128" s="188">
        <f t="shared" si="438"/>
        <v>0.09</v>
      </c>
      <c r="CK128" s="188">
        <f t="shared" si="372"/>
        <v>0.09</v>
      </c>
      <c r="CL128" s="188">
        <f t="shared" si="373"/>
        <v>15.299999999999999</v>
      </c>
      <c r="CM128" s="188">
        <f t="shared" si="374"/>
        <v>1.08</v>
      </c>
      <c r="CN128" s="465">
        <f t="shared" si="375"/>
        <v>9</v>
      </c>
      <c r="CO128" s="379">
        <f t="shared" si="376"/>
        <v>8.625</v>
      </c>
      <c r="CP128" s="379">
        <f t="shared" si="377"/>
        <v>17.625</v>
      </c>
      <c r="CQ128" s="379"/>
      <c r="CR128" s="188">
        <f t="shared" si="378"/>
        <v>0.48674080410607357</v>
      </c>
      <c r="CS128" s="149">
        <f t="shared" si="379"/>
        <v>136.39440115060304</v>
      </c>
      <c r="CT128" s="149">
        <f t="shared" si="380"/>
        <v>9.6278400812190377</v>
      </c>
      <c r="CU128" s="188">
        <f t="shared" si="381"/>
        <v>0.80232000676825321</v>
      </c>
      <c r="CV128" s="188">
        <f t="shared" si="382"/>
        <v>11.366200095883586</v>
      </c>
      <c r="CW128" s="188">
        <f t="shared" si="383"/>
        <v>170</v>
      </c>
      <c r="CX128" s="188">
        <f t="shared" si="384"/>
        <v>7.4783128295254828</v>
      </c>
      <c r="CY128" s="188">
        <f t="shared" si="385"/>
        <v>1.2463854715875806</v>
      </c>
      <c r="CZ128" s="188">
        <f t="shared" si="386"/>
        <v>1.3005761442653014</v>
      </c>
      <c r="DA128" s="172">
        <f t="shared" si="387"/>
        <v>220.21276595744678</v>
      </c>
      <c r="DB128" s="379">
        <f t="shared" si="388"/>
        <v>350</v>
      </c>
      <c r="DD128" s="188">
        <f t="shared" si="389"/>
        <v>13.333333333333336</v>
      </c>
      <c r="DE128" s="150">
        <f t="shared" si="390"/>
        <v>2.3188405797101459</v>
      </c>
      <c r="DF128" s="150">
        <f t="shared" si="391"/>
        <v>0.15898994622398885</v>
      </c>
      <c r="DG128" s="150"/>
      <c r="DH128" s="150">
        <f t="shared" si="392"/>
        <v>2.3188405797101455</v>
      </c>
      <c r="DI128" s="314">
        <f t="shared" si="393"/>
        <v>124.65661764705878</v>
      </c>
      <c r="DJ128" s="456">
        <f t="shared" si="394"/>
        <v>0.15898994622398879</v>
      </c>
      <c r="DL128" s="150">
        <f t="shared" si="395"/>
        <v>7.8993670632525994</v>
      </c>
      <c r="DM128" s="150">
        <f t="shared" si="396"/>
        <v>13.333333333333334</v>
      </c>
      <c r="DN128" s="150">
        <f t="shared" si="397"/>
        <v>1.0712323529411765</v>
      </c>
      <c r="DP128" s="314">
        <f t="shared" si="398"/>
        <v>90</v>
      </c>
      <c r="DQ128" s="144">
        <f t="shared" si="399"/>
        <v>124.65661764705878</v>
      </c>
      <c r="DS128" s="144">
        <f t="shared" si="400"/>
        <v>90</v>
      </c>
      <c r="DT128" s="144">
        <f t="shared" si="401"/>
        <v>124.65661764705878</v>
      </c>
      <c r="DV128" s="5">
        <f t="shared" si="402"/>
        <v>8.022037007544256</v>
      </c>
      <c r="DW128" s="5">
        <f t="shared" si="403"/>
        <v>2.2222222222222223</v>
      </c>
      <c r="DX128" s="5">
        <f t="shared" si="404"/>
        <v>5.7998147853220337</v>
      </c>
      <c r="DY128" s="150">
        <f t="shared" si="405"/>
        <v>0.27701470588235289</v>
      </c>
      <c r="EA128" s="5">
        <f t="shared" si="406"/>
        <v>0.11764705882352941</v>
      </c>
      <c r="EB128" s="5">
        <f t="shared" si="407"/>
        <v>1.6666666666666667</v>
      </c>
      <c r="EC128" s="5">
        <f t="shared" si="408"/>
        <v>16.432808558412425</v>
      </c>
      <c r="ED128" s="5"/>
      <c r="EE128" s="150">
        <f t="shared" si="409"/>
        <v>4.0516276080742912</v>
      </c>
      <c r="EF128" s="150">
        <f t="shared" si="410"/>
        <v>0.30569643832788823</v>
      </c>
      <c r="EG128" s="150">
        <f t="shared" si="411"/>
        <v>0.29080497579904807</v>
      </c>
      <c r="EH128" s="150"/>
      <c r="EI128" s="456">
        <f t="shared" si="412"/>
        <v>5.5813333333333326E-2</v>
      </c>
      <c r="EJ128" s="456">
        <f t="shared" si="413"/>
        <v>0.89054687647058794</v>
      </c>
      <c r="EK128" s="456">
        <f t="shared" si="414"/>
        <v>2.8546365441176461E-2</v>
      </c>
      <c r="EL128" s="456">
        <f t="shared" si="415"/>
        <v>2.6525535587143833E-2</v>
      </c>
      <c r="EM128">
        <f t="shared" si="416"/>
        <v>4.0499999999999998E-3</v>
      </c>
      <c r="EN128" s="144">
        <f t="shared" si="417"/>
        <v>32.596365441176459</v>
      </c>
      <c r="EP128" s="144">
        <f t="shared" si="439"/>
        <v>1005.4821108322416</v>
      </c>
      <c r="EQ128" s="150">
        <f t="shared" si="418"/>
        <v>0.22499999999999998</v>
      </c>
      <c r="ER128" s="150">
        <f t="shared" si="419"/>
        <v>6.3899999999999998E-2</v>
      </c>
      <c r="ES128" s="456"/>
      <c r="EU128" s="144">
        <f t="shared" si="420"/>
        <v>288.89999999999998</v>
      </c>
      <c r="EV128" s="456">
        <f t="shared" si="421"/>
        <v>2.4623529411764704E-2</v>
      </c>
      <c r="EW128" s="456">
        <f t="shared" si="422"/>
        <v>1.8690062481271277E-2</v>
      </c>
      <c r="EX128" s="456">
        <f t="shared" si="423"/>
        <v>2.537026018484548E-3</v>
      </c>
      <c r="EY128" s="456">
        <f t="shared" si="424"/>
        <v>5.6312549875588989</v>
      </c>
      <c r="EZ128" s="456"/>
      <c r="FA128" s="538">
        <f t="shared" si="425"/>
        <v>2.2161176470588233E-2</v>
      </c>
      <c r="FB128" s="144">
        <f t="shared" si="426"/>
        <v>5699.266781941008</v>
      </c>
      <c r="FC128" s="150">
        <f t="shared" si="427"/>
        <v>6.9936488927732494</v>
      </c>
      <c r="FD128" s="5">
        <f t="shared" si="428"/>
        <v>16.38</v>
      </c>
      <c r="FE128" s="150">
        <f t="shared" si="429"/>
        <v>0.70078916968177907</v>
      </c>
      <c r="FF128" s="5">
        <f t="shared" si="430"/>
        <v>70.078916968177907</v>
      </c>
      <c r="FG128">
        <f t="shared" si="431"/>
        <v>18</v>
      </c>
      <c r="FI128" s="59">
        <f t="shared" si="432"/>
        <v>-50</v>
      </c>
      <c r="FJ128">
        <f t="shared" si="433"/>
        <v>-50</v>
      </c>
    </row>
    <row r="129" spans="5:166">
      <c r="E129" s="147">
        <v>19</v>
      </c>
      <c r="F129" s="188">
        <f t="shared" si="434"/>
        <v>9.5000000000000001E-2</v>
      </c>
      <c r="G129" s="188">
        <f t="shared" si="313"/>
        <v>9.5000000000000001E-2</v>
      </c>
      <c r="H129" s="188">
        <f t="shared" si="314"/>
        <v>16.149999999999999</v>
      </c>
      <c r="I129" s="188">
        <f t="shared" si="315"/>
        <v>1.1400000000000001</v>
      </c>
      <c r="J129" s="465">
        <f t="shared" si="316"/>
        <v>8.9599936602740051</v>
      </c>
      <c r="K129" s="379">
        <f t="shared" si="317"/>
        <v>8.6489071312417067</v>
      </c>
      <c r="L129" s="149">
        <f t="shared" si="318"/>
        <v>17.608900791515712</v>
      </c>
      <c r="M129" s="379"/>
      <c r="N129" s="188">
        <f t="shared" si="319"/>
        <v>0.49116678171126432</v>
      </c>
      <c r="O129" s="149">
        <f t="shared" si="320"/>
        <v>137.02284112562629</v>
      </c>
      <c r="P129" s="149">
        <f t="shared" si="321"/>
        <v>9.6722005500442094</v>
      </c>
      <c r="Q129" s="188">
        <f t="shared" si="322"/>
        <v>0.80601671250368401</v>
      </c>
      <c r="R129" s="188">
        <f t="shared" si="323"/>
        <v>11.41857009380219</v>
      </c>
      <c r="S129" s="188">
        <f t="shared" si="324"/>
        <v>170</v>
      </c>
      <c r="T129" s="188">
        <f t="shared" si="325"/>
        <v>7.8575707365427441</v>
      </c>
      <c r="U129" s="188">
        <f t="shared" si="326"/>
        <v>1.3154424603079102</v>
      </c>
      <c r="V129" s="188">
        <f t="shared" si="327"/>
        <v>1.3627566958418678</v>
      </c>
      <c r="W129" s="172">
        <f t="shared" si="328"/>
        <v>220.04256251350569</v>
      </c>
      <c r="X129" s="379">
        <f t="shared" si="435"/>
        <v>347.43947369428014</v>
      </c>
      <c r="Z129" s="188">
        <f t="shared" si="329"/>
        <v>13.333333333333334</v>
      </c>
      <c r="AA129" s="150">
        <f t="shared" si="330"/>
        <v>2.3124308882628322</v>
      </c>
      <c r="AB129" s="150">
        <f t="shared" si="331"/>
        <v>0.15842792510821443</v>
      </c>
      <c r="AC129" s="150"/>
      <c r="AD129" s="150">
        <f t="shared" si="332"/>
        <v>2.3124308882628322</v>
      </c>
      <c r="AE129" s="314">
        <f t="shared" si="333"/>
        <v>131.94670967573745</v>
      </c>
      <c r="AF129" s="456">
        <f t="shared" si="334"/>
        <v>0.15842792510821441</v>
      </c>
      <c r="AH129" s="150">
        <f t="shared" si="335"/>
        <v>8.1158281565510411</v>
      </c>
      <c r="AI129" s="150">
        <f t="shared" si="336"/>
        <v>13.333333333333334</v>
      </c>
      <c r="AJ129" s="150">
        <f t="shared" si="337"/>
        <v>1.0753981198147071</v>
      </c>
      <c r="AL129" s="314">
        <f t="shared" si="338"/>
        <v>95</v>
      </c>
      <c r="AM129" s="144">
        <f t="shared" si="339"/>
        <v>131.94670967573745</v>
      </c>
      <c r="AO129" s="144">
        <f t="shared" si="340"/>
        <v>95</v>
      </c>
      <c r="AP129" s="144">
        <f t="shared" si="341"/>
        <v>131.94670967573745</v>
      </c>
      <c r="AR129" s="5">
        <f t="shared" si="275"/>
        <v>7.5788172547654025</v>
      </c>
      <c r="AS129" s="5">
        <f t="shared" si="440"/>
        <v>2.2321444365160836</v>
      </c>
      <c r="AT129" s="5">
        <f t="shared" si="441"/>
        <v>5.3466728182493188</v>
      </c>
      <c r="AU129" s="150">
        <f t="shared" si="442"/>
        <v>0.29452411391930022</v>
      </c>
      <c r="AW129" s="5">
        <f t="shared" si="342"/>
        <v>0.12473748321707527</v>
      </c>
      <c r="AX129" s="5">
        <f t="shared" si="343"/>
        <v>1.7671143455752329</v>
      </c>
      <c r="AY129" s="5">
        <f t="shared" si="344"/>
        <v>16.061909804983397</v>
      </c>
      <c r="AZ129" s="5"/>
      <c r="BA129" s="150">
        <f t="shared" si="345"/>
        <v>4.1777123913509673</v>
      </c>
      <c r="BB129" s="150">
        <f t="shared" si="346"/>
        <v>0.30197204064000582</v>
      </c>
      <c r="BC129" s="150">
        <f t="shared" si="347"/>
        <v>0.28726200557206438</v>
      </c>
      <c r="BD129" s="150"/>
      <c r="BE129" s="456">
        <f t="shared" si="348"/>
        <v>5.9341154804481218E-2</v>
      </c>
      <c r="BF129" s="456">
        <f t="shared" si="349"/>
        <v>0.74195072886273783</v>
      </c>
      <c r="BG129" s="456">
        <f t="shared" si="350"/>
        <v>5.4146669044238899E-2</v>
      </c>
      <c r="BH129" s="456">
        <f t="shared" si="351"/>
        <v>2.8025516780995793E-2</v>
      </c>
      <c r="BI129">
        <f t="shared" si="352"/>
        <v>4.0319971471233021E-3</v>
      </c>
      <c r="BJ129" s="144">
        <f t="shared" si="436"/>
        <v>58.178666191362204</v>
      </c>
      <c r="BK129">
        <f t="shared" si="353"/>
        <v>0.85742879383929993</v>
      </c>
      <c r="BL129" s="144">
        <f t="shared" si="437"/>
        <v>887.49606663957707</v>
      </c>
      <c r="BM129" s="150">
        <f t="shared" si="354"/>
        <v>0.21078124999999998</v>
      </c>
      <c r="BN129" s="150">
        <f t="shared" si="355"/>
        <v>0.21078124999999998</v>
      </c>
      <c r="BO129" s="456"/>
      <c r="BQ129" s="144">
        <f t="shared" si="356"/>
        <v>421.56249999999994</v>
      </c>
      <c r="BR129" s="456">
        <f t="shared" si="357"/>
        <v>2.6179921237271128E-2</v>
      </c>
      <c r="BS129" s="456">
        <f t="shared" si="358"/>
        <v>1.8237422665657865E-2</v>
      </c>
      <c r="BT129" s="456">
        <f t="shared" si="359"/>
        <v>2.4755837953585424E-3</v>
      </c>
      <c r="BU129" s="456">
        <f t="shared" si="360"/>
        <v>6.4910246416993127</v>
      </c>
      <c r="BV129" s="456"/>
      <c r="BW129" s="538">
        <f t="shared" si="361"/>
        <v>2.3457192831242219E-2</v>
      </c>
      <c r="BX129" s="144">
        <f t="shared" si="362"/>
        <v>6561.3747622288429</v>
      </c>
      <c r="BY129" s="150">
        <f t="shared" si="363"/>
        <v>7.870433328868419</v>
      </c>
      <c r="BZ129" s="5">
        <f t="shared" si="364"/>
        <v>17.29</v>
      </c>
      <c r="CA129" s="150">
        <f t="shared" si="365"/>
        <v>0.68719007236500607</v>
      </c>
      <c r="CB129" s="5">
        <f t="shared" si="366"/>
        <v>68.719007236500602</v>
      </c>
      <c r="CC129">
        <f t="shared" si="367"/>
        <v>19</v>
      </c>
      <c r="CE129" s="59">
        <f t="shared" si="368"/>
        <v>-50</v>
      </c>
      <c r="CF129">
        <f t="shared" si="369"/>
        <v>-50</v>
      </c>
      <c r="CG129" s="150">
        <f t="shared" si="370"/>
        <v>0.29643800542032883</v>
      </c>
      <c r="CH129" s="150">
        <f t="shared" si="371"/>
        <v>8.0327921273125061E-2</v>
      </c>
      <c r="CI129" s="147">
        <v>19</v>
      </c>
      <c r="CJ129" s="188">
        <f t="shared" si="438"/>
        <v>9.5000000000000001E-2</v>
      </c>
      <c r="CK129" s="188">
        <f t="shared" si="372"/>
        <v>9.5000000000000001E-2</v>
      </c>
      <c r="CL129" s="188">
        <f t="shared" si="373"/>
        <v>16.149999999999999</v>
      </c>
      <c r="CM129" s="188">
        <f t="shared" si="374"/>
        <v>1.1400000000000001</v>
      </c>
      <c r="CN129" s="465">
        <f t="shared" si="375"/>
        <v>9</v>
      </c>
      <c r="CO129" s="379">
        <f t="shared" si="376"/>
        <v>8.625</v>
      </c>
      <c r="CP129" s="379">
        <f t="shared" si="377"/>
        <v>17.625</v>
      </c>
      <c r="CQ129" s="379"/>
      <c r="CR129" s="188">
        <f t="shared" si="378"/>
        <v>0.48674080410607357</v>
      </c>
      <c r="CS129" s="149">
        <f t="shared" si="379"/>
        <v>136.39440115060304</v>
      </c>
      <c r="CT129" s="149">
        <f t="shared" si="380"/>
        <v>9.6278400812190377</v>
      </c>
      <c r="CU129" s="188">
        <f t="shared" si="381"/>
        <v>0.80232000676825321</v>
      </c>
      <c r="CV129" s="188">
        <f t="shared" si="382"/>
        <v>11.366200095883586</v>
      </c>
      <c r="CW129" s="188">
        <f t="shared" si="383"/>
        <v>170</v>
      </c>
      <c r="CX129" s="188">
        <f t="shared" si="384"/>
        <v>7.89377465338801</v>
      </c>
      <c r="CY129" s="188">
        <f t="shared" si="385"/>
        <v>1.3156291088980014</v>
      </c>
      <c r="CZ129" s="188">
        <f t="shared" si="386"/>
        <v>1.3728303745022625</v>
      </c>
      <c r="DA129" s="172">
        <f t="shared" si="387"/>
        <v>220.21276595744678</v>
      </c>
      <c r="DB129" s="379">
        <f t="shared" si="388"/>
        <v>350</v>
      </c>
      <c r="DD129" s="188">
        <f t="shared" si="389"/>
        <v>13.333333333333336</v>
      </c>
      <c r="DE129" s="150">
        <f t="shared" si="390"/>
        <v>2.3188405797101459</v>
      </c>
      <c r="DF129" s="150">
        <f t="shared" si="391"/>
        <v>0.15898994622398885</v>
      </c>
      <c r="DG129" s="150"/>
      <c r="DH129" s="150">
        <f t="shared" si="392"/>
        <v>2.3188405797101455</v>
      </c>
      <c r="DI129" s="314">
        <f t="shared" si="393"/>
        <v>131.5819852941176</v>
      </c>
      <c r="DJ129" s="456">
        <f t="shared" si="394"/>
        <v>0.15898994622398879</v>
      </c>
      <c r="DL129" s="150">
        <f t="shared" si="395"/>
        <v>8.1158281565510411</v>
      </c>
      <c r="DM129" s="150">
        <f t="shared" si="396"/>
        <v>13.333333333333334</v>
      </c>
      <c r="DN129" s="150">
        <f t="shared" si="397"/>
        <v>1.075189705882353</v>
      </c>
      <c r="DP129" s="314">
        <f t="shared" si="398"/>
        <v>95</v>
      </c>
      <c r="DQ129" s="144">
        <f t="shared" si="399"/>
        <v>131.5819852941176</v>
      </c>
      <c r="DS129" s="144">
        <f t="shared" si="400"/>
        <v>95</v>
      </c>
      <c r="DT129" s="144">
        <f t="shared" si="401"/>
        <v>131.5819852941176</v>
      </c>
      <c r="DV129" s="5">
        <f t="shared" si="402"/>
        <v>7.5998245334629804</v>
      </c>
      <c r="DW129" s="5">
        <f t="shared" si="403"/>
        <v>2.2222222222222223</v>
      </c>
      <c r="DX129" s="5">
        <f t="shared" si="404"/>
        <v>5.377602311240758</v>
      </c>
      <c r="DY129" s="150">
        <f t="shared" si="405"/>
        <v>0.29240441176470577</v>
      </c>
      <c r="EA129" s="5">
        <f t="shared" si="406"/>
        <v>0.12418300653594772</v>
      </c>
      <c r="EB129" s="5">
        <f t="shared" si="407"/>
        <v>1.7592592592592593</v>
      </c>
      <c r="EC129" s="5">
        <f t="shared" si="408"/>
        <v>16.083014319729301</v>
      </c>
      <c r="ED129" s="5"/>
      <c r="EE129" s="150">
        <f t="shared" si="409"/>
        <v>4.1626516603381427</v>
      </c>
      <c r="EF129" s="150">
        <f t="shared" si="410"/>
        <v>0.30242535924942188</v>
      </c>
      <c r="EG129" s="150">
        <f t="shared" si="411"/>
        <v>0.28769324156539672</v>
      </c>
      <c r="EH129" s="150"/>
      <c r="EI129" s="456">
        <f t="shared" si="412"/>
        <v>5.8914074074074035E-2</v>
      </c>
      <c r="EJ129" s="456">
        <f t="shared" si="413"/>
        <v>0.94002170294117615</v>
      </c>
      <c r="EK129" s="456">
        <f t="shared" si="414"/>
        <v>3.0132274632352931E-2</v>
      </c>
      <c r="EL129" s="456">
        <f t="shared" si="415"/>
        <v>2.7999176453096269E-2</v>
      </c>
      <c r="EM129">
        <f t="shared" si="416"/>
        <v>4.0499999999999998E-3</v>
      </c>
      <c r="EN129" s="144">
        <f t="shared" si="417"/>
        <v>34.182274632352936</v>
      </c>
      <c r="EP129" s="144">
        <f t="shared" si="439"/>
        <v>1061.1172281006995</v>
      </c>
      <c r="EQ129" s="150">
        <f t="shared" si="418"/>
        <v>0.23749999999999999</v>
      </c>
      <c r="ER129" s="150">
        <f t="shared" si="419"/>
        <v>6.745000000000001E-2</v>
      </c>
      <c r="ES129" s="456"/>
      <c r="EU129" s="144">
        <f t="shared" si="420"/>
        <v>304.95</v>
      </c>
      <c r="EV129" s="456">
        <f t="shared" si="421"/>
        <v>2.5991503267973844E-2</v>
      </c>
      <c r="EW129" s="456">
        <f t="shared" si="422"/>
        <v>1.8292219583428377E-2</v>
      </c>
      <c r="EX129" s="456">
        <f t="shared" si="423"/>
        <v>2.4830220372721711E-3</v>
      </c>
      <c r="EY129" s="456">
        <f t="shared" si="424"/>
        <v>6.4462616990506607</v>
      </c>
      <c r="EZ129" s="456"/>
      <c r="FA129" s="538">
        <f t="shared" si="425"/>
        <v>2.3392352941176468E-2</v>
      </c>
      <c r="FB129" s="144">
        <f t="shared" si="426"/>
        <v>6516.4207968805113</v>
      </c>
      <c r="FC129" s="150">
        <f t="shared" si="427"/>
        <v>7.8824880249812104</v>
      </c>
      <c r="FD129" s="5">
        <f t="shared" si="428"/>
        <v>17.29</v>
      </c>
      <c r="FE129" s="150">
        <f t="shared" si="429"/>
        <v>0.68686098818842944</v>
      </c>
      <c r="FF129" s="5">
        <f t="shared" si="430"/>
        <v>68.68609881884295</v>
      </c>
      <c r="FG129">
        <f t="shared" si="431"/>
        <v>19</v>
      </c>
      <c r="FI129" s="59">
        <f t="shared" si="432"/>
        <v>-50</v>
      </c>
      <c r="FJ129">
        <f t="shared" si="433"/>
        <v>-50</v>
      </c>
    </row>
    <row r="130" spans="5:166">
      <c r="E130" s="147">
        <v>20</v>
      </c>
      <c r="F130" s="188">
        <f t="shared" si="434"/>
        <v>0.1</v>
      </c>
      <c r="G130" s="188">
        <f t="shared" si="313"/>
        <v>0.1</v>
      </c>
      <c r="H130" s="188">
        <f t="shared" si="314"/>
        <v>17</v>
      </c>
      <c r="I130" s="188">
        <f t="shared" si="315"/>
        <v>1.2000000000000002</v>
      </c>
      <c r="J130" s="465">
        <f t="shared" si="316"/>
        <v>8.9599936602740051</v>
      </c>
      <c r="K130" s="379">
        <f t="shared" si="317"/>
        <v>8.6489071312417067</v>
      </c>
      <c r="L130" s="149">
        <f t="shared" si="318"/>
        <v>17.608900791515712</v>
      </c>
      <c r="M130" s="379"/>
      <c r="N130" s="188">
        <f t="shared" si="319"/>
        <v>0.49116678171126432</v>
      </c>
      <c r="O130" s="149">
        <f t="shared" si="320"/>
        <v>137.02284112562629</v>
      </c>
      <c r="P130" s="149">
        <f t="shared" si="321"/>
        <v>9.6722005500442094</v>
      </c>
      <c r="Q130" s="188">
        <f t="shared" si="322"/>
        <v>0.80601671250368401</v>
      </c>
      <c r="R130" s="188">
        <f t="shared" si="323"/>
        <v>11.41857009380219</v>
      </c>
      <c r="S130" s="188">
        <f t="shared" si="324"/>
        <v>170</v>
      </c>
      <c r="T130" s="188">
        <f t="shared" si="325"/>
        <v>8.2711270910976253</v>
      </c>
      <c r="U130" s="188">
        <f t="shared" si="326"/>
        <v>1.3846762740083267</v>
      </c>
      <c r="V130" s="188">
        <f t="shared" si="327"/>
        <v>1.4344807324651241</v>
      </c>
      <c r="W130" s="172">
        <f t="shared" si="328"/>
        <v>220.04256251350569</v>
      </c>
      <c r="X130" s="379">
        <f t="shared" si="435"/>
        <v>331.21828306904035</v>
      </c>
      <c r="Z130" s="188">
        <f t="shared" si="329"/>
        <v>13.333333333333334</v>
      </c>
      <c r="AA130" s="150">
        <f t="shared" si="330"/>
        <v>2.3124308882628322</v>
      </c>
      <c r="AB130" s="150">
        <f t="shared" si="331"/>
        <v>0.15842792510821443</v>
      </c>
      <c r="AC130" s="150"/>
      <c r="AD130" s="150">
        <f t="shared" si="332"/>
        <v>2.3124308882628322</v>
      </c>
      <c r="AE130" s="314">
        <f t="shared" si="333"/>
        <v>138.8912733428815</v>
      </c>
      <c r="AF130" s="456">
        <f t="shared" si="334"/>
        <v>0.15842792510821441</v>
      </c>
      <c r="AH130" s="150">
        <f t="shared" si="335"/>
        <v>8.3266639978645305</v>
      </c>
      <c r="AI130" s="150">
        <f t="shared" si="336"/>
        <v>13.333333333333334</v>
      </c>
      <c r="AJ130" s="150">
        <f t="shared" si="337"/>
        <v>1.079366441910218</v>
      </c>
      <c r="AL130" s="314">
        <f t="shared" si="338"/>
        <v>100</v>
      </c>
      <c r="AM130" s="144">
        <f t="shared" si="339"/>
        <v>138.8912733428815</v>
      </c>
      <c r="AO130" s="144">
        <f t="shared" si="340"/>
        <v>100</v>
      </c>
      <c r="AP130" s="144">
        <f t="shared" si="341"/>
        <v>138.8912733428815</v>
      </c>
      <c r="AR130" s="5">
        <f t="shared" si="275"/>
        <v>7.1998763920271331</v>
      </c>
      <c r="AS130" s="5">
        <f t="shared" si="440"/>
        <v>2.2321444365160836</v>
      </c>
      <c r="AT130" s="5">
        <f t="shared" si="441"/>
        <v>4.9677319555110495</v>
      </c>
      <c r="AU130" s="150">
        <f t="shared" si="442"/>
        <v>0.31002538307294758</v>
      </c>
      <c r="AW130" s="5">
        <f t="shared" si="342"/>
        <v>0.13130261391271081</v>
      </c>
      <c r="AX130" s="5">
        <f t="shared" si="343"/>
        <v>1.8601203637634032</v>
      </c>
      <c r="AY130" s="5">
        <f t="shared" si="344"/>
        <v>15.7089849326793</v>
      </c>
      <c r="AZ130" s="5"/>
      <c r="BA130" s="150">
        <f t="shared" si="345"/>
        <v>4.286242474763994</v>
      </c>
      <c r="BB130" s="150">
        <f t="shared" si="346"/>
        <v>0.29863603030705499</v>
      </c>
      <c r="BC130" s="150">
        <f t="shared" si="347"/>
        <v>0.28408850309540618</v>
      </c>
      <c r="BD130" s="150"/>
      <c r="BE130" s="456">
        <f t="shared" si="348"/>
        <v>6.2464373478401281E-2</v>
      </c>
      <c r="BF130" s="456">
        <f t="shared" si="349"/>
        <v>0.78100076722393452</v>
      </c>
      <c r="BG130" s="456">
        <f t="shared" si="350"/>
        <v>5.6996493730777781E-2</v>
      </c>
      <c r="BH130" s="456">
        <f t="shared" si="351"/>
        <v>2.9500543979995564E-2</v>
      </c>
      <c r="BI130">
        <f t="shared" si="352"/>
        <v>4.0319971471233021E-3</v>
      </c>
      <c r="BJ130" s="144">
        <f t="shared" si="436"/>
        <v>61.028490877901085</v>
      </c>
      <c r="BK130">
        <f t="shared" si="353"/>
        <v>0.90323648150002867</v>
      </c>
      <c r="BL130" s="144">
        <f t="shared" si="437"/>
        <v>933.99417556023241</v>
      </c>
      <c r="BM130" s="150">
        <f t="shared" si="354"/>
        <v>0.22187499999999999</v>
      </c>
      <c r="BN130" s="150">
        <f t="shared" si="355"/>
        <v>0.22187499999999999</v>
      </c>
      <c r="BO130" s="456"/>
      <c r="BQ130" s="144">
        <f t="shared" si="356"/>
        <v>443.75</v>
      </c>
      <c r="BR130" s="456">
        <f t="shared" si="357"/>
        <v>2.7557811828706452E-2</v>
      </c>
      <c r="BS130" s="456">
        <f t="shared" si="358"/>
        <v>1.7836695719511252E-2</v>
      </c>
      <c r="BT130" s="456">
        <f t="shared" si="359"/>
        <v>2.421188327729658E-3</v>
      </c>
      <c r="BU130" s="456">
        <f t="shared" si="360"/>
        <v>7.3791144213127859</v>
      </c>
      <c r="BV130" s="456"/>
      <c r="BW130" s="538">
        <f t="shared" si="361"/>
        <v>2.4691781927623384E-2</v>
      </c>
      <c r="BX130" s="144">
        <f t="shared" si="362"/>
        <v>7451.6218991163569</v>
      </c>
      <c r="BY130" s="150">
        <f t="shared" si="363"/>
        <v>8.8293660746765905</v>
      </c>
      <c r="BZ130" s="5">
        <f t="shared" si="364"/>
        <v>18.2</v>
      </c>
      <c r="CA130" s="150">
        <f t="shared" si="365"/>
        <v>0.67334172579989993</v>
      </c>
      <c r="CB130" s="5">
        <f t="shared" si="366"/>
        <v>67.334172579989996</v>
      </c>
      <c r="CC130">
        <f t="shared" si="367"/>
        <v>20</v>
      </c>
      <c r="CE130" s="59">
        <f t="shared" si="368"/>
        <v>-50</v>
      </c>
      <c r="CF130">
        <f t="shared" si="369"/>
        <v>-50</v>
      </c>
      <c r="CG130" s="150">
        <f t="shared" si="370"/>
        <v>0.31204000570560936</v>
      </c>
      <c r="CH130" s="150">
        <f t="shared" si="371"/>
        <v>8.4555706603289552E-2</v>
      </c>
      <c r="CI130" s="147">
        <v>20</v>
      </c>
      <c r="CJ130" s="188">
        <f t="shared" si="438"/>
        <v>0.1</v>
      </c>
      <c r="CK130" s="188">
        <f t="shared" si="372"/>
        <v>0.1</v>
      </c>
      <c r="CL130" s="188">
        <f t="shared" si="373"/>
        <v>17</v>
      </c>
      <c r="CM130" s="188">
        <f t="shared" si="374"/>
        <v>1.2000000000000002</v>
      </c>
      <c r="CN130" s="465">
        <f t="shared" si="375"/>
        <v>9</v>
      </c>
      <c r="CO130" s="379">
        <f t="shared" si="376"/>
        <v>8.625</v>
      </c>
      <c r="CP130" s="379">
        <f t="shared" si="377"/>
        <v>17.625</v>
      </c>
      <c r="CQ130" s="379"/>
      <c r="CR130" s="188">
        <f t="shared" si="378"/>
        <v>0.48674080410607357</v>
      </c>
      <c r="CS130" s="149">
        <f t="shared" si="379"/>
        <v>136.39440115060304</v>
      </c>
      <c r="CT130" s="149">
        <f t="shared" si="380"/>
        <v>9.6278400812190377</v>
      </c>
      <c r="CU130" s="188">
        <f t="shared" si="381"/>
        <v>0.80232000676825321</v>
      </c>
      <c r="CV130" s="188">
        <f t="shared" si="382"/>
        <v>11.366200095883586</v>
      </c>
      <c r="CW130" s="188">
        <f t="shared" si="383"/>
        <v>170</v>
      </c>
      <c r="CX130" s="188">
        <f t="shared" si="384"/>
        <v>8.3092364772505363</v>
      </c>
      <c r="CY130" s="188">
        <f t="shared" si="385"/>
        <v>1.3848727462084227</v>
      </c>
      <c r="CZ130" s="188">
        <f t="shared" si="386"/>
        <v>1.4450846047392236</v>
      </c>
      <c r="DA130" s="172">
        <f t="shared" si="387"/>
        <v>220.21276595744678</v>
      </c>
      <c r="DB130" s="379">
        <f t="shared" si="388"/>
        <v>350</v>
      </c>
      <c r="DD130" s="188">
        <f t="shared" si="389"/>
        <v>13.333333333333336</v>
      </c>
      <c r="DE130" s="150">
        <f t="shared" si="390"/>
        <v>2.3188405797101459</v>
      </c>
      <c r="DF130" s="150">
        <f t="shared" si="391"/>
        <v>0.15898994622398885</v>
      </c>
      <c r="DG130" s="150"/>
      <c r="DH130" s="150">
        <f t="shared" si="392"/>
        <v>2.3188405797101455</v>
      </c>
      <c r="DI130" s="314">
        <f t="shared" si="393"/>
        <v>138.50735294117641</v>
      </c>
      <c r="DJ130" s="456">
        <f t="shared" si="394"/>
        <v>0.15898994622398879</v>
      </c>
      <c r="DL130" s="150">
        <f t="shared" si="395"/>
        <v>8.3266639978645305</v>
      </c>
      <c r="DM130" s="150">
        <f t="shared" si="396"/>
        <v>13.333333333333334</v>
      </c>
      <c r="DN130" s="150">
        <f t="shared" si="397"/>
        <v>1.0791470588235295</v>
      </c>
      <c r="DP130" s="314">
        <f t="shared" si="398"/>
        <v>100</v>
      </c>
      <c r="DQ130" s="144">
        <f t="shared" si="399"/>
        <v>138.50735294117641</v>
      </c>
      <c r="DS130" s="144">
        <f t="shared" si="400"/>
        <v>100</v>
      </c>
      <c r="DT130" s="144">
        <f t="shared" si="401"/>
        <v>138.50735294117641</v>
      </c>
      <c r="DV130" s="5">
        <f t="shared" si="402"/>
        <v>7.2198333067898313</v>
      </c>
      <c r="DW130" s="5">
        <f t="shared" si="403"/>
        <v>2.2222222222222223</v>
      </c>
      <c r="DX130" s="5">
        <f t="shared" si="404"/>
        <v>4.9976110845676089</v>
      </c>
      <c r="DY130" s="150">
        <f t="shared" si="405"/>
        <v>0.30779411764705872</v>
      </c>
      <c r="EA130" s="5">
        <f t="shared" si="406"/>
        <v>0.13071895424836602</v>
      </c>
      <c r="EB130" s="5">
        <f t="shared" si="407"/>
        <v>1.8518518518518519</v>
      </c>
      <c r="EC130" s="5">
        <f t="shared" si="408"/>
        <v>15.733220081046174</v>
      </c>
      <c r="ED130" s="5"/>
      <c r="EE130" s="150">
        <f t="shared" si="409"/>
        <v>4.2707904907782588</v>
      </c>
      <c r="EF130" s="150">
        <f t="shared" si="410"/>
        <v>0.29911851067415973</v>
      </c>
      <c r="EG130" s="150">
        <f t="shared" si="411"/>
        <v>0.28454748028286331</v>
      </c>
      <c r="EH130" s="150"/>
      <c r="EI130" s="456">
        <f t="shared" si="412"/>
        <v>6.20148148148148E-2</v>
      </c>
      <c r="EJ130" s="456">
        <f t="shared" si="413"/>
        <v>0.98949652941176425</v>
      </c>
      <c r="EK130" s="456">
        <f t="shared" si="414"/>
        <v>3.1718183823529401E-2</v>
      </c>
      <c r="EL130" s="456">
        <f t="shared" si="415"/>
        <v>2.9472817319048703E-2</v>
      </c>
      <c r="EM130">
        <f t="shared" si="416"/>
        <v>4.0499999999999998E-3</v>
      </c>
      <c r="EN130" s="144">
        <f t="shared" si="417"/>
        <v>35.768183823529398</v>
      </c>
      <c r="EP130" s="144">
        <f t="shared" si="439"/>
        <v>1116.7523453691572</v>
      </c>
      <c r="EQ130" s="150">
        <f t="shared" si="418"/>
        <v>0.25</v>
      </c>
      <c r="ER130" s="150">
        <f t="shared" si="419"/>
        <v>7.1000000000000008E-2</v>
      </c>
      <c r="ES130" s="456"/>
      <c r="EU130" s="144">
        <f t="shared" si="420"/>
        <v>321</v>
      </c>
      <c r="EV130" s="456">
        <f t="shared" si="421"/>
        <v>2.7359477124183001E-2</v>
      </c>
      <c r="EW130" s="456">
        <f t="shared" si="422"/>
        <v>1.7894376685585481E-2</v>
      </c>
      <c r="EX130" s="456">
        <f t="shared" si="423"/>
        <v>2.4290180560597946E-3</v>
      </c>
      <c r="EY130" s="456">
        <f t="shared" si="424"/>
        <v>7.328227097065545</v>
      </c>
      <c r="EZ130" s="456"/>
      <c r="FA130" s="538">
        <f t="shared" si="425"/>
        <v>2.46235294117647E-2</v>
      </c>
      <c r="FB130" s="144">
        <f t="shared" si="426"/>
        <v>7400.5334983431376</v>
      </c>
      <c r="FC130" s="150">
        <f t="shared" si="427"/>
        <v>8.8382858437122938</v>
      </c>
      <c r="FD130" s="5">
        <f t="shared" si="428"/>
        <v>18.2</v>
      </c>
      <c r="FE130" s="150">
        <f t="shared" si="429"/>
        <v>0.67311959438554336</v>
      </c>
      <c r="FF130" s="5">
        <f t="shared" si="430"/>
        <v>67.311959438554339</v>
      </c>
      <c r="FG130">
        <f t="shared" si="431"/>
        <v>20</v>
      </c>
      <c r="FI130" s="59">
        <f t="shared" si="432"/>
        <v>-50</v>
      </c>
      <c r="FJ130">
        <f t="shared" si="433"/>
        <v>-50</v>
      </c>
    </row>
    <row r="131" spans="5:166">
      <c r="E131" s="147">
        <v>21</v>
      </c>
      <c r="F131" s="188">
        <f t="shared" si="434"/>
        <v>0.105</v>
      </c>
      <c r="G131" s="188">
        <f t="shared" si="313"/>
        <v>0.105</v>
      </c>
      <c r="H131" s="188">
        <f t="shared" si="314"/>
        <v>17.849999999999998</v>
      </c>
      <c r="I131" s="188">
        <f t="shared" si="315"/>
        <v>1.26</v>
      </c>
      <c r="J131" s="465">
        <f t="shared" si="316"/>
        <v>8.9599936602740051</v>
      </c>
      <c r="K131" s="379">
        <f t="shared" si="317"/>
        <v>8.6489071312417067</v>
      </c>
      <c r="L131" s="149">
        <f t="shared" si="318"/>
        <v>17.608900791515712</v>
      </c>
      <c r="M131" s="379"/>
      <c r="N131" s="188">
        <f t="shared" si="319"/>
        <v>0.49116678171126432</v>
      </c>
      <c r="O131" s="149">
        <f t="shared" si="320"/>
        <v>137.02284112562629</v>
      </c>
      <c r="P131" s="149">
        <f t="shared" si="321"/>
        <v>9.6722005500442094</v>
      </c>
      <c r="Q131" s="188">
        <f t="shared" si="322"/>
        <v>0.80601671250368401</v>
      </c>
      <c r="R131" s="188">
        <f t="shared" si="323"/>
        <v>11.41857009380219</v>
      </c>
      <c r="S131" s="188">
        <f t="shared" si="324"/>
        <v>170</v>
      </c>
      <c r="T131" s="188">
        <f t="shared" si="325"/>
        <v>8.6846834456525066</v>
      </c>
      <c r="U131" s="188">
        <f t="shared" si="326"/>
        <v>1.453910087708743</v>
      </c>
      <c r="V131" s="188">
        <f t="shared" si="327"/>
        <v>1.5062047690883804</v>
      </c>
      <c r="W131" s="172">
        <f t="shared" si="328"/>
        <v>220.04256251350569</v>
      </c>
      <c r="X131" s="379">
        <f t="shared" si="435"/>
        <v>316.44419437764731</v>
      </c>
      <c r="Z131" s="188">
        <f t="shared" si="329"/>
        <v>13.333333333333334</v>
      </c>
      <c r="AA131" s="150">
        <f t="shared" si="330"/>
        <v>2.3124308882628322</v>
      </c>
      <c r="AB131" s="150">
        <f t="shared" si="331"/>
        <v>0.15842792510821443</v>
      </c>
      <c r="AC131" s="150"/>
      <c r="AD131" s="150">
        <f t="shared" si="332"/>
        <v>2.3124308882628322</v>
      </c>
      <c r="AE131" s="314">
        <f t="shared" si="333"/>
        <v>145.83583701002559</v>
      </c>
      <c r="AF131" s="456">
        <f t="shared" si="334"/>
        <v>0.15842792510821441</v>
      </c>
      <c r="AH131" s="150">
        <f t="shared" si="335"/>
        <v>8.5322916030806173</v>
      </c>
      <c r="AI131" s="150">
        <f t="shared" si="336"/>
        <v>13.333333333333334</v>
      </c>
      <c r="AJ131" s="150">
        <f t="shared" si="337"/>
        <v>1.0833347640057289</v>
      </c>
      <c r="AL131" s="314">
        <f t="shared" si="338"/>
        <v>105</v>
      </c>
      <c r="AM131" s="144">
        <f t="shared" si="339"/>
        <v>145.83583701002559</v>
      </c>
      <c r="AO131" s="144">
        <f t="shared" si="340"/>
        <v>105</v>
      </c>
      <c r="AP131" s="144">
        <f t="shared" si="341"/>
        <v>145.83583701002559</v>
      </c>
      <c r="AR131" s="5">
        <f t="shared" si="275"/>
        <v>6.8570251352639353</v>
      </c>
      <c r="AS131" s="5">
        <f t="shared" si="440"/>
        <v>2.2321444365160836</v>
      </c>
      <c r="AT131" s="5">
        <f t="shared" si="441"/>
        <v>4.6248806987478517</v>
      </c>
      <c r="AU131" s="150">
        <f t="shared" si="442"/>
        <v>0.32552665222659499</v>
      </c>
      <c r="AW131" s="5">
        <f t="shared" si="342"/>
        <v>0.13786774460834633</v>
      </c>
      <c r="AX131" s="5">
        <f t="shared" si="343"/>
        <v>1.9531263819515732</v>
      </c>
      <c r="AY131" s="5">
        <f t="shared" si="344"/>
        <v>15.356060060375189</v>
      </c>
      <c r="AZ131" s="5"/>
      <c r="BA131" s="150">
        <f t="shared" si="345"/>
        <v>4.3920915609871471</v>
      </c>
      <c r="BB131" s="150">
        <f t="shared" si="346"/>
        <v>0.29526233059234502</v>
      </c>
      <c r="BC131" s="150">
        <f t="shared" si="347"/>
        <v>0.2808791472087106</v>
      </c>
      <c r="BD131" s="150"/>
      <c r="BE131" s="456">
        <f t="shared" si="348"/>
        <v>6.558759215232135E-2</v>
      </c>
      <c r="BF131" s="456">
        <f t="shared" si="349"/>
        <v>0.82005080558513144</v>
      </c>
      <c r="BG131" s="456">
        <f t="shared" si="350"/>
        <v>5.984631841731667E-2</v>
      </c>
      <c r="BH131" s="456">
        <f t="shared" si="351"/>
        <v>3.0975571178995343E-2</v>
      </c>
      <c r="BI131">
        <f t="shared" si="352"/>
        <v>4.0319971471233021E-3</v>
      </c>
      <c r="BJ131" s="144">
        <f t="shared" si="436"/>
        <v>63.878315564439973</v>
      </c>
      <c r="BK131">
        <f t="shared" si="353"/>
        <v>0.94911323103480227</v>
      </c>
      <c r="BL131" s="144">
        <f t="shared" si="437"/>
        <v>980.49228448088809</v>
      </c>
      <c r="BM131" s="150">
        <f t="shared" si="354"/>
        <v>0.23296875</v>
      </c>
      <c r="BN131" s="150">
        <f t="shared" si="355"/>
        <v>0.23296875</v>
      </c>
      <c r="BO131" s="456"/>
      <c r="BQ131" s="144">
        <f t="shared" si="356"/>
        <v>465.9375</v>
      </c>
      <c r="BR131" s="456">
        <f t="shared" si="357"/>
        <v>2.8935702420141773E-2</v>
      </c>
      <c r="BS131" s="456">
        <f t="shared" si="358"/>
        <v>1.743596877336465E-2</v>
      </c>
      <c r="BT131" s="456">
        <f t="shared" si="359"/>
        <v>2.3667928601007753E-3</v>
      </c>
      <c r="BU131" s="456">
        <f t="shared" si="360"/>
        <v>8.3363797944161</v>
      </c>
      <c r="BV131" s="456"/>
      <c r="BW131" s="538">
        <f t="shared" si="361"/>
        <v>2.5926371024004555E-2</v>
      </c>
      <c r="BX131" s="144">
        <f t="shared" si="362"/>
        <v>8411.0446294937101</v>
      </c>
      <c r="BY131" s="150">
        <f t="shared" si="363"/>
        <v>9.8574744139746002</v>
      </c>
      <c r="BZ131" s="5">
        <f t="shared" si="364"/>
        <v>19.11</v>
      </c>
      <c r="CA131" s="150">
        <f t="shared" si="365"/>
        <v>0.65970542432863533</v>
      </c>
      <c r="CB131" s="5">
        <f t="shared" si="366"/>
        <v>65.970542432863539</v>
      </c>
      <c r="CC131">
        <f t="shared" si="367"/>
        <v>21</v>
      </c>
      <c r="CE131" s="59">
        <f t="shared" si="368"/>
        <v>-50</v>
      </c>
      <c r="CF131">
        <f t="shared" si="369"/>
        <v>-50</v>
      </c>
      <c r="CG131" s="150">
        <f t="shared" si="370"/>
        <v>0.32764200599088977</v>
      </c>
      <c r="CH131" s="150">
        <f t="shared" si="371"/>
        <v>8.8783491933454001E-2</v>
      </c>
      <c r="CI131" s="147">
        <v>21</v>
      </c>
      <c r="CJ131" s="188">
        <f t="shared" si="438"/>
        <v>0.105</v>
      </c>
      <c r="CK131" s="188">
        <f t="shared" si="372"/>
        <v>0.105</v>
      </c>
      <c r="CL131" s="188">
        <f t="shared" si="373"/>
        <v>17.849999999999998</v>
      </c>
      <c r="CM131" s="188">
        <f t="shared" si="374"/>
        <v>1.26</v>
      </c>
      <c r="CN131" s="465">
        <f t="shared" si="375"/>
        <v>9</v>
      </c>
      <c r="CO131" s="379">
        <f t="shared" si="376"/>
        <v>8.625</v>
      </c>
      <c r="CP131" s="379">
        <f t="shared" si="377"/>
        <v>17.625</v>
      </c>
      <c r="CQ131" s="379"/>
      <c r="CR131" s="188">
        <f t="shared" si="378"/>
        <v>0.48674080410607357</v>
      </c>
      <c r="CS131" s="149">
        <f t="shared" si="379"/>
        <v>136.39440115060304</v>
      </c>
      <c r="CT131" s="149">
        <f t="shared" si="380"/>
        <v>9.6278400812190377</v>
      </c>
      <c r="CU131" s="188">
        <f t="shared" si="381"/>
        <v>0.80232000676825321</v>
      </c>
      <c r="CV131" s="188">
        <f t="shared" si="382"/>
        <v>11.366200095883586</v>
      </c>
      <c r="CW131" s="188">
        <f t="shared" si="383"/>
        <v>170</v>
      </c>
      <c r="CX131" s="188">
        <f t="shared" si="384"/>
        <v>8.7246983011130634</v>
      </c>
      <c r="CY131" s="188">
        <f t="shared" si="385"/>
        <v>1.4541163835188442</v>
      </c>
      <c r="CZ131" s="188">
        <f t="shared" si="386"/>
        <v>1.5173388349761852</v>
      </c>
      <c r="DA131" s="172">
        <f t="shared" si="387"/>
        <v>220.21276595744678</v>
      </c>
      <c r="DB131" s="379">
        <f t="shared" si="388"/>
        <v>336.53544356844657</v>
      </c>
      <c r="DD131" s="188">
        <f t="shared" si="389"/>
        <v>13.333333333333336</v>
      </c>
      <c r="DE131" s="150">
        <f t="shared" si="390"/>
        <v>2.3188405797101459</v>
      </c>
      <c r="DF131" s="150">
        <f t="shared" si="391"/>
        <v>0.15898994622398885</v>
      </c>
      <c r="DG131" s="150"/>
      <c r="DH131" s="150">
        <f t="shared" si="392"/>
        <v>2.3188405797101455</v>
      </c>
      <c r="DI131" s="314">
        <f t="shared" si="393"/>
        <v>145.43272058823524</v>
      </c>
      <c r="DJ131" s="456">
        <f t="shared" si="394"/>
        <v>0.15898994622398879</v>
      </c>
      <c r="DL131" s="150">
        <f t="shared" si="395"/>
        <v>8.5322916030806173</v>
      </c>
      <c r="DM131" s="150">
        <f t="shared" si="396"/>
        <v>13.333333333333334</v>
      </c>
      <c r="DN131" s="150">
        <f t="shared" si="397"/>
        <v>1.083104411764706</v>
      </c>
      <c r="DP131" s="314">
        <f t="shared" si="398"/>
        <v>105</v>
      </c>
      <c r="DQ131" s="144">
        <f t="shared" si="399"/>
        <v>145.43272058823524</v>
      </c>
      <c r="DS131" s="144">
        <f t="shared" si="400"/>
        <v>105</v>
      </c>
      <c r="DT131" s="144">
        <f t="shared" si="401"/>
        <v>145.43272058823524</v>
      </c>
      <c r="DV131" s="5">
        <f t="shared" si="402"/>
        <v>6.8760317207522208</v>
      </c>
      <c r="DW131" s="5">
        <f t="shared" si="403"/>
        <v>2.2222222222222223</v>
      </c>
      <c r="DX131" s="5">
        <f t="shared" si="404"/>
        <v>4.6538094985299985</v>
      </c>
      <c r="DY131" s="150">
        <f t="shared" si="405"/>
        <v>0.32318382352941161</v>
      </c>
      <c r="EA131" s="5">
        <f t="shared" si="406"/>
        <v>0.1372549019607843</v>
      </c>
      <c r="EB131" s="5">
        <f t="shared" si="407"/>
        <v>1.9444444444444444</v>
      </c>
      <c r="EC131" s="5">
        <f t="shared" si="408"/>
        <v>15.383425842363048</v>
      </c>
      <c r="ED131" s="5"/>
      <c r="EE131" s="150">
        <f t="shared" si="409"/>
        <v>4.3762579890733244</v>
      </c>
      <c r="EF131" s="150">
        <f t="shared" si="410"/>
        <v>0.29577469286386376</v>
      </c>
      <c r="EG131" s="150">
        <f t="shared" si="411"/>
        <v>0.28136655065634097</v>
      </c>
      <c r="EH131" s="150"/>
      <c r="EI131" s="456">
        <f t="shared" si="412"/>
        <v>6.5115555555555524E-2</v>
      </c>
      <c r="EJ131" s="456">
        <f t="shared" si="413"/>
        <v>1.0389713558823526</v>
      </c>
      <c r="EK131" s="456">
        <f t="shared" si="414"/>
        <v>3.3304093014705868E-2</v>
      </c>
      <c r="EL131" s="456">
        <f t="shared" si="415"/>
        <v>3.0946458185001142E-2</v>
      </c>
      <c r="EM131">
        <f t="shared" si="416"/>
        <v>4.0499999999999998E-3</v>
      </c>
      <c r="EN131" s="144">
        <f t="shared" si="417"/>
        <v>37.354093014705867</v>
      </c>
      <c r="EP131" s="144">
        <f t="shared" si="439"/>
        <v>1172.3874626376155</v>
      </c>
      <c r="EQ131" s="150">
        <f t="shared" si="418"/>
        <v>0.26250000000000001</v>
      </c>
      <c r="ER131" s="150">
        <f t="shared" si="419"/>
        <v>7.4550000000000005E-2</v>
      </c>
      <c r="ES131" s="456"/>
      <c r="EU131" s="144">
        <f t="shared" si="420"/>
        <v>337.05</v>
      </c>
      <c r="EV131" s="456">
        <f t="shared" si="421"/>
        <v>2.8727450980392148E-2</v>
      </c>
      <c r="EW131" s="456">
        <f t="shared" si="422"/>
        <v>1.7496533787742588E-2</v>
      </c>
      <c r="EX131" s="456">
        <f t="shared" si="423"/>
        <v>2.3750140748474186E-3</v>
      </c>
      <c r="EY131" s="456">
        <f t="shared" si="424"/>
        <v>8.2788910447605222</v>
      </c>
      <c r="EZ131" s="456"/>
      <c r="FA131" s="538">
        <f t="shared" si="425"/>
        <v>2.5854705882352939E-2</v>
      </c>
      <c r="FB131" s="144">
        <f t="shared" si="426"/>
        <v>8353.3447494858556</v>
      </c>
      <c r="FC131" s="150">
        <f t="shared" si="427"/>
        <v>9.8627822121234718</v>
      </c>
      <c r="FD131" s="5">
        <f t="shared" si="428"/>
        <v>19.11</v>
      </c>
      <c r="FE131" s="150">
        <f t="shared" si="429"/>
        <v>0.65958456664902365</v>
      </c>
      <c r="FF131" s="5">
        <f t="shared" si="430"/>
        <v>65.958456664902371</v>
      </c>
      <c r="FG131">
        <f t="shared" si="431"/>
        <v>21</v>
      </c>
      <c r="FI131" s="59">
        <f t="shared" si="432"/>
        <v>-50</v>
      </c>
      <c r="FJ131">
        <f t="shared" si="433"/>
        <v>-50</v>
      </c>
    </row>
    <row r="132" spans="5:166">
      <c r="E132" s="147">
        <v>22</v>
      </c>
      <c r="F132" s="188">
        <f t="shared" si="434"/>
        <v>0.11</v>
      </c>
      <c r="G132" s="188">
        <f t="shared" si="313"/>
        <v>0.11</v>
      </c>
      <c r="H132" s="188">
        <f t="shared" si="314"/>
        <v>18.7</v>
      </c>
      <c r="I132" s="188">
        <f t="shared" si="315"/>
        <v>1.32</v>
      </c>
      <c r="J132" s="465">
        <f t="shared" si="316"/>
        <v>8.9599936602740051</v>
      </c>
      <c r="K132" s="379">
        <f t="shared" si="317"/>
        <v>8.6489071312417067</v>
      </c>
      <c r="L132" s="149">
        <f t="shared" si="318"/>
        <v>17.608900791515712</v>
      </c>
      <c r="M132" s="379"/>
      <c r="N132" s="188">
        <f t="shared" si="319"/>
        <v>0.49116678171126432</v>
      </c>
      <c r="O132" s="149">
        <f t="shared" si="320"/>
        <v>137.02284112562629</v>
      </c>
      <c r="P132" s="149">
        <f t="shared" si="321"/>
        <v>9.6722005500442094</v>
      </c>
      <c r="Q132" s="188">
        <f t="shared" si="322"/>
        <v>0.80601671250368401</v>
      </c>
      <c r="R132" s="188">
        <f t="shared" si="323"/>
        <v>11.41857009380219</v>
      </c>
      <c r="S132" s="188">
        <f t="shared" si="324"/>
        <v>170</v>
      </c>
      <c r="T132" s="188">
        <f t="shared" si="325"/>
        <v>9.0982398002073879</v>
      </c>
      <c r="U132" s="188">
        <f t="shared" si="326"/>
        <v>1.5231439014091595</v>
      </c>
      <c r="V132" s="188">
        <f t="shared" si="327"/>
        <v>1.5779288057116365</v>
      </c>
      <c r="W132" s="172">
        <f t="shared" si="328"/>
        <v>220.04256251350569</v>
      </c>
      <c r="X132" s="379">
        <f t="shared" si="435"/>
        <v>302.93183117199573</v>
      </c>
      <c r="Z132" s="188">
        <f t="shared" si="329"/>
        <v>13.333333333333334</v>
      </c>
      <c r="AA132" s="150">
        <f t="shared" si="330"/>
        <v>2.3124308882628322</v>
      </c>
      <c r="AB132" s="150">
        <f t="shared" si="331"/>
        <v>0.15842792510821443</v>
      </c>
      <c r="AC132" s="150"/>
      <c r="AD132" s="150">
        <f t="shared" si="332"/>
        <v>2.3124308882628322</v>
      </c>
      <c r="AE132" s="314">
        <f t="shared" si="333"/>
        <v>152.78040067716964</v>
      </c>
      <c r="AF132" s="456">
        <f t="shared" si="334"/>
        <v>0.15842792510821441</v>
      </c>
      <c r="AH132" s="150">
        <f t="shared" si="335"/>
        <v>8.7330788767001675</v>
      </c>
      <c r="AI132" s="150">
        <f t="shared" si="336"/>
        <v>13.333333333333334</v>
      </c>
      <c r="AJ132" s="150">
        <f t="shared" si="337"/>
        <v>1.0873030861012398</v>
      </c>
      <c r="AL132" s="314">
        <f t="shared" si="338"/>
        <v>110</v>
      </c>
      <c r="AM132" s="144">
        <f t="shared" si="339"/>
        <v>152.78040067716964</v>
      </c>
      <c r="AO132" s="144">
        <f t="shared" si="340"/>
        <v>110</v>
      </c>
      <c r="AP132" s="144">
        <f t="shared" si="341"/>
        <v>152.78040067716964</v>
      </c>
      <c r="AR132" s="5">
        <f t="shared" si="275"/>
        <v>6.5453421745701217</v>
      </c>
      <c r="AS132" s="5">
        <f t="shared" si="440"/>
        <v>2.2321444365160836</v>
      </c>
      <c r="AT132" s="5">
        <f t="shared" si="441"/>
        <v>4.3131977380540381</v>
      </c>
      <c r="AU132" s="150">
        <f t="shared" si="442"/>
        <v>0.34102792138024229</v>
      </c>
      <c r="AW132" s="5">
        <f t="shared" si="342"/>
        <v>0.14443287530398188</v>
      </c>
      <c r="AX132" s="5">
        <f t="shared" si="343"/>
        <v>2.0461324001397432</v>
      </c>
      <c r="AY132" s="5">
        <f t="shared" si="344"/>
        <v>15.00313518807109</v>
      </c>
      <c r="AZ132" s="5"/>
      <c r="BA132" s="150">
        <f t="shared" si="345"/>
        <v>4.4954490329352046</v>
      </c>
      <c r="BB132" s="150">
        <f t="shared" si="346"/>
        <v>0.29184963446283468</v>
      </c>
      <c r="BC132" s="150">
        <f t="shared" si="347"/>
        <v>0.27763269454874434</v>
      </c>
      <c r="BD132" s="150"/>
      <c r="BE132" s="456">
        <f t="shared" si="348"/>
        <v>6.871081082624142E-2</v>
      </c>
      <c r="BF132" s="456">
        <f t="shared" si="349"/>
        <v>0.8591008439463278</v>
      </c>
      <c r="BG132" s="456">
        <f t="shared" si="350"/>
        <v>6.2696143103855559E-2</v>
      </c>
      <c r="BH132" s="456">
        <f t="shared" si="351"/>
        <v>3.2450598377995118E-2</v>
      </c>
      <c r="BI132">
        <f t="shared" si="352"/>
        <v>4.0319971471233021E-3</v>
      </c>
      <c r="BJ132" s="144">
        <f t="shared" si="436"/>
        <v>66.728140250978868</v>
      </c>
      <c r="BK132">
        <f t="shared" si="353"/>
        <v>0.9950591987429489</v>
      </c>
      <c r="BL132" s="144">
        <f t="shared" si="437"/>
        <v>1026.9903934015429</v>
      </c>
      <c r="BM132" s="150">
        <f t="shared" si="354"/>
        <v>0.24406250000000002</v>
      </c>
      <c r="BN132" s="150">
        <f t="shared" si="355"/>
        <v>0.24406250000000002</v>
      </c>
      <c r="BO132" s="456"/>
      <c r="BQ132" s="144">
        <f t="shared" si="356"/>
        <v>488.12500000000006</v>
      </c>
      <c r="BR132" s="456">
        <f t="shared" si="357"/>
        <v>3.03135930115771E-2</v>
      </c>
      <c r="BS132" s="456">
        <f t="shared" si="358"/>
        <v>1.7035241827218047E-2</v>
      </c>
      <c r="BT132" s="456">
        <f t="shared" si="359"/>
        <v>2.3123973924718912E-3</v>
      </c>
      <c r="BU132" s="456">
        <f t="shared" si="360"/>
        <v>9.3645294010467115</v>
      </c>
      <c r="BV132" s="456"/>
      <c r="BW132" s="538">
        <f t="shared" si="361"/>
        <v>2.716096012038572E-2</v>
      </c>
      <c r="BX132" s="144">
        <f t="shared" si="362"/>
        <v>9441.3515933983635</v>
      </c>
      <c r="BY132" s="150">
        <f t="shared" si="363"/>
        <v>10.956466986799906</v>
      </c>
      <c r="BZ132" s="5">
        <f t="shared" si="364"/>
        <v>20.02</v>
      </c>
      <c r="CA132" s="150">
        <f t="shared" si="365"/>
        <v>0.64629707476101717</v>
      </c>
      <c r="CB132" s="5">
        <f t="shared" si="366"/>
        <v>64.629707476101714</v>
      </c>
      <c r="CC132">
        <f t="shared" si="367"/>
        <v>22</v>
      </c>
      <c r="CE132" s="59">
        <f t="shared" si="368"/>
        <v>-50</v>
      </c>
      <c r="CF132">
        <f t="shared" si="369"/>
        <v>-50</v>
      </c>
      <c r="CG132" s="150">
        <f t="shared" si="370"/>
        <v>0.34324400627617024</v>
      </c>
      <c r="CH132" s="150">
        <f t="shared" si="371"/>
        <v>9.3011277263618491E-2</v>
      </c>
      <c r="CI132" s="147">
        <v>22</v>
      </c>
      <c r="CJ132" s="188">
        <f t="shared" si="438"/>
        <v>0.11</v>
      </c>
      <c r="CK132" s="188">
        <f t="shared" si="372"/>
        <v>0.11</v>
      </c>
      <c r="CL132" s="188">
        <f t="shared" si="373"/>
        <v>18.7</v>
      </c>
      <c r="CM132" s="188">
        <f t="shared" si="374"/>
        <v>1.32</v>
      </c>
      <c r="CN132" s="465">
        <f t="shared" si="375"/>
        <v>9</v>
      </c>
      <c r="CO132" s="379">
        <f t="shared" si="376"/>
        <v>8.625</v>
      </c>
      <c r="CP132" s="379">
        <f t="shared" si="377"/>
        <v>17.625</v>
      </c>
      <c r="CQ132" s="379"/>
      <c r="CR132" s="188">
        <f t="shared" si="378"/>
        <v>0.48674080410607357</v>
      </c>
      <c r="CS132" s="149">
        <f t="shared" si="379"/>
        <v>136.39440115060304</v>
      </c>
      <c r="CT132" s="149">
        <f t="shared" si="380"/>
        <v>9.6278400812190377</v>
      </c>
      <c r="CU132" s="188">
        <f t="shared" si="381"/>
        <v>0.80232000676825321</v>
      </c>
      <c r="CV132" s="188">
        <f t="shared" si="382"/>
        <v>11.366200095883586</v>
      </c>
      <c r="CW132" s="188">
        <f t="shared" si="383"/>
        <v>170</v>
      </c>
      <c r="CX132" s="188">
        <f t="shared" si="384"/>
        <v>9.1401601249755906</v>
      </c>
      <c r="CY132" s="188">
        <f t="shared" si="385"/>
        <v>1.523360020829265</v>
      </c>
      <c r="CZ132" s="188">
        <f t="shared" si="386"/>
        <v>1.5895930652131463</v>
      </c>
      <c r="DA132" s="172">
        <f t="shared" si="387"/>
        <v>220.21276595744678</v>
      </c>
      <c r="DB132" s="379">
        <f t="shared" si="388"/>
        <v>321.23837795169902</v>
      </c>
      <c r="DD132" s="188">
        <f t="shared" si="389"/>
        <v>13.333333333333336</v>
      </c>
      <c r="DE132" s="150">
        <f t="shared" si="390"/>
        <v>2.3188405797101459</v>
      </c>
      <c r="DF132" s="150">
        <f t="shared" si="391"/>
        <v>0.15898994622398885</v>
      </c>
      <c r="DG132" s="150"/>
      <c r="DH132" s="150">
        <f t="shared" si="392"/>
        <v>2.3188405797101455</v>
      </c>
      <c r="DI132" s="314">
        <f t="shared" si="393"/>
        <v>152.35808823529405</v>
      </c>
      <c r="DJ132" s="456">
        <f t="shared" si="394"/>
        <v>0.15898994622398879</v>
      </c>
      <c r="DL132" s="150">
        <f t="shared" si="395"/>
        <v>8.7330788767001675</v>
      </c>
      <c r="DM132" s="150">
        <f t="shared" si="396"/>
        <v>13.333333333333334</v>
      </c>
      <c r="DN132" s="150">
        <f t="shared" si="397"/>
        <v>1.0870617647058822</v>
      </c>
      <c r="DP132" s="314">
        <f t="shared" si="398"/>
        <v>110</v>
      </c>
      <c r="DQ132" s="144">
        <f t="shared" si="399"/>
        <v>152.35808823529405</v>
      </c>
      <c r="DS132" s="144">
        <f t="shared" si="400"/>
        <v>110</v>
      </c>
      <c r="DT132" s="144">
        <f t="shared" si="401"/>
        <v>152.35808823529405</v>
      </c>
      <c r="DV132" s="5">
        <f t="shared" si="402"/>
        <v>6.5634848243543926</v>
      </c>
      <c r="DW132" s="5">
        <f t="shared" si="403"/>
        <v>2.2222222222222223</v>
      </c>
      <c r="DX132" s="5">
        <f t="shared" si="404"/>
        <v>4.3412626021321703</v>
      </c>
      <c r="DY132" s="150">
        <f t="shared" si="405"/>
        <v>0.33857352941176455</v>
      </c>
      <c r="EA132" s="5">
        <f t="shared" si="406"/>
        <v>0.14379084967320263</v>
      </c>
      <c r="EB132" s="5">
        <f t="shared" si="407"/>
        <v>2.0370370370370372</v>
      </c>
      <c r="EC132" s="5">
        <f t="shared" si="408"/>
        <v>15.033631603679918</v>
      </c>
      <c r="ED132" s="5"/>
      <c r="EE132" s="150">
        <f t="shared" si="409"/>
        <v>4.479242855409181</v>
      </c>
      <c r="EF132" s="150">
        <f t="shared" si="410"/>
        <v>0.292392637474849</v>
      </c>
      <c r="EG132" s="150">
        <f t="shared" si="411"/>
        <v>0.27814924612726893</v>
      </c>
      <c r="EH132" s="150"/>
      <c r="EI132" s="456">
        <f t="shared" si="412"/>
        <v>6.8216296296296247E-2</v>
      </c>
      <c r="EJ132" s="456">
        <f t="shared" si="413"/>
        <v>1.0884461823529408</v>
      </c>
      <c r="EK132" s="456">
        <f t="shared" si="414"/>
        <v>3.4890002205882335E-2</v>
      </c>
      <c r="EL132" s="456">
        <f t="shared" si="415"/>
        <v>3.2420099050953576E-2</v>
      </c>
      <c r="EM132">
        <f t="shared" si="416"/>
        <v>4.0499999999999998E-3</v>
      </c>
      <c r="EN132" s="144">
        <f t="shared" si="417"/>
        <v>38.940002205882337</v>
      </c>
      <c r="EP132" s="144">
        <f t="shared" si="439"/>
        <v>1228.0225799060729</v>
      </c>
      <c r="EQ132" s="150">
        <f t="shared" si="418"/>
        <v>0.27500000000000002</v>
      </c>
      <c r="ER132" s="150">
        <f t="shared" si="419"/>
        <v>7.8100000000000003E-2</v>
      </c>
      <c r="ES132" s="456"/>
      <c r="EU132" s="144">
        <f t="shared" si="420"/>
        <v>353.1</v>
      </c>
      <c r="EV132" s="456">
        <f t="shared" si="421"/>
        <v>3.0095424836601291E-2</v>
      </c>
      <c r="EW132" s="456">
        <f t="shared" si="422"/>
        <v>1.7098690889899695E-2</v>
      </c>
      <c r="EX132" s="456">
        <f t="shared" si="423"/>
        <v>2.3210100936350412E-3</v>
      </c>
      <c r="EY132" s="456">
        <f t="shared" si="424"/>
        <v>9.2999503991711574</v>
      </c>
      <c r="EZ132" s="456"/>
      <c r="FA132" s="538">
        <f t="shared" si="425"/>
        <v>2.7085882352941168E-2</v>
      </c>
      <c r="FB132" s="144">
        <f t="shared" si="426"/>
        <v>9376.5514073442337</v>
      </c>
      <c r="FC132" s="150">
        <f t="shared" si="427"/>
        <v>10.957673987250308</v>
      </c>
      <c r="FD132" s="5">
        <f t="shared" si="428"/>
        <v>20.02</v>
      </c>
      <c r="FE132" s="150">
        <f t="shared" si="429"/>
        <v>0.64627189272634766</v>
      </c>
      <c r="FF132" s="5">
        <f t="shared" si="430"/>
        <v>64.627189272634766</v>
      </c>
      <c r="FG132">
        <f t="shared" si="431"/>
        <v>22</v>
      </c>
      <c r="FI132" s="59">
        <f t="shared" si="432"/>
        <v>-50</v>
      </c>
      <c r="FJ132">
        <f t="shared" si="433"/>
        <v>-50</v>
      </c>
    </row>
    <row r="133" spans="5:166">
      <c r="E133" s="147">
        <v>23</v>
      </c>
      <c r="F133" s="188">
        <f t="shared" si="434"/>
        <v>0.115</v>
      </c>
      <c r="G133" s="188">
        <f t="shared" si="313"/>
        <v>0.115</v>
      </c>
      <c r="H133" s="188">
        <f t="shared" si="314"/>
        <v>19.55</v>
      </c>
      <c r="I133" s="188">
        <f t="shared" si="315"/>
        <v>1.3800000000000001</v>
      </c>
      <c r="J133" s="465">
        <f t="shared" si="316"/>
        <v>8.9599936602740051</v>
      </c>
      <c r="K133" s="379">
        <f t="shared" si="317"/>
        <v>8.6489071312417067</v>
      </c>
      <c r="L133" s="149">
        <f t="shared" si="318"/>
        <v>17.608900791515712</v>
      </c>
      <c r="M133" s="379"/>
      <c r="N133" s="188">
        <f t="shared" si="319"/>
        <v>0.49116678171126432</v>
      </c>
      <c r="O133" s="149">
        <f t="shared" si="320"/>
        <v>137.02284112562629</v>
      </c>
      <c r="P133" s="149">
        <f t="shared" si="321"/>
        <v>9.6722005500442094</v>
      </c>
      <c r="Q133" s="188">
        <f t="shared" si="322"/>
        <v>0.80601671250368401</v>
      </c>
      <c r="R133" s="188">
        <f t="shared" si="323"/>
        <v>11.41857009380219</v>
      </c>
      <c r="S133" s="188">
        <f t="shared" si="324"/>
        <v>170</v>
      </c>
      <c r="T133" s="188">
        <f t="shared" si="325"/>
        <v>9.5117961547622691</v>
      </c>
      <c r="U133" s="188">
        <f t="shared" si="326"/>
        <v>1.5923777151095757</v>
      </c>
      <c r="V133" s="188">
        <f t="shared" si="327"/>
        <v>1.6496528423348926</v>
      </c>
      <c r="W133" s="172">
        <f t="shared" si="328"/>
        <v>220.04256251350569</v>
      </c>
      <c r="X133" s="379">
        <f t="shared" si="435"/>
        <v>290.52618310932394</v>
      </c>
      <c r="Z133" s="188">
        <f t="shared" si="329"/>
        <v>13.333333333333334</v>
      </c>
      <c r="AA133" s="150">
        <f t="shared" si="330"/>
        <v>2.3124308882628322</v>
      </c>
      <c r="AB133" s="150">
        <f t="shared" si="331"/>
        <v>0.15842792510821443</v>
      </c>
      <c r="AC133" s="150"/>
      <c r="AD133" s="150">
        <f t="shared" si="332"/>
        <v>2.3124308882628322</v>
      </c>
      <c r="AE133" s="314">
        <f t="shared" si="333"/>
        <v>159.72496434431372</v>
      </c>
      <c r="AF133" s="456">
        <f t="shared" si="334"/>
        <v>0.15842792510821441</v>
      </c>
      <c r="AH133" s="150">
        <f t="shared" si="335"/>
        <v>8.9293523468017177</v>
      </c>
      <c r="AI133" s="150">
        <f t="shared" si="336"/>
        <v>13.333333333333334</v>
      </c>
      <c r="AJ133" s="150">
        <f t="shared" si="337"/>
        <v>1.0912714081967507</v>
      </c>
      <c r="AL133" s="314">
        <f t="shared" si="338"/>
        <v>115</v>
      </c>
      <c r="AM133" s="144">
        <f t="shared" si="339"/>
        <v>159.72496434431372</v>
      </c>
      <c r="AO133" s="144">
        <f t="shared" si="340"/>
        <v>115</v>
      </c>
      <c r="AP133" s="144">
        <f t="shared" si="341"/>
        <v>159.72496434431372</v>
      </c>
      <c r="AR133" s="5">
        <f t="shared" si="275"/>
        <v>6.2607620800235937</v>
      </c>
      <c r="AS133" s="5">
        <f t="shared" si="440"/>
        <v>2.2321444365160836</v>
      </c>
      <c r="AT133" s="5">
        <f t="shared" si="441"/>
        <v>4.0286176435075101</v>
      </c>
      <c r="AU133" s="150">
        <f t="shared" si="442"/>
        <v>0.35652919053388971</v>
      </c>
      <c r="AW133" s="5">
        <f t="shared" si="342"/>
        <v>0.15099800599961744</v>
      </c>
      <c r="AX133" s="5">
        <f t="shared" si="343"/>
        <v>2.1391384183279136</v>
      </c>
      <c r="AY133" s="5">
        <f t="shared" si="344"/>
        <v>14.650210315766987</v>
      </c>
      <c r="AZ133" s="5"/>
      <c r="BA133" s="150">
        <f t="shared" si="345"/>
        <v>4.5964829745514795</v>
      </c>
      <c r="BB133" s="150">
        <f t="shared" si="346"/>
        <v>0.28839655754768845</v>
      </c>
      <c r="BC133" s="150">
        <f t="shared" si="347"/>
        <v>0.27434782818185433</v>
      </c>
      <c r="BD133" s="150"/>
      <c r="BE133" s="456">
        <f t="shared" si="348"/>
        <v>7.1834029500161489E-2</v>
      </c>
      <c r="BF133" s="456">
        <f t="shared" si="349"/>
        <v>0.8981508823075246</v>
      </c>
      <c r="BG133" s="456">
        <f t="shared" si="350"/>
        <v>6.5545967790394441E-2</v>
      </c>
      <c r="BH133" s="456">
        <f t="shared" si="351"/>
        <v>3.3925625576994904E-2</v>
      </c>
      <c r="BI133">
        <f t="shared" si="352"/>
        <v>4.0319971471233021E-3</v>
      </c>
      <c r="BJ133" s="144">
        <f t="shared" si="436"/>
        <v>69.577964937517748</v>
      </c>
      <c r="BK133">
        <f t="shared" si="353"/>
        <v>1.0410745413957985</v>
      </c>
      <c r="BL133" s="144">
        <f t="shared" si="437"/>
        <v>1073.4885023221984</v>
      </c>
      <c r="BM133" s="150">
        <f t="shared" si="354"/>
        <v>0.25515625000000003</v>
      </c>
      <c r="BN133" s="150">
        <f t="shared" si="355"/>
        <v>0.25515625000000003</v>
      </c>
      <c r="BO133" s="456"/>
      <c r="BQ133" s="144">
        <f t="shared" si="356"/>
        <v>510.31250000000006</v>
      </c>
      <c r="BR133" s="456">
        <f t="shared" si="357"/>
        <v>3.1691483603012424E-2</v>
      </c>
      <c r="BS133" s="456">
        <f t="shared" si="358"/>
        <v>1.6634514881071438E-2</v>
      </c>
      <c r="BT133" s="456">
        <f t="shared" si="359"/>
        <v>2.2580019248430077E-3</v>
      </c>
      <c r="BU133" s="456">
        <f t="shared" si="360"/>
        <v>10.465231638431653</v>
      </c>
      <c r="BV133" s="456"/>
      <c r="BW133" s="538">
        <f t="shared" si="361"/>
        <v>2.8395549216766888E-2</v>
      </c>
      <c r="BX133" s="144">
        <f t="shared" si="362"/>
        <v>10544.211188057347</v>
      </c>
      <c r="BY133" s="150">
        <f t="shared" si="363"/>
        <v>12.128012190379545</v>
      </c>
      <c r="BZ133" s="5">
        <f t="shared" si="364"/>
        <v>20.93</v>
      </c>
      <c r="CA133" s="150">
        <f t="shared" si="365"/>
        <v>0.63312941744546258</v>
      </c>
      <c r="CB133" s="5">
        <f t="shared" si="366"/>
        <v>63.312941744546258</v>
      </c>
      <c r="CC133">
        <f t="shared" si="367"/>
        <v>23</v>
      </c>
      <c r="CE133" s="59">
        <f t="shared" si="368"/>
        <v>-50</v>
      </c>
      <c r="CF133">
        <f t="shared" si="369"/>
        <v>-50</v>
      </c>
      <c r="CG133" s="150">
        <f t="shared" si="370"/>
        <v>0.35884600656145077</v>
      </c>
      <c r="CH133" s="150">
        <f t="shared" si="371"/>
        <v>9.7239062593782968E-2</v>
      </c>
      <c r="CI133" s="147">
        <v>23</v>
      </c>
      <c r="CJ133" s="188">
        <f t="shared" si="438"/>
        <v>0.115</v>
      </c>
      <c r="CK133" s="188">
        <f t="shared" si="372"/>
        <v>0.115</v>
      </c>
      <c r="CL133" s="188">
        <f t="shared" si="373"/>
        <v>19.55</v>
      </c>
      <c r="CM133" s="188">
        <f t="shared" si="374"/>
        <v>1.3800000000000001</v>
      </c>
      <c r="CN133" s="465">
        <f t="shared" si="375"/>
        <v>9</v>
      </c>
      <c r="CO133" s="379">
        <f t="shared" si="376"/>
        <v>8.625</v>
      </c>
      <c r="CP133" s="379">
        <f t="shared" si="377"/>
        <v>17.625</v>
      </c>
      <c r="CQ133" s="379"/>
      <c r="CR133" s="188">
        <f t="shared" si="378"/>
        <v>0.48674080410607357</v>
      </c>
      <c r="CS133" s="149">
        <f t="shared" si="379"/>
        <v>136.39440115060304</v>
      </c>
      <c r="CT133" s="149">
        <f t="shared" si="380"/>
        <v>9.6278400812190377</v>
      </c>
      <c r="CU133" s="188">
        <f t="shared" si="381"/>
        <v>0.80232000676825321</v>
      </c>
      <c r="CV133" s="188">
        <f t="shared" si="382"/>
        <v>11.366200095883586</v>
      </c>
      <c r="CW133" s="188">
        <f t="shared" si="383"/>
        <v>170</v>
      </c>
      <c r="CX133" s="188">
        <f t="shared" si="384"/>
        <v>9.5556219488381178</v>
      </c>
      <c r="CY133" s="188">
        <f t="shared" si="385"/>
        <v>1.5926036581396865</v>
      </c>
      <c r="CZ133" s="188">
        <f t="shared" si="386"/>
        <v>1.6618472954501076</v>
      </c>
      <c r="DA133" s="172">
        <f t="shared" si="387"/>
        <v>220.21276595744678</v>
      </c>
      <c r="DB133" s="379">
        <f t="shared" si="388"/>
        <v>307.27149195379906</v>
      </c>
      <c r="DD133" s="188">
        <f t="shared" si="389"/>
        <v>13.333333333333336</v>
      </c>
      <c r="DE133" s="150">
        <f t="shared" si="390"/>
        <v>2.3188405797101459</v>
      </c>
      <c r="DF133" s="150">
        <f t="shared" si="391"/>
        <v>0.15898994622398885</v>
      </c>
      <c r="DG133" s="150"/>
      <c r="DH133" s="150">
        <f t="shared" si="392"/>
        <v>2.3188405797101455</v>
      </c>
      <c r="DI133" s="314">
        <f t="shared" si="393"/>
        <v>159.28345588235288</v>
      </c>
      <c r="DJ133" s="456">
        <f t="shared" si="394"/>
        <v>0.15898994622398879</v>
      </c>
      <c r="DL133" s="150">
        <f t="shared" si="395"/>
        <v>8.9293523468017177</v>
      </c>
      <c r="DM133" s="150">
        <f t="shared" si="396"/>
        <v>13.333333333333334</v>
      </c>
      <c r="DN133" s="150">
        <f t="shared" si="397"/>
        <v>1.0910191176470587</v>
      </c>
      <c r="DP133" s="314">
        <f t="shared" si="398"/>
        <v>115</v>
      </c>
      <c r="DQ133" s="144">
        <f t="shared" si="399"/>
        <v>159.28345588235288</v>
      </c>
      <c r="DS133" s="144">
        <f t="shared" si="400"/>
        <v>115</v>
      </c>
      <c r="DT133" s="144">
        <f t="shared" si="401"/>
        <v>159.28345588235288</v>
      </c>
      <c r="DV133" s="5">
        <f t="shared" si="402"/>
        <v>6.2781159189476794</v>
      </c>
      <c r="DW133" s="5">
        <f t="shared" si="403"/>
        <v>2.2222222222222223</v>
      </c>
      <c r="DX133" s="5">
        <f t="shared" si="404"/>
        <v>4.0558936967254571</v>
      </c>
      <c r="DY133" s="150">
        <f t="shared" si="405"/>
        <v>0.35396323529411755</v>
      </c>
      <c r="EA133" s="5">
        <f t="shared" si="406"/>
        <v>0.15032679738562094</v>
      </c>
      <c r="EB133" s="5">
        <f t="shared" si="407"/>
        <v>2.1296296296296298</v>
      </c>
      <c r="EC133" s="5">
        <f t="shared" si="408"/>
        <v>14.683837364996792</v>
      </c>
      <c r="ED133" s="5"/>
      <c r="EE133" s="150">
        <f t="shared" si="409"/>
        <v>4.5799125677833965</v>
      </c>
      <c r="EF133" s="150">
        <f t="shared" si="410"/>
        <v>0.28897100193667175</v>
      </c>
      <c r="EG133" s="150">
        <f t="shared" si="411"/>
        <v>0.27489428952615369</v>
      </c>
      <c r="EH133" s="150"/>
      <c r="EI133" s="456">
        <f t="shared" si="412"/>
        <v>7.1317037037037026E-2</v>
      </c>
      <c r="EJ133" s="456">
        <f t="shared" si="413"/>
        <v>1.1379210088235292</v>
      </c>
      <c r="EK133" s="456">
        <f t="shared" si="414"/>
        <v>3.6475911397058809E-2</v>
      </c>
      <c r="EL133" s="456">
        <f t="shared" si="415"/>
        <v>3.3893739916906009E-2</v>
      </c>
      <c r="EM133">
        <f t="shared" si="416"/>
        <v>4.0499999999999998E-3</v>
      </c>
      <c r="EN133" s="144">
        <f t="shared" si="417"/>
        <v>40.525911397058806</v>
      </c>
      <c r="EP133" s="144">
        <f t="shared" si="439"/>
        <v>1283.657697174531</v>
      </c>
      <c r="EQ133" s="150">
        <f t="shared" si="418"/>
        <v>0.28750000000000003</v>
      </c>
      <c r="ER133" s="150">
        <f t="shared" si="419"/>
        <v>8.165E-2</v>
      </c>
      <c r="ES133" s="456"/>
      <c r="EU133" s="144">
        <f t="shared" si="420"/>
        <v>369.15000000000003</v>
      </c>
      <c r="EV133" s="456">
        <f t="shared" si="421"/>
        <v>3.1463398692810451E-2</v>
      </c>
      <c r="EW133" s="456">
        <f t="shared" si="422"/>
        <v>1.6700847992056789E-2</v>
      </c>
      <c r="EX133" s="456">
        <f t="shared" si="423"/>
        <v>2.2670061124226643E-3</v>
      </c>
      <c r="EY133" s="456">
        <f t="shared" si="424"/>
        <v>10.393062052042078</v>
      </c>
      <c r="EZ133" s="456"/>
      <c r="FA133" s="538">
        <f t="shared" si="425"/>
        <v>2.8317058823529407E-2</v>
      </c>
      <c r="FB133" s="144">
        <f t="shared" si="426"/>
        <v>10471.810363662897</v>
      </c>
      <c r="FC133" s="150">
        <f t="shared" si="427"/>
        <v>12.124618060837427</v>
      </c>
      <c r="FD133" s="5">
        <f t="shared" si="428"/>
        <v>20.93</v>
      </c>
      <c r="FE133" s="150">
        <f t="shared" si="429"/>
        <v>0.63319442873241127</v>
      </c>
      <c r="FF133" s="5">
        <f t="shared" si="430"/>
        <v>63.31944287324113</v>
      </c>
      <c r="FG133">
        <f t="shared" si="431"/>
        <v>23</v>
      </c>
      <c r="FI133" s="59">
        <f t="shared" si="432"/>
        <v>-50</v>
      </c>
      <c r="FJ133">
        <f t="shared" si="433"/>
        <v>-50</v>
      </c>
    </row>
    <row r="134" spans="5:166">
      <c r="E134" s="147">
        <v>24</v>
      </c>
      <c r="F134" s="188">
        <f t="shared" si="434"/>
        <v>0.12</v>
      </c>
      <c r="G134" s="188">
        <f t="shared" si="313"/>
        <v>0.12</v>
      </c>
      <c r="H134" s="188">
        <f t="shared" si="314"/>
        <v>20.399999999999999</v>
      </c>
      <c r="I134" s="188">
        <f t="shared" si="315"/>
        <v>1.44</v>
      </c>
      <c r="J134" s="465">
        <f t="shared" si="316"/>
        <v>8.9599936602740051</v>
      </c>
      <c r="K134" s="379">
        <f t="shared" si="317"/>
        <v>8.6489071312417067</v>
      </c>
      <c r="L134" s="149">
        <f t="shared" si="318"/>
        <v>17.608900791515712</v>
      </c>
      <c r="M134" s="379"/>
      <c r="N134" s="188">
        <f t="shared" si="319"/>
        <v>0.49116678171126432</v>
      </c>
      <c r="O134" s="149">
        <f t="shared" si="320"/>
        <v>137.02284112562629</v>
      </c>
      <c r="P134" s="149">
        <f t="shared" si="321"/>
        <v>9.6722005500442094</v>
      </c>
      <c r="Q134" s="188">
        <f t="shared" si="322"/>
        <v>0.80601671250368401</v>
      </c>
      <c r="R134" s="188">
        <f t="shared" si="323"/>
        <v>11.41857009380219</v>
      </c>
      <c r="S134" s="188">
        <f t="shared" si="324"/>
        <v>170</v>
      </c>
      <c r="T134" s="188">
        <f t="shared" si="325"/>
        <v>9.9253525093171504</v>
      </c>
      <c r="U134" s="188">
        <f t="shared" si="326"/>
        <v>1.661611528809992</v>
      </c>
      <c r="V134" s="188">
        <f t="shared" si="327"/>
        <v>1.7213768789581487</v>
      </c>
      <c r="W134" s="172">
        <f t="shared" si="328"/>
        <v>220.04256251350569</v>
      </c>
      <c r="X134" s="379">
        <f t="shared" si="435"/>
        <v>279.09663280850646</v>
      </c>
      <c r="Z134" s="188">
        <f t="shared" si="329"/>
        <v>13.333333333333334</v>
      </c>
      <c r="AA134" s="150">
        <f t="shared" si="330"/>
        <v>2.3124308882628322</v>
      </c>
      <c r="AB134" s="150">
        <f t="shared" si="331"/>
        <v>0.15842792510821443</v>
      </c>
      <c r="AC134" s="150"/>
      <c r="AD134" s="150">
        <f t="shared" si="332"/>
        <v>2.3124308882628322</v>
      </c>
      <c r="AE134" s="314">
        <f t="shared" si="333"/>
        <v>166.6695280114578</v>
      </c>
      <c r="AF134" s="456">
        <f t="shared" si="334"/>
        <v>0.15842792510821441</v>
      </c>
      <c r="AH134" s="150">
        <f t="shared" si="335"/>
        <v>9.1214034007931044</v>
      </c>
      <c r="AI134" s="150">
        <f t="shared" si="336"/>
        <v>13.333333333333334</v>
      </c>
      <c r="AJ134" s="150">
        <f t="shared" si="337"/>
        <v>1.0952397302922616</v>
      </c>
      <c r="AL134" s="314">
        <f t="shared" si="338"/>
        <v>120</v>
      </c>
      <c r="AM134" s="144">
        <f t="shared" si="339"/>
        <v>166.6695280114578</v>
      </c>
      <c r="AO134" s="144">
        <f t="shared" si="340"/>
        <v>120</v>
      </c>
      <c r="AP134" s="144">
        <f t="shared" si="341"/>
        <v>166.6695280114578</v>
      </c>
      <c r="AR134" s="5">
        <f t="shared" ref="AR134:AR197" si="443">1/AM134*1000</f>
        <v>5.9998969933559447</v>
      </c>
      <c r="AS134" s="5">
        <f t="shared" si="440"/>
        <v>2.2321444365160836</v>
      </c>
      <c r="AT134" s="5">
        <f t="shared" si="441"/>
        <v>3.7677525568398611</v>
      </c>
      <c r="AU134" s="150">
        <f t="shared" si="442"/>
        <v>0.37203045968753706</v>
      </c>
      <c r="AW134" s="5">
        <f t="shared" si="342"/>
        <v>0.15756313669525296</v>
      </c>
      <c r="AX134" s="5">
        <f t="shared" si="343"/>
        <v>2.2321444365160836</v>
      </c>
      <c r="AY134" s="5">
        <f t="shared" si="344"/>
        <v>14.297285443462883</v>
      </c>
      <c r="AZ134" s="5"/>
      <c r="BA134" s="150">
        <f t="shared" si="345"/>
        <v>4.695343380730014</v>
      </c>
      <c r="BB134" s="150">
        <f t="shared" si="346"/>
        <v>0.28490163157592502</v>
      </c>
      <c r="BC134" s="150">
        <f t="shared" si="347"/>
        <v>0.27102315136128891</v>
      </c>
      <c r="BD134" s="150"/>
      <c r="BE134" s="456">
        <f t="shared" si="348"/>
        <v>7.4957248174081531E-2</v>
      </c>
      <c r="BF134" s="456">
        <f t="shared" si="349"/>
        <v>0.9372009206687214</v>
      </c>
      <c r="BG134" s="456">
        <f t="shared" si="350"/>
        <v>6.8395792476933337E-2</v>
      </c>
      <c r="BH134" s="456">
        <f t="shared" si="351"/>
        <v>3.5400652775994676E-2</v>
      </c>
      <c r="BI134">
        <f t="shared" si="352"/>
        <v>4.0319971471233021E-3</v>
      </c>
      <c r="BJ134" s="144">
        <f t="shared" si="436"/>
        <v>72.427789624056629</v>
      </c>
      <c r="BK134">
        <f t="shared" si="353"/>
        <v>1.0871594162384632</v>
      </c>
      <c r="BL134" s="144">
        <f t="shared" si="437"/>
        <v>1119.9866112428542</v>
      </c>
      <c r="BM134" s="150">
        <f t="shared" si="354"/>
        <v>0.26624999999999999</v>
      </c>
      <c r="BN134" s="150">
        <f t="shared" si="355"/>
        <v>0.26624999999999999</v>
      </c>
      <c r="BO134" s="456"/>
      <c r="BQ134" s="144">
        <f t="shared" si="356"/>
        <v>532.5</v>
      </c>
      <c r="BR134" s="456">
        <f t="shared" si="357"/>
        <v>3.3069374194447734E-2</v>
      </c>
      <c r="BS134" s="456">
        <f t="shared" si="358"/>
        <v>1.6233787934924825E-2</v>
      </c>
      <c r="BT134" s="456">
        <f t="shared" si="359"/>
        <v>2.2036064572141236E-3</v>
      </c>
      <c r="BU134" s="456">
        <f t="shared" si="360"/>
        <v>11.640117378138324</v>
      </c>
      <c r="BV134" s="456"/>
      <c r="BW134" s="538">
        <f t="shared" si="361"/>
        <v>2.963013831314806E-2</v>
      </c>
      <c r="BX134" s="144">
        <f t="shared" si="362"/>
        <v>11721.25428503806</v>
      </c>
      <c r="BY134" s="150">
        <f t="shared" si="363"/>
        <v>13.373740896280914</v>
      </c>
      <c r="BZ134" s="5">
        <f t="shared" si="364"/>
        <v>21.84</v>
      </c>
      <c r="CA134" s="150">
        <f t="shared" si="365"/>
        <v>0.62021243537651594</v>
      </c>
      <c r="CB134" s="5">
        <f t="shared" si="366"/>
        <v>62.021243537651593</v>
      </c>
      <c r="CC134">
        <f t="shared" si="367"/>
        <v>24</v>
      </c>
      <c r="CE134" s="59">
        <f t="shared" si="368"/>
        <v>-50</v>
      </c>
      <c r="CF134">
        <f t="shared" si="369"/>
        <v>-50</v>
      </c>
      <c r="CG134" s="150">
        <f t="shared" si="370"/>
        <v>0.37444800684673124</v>
      </c>
      <c r="CH134" s="150">
        <f t="shared" si="371"/>
        <v>0.10146684792394745</v>
      </c>
      <c r="CI134" s="147">
        <v>24</v>
      </c>
      <c r="CJ134" s="188">
        <f t="shared" si="438"/>
        <v>0.12</v>
      </c>
      <c r="CK134" s="188">
        <f t="shared" si="372"/>
        <v>0.12</v>
      </c>
      <c r="CL134" s="188">
        <f t="shared" si="373"/>
        <v>20.399999999999999</v>
      </c>
      <c r="CM134" s="188">
        <f t="shared" si="374"/>
        <v>1.44</v>
      </c>
      <c r="CN134" s="465">
        <f t="shared" si="375"/>
        <v>9</v>
      </c>
      <c r="CO134" s="379">
        <f t="shared" si="376"/>
        <v>8.625</v>
      </c>
      <c r="CP134" s="379">
        <f t="shared" si="377"/>
        <v>17.625</v>
      </c>
      <c r="CQ134" s="379"/>
      <c r="CR134" s="188">
        <f t="shared" si="378"/>
        <v>0.48674080410607357</v>
      </c>
      <c r="CS134" s="149">
        <f t="shared" si="379"/>
        <v>136.39440115060304</v>
      </c>
      <c r="CT134" s="149">
        <f t="shared" si="380"/>
        <v>9.6278400812190377</v>
      </c>
      <c r="CU134" s="188">
        <f t="shared" si="381"/>
        <v>0.80232000676825321</v>
      </c>
      <c r="CV134" s="188">
        <f t="shared" si="382"/>
        <v>11.366200095883586</v>
      </c>
      <c r="CW134" s="188">
        <f t="shared" si="383"/>
        <v>170</v>
      </c>
      <c r="CX134" s="188">
        <f t="shared" si="384"/>
        <v>9.9710837727006449</v>
      </c>
      <c r="CY134" s="188">
        <f t="shared" si="385"/>
        <v>1.6618472954501073</v>
      </c>
      <c r="CZ134" s="188">
        <f t="shared" si="386"/>
        <v>1.7341015256870687</v>
      </c>
      <c r="DA134" s="172">
        <f t="shared" si="387"/>
        <v>220.21276595744678</v>
      </c>
      <c r="DB134" s="379">
        <f t="shared" si="388"/>
        <v>294.46851312239079</v>
      </c>
      <c r="DD134" s="188">
        <f t="shared" si="389"/>
        <v>13.333333333333336</v>
      </c>
      <c r="DE134" s="150">
        <f t="shared" si="390"/>
        <v>2.3188405797101459</v>
      </c>
      <c r="DF134" s="150">
        <f t="shared" si="391"/>
        <v>0.15898994622398885</v>
      </c>
      <c r="DG134" s="150"/>
      <c r="DH134" s="150">
        <f t="shared" si="392"/>
        <v>2.3188405797101455</v>
      </c>
      <c r="DI134" s="314">
        <f t="shared" si="393"/>
        <v>166.20882352941169</v>
      </c>
      <c r="DJ134" s="456">
        <f t="shared" si="394"/>
        <v>0.15898994622398879</v>
      </c>
      <c r="DL134" s="150">
        <f t="shared" si="395"/>
        <v>9.1214034007931044</v>
      </c>
      <c r="DM134" s="150">
        <f t="shared" si="396"/>
        <v>13.333333333333334</v>
      </c>
      <c r="DN134" s="150">
        <f t="shared" si="397"/>
        <v>1.0949764705882352</v>
      </c>
      <c r="DP134" s="314">
        <f t="shared" si="398"/>
        <v>120</v>
      </c>
      <c r="DQ134" s="144">
        <f t="shared" si="399"/>
        <v>166.20882352941169</v>
      </c>
      <c r="DS134" s="144">
        <f t="shared" si="400"/>
        <v>120</v>
      </c>
      <c r="DT134" s="144">
        <f t="shared" si="401"/>
        <v>166.20882352941169</v>
      </c>
      <c r="DV134" s="5">
        <f t="shared" si="402"/>
        <v>6.0165277556581929</v>
      </c>
      <c r="DW134" s="5">
        <f t="shared" si="403"/>
        <v>2.2222222222222223</v>
      </c>
      <c r="DX134" s="5">
        <f t="shared" si="404"/>
        <v>3.7943055334359705</v>
      </c>
      <c r="DY134" s="150">
        <f t="shared" si="405"/>
        <v>0.36935294117647044</v>
      </c>
      <c r="EA134" s="5">
        <f t="shared" si="406"/>
        <v>0.15686274509803921</v>
      </c>
      <c r="EB134" s="5">
        <f t="shared" si="407"/>
        <v>2.2222222222222223</v>
      </c>
      <c r="EC134" s="5">
        <f t="shared" si="408"/>
        <v>14.334043126313663</v>
      </c>
      <c r="ED134" s="5"/>
      <c r="EE134" s="150">
        <f t="shared" si="409"/>
        <v>4.6784165803556235</v>
      </c>
      <c r="EF134" s="150">
        <f t="shared" si="410"/>
        <v>0.28550836322438866</v>
      </c>
      <c r="EG134" s="150">
        <f t="shared" si="411"/>
        <v>0.27160032714820065</v>
      </c>
      <c r="EH134" s="150"/>
      <c r="EI134" s="456">
        <f t="shared" si="412"/>
        <v>7.4417777777777777E-2</v>
      </c>
      <c r="EJ134" s="456">
        <f t="shared" si="413"/>
        <v>1.1873958352941172</v>
      </c>
      <c r="EK134" s="456">
        <f t="shared" si="414"/>
        <v>3.8061820588235276E-2</v>
      </c>
      <c r="EL134" s="456">
        <f t="shared" si="415"/>
        <v>3.5367380782858442E-2</v>
      </c>
      <c r="EM134">
        <f t="shared" si="416"/>
        <v>4.0499999999999998E-3</v>
      </c>
      <c r="EN134" s="144">
        <f t="shared" si="417"/>
        <v>42.111820588235275</v>
      </c>
      <c r="EP134" s="144">
        <f t="shared" si="439"/>
        <v>1339.2928144429889</v>
      </c>
      <c r="EQ134" s="150">
        <f t="shared" si="418"/>
        <v>0.3</v>
      </c>
      <c r="ER134" s="150">
        <f t="shared" si="419"/>
        <v>8.5199999999999998E-2</v>
      </c>
      <c r="ES134" s="456"/>
      <c r="EU134" s="144">
        <f t="shared" si="420"/>
        <v>385.2</v>
      </c>
      <c r="EV134" s="456">
        <f t="shared" si="421"/>
        <v>3.2831372549019612E-2</v>
      </c>
      <c r="EW134" s="456">
        <f t="shared" si="422"/>
        <v>1.6303005094213893E-2</v>
      </c>
      <c r="EX134" s="456">
        <f t="shared" si="423"/>
        <v>2.2130021312102882E-3</v>
      </c>
      <c r="EY134" s="456">
        <f t="shared" si="424"/>
        <v>11.559845628240177</v>
      </c>
      <c r="EZ134" s="456"/>
      <c r="FA134" s="538">
        <f t="shared" si="425"/>
        <v>2.9548235294117639E-2</v>
      </c>
      <c r="FB134" s="144">
        <f t="shared" si="426"/>
        <v>11640.741243308739</v>
      </c>
      <c r="FC134" s="150">
        <f t="shared" si="427"/>
        <v>13.365234057751726</v>
      </c>
      <c r="FD134" s="5">
        <f t="shared" si="428"/>
        <v>21.84</v>
      </c>
      <c r="FE134" s="150">
        <f t="shared" si="429"/>
        <v>0.62036230079234833</v>
      </c>
      <c r="FF134" s="5">
        <f t="shared" si="430"/>
        <v>62.036230079234834</v>
      </c>
      <c r="FG134">
        <f t="shared" si="431"/>
        <v>24</v>
      </c>
      <c r="FI134" s="59">
        <f t="shared" si="432"/>
        <v>-50</v>
      </c>
      <c r="FJ134">
        <f t="shared" si="433"/>
        <v>-50</v>
      </c>
    </row>
    <row r="135" spans="5:166">
      <c r="E135" s="147">
        <v>25</v>
      </c>
      <c r="F135" s="188">
        <f t="shared" si="434"/>
        <v>0.125</v>
      </c>
      <c r="G135" s="188">
        <f t="shared" si="313"/>
        <v>0.125</v>
      </c>
      <c r="H135" s="188">
        <f t="shared" si="314"/>
        <v>21.25</v>
      </c>
      <c r="I135" s="188">
        <f t="shared" si="315"/>
        <v>1.5</v>
      </c>
      <c r="J135" s="465">
        <f t="shared" si="316"/>
        <v>8.9599936602740051</v>
      </c>
      <c r="K135" s="379">
        <f t="shared" si="317"/>
        <v>8.6489071312417067</v>
      </c>
      <c r="L135" s="149">
        <f t="shared" si="318"/>
        <v>17.608900791515712</v>
      </c>
      <c r="M135" s="379"/>
      <c r="N135" s="188">
        <f t="shared" si="319"/>
        <v>0.49116678171126432</v>
      </c>
      <c r="O135" s="149">
        <f t="shared" si="320"/>
        <v>137.02284112562629</v>
      </c>
      <c r="P135" s="149">
        <f t="shared" si="321"/>
        <v>9.6722005500442094</v>
      </c>
      <c r="Q135" s="188">
        <f t="shared" si="322"/>
        <v>0.80601671250368401</v>
      </c>
      <c r="R135" s="188">
        <f t="shared" si="323"/>
        <v>11.41857009380219</v>
      </c>
      <c r="S135" s="188">
        <f t="shared" si="324"/>
        <v>170</v>
      </c>
      <c r="T135" s="188">
        <f t="shared" si="325"/>
        <v>10.338908863872032</v>
      </c>
      <c r="U135" s="188">
        <f t="shared" si="326"/>
        <v>1.7308453425104082</v>
      </c>
      <c r="V135" s="188">
        <f t="shared" si="327"/>
        <v>1.7931009155814051</v>
      </c>
      <c r="W135" s="172">
        <f t="shared" si="328"/>
        <v>220.04256251350569</v>
      </c>
      <c r="X135" s="379">
        <f t="shared" si="435"/>
        <v>268.53233926968903</v>
      </c>
      <c r="Z135" s="188">
        <f t="shared" si="329"/>
        <v>13.333333333333334</v>
      </c>
      <c r="AA135" s="150">
        <f t="shared" si="330"/>
        <v>2.3124308882628322</v>
      </c>
      <c r="AB135" s="150">
        <f t="shared" si="331"/>
        <v>0.15842792510821443</v>
      </c>
      <c r="AC135" s="150"/>
      <c r="AD135" s="150">
        <f t="shared" si="332"/>
        <v>2.3124308882628322</v>
      </c>
      <c r="AE135" s="314">
        <f t="shared" si="333"/>
        <v>173.61409167860191</v>
      </c>
      <c r="AF135" s="456">
        <f t="shared" si="334"/>
        <v>0.15842792510821441</v>
      </c>
      <c r="AH135" s="150">
        <f t="shared" si="335"/>
        <v>9.3094933625126277</v>
      </c>
      <c r="AI135" s="150">
        <f t="shared" si="336"/>
        <v>13.333333333333334</v>
      </c>
      <c r="AJ135" s="150">
        <f t="shared" si="337"/>
        <v>1.0992080523877725</v>
      </c>
      <c r="AL135" s="314">
        <f t="shared" si="338"/>
        <v>125</v>
      </c>
      <c r="AM135" s="144">
        <f t="shared" si="339"/>
        <v>173.61409167860191</v>
      </c>
      <c r="AO135" s="144">
        <f t="shared" si="340"/>
        <v>125</v>
      </c>
      <c r="AP135" s="144">
        <f t="shared" si="341"/>
        <v>173.61409167860191</v>
      </c>
      <c r="AR135" s="5">
        <f t="shared" si="443"/>
        <v>5.7599011136217051</v>
      </c>
      <c r="AS135" s="5">
        <f t="shared" si="440"/>
        <v>2.2321444365160836</v>
      </c>
      <c r="AT135" s="5">
        <f t="shared" si="441"/>
        <v>3.5277566771056215</v>
      </c>
      <c r="AU135" s="150">
        <f t="shared" si="442"/>
        <v>0.38753172884118459</v>
      </c>
      <c r="AW135" s="5">
        <f t="shared" si="342"/>
        <v>0.16412826739088848</v>
      </c>
      <c r="AX135" s="5">
        <f t="shared" si="343"/>
        <v>2.3251504547042536</v>
      </c>
      <c r="AY135" s="5">
        <f t="shared" si="344"/>
        <v>13.944360571158773</v>
      </c>
      <c r="AZ135" s="5"/>
      <c r="BA135" s="150">
        <f t="shared" si="345"/>
        <v>4.7921647708096096</v>
      </c>
      <c r="BB135" s="150">
        <f t="shared" si="346"/>
        <v>0.28136329708028918</v>
      </c>
      <c r="BC135" s="150">
        <f t="shared" si="347"/>
        <v>0.2676571805864883</v>
      </c>
      <c r="BD135" s="150"/>
      <c r="BE135" s="456">
        <f t="shared" si="348"/>
        <v>7.8080466848001628E-2</v>
      </c>
      <c r="BF135" s="456">
        <f t="shared" si="349"/>
        <v>0.97625095902991821</v>
      </c>
      <c r="BG135" s="456">
        <f t="shared" si="350"/>
        <v>7.1245617163472233E-2</v>
      </c>
      <c r="BH135" s="456">
        <f t="shared" si="351"/>
        <v>3.6875679974994462E-2</v>
      </c>
      <c r="BI135">
        <f t="shared" si="352"/>
        <v>4.0319971471233021E-3</v>
      </c>
      <c r="BJ135" s="144">
        <f t="shared" si="436"/>
        <v>75.277614310595538</v>
      </c>
      <c r="BK135">
        <f t="shared" si="353"/>
        <v>1.1333139809916304</v>
      </c>
      <c r="BL135" s="144">
        <f t="shared" si="437"/>
        <v>1166.48472016351</v>
      </c>
      <c r="BM135" s="150">
        <f t="shared" si="354"/>
        <v>0.27734375</v>
      </c>
      <c r="BN135" s="150">
        <f t="shared" si="355"/>
        <v>0.27734375</v>
      </c>
      <c r="BO135" s="456"/>
      <c r="BQ135" s="144">
        <f t="shared" si="356"/>
        <v>554.6875</v>
      </c>
      <c r="BR135" s="456">
        <f t="shared" si="357"/>
        <v>3.4447264785883072E-2</v>
      </c>
      <c r="BS135" s="456">
        <f t="shared" si="358"/>
        <v>1.5833060988778215E-2</v>
      </c>
      <c r="BT135" s="456">
        <f t="shared" si="359"/>
        <v>2.1492109895852405E-3</v>
      </c>
      <c r="BU135" s="456">
        <f t="shared" si="360"/>
        <v>12.890782390472213</v>
      </c>
      <c r="BV135" s="456"/>
      <c r="BW135" s="538">
        <f t="shared" si="361"/>
        <v>3.0864727409529231E-2</v>
      </c>
      <c r="BX135" s="144">
        <f t="shared" si="362"/>
        <v>12974.076654645989</v>
      </c>
      <c r="BY135" s="150">
        <f t="shared" si="363"/>
        <v>14.695248874809499</v>
      </c>
      <c r="BZ135" s="5">
        <f t="shared" si="364"/>
        <v>22.75</v>
      </c>
      <c r="CA135" s="150">
        <f t="shared" si="365"/>
        <v>0.60755371331780839</v>
      </c>
      <c r="CB135" s="5">
        <f t="shared" si="366"/>
        <v>60.755371331780836</v>
      </c>
      <c r="CC135">
        <f t="shared" si="367"/>
        <v>25</v>
      </c>
      <c r="CE135" s="59">
        <f t="shared" si="368"/>
        <v>-50</v>
      </c>
      <c r="CF135">
        <f t="shared" si="369"/>
        <v>-50</v>
      </c>
      <c r="CG135" s="150">
        <f t="shared" si="370"/>
        <v>0.39005000713201171</v>
      </c>
      <c r="CH135" s="150">
        <f t="shared" si="371"/>
        <v>0.10569463325411192</v>
      </c>
      <c r="CI135" s="147">
        <v>25</v>
      </c>
      <c r="CJ135" s="188">
        <f t="shared" si="438"/>
        <v>0.125</v>
      </c>
      <c r="CK135" s="188">
        <f t="shared" si="372"/>
        <v>0.125</v>
      </c>
      <c r="CL135" s="188">
        <f t="shared" si="373"/>
        <v>21.25</v>
      </c>
      <c r="CM135" s="188">
        <f t="shared" si="374"/>
        <v>1.5</v>
      </c>
      <c r="CN135" s="465">
        <f t="shared" si="375"/>
        <v>9</v>
      </c>
      <c r="CO135" s="379">
        <f t="shared" si="376"/>
        <v>8.625</v>
      </c>
      <c r="CP135" s="379">
        <f t="shared" si="377"/>
        <v>17.625</v>
      </c>
      <c r="CQ135" s="379"/>
      <c r="CR135" s="188">
        <f t="shared" si="378"/>
        <v>0.48674080410607357</v>
      </c>
      <c r="CS135" s="149">
        <f t="shared" si="379"/>
        <v>136.39440115060304</v>
      </c>
      <c r="CT135" s="149">
        <f t="shared" si="380"/>
        <v>9.6278400812190377</v>
      </c>
      <c r="CU135" s="188">
        <f t="shared" si="381"/>
        <v>0.80232000676825321</v>
      </c>
      <c r="CV135" s="188">
        <f t="shared" si="382"/>
        <v>11.366200095883586</v>
      </c>
      <c r="CW135" s="188">
        <f t="shared" si="383"/>
        <v>170</v>
      </c>
      <c r="CX135" s="188">
        <f t="shared" si="384"/>
        <v>10.386545596563172</v>
      </c>
      <c r="CY135" s="188">
        <f t="shared" si="385"/>
        <v>1.7310909327605288</v>
      </c>
      <c r="CZ135" s="188">
        <f t="shared" si="386"/>
        <v>1.80635575592403</v>
      </c>
      <c r="DA135" s="172">
        <f t="shared" si="387"/>
        <v>220.21276595744678</v>
      </c>
      <c r="DB135" s="379">
        <f t="shared" si="388"/>
        <v>282.68977259749511</v>
      </c>
      <c r="DD135" s="188">
        <f t="shared" si="389"/>
        <v>13.333333333333336</v>
      </c>
      <c r="DE135" s="150">
        <f t="shared" si="390"/>
        <v>2.3188405797101459</v>
      </c>
      <c r="DF135" s="150">
        <f t="shared" si="391"/>
        <v>0.15898994622398885</v>
      </c>
      <c r="DG135" s="150"/>
      <c r="DH135" s="150">
        <f t="shared" si="392"/>
        <v>2.3188405797101455</v>
      </c>
      <c r="DI135" s="314">
        <f t="shared" si="393"/>
        <v>173.13419117647052</v>
      </c>
      <c r="DJ135" s="456">
        <f t="shared" si="394"/>
        <v>0.15898994622398879</v>
      </c>
      <c r="DL135" s="150">
        <f t="shared" si="395"/>
        <v>9.3094933625126277</v>
      </c>
      <c r="DM135" s="150">
        <f t="shared" si="396"/>
        <v>13.333333333333334</v>
      </c>
      <c r="DN135" s="150">
        <f t="shared" si="397"/>
        <v>1.0989338235294117</v>
      </c>
      <c r="DP135" s="314">
        <f t="shared" si="398"/>
        <v>125</v>
      </c>
      <c r="DQ135" s="144">
        <f t="shared" si="399"/>
        <v>173.13419117647052</v>
      </c>
      <c r="DS135" s="144">
        <f t="shared" si="400"/>
        <v>125</v>
      </c>
      <c r="DT135" s="144">
        <f t="shared" si="401"/>
        <v>173.13419117647052</v>
      </c>
      <c r="DV135" s="5">
        <f t="shared" si="402"/>
        <v>5.775866645431865</v>
      </c>
      <c r="DW135" s="5">
        <f t="shared" si="403"/>
        <v>2.2222222222222223</v>
      </c>
      <c r="DX135" s="5">
        <f t="shared" si="404"/>
        <v>3.5536444232096427</v>
      </c>
      <c r="DY135" s="150">
        <f t="shared" si="405"/>
        <v>0.38474264705882338</v>
      </c>
      <c r="EA135" s="5">
        <f t="shared" si="406"/>
        <v>0.16339869281045752</v>
      </c>
      <c r="EB135" s="5">
        <f t="shared" si="407"/>
        <v>2.3148148148148153</v>
      </c>
      <c r="EC135" s="5">
        <f t="shared" si="408"/>
        <v>13.984248887630539</v>
      </c>
      <c r="ED135" s="5"/>
      <c r="EE135" s="150">
        <f t="shared" si="409"/>
        <v>4.7748889275199371</v>
      </c>
      <c r="EF135" s="150">
        <f t="shared" si="410"/>
        <v>0.2820032109424554</v>
      </c>
      <c r="EG135" s="150">
        <f t="shared" si="411"/>
        <v>0.26826592217411882</v>
      </c>
      <c r="EH135" s="150"/>
      <c r="EI135" s="456">
        <f t="shared" si="412"/>
        <v>7.7518518518518473E-2</v>
      </c>
      <c r="EJ135" s="456">
        <f t="shared" si="413"/>
        <v>1.2368706617647054</v>
      </c>
      <c r="EK135" s="456">
        <f t="shared" si="414"/>
        <v>3.964772977941175E-2</v>
      </c>
      <c r="EL135" s="456">
        <f t="shared" si="415"/>
        <v>3.6841021648810882E-2</v>
      </c>
      <c r="EM135">
        <f t="shared" si="416"/>
        <v>4.0499999999999998E-3</v>
      </c>
      <c r="EN135" s="144">
        <f t="shared" si="417"/>
        <v>43.697729779411745</v>
      </c>
      <c r="EP135" s="144">
        <f t="shared" si="439"/>
        <v>1394.9279317114467</v>
      </c>
      <c r="EQ135" s="150">
        <f t="shared" si="418"/>
        <v>0.3125</v>
      </c>
      <c r="ER135" s="150">
        <f t="shared" si="419"/>
        <v>8.8749999999999996E-2</v>
      </c>
      <c r="ES135" s="456"/>
      <c r="EU135" s="144">
        <f t="shared" si="420"/>
        <v>401.25</v>
      </c>
      <c r="EV135" s="456">
        <f t="shared" si="421"/>
        <v>3.4199346405228745E-2</v>
      </c>
      <c r="EW135" s="456">
        <f t="shared" si="422"/>
        <v>1.5905162196371E-2</v>
      </c>
      <c r="EX135" s="456">
        <f t="shared" si="423"/>
        <v>2.1589981499979113E-3</v>
      </c>
      <c r="EY135" s="456">
        <f t="shared" si="424"/>
        <v>12.801885893433225</v>
      </c>
      <c r="EZ135" s="456"/>
      <c r="FA135" s="538">
        <f t="shared" si="425"/>
        <v>3.0779411764705882E-2</v>
      </c>
      <c r="FB135" s="144">
        <f t="shared" si="426"/>
        <v>12884.928811949529</v>
      </c>
      <c r="FC135" s="150">
        <f t="shared" si="427"/>
        <v>14.681106743660976</v>
      </c>
      <c r="FD135" s="5">
        <f t="shared" si="428"/>
        <v>22.75</v>
      </c>
      <c r="FE135" s="150">
        <f t="shared" si="429"/>
        <v>0.60778325780743181</v>
      </c>
      <c r="FF135" s="5">
        <f t="shared" si="430"/>
        <v>60.778325780743181</v>
      </c>
      <c r="FG135">
        <f t="shared" si="431"/>
        <v>25</v>
      </c>
      <c r="FI135" s="59">
        <f t="shared" si="432"/>
        <v>-50</v>
      </c>
      <c r="FJ135">
        <f t="shared" si="433"/>
        <v>-50</v>
      </c>
    </row>
    <row r="136" spans="5:166">
      <c r="E136" s="147">
        <v>26</v>
      </c>
      <c r="F136" s="188">
        <f t="shared" si="434"/>
        <v>0.13</v>
      </c>
      <c r="G136" s="188">
        <f t="shared" si="313"/>
        <v>0.13</v>
      </c>
      <c r="H136" s="188">
        <f t="shared" si="314"/>
        <v>22.1</v>
      </c>
      <c r="I136" s="188">
        <f t="shared" si="315"/>
        <v>1.56</v>
      </c>
      <c r="J136" s="465">
        <f t="shared" si="316"/>
        <v>8.9599936602740051</v>
      </c>
      <c r="K136" s="379">
        <f t="shared" si="317"/>
        <v>8.6489071312417067</v>
      </c>
      <c r="L136" s="149">
        <f t="shared" si="318"/>
        <v>17.608900791515712</v>
      </c>
      <c r="M136" s="379"/>
      <c r="N136" s="188">
        <f t="shared" si="319"/>
        <v>0.49116678171126432</v>
      </c>
      <c r="O136" s="149">
        <f t="shared" si="320"/>
        <v>137.02284112562629</v>
      </c>
      <c r="P136" s="149">
        <f t="shared" si="321"/>
        <v>9.6722005500442094</v>
      </c>
      <c r="Q136" s="188">
        <f t="shared" si="322"/>
        <v>0.80601671250368401</v>
      </c>
      <c r="R136" s="188">
        <f t="shared" si="323"/>
        <v>11.41857009380219</v>
      </c>
      <c r="S136" s="188">
        <f t="shared" si="324"/>
        <v>170</v>
      </c>
      <c r="T136" s="188">
        <f t="shared" si="325"/>
        <v>10.752465218426913</v>
      </c>
      <c r="U136" s="188">
        <f t="shared" si="326"/>
        <v>1.8000791562108247</v>
      </c>
      <c r="V136" s="188">
        <f t="shared" si="327"/>
        <v>1.8648249522046614</v>
      </c>
      <c r="W136" s="172">
        <f t="shared" si="328"/>
        <v>220.04256251350569</v>
      </c>
      <c r="X136" s="379">
        <f t="shared" si="435"/>
        <v>258.73863152842227</v>
      </c>
      <c r="Z136" s="188">
        <f t="shared" si="329"/>
        <v>13.333333333333334</v>
      </c>
      <c r="AA136" s="150">
        <f t="shared" si="330"/>
        <v>2.3124308882628322</v>
      </c>
      <c r="AB136" s="150">
        <f t="shared" si="331"/>
        <v>0.15842792510821443</v>
      </c>
      <c r="AC136" s="150"/>
      <c r="AD136" s="150">
        <f t="shared" si="332"/>
        <v>2.3124308882628322</v>
      </c>
      <c r="AE136" s="314">
        <f t="shared" si="333"/>
        <v>180.55865534574596</v>
      </c>
      <c r="AF136" s="456">
        <f t="shared" si="334"/>
        <v>0.15842792510821441</v>
      </c>
      <c r="AH136" s="150">
        <f t="shared" si="335"/>
        <v>9.4938576634228795</v>
      </c>
      <c r="AI136" s="150">
        <f t="shared" si="336"/>
        <v>13.333333333333334</v>
      </c>
      <c r="AJ136" s="150">
        <f t="shared" si="337"/>
        <v>1.1031763744832834</v>
      </c>
      <c r="AL136" s="314">
        <f t="shared" si="338"/>
        <v>130</v>
      </c>
      <c r="AM136" s="144">
        <f t="shared" si="339"/>
        <v>180.55865534574596</v>
      </c>
      <c r="AO136" s="144">
        <f t="shared" si="340"/>
        <v>130</v>
      </c>
      <c r="AP136" s="144">
        <f t="shared" si="341"/>
        <v>180.55865534574596</v>
      </c>
      <c r="AR136" s="5">
        <f t="shared" si="443"/>
        <v>5.5383664554054874</v>
      </c>
      <c r="AS136" s="5">
        <f t="shared" si="440"/>
        <v>2.2321444365160836</v>
      </c>
      <c r="AT136" s="5">
        <f t="shared" si="441"/>
        <v>3.3062220188894038</v>
      </c>
      <c r="AU136" s="150">
        <f t="shared" si="442"/>
        <v>0.40303299799483183</v>
      </c>
      <c r="AW136" s="5">
        <f t="shared" si="342"/>
        <v>0.17069339808652403</v>
      </c>
      <c r="AX136" s="5">
        <f t="shared" si="343"/>
        <v>2.4181564728924241</v>
      </c>
      <c r="AY136" s="5">
        <f t="shared" si="344"/>
        <v>13.59143569885468</v>
      </c>
      <c r="AZ136" s="5"/>
      <c r="BA136" s="150">
        <f t="shared" si="345"/>
        <v>4.8870683357420184</v>
      </c>
      <c r="BB136" s="150">
        <f t="shared" si="346"/>
        <v>0.27777989526450259</v>
      </c>
      <c r="BC136" s="150">
        <f t="shared" si="347"/>
        <v>0.26424833786650748</v>
      </c>
      <c r="BD136" s="150"/>
      <c r="BE136" s="456">
        <f t="shared" si="348"/>
        <v>8.1203685521921684E-2</v>
      </c>
      <c r="BF136" s="456">
        <f t="shared" si="349"/>
        <v>1.0153009973911149</v>
      </c>
      <c r="BG136" s="456">
        <f t="shared" si="350"/>
        <v>7.4095441850011115E-2</v>
      </c>
      <c r="BH136" s="456">
        <f t="shared" si="351"/>
        <v>3.835070717399424E-2</v>
      </c>
      <c r="BI136">
        <f t="shared" si="352"/>
        <v>4.0319971471233021E-3</v>
      </c>
      <c r="BJ136" s="144">
        <f t="shared" si="436"/>
        <v>78.127438997134419</v>
      </c>
      <c r="BK136">
        <f t="shared" si="353"/>
        <v>1.1795383938533606</v>
      </c>
      <c r="BL136" s="144">
        <f t="shared" si="437"/>
        <v>1212.9828290841649</v>
      </c>
      <c r="BM136" s="150">
        <f t="shared" si="354"/>
        <v>0.28843750000000001</v>
      </c>
      <c r="BN136" s="150">
        <f t="shared" si="355"/>
        <v>0.28843750000000001</v>
      </c>
      <c r="BO136" s="456"/>
      <c r="BQ136" s="144">
        <f t="shared" si="356"/>
        <v>576.875</v>
      </c>
      <c r="BR136" s="456">
        <f t="shared" si="357"/>
        <v>3.5825155377318396E-2</v>
      </c>
      <c r="BS136" s="456">
        <f t="shared" si="358"/>
        <v>1.5432334042631606E-2</v>
      </c>
      <c r="BT136" s="456">
        <f t="shared" si="359"/>
        <v>2.0948155219563565E-3</v>
      </c>
      <c r="BU136" s="456">
        <f t="shared" si="360"/>
        <v>14.218789518476566</v>
      </c>
      <c r="BV136" s="456"/>
      <c r="BW136" s="538">
        <f t="shared" si="361"/>
        <v>3.20993165059104E-2</v>
      </c>
      <c r="BX136" s="144">
        <f t="shared" si="362"/>
        <v>14304.241139924383</v>
      </c>
      <c r="BY136" s="150">
        <f t="shared" si="363"/>
        <v>16.094098969008549</v>
      </c>
      <c r="BZ136" s="5">
        <f t="shared" si="364"/>
        <v>23.66</v>
      </c>
      <c r="CA136" s="150">
        <f t="shared" si="365"/>
        <v>0.59515875377894567</v>
      </c>
      <c r="CB136" s="5">
        <f t="shared" si="366"/>
        <v>59.515875377894567</v>
      </c>
      <c r="CC136">
        <f t="shared" si="367"/>
        <v>26</v>
      </c>
      <c r="CE136" s="59">
        <f t="shared" si="368"/>
        <v>-50</v>
      </c>
      <c r="CF136">
        <f t="shared" si="369"/>
        <v>-50</v>
      </c>
      <c r="CG136" s="150">
        <f t="shared" si="370"/>
        <v>0.40565200741729218</v>
      </c>
      <c r="CH136" s="150">
        <f t="shared" si="371"/>
        <v>0.10992241858427643</v>
      </c>
      <c r="CI136" s="147">
        <v>26</v>
      </c>
      <c r="CJ136" s="188">
        <f t="shared" si="438"/>
        <v>0.13</v>
      </c>
      <c r="CK136" s="188">
        <f t="shared" si="372"/>
        <v>0.13</v>
      </c>
      <c r="CL136" s="188">
        <f t="shared" si="373"/>
        <v>22.1</v>
      </c>
      <c r="CM136" s="188">
        <f t="shared" si="374"/>
        <v>1.56</v>
      </c>
      <c r="CN136" s="465">
        <f t="shared" si="375"/>
        <v>9</v>
      </c>
      <c r="CO136" s="379">
        <f t="shared" si="376"/>
        <v>8.625</v>
      </c>
      <c r="CP136" s="379">
        <f t="shared" si="377"/>
        <v>17.625</v>
      </c>
      <c r="CQ136" s="379"/>
      <c r="CR136" s="188">
        <f t="shared" si="378"/>
        <v>0.48674080410607357</v>
      </c>
      <c r="CS136" s="149">
        <f t="shared" si="379"/>
        <v>136.39440115060304</v>
      </c>
      <c r="CT136" s="149">
        <f t="shared" si="380"/>
        <v>9.6278400812190377</v>
      </c>
      <c r="CU136" s="188">
        <f t="shared" si="381"/>
        <v>0.80232000676825321</v>
      </c>
      <c r="CV136" s="188">
        <f t="shared" si="382"/>
        <v>11.366200095883586</v>
      </c>
      <c r="CW136" s="188">
        <f t="shared" si="383"/>
        <v>170</v>
      </c>
      <c r="CX136" s="188">
        <f t="shared" si="384"/>
        <v>10.802007420425699</v>
      </c>
      <c r="CY136" s="188">
        <f t="shared" si="385"/>
        <v>1.8003345700709501</v>
      </c>
      <c r="CZ136" s="188">
        <f t="shared" si="386"/>
        <v>1.8786099861609913</v>
      </c>
      <c r="DA136" s="172">
        <f t="shared" si="387"/>
        <v>220.21276595744678</v>
      </c>
      <c r="DB136" s="379">
        <f t="shared" si="388"/>
        <v>271.81708903605295</v>
      </c>
      <c r="DD136" s="188">
        <f t="shared" si="389"/>
        <v>13.333333333333336</v>
      </c>
      <c r="DE136" s="150">
        <f t="shared" si="390"/>
        <v>2.3188405797101459</v>
      </c>
      <c r="DF136" s="150">
        <f t="shared" si="391"/>
        <v>0.15898994622398885</v>
      </c>
      <c r="DG136" s="150"/>
      <c r="DH136" s="150">
        <f t="shared" si="392"/>
        <v>2.3188405797101455</v>
      </c>
      <c r="DI136" s="314">
        <f t="shared" si="393"/>
        <v>180.05955882352936</v>
      </c>
      <c r="DJ136" s="456">
        <f t="shared" si="394"/>
        <v>0.15898994622398879</v>
      </c>
      <c r="DL136" s="150">
        <f t="shared" si="395"/>
        <v>9.4938576634228795</v>
      </c>
      <c r="DM136" s="150">
        <f t="shared" si="396"/>
        <v>13.333333333333334</v>
      </c>
      <c r="DN136" s="150">
        <f t="shared" si="397"/>
        <v>1.1028911764705882</v>
      </c>
      <c r="DP136" s="314">
        <f t="shared" si="398"/>
        <v>130</v>
      </c>
      <c r="DQ136" s="144">
        <f t="shared" si="399"/>
        <v>180.05955882352936</v>
      </c>
      <c r="DS136" s="144">
        <f t="shared" si="400"/>
        <v>130</v>
      </c>
      <c r="DT136" s="144">
        <f t="shared" si="401"/>
        <v>180.05955882352936</v>
      </c>
      <c r="DV136" s="5">
        <f t="shared" si="402"/>
        <v>5.5537179282998697</v>
      </c>
      <c r="DW136" s="5">
        <f t="shared" si="403"/>
        <v>2.2222222222222223</v>
      </c>
      <c r="DX136" s="5">
        <f t="shared" si="404"/>
        <v>3.3314957060776473</v>
      </c>
      <c r="DY136" s="150">
        <f t="shared" si="405"/>
        <v>0.40013235294117638</v>
      </c>
      <c r="EA136" s="5">
        <f t="shared" si="406"/>
        <v>0.16993464052287585</v>
      </c>
      <c r="EB136" s="5">
        <f t="shared" si="407"/>
        <v>2.4074074074074074</v>
      </c>
      <c r="EC136" s="5">
        <f t="shared" si="408"/>
        <v>13.634454648947408</v>
      </c>
      <c r="ED136" s="5"/>
      <c r="EE136" s="150">
        <f t="shared" si="409"/>
        <v>4.869450363332458</v>
      </c>
      <c r="EF136" s="150">
        <f t="shared" si="410"/>
        <v>0.27845393962492337</v>
      </c>
      <c r="EG136" s="150">
        <f t="shared" si="411"/>
        <v>0.26488954734540043</v>
      </c>
      <c r="EH136" s="150"/>
      <c r="EI136" s="456">
        <f t="shared" si="412"/>
        <v>8.0619259259259266E-2</v>
      </c>
      <c r="EJ136" s="456">
        <f t="shared" si="413"/>
        <v>1.2863454882352938</v>
      </c>
      <c r="EK136" s="456">
        <f t="shared" si="414"/>
        <v>4.1233638970588224E-2</v>
      </c>
      <c r="EL136" s="456">
        <f t="shared" si="415"/>
        <v>3.8314662514763322E-2</v>
      </c>
      <c r="EM136">
        <f t="shared" si="416"/>
        <v>4.0499999999999998E-3</v>
      </c>
      <c r="EN136" s="144">
        <f t="shared" si="417"/>
        <v>45.283638970588221</v>
      </c>
      <c r="EP136" s="144">
        <f t="shared" si="439"/>
        <v>1450.5630489799046</v>
      </c>
      <c r="EQ136" s="150">
        <f t="shared" si="418"/>
        <v>0.32500000000000001</v>
      </c>
      <c r="ER136" s="150">
        <f t="shared" si="419"/>
        <v>9.2300000000000007E-2</v>
      </c>
      <c r="ES136" s="456"/>
      <c r="EU136" s="144">
        <f t="shared" si="420"/>
        <v>417.3</v>
      </c>
      <c r="EV136" s="456">
        <f t="shared" si="421"/>
        <v>3.5567320261437912E-2</v>
      </c>
      <c r="EW136" s="456">
        <f t="shared" si="422"/>
        <v>1.5507319298528095E-2</v>
      </c>
      <c r="EX136" s="456">
        <f t="shared" si="423"/>
        <v>2.1049941687855339E-3</v>
      </c>
      <c r="EY136" s="456">
        <f t="shared" si="424"/>
        <v>14.120734913097312</v>
      </c>
      <c r="EZ136" s="456"/>
      <c r="FA136" s="538">
        <f t="shared" si="425"/>
        <v>3.201058823529411E-2</v>
      </c>
      <c r="FB136" s="144">
        <f t="shared" si="426"/>
        <v>14205.925135061358</v>
      </c>
      <c r="FC136" s="150">
        <f t="shared" si="427"/>
        <v>16.073788184041263</v>
      </c>
      <c r="FD136" s="5">
        <f t="shared" si="428"/>
        <v>23.66</v>
      </c>
      <c r="FE136" s="150">
        <f t="shared" si="429"/>
        <v>0.59546298204465786</v>
      </c>
      <c r="FF136" s="5">
        <f t="shared" si="430"/>
        <v>59.546298204465785</v>
      </c>
      <c r="FG136">
        <f t="shared" si="431"/>
        <v>26</v>
      </c>
      <c r="FI136" s="59">
        <f t="shared" si="432"/>
        <v>-50</v>
      </c>
      <c r="FJ136">
        <f t="shared" si="433"/>
        <v>-50</v>
      </c>
    </row>
    <row r="137" spans="5:166">
      <c r="E137" s="147">
        <v>27</v>
      </c>
      <c r="F137" s="188">
        <f t="shared" si="434"/>
        <v>0.13500000000000001</v>
      </c>
      <c r="G137" s="188">
        <f t="shared" si="313"/>
        <v>0.13500000000000001</v>
      </c>
      <c r="H137" s="188">
        <f t="shared" si="314"/>
        <v>22.950000000000003</v>
      </c>
      <c r="I137" s="188">
        <f t="shared" si="315"/>
        <v>1.62</v>
      </c>
      <c r="J137" s="465">
        <f t="shared" si="316"/>
        <v>8.9599936602740051</v>
      </c>
      <c r="K137" s="379">
        <f t="shared" si="317"/>
        <v>8.6489071312417067</v>
      </c>
      <c r="L137" s="149">
        <f t="shared" si="318"/>
        <v>17.608900791515712</v>
      </c>
      <c r="M137" s="379"/>
      <c r="N137" s="188">
        <f t="shared" si="319"/>
        <v>0.49116678171126432</v>
      </c>
      <c r="O137" s="149">
        <f t="shared" si="320"/>
        <v>137.02284112562629</v>
      </c>
      <c r="P137" s="149">
        <f t="shared" si="321"/>
        <v>9.6722005500442094</v>
      </c>
      <c r="Q137" s="188">
        <f t="shared" si="322"/>
        <v>0.80601671250368401</v>
      </c>
      <c r="R137" s="188">
        <f t="shared" si="323"/>
        <v>11.41857009380219</v>
      </c>
      <c r="S137" s="188">
        <f t="shared" si="324"/>
        <v>170</v>
      </c>
      <c r="T137" s="188">
        <f t="shared" si="325"/>
        <v>11.166021572981796</v>
      </c>
      <c r="U137" s="188">
        <f t="shared" si="326"/>
        <v>1.8693129699112414</v>
      </c>
      <c r="V137" s="188">
        <f t="shared" si="327"/>
        <v>1.9365489888279177</v>
      </c>
      <c r="W137" s="172">
        <f t="shared" si="328"/>
        <v>220.04256251350569</v>
      </c>
      <c r="X137" s="379">
        <f t="shared" si="435"/>
        <v>249.63416370811461</v>
      </c>
      <c r="Z137" s="188">
        <f t="shared" si="329"/>
        <v>13.333333333333334</v>
      </c>
      <c r="AA137" s="150">
        <f t="shared" si="330"/>
        <v>2.3124308882628322</v>
      </c>
      <c r="AB137" s="150">
        <f t="shared" si="331"/>
        <v>0.15842792510821443</v>
      </c>
      <c r="AC137" s="150"/>
      <c r="AD137" s="150">
        <f t="shared" si="332"/>
        <v>2.3124308882628322</v>
      </c>
      <c r="AE137" s="314">
        <f t="shared" si="333"/>
        <v>187.50321901289004</v>
      </c>
      <c r="AF137" s="456">
        <f t="shared" si="334"/>
        <v>0.15842792510821441</v>
      </c>
      <c r="AH137" s="150">
        <f t="shared" si="335"/>
        <v>9.6747092979582607</v>
      </c>
      <c r="AI137" s="150">
        <f t="shared" si="336"/>
        <v>13.333333333333334</v>
      </c>
      <c r="AJ137" s="150">
        <f t="shared" si="337"/>
        <v>1.1071446965787943</v>
      </c>
      <c r="AL137" s="314">
        <f t="shared" si="338"/>
        <v>135</v>
      </c>
      <c r="AM137" s="144">
        <f t="shared" si="339"/>
        <v>187.50321901289004</v>
      </c>
      <c r="AO137" s="144">
        <f t="shared" si="340"/>
        <v>135</v>
      </c>
      <c r="AP137" s="144">
        <f t="shared" si="341"/>
        <v>187.50321901289004</v>
      </c>
      <c r="AR137" s="5">
        <f t="shared" si="443"/>
        <v>5.3332417718719496</v>
      </c>
      <c r="AS137" s="5">
        <f t="shared" si="440"/>
        <v>2.2321444365160836</v>
      </c>
      <c r="AT137" s="5">
        <f t="shared" si="441"/>
        <v>3.101097335355866</v>
      </c>
      <c r="AU137" s="150">
        <f t="shared" si="442"/>
        <v>0.4185342671484793</v>
      </c>
      <c r="AW137" s="5">
        <f t="shared" si="342"/>
        <v>0.17725852878215959</v>
      </c>
      <c r="AX137" s="5">
        <f t="shared" si="343"/>
        <v>2.5111624910805945</v>
      </c>
      <c r="AY137" s="5">
        <f t="shared" si="344"/>
        <v>13.238510826550568</v>
      </c>
      <c r="AZ137" s="5"/>
      <c r="BA137" s="150">
        <f t="shared" si="345"/>
        <v>4.9801637167703445</v>
      </c>
      <c r="BB137" s="150">
        <f t="shared" si="346"/>
        <v>0.27414965891356674</v>
      </c>
      <c r="BC137" s="150">
        <f t="shared" si="347"/>
        <v>0.26079494207310799</v>
      </c>
      <c r="BD137" s="150"/>
      <c r="BE137" s="456">
        <f t="shared" si="348"/>
        <v>8.4326904195841768E-2</v>
      </c>
      <c r="BF137" s="456">
        <f t="shared" si="349"/>
        <v>1.0543510357523116</v>
      </c>
      <c r="BG137" s="456">
        <f t="shared" si="350"/>
        <v>7.6945266536550011E-2</v>
      </c>
      <c r="BH137" s="456">
        <f t="shared" si="351"/>
        <v>3.9825734372994012E-2</v>
      </c>
      <c r="BI137">
        <f t="shared" si="352"/>
        <v>4.0319971471233021E-3</v>
      </c>
      <c r="BJ137" s="144">
        <f t="shared" si="436"/>
        <v>80.9772636836733</v>
      </c>
      <c r="BK137">
        <f t="shared" si="353"/>
        <v>1.2258328135008967</v>
      </c>
      <c r="BL137" s="144">
        <f t="shared" si="437"/>
        <v>1259.4809380048207</v>
      </c>
      <c r="BM137" s="150">
        <f t="shared" si="354"/>
        <v>0.29953125000000003</v>
      </c>
      <c r="BN137" s="150">
        <f t="shared" si="355"/>
        <v>0.29953125000000003</v>
      </c>
      <c r="BO137" s="456"/>
      <c r="BQ137" s="144">
        <f t="shared" si="356"/>
        <v>599.0625</v>
      </c>
      <c r="BR137" s="456">
        <f t="shared" si="357"/>
        <v>3.720304596875372E-2</v>
      </c>
      <c r="BS137" s="456">
        <f t="shared" si="358"/>
        <v>1.5031607096484998E-2</v>
      </c>
      <c r="BT137" s="456">
        <f t="shared" si="359"/>
        <v>2.0404200543274725E-3</v>
      </c>
      <c r="BU137" s="456">
        <f t="shared" si="360"/>
        <v>15.62567063632051</v>
      </c>
      <c r="BV137" s="456"/>
      <c r="BW137" s="538">
        <f t="shared" si="361"/>
        <v>3.3333905602291568E-2</v>
      </c>
      <c r="BX137" s="144">
        <f t="shared" si="362"/>
        <v>15713.279615042367</v>
      </c>
      <c r="BY137" s="150">
        <f t="shared" si="363"/>
        <v>17.57182305304719</v>
      </c>
      <c r="BZ137" s="5">
        <f t="shared" si="364"/>
        <v>24.570000000000004</v>
      </c>
      <c r="CA137" s="150">
        <f t="shared" si="365"/>
        <v>0.58303125541274836</v>
      </c>
      <c r="CB137" s="5">
        <f t="shared" si="366"/>
        <v>58.303125541274838</v>
      </c>
      <c r="CC137">
        <f t="shared" si="367"/>
        <v>27</v>
      </c>
      <c r="CE137" s="59">
        <f t="shared" si="368"/>
        <v>-50</v>
      </c>
      <c r="CF137">
        <f t="shared" si="369"/>
        <v>-50</v>
      </c>
      <c r="CG137" s="150">
        <f t="shared" si="370"/>
        <v>0.42125400770257265</v>
      </c>
      <c r="CH137" s="150">
        <f t="shared" si="371"/>
        <v>0.11415020391444088</v>
      </c>
      <c r="CI137" s="147">
        <v>27</v>
      </c>
      <c r="CJ137" s="188">
        <f t="shared" si="438"/>
        <v>0.13500000000000001</v>
      </c>
      <c r="CK137" s="188">
        <f t="shared" si="372"/>
        <v>0.13500000000000001</v>
      </c>
      <c r="CL137" s="188">
        <f t="shared" si="373"/>
        <v>22.950000000000003</v>
      </c>
      <c r="CM137" s="188">
        <f t="shared" si="374"/>
        <v>1.62</v>
      </c>
      <c r="CN137" s="465">
        <f t="shared" si="375"/>
        <v>9</v>
      </c>
      <c r="CO137" s="379">
        <f t="shared" si="376"/>
        <v>8.625</v>
      </c>
      <c r="CP137" s="379">
        <f t="shared" si="377"/>
        <v>17.625</v>
      </c>
      <c r="CQ137" s="379"/>
      <c r="CR137" s="188">
        <f t="shared" si="378"/>
        <v>0.48674080410607357</v>
      </c>
      <c r="CS137" s="149">
        <f t="shared" si="379"/>
        <v>136.39440115060304</v>
      </c>
      <c r="CT137" s="149">
        <f t="shared" si="380"/>
        <v>9.6278400812190377</v>
      </c>
      <c r="CU137" s="188">
        <f t="shared" si="381"/>
        <v>0.80232000676825321</v>
      </c>
      <c r="CV137" s="188">
        <f t="shared" si="382"/>
        <v>11.366200095883586</v>
      </c>
      <c r="CW137" s="188">
        <f t="shared" si="383"/>
        <v>170</v>
      </c>
      <c r="CX137" s="188">
        <f t="shared" si="384"/>
        <v>11.217469244288226</v>
      </c>
      <c r="CY137" s="188">
        <f t="shared" si="385"/>
        <v>1.8695782073813709</v>
      </c>
      <c r="CZ137" s="188">
        <f t="shared" si="386"/>
        <v>1.9508642163979522</v>
      </c>
      <c r="DA137" s="172">
        <f t="shared" si="387"/>
        <v>220.21276595744678</v>
      </c>
      <c r="DB137" s="379">
        <f t="shared" si="388"/>
        <v>261.74978944212512</v>
      </c>
      <c r="DD137" s="188">
        <f t="shared" si="389"/>
        <v>13.333333333333336</v>
      </c>
      <c r="DE137" s="150">
        <f t="shared" si="390"/>
        <v>2.3188405797101459</v>
      </c>
      <c r="DF137" s="150">
        <f t="shared" si="391"/>
        <v>0.15898994622398885</v>
      </c>
      <c r="DG137" s="150"/>
      <c r="DH137" s="150">
        <f t="shared" si="392"/>
        <v>2.3188405797101455</v>
      </c>
      <c r="DI137" s="314">
        <f t="shared" si="393"/>
        <v>186.98492647058816</v>
      </c>
      <c r="DJ137" s="456">
        <f t="shared" si="394"/>
        <v>0.15898994622398879</v>
      </c>
      <c r="DL137" s="150">
        <f t="shared" si="395"/>
        <v>9.6747092979582607</v>
      </c>
      <c r="DM137" s="150">
        <f t="shared" si="396"/>
        <v>13.333333333333334</v>
      </c>
      <c r="DN137" s="150">
        <f t="shared" si="397"/>
        <v>1.1068485294117647</v>
      </c>
      <c r="DP137" s="314">
        <f t="shared" si="398"/>
        <v>135</v>
      </c>
      <c r="DQ137" s="144">
        <f t="shared" si="399"/>
        <v>186.98492647058816</v>
      </c>
      <c r="DS137" s="144">
        <f t="shared" si="400"/>
        <v>135</v>
      </c>
      <c r="DT137" s="144">
        <f t="shared" si="401"/>
        <v>186.98492647058816</v>
      </c>
      <c r="DV137" s="5">
        <f t="shared" si="402"/>
        <v>5.3480246716961712</v>
      </c>
      <c r="DW137" s="5">
        <f t="shared" si="403"/>
        <v>2.2222222222222223</v>
      </c>
      <c r="DX137" s="5">
        <f t="shared" si="404"/>
        <v>3.1258024494739489</v>
      </c>
      <c r="DY137" s="150">
        <f t="shared" si="405"/>
        <v>0.41552205882352927</v>
      </c>
      <c r="EA137" s="5">
        <f t="shared" si="406"/>
        <v>0.17647058823529416</v>
      </c>
      <c r="EB137" s="5">
        <f t="shared" si="407"/>
        <v>2.5000000000000004</v>
      </c>
      <c r="EC137" s="5">
        <f t="shared" si="408"/>
        <v>13.284660410264284</v>
      </c>
      <c r="ED137" s="5"/>
      <c r="EE137" s="150">
        <f t="shared" si="409"/>
        <v>4.9622101337775595</v>
      </c>
      <c r="EF137" s="150">
        <f t="shared" si="410"/>
        <v>0.27485884014058198</v>
      </c>
      <c r="EG137" s="150">
        <f t="shared" si="411"/>
        <v>0.26146957678814547</v>
      </c>
      <c r="EH137" s="150"/>
      <c r="EI137" s="456">
        <f t="shared" si="412"/>
        <v>8.3719999999999989E-2</v>
      </c>
      <c r="EJ137" s="456">
        <f t="shared" si="413"/>
        <v>1.3358203147058818</v>
      </c>
      <c r="EK137" s="456">
        <f t="shared" si="414"/>
        <v>4.2819548161764691E-2</v>
      </c>
      <c r="EL137" s="456">
        <f t="shared" si="415"/>
        <v>3.9788303380715748E-2</v>
      </c>
      <c r="EM137">
        <f t="shared" si="416"/>
        <v>4.0499999999999998E-3</v>
      </c>
      <c r="EN137" s="144">
        <f t="shared" si="417"/>
        <v>46.869548161764691</v>
      </c>
      <c r="EP137" s="144">
        <f t="shared" si="439"/>
        <v>1506.1981662483624</v>
      </c>
      <c r="EQ137" s="150">
        <f t="shared" si="418"/>
        <v>0.33750000000000002</v>
      </c>
      <c r="ER137" s="150">
        <f t="shared" si="419"/>
        <v>9.5850000000000005E-2</v>
      </c>
      <c r="ES137" s="456"/>
      <c r="EU137" s="144">
        <f t="shared" si="420"/>
        <v>433.35</v>
      </c>
      <c r="EV137" s="456">
        <f t="shared" si="421"/>
        <v>3.6935294117647059E-2</v>
      </c>
      <c r="EW137" s="456">
        <f t="shared" si="422"/>
        <v>1.5109476400685202E-2</v>
      </c>
      <c r="EX137" s="456">
        <f t="shared" si="423"/>
        <v>2.050990187573157E-3</v>
      </c>
      <c r="EY137" s="456">
        <f t="shared" si="424"/>
        <v>15.517913997399905</v>
      </c>
      <c r="EZ137" s="456"/>
      <c r="FA137" s="538">
        <f t="shared" si="425"/>
        <v>3.3241764705882346E-2</v>
      </c>
      <c r="FB137" s="144">
        <f t="shared" si="426"/>
        <v>15605.251522811694</v>
      </c>
      <c r="FC137" s="150">
        <f t="shared" si="427"/>
        <v>17.544799689060053</v>
      </c>
      <c r="FD137" s="5">
        <f t="shared" si="428"/>
        <v>24.570000000000004</v>
      </c>
      <c r="FE137" s="150">
        <f t="shared" si="429"/>
        <v>0.58340536299362777</v>
      </c>
      <c r="FF137" s="5">
        <f t="shared" si="430"/>
        <v>58.340536299362775</v>
      </c>
      <c r="FG137">
        <f t="shared" si="431"/>
        <v>27</v>
      </c>
      <c r="FI137" s="59">
        <f t="shared" si="432"/>
        <v>-50</v>
      </c>
      <c r="FJ137">
        <f t="shared" si="433"/>
        <v>-50</v>
      </c>
    </row>
    <row r="138" spans="5:166">
      <c r="E138" s="147">
        <v>28</v>
      </c>
      <c r="F138" s="188">
        <f t="shared" si="434"/>
        <v>0.14000000000000001</v>
      </c>
      <c r="G138" s="188">
        <f t="shared" si="313"/>
        <v>0.14000000000000001</v>
      </c>
      <c r="H138" s="188">
        <f t="shared" si="314"/>
        <v>23.8</v>
      </c>
      <c r="I138" s="188">
        <f t="shared" si="315"/>
        <v>1.6800000000000002</v>
      </c>
      <c r="J138" s="465">
        <f t="shared" si="316"/>
        <v>8.9599936602740051</v>
      </c>
      <c r="K138" s="379">
        <f t="shared" si="317"/>
        <v>8.6489071312417067</v>
      </c>
      <c r="L138" s="149">
        <f t="shared" si="318"/>
        <v>17.608900791515712</v>
      </c>
      <c r="M138" s="379"/>
      <c r="N138" s="188">
        <f t="shared" si="319"/>
        <v>0.49116678171126432</v>
      </c>
      <c r="O138" s="149">
        <f t="shared" si="320"/>
        <v>137.02284112562629</v>
      </c>
      <c r="P138" s="149">
        <f t="shared" si="321"/>
        <v>9.6722005500442094</v>
      </c>
      <c r="Q138" s="188">
        <f t="shared" si="322"/>
        <v>0.80601671250368401</v>
      </c>
      <c r="R138" s="188">
        <f t="shared" si="323"/>
        <v>11.41857009380219</v>
      </c>
      <c r="S138" s="188">
        <f t="shared" si="324"/>
        <v>170</v>
      </c>
      <c r="T138" s="188">
        <f t="shared" si="325"/>
        <v>11.579577927536677</v>
      </c>
      <c r="U138" s="188">
        <f t="shared" si="326"/>
        <v>1.9385467836116574</v>
      </c>
      <c r="V138" s="188">
        <f t="shared" si="327"/>
        <v>2.008273025451174</v>
      </c>
      <c r="W138" s="172">
        <f t="shared" si="328"/>
        <v>220.04256251350569</v>
      </c>
      <c r="X138" s="379">
        <f t="shared" si="435"/>
        <v>241.14865030173493</v>
      </c>
      <c r="Z138" s="188">
        <f t="shared" si="329"/>
        <v>13.333333333333334</v>
      </c>
      <c r="AA138" s="150">
        <f t="shared" si="330"/>
        <v>2.3124308882628322</v>
      </c>
      <c r="AB138" s="150">
        <f t="shared" si="331"/>
        <v>0.15842792510821443</v>
      </c>
      <c r="AC138" s="150"/>
      <c r="AD138" s="150">
        <f t="shared" si="332"/>
        <v>2.3124308882628322</v>
      </c>
      <c r="AE138" s="314">
        <f t="shared" si="333"/>
        <v>194.44778268003415</v>
      </c>
      <c r="AF138" s="456">
        <f t="shared" si="334"/>
        <v>0.15842792510821441</v>
      </c>
      <c r="AH138" s="150">
        <f t="shared" si="335"/>
        <v>9.8522417076859554</v>
      </c>
      <c r="AI138" s="150">
        <f t="shared" si="336"/>
        <v>13.333333333333334</v>
      </c>
      <c r="AJ138" s="150">
        <f t="shared" si="337"/>
        <v>1.1111130186743052</v>
      </c>
      <c r="AL138" s="314">
        <f t="shared" si="338"/>
        <v>140</v>
      </c>
      <c r="AM138" s="144">
        <f t="shared" si="339"/>
        <v>194.44778268003415</v>
      </c>
      <c r="AO138" s="144">
        <f t="shared" si="340"/>
        <v>140</v>
      </c>
      <c r="AP138" s="144">
        <f t="shared" si="341"/>
        <v>194.44778268003415</v>
      </c>
      <c r="AR138" s="5">
        <f t="shared" si="443"/>
        <v>5.1427688514479506</v>
      </c>
      <c r="AS138" s="5">
        <f t="shared" si="440"/>
        <v>2.2321444365160836</v>
      </c>
      <c r="AT138" s="5">
        <f t="shared" si="441"/>
        <v>2.910624414931867</v>
      </c>
      <c r="AU138" s="150">
        <f t="shared" si="442"/>
        <v>0.43403553630212677</v>
      </c>
      <c r="AW138" s="5">
        <f t="shared" si="342"/>
        <v>0.18382365947779514</v>
      </c>
      <c r="AX138" s="5">
        <f t="shared" si="343"/>
        <v>2.6041685092687645</v>
      </c>
      <c r="AY138" s="5">
        <f t="shared" si="344"/>
        <v>12.885585954246459</v>
      </c>
      <c r="AZ138" s="5"/>
      <c r="BA138" s="150">
        <f t="shared" si="345"/>
        <v>5.071550490082827</v>
      </c>
      <c r="BB138" s="150">
        <f t="shared" si="346"/>
        <v>0.27047070220578778</v>
      </c>
      <c r="BC138" s="150">
        <f t="shared" si="347"/>
        <v>0.25729519924907196</v>
      </c>
      <c r="BD138" s="150"/>
      <c r="BE138" s="456">
        <f t="shared" si="348"/>
        <v>8.7450122869761823E-2</v>
      </c>
      <c r="BF138" s="456">
        <f t="shared" si="349"/>
        <v>1.0934010741135085</v>
      </c>
      <c r="BG138" s="456">
        <f t="shared" si="350"/>
        <v>7.9795091223088921E-2</v>
      </c>
      <c r="BH138" s="456">
        <f t="shared" si="351"/>
        <v>4.1300761571993805E-2</v>
      </c>
      <c r="BI138">
        <f t="shared" si="352"/>
        <v>4.0319971471233021E-3</v>
      </c>
      <c r="BJ138" s="144">
        <f t="shared" si="436"/>
        <v>83.827088370212209</v>
      </c>
      <c r="BK138">
        <f t="shared" si="353"/>
        <v>1.2721973990924784</v>
      </c>
      <c r="BL138" s="144">
        <f t="shared" si="437"/>
        <v>1305.9790469254763</v>
      </c>
      <c r="BM138" s="150">
        <f t="shared" si="354"/>
        <v>0.31062500000000004</v>
      </c>
      <c r="BN138" s="150">
        <f t="shared" si="355"/>
        <v>0.31062500000000004</v>
      </c>
      <c r="BO138" s="456"/>
      <c r="BQ138" s="144">
        <f t="shared" si="356"/>
        <v>621.25000000000011</v>
      </c>
      <c r="BR138" s="456">
        <f t="shared" si="357"/>
        <v>3.8580936560189044E-2</v>
      </c>
      <c r="BS138" s="456">
        <f t="shared" si="358"/>
        <v>1.4630880150338388E-2</v>
      </c>
      <c r="BT138" s="456">
        <f t="shared" si="359"/>
        <v>1.9860245866985889E-3</v>
      </c>
      <c r="BU138" s="456">
        <f t="shared" si="360"/>
        <v>17.112928420882124</v>
      </c>
      <c r="BV138" s="456"/>
      <c r="BW138" s="538">
        <f t="shared" si="361"/>
        <v>3.4568494698672743E-2</v>
      </c>
      <c r="BX138" s="144">
        <f t="shared" si="362"/>
        <v>17202.69475687802</v>
      </c>
      <c r="BY138" s="150">
        <f t="shared" si="363"/>
        <v>19.129923803803496</v>
      </c>
      <c r="BZ138" s="5">
        <f t="shared" si="364"/>
        <v>25.48</v>
      </c>
      <c r="CA138" s="150">
        <f t="shared" si="365"/>
        <v>0.57117335846755124</v>
      </c>
      <c r="CB138" s="5">
        <f t="shared" si="366"/>
        <v>57.117335846755125</v>
      </c>
      <c r="CC138">
        <f t="shared" si="367"/>
        <v>28.000000000000004</v>
      </c>
      <c r="CE138" s="59">
        <f t="shared" si="368"/>
        <v>-50</v>
      </c>
      <c r="CF138">
        <f t="shared" si="369"/>
        <v>-50</v>
      </c>
      <c r="CG138" s="150">
        <f t="shared" si="370"/>
        <v>0.43685600798785312</v>
      </c>
      <c r="CH138" s="150">
        <f t="shared" si="371"/>
        <v>0.11837798924460537</v>
      </c>
      <c r="CI138" s="147">
        <v>28</v>
      </c>
      <c r="CJ138" s="188">
        <f t="shared" si="438"/>
        <v>0.14000000000000001</v>
      </c>
      <c r="CK138" s="188">
        <f t="shared" si="372"/>
        <v>0.14000000000000001</v>
      </c>
      <c r="CL138" s="188">
        <f t="shared" si="373"/>
        <v>23.8</v>
      </c>
      <c r="CM138" s="188">
        <f t="shared" si="374"/>
        <v>1.6800000000000002</v>
      </c>
      <c r="CN138" s="465">
        <f t="shared" si="375"/>
        <v>9</v>
      </c>
      <c r="CO138" s="379">
        <f t="shared" si="376"/>
        <v>8.625</v>
      </c>
      <c r="CP138" s="379">
        <f t="shared" si="377"/>
        <v>17.625</v>
      </c>
      <c r="CQ138" s="379"/>
      <c r="CR138" s="188">
        <f t="shared" si="378"/>
        <v>0.48674080410607357</v>
      </c>
      <c r="CS138" s="149">
        <f t="shared" si="379"/>
        <v>136.39440115060304</v>
      </c>
      <c r="CT138" s="149">
        <f t="shared" si="380"/>
        <v>9.6278400812190377</v>
      </c>
      <c r="CU138" s="188">
        <f t="shared" si="381"/>
        <v>0.80232000676825321</v>
      </c>
      <c r="CV138" s="188">
        <f t="shared" si="382"/>
        <v>11.366200095883586</v>
      </c>
      <c r="CW138" s="188">
        <f t="shared" si="383"/>
        <v>170</v>
      </c>
      <c r="CX138" s="188">
        <f t="shared" si="384"/>
        <v>11.632931068150752</v>
      </c>
      <c r="CY138" s="188">
        <f t="shared" si="385"/>
        <v>1.9388218446917922</v>
      </c>
      <c r="CZ138" s="188">
        <f t="shared" si="386"/>
        <v>2.0231184466349132</v>
      </c>
      <c r="DA138" s="172">
        <f t="shared" si="387"/>
        <v>220.21276595744678</v>
      </c>
      <c r="DB138" s="379">
        <f t="shared" si="388"/>
        <v>252.40158267633495</v>
      </c>
      <c r="DD138" s="188">
        <f t="shared" si="389"/>
        <v>13.333333333333336</v>
      </c>
      <c r="DE138" s="150">
        <f t="shared" si="390"/>
        <v>2.3188405797101459</v>
      </c>
      <c r="DF138" s="150">
        <f t="shared" si="391"/>
        <v>0.15898994622398885</v>
      </c>
      <c r="DG138" s="150"/>
      <c r="DH138" s="150">
        <f t="shared" si="392"/>
        <v>2.3188405797101455</v>
      </c>
      <c r="DI138" s="314">
        <f t="shared" si="393"/>
        <v>193.91029411764703</v>
      </c>
      <c r="DJ138" s="456">
        <f t="shared" si="394"/>
        <v>0.15898994622398879</v>
      </c>
      <c r="DL138" s="150">
        <f t="shared" si="395"/>
        <v>9.8522417076859554</v>
      </c>
      <c r="DM138" s="150">
        <f t="shared" si="396"/>
        <v>13.333333333333334</v>
      </c>
      <c r="DN138" s="150">
        <f t="shared" si="397"/>
        <v>1.1108058823529412</v>
      </c>
      <c r="DP138" s="314">
        <f t="shared" si="398"/>
        <v>140</v>
      </c>
      <c r="DQ138" s="144">
        <f t="shared" si="399"/>
        <v>193.91029411764703</v>
      </c>
      <c r="DS138" s="144">
        <f t="shared" si="400"/>
        <v>140</v>
      </c>
      <c r="DT138" s="144">
        <f t="shared" si="401"/>
        <v>193.91029411764703</v>
      </c>
      <c r="DV138" s="5">
        <f t="shared" si="402"/>
        <v>5.157023790564164</v>
      </c>
      <c r="DW138" s="5">
        <f t="shared" si="403"/>
        <v>2.2222222222222223</v>
      </c>
      <c r="DX138" s="5">
        <f t="shared" si="404"/>
        <v>2.9348015683419417</v>
      </c>
      <c r="DY138" s="150">
        <f t="shared" si="405"/>
        <v>0.43091176470588233</v>
      </c>
      <c r="EA138" s="5">
        <f t="shared" si="406"/>
        <v>0.18300653594771243</v>
      </c>
      <c r="EB138" s="5">
        <f t="shared" si="407"/>
        <v>2.592592592592593</v>
      </c>
      <c r="EC138" s="5">
        <f t="shared" si="408"/>
        <v>12.934866171581147</v>
      </c>
      <c r="ED138" s="5"/>
      <c r="EE138" s="150">
        <f t="shared" si="409"/>
        <v>5.0532674560694693</v>
      </c>
      <c r="EF138" s="150">
        <f t="shared" si="410"/>
        <v>0.27121609007249459</v>
      </c>
      <c r="EG138" s="150">
        <f t="shared" si="411"/>
        <v>0.25800427686124255</v>
      </c>
      <c r="EH138" s="150"/>
      <c r="EI138" s="456">
        <f t="shared" si="412"/>
        <v>8.682074074074074E-2</v>
      </c>
      <c r="EJ138" s="456">
        <f t="shared" si="413"/>
        <v>1.3852951411764705</v>
      </c>
      <c r="EK138" s="456">
        <f t="shared" si="414"/>
        <v>4.4405457352941172E-2</v>
      </c>
      <c r="EL138" s="456">
        <f t="shared" si="415"/>
        <v>4.1261944246668195E-2</v>
      </c>
      <c r="EM138">
        <f t="shared" si="416"/>
        <v>4.0499999999999998E-3</v>
      </c>
      <c r="EN138" s="144">
        <f t="shared" si="417"/>
        <v>48.455457352941167</v>
      </c>
      <c r="EP138" s="144">
        <f t="shared" si="439"/>
        <v>1561.8332835168205</v>
      </c>
      <c r="EQ138" s="150">
        <f t="shared" si="418"/>
        <v>0.35000000000000003</v>
      </c>
      <c r="ER138" s="150">
        <f t="shared" si="419"/>
        <v>9.9400000000000016E-2</v>
      </c>
      <c r="ES138" s="456"/>
      <c r="EU138" s="144">
        <f t="shared" si="420"/>
        <v>449.40000000000003</v>
      </c>
      <c r="EV138" s="456">
        <f t="shared" si="421"/>
        <v>3.8303267973856213E-2</v>
      </c>
      <c r="EW138" s="456">
        <f t="shared" si="422"/>
        <v>1.4711633502842301E-2</v>
      </c>
      <c r="EX138" s="456">
        <f t="shared" si="423"/>
        <v>1.996986206360781E-3</v>
      </c>
      <c r="EY138" s="456">
        <f t="shared" si="424"/>
        <v>16.994915460565629</v>
      </c>
      <c r="EZ138" s="456"/>
      <c r="FA138" s="538">
        <f t="shared" si="425"/>
        <v>3.4472941176470595E-2</v>
      </c>
      <c r="FB138" s="144">
        <f t="shared" si="426"/>
        <v>17084.400289425157</v>
      </c>
      <c r="FC138" s="150">
        <f t="shared" si="427"/>
        <v>19.095633572941981</v>
      </c>
      <c r="FD138" s="5">
        <f t="shared" si="428"/>
        <v>25.48</v>
      </c>
      <c r="FE138" s="150">
        <f t="shared" si="429"/>
        <v>0.57161273901593423</v>
      </c>
      <c r="FF138" s="5">
        <f t="shared" si="430"/>
        <v>57.161273901593425</v>
      </c>
      <c r="FG138">
        <f t="shared" si="431"/>
        <v>28.000000000000004</v>
      </c>
      <c r="FI138" s="59">
        <f t="shared" si="432"/>
        <v>-50</v>
      </c>
      <c r="FJ138">
        <f t="shared" si="433"/>
        <v>-50</v>
      </c>
    </row>
    <row r="139" spans="5:166">
      <c r="E139" s="147">
        <v>29</v>
      </c>
      <c r="F139" s="188">
        <f t="shared" si="434"/>
        <v>0.14499999999999999</v>
      </c>
      <c r="G139" s="188">
        <f t="shared" si="313"/>
        <v>0.14499999999999999</v>
      </c>
      <c r="H139" s="188">
        <f t="shared" si="314"/>
        <v>24.65</v>
      </c>
      <c r="I139" s="188">
        <f t="shared" si="315"/>
        <v>1.7399999999999998</v>
      </c>
      <c r="J139" s="465">
        <f t="shared" si="316"/>
        <v>8.9599936602740051</v>
      </c>
      <c r="K139" s="379">
        <f t="shared" si="317"/>
        <v>8.6489071312417067</v>
      </c>
      <c r="L139" s="149">
        <f t="shared" si="318"/>
        <v>17.608900791515712</v>
      </c>
      <c r="M139" s="379"/>
      <c r="N139" s="188">
        <f t="shared" si="319"/>
        <v>0.49116678171126432</v>
      </c>
      <c r="O139" s="149">
        <f t="shared" si="320"/>
        <v>137.02284112562629</v>
      </c>
      <c r="P139" s="149">
        <f t="shared" si="321"/>
        <v>9.6722005500442094</v>
      </c>
      <c r="Q139" s="188">
        <f t="shared" si="322"/>
        <v>0.80601671250368401</v>
      </c>
      <c r="R139" s="188">
        <f t="shared" si="323"/>
        <v>11.41857009380219</v>
      </c>
      <c r="S139" s="188">
        <f t="shared" si="324"/>
        <v>170</v>
      </c>
      <c r="T139" s="188">
        <f t="shared" si="325"/>
        <v>11.993134282091557</v>
      </c>
      <c r="U139" s="188">
        <f t="shared" si="326"/>
        <v>2.0077805973120739</v>
      </c>
      <c r="V139" s="188">
        <f t="shared" si="327"/>
        <v>2.0799970620744297</v>
      </c>
      <c r="W139" s="172">
        <f t="shared" si="328"/>
        <v>220.04256251350569</v>
      </c>
      <c r="X139" s="379">
        <f t="shared" si="435"/>
        <v>233.22104816019782</v>
      </c>
      <c r="Z139" s="188">
        <f t="shared" si="329"/>
        <v>13.333333333333334</v>
      </c>
      <c r="AA139" s="150">
        <f t="shared" si="330"/>
        <v>2.3124308882628322</v>
      </c>
      <c r="AB139" s="150">
        <f t="shared" si="331"/>
        <v>0.15842792510821443</v>
      </c>
      <c r="AC139" s="150"/>
      <c r="AD139" s="150">
        <f t="shared" si="332"/>
        <v>2.3124308882628322</v>
      </c>
      <c r="AE139" s="314">
        <f t="shared" si="333"/>
        <v>201.39234634717818</v>
      </c>
      <c r="AF139" s="456">
        <f t="shared" si="334"/>
        <v>0.15842792510821441</v>
      </c>
      <c r="AH139" s="150">
        <f t="shared" si="335"/>
        <v>10.026631205611052</v>
      </c>
      <c r="AI139" s="150">
        <f t="shared" si="336"/>
        <v>13.333333333333334</v>
      </c>
      <c r="AJ139" s="150">
        <f t="shared" si="337"/>
        <v>1.1150813407698161</v>
      </c>
      <c r="AL139" s="314">
        <f t="shared" si="338"/>
        <v>145</v>
      </c>
      <c r="AM139" s="144">
        <f t="shared" si="339"/>
        <v>201.39234634717818</v>
      </c>
      <c r="AO139" s="144">
        <f t="shared" si="340"/>
        <v>145</v>
      </c>
      <c r="AP139" s="144">
        <f t="shared" si="341"/>
        <v>201.39234634717818</v>
      </c>
      <c r="AR139" s="5">
        <f t="shared" si="443"/>
        <v>4.9654319945014711</v>
      </c>
      <c r="AS139" s="5">
        <f t="shared" si="440"/>
        <v>2.2321444365160836</v>
      </c>
      <c r="AT139" s="5">
        <f t="shared" si="441"/>
        <v>2.7332875579853875</v>
      </c>
      <c r="AU139" s="150">
        <f t="shared" si="442"/>
        <v>0.44953680545577401</v>
      </c>
      <c r="AW139" s="5">
        <f t="shared" si="342"/>
        <v>0.19038879017343063</v>
      </c>
      <c r="AX139" s="5">
        <f t="shared" si="343"/>
        <v>2.6971745274569341</v>
      </c>
      <c r="AY139" s="5">
        <f t="shared" si="344"/>
        <v>12.53266108194236</v>
      </c>
      <c r="AZ139" s="5"/>
      <c r="BA139" s="150">
        <f t="shared" si="345"/>
        <v>5.1613194147507384</v>
      </c>
      <c r="BB139" s="150">
        <f t="shared" si="346"/>
        <v>0.26674100925984157</v>
      </c>
      <c r="BC139" s="150">
        <f t="shared" si="347"/>
        <v>0.25374719171317645</v>
      </c>
      <c r="BD139" s="150"/>
      <c r="BE139" s="456">
        <f t="shared" si="348"/>
        <v>9.0573341543681865E-2</v>
      </c>
      <c r="BF139" s="456">
        <f t="shared" si="349"/>
        <v>1.132451112474705</v>
      </c>
      <c r="BG139" s="456">
        <f t="shared" si="350"/>
        <v>8.2644915909627775E-2</v>
      </c>
      <c r="BH139" s="456">
        <f t="shared" si="351"/>
        <v>4.277578877099357E-2</v>
      </c>
      <c r="BI139">
        <f t="shared" si="352"/>
        <v>4.0319971471233021E-3</v>
      </c>
      <c r="BJ139" s="144">
        <f t="shared" si="436"/>
        <v>86.676913056751076</v>
      </c>
      <c r="BK139">
        <f t="shared" si="353"/>
        <v>1.3186323102691644</v>
      </c>
      <c r="BL139" s="144">
        <f t="shared" si="437"/>
        <v>1352.4771558461314</v>
      </c>
      <c r="BM139" s="150">
        <f t="shared" si="354"/>
        <v>0.32171875</v>
      </c>
      <c r="BN139" s="150">
        <f t="shared" si="355"/>
        <v>0.32171875</v>
      </c>
      <c r="BO139" s="456"/>
      <c r="BQ139" s="144">
        <f t="shared" si="356"/>
        <v>643.4375</v>
      </c>
      <c r="BR139" s="456">
        <f t="shared" si="357"/>
        <v>3.9958827151624354E-2</v>
      </c>
      <c r="BS139" s="456">
        <f t="shared" si="358"/>
        <v>1.4230153204191777E-2</v>
      </c>
      <c r="BT139" s="456">
        <f t="shared" si="359"/>
        <v>1.9316291190697057E-3</v>
      </c>
      <c r="BU139" s="456">
        <f t="shared" si="360"/>
        <v>18.682037960566277</v>
      </c>
      <c r="BV139" s="456"/>
      <c r="BW139" s="538">
        <f t="shared" si="361"/>
        <v>3.5803083795053904E-2</v>
      </c>
      <c r="BX139" s="144">
        <f t="shared" si="362"/>
        <v>18773.961653836213</v>
      </c>
      <c r="BY139" s="150">
        <f t="shared" si="363"/>
        <v>20.769876309682346</v>
      </c>
      <c r="BZ139" s="5">
        <f t="shared" si="364"/>
        <v>26.389999999999997</v>
      </c>
      <c r="CA139" s="150">
        <f t="shared" si="365"/>
        <v>0.55958586122461673</v>
      </c>
      <c r="CB139" s="5">
        <f t="shared" si="366"/>
        <v>55.958586122461675</v>
      </c>
      <c r="CC139">
        <f t="shared" si="367"/>
        <v>28.999999999999996</v>
      </c>
      <c r="CE139" s="59">
        <f t="shared" si="368"/>
        <v>-50</v>
      </c>
      <c r="CF139">
        <f t="shared" si="369"/>
        <v>-50</v>
      </c>
      <c r="CG139" s="150">
        <f t="shared" si="370"/>
        <v>0.45245800827313359</v>
      </c>
      <c r="CH139" s="150">
        <f t="shared" si="371"/>
        <v>0.12260577457476983</v>
      </c>
      <c r="CI139" s="147">
        <v>29</v>
      </c>
      <c r="CJ139" s="188">
        <f t="shared" si="438"/>
        <v>0.14499999999999999</v>
      </c>
      <c r="CK139" s="188">
        <f t="shared" si="372"/>
        <v>0.14499999999999999</v>
      </c>
      <c r="CL139" s="188">
        <f t="shared" si="373"/>
        <v>24.65</v>
      </c>
      <c r="CM139" s="188">
        <f t="shared" si="374"/>
        <v>1.7399999999999998</v>
      </c>
      <c r="CN139" s="465">
        <f t="shared" si="375"/>
        <v>9</v>
      </c>
      <c r="CO139" s="379">
        <f t="shared" si="376"/>
        <v>8.625</v>
      </c>
      <c r="CP139" s="379">
        <f t="shared" si="377"/>
        <v>17.625</v>
      </c>
      <c r="CQ139" s="379"/>
      <c r="CR139" s="188">
        <f t="shared" si="378"/>
        <v>0.48674080410607357</v>
      </c>
      <c r="CS139" s="149">
        <f t="shared" si="379"/>
        <v>136.39440115060304</v>
      </c>
      <c r="CT139" s="149">
        <f t="shared" si="380"/>
        <v>9.6278400812190377</v>
      </c>
      <c r="CU139" s="188">
        <f t="shared" si="381"/>
        <v>0.80232000676825321</v>
      </c>
      <c r="CV139" s="188">
        <f t="shared" si="382"/>
        <v>11.366200095883586</v>
      </c>
      <c r="CW139" s="188">
        <f t="shared" si="383"/>
        <v>170</v>
      </c>
      <c r="CX139" s="188">
        <f t="shared" si="384"/>
        <v>12.048392892013277</v>
      </c>
      <c r="CY139" s="188">
        <f t="shared" si="385"/>
        <v>2.0080654820022126</v>
      </c>
      <c r="CZ139" s="188">
        <f t="shared" si="386"/>
        <v>2.0953726768718743</v>
      </c>
      <c r="DA139" s="172">
        <f t="shared" si="387"/>
        <v>220.21276595744678</v>
      </c>
      <c r="DB139" s="379">
        <f t="shared" si="388"/>
        <v>243.6980798254269</v>
      </c>
      <c r="DD139" s="188">
        <f t="shared" si="389"/>
        <v>13.333333333333336</v>
      </c>
      <c r="DE139" s="150">
        <f t="shared" si="390"/>
        <v>2.3188405797101459</v>
      </c>
      <c r="DF139" s="150">
        <f t="shared" si="391"/>
        <v>0.15898994622398885</v>
      </c>
      <c r="DG139" s="150"/>
      <c r="DH139" s="150">
        <f t="shared" si="392"/>
        <v>2.3188405797101455</v>
      </c>
      <c r="DI139" s="314">
        <f t="shared" si="393"/>
        <v>200.8356617647058</v>
      </c>
      <c r="DJ139" s="456">
        <f t="shared" si="394"/>
        <v>0.15898994622398879</v>
      </c>
      <c r="DL139" s="150">
        <f t="shared" si="395"/>
        <v>10.026631205611052</v>
      </c>
      <c r="DM139" s="150">
        <f t="shared" si="396"/>
        <v>13.333333333333334</v>
      </c>
      <c r="DN139" s="150">
        <f t="shared" si="397"/>
        <v>1.1147632352941177</v>
      </c>
      <c r="DP139" s="314">
        <f t="shared" si="398"/>
        <v>145</v>
      </c>
      <c r="DQ139" s="144">
        <f t="shared" si="399"/>
        <v>200.8356617647058</v>
      </c>
      <c r="DS139" s="144">
        <f t="shared" si="400"/>
        <v>145</v>
      </c>
      <c r="DT139" s="144">
        <f t="shared" si="401"/>
        <v>200.8356617647058</v>
      </c>
      <c r="DV139" s="5">
        <f t="shared" si="402"/>
        <v>4.9791953839929874</v>
      </c>
      <c r="DW139" s="5">
        <f t="shared" si="403"/>
        <v>2.2222222222222223</v>
      </c>
      <c r="DX139" s="5">
        <f t="shared" si="404"/>
        <v>2.7569731617707651</v>
      </c>
      <c r="DY139" s="150">
        <f t="shared" si="405"/>
        <v>0.44630147058823511</v>
      </c>
      <c r="EA139" s="5">
        <f t="shared" si="406"/>
        <v>0.18954248366013071</v>
      </c>
      <c r="EB139" s="5">
        <f t="shared" si="407"/>
        <v>2.6851851851851851</v>
      </c>
      <c r="EC139" s="5">
        <f t="shared" si="408"/>
        <v>12.585071932898028</v>
      </c>
      <c r="ED139" s="5"/>
      <c r="EE139" s="150">
        <f t="shared" si="409"/>
        <v>5.1427127620913167</v>
      </c>
      <c r="EF139" s="150">
        <f t="shared" si="410"/>
        <v>0.26752374291826331</v>
      </c>
      <c r="EG139" s="150">
        <f t="shared" si="411"/>
        <v>0.25449179588272286</v>
      </c>
      <c r="EH139" s="150"/>
      <c r="EI139" s="456">
        <f t="shared" si="412"/>
        <v>8.9921481481481449E-2</v>
      </c>
      <c r="EJ139" s="456">
        <f t="shared" si="413"/>
        <v>1.4347699676470584</v>
      </c>
      <c r="EK139" s="456">
        <f t="shared" si="414"/>
        <v>4.5991366544117632E-2</v>
      </c>
      <c r="EL139" s="456">
        <f t="shared" si="415"/>
        <v>4.2735585112620621E-2</v>
      </c>
      <c r="EM139">
        <f t="shared" si="416"/>
        <v>4.0499999999999998E-3</v>
      </c>
      <c r="EN139" s="144">
        <f t="shared" si="417"/>
        <v>50.041366544117629</v>
      </c>
      <c r="EP139" s="144">
        <f t="shared" si="439"/>
        <v>1617.4684007852782</v>
      </c>
      <c r="EQ139" s="150">
        <f t="shared" si="418"/>
        <v>0.36249999999999999</v>
      </c>
      <c r="ER139" s="150">
        <f t="shared" si="419"/>
        <v>0.10294999999999999</v>
      </c>
      <c r="ES139" s="456"/>
      <c r="EU139" s="144">
        <f t="shared" si="420"/>
        <v>465.45</v>
      </c>
      <c r="EV139" s="456">
        <f t="shared" si="421"/>
        <v>3.9671241830065346E-2</v>
      </c>
      <c r="EW139" s="456">
        <f t="shared" si="422"/>
        <v>1.4313790604999408E-2</v>
      </c>
      <c r="EX139" s="456">
        <f t="shared" si="423"/>
        <v>1.9429822251484043E-3</v>
      </c>
      <c r="EY139" s="456">
        <f t="shared" si="424"/>
        <v>18.553204218599518</v>
      </c>
      <c r="EZ139" s="456"/>
      <c r="FA139" s="538">
        <f t="shared" si="425"/>
        <v>3.5704117647058817E-2</v>
      </c>
      <c r="FB139" s="144">
        <f t="shared" si="426"/>
        <v>18644.836350906789</v>
      </c>
      <c r="FC139" s="150">
        <f t="shared" si="427"/>
        <v>20.727754751692068</v>
      </c>
      <c r="FD139" s="5">
        <f t="shared" si="428"/>
        <v>26.389999999999997</v>
      </c>
      <c r="FE139" s="150">
        <f t="shared" si="429"/>
        <v>0.56008611061952818</v>
      </c>
      <c r="FF139" s="5">
        <f t="shared" si="430"/>
        <v>56.00861106195282</v>
      </c>
      <c r="FG139">
        <f t="shared" si="431"/>
        <v>28.999999999999996</v>
      </c>
      <c r="FI139" s="59">
        <f t="shared" si="432"/>
        <v>-50</v>
      </c>
      <c r="FJ139">
        <f t="shared" si="433"/>
        <v>-50</v>
      </c>
    </row>
    <row r="140" spans="5:166">
      <c r="E140" s="147">
        <v>30</v>
      </c>
      <c r="F140" s="188">
        <f t="shared" si="434"/>
        <v>0.15</v>
      </c>
      <c r="G140" s="188">
        <f t="shared" si="313"/>
        <v>0.15</v>
      </c>
      <c r="H140" s="188">
        <f t="shared" si="314"/>
        <v>25.5</v>
      </c>
      <c r="I140" s="188">
        <f t="shared" si="315"/>
        <v>1.7999999999999998</v>
      </c>
      <c r="J140" s="465">
        <f t="shared" si="316"/>
        <v>8.9599936602740051</v>
      </c>
      <c r="K140" s="379">
        <f t="shared" si="317"/>
        <v>8.6489071312417067</v>
      </c>
      <c r="L140" s="149">
        <f t="shared" si="318"/>
        <v>17.608900791515712</v>
      </c>
      <c r="M140" s="379"/>
      <c r="N140" s="188">
        <f t="shared" si="319"/>
        <v>0.49116678171126432</v>
      </c>
      <c r="O140" s="149">
        <f t="shared" si="320"/>
        <v>137.02284112562629</v>
      </c>
      <c r="P140" s="149">
        <f t="shared" si="321"/>
        <v>9.6722005500442094</v>
      </c>
      <c r="Q140" s="188">
        <f t="shared" si="322"/>
        <v>0.80601671250368401</v>
      </c>
      <c r="R140" s="188">
        <f t="shared" si="323"/>
        <v>11.41857009380219</v>
      </c>
      <c r="S140" s="188">
        <f t="shared" si="324"/>
        <v>170</v>
      </c>
      <c r="T140" s="188">
        <f t="shared" si="325"/>
        <v>12.40669063664644</v>
      </c>
      <c r="U140" s="188">
        <f t="shared" si="326"/>
        <v>2.0770144110124904</v>
      </c>
      <c r="V140" s="188">
        <f t="shared" si="327"/>
        <v>2.1517210986976862</v>
      </c>
      <c r="W140" s="172">
        <f t="shared" si="328"/>
        <v>220.04256251350569</v>
      </c>
      <c r="X140" s="379">
        <f t="shared" si="435"/>
        <v>225.79808566293036</v>
      </c>
      <c r="Z140" s="188">
        <f t="shared" si="329"/>
        <v>13.333333333333334</v>
      </c>
      <c r="AA140" s="150">
        <f t="shared" si="330"/>
        <v>2.3124308882628322</v>
      </c>
      <c r="AB140" s="150">
        <f t="shared" si="331"/>
        <v>0.15842792510821443</v>
      </c>
      <c r="AC140" s="150"/>
      <c r="AD140" s="150">
        <f t="shared" si="332"/>
        <v>2.3124308882628322</v>
      </c>
      <c r="AE140" s="314">
        <f t="shared" si="333"/>
        <v>208.33691001432226</v>
      </c>
      <c r="AF140" s="456">
        <f t="shared" si="334"/>
        <v>0.15842792510821441</v>
      </c>
      <c r="AH140" s="150">
        <f t="shared" si="335"/>
        <v>10.198039027185569</v>
      </c>
      <c r="AI140" s="150">
        <f t="shared" si="336"/>
        <v>13.333333333333334</v>
      </c>
      <c r="AJ140" s="150">
        <f t="shared" si="337"/>
        <v>1.119049662865327</v>
      </c>
      <c r="AL140" s="314">
        <f t="shared" si="338"/>
        <v>150</v>
      </c>
      <c r="AM140" s="144">
        <f t="shared" si="339"/>
        <v>208.33691001432226</v>
      </c>
      <c r="AO140" s="144">
        <f t="shared" si="340"/>
        <v>150</v>
      </c>
      <c r="AP140" s="144">
        <f t="shared" si="341"/>
        <v>208.33691001432226</v>
      </c>
      <c r="AR140" s="5">
        <f t="shared" si="443"/>
        <v>4.7999175946847554</v>
      </c>
      <c r="AS140" s="5">
        <f t="shared" si="440"/>
        <v>2.2321444365160836</v>
      </c>
      <c r="AT140" s="5">
        <f t="shared" si="441"/>
        <v>2.5677731581686718</v>
      </c>
      <c r="AU140" s="150">
        <f t="shared" si="442"/>
        <v>0.46503807460942137</v>
      </c>
      <c r="AW140" s="5">
        <f t="shared" si="342"/>
        <v>0.19695392086906621</v>
      </c>
      <c r="AX140" s="5">
        <f t="shared" si="343"/>
        <v>2.7901805456451045</v>
      </c>
      <c r="AY140" s="5">
        <f t="shared" si="344"/>
        <v>12.179736209638259</v>
      </c>
      <c r="AZ140" s="5"/>
      <c r="BA140" s="150">
        <f t="shared" si="345"/>
        <v>5.2495534885079946</v>
      </c>
      <c r="BB140" s="150">
        <f t="shared" si="346"/>
        <v>0.26295842121945029</v>
      </c>
      <c r="BC140" s="150">
        <f t="shared" si="347"/>
        <v>0.25014886577401746</v>
      </c>
      <c r="BD140" s="150"/>
      <c r="BE140" s="456">
        <f t="shared" si="348"/>
        <v>9.3696560217601949E-2</v>
      </c>
      <c r="BF140" s="456">
        <f t="shared" si="349"/>
        <v>1.1715011508359017</v>
      </c>
      <c r="BG140" s="456">
        <f t="shared" si="350"/>
        <v>8.5494740596166671E-2</v>
      </c>
      <c r="BH140" s="456">
        <f t="shared" si="351"/>
        <v>4.4250815969993348E-2</v>
      </c>
      <c r="BI140">
        <f t="shared" si="352"/>
        <v>4.0319971471233021E-3</v>
      </c>
      <c r="BJ140" s="144">
        <f t="shared" si="436"/>
        <v>89.526737743289985</v>
      </c>
      <c r="BK140">
        <f t="shared" si="353"/>
        <v>1.3651377071566699</v>
      </c>
      <c r="BL140" s="144">
        <f t="shared" si="437"/>
        <v>1398.9752647667865</v>
      </c>
      <c r="BM140" s="150">
        <f t="shared" si="354"/>
        <v>0.33281249999999996</v>
      </c>
      <c r="BN140" s="150">
        <f t="shared" si="355"/>
        <v>0.33281249999999996</v>
      </c>
      <c r="BO140" s="456"/>
      <c r="BQ140" s="144">
        <f t="shared" si="356"/>
        <v>665.62499999999989</v>
      </c>
      <c r="BR140" s="456">
        <f t="shared" si="357"/>
        <v>4.1336717743059685E-2</v>
      </c>
      <c r="BS140" s="456">
        <f t="shared" si="358"/>
        <v>1.3829426258045169E-2</v>
      </c>
      <c r="BT140" s="456">
        <f t="shared" si="359"/>
        <v>1.8772336514408219E-3</v>
      </c>
      <c r="BU140" s="456">
        <f t="shared" si="360"/>
        <v>20.334448221557736</v>
      </c>
      <c r="BV140" s="456"/>
      <c r="BW140" s="538">
        <f t="shared" si="361"/>
        <v>3.7037672891435072E-2</v>
      </c>
      <c r="BX140" s="144">
        <f t="shared" si="362"/>
        <v>20428.529272101718</v>
      </c>
      <c r="BY140" s="150">
        <f t="shared" si="363"/>
        <v>22.493129536868505</v>
      </c>
      <c r="BZ140" s="5">
        <f t="shared" si="364"/>
        <v>27.3</v>
      </c>
      <c r="CA140" s="150">
        <f t="shared" si="365"/>
        <v>0.54826841080125654</v>
      </c>
      <c r="CB140" s="5">
        <f t="shared" si="366"/>
        <v>54.826841080125654</v>
      </c>
      <c r="CC140">
        <f t="shared" si="367"/>
        <v>30</v>
      </c>
      <c r="CE140" s="59">
        <f t="shared" si="368"/>
        <v>-50</v>
      </c>
      <c r="CF140">
        <f t="shared" si="369"/>
        <v>-50</v>
      </c>
      <c r="CG140" s="150">
        <f t="shared" si="370"/>
        <v>0.46806000855841401</v>
      </c>
      <c r="CH140" s="150">
        <f t="shared" si="371"/>
        <v>0.12683355990493431</v>
      </c>
      <c r="CI140" s="147">
        <v>30</v>
      </c>
      <c r="CJ140" s="188">
        <f t="shared" si="438"/>
        <v>0.15</v>
      </c>
      <c r="CK140" s="188">
        <f t="shared" si="372"/>
        <v>0.15</v>
      </c>
      <c r="CL140" s="188">
        <f t="shared" si="373"/>
        <v>25.5</v>
      </c>
      <c r="CM140" s="188">
        <f t="shared" si="374"/>
        <v>1.7999999999999998</v>
      </c>
      <c r="CN140" s="465">
        <f t="shared" si="375"/>
        <v>9</v>
      </c>
      <c r="CO140" s="379">
        <f t="shared" si="376"/>
        <v>8.625</v>
      </c>
      <c r="CP140" s="379">
        <f t="shared" si="377"/>
        <v>17.625</v>
      </c>
      <c r="CQ140" s="379"/>
      <c r="CR140" s="188">
        <f t="shared" si="378"/>
        <v>0.48674080410607357</v>
      </c>
      <c r="CS140" s="149">
        <f t="shared" si="379"/>
        <v>136.39440115060304</v>
      </c>
      <c r="CT140" s="149">
        <f t="shared" si="380"/>
        <v>9.6278400812190377</v>
      </c>
      <c r="CU140" s="188">
        <f t="shared" si="381"/>
        <v>0.80232000676825321</v>
      </c>
      <c r="CV140" s="188">
        <f t="shared" si="382"/>
        <v>11.366200095883586</v>
      </c>
      <c r="CW140" s="188">
        <f t="shared" si="383"/>
        <v>170</v>
      </c>
      <c r="CX140" s="188">
        <f t="shared" si="384"/>
        <v>12.463854715875806</v>
      </c>
      <c r="CY140" s="188">
        <f t="shared" si="385"/>
        <v>2.0773091193126345</v>
      </c>
      <c r="CZ140" s="188">
        <f t="shared" si="386"/>
        <v>2.1676269071088359</v>
      </c>
      <c r="DA140" s="172">
        <f t="shared" si="387"/>
        <v>220.21276595744678</v>
      </c>
      <c r="DB140" s="379">
        <f t="shared" si="388"/>
        <v>235.57481049791261</v>
      </c>
      <c r="DD140" s="188">
        <f t="shared" si="389"/>
        <v>13.333333333333336</v>
      </c>
      <c r="DE140" s="150">
        <f t="shared" si="390"/>
        <v>2.3188405797101459</v>
      </c>
      <c r="DF140" s="150">
        <f t="shared" si="391"/>
        <v>0.15898994622398885</v>
      </c>
      <c r="DG140" s="150"/>
      <c r="DH140" s="150">
        <f t="shared" si="392"/>
        <v>2.3188405797101455</v>
      </c>
      <c r="DI140" s="314">
        <f t="shared" si="393"/>
        <v>207.76102941176461</v>
      </c>
      <c r="DJ140" s="456">
        <f t="shared" si="394"/>
        <v>0.15898994622398879</v>
      </c>
      <c r="DL140" s="150">
        <f t="shared" si="395"/>
        <v>10.198039027185569</v>
      </c>
      <c r="DM140" s="150">
        <f t="shared" si="396"/>
        <v>13.333333333333334</v>
      </c>
      <c r="DN140" s="150">
        <f t="shared" si="397"/>
        <v>1.118720588235294</v>
      </c>
      <c r="DP140" s="314">
        <f t="shared" si="398"/>
        <v>150</v>
      </c>
      <c r="DQ140" s="144">
        <f t="shared" si="399"/>
        <v>207.76102941176461</v>
      </c>
      <c r="DS140" s="144">
        <f t="shared" si="400"/>
        <v>150</v>
      </c>
      <c r="DT140" s="144">
        <f t="shared" si="401"/>
        <v>207.76102941176461</v>
      </c>
      <c r="DV140" s="5">
        <f t="shared" si="402"/>
        <v>4.8132222045265545</v>
      </c>
      <c r="DW140" s="5">
        <f t="shared" si="403"/>
        <v>2.2222222222222223</v>
      </c>
      <c r="DX140" s="5">
        <f t="shared" si="404"/>
        <v>2.5909999823043321</v>
      </c>
      <c r="DY140" s="150">
        <f t="shared" si="405"/>
        <v>0.46169117647058805</v>
      </c>
      <c r="EA140" s="5">
        <f t="shared" si="406"/>
        <v>0.19607843137254902</v>
      </c>
      <c r="EB140" s="5">
        <f t="shared" si="407"/>
        <v>2.7777777777777772</v>
      </c>
      <c r="EC140" s="5">
        <f t="shared" si="408"/>
        <v>12.235277694214901</v>
      </c>
      <c r="ED140" s="5"/>
      <c r="EE140" s="150">
        <f t="shared" si="409"/>
        <v>5.2306287503686404</v>
      </c>
      <c r="EF140" s="150">
        <f t="shared" si="410"/>
        <v>0.26377971592937649</v>
      </c>
      <c r="EG140" s="150">
        <f t="shared" si="411"/>
        <v>0.2509301525614932</v>
      </c>
      <c r="EH140" s="150"/>
      <c r="EI140" s="456">
        <f t="shared" si="412"/>
        <v>9.3022222222222214E-2</v>
      </c>
      <c r="EJ140" s="456">
        <f t="shared" si="413"/>
        <v>1.4842447941176464</v>
      </c>
      <c r="EK140" s="456">
        <f t="shared" si="414"/>
        <v>4.7577275735294099E-2</v>
      </c>
      <c r="EL140" s="456">
        <f t="shared" si="415"/>
        <v>4.4209225978573047E-2</v>
      </c>
      <c r="EM140">
        <f t="shared" si="416"/>
        <v>4.0499999999999998E-3</v>
      </c>
      <c r="EN140" s="144">
        <f t="shared" si="417"/>
        <v>51.627275735294099</v>
      </c>
      <c r="EP140" s="144">
        <f t="shared" si="439"/>
        <v>1673.103518053736</v>
      </c>
      <c r="EQ140" s="150">
        <f t="shared" si="418"/>
        <v>0.375</v>
      </c>
      <c r="ER140" s="150">
        <f t="shared" si="419"/>
        <v>0.1065</v>
      </c>
      <c r="ES140" s="456"/>
      <c r="EU140" s="144">
        <f t="shared" si="420"/>
        <v>481.5</v>
      </c>
      <c r="EV140" s="456">
        <f t="shared" si="421"/>
        <v>4.1039215686274506E-2</v>
      </c>
      <c r="EW140" s="456">
        <f t="shared" si="422"/>
        <v>1.3915947707156512E-2</v>
      </c>
      <c r="EX140" s="456">
        <f t="shared" si="423"/>
        <v>1.8889782439360276E-3</v>
      </c>
      <c r="EY140" s="456">
        <f t="shared" si="424"/>
        <v>20.194219245428737</v>
      </c>
      <c r="EZ140" s="456"/>
      <c r="FA140" s="538">
        <f t="shared" si="425"/>
        <v>3.6935294117647052E-2</v>
      </c>
      <c r="FB140" s="144">
        <f t="shared" si="426"/>
        <v>20287.998681183752</v>
      </c>
      <c r="FC140" s="150">
        <f t="shared" si="427"/>
        <v>22.442602199237488</v>
      </c>
      <c r="FD140" s="5">
        <f t="shared" si="428"/>
        <v>27.3</v>
      </c>
      <c r="FE140" s="150">
        <f t="shared" si="429"/>
        <v>0.54882532865195555</v>
      </c>
      <c r="FF140" s="5">
        <f t="shared" si="430"/>
        <v>54.882532865195557</v>
      </c>
      <c r="FG140">
        <f t="shared" si="431"/>
        <v>30</v>
      </c>
      <c r="FI140" s="59">
        <f t="shared" si="432"/>
        <v>-50</v>
      </c>
      <c r="FJ140">
        <f t="shared" si="433"/>
        <v>-50</v>
      </c>
    </row>
    <row r="141" spans="5:166">
      <c r="E141" s="147">
        <v>31</v>
      </c>
      <c r="F141" s="188">
        <f t="shared" si="434"/>
        <v>0.155</v>
      </c>
      <c r="G141" s="188">
        <f t="shared" si="313"/>
        <v>0.155</v>
      </c>
      <c r="H141" s="188">
        <f t="shared" si="314"/>
        <v>26.35</v>
      </c>
      <c r="I141" s="188">
        <f t="shared" si="315"/>
        <v>1.8599999999999999</v>
      </c>
      <c r="J141" s="465">
        <f t="shared" si="316"/>
        <v>8.9599936602740051</v>
      </c>
      <c r="K141" s="379">
        <f t="shared" si="317"/>
        <v>8.6489071312417067</v>
      </c>
      <c r="L141" s="149">
        <f t="shared" si="318"/>
        <v>17.608900791515712</v>
      </c>
      <c r="M141" s="379"/>
      <c r="N141" s="188">
        <f t="shared" si="319"/>
        <v>0.49116678171126432</v>
      </c>
      <c r="O141" s="149">
        <f t="shared" si="320"/>
        <v>137.02284112562629</v>
      </c>
      <c r="P141" s="149">
        <f t="shared" si="321"/>
        <v>9.6722005500442094</v>
      </c>
      <c r="Q141" s="188">
        <f t="shared" si="322"/>
        <v>0.80601671250368401</v>
      </c>
      <c r="R141" s="188">
        <f t="shared" si="323"/>
        <v>11.41857009380219</v>
      </c>
      <c r="S141" s="188">
        <f t="shared" si="324"/>
        <v>170</v>
      </c>
      <c r="T141" s="188">
        <f t="shared" si="325"/>
        <v>12.820246991201321</v>
      </c>
      <c r="U141" s="188">
        <f t="shared" si="326"/>
        <v>2.1462482247129064</v>
      </c>
      <c r="V141" s="188">
        <f t="shared" si="327"/>
        <v>2.2234451353209428</v>
      </c>
      <c r="W141" s="172">
        <f t="shared" si="328"/>
        <v>220.04256251350569</v>
      </c>
      <c r="X141" s="379">
        <f t="shared" si="435"/>
        <v>218.83306410577023</v>
      </c>
      <c r="Z141" s="188">
        <f t="shared" si="329"/>
        <v>13.333333333333334</v>
      </c>
      <c r="AA141" s="150">
        <f t="shared" si="330"/>
        <v>2.3124308882628322</v>
      </c>
      <c r="AB141" s="150">
        <f t="shared" si="331"/>
        <v>0.15842792510821443</v>
      </c>
      <c r="AC141" s="150"/>
      <c r="AD141" s="150">
        <f t="shared" si="332"/>
        <v>2.3124308882628322</v>
      </c>
      <c r="AE141" s="314">
        <f t="shared" si="333"/>
        <v>215.28147368146637</v>
      </c>
      <c r="AF141" s="456">
        <f t="shared" si="334"/>
        <v>0.15842792510821441</v>
      </c>
      <c r="AH141" s="150">
        <f t="shared" si="335"/>
        <v>10.366613075960087</v>
      </c>
      <c r="AI141" s="150">
        <f t="shared" si="336"/>
        <v>13.333333333333334</v>
      </c>
      <c r="AJ141" s="150">
        <f t="shared" si="337"/>
        <v>1.1230179849608379</v>
      </c>
      <c r="AL141" s="314">
        <f t="shared" si="338"/>
        <v>155</v>
      </c>
      <c r="AM141" s="144">
        <f t="shared" si="339"/>
        <v>215.28147368146637</v>
      </c>
      <c r="AO141" s="144">
        <f t="shared" si="340"/>
        <v>155</v>
      </c>
      <c r="AP141" s="144">
        <f t="shared" si="341"/>
        <v>215.28147368146637</v>
      </c>
      <c r="AR141" s="5">
        <f t="shared" si="443"/>
        <v>4.645081543243311</v>
      </c>
      <c r="AS141" s="5">
        <f t="shared" si="440"/>
        <v>2.2321444365160836</v>
      </c>
      <c r="AT141" s="5">
        <f t="shared" si="441"/>
        <v>2.4129371067272274</v>
      </c>
      <c r="AU141" s="150">
        <f t="shared" si="442"/>
        <v>0.48053934376306884</v>
      </c>
      <c r="AW141" s="5">
        <f t="shared" si="342"/>
        <v>0.20351905156470174</v>
      </c>
      <c r="AX141" s="5">
        <f t="shared" si="343"/>
        <v>2.8831865638332745</v>
      </c>
      <c r="AY141" s="5">
        <f t="shared" si="344"/>
        <v>11.826811337334153</v>
      </c>
      <c r="AZ141" s="5"/>
      <c r="BA141" s="150">
        <f t="shared" si="345"/>
        <v>5.3363288463446485</v>
      </c>
      <c r="BB141" s="150">
        <f t="shared" si="346"/>
        <v>0.25912062164075789</v>
      </c>
      <c r="BC141" s="150">
        <f t="shared" si="347"/>
        <v>0.24649801782921357</v>
      </c>
      <c r="BD141" s="150"/>
      <c r="BE141" s="456">
        <f t="shared" si="348"/>
        <v>9.6819778891522018E-2</v>
      </c>
      <c r="BF141" s="456">
        <f t="shared" si="349"/>
        <v>1.2105511891970986</v>
      </c>
      <c r="BG141" s="456">
        <f t="shared" si="350"/>
        <v>8.8344565282705581E-2</v>
      </c>
      <c r="BH141" s="456">
        <f t="shared" si="351"/>
        <v>4.5725843168993134E-2</v>
      </c>
      <c r="BI141">
        <f t="shared" si="352"/>
        <v>4.0319971471233021E-3</v>
      </c>
      <c r="BJ141" s="144">
        <f t="shared" si="436"/>
        <v>92.376562429828894</v>
      </c>
      <c r="BK141">
        <f t="shared" si="353"/>
        <v>1.4117137503672015</v>
      </c>
      <c r="BL141" s="144">
        <f t="shared" si="437"/>
        <v>1445.4733736874423</v>
      </c>
      <c r="BM141" s="150">
        <f t="shared" si="354"/>
        <v>0.34390624999999997</v>
      </c>
      <c r="BN141" s="150">
        <f t="shared" si="355"/>
        <v>0.34390624999999997</v>
      </c>
      <c r="BO141" s="456"/>
      <c r="BQ141" s="144">
        <f t="shared" si="356"/>
        <v>687.81249999999989</v>
      </c>
      <c r="BR141" s="456">
        <f t="shared" si="357"/>
        <v>4.2714608334495009E-2</v>
      </c>
      <c r="BS141" s="456">
        <f t="shared" si="358"/>
        <v>1.3428699311898563E-2</v>
      </c>
      <c r="BT141" s="456">
        <f t="shared" si="359"/>
        <v>1.8228381838119388E-3</v>
      </c>
      <c r="BU141" s="456">
        <f t="shared" si="360"/>
        <v>22.071583388596455</v>
      </c>
      <c r="BV141" s="456"/>
      <c r="BW141" s="538">
        <f t="shared" si="361"/>
        <v>3.8272261987816247E-2</v>
      </c>
      <c r="BX141" s="144">
        <f t="shared" si="362"/>
        <v>22167.821796414479</v>
      </c>
      <c r="BY141" s="150">
        <f t="shared" si="363"/>
        <v>24.301107670101921</v>
      </c>
      <c r="BZ141" s="5">
        <f t="shared" si="364"/>
        <v>28.21</v>
      </c>
      <c r="CA141" s="150">
        <f t="shared" si="365"/>
        <v>0.53721967125941694</v>
      </c>
      <c r="CB141" s="5">
        <f t="shared" si="366"/>
        <v>53.721967125941696</v>
      </c>
      <c r="CC141">
        <f t="shared" si="367"/>
        <v>31</v>
      </c>
      <c r="CE141" s="59">
        <f t="shared" si="368"/>
        <v>-50</v>
      </c>
      <c r="CF141">
        <f t="shared" si="369"/>
        <v>-50</v>
      </c>
      <c r="CG141" s="150">
        <f t="shared" si="370"/>
        <v>0.48366200884369454</v>
      </c>
      <c r="CH141" s="150">
        <f t="shared" si="371"/>
        <v>0.1310613452350988</v>
      </c>
      <c r="CI141" s="147">
        <v>31</v>
      </c>
      <c r="CJ141" s="188">
        <f t="shared" si="438"/>
        <v>0.155</v>
      </c>
      <c r="CK141" s="188">
        <f t="shared" si="372"/>
        <v>0.155</v>
      </c>
      <c r="CL141" s="188">
        <f t="shared" si="373"/>
        <v>26.35</v>
      </c>
      <c r="CM141" s="188">
        <f t="shared" si="374"/>
        <v>1.8599999999999999</v>
      </c>
      <c r="CN141" s="465">
        <f t="shared" si="375"/>
        <v>9</v>
      </c>
      <c r="CO141" s="379">
        <f t="shared" si="376"/>
        <v>8.625</v>
      </c>
      <c r="CP141" s="379">
        <f t="shared" si="377"/>
        <v>17.625</v>
      </c>
      <c r="CQ141" s="379"/>
      <c r="CR141" s="188">
        <f t="shared" si="378"/>
        <v>0.48674080410607357</v>
      </c>
      <c r="CS141" s="149">
        <f t="shared" si="379"/>
        <v>136.39440115060304</v>
      </c>
      <c r="CT141" s="149">
        <f t="shared" si="380"/>
        <v>9.6278400812190377</v>
      </c>
      <c r="CU141" s="188">
        <f t="shared" si="381"/>
        <v>0.80232000676825321</v>
      </c>
      <c r="CV141" s="188">
        <f t="shared" si="382"/>
        <v>11.366200095883586</v>
      </c>
      <c r="CW141" s="188">
        <f t="shared" si="383"/>
        <v>170</v>
      </c>
      <c r="CX141" s="188">
        <f t="shared" si="384"/>
        <v>12.879316539738333</v>
      </c>
      <c r="CY141" s="188">
        <f t="shared" si="385"/>
        <v>2.1465527566230556</v>
      </c>
      <c r="CZ141" s="188">
        <f t="shared" si="386"/>
        <v>2.239881137345797</v>
      </c>
      <c r="DA141" s="172">
        <f t="shared" si="387"/>
        <v>220.21276595744678</v>
      </c>
      <c r="DB141" s="379">
        <f t="shared" si="388"/>
        <v>227.97562306249606</v>
      </c>
      <c r="DD141" s="188">
        <f t="shared" si="389"/>
        <v>13.333333333333336</v>
      </c>
      <c r="DE141" s="150">
        <f t="shared" si="390"/>
        <v>2.3188405797101459</v>
      </c>
      <c r="DF141" s="150">
        <f t="shared" si="391"/>
        <v>0.15898994622398885</v>
      </c>
      <c r="DG141" s="150"/>
      <c r="DH141" s="150">
        <f t="shared" si="392"/>
        <v>2.3188405797101455</v>
      </c>
      <c r="DI141" s="314">
        <f t="shared" si="393"/>
        <v>214.68639705882347</v>
      </c>
      <c r="DJ141" s="456">
        <f t="shared" si="394"/>
        <v>0.15898994622398879</v>
      </c>
      <c r="DL141" s="150">
        <f t="shared" si="395"/>
        <v>10.366613075960087</v>
      </c>
      <c r="DM141" s="150">
        <f t="shared" si="396"/>
        <v>13.333333333333334</v>
      </c>
      <c r="DN141" s="150">
        <f t="shared" si="397"/>
        <v>1.1226779411764705</v>
      </c>
      <c r="DP141" s="314">
        <f t="shared" si="398"/>
        <v>155</v>
      </c>
      <c r="DQ141" s="144">
        <f t="shared" si="399"/>
        <v>214.68639705882347</v>
      </c>
      <c r="DS141" s="144">
        <f t="shared" si="400"/>
        <v>155</v>
      </c>
      <c r="DT141" s="144">
        <f t="shared" si="401"/>
        <v>214.68639705882347</v>
      </c>
      <c r="DV141" s="5">
        <f t="shared" si="402"/>
        <v>4.6579569721224718</v>
      </c>
      <c r="DW141" s="5">
        <f t="shared" si="403"/>
        <v>2.2222222222222223</v>
      </c>
      <c r="DX141" s="5">
        <f t="shared" si="404"/>
        <v>2.4357347499002495</v>
      </c>
      <c r="DY141" s="150">
        <f t="shared" si="405"/>
        <v>0.47708088235294099</v>
      </c>
      <c r="EA141" s="5">
        <f t="shared" si="406"/>
        <v>0.20261437908496732</v>
      </c>
      <c r="EB141" s="5">
        <f t="shared" si="407"/>
        <v>2.8703703703703702</v>
      </c>
      <c r="EC141" s="5">
        <f t="shared" si="408"/>
        <v>11.885483455531773</v>
      </c>
      <c r="ED141" s="5"/>
      <c r="EE141" s="150">
        <f t="shared" si="409"/>
        <v>5.3170912814234343</v>
      </c>
      <c r="EF141" s="150">
        <f t="shared" si="410"/>
        <v>0.25998177637397601</v>
      </c>
      <c r="EG141" s="150">
        <f t="shared" si="411"/>
        <v>0.24731722292928779</v>
      </c>
      <c r="EH141" s="150"/>
      <c r="EI141" s="456">
        <f t="shared" si="412"/>
        <v>9.6122962962962924E-2</v>
      </c>
      <c r="EJ141" s="456">
        <f t="shared" si="413"/>
        <v>1.5337196205882351</v>
      </c>
      <c r="EK141" s="456">
        <f t="shared" si="414"/>
        <v>4.9163184926470579E-2</v>
      </c>
      <c r="EL141" s="456">
        <f t="shared" si="415"/>
        <v>4.5682866844525494E-2</v>
      </c>
      <c r="EM141">
        <f t="shared" si="416"/>
        <v>4.0499999999999998E-3</v>
      </c>
      <c r="EN141" s="144">
        <f t="shared" si="417"/>
        <v>53.213184926470575</v>
      </c>
      <c r="EP141" s="144">
        <f t="shared" si="439"/>
        <v>1728.7386353221943</v>
      </c>
      <c r="EQ141" s="150">
        <f t="shared" si="418"/>
        <v>0.38750000000000001</v>
      </c>
      <c r="ER141" s="150">
        <f t="shared" si="419"/>
        <v>0.11005</v>
      </c>
      <c r="ES141" s="456"/>
      <c r="EU141" s="144">
        <f t="shared" si="420"/>
        <v>497.55</v>
      </c>
      <c r="EV141" s="456">
        <f t="shared" si="421"/>
        <v>4.2407189542483646E-2</v>
      </c>
      <c r="EW141" s="456">
        <f t="shared" si="422"/>
        <v>1.3518104809313614E-2</v>
      </c>
      <c r="EX141" s="456">
        <f t="shared" si="423"/>
        <v>1.8349742627236508E-3</v>
      </c>
      <c r="EY141" s="456">
        <f t="shared" si="424"/>
        <v>21.91937490443177</v>
      </c>
      <c r="EZ141" s="456"/>
      <c r="FA141" s="538">
        <f t="shared" si="425"/>
        <v>3.8166470588235288E-2</v>
      </c>
      <c r="FB141" s="144">
        <f t="shared" si="426"/>
        <v>22015.301643634528</v>
      </c>
      <c r="FC141" s="150">
        <f t="shared" si="427"/>
        <v>24.241590278956718</v>
      </c>
      <c r="FD141" s="5">
        <f t="shared" si="428"/>
        <v>28.21</v>
      </c>
      <c r="FE141" s="150">
        <f t="shared" si="429"/>
        <v>0.53782926027540667</v>
      </c>
      <c r="FF141" s="5">
        <f t="shared" si="430"/>
        <v>53.782926027540668</v>
      </c>
      <c r="FG141">
        <f t="shared" si="431"/>
        <v>31</v>
      </c>
      <c r="FI141" s="59">
        <f t="shared" si="432"/>
        <v>-50</v>
      </c>
      <c r="FJ141">
        <f t="shared" si="433"/>
        <v>-50</v>
      </c>
    </row>
    <row r="142" spans="5:166">
      <c r="E142" s="147">
        <v>32</v>
      </c>
      <c r="F142" s="188">
        <f t="shared" si="434"/>
        <v>0.16</v>
      </c>
      <c r="G142" s="188">
        <f t="shared" ref="G142:G173" si="444">IF(PLOT_TYPE=1, E142/100*Iout2, min_I*EXP(Q142*rr/100))</f>
        <v>0.16</v>
      </c>
      <c r="H142" s="188">
        <f t="shared" ref="H142:H173" si="445">F142*Vout</f>
        <v>27.2</v>
      </c>
      <c r="I142" s="188">
        <f t="shared" ref="I142:I173" si="446">Vout2*G142</f>
        <v>1.92</v>
      </c>
      <c r="J142" s="465">
        <f t="shared" ref="J142:J173" si="447">VIN_min-(F142/CG142/Nps+G142/CH142/(Nps/Nsec1sec2))*(Rdcr_pri+RON/1000)</f>
        <v>8.9599248495746089</v>
      </c>
      <c r="K142" s="379">
        <f t="shared" ref="K142:K173" si="448">MAX((S142+Vfwd2+Rdcr_sec*F142/CG142)*Nps,(Vout2+Vfwd22+Rdcr_sec2*G142/CH142)*Nps/Nsec1sec2)</f>
        <v>8.6489482513849794</v>
      </c>
      <c r="L142" s="149">
        <f t="shared" ref="L142:L173" si="449">MAX((Vout+Vfwd2+F142/CG142*Rdcr_sec)*Nps+J142, (Vout2+Vfwd22+G142/CH142*Rdcr_sec2)*Nps/Nsec1sec2+J142)</f>
        <v>17.608873100959588</v>
      </c>
      <c r="M142" s="379"/>
      <c r="N142" s="188">
        <f t="shared" ref="N142:N173" si="450">MAX((Vout+Vfwd2+F142/CG142*Rdcr_sec)*Nps/((Vout+Vfwd2+F142/CG142*Rdcr_sec)*Nps+J142), (Vout2+Vfwd22+G142/CH142*Rdcr_sec2)*Nps/Nsec1sec2/((Vout2+Vfwd22+G142/CH142*Rdcr_sec2)*Nps/Nsec1sec2+J142))</f>
        <v>0.49116988928233335</v>
      </c>
      <c r="O142" s="149">
        <f t="shared" ref="O142:O173" si="451">N142*J142*Isw_max*0.5*Efficiency*Pout/(Pout+Pout2)</f>
        <v>137.02265574696156</v>
      </c>
      <c r="P142" s="149">
        <f t="shared" ref="P142:P173" si="452">N142*J142*Isw_max*0.5*Efficiency*(Pout2/Pout_total)</f>
        <v>9.6721874644914045</v>
      </c>
      <c r="Q142" s="188">
        <f t="shared" si="322"/>
        <v>0.80601562204095034</v>
      </c>
      <c r="R142" s="188">
        <f t="shared" ref="R142:R173" si="453">O142/Vout2</f>
        <v>11.41855464558013</v>
      </c>
      <c r="S142" s="188">
        <f t="shared" ref="S142:S173" si="454">MIN(Vout,O142/F142)</f>
        <v>170</v>
      </c>
      <c r="T142" s="188">
        <f t="shared" ref="T142:T173" si="455">MIN(2*(Vout*F142+Vout2*G142)/(Efficiency*J142*N142), Isw_max)</f>
        <v>13.233821249837684</v>
      </c>
      <c r="U142" s="188">
        <f t="shared" si="326"/>
        <v>2.2155020502988907</v>
      </c>
      <c r="V142" s="188">
        <f t="shared" si="327"/>
        <v>2.2951613650339251</v>
      </c>
      <c r="W142" s="172">
        <f t="shared" si="328"/>
        <v>220.04226481717942</v>
      </c>
      <c r="X142" s="379">
        <f t="shared" si="435"/>
        <v>212.28432427268808</v>
      </c>
      <c r="Z142" s="188">
        <f t="shared" si="329"/>
        <v>13.333333333333334</v>
      </c>
      <c r="AA142" s="150">
        <f t="shared" si="330"/>
        <v>2.3124198941527192</v>
      </c>
      <c r="AB142" s="150">
        <f t="shared" ref="AB142:AB173" si="456">0.5*AA142*Z142*Nps*W142/1000*(Pout/(Pout+Pout2))</f>
        <v>0.15842695754945668</v>
      </c>
      <c r="AC142" s="150"/>
      <c r="AD142" s="150">
        <f t="shared" si="332"/>
        <v>2.3124198941527192</v>
      </c>
      <c r="AE142" s="314">
        <f t="shared" ref="AE142:AE173" si="457">MAX(10, F142/(0.5*AD142/1000000*Isw_min*Nps)/1000*Pout_total/Pout)</f>
        <v>222.22709389440934</v>
      </c>
      <c r="AF142" s="456">
        <f t="shared" ref="AF142:AF173" si="458">0.5*AD142/1000000*Isw_min*Nps*W142*1000*(Pout/Pout_total)</f>
        <v>0.15842695754945665</v>
      </c>
      <c r="AH142" s="150">
        <f t="shared" ref="AH142:AH173" si="459">SQRT((H142+I142)/(0.5*L*Fsw_DCM))</f>
        <v>10.532489417670133</v>
      </c>
      <c r="AI142" s="150">
        <f t="shared" ref="AI142:AI173" si="460">MAX(IF(F142&gt;AB142,T142,AH142),Isw_min)</f>
        <v>13.333333333333334</v>
      </c>
      <c r="AJ142" s="150">
        <f t="shared" ref="AJ142:AJ173" si="461">IF(F142&gt;AF142, (AI142-Isw_min)/1.08*0.8+1.2, AE142*0.2/350+1)</f>
        <v>1.2</v>
      </c>
      <c r="AL142" s="314">
        <f t="shared" ref="AL142:AL173" si="462">F142*1000</f>
        <v>160</v>
      </c>
      <c r="AM142" s="144">
        <f t="shared" ref="AM142:AM173" si="463">IF(F142&gt;AF142, X142, AE142)</f>
        <v>212.28432427268808</v>
      </c>
      <c r="AO142" s="144">
        <f t="shared" si="340"/>
        <v>160</v>
      </c>
      <c r="AP142" s="144">
        <f t="shared" si="341"/>
        <v>212.28432427268808</v>
      </c>
      <c r="AR142" s="5">
        <f t="shared" si="443"/>
        <v>4.7106634153328173</v>
      </c>
      <c r="AS142" s="5">
        <f t="shared" si="440"/>
        <v>2.2321615790058265</v>
      </c>
      <c r="AT142" s="5">
        <f t="shared" si="441"/>
        <v>2.4785018363269908</v>
      </c>
      <c r="AU142" s="150">
        <f t="shared" si="442"/>
        <v>0.47385291246670824</v>
      </c>
      <c r="AW142" s="5">
        <f t="shared" si="342"/>
        <v>0.21008579567113661</v>
      </c>
      <c r="AX142" s="5">
        <f t="shared" si="343"/>
        <v>2.9762154386744353</v>
      </c>
      <c r="AY142" s="5">
        <f t="shared" si="344"/>
        <v>12.540144231100856</v>
      </c>
      <c r="AZ142" s="5"/>
      <c r="BA142" s="150">
        <f t="shared" si="345"/>
        <v>5.2990728048046059</v>
      </c>
      <c r="BB142" s="150">
        <f t="shared" si="346"/>
        <v>0.26078297314300786</v>
      </c>
      <c r="BC142" s="150">
        <f t="shared" si="347"/>
        <v>0.24807939081159294</v>
      </c>
      <c r="BD142" s="150"/>
      <c r="BE142" s="456">
        <f t="shared" si="348"/>
        <v>9.5472586808107149E-2</v>
      </c>
      <c r="BF142" s="456">
        <f t="shared" ref="BF142:BF173" si="464">0.5*L142*AI142*AM142*1000*Tfall</f>
        <v>1.1936960142960698</v>
      </c>
      <c r="BG142" s="456">
        <f t="shared" ref="BG142:BG173" si="465">Qg*Vdd*AM142*1000*0+Qg*J142*AM142*1000</f>
        <v>8.7113962923951363E-2</v>
      </c>
      <c r="BH142" s="456">
        <f t="shared" si="351"/>
        <v>4.508910601643927E-2</v>
      </c>
      <c r="BI142">
        <f t="shared" si="352"/>
        <v>4.0319661823085742E-3</v>
      </c>
      <c r="BJ142" s="144">
        <f t="shared" si="436"/>
        <v>91.145929106259928</v>
      </c>
      <c r="BK142">
        <f t="shared" ref="BK142:BK173" si="466">(BF142+BG142*0+BH142+BI142*0+BE142*(1+RdsonTC*(Ta-25)))/(1-BE142*RdsonTC*ThetaJA)</f>
        <v>1.3916028228616006</v>
      </c>
      <c r="BL142" s="144">
        <f t="shared" si="437"/>
        <v>1425.4036362268762</v>
      </c>
      <c r="BM142" s="150">
        <f t="shared" ref="BM142:BM173" si="467">Vfwd2*F142*(1+Diode_TC/1000*(Ta-25))</f>
        <v>0.35499999999999998</v>
      </c>
      <c r="BN142" s="150">
        <f t="shared" ref="BN142:BN173" si="468">Vfwd2*G142*(1+Diode_TC/1000*(Ta-25))</f>
        <v>0.35499999999999998</v>
      </c>
      <c r="BO142" s="456"/>
      <c r="BQ142" s="144">
        <f t="shared" si="356"/>
        <v>710</v>
      </c>
      <c r="BR142" s="456">
        <f t="shared" si="357"/>
        <v>4.2120258885929629E-2</v>
      </c>
      <c r="BS142" s="456">
        <f t="shared" si="358"/>
        <v>1.3601551816261352E-2</v>
      </c>
      <c r="BT142" s="456">
        <f t="shared" si="359"/>
        <v>1.846301524363532E-3</v>
      </c>
      <c r="BU142" s="456">
        <f t="shared" si="360"/>
        <v>21.311384276211538</v>
      </c>
      <c r="BV142" s="456"/>
      <c r="BW142" s="538">
        <f t="shared" ref="BW142:BW173" si="469">0.5*Lleak*0.000000001*AI142^2*AM142*1000</f>
        <v>3.7739435426255664E-2</v>
      </c>
      <c r="BX142" s="144">
        <f t="shared" si="362"/>
        <v>21406.691823864348</v>
      </c>
      <c r="BY142" s="150">
        <f t="shared" si="363"/>
        <v>23.542095460091225</v>
      </c>
      <c r="BZ142" s="5">
        <f t="shared" si="364"/>
        <v>29.119999999999997</v>
      </c>
      <c r="CA142" s="150">
        <f t="shared" si="365"/>
        <v>0.55295938654905841</v>
      </c>
      <c r="CB142" s="5">
        <f t="shared" si="366"/>
        <v>55.295938654905839</v>
      </c>
      <c r="CC142">
        <f t="shared" si="367"/>
        <v>32</v>
      </c>
      <c r="CE142" s="59">
        <f t="shared" ref="CE142:CE173" si="470">IF(ABS(F142-Ioutmax_Vinmin)&lt;Iout/200, AM142, -50)</f>
        <v>-50</v>
      </c>
      <c r="CF142">
        <f t="shared" ref="CF142:CF173" si="471">IF(ABS(F142-Ioutmax_Vinmin)&lt;Iout/200, (O142+P142)*CA142, -50)</f>
        <v>-50</v>
      </c>
      <c r="CG142" s="150">
        <f t="shared" si="370"/>
        <v>0.49840675206849377</v>
      </c>
      <c r="CH142" s="150">
        <f t="shared" ref="CH142:CH173" si="472">MIN(SQRT(2*DT142*1000*Ls2_*(CM142+CK142*Vfwd22))/(Vout2+Vfwd22), 1-DY142)</f>
        <v>0.1350568335034627</v>
      </c>
      <c r="CI142" s="147">
        <v>32</v>
      </c>
      <c r="CJ142" s="188">
        <f t="shared" si="438"/>
        <v>0.16</v>
      </c>
      <c r="CK142" s="188">
        <f t="shared" si="372"/>
        <v>0.16</v>
      </c>
      <c r="CL142" s="188">
        <f t="shared" si="373"/>
        <v>27.2</v>
      </c>
      <c r="CM142" s="188">
        <f t="shared" si="374"/>
        <v>1.92</v>
      </c>
      <c r="CN142" s="465">
        <f t="shared" si="375"/>
        <v>9</v>
      </c>
      <c r="CO142" s="379">
        <f t="shared" ref="CO142:CO173" si="473">(CW142+Vfwd2)*Nps</f>
        <v>8.625</v>
      </c>
      <c r="CP142" s="379">
        <f t="shared" ref="CP142:CP173" si="474">(Vout+Vfwd2)*Nps+CN142</f>
        <v>17.625</v>
      </c>
      <c r="CQ142" s="379"/>
      <c r="CR142" s="188">
        <f t="shared" si="378"/>
        <v>0.48674080410607357</v>
      </c>
      <c r="CS142" s="149">
        <f t="shared" si="379"/>
        <v>136.39440115060304</v>
      </c>
      <c r="CT142" s="149">
        <f t="shared" si="380"/>
        <v>9.6278400812190377</v>
      </c>
      <c r="CU142" s="188">
        <f t="shared" si="381"/>
        <v>0.80232000676825321</v>
      </c>
      <c r="CV142" s="188">
        <f t="shared" si="382"/>
        <v>11.366200095883586</v>
      </c>
      <c r="CW142" s="188">
        <f t="shared" si="383"/>
        <v>170</v>
      </c>
      <c r="CX142" s="188">
        <f t="shared" si="384"/>
        <v>13.294778363600859</v>
      </c>
      <c r="CY142" s="188">
        <f t="shared" si="385"/>
        <v>2.2157963939334766</v>
      </c>
      <c r="CZ142" s="188">
        <f t="shared" si="386"/>
        <v>2.3121353675827581</v>
      </c>
      <c r="DA142" s="172">
        <f t="shared" si="387"/>
        <v>220.21276595744678</v>
      </c>
      <c r="DB142" s="379">
        <f t="shared" si="388"/>
        <v>220.85138484179308</v>
      </c>
      <c r="DD142" s="188">
        <f t="shared" si="389"/>
        <v>13.333333333333336</v>
      </c>
      <c r="DE142" s="150">
        <f t="shared" si="390"/>
        <v>2.3188405797101459</v>
      </c>
      <c r="DF142" s="150">
        <f t="shared" si="391"/>
        <v>0.15898994622398885</v>
      </c>
      <c r="DG142" s="150"/>
      <c r="DH142" s="150">
        <f t="shared" si="392"/>
        <v>2.3188405797101455</v>
      </c>
      <c r="DI142" s="314">
        <f t="shared" si="393"/>
        <v>221.61176470588231</v>
      </c>
      <c r="DJ142" s="456">
        <f t="shared" si="394"/>
        <v>0.15898994622398879</v>
      </c>
      <c r="DL142" s="150">
        <f t="shared" si="395"/>
        <v>10.532489417670133</v>
      </c>
      <c r="DM142" s="150">
        <f t="shared" si="396"/>
        <v>13.333333333333334</v>
      </c>
      <c r="DN142" s="150">
        <f t="shared" si="397"/>
        <v>1.2</v>
      </c>
      <c r="DP142" s="314">
        <f t="shared" si="398"/>
        <v>160</v>
      </c>
      <c r="DQ142" s="144">
        <f t="shared" si="399"/>
        <v>220.85138484179308</v>
      </c>
      <c r="DS142" s="144">
        <f t="shared" si="400"/>
        <v>160</v>
      </c>
      <c r="DT142" s="144">
        <f t="shared" si="401"/>
        <v>220.85138484179308</v>
      </c>
      <c r="DV142" s="5">
        <f t="shared" si="402"/>
        <v>4.5279317615162347</v>
      </c>
      <c r="DW142" s="5">
        <f t="shared" si="403"/>
        <v>2.2222222222222223</v>
      </c>
      <c r="DX142" s="5">
        <f t="shared" si="404"/>
        <v>2.3057095392940123</v>
      </c>
      <c r="DY142" s="150">
        <f t="shared" si="405"/>
        <v>0.49078085520398462</v>
      </c>
      <c r="EA142" s="5">
        <f t="shared" si="406"/>
        <v>0.20915032679738563</v>
      </c>
      <c r="EB142" s="5">
        <f t="shared" si="407"/>
        <v>2.9629629629629632</v>
      </c>
      <c r="EC142" s="5">
        <f t="shared" si="408"/>
        <v>11.613944346073541</v>
      </c>
      <c r="ED142" s="5"/>
      <c r="EE142" s="150">
        <f t="shared" si="409"/>
        <v>5.3928943933674347</v>
      </c>
      <c r="EF142" s="150">
        <f t="shared" si="410"/>
        <v>0.25655353823857285</v>
      </c>
      <c r="EG142" s="150">
        <f t="shared" si="411"/>
        <v>0.24405598536481884</v>
      </c>
      <c r="EH142" s="150"/>
      <c r="EI142" s="456">
        <f t="shared" si="412"/>
        <v>9.8883253789247297E-2</v>
      </c>
      <c r="EJ142" s="456">
        <f t="shared" si="413"/>
        <v>1.5777622933097697</v>
      </c>
      <c r="EK142" s="456">
        <f t="shared" si="414"/>
        <v>5.0574967128770618E-2</v>
      </c>
      <c r="EL142" s="456">
        <f t="shared" si="415"/>
        <v>4.6994707370268542E-2</v>
      </c>
      <c r="EM142">
        <f t="shared" si="416"/>
        <v>4.0499999999999998E-3</v>
      </c>
      <c r="EN142" s="144">
        <f t="shared" si="417"/>
        <v>54.624967128770614</v>
      </c>
      <c r="EP142" s="144">
        <f t="shared" si="439"/>
        <v>1778.2652215980561</v>
      </c>
      <c r="EQ142" s="150">
        <f t="shared" si="418"/>
        <v>0.4</v>
      </c>
      <c r="ER142" s="150">
        <f t="shared" ref="ER142:ER173" si="475">Vfwd22*CK142*(1+Diode_TC/1000*(Ta-25))</f>
        <v>0.11359999999999999</v>
      </c>
      <c r="ES142" s="456"/>
      <c r="EU142" s="144">
        <f t="shared" si="420"/>
        <v>513.6</v>
      </c>
      <c r="EV142" s="456">
        <f t="shared" si="421"/>
        <v>4.362496490702087E-2</v>
      </c>
      <c r="EW142" s="456">
        <f t="shared" si="422"/>
        <v>1.3163943596546174E-2</v>
      </c>
      <c r="EX142" s="456">
        <f t="shared" si="423"/>
        <v>1.7868997197717799E-3</v>
      </c>
      <c r="EY142" s="456">
        <f t="shared" si="424"/>
        <v>23.527033070194513</v>
      </c>
      <c r="EZ142" s="456"/>
      <c r="FA142" s="538">
        <f t="shared" si="425"/>
        <v>3.926246841631878E-2</v>
      </c>
      <c r="FB142" s="144">
        <f t="shared" si="426"/>
        <v>23624.87134683417</v>
      </c>
      <c r="FC142" s="150">
        <f t="shared" si="427"/>
        <v>25.916736568432224</v>
      </c>
      <c r="FD142" s="5">
        <f t="shared" si="428"/>
        <v>29.119999999999997</v>
      </c>
      <c r="FE142" s="150">
        <f t="shared" si="429"/>
        <v>0.52910113890550969</v>
      </c>
      <c r="FF142" s="5">
        <f t="shared" si="430"/>
        <v>52.910113890550967</v>
      </c>
      <c r="FG142">
        <f t="shared" si="431"/>
        <v>32</v>
      </c>
      <c r="FI142" s="59">
        <f t="shared" si="432"/>
        <v>-50</v>
      </c>
      <c r="FJ142">
        <f t="shared" si="433"/>
        <v>-50</v>
      </c>
    </row>
    <row r="143" spans="5:166">
      <c r="E143" s="147">
        <v>33</v>
      </c>
      <c r="F143" s="188">
        <f t="shared" ref="F143:F174" si="476">IF(PLOT_TYPE=1, E143/100*Iout_max, min_I*EXP(O143*rr/100))</f>
        <v>0.16500000000000001</v>
      </c>
      <c r="G143" s="188">
        <f t="shared" si="444"/>
        <v>0.16500000000000001</v>
      </c>
      <c r="H143" s="188">
        <f t="shared" si="445"/>
        <v>28.05</v>
      </c>
      <c r="I143" s="188">
        <f t="shared" si="446"/>
        <v>1.98</v>
      </c>
      <c r="J143" s="465">
        <f t="shared" si="447"/>
        <v>8.9586725011238144</v>
      </c>
      <c r="K143" s="379">
        <f t="shared" si="448"/>
        <v>8.64969663424076</v>
      </c>
      <c r="L143" s="149">
        <f t="shared" si="449"/>
        <v>17.608369135364576</v>
      </c>
      <c r="M143" s="379"/>
      <c r="N143" s="188">
        <f t="shared" si="450"/>
        <v>0.4912264484999207</v>
      </c>
      <c r="O143" s="149">
        <f t="shared" si="451"/>
        <v>137.01928002200771</v>
      </c>
      <c r="P143" s="149">
        <f t="shared" si="452"/>
        <v>9.6719491780240734</v>
      </c>
      <c r="Q143" s="188">
        <f t="shared" si="322"/>
        <v>0.80599576483533941</v>
      </c>
      <c r="R143" s="188">
        <f t="shared" si="453"/>
        <v>11.418273335167308</v>
      </c>
      <c r="S143" s="188">
        <f t="shared" si="454"/>
        <v>170</v>
      </c>
      <c r="T143" s="188">
        <f t="shared" si="455"/>
        <v>13.647714392453715</v>
      </c>
      <c r="U143" s="188">
        <f t="shared" si="326"/>
        <v>2.2851121732726059</v>
      </c>
      <c r="V143" s="188">
        <f t="shared" si="327"/>
        <v>2.3667386793245031</v>
      </c>
      <c r="W143" s="172">
        <f t="shared" si="328"/>
        <v>220.03684380004765</v>
      </c>
      <c r="X143" s="379">
        <f t="shared" si="435"/>
        <v>206.10691267739978</v>
      </c>
      <c r="Z143" s="188">
        <f t="shared" si="329"/>
        <v>13.333333333333334</v>
      </c>
      <c r="AA143" s="150">
        <f t="shared" si="330"/>
        <v>2.3122198206151925</v>
      </c>
      <c r="AB143" s="150">
        <f t="shared" si="456"/>
        <v>0.15840934753665475</v>
      </c>
      <c r="AC143" s="150"/>
      <c r="AD143" s="150">
        <f t="shared" si="332"/>
        <v>2.3122198206151925</v>
      </c>
      <c r="AE143" s="314">
        <f t="shared" si="457"/>
        <v>229.19152052316173</v>
      </c>
      <c r="AF143" s="456">
        <f t="shared" si="458"/>
        <v>0.15840934753665475</v>
      </c>
      <c r="AH143" s="150">
        <f t="shared" si="459"/>
        <v>10.69579356569675</v>
      </c>
      <c r="AI143" s="150">
        <f t="shared" si="460"/>
        <v>13.647714392453715</v>
      </c>
      <c r="AJ143" s="150">
        <f t="shared" si="461"/>
        <v>1.4328748586076894</v>
      </c>
      <c r="AL143" s="314">
        <f t="shared" si="462"/>
        <v>165</v>
      </c>
      <c r="AM143" s="144">
        <f t="shared" si="463"/>
        <v>206.10691267739978</v>
      </c>
      <c r="AO143" s="144">
        <f t="shared" si="340"/>
        <v>165</v>
      </c>
      <c r="AP143" s="144">
        <f t="shared" si="341"/>
        <v>206.10691267739978</v>
      </c>
      <c r="AR143" s="5">
        <f t="shared" si="443"/>
        <v>4.8518508525971091</v>
      </c>
      <c r="AS143" s="5">
        <f t="shared" si="440"/>
        <v>2.2851121732726059</v>
      </c>
      <c r="AT143" s="5">
        <f t="shared" si="441"/>
        <v>2.5667386793245033</v>
      </c>
      <c r="AU143" s="150">
        <f t="shared" si="442"/>
        <v>0.47097741515476022</v>
      </c>
      <c r="AW143" s="5">
        <f t="shared" si="342"/>
        <v>0.22179029917057647</v>
      </c>
      <c r="AX143" s="5">
        <f t="shared" si="343"/>
        <v>3.1420292382498332</v>
      </c>
      <c r="AY143" s="5">
        <f t="shared" si="344"/>
        <v>13.394287294615113</v>
      </c>
      <c r="AZ143" s="5"/>
      <c r="BA143" s="150">
        <f t="shared" si="345"/>
        <v>5.4075349984158168</v>
      </c>
      <c r="BB143" s="150">
        <f t="shared" si="346"/>
        <v>0.26766028887242005</v>
      </c>
      <c r="BC143" s="150">
        <f t="shared" si="347"/>
        <v>0.25462169024168635</v>
      </c>
      <c r="BD143" s="150"/>
      <c r="BE143" s="456">
        <f t="shared" si="348"/>
        <v>9.9420878180912622E-2</v>
      </c>
      <c r="BF143" s="456">
        <f t="shared" si="464"/>
        <v>1.1862524847209235</v>
      </c>
      <c r="BG143" s="456">
        <f t="shared" si="465"/>
        <v>8.4567150354970325E-2</v>
      </c>
      <c r="BH143" s="456">
        <f t="shared" si="351"/>
        <v>4.3774520491965618E-2</v>
      </c>
      <c r="BI143">
        <f t="shared" si="352"/>
        <v>4.0314026255057166E-3</v>
      </c>
      <c r="BJ143" s="144">
        <f t="shared" si="436"/>
        <v>88.598552980476043</v>
      </c>
      <c r="BK143">
        <f t="shared" si="466"/>
        <v>1.3891055278343156</v>
      </c>
      <c r="BL143" s="144">
        <f t="shared" si="437"/>
        <v>1418.0464363742781</v>
      </c>
      <c r="BM143" s="150">
        <f t="shared" si="467"/>
        <v>0.36609375</v>
      </c>
      <c r="BN143" s="150">
        <f t="shared" si="468"/>
        <v>0.36609375</v>
      </c>
      <c r="BO143" s="456"/>
      <c r="BQ143" s="144">
        <f t="shared" si="356"/>
        <v>732.1875</v>
      </c>
      <c r="BR143" s="456">
        <f t="shared" si="357"/>
        <v>4.3862152138637922E-2</v>
      </c>
      <c r="BS143" s="456">
        <f t="shared" si="358"/>
        <v>1.4328406047853471E-2</v>
      </c>
      <c r="BT143" s="456">
        <f t="shared" si="359"/>
        <v>1.9449661542459981E-3</v>
      </c>
      <c r="BU143" s="456">
        <f t="shared" si="360"/>
        <v>20.982209193785359</v>
      </c>
      <c r="BV143" s="456"/>
      <c r="BW143" s="538">
        <f t="shared" si="469"/>
        <v>3.8389495843279386E-2</v>
      </c>
      <c r="BX143" s="144">
        <f t="shared" si="362"/>
        <v>21080.734213969376</v>
      </c>
      <c r="BY143" s="150">
        <f t="shared" si="363"/>
        <v>23.230968150343653</v>
      </c>
      <c r="BZ143" s="5">
        <f t="shared" si="364"/>
        <v>30.03</v>
      </c>
      <c r="CA143" s="150">
        <f t="shared" si="365"/>
        <v>0.56382752779168621</v>
      </c>
      <c r="CB143" s="5">
        <f t="shared" si="366"/>
        <v>56.382752779168619</v>
      </c>
      <c r="CC143">
        <f t="shared" si="367"/>
        <v>33</v>
      </c>
      <c r="CE143" s="59">
        <f t="shared" si="470"/>
        <v>-50</v>
      </c>
      <c r="CF143">
        <f t="shared" si="471"/>
        <v>-50</v>
      </c>
      <c r="CG143" s="150">
        <f t="shared" si="370"/>
        <v>0.49840675206849366</v>
      </c>
      <c r="CH143" s="150">
        <f t="shared" si="472"/>
        <v>0.13505683350346265</v>
      </c>
      <c r="CI143" s="147">
        <v>33</v>
      </c>
      <c r="CJ143" s="188">
        <f t="shared" si="438"/>
        <v>0.16500000000000001</v>
      </c>
      <c r="CK143" s="188">
        <f t="shared" si="372"/>
        <v>0.16500000000000001</v>
      </c>
      <c r="CL143" s="188">
        <f t="shared" si="373"/>
        <v>28.05</v>
      </c>
      <c r="CM143" s="188">
        <f t="shared" si="374"/>
        <v>1.98</v>
      </c>
      <c r="CN143" s="465">
        <f t="shared" si="375"/>
        <v>9</v>
      </c>
      <c r="CO143" s="379">
        <f t="shared" si="473"/>
        <v>8.625</v>
      </c>
      <c r="CP143" s="379">
        <f t="shared" si="474"/>
        <v>17.625</v>
      </c>
      <c r="CQ143" s="379"/>
      <c r="CR143" s="188">
        <f t="shared" si="378"/>
        <v>0.48674080410607357</v>
      </c>
      <c r="CS143" s="149">
        <f t="shared" si="379"/>
        <v>136.39440115060304</v>
      </c>
      <c r="CT143" s="149">
        <f t="shared" si="380"/>
        <v>9.6278400812190377</v>
      </c>
      <c r="CU143" s="188">
        <f t="shared" si="381"/>
        <v>0.80232000676825321</v>
      </c>
      <c r="CV143" s="188">
        <f t="shared" si="382"/>
        <v>11.366200095883586</v>
      </c>
      <c r="CW143" s="188">
        <f t="shared" si="383"/>
        <v>170</v>
      </c>
      <c r="CX143" s="188">
        <f t="shared" si="384"/>
        <v>13.710240187463388</v>
      </c>
      <c r="CY143" s="188">
        <f t="shared" si="385"/>
        <v>2.2850400312438981</v>
      </c>
      <c r="CZ143" s="188">
        <f t="shared" si="386"/>
        <v>2.3843895978197196</v>
      </c>
      <c r="DA143" s="172">
        <f t="shared" si="387"/>
        <v>220.21276595744678</v>
      </c>
      <c r="DB143" s="379">
        <f t="shared" si="388"/>
        <v>214.15891863446595</v>
      </c>
      <c r="DD143" s="188">
        <f t="shared" si="389"/>
        <v>13.333333333333336</v>
      </c>
      <c r="DE143" s="150">
        <f t="shared" si="390"/>
        <v>2.3188405797101459</v>
      </c>
      <c r="DF143" s="150">
        <f t="shared" si="391"/>
        <v>0.15898994622398885</v>
      </c>
      <c r="DG143" s="150"/>
      <c r="DH143" s="150">
        <f t="shared" si="392"/>
        <v>2.3188405797101455</v>
      </c>
      <c r="DI143" s="314">
        <f t="shared" si="393"/>
        <v>228.53713235294114</v>
      </c>
      <c r="DJ143" s="456">
        <f t="shared" si="394"/>
        <v>0.15898994622398879</v>
      </c>
      <c r="DL143" s="150">
        <f t="shared" si="395"/>
        <v>10.69579356569675</v>
      </c>
      <c r="DM143" s="150">
        <f t="shared" si="396"/>
        <v>13.710240187463388</v>
      </c>
      <c r="DN143" s="150">
        <f t="shared" si="397"/>
        <v>1.4791902623185582</v>
      </c>
      <c r="DP143" s="314">
        <f t="shared" si="398"/>
        <v>165</v>
      </c>
      <c r="DQ143" s="144">
        <f t="shared" si="399"/>
        <v>214.15891863446595</v>
      </c>
      <c r="DS143" s="144">
        <f t="shared" si="400"/>
        <v>165</v>
      </c>
      <c r="DT143" s="144">
        <f t="shared" si="401"/>
        <v>214.15891863446595</v>
      </c>
      <c r="DV143" s="5">
        <f t="shared" si="402"/>
        <v>4.6694296290636181</v>
      </c>
      <c r="DW143" s="5">
        <f t="shared" si="403"/>
        <v>2.2850400312438981</v>
      </c>
      <c r="DX143" s="5">
        <f t="shared" si="404"/>
        <v>2.38438959781972</v>
      </c>
      <c r="DY143" s="150">
        <f t="shared" si="405"/>
        <v>0.48936170212765956</v>
      </c>
      <c r="EA143" s="5">
        <f t="shared" si="406"/>
        <v>0.22178329715014306</v>
      </c>
      <c r="EB143" s="5">
        <f t="shared" si="407"/>
        <v>3.14193004296036</v>
      </c>
      <c r="EC143" s="5">
        <f t="shared" si="408"/>
        <v>12.385579299785766</v>
      </c>
      <c r="ED143" s="5"/>
      <c r="EE143" s="150">
        <f t="shared" si="409"/>
        <v>5.5373174868358364</v>
      </c>
      <c r="EF143" s="150">
        <f t="shared" si="410"/>
        <v>0.2641731443420165</v>
      </c>
      <c r="EG143" s="150">
        <f t="shared" si="411"/>
        <v>0.25130441580329688</v>
      </c>
      <c r="EH143" s="150"/>
      <c r="EI143" s="456">
        <f t="shared" si="412"/>
        <v>0.10425040883006099</v>
      </c>
      <c r="EJ143" s="456">
        <f t="shared" si="413"/>
        <v>1.5731999999999997</v>
      </c>
      <c r="EK143" s="456">
        <f t="shared" si="414"/>
        <v>4.9042392367292707E-2</v>
      </c>
      <c r="EL143" s="456">
        <f t="shared" si="415"/>
        <v>4.5570625328745236E-2</v>
      </c>
      <c r="EM143">
        <f t="shared" si="416"/>
        <v>4.0499999999999998E-3</v>
      </c>
      <c r="EN143" s="144">
        <f t="shared" si="417"/>
        <v>53.092392367292703</v>
      </c>
      <c r="EP143" s="144">
        <f t="shared" si="439"/>
        <v>1776.1134265260989</v>
      </c>
      <c r="EQ143" s="150">
        <f t="shared" si="418"/>
        <v>0.41250000000000003</v>
      </c>
      <c r="ER143" s="150">
        <f t="shared" si="475"/>
        <v>0.11715</v>
      </c>
      <c r="ES143" s="456"/>
      <c r="EU143" s="144">
        <f t="shared" si="420"/>
        <v>529.65000000000009</v>
      </c>
      <c r="EV143" s="456">
        <f t="shared" si="421"/>
        <v>4.5992827425026916E-2</v>
      </c>
      <c r="EW143" s="456">
        <f t="shared" si="422"/>
        <v>1.3957490038309579E-2</v>
      </c>
      <c r="EX143" s="456">
        <f t="shared" si="423"/>
        <v>1.8946172820670901E-3</v>
      </c>
      <c r="EY143" s="456">
        <f t="shared" si="424"/>
        <v>23.357323485002276</v>
      </c>
      <c r="EZ143" s="456"/>
      <c r="FA143" s="538">
        <f t="shared" si="425"/>
        <v>4.0255598848296742E-2</v>
      </c>
      <c r="FB143" s="144">
        <f t="shared" si="426"/>
        <v>23459.424018595979</v>
      </c>
      <c r="FC143" s="150">
        <f t="shared" si="427"/>
        <v>25.765187445122077</v>
      </c>
      <c r="FD143" s="5">
        <f t="shared" si="428"/>
        <v>30.03</v>
      </c>
      <c r="FE143" s="150">
        <f t="shared" si="429"/>
        <v>0.53821846247109228</v>
      </c>
      <c r="FF143" s="5">
        <f t="shared" si="430"/>
        <v>53.821846247109228</v>
      </c>
      <c r="FG143">
        <f t="shared" si="431"/>
        <v>33</v>
      </c>
      <c r="FI143" s="59">
        <f t="shared" si="432"/>
        <v>-50</v>
      </c>
      <c r="FJ143">
        <f t="shared" si="433"/>
        <v>-50</v>
      </c>
    </row>
    <row r="144" spans="5:166">
      <c r="E144" s="147">
        <v>34</v>
      </c>
      <c r="F144" s="188">
        <f t="shared" si="476"/>
        <v>0.17</v>
      </c>
      <c r="G144" s="188">
        <f t="shared" si="444"/>
        <v>0.17</v>
      </c>
      <c r="H144" s="188">
        <f t="shared" si="445"/>
        <v>28.900000000000002</v>
      </c>
      <c r="I144" s="188">
        <f t="shared" si="446"/>
        <v>2.04</v>
      </c>
      <c r="J144" s="465">
        <f t="shared" si="447"/>
        <v>8.9574201526730217</v>
      </c>
      <c r="K144" s="379">
        <f t="shared" si="448"/>
        <v>8.6504450170965406</v>
      </c>
      <c r="L144" s="149">
        <f t="shared" si="449"/>
        <v>17.607865169769561</v>
      </c>
      <c r="M144" s="379"/>
      <c r="N144" s="188">
        <f t="shared" si="450"/>
        <v>0.49128301095514076</v>
      </c>
      <c r="O144" s="149">
        <f t="shared" si="451"/>
        <v>137.01590078923593</v>
      </c>
      <c r="P144" s="149">
        <f t="shared" si="452"/>
        <v>9.6717106439460654</v>
      </c>
      <c r="Q144" s="188">
        <f t="shared" si="322"/>
        <v>0.80597588699550549</v>
      </c>
      <c r="R144" s="188">
        <f t="shared" si="453"/>
        <v>11.417991732436327</v>
      </c>
      <c r="S144" s="188">
        <f t="shared" si="454"/>
        <v>170</v>
      </c>
      <c r="T144" s="188">
        <f t="shared" si="455"/>
        <v>14.061628289627151</v>
      </c>
      <c r="U144" s="188">
        <f t="shared" si="326"/>
        <v>2.3547452363442436</v>
      </c>
      <c r="V144" s="188">
        <f t="shared" si="327"/>
        <v>2.4383072076354582</v>
      </c>
      <c r="W144" s="172">
        <f t="shared" si="328"/>
        <v>220.03141714977292</v>
      </c>
      <c r="X144" s="379">
        <f t="shared" si="435"/>
        <v>200.27828892639309</v>
      </c>
      <c r="Z144" s="188">
        <f t="shared" si="329"/>
        <v>13.333333333333334</v>
      </c>
      <c r="AA144" s="150">
        <f t="shared" si="330"/>
        <v>2.3120197816959083</v>
      </c>
      <c r="AB144" s="150">
        <f t="shared" si="456"/>
        <v>0.15839173651579869</v>
      </c>
      <c r="AC144" s="150"/>
      <c r="AD144" s="150">
        <f t="shared" si="332"/>
        <v>2.3120197816959083</v>
      </c>
      <c r="AE144" s="314">
        <f t="shared" si="457"/>
        <v>236.15714896673552</v>
      </c>
      <c r="AF144" s="456">
        <f t="shared" si="458"/>
        <v>0.15839173651579871</v>
      </c>
      <c r="AH144" s="150">
        <f t="shared" si="459"/>
        <v>10.85664159243855</v>
      </c>
      <c r="AI144" s="150">
        <f t="shared" si="460"/>
        <v>14.061628289627151</v>
      </c>
      <c r="AJ144" s="150">
        <f t="shared" si="461"/>
        <v>1.7394777454028278</v>
      </c>
      <c r="AL144" s="314">
        <f t="shared" si="462"/>
        <v>170</v>
      </c>
      <c r="AM144" s="144">
        <f t="shared" si="463"/>
        <v>200.27828892639309</v>
      </c>
      <c r="AO144" s="144">
        <f t="shared" si="340"/>
        <v>170</v>
      </c>
      <c r="AP144" s="144">
        <f t="shared" si="341"/>
        <v>200.27828892639309</v>
      </c>
      <c r="AR144" s="5">
        <f t="shared" si="443"/>
        <v>4.9930524439797024</v>
      </c>
      <c r="AS144" s="5">
        <f t="shared" si="440"/>
        <v>2.3547452363442436</v>
      </c>
      <c r="AT144" s="5">
        <f t="shared" si="441"/>
        <v>2.6383072076354588</v>
      </c>
      <c r="AU144" s="150">
        <f t="shared" si="442"/>
        <v>0.47160434679260022</v>
      </c>
      <c r="AW144" s="5">
        <f t="shared" si="342"/>
        <v>0.23547452363442437</v>
      </c>
      <c r="AX144" s="5">
        <f t="shared" si="343"/>
        <v>3.3358890848210119</v>
      </c>
      <c r="AY144" s="5">
        <f t="shared" si="344"/>
        <v>14.186949106827285</v>
      </c>
      <c r="AZ144" s="5"/>
      <c r="BA144" s="150">
        <f t="shared" si="345"/>
        <v>5.5752440869152693</v>
      </c>
      <c r="BB144" s="150">
        <f t="shared" si="346"/>
        <v>0.27561455077689134</v>
      </c>
      <c r="BC144" s="150">
        <f t="shared" si="347"/>
        <v>0.26218847431441406</v>
      </c>
      <c r="BD144" s="150"/>
      <c r="BE144" s="456">
        <f t="shared" si="348"/>
        <v>0.10568337853752449</v>
      </c>
      <c r="BF144" s="456">
        <f t="shared" si="464"/>
        <v>1.1876314986814269</v>
      </c>
      <c r="BG144" s="456">
        <f t="shared" si="465"/>
        <v>8.2164136586844169E-2</v>
      </c>
      <c r="BH144" s="456">
        <f t="shared" si="351"/>
        <v>4.2534159160347966E-2</v>
      </c>
      <c r="BI144">
        <f t="shared" si="352"/>
        <v>4.0308390687028598E-3</v>
      </c>
      <c r="BJ144" s="144">
        <f t="shared" si="436"/>
        <v>86.194975655547026</v>
      </c>
      <c r="BK144">
        <f t="shared" si="466"/>
        <v>1.3995261695632173</v>
      </c>
      <c r="BL144" s="144">
        <f t="shared" si="437"/>
        <v>1422.0440120348462</v>
      </c>
      <c r="BM144" s="150">
        <f t="shared" si="467"/>
        <v>0.37718750000000001</v>
      </c>
      <c r="BN144" s="150">
        <f t="shared" si="468"/>
        <v>0.37718750000000001</v>
      </c>
      <c r="BO144" s="456"/>
      <c r="BQ144" s="144">
        <f t="shared" si="356"/>
        <v>754.375</v>
      </c>
      <c r="BR144" s="456">
        <f t="shared" si="357"/>
        <v>4.6625019943025516E-2</v>
      </c>
      <c r="BS144" s="456">
        <f t="shared" si="358"/>
        <v>1.5192676119989524E-2</v>
      </c>
      <c r="BT144" s="456">
        <f t="shared" si="359"/>
        <v>2.0622838818996048E-3</v>
      </c>
      <c r="BU144" s="456">
        <f t="shared" si="360"/>
        <v>21.044747475813526</v>
      </c>
      <c r="BV144" s="456"/>
      <c r="BW144" s="538">
        <f t="shared" si="469"/>
        <v>3.9600903930831301E-2</v>
      </c>
      <c r="BX144" s="144">
        <f t="shared" si="362"/>
        <v>21148.228359689274</v>
      </c>
      <c r="BY144" s="150">
        <f t="shared" si="363"/>
        <v>23.324647371724119</v>
      </c>
      <c r="BZ144" s="5">
        <f t="shared" si="364"/>
        <v>30.94</v>
      </c>
      <c r="CA144" s="150">
        <f t="shared" si="365"/>
        <v>0.57016863646149885</v>
      </c>
      <c r="CB144" s="5">
        <f t="shared" si="366"/>
        <v>57.016863646149886</v>
      </c>
      <c r="CC144">
        <f t="shared" si="367"/>
        <v>34</v>
      </c>
      <c r="CE144" s="59">
        <f t="shared" si="470"/>
        <v>-50</v>
      </c>
      <c r="CF144">
        <f t="shared" si="471"/>
        <v>-50</v>
      </c>
      <c r="CG144" s="150">
        <f t="shared" si="370"/>
        <v>0.49840675206849377</v>
      </c>
      <c r="CH144" s="150">
        <f t="shared" si="472"/>
        <v>0.1350568335034627</v>
      </c>
      <c r="CI144" s="147">
        <v>34</v>
      </c>
      <c r="CJ144" s="188">
        <f t="shared" si="438"/>
        <v>0.17</v>
      </c>
      <c r="CK144" s="188">
        <f t="shared" si="372"/>
        <v>0.17</v>
      </c>
      <c r="CL144" s="188">
        <f t="shared" si="373"/>
        <v>28.900000000000002</v>
      </c>
      <c r="CM144" s="188">
        <f t="shared" si="374"/>
        <v>2.04</v>
      </c>
      <c r="CN144" s="465">
        <f t="shared" si="375"/>
        <v>9</v>
      </c>
      <c r="CO144" s="379">
        <f t="shared" si="473"/>
        <v>8.625</v>
      </c>
      <c r="CP144" s="379">
        <f t="shared" si="474"/>
        <v>17.625</v>
      </c>
      <c r="CQ144" s="379"/>
      <c r="CR144" s="188">
        <f t="shared" si="378"/>
        <v>0.48674080410607357</v>
      </c>
      <c r="CS144" s="149">
        <f t="shared" si="379"/>
        <v>136.39440115060304</v>
      </c>
      <c r="CT144" s="149">
        <f t="shared" si="380"/>
        <v>9.6278400812190377</v>
      </c>
      <c r="CU144" s="188">
        <f t="shared" si="381"/>
        <v>0.80232000676825321</v>
      </c>
      <c r="CV144" s="188">
        <f t="shared" si="382"/>
        <v>11.366200095883586</v>
      </c>
      <c r="CW144" s="188">
        <f t="shared" si="383"/>
        <v>170</v>
      </c>
      <c r="CX144" s="188">
        <f t="shared" si="384"/>
        <v>14.125702011325913</v>
      </c>
      <c r="CY144" s="188">
        <f t="shared" si="385"/>
        <v>2.3542836685543187</v>
      </c>
      <c r="CZ144" s="188">
        <f t="shared" si="386"/>
        <v>2.4566438280566807</v>
      </c>
      <c r="DA144" s="172">
        <f t="shared" si="387"/>
        <v>220.21276595744678</v>
      </c>
      <c r="DB144" s="379">
        <f t="shared" si="388"/>
        <v>207.86012690992291</v>
      </c>
      <c r="DD144" s="188">
        <f t="shared" si="389"/>
        <v>13.333333333333336</v>
      </c>
      <c r="DE144" s="150">
        <f t="shared" si="390"/>
        <v>2.3188405797101459</v>
      </c>
      <c r="DF144" s="150">
        <f t="shared" si="391"/>
        <v>0.15898994622398885</v>
      </c>
      <c r="DG144" s="150"/>
      <c r="DH144" s="150">
        <f t="shared" si="392"/>
        <v>2.3188405797101455</v>
      </c>
      <c r="DI144" s="314">
        <f t="shared" si="393"/>
        <v>235.46249999999995</v>
      </c>
      <c r="DJ144" s="456">
        <f t="shared" si="394"/>
        <v>0.15898994622398879</v>
      </c>
      <c r="DL144" s="150">
        <f t="shared" si="395"/>
        <v>10.85664159243855</v>
      </c>
      <c r="DM144" s="150">
        <f t="shared" si="396"/>
        <v>14.125702011325913</v>
      </c>
      <c r="DN144" s="150">
        <f t="shared" si="397"/>
        <v>1.7869397614759843</v>
      </c>
      <c r="DP144" s="314">
        <f t="shared" si="398"/>
        <v>170</v>
      </c>
      <c r="DQ144" s="144">
        <f t="shared" si="399"/>
        <v>207.86012690992291</v>
      </c>
      <c r="DS144" s="144">
        <f t="shared" si="400"/>
        <v>170</v>
      </c>
      <c r="DT144" s="144">
        <f t="shared" si="401"/>
        <v>207.86012690992291</v>
      </c>
      <c r="DV144" s="5">
        <f t="shared" si="402"/>
        <v>4.8109274966109989</v>
      </c>
      <c r="DW144" s="5">
        <f t="shared" si="403"/>
        <v>2.3542836685543187</v>
      </c>
      <c r="DX144" s="5">
        <f t="shared" si="404"/>
        <v>2.4566438280566802</v>
      </c>
      <c r="DY144" s="150">
        <f t="shared" si="405"/>
        <v>0.48936170212765961</v>
      </c>
      <c r="EA144" s="5">
        <f t="shared" si="406"/>
        <v>0.23542836685543189</v>
      </c>
      <c r="EB144" s="5">
        <f t="shared" si="407"/>
        <v>3.3352351971186187</v>
      </c>
      <c r="EC144" s="5">
        <f t="shared" si="408"/>
        <v>13.147593820525564</v>
      </c>
      <c r="ED144" s="5"/>
      <c r="EE144" s="150">
        <f t="shared" si="409"/>
        <v>5.7051149864369224</v>
      </c>
      <c r="EF144" s="150">
        <f t="shared" si="410"/>
        <v>0.27217839114025938</v>
      </c>
      <c r="EG144" s="150">
        <f t="shared" si="411"/>
        <v>0.25891970113066948</v>
      </c>
      <c r="EH144" s="150"/>
      <c r="EI144" s="456">
        <f t="shared" si="412"/>
        <v>0.11066434582878835</v>
      </c>
      <c r="EJ144" s="456">
        <f t="shared" si="413"/>
        <v>1.5732000000000002</v>
      </c>
      <c r="EK144" s="456">
        <f t="shared" si="414"/>
        <v>4.7599969062372349E-2</v>
      </c>
      <c r="EL144" s="456">
        <f t="shared" si="415"/>
        <v>4.4230312819076273E-2</v>
      </c>
      <c r="EM144">
        <f t="shared" si="416"/>
        <v>4.0499999999999998E-3</v>
      </c>
      <c r="EN144" s="144">
        <f t="shared" si="417"/>
        <v>51.64996906237235</v>
      </c>
      <c r="EP144" s="144">
        <f t="shared" si="439"/>
        <v>1779.7446277102372</v>
      </c>
      <c r="EQ144" s="150">
        <f t="shared" si="418"/>
        <v>0.42500000000000004</v>
      </c>
      <c r="ER144" s="150">
        <f t="shared" si="475"/>
        <v>0.1207</v>
      </c>
      <c r="ES144" s="456"/>
      <c r="EU144" s="144">
        <f t="shared" si="420"/>
        <v>545.70000000000005</v>
      </c>
      <c r="EV144" s="456">
        <f t="shared" si="421"/>
        <v>4.8822505512700745E-2</v>
      </c>
      <c r="EW144" s="456">
        <f t="shared" si="422"/>
        <v>1.4816215320740006E-2</v>
      </c>
      <c r="EX144" s="456">
        <f t="shared" si="423"/>
        <v>2.0111823490078563E-3</v>
      </c>
      <c r="EY144" s="456">
        <f t="shared" si="424"/>
        <v>23.357323485002254</v>
      </c>
      <c r="EZ144" s="456"/>
      <c r="FA144" s="538">
        <f t="shared" si="425"/>
        <v>4.1475465480063325E-2</v>
      </c>
      <c r="FB144" s="144">
        <f t="shared" si="426"/>
        <v>23464.448853664766</v>
      </c>
      <c r="FC144" s="150">
        <f t="shared" si="427"/>
        <v>25.789893481375003</v>
      </c>
      <c r="FD144" s="5">
        <f t="shared" si="428"/>
        <v>30.94</v>
      </c>
      <c r="FE144" s="150">
        <f t="shared" si="429"/>
        <v>0.54539147002202493</v>
      </c>
      <c r="FF144" s="5">
        <f t="shared" si="430"/>
        <v>54.53914700220249</v>
      </c>
      <c r="FG144">
        <f t="shared" si="431"/>
        <v>34</v>
      </c>
      <c r="FI144" s="59">
        <f t="shared" si="432"/>
        <v>-50</v>
      </c>
      <c r="FJ144">
        <f t="shared" si="433"/>
        <v>-50</v>
      </c>
    </row>
    <row r="145" spans="5:166">
      <c r="E145" s="147">
        <v>35</v>
      </c>
      <c r="F145" s="188">
        <f t="shared" si="476"/>
        <v>0.17499999999999999</v>
      </c>
      <c r="G145" s="188">
        <f t="shared" si="444"/>
        <v>0.17499999999999999</v>
      </c>
      <c r="H145" s="188">
        <f t="shared" si="445"/>
        <v>29.749999999999996</v>
      </c>
      <c r="I145" s="188">
        <f t="shared" si="446"/>
        <v>2.0999999999999996</v>
      </c>
      <c r="J145" s="465">
        <f t="shared" si="447"/>
        <v>8.956167804222229</v>
      </c>
      <c r="K145" s="379">
        <f t="shared" si="448"/>
        <v>8.6511933999523212</v>
      </c>
      <c r="L145" s="149">
        <f t="shared" si="449"/>
        <v>17.607361204174552</v>
      </c>
      <c r="M145" s="379"/>
      <c r="N145" s="188">
        <f t="shared" si="450"/>
        <v>0.49133957664827133</v>
      </c>
      <c r="O145" s="149">
        <f t="shared" si="451"/>
        <v>137.01251804834484</v>
      </c>
      <c r="P145" s="149">
        <f t="shared" si="452"/>
        <v>9.6714718622361069</v>
      </c>
      <c r="Q145" s="188">
        <f t="shared" si="322"/>
        <v>0.80595598851967554</v>
      </c>
      <c r="R145" s="188">
        <f t="shared" si="453"/>
        <v>11.41770983736207</v>
      </c>
      <c r="S145" s="188">
        <f t="shared" si="454"/>
        <v>170</v>
      </c>
      <c r="T145" s="188">
        <f t="shared" si="455"/>
        <v>14.475562974716766</v>
      </c>
      <c r="U145" s="188">
        <f t="shared" si="326"/>
        <v>2.4244012547240095</v>
      </c>
      <c r="V145" s="188">
        <f t="shared" si="327"/>
        <v>2.5098669580308792</v>
      </c>
      <c r="W145" s="172">
        <f t="shared" si="328"/>
        <v>220.02598486587141</v>
      </c>
      <c r="X145" s="379">
        <f t="shared" si="435"/>
        <v>194.76972346628364</v>
      </c>
      <c r="Z145" s="188">
        <f t="shared" si="329"/>
        <v>13.333333333333334</v>
      </c>
      <c r="AA145" s="150">
        <f t="shared" si="330"/>
        <v>2.311819777385884</v>
      </c>
      <c r="AB145" s="150">
        <f t="shared" si="456"/>
        <v>0.15837412448680199</v>
      </c>
      <c r="AC145" s="150"/>
      <c r="AD145" s="150">
        <f t="shared" si="332"/>
        <v>2.311819777385884</v>
      </c>
      <c r="AE145" s="314">
        <f t="shared" si="457"/>
        <v>243.1239792251306</v>
      </c>
      <c r="AF145" s="456">
        <f t="shared" si="458"/>
        <v>0.15837412448680196</v>
      </c>
      <c r="AH145" s="150">
        <f t="shared" si="459"/>
        <v>11.015141094572202</v>
      </c>
      <c r="AI145" s="150">
        <f t="shared" si="460"/>
        <v>14.475562974716766</v>
      </c>
      <c r="AJ145" s="150">
        <f t="shared" si="461"/>
        <v>2.046096030654394</v>
      </c>
      <c r="AL145" s="314">
        <f t="shared" si="462"/>
        <v>175</v>
      </c>
      <c r="AM145" s="144">
        <f t="shared" si="463"/>
        <v>194.76972346628364</v>
      </c>
      <c r="AO145" s="144">
        <f t="shared" si="340"/>
        <v>175</v>
      </c>
      <c r="AP145" s="144">
        <f t="shared" si="341"/>
        <v>194.76972346628364</v>
      </c>
      <c r="AR145" s="5">
        <f t="shared" si="443"/>
        <v>5.134268212754888</v>
      </c>
      <c r="AS145" s="5">
        <f t="shared" si="440"/>
        <v>2.4244012547240095</v>
      </c>
      <c r="AT145" s="5">
        <f t="shared" si="441"/>
        <v>2.7098669580308785</v>
      </c>
      <c r="AU145" s="150">
        <f t="shared" si="442"/>
        <v>0.47219996195390646</v>
      </c>
      <c r="AW145" s="5">
        <f t="shared" si="342"/>
        <v>0.2495707173980598</v>
      </c>
      <c r="AX145" s="5">
        <f t="shared" si="343"/>
        <v>3.5355851631391806</v>
      </c>
      <c r="AY145" s="5">
        <f t="shared" si="344"/>
        <v>15.002425100352335</v>
      </c>
      <c r="AZ145" s="5"/>
      <c r="BA145" s="150">
        <f t="shared" si="345"/>
        <v>5.7429866873648905</v>
      </c>
      <c r="BB145" s="150">
        <f t="shared" si="346"/>
        <v>0.28356790980907781</v>
      </c>
      <c r="BC145" s="150">
        <f t="shared" si="347"/>
        <v>0.26975439949668706</v>
      </c>
      <c r="BD145" s="150"/>
      <c r="BE145" s="456">
        <f t="shared" si="348"/>
        <v>0.11213844671025121</v>
      </c>
      <c r="BF145" s="456">
        <f t="shared" si="464"/>
        <v>1.1889311399528291</v>
      </c>
      <c r="BG145" s="456">
        <f t="shared" si="465"/>
        <v>7.9893076955806622E-2</v>
      </c>
      <c r="BH145" s="456">
        <f t="shared" si="351"/>
        <v>4.1361908196733702E-2</v>
      </c>
      <c r="BI145">
        <f t="shared" si="352"/>
        <v>4.0302755119000031E-3</v>
      </c>
      <c r="BJ145" s="144">
        <f t="shared" si="436"/>
        <v>83.923352467706636</v>
      </c>
      <c r="BK145">
        <f t="shared" si="466"/>
        <v>1.4102846331267143</v>
      </c>
      <c r="BL145" s="144">
        <f t="shared" si="437"/>
        <v>1426.3548473275207</v>
      </c>
      <c r="BM145" s="150">
        <f t="shared" si="467"/>
        <v>0.38828124999999997</v>
      </c>
      <c r="BN145" s="150">
        <f t="shared" si="468"/>
        <v>0.38828124999999997</v>
      </c>
      <c r="BO145" s="456"/>
      <c r="BQ145" s="144">
        <f t="shared" si="356"/>
        <v>776.56249999999989</v>
      </c>
      <c r="BR145" s="456">
        <f t="shared" si="357"/>
        <v>4.9472844136875534E-2</v>
      </c>
      <c r="BS145" s="456">
        <f t="shared" si="358"/>
        <v>1.6082151894697857E-2</v>
      </c>
      <c r="BT145" s="456">
        <f t="shared" si="359"/>
        <v>2.1830230814345471E-3</v>
      </c>
      <c r="BU145" s="456">
        <f t="shared" si="360"/>
        <v>21.103878654948119</v>
      </c>
      <c r="BV145" s="456"/>
      <c r="BW145" s="538">
        <f t="shared" si="469"/>
        <v>4.0812422482026357E-2</v>
      </c>
      <c r="BX145" s="144">
        <f t="shared" si="362"/>
        <v>21212.429096543154</v>
      </c>
      <c r="BY145" s="150">
        <f t="shared" si="363"/>
        <v>23.415346443870675</v>
      </c>
      <c r="BZ145" s="5">
        <f t="shared" si="364"/>
        <v>31.849999999999994</v>
      </c>
      <c r="CA145" s="150">
        <f t="shared" si="365"/>
        <v>0.57631051010144152</v>
      </c>
      <c r="CB145" s="5">
        <f t="shared" si="366"/>
        <v>57.631051010144155</v>
      </c>
      <c r="CC145">
        <f t="shared" si="367"/>
        <v>35</v>
      </c>
      <c r="CE145" s="59">
        <f t="shared" si="470"/>
        <v>-50</v>
      </c>
      <c r="CF145">
        <f t="shared" si="471"/>
        <v>-50</v>
      </c>
      <c r="CG145" s="150">
        <f t="shared" si="370"/>
        <v>0.49840675206849377</v>
      </c>
      <c r="CH145" s="150">
        <f t="shared" si="472"/>
        <v>0.1350568335034627</v>
      </c>
      <c r="CI145" s="147">
        <v>35</v>
      </c>
      <c r="CJ145" s="188">
        <f t="shared" si="438"/>
        <v>0.17499999999999999</v>
      </c>
      <c r="CK145" s="188">
        <f t="shared" si="372"/>
        <v>0.17499999999999999</v>
      </c>
      <c r="CL145" s="188">
        <f t="shared" si="373"/>
        <v>29.749999999999996</v>
      </c>
      <c r="CM145" s="188">
        <f t="shared" si="374"/>
        <v>2.0999999999999996</v>
      </c>
      <c r="CN145" s="465">
        <f t="shared" si="375"/>
        <v>9</v>
      </c>
      <c r="CO145" s="379">
        <f t="shared" si="473"/>
        <v>8.625</v>
      </c>
      <c r="CP145" s="379">
        <f t="shared" si="474"/>
        <v>17.625</v>
      </c>
      <c r="CQ145" s="379"/>
      <c r="CR145" s="188">
        <f t="shared" si="378"/>
        <v>0.48674080410607357</v>
      </c>
      <c r="CS145" s="149">
        <f t="shared" si="379"/>
        <v>136.39440115060304</v>
      </c>
      <c r="CT145" s="149">
        <f t="shared" si="380"/>
        <v>9.6278400812190377</v>
      </c>
      <c r="CU145" s="188">
        <f t="shared" si="381"/>
        <v>0.80232000676825321</v>
      </c>
      <c r="CV145" s="188">
        <f t="shared" si="382"/>
        <v>11.366200095883586</v>
      </c>
      <c r="CW145" s="188">
        <f t="shared" si="383"/>
        <v>170</v>
      </c>
      <c r="CX145" s="188">
        <f t="shared" si="384"/>
        <v>14.541163835188437</v>
      </c>
      <c r="CY145" s="188">
        <f t="shared" si="385"/>
        <v>2.4235273058647393</v>
      </c>
      <c r="CZ145" s="188">
        <f t="shared" si="386"/>
        <v>2.5288980582936413</v>
      </c>
      <c r="DA145" s="172">
        <f t="shared" si="387"/>
        <v>220.21276595744678</v>
      </c>
      <c r="DB145" s="379">
        <f t="shared" si="388"/>
        <v>201.921266141068</v>
      </c>
      <c r="DD145" s="188">
        <f t="shared" si="389"/>
        <v>13.333333333333336</v>
      </c>
      <c r="DE145" s="150">
        <f t="shared" si="390"/>
        <v>2.3188405797101459</v>
      </c>
      <c r="DF145" s="150">
        <f t="shared" si="391"/>
        <v>0.15898994622398885</v>
      </c>
      <c r="DG145" s="150"/>
      <c r="DH145" s="150">
        <f t="shared" si="392"/>
        <v>2.3188405797101455</v>
      </c>
      <c r="DI145" s="314">
        <f t="shared" si="393"/>
        <v>242.38786764705873</v>
      </c>
      <c r="DJ145" s="456">
        <f t="shared" si="394"/>
        <v>0.15898994622398879</v>
      </c>
      <c r="DL145" s="150">
        <f t="shared" si="395"/>
        <v>11.015141094572202</v>
      </c>
      <c r="DM145" s="150">
        <f t="shared" si="396"/>
        <v>14.541163835188437</v>
      </c>
      <c r="DN145" s="150">
        <f t="shared" si="397"/>
        <v>2.0946892606334093</v>
      </c>
      <c r="DP145" s="314">
        <f t="shared" si="398"/>
        <v>175</v>
      </c>
      <c r="DQ145" s="144">
        <f t="shared" si="399"/>
        <v>201.921266141068</v>
      </c>
      <c r="DS145" s="144">
        <f t="shared" si="400"/>
        <v>175</v>
      </c>
      <c r="DT145" s="144">
        <f t="shared" si="401"/>
        <v>201.921266141068</v>
      </c>
      <c r="DV145" s="5">
        <f t="shared" si="402"/>
        <v>4.9524253641583806</v>
      </c>
      <c r="DW145" s="5">
        <f t="shared" si="403"/>
        <v>2.4235273058647393</v>
      </c>
      <c r="DX145" s="5">
        <f t="shared" si="404"/>
        <v>2.5288980582936413</v>
      </c>
      <c r="DY145" s="150">
        <f t="shared" si="405"/>
        <v>0.48936170212765956</v>
      </c>
      <c r="EA145" s="5">
        <f t="shared" si="406"/>
        <v>0.24948075207431136</v>
      </c>
      <c r="EB145" s="5">
        <f t="shared" si="407"/>
        <v>3.5343106543860778</v>
      </c>
      <c r="EC145" s="5">
        <f t="shared" si="408"/>
        <v>13.932355043377004</v>
      </c>
      <c r="ED145" s="5"/>
      <c r="EE145" s="150">
        <f t="shared" si="409"/>
        <v>5.8729124860380058</v>
      </c>
      <c r="EF145" s="150">
        <f t="shared" si="410"/>
        <v>0.28018363793850226</v>
      </c>
      <c r="EG145" s="150">
        <f t="shared" si="411"/>
        <v>0.26653498645804208</v>
      </c>
      <c r="EH145" s="150"/>
      <c r="EI145" s="456">
        <f t="shared" si="412"/>
        <v>0.11726974363344776</v>
      </c>
      <c r="EJ145" s="456">
        <f t="shared" si="413"/>
        <v>1.5732000000000004</v>
      </c>
      <c r="EK145" s="456">
        <f t="shared" si="414"/>
        <v>4.6239969946304568E-2</v>
      </c>
      <c r="EL145" s="456">
        <f t="shared" si="415"/>
        <v>4.2966589595674107E-2</v>
      </c>
      <c r="EM145">
        <f t="shared" si="416"/>
        <v>4.0499999999999998E-3</v>
      </c>
      <c r="EN145" s="144">
        <f t="shared" si="417"/>
        <v>50.289969946304566</v>
      </c>
      <c r="EP145" s="144">
        <f t="shared" si="439"/>
        <v>1783.7263031754269</v>
      </c>
      <c r="EQ145" s="150">
        <f t="shared" si="418"/>
        <v>0.4375</v>
      </c>
      <c r="ER145" s="150">
        <f t="shared" si="475"/>
        <v>0.12424999999999999</v>
      </c>
      <c r="ES145" s="456"/>
      <c r="EU145" s="144">
        <f t="shared" si="420"/>
        <v>561.75</v>
      </c>
      <c r="EV145" s="456">
        <f t="shared" si="421"/>
        <v>5.1736651602991665E-2</v>
      </c>
      <c r="EW145" s="456">
        <f t="shared" si="422"/>
        <v>1.5700574193690746E-2</v>
      </c>
      <c r="EX145" s="456">
        <f t="shared" si="423"/>
        <v>2.1312269701856605E-3</v>
      </c>
      <c r="EY145" s="456">
        <f t="shared" si="424"/>
        <v>23.357323485002233</v>
      </c>
      <c r="EZ145" s="456"/>
      <c r="FA145" s="538">
        <f t="shared" si="425"/>
        <v>4.2695332111829874E-2</v>
      </c>
      <c r="FB145" s="144">
        <f t="shared" si="426"/>
        <v>23469.587269880933</v>
      </c>
      <c r="FC145" s="150">
        <f t="shared" si="427"/>
        <v>25.815063573056356</v>
      </c>
      <c r="FD145" s="5">
        <f t="shared" si="428"/>
        <v>31.849999999999994</v>
      </c>
      <c r="FE145" s="150">
        <f t="shared" si="429"/>
        <v>0.552327493052166</v>
      </c>
      <c r="FF145" s="5">
        <f t="shared" si="430"/>
        <v>55.232749305216601</v>
      </c>
      <c r="FG145">
        <f t="shared" si="431"/>
        <v>35</v>
      </c>
      <c r="FI145" s="59">
        <f t="shared" si="432"/>
        <v>-50</v>
      </c>
      <c r="FJ145">
        <f t="shared" si="433"/>
        <v>-50</v>
      </c>
    </row>
    <row r="146" spans="5:166">
      <c r="E146" s="147">
        <v>36</v>
      </c>
      <c r="F146" s="188">
        <f t="shared" si="476"/>
        <v>0.18</v>
      </c>
      <c r="G146" s="188">
        <f t="shared" si="444"/>
        <v>0.18</v>
      </c>
      <c r="H146" s="188">
        <f t="shared" si="445"/>
        <v>30.599999999999998</v>
      </c>
      <c r="I146" s="188">
        <f t="shared" si="446"/>
        <v>2.16</v>
      </c>
      <c r="J146" s="465">
        <f t="shared" si="447"/>
        <v>8.9549154557714346</v>
      </c>
      <c r="K146" s="379">
        <f t="shared" si="448"/>
        <v>8.6519417828081</v>
      </c>
      <c r="L146" s="149">
        <f t="shared" si="449"/>
        <v>17.606857238579536</v>
      </c>
      <c r="M146" s="379"/>
      <c r="N146" s="188">
        <f t="shared" si="450"/>
        <v>0.49139614557959072</v>
      </c>
      <c r="O146" s="149">
        <f t="shared" si="451"/>
        <v>137.0091317990333</v>
      </c>
      <c r="P146" s="149">
        <f t="shared" si="452"/>
        <v>9.6712328328729384</v>
      </c>
      <c r="Q146" s="188">
        <f t="shared" si="322"/>
        <v>0.8059360694060782</v>
      </c>
      <c r="R146" s="188">
        <f t="shared" si="453"/>
        <v>11.417427649919441</v>
      </c>
      <c r="S146" s="188">
        <f t="shared" si="454"/>
        <v>170</v>
      </c>
      <c r="T146" s="188">
        <f t="shared" si="455"/>
        <v>14.889518481091446</v>
      </c>
      <c r="U146" s="188">
        <f t="shared" si="326"/>
        <v>2.4940802436323115</v>
      </c>
      <c r="V146" s="188">
        <f t="shared" si="327"/>
        <v>2.5814179385738183</v>
      </c>
      <c r="W146" s="172">
        <f t="shared" si="328"/>
        <v>220.02054694785934</v>
      </c>
      <c r="X146" s="379">
        <f t="shared" si="435"/>
        <v>189.55555768608298</v>
      </c>
      <c r="Z146" s="188">
        <f t="shared" si="329"/>
        <v>13.333333333333334</v>
      </c>
      <c r="AA146" s="150">
        <f t="shared" si="330"/>
        <v>2.3116198076761378</v>
      </c>
      <c r="AB146" s="150">
        <f t="shared" si="456"/>
        <v>0.15835651144957799</v>
      </c>
      <c r="AC146" s="150"/>
      <c r="AD146" s="150">
        <f t="shared" si="332"/>
        <v>2.3116198076761378</v>
      </c>
      <c r="AE146" s="314">
        <f t="shared" si="457"/>
        <v>250.09201129834699</v>
      </c>
      <c r="AF146" s="456">
        <f t="shared" si="458"/>
        <v>0.15835651144957802</v>
      </c>
      <c r="AH146" s="150">
        <f t="shared" si="459"/>
        <v>11.171392035015153</v>
      </c>
      <c r="AI146" s="150">
        <f t="shared" si="460"/>
        <v>14.889518481091446</v>
      </c>
      <c r="AJ146" s="150">
        <f t="shared" si="461"/>
        <v>2.3527297390800834</v>
      </c>
      <c r="AL146" s="314">
        <f t="shared" si="462"/>
        <v>180</v>
      </c>
      <c r="AM146" s="144">
        <f t="shared" si="463"/>
        <v>189.55555768608298</v>
      </c>
      <c r="AO146" s="144">
        <f t="shared" si="340"/>
        <v>180</v>
      </c>
      <c r="AP146" s="144">
        <f t="shared" si="341"/>
        <v>189.55555768608298</v>
      </c>
      <c r="AR146" s="5">
        <f t="shared" si="443"/>
        <v>5.27549818220613</v>
      </c>
      <c r="AS146" s="5">
        <f t="shared" si="440"/>
        <v>2.4940802436323115</v>
      </c>
      <c r="AT146" s="5">
        <f t="shared" si="441"/>
        <v>2.7814179385738185</v>
      </c>
      <c r="AU146" s="150">
        <f t="shared" si="442"/>
        <v>0.47276677149556451</v>
      </c>
      <c r="AW146" s="5">
        <f t="shared" si="342"/>
        <v>0.26407908461989177</v>
      </c>
      <c r="AX146" s="5">
        <f t="shared" si="343"/>
        <v>3.7411203654484666</v>
      </c>
      <c r="AY146" s="5">
        <f t="shared" si="344"/>
        <v>15.840720726831767</v>
      </c>
      <c r="AZ146" s="5"/>
      <c r="BA146" s="150">
        <f t="shared" si="345"/>
        <v>5.910762345813894</v>
      </c>
      <c r="BB146" s="150">
        <f t="shared" si="346"/>
        <v>0.29152039938428548</v>
      </c>
      <c r="BC146" s="150">
        <f t="shared" si="347"/>
        <v>0.27731949757604363</v>
      </c>
      <c r="BD146" s="150"/>
      <c r="BE146" s="456">
        <f t="shared" si="348"/>
        <v>0.11878617912955064</v>
      </c>
      <c r="BF146" s="456">
        <f t="shared" si="464"/>
        <v>1.1901577693290792</v>
      </c>
      <c r="BG146" s="456">
        <f t="shared" si="465"/>
        <v>7.7743392890871899E-2</v>
      </c>
      <c r="BH146" s="456">
        <f t="shared" si="351"/>
        <v>4.0252307291613318E-2</v>
      </c>
      <c r="BI146">
        <f t="shared" si="352"/>
        <v>4.0297119550971455E-3</v>
      </c>
      <c r="BJ146" s="144">
        <f t="shared" si="436"/>
        <v>81.773104845969044</v>
      </c>
      <c r="BK146">
        <f t="shared" si="466"/>
        <v>1.4213851238399924</v>
      </c>
      <c r="BL146" s="144">
        <f t="shared" si="437"/>
        <v>1430.9693605962123</v>
      </c>
      <c r="BM146" s="150">
        <f t="shared" si="467"/>
        <v>0.39937499999999992</v>
      </c>
      <c r="BN146" s="150">
        <f t="shared" si="468"/>
        <v>0.39937499999999992</v>
      </c>
      <c r="BO146" s="456"/>
      <c r="BQ146" s="144">
        <f t="shared" si="356"/>
        <v>798.74999999999989</v>
      </c>
      <c r="BR146" s="456">
        <f t="shared" si="357"/>
        <v>5.2405667263037053E-2</v>
      </c>
      <c r="BS146" s="456">
        <f t="shared" si="358"/>
        <v>1.6996828651434662E-2</v>
      </c>
      <c r="BT146" s="456">
        <f t="shared" si="359"/>
        <v>2.3071831120748776E-3</v>
      </c>
      <c r="BU146" s="456">
        <f t="shared" si="360"/>
        <v>21.159867449719457</v>
      </c>
      <c r="BV146" s="456"/>
      <c r="BW146" s="538">
        <f t="shared" si="469"/>
        <v>4.2024042648054379E-2</v>
      </c>
      <c r="BX146" s="144">
        <f t="shared" si="362"/>
        <v>21273.601171394061</v>
      </c>
      <c r="BY146" s="150">
        <f t="shared" si="363"/>
        <v>23.503320531990273</v>
      </c>
      <c r="BZ146" s="5">
        <f t="shared" si="364"/>
        <v>32.76</v>
      </c>
      <c r="CA146" s="150">
        <f t="shared" si="365"/>
        <v>0.58226211482440449</v>
      </c>
      <c r="CB146" s="5">
        <f t="shared" si="366"/>
        <v>58.226211482440448</v>
      </c>
      <c r="CC146">
        <f t="shared" si="367"/>
        <v>36</v>
      </c>
      <c r="CE146" s="59">
        <f t="shared" si="470"/>
        <v>-50</v>
      </c>
      <c r="CF146">
        <f t="shared" si="471"/>
        <v>-50</v>
      </c>
      <c r="CG146" s="150">
        <f t="shared" si="370"/>
        <v>0.49840675206849377</v>
      </c>
      <c r="CH146" s="150">
        <f t="shared" si="472"/>
        <v>0.1350568335034627</v>
      </c>
      <c r="CI146" s="147">
        <v>36</v>
      </c>
      <c r="CJ146" s="188">
        <f t="shared" si="438"/>
        <v>0.18</v>
      </c>
      <c r="CK146" s="188">
        <f t="shared" si="372"/>
        <v>0.18</v>
      </c>
      <c r="CL146" s="188">
        <f t="shared" si="373"/>
        <v>30.599999999999998</v>
      </c>
      <c r="CM146" s="188">
        <f t="shared" si="374"/>
        <v>2.16</v>
      </c>
      <c r="CN146" s="465">
        <f t="shared" si="375"/>
        <v>9</v>
      </c>
      <c r="CO146" s="379">
        <f t="shared" si="473"/>
        <v>8.625</v>
      </c>
      <c r="CP146" s="379">
        <f t="shared" si="474"/>
        <v>17.625</v>
      </c>
      <c r="CQ146" s="379"/>
      <c r="CR146" s="188">
        <f t="shared" si="378"/>
        <v>0.48674080410607357</v>
      </c>
      <c r="CS146" s="149">
        <f t="shared" si="379"/>
        <v>136.39440115060304</v>
      </c>
      <c r="CT146" s="149">
        <f t="shared" si="380"/>
        <v>9.6278400812190377</v>
      </c>
      <c r="CU146" s="188">
        <f t="shared" si="381"/>
        <v>0.80232000676825321</v>
      </c>
      <c r="CV146" s="188">
        <f t="shared" si="382"/>
        <v>11.366200095883586</v>
      </c>
      <c r="CW146" s="188">
        <f t="shared" si="383"/>
        <v>170</v>
      </c>
      <c r="CX146" s="188">
        <f t="shared" si="384"/>
        <v>14.956625659050966</v>
      </c>
      <c r="CY146" s="188">
        <f t="shared" si="385"/>
        <v>2.4927709431751612</v>
      </c>
      <c r="CZ146" s="188">
        <f t="shared" si="386"/>
        <v>2.6011522885306029</v>
      </c>
      <c r="DA146" s="172">
        <f t="shared" si="387"/>
        <v>220.21276595744678</v>
      </c>
      <c r="DB146" s="379">
        <f t="shared" si="388"/>
        <v>196.31234208159384</v>
      </c>
      <c r="DD146" s="188">
        <f t="shared" si="389"/>
        <v>13.333333333333336</v>
      </c>
      <c r="DE146" s="150">
        <f t="shared" si="390"/>
        <v>2.3188405797101459</v>
      </c>
      <c r="DF146" s="150">
        <f t="shared" si="391"/>
        <v>0.15898994622398885</v>
      </c>
      <c r="DG146" s="150"/>
      <c r="DH146" s="150">
        <f t="shared" si="392"/>
        <v>2.3188405797101455</v>
      </c>
      <c r="DI146" s="314">
        <f t="shared" si="393"/>
        <v>249.31323529411756</v>
      </c>
      <c r="DJ146" s="456">
        <f t="shared" si="394"/>
        <v>0.15898994622398879</v>
      </c>
      <c r="DL146" s="150">
        <f t="shared" si="395"/>
        <v>11.171392035015153</v>
      </c>
      <c r="DM146" s="150">
        <f t="shared" si="396"/>
        <v>14.956625659050966</v>
      </c>
      <c r="DN146" s="150">
        <f t="shared" si="397"/>
        <v>2.4024387597908383</v>
      </c>
      <c r="DP146" s="314">
        <f t="shared" si="398"/>
        <v>180</v>
      </c>
      <c r="DQ146" s="144">
        <f t="shared" si="399"/>
        <v>196.31234208159384</v>
      </c>
      <c r="DS146" s="144">
        <f t="shared" si="400"/>
        <v>180</v>
      </c>
      <c r="DT146" s="144">
        <f t="shared" si="401"/>
        <v>196.31234208159384</v>
      </c>
      <c r="DV146" s="5">
        <f t="shared" si="402"/>
        <v>5.0939232317057641</v>
      </c>
      <c r="DW146" s="5">
        <f t="shared" si="403"/>
        <v>2.4927709431751612</v>
      </c>
      <c r="DX146" s="5">
        <f t="shared" si="404"/>
        <v>2.6011522885306029</v>
      </c>
      <c r="DY146" s="150">
        <f t="shared" si="405"/>
        <v>0.48936170212765961</v>
      </c>
      <c r="EA146" s="5">
        <f t="shared" si="406"/>
        <v>0.26394045280678174</v>
      </c>
      <c r="EB146" s="5">
        <f t="shared" si="407"/>
        <v>3.7391564147627414</v>
      </c>
      <c r="EC146" s="5">
        <f t="shared" si="408"/>
        <v>14.739862968340081</v>
      </c>
      <c r="ED146" s="5"/>
      <c r="EE146" s="150">
        <f t="shared" si="409"/>
        <v>6.0407099856390936</v>
      </c>
      <c r="EF146" s="150">
        <f t="shared" si="410"/>
        <v>0.2881888847367452</v>
      </c>
      <c r="EG146" s="150">
        <f t="shared" si="411"/>
        <v>0.27415027178541479</v>
      </c>
      <c r="EH146" s="150"/>
      <c r="EI146" s="456">
        <f t="shared" si="412"/>
        <v>0.12406660224403952</v>
      </c>
      <c r="EJ146" s="456">
        <f t="shared" si="413"/>
        <v>1.5731999999999997</v>
      </c>
      <c r="EK146" s="456">
        <f t="shared" si="414"/>
        <v>4.4955526336684988E-2</v>
      </c>
      <c r="EL146" s="456">
        <f t="shared" si="415"/>
        <v>4.1773073218016474E-2</v>
      </c>
      <c r="EM146">
        <f t="shared" si="416"/>
        <v>4.0499999999999998E-3</v>
      </c>
      <c r="EN146" s="144">
        <f t="shared" si="417"/>
        <v>49.005526336684987</v>
      </c>
      <c r="EP146" s="144">
        <f t="shared" si="439"/>
        <v>1788.0452017987407</v>
      </c>
      <c r="EQ146" s="150">
        <f t="shared" si="418"/>
        <v>0.44999999999999996</v>
      </c>
      <c r="ER146" s="150">
        <f t="shared" si="475"/>
        <v>0.1278</v>
      </c>
      <c r="ES146" s="456"/>
      <c r="EU146" s="144">
        <f t="shared" si="420"/>
        <v>577.79999999999995</v>
      </c>
      <c r="EV146" s="456">
        <f t="shared" si="421"/>
        <v>5.4735265695899794E-2</v>
      </c>
      <c r="EW146" s="456">
        <f t="shared" si="422"/>
        <v>1.6610566657161801E-2</v>
      </c>
      <c r="EX146" s="456">
        <f t="shared" si="423"/>
        <v>2.2547511456005036E-3</v>
      </c>
      <c r="EY146" s="456">
        <f t="shared" si="424"/>
        <v>23.357323485002297</v>
      </c>
      <c r="EZ146" s="456"/>
      <c r="FA146" s="538">
        <f t="shared" si="425"/>
        <v>4.3915198743596451E-2</v>
      </c>
      <c r="FB146" s="144">
        <f t="shared" si="426"/>
        <v>23474.839267244559</v>
      </c>
      <c r="FC146" s="150">
        <f t="shared" si="427"/>
        <v>25.840684469043296</v>
      </c>
      <c r="FD146" s="5">
        <f t="shared" si="428"/>
        <v>32.76</v>
      </c>
      <c r="FE146" s="150">
        <f t="shared" si="429"/>
        <v>0.55903783883797409</v>
      </c>
      <c r="FF146" s="5">
        <f t="shared" si="430"/>
        <v>55.903783883797409</v>
      </c>
      <c r="FG146">
        <f t="shared" si="431"/>
        <v>36</v>
      </c>
      <c r="FI146" s="59">
        <f t="shared" si="432"/>
        <v>-50</v>
      </c>
      <c r="FJ146">
        <f t="shared" si="433"/>
        <v>-50</v>
      </c>
    </row>
    <row r="147" spans="5:166">
      <c r="E147" s="147">
        <v>37</v>
      </c>
      <c r="F147" s="188">
        <f t="shared" si="476"/>
        <v>0.185</v>
      </c>
      <c r="G147" s="188">
        <f t="shared" si="444"/>
        <v>0.185</v>
      </c>
      <c r="H147" s="188">
        <f t="shared" si="445"/>
        <v>31.45</v>
      </c>
      <c r="I147" s="188">
        <f t="shared" si="446"/>
        <v>2.2199999999999998</v>
      </c>
      <c r="J147" s="465">
        <f t="shared" si="447"/>
        <v>8.9536631073206419</v>
      </c>
      <c r="K147" s="379">
        <f t="shared" si="448"/>
        <v>8.6526901656638824</v>
      </c>
      <c r="L147" s="149">
        <f t="shared" si="449"/>
        <v>17.606353272984524</v>
      </c>
      <c r="M147" s="379"/>
      <c r="N147" s="188">
        <f t="shared" si="450"/>
        <v>0.49145271774937693</v>
      </c>
      <c r="O147" s="149">
        <f t="shared" si="451"/>
        <v>137.0057420410001</v>
      </c>
      <c r="P147" s="149">
        <f t="shared" si="452"/>
        <v>9.6709935558353006</v>
      </c>
      <c r="Q147" s="188">
        <f t="shared" si="322"/>
        <v>0.80591612965294179</v>
      </c>
      <c r="R147" s="188">
        <f t="shared" si="453"/>
        <v>11.417145170083343</v>
      </c>
      <c r="S147" s="188">
        <f t="shared" si="454"/>
        <v>170</v>
      </c>
      <c r="T147" s="188">
        <f t="shared" si="455"/>
        <v>15.303494842130211</v>
      </c>
      <c r="U147" s="188">
        <f t="shared" si="326"/>
        <v>2.5637822182997687</v>
      </c>
      <c r="V147" s="188">
        <f t="shared" si="327"/>
        <v>2.6529601573262922</v>
      </c>
      <c r="W147" s="172">
        <f t="shared" si="328"/>
        <v>220.01510339525305</v>
      </c>
      <c r="X147" s="379">
        <f t="shared" si="435"/>
        <v>184.61280427508262</v>
      </c>
      <c r="Z147" s="188">
        <f t="shared" si="329"/>
        <v>13.333333333333332</v>
      </c>
      <c r="AA147" s="150">
        <f t="shared" si="330"/>
        <v>2.3114198725576913</v>
      </c>
      <c r="AB147" s="150">
        <f t="shared" si="456"/>
        <v>0.15833889740404017</v>
      </c>
      <c r="AC147" s="150"/>
      <c r="AD147" s="150">
        <f t="shared" si="332"/>
        <v>2.3114198725576918</v>
      </c>
      <c r="AE147" s="314">
        <f t="shared" si="457"/>
        <v>257.06124518638489</v>
      </c>
      <c r="AF147" s="456">
        <f t="shared" si="458"/>
        <v>0.15833889740404017</v>
      </c>
      <c r="AH147" s="150">
        <f t="shared" si="459"/>
        <v>11.325487480310359</v>
      </c>
      <c r="AI147" s="150">
        <f t="shared" si="460"/>
        <v>15.303494842130211</v>
      </c>
      <c r="AJ147" s="150">
        <f t="shared" si="461"/>
        <v>2.6593788954050943</v>
      </c>
      <c r="AL147" s="314">
        <f t="shared" si="462"/>
        <v>185</v>
      </c>
      <c r="AM147" s="144">
        <f t="shared" si="463"/>
        <v>184.61280427508262</v>
      </c>
      <c r="AO147" s="144">
        <f t="shared" si="340"/>
        <v>185</v>
      </c>
      <c r="AP147" s="144">
        <f t="shared" si="341"/>
        <v>184.61280427508262</v>
      </c>
      <c r="AR147" s="5">
        <f t="shared" si="443"/>
        <v>5.4167423756260602</v>
      </c>
      <c r="AS147" s="5">
        <f t="shared" si="440"/>
        <v>2.5637822182997687</v>
      </c>
      <c r="AT147" s="5">
        <f t="shared" si="441"/>
        <v>2.8529601573262915</v>
      </c>
      <c r="AU147" s="150">
        <f t="shared" si="442"/>
        <v>0.47330702487091236</v>
      </c>
      <c r="AW147" s="5">
        <f t="shared" si="342"/>
        <v>0.27899982963850428</v>
      </c>
      <c r="AX147" s="5">
        <f t="shared" si="343"/>
        <v>3.9524975865454763</v>
      </c>
      <c r="AY147" s="5">
        <f t="shared" si="344"/>
        <v>16.701841446054061</v>
      </c>
      <c r="AZ147" s="5"/>
      <c r="BA147" s="150">
        <f t="shared" si="345"/>
        <v>6.078570657451654</v>
      </c>
      <c r="BB147" s="150">
        <f t="shared" si="346"/>
        <v>0.29947204951755269</v>
      </c>
      <c r="BC147" s="150">
        <f t="shared" si="347"/>
        <v>0.28488379710539247</v>
      </c>
      <c r="BD147" s="150"/>
      <c r="BE147" s="456">
        <f t="shared" si="348"/>
        <v>0.12562667220794957</v>
      </c>
      <c r="BF147" s="456">
        <f t="shared" si="464"/>
        <v>1.1913170853862614</v>
      </c>
      <c r="BG147" s="456">
        <f t="shared" si="465"/>
        <v>7.5705607148778067E-2</v>
      </c>
      <c r="BH147" s="456">
        <f t="shared" si="351"/>
        <v>3.9200464604531644E-2</v>
      </c>
      <c r="BI147">
        <f t="shared" si="352"/>
        <v>4.0291483982942888E-3</v>
      </c>
      <c r="BJ147" s="144">
        <f t="shared" si="436"/>
        <v>79.734755547072353</v>
      </c>
      <c r="BK147">
        <f t="shared" si="466"/>
        <v>1.4328318752099962</v>
      </c>
      <c r="BL147" s="144">
        <f t="shared" si="437"/>
        <v>1435.8789777458151</v>
      </c>
      <c r="BM147" s="150">
        <f t="shared" si="467"/>
        <v>0.41046874999999999</v>
      </c>
      <c r="BN147" s="150">
        <f t="shared" si="468"/>
        <v>0.41046874999999999</v>
      </c>
      <c r="BO147" s="456"/>
      <c r="BQ147" s="144">
        <f t="shared" si="356"/>
        <v>820.9375</v>
      </c>
      <c r="BR147" s="456">
        <f t="shared" si="357"/>
        <v>5.5423531856448348E-2</v>
      </c>
      <c r="BS147" s="456">
        <f t="shared" si="358"/>
        <v>1.7936701688448707E-2</v>
      </c>
      <c r="BT147" s="456">
        <f t="shared" si="359"/>
        <v>2.4347633355955925E-3</v>
      </c>
      <c r="BU147" s="456">
        <f t="shared" si="360"/>
        <v>21.212951856019689</v>
      </c>
      <c r="BV147" s="456"/>
      <c r="BW147" s="538">
        <f t="shared" si="469"/>
        <v>4.3235756501348803E-2</v>
      </c>
      <c r="BX147" s="144">
        <f t="shared" si="362"/>
        <v>21331.982609401533</v>
      </c>
      <c r="BY147" s="150">
        <f t="shared" si="363"/>
        <v>23.588799087147347</v>
      </c>
      <c r="BZ147" s="5">
        <f t="shared" si="364"/>
        <v>33.67</v>
      </c>
      <c r="CA147" s="150">
        <f t="shared" si="365"/>
        <v>0.58803189268350842</v>
      </c>
      <c r="CB147" s="5">
        <f t="shared" si="366"/>
        <v>58.803189268350842</v>
      </c>
      <c r="CC147">
        <f t="shared" si="367"/>
        <v>37</v>
      </c>
      <c r="CE147" s="59">
        <f t="shared" si="470"/>
        <v>-50</v>
      </c>
      <c r="CF147">
        <f t="shared" si="471"/>
        <v>-50</v>
      </c>
      <c r="CG147" s="150">
        <f t="shared" si="370"/>
        <v>0.49840675206849366</v>
      </c>
      <c r="CH147" s="150">
        <f t="shared" si="472"/>
        <v>0.13505683350346265</v>
      </c>
      <c r="CI147" s="147">
        <v>37</v>
      </c>
      <c r="CJ147" s="188">
        <f t="shared" si="438"/>
        <v>0.185</v>
      </c>
      <c r="CK147" s="188">
        <f t="shared" si="372"/>
        <v>0.185</v>
      </c>
      <c r="CL147" s="188">
        <f t="shared" si="373"/>
        <v>31.45</v>
      </c>
      <c r="CM147" s="188">
        <f t="shared" si="374"/>
        <v>2.2199999999999998</v>
      </c>
      <c r="CN147" s="465">
        <f t="shared" si="375"/>
        <v>9</v>
      </c>
      <c r="CO147" s="379">
        <f t="shared" si="473"/>
        <v>8.625</v>
      </c>
      <c r="CP147" s="379">
        <f t="shared" si="474"/>
        <v>17.625</v>
      </c>
      <c r="CQ147" s="379"/>
      <c r="CR147" s="188">
        <f t="shared" si="378"/>
        <v>0.48674080410607357</v>
      </c>
      <c r="CS147" s="149">
        <f t="shared" si="379"/>
        <v>136.39440115060304</v>
      </c>
      <c r="CT147" s="149">
        <f t="shared" si="380"/>
        <v>9.6278400812190377</v>
      </c>
      <c r="CU147" s="188">
        <f t="shared" si="381"/>
        <v>0.80232000676825321</v>
      </c>
      <c r="CV147" s="188">
        <f t="shared" si="382"/>
        <v>11.366200095883586</v>
      </c>
      <c r="CW147" s="188">
        <f t="shared" si="383"/>
        <v>170</v>
      </c>
      <c r="CX147" s="188">
        <f t="shared" si="384"/>
        <v>15.372087482913495</v>
      </c>
      <c r="CY147" s="188">
        <f t="shared" si="385"/>
        <v>2.5620145804855827</v>
      </c>
      <c r="CZ147" s="188">
        <f t="shared" si="386"/>
        <v>2.673406518767564</v>
      </c>
      <c r="DA147" s="172">
        <f t="shared" si="387"/>
        <v>220.21276595744678</v>
      </c>
      <c r="DB147" s="379">
        <f t="shared" si="388"/>
        <v>191.00660310641561</v>
      </c>
      <c r="DD147" s="188">
        <f t="shared" si="389"/>
        <v>13.333333333333336</v>
      </c>
      <c r="DE147" s="150">
        <f t="shared" si="390"/>
        <v>2.3188405797101459</v>
      </c>
      <c r="DF147" s="150">
        <f t="shared" si="391"/>
        <v>0.15898994622398885</v>
      </c>
      <c r="DG147" s="150"/>
      <c r="DH147" s="150">
        <f t="shared" si="392"/>
        <v>2.3188405797101455</v>
      </c>
      <c r="DI147" s="314">
        <f t="shared" si="393"/>
        <v>256.2386029411764</v>
      </c>
      <c r="DJ147" s="456">
        <f t="shared" si="394"/>
        <v>0.15898994622398879</v>
      </c>
      <c r="DL147" s="150">
        <f t="shared" si="395"/>
        <v>11.325487480310359</v>
      </c>
      <c r="DM147" s="150">
        <f t="shared" si="396"/>
        <v>15.372087482913495</v>
      </c>
      <c r="DN147" s="150">
        <f t="shared" si="397"/>
        <v>2.7101882589482669</v>
      </c>
      <c r="DP147" s="314">
        <f t="shared" si="398"/>
        <v>185</v>
      </c>
      <c r="DQ147" s="144">
        <f t="shared" si="399"/>
        <v>191.00660310641561</v>
      </c>
      <c r="DS147" s="144">
        <f t="shared" si="400"/>
        <v>185</v>
      </c>
      <c r="DT147" s="144">
        <f t="shared" si="401"/>
        <v>191.00660310641561</v>
      </c>
      <c r="DV147" s="5">
        <f t="shared" si="402"/>
        <v>5.2354210992531467</v>
      </c>
      <c r="DW147" s="5">
        <f t="shared" si="403"/>
        <v>2.5620145804855827</v>
      </c>
      <c r="DX147" s="5">
        <f t="shared" si="404"/>
        <v>2.673406518767564</v>
      </c>
      <c r="DY147" s="150">
        <f t="shared" si="405"/>
        <v>0.48936170212765961</v>
      </c>
      <c r="EA147" s="5">
        <f t="shared" si="406"/>
        <v>0.27880746905284282</v>
      </c>
      <c r="EB147" s="5">
        <f t="shared" si="407"/>
        <v>3.9497724782486063</v>
      </c>
      <c r="EC147" s="5">
        <f t="shared" si="408"/>
        <v>15.570117595414791</v>
      </c>
      <c r="ED147" s="5"/>
      <c r="EE147" s="150">
        <f t="shared" si="409"/>
        <v>6.2085074852401805</v>
      </c>
      <c r="EF147" s="150">
        <f t="shared" si="410"/>
        <v>0.29619413153498814</v>
      </c>
      <c r="EG147" s="150">
        <f t="shared" si="411"/>
        <v>0.28176555711278745</v>
      </c>
      <c r="EH147" s="150"/>
      <c r="EI147" s="456">
        <f t="shared" si="412"/>
        <v>0.13105492166056337</v>
      </c>
      <c r="EJ147" s="456">
        <f t="shared" si="413"/>
        <v>1.5731999999999997</v>
      </c>
      <c r="EK147" s="456">
        <f t="shared" si="414"/>
        <v>4.374051211136918E-2</v>
      </c>
      <c r="EL147" s="456">
        <f t="shared" si="415"/>
        <v>4.0644071239151168E-2</v>
      </c>
      <c r="EM147">
        <f t="shared" si="416"/>
        <v>4.0499999999999998E-3</v>
      </c>
      <c r="EN147" s="144">
        <f t="shared" si="417"/>
        <v>47.790512111369175</v>
      </c>
      <c r="EP147" s="144">
        <f t="shared" si="439"/>
        <v>1792.6895050110836</v>
      </c>
      <c r="EQ147" s="150">
        <f t="shared" si="418"/>
        <v>0.46250000000000002</v>
      </c>
      <c r="ER147" s="150">
        <f t="shared" si="475"/>
        <v>0.13134999999999999</v>
      </c>
      <c r="ES147" s="456"/>
      <c r="EU147" s="144">
        <f t="shared" si="420"/>
        <v>593.85</v>
      </c>
      <c r="EV147" s="456">
        <f t="shared" si="421"/>
        <v>5.7818347791425022E-2</v>
      </c>
      <c r="EW147" s="456">
        <f t="shared" si="422"/>
        <v>1.7546192711153173E-2</v>
      </c>
      <c r="EX147" s="456">
        <f t="shared" si="423"/>
        <v>2.3817548752523847E-3</v>
      </c>
      <c r="EY147" s="456">
        <f t="shared" si="424"/>
        <v>23.357323485002297</v>
      </c>
      <c r="EZ147" s="456"/>
      <c r="FA147" s="538">
        <f t="shared" si="425"/>
        <v>4.5135065375363027E-2</v>
      </c>
      <c r="FB147" s="144">
        <f t="shared" si="426"/>
        <v>23480.204845755492</v>
      </c>
      <c r="FC147" s="150">
        <f t="shared" si="427"/>
        <v>25.866744350766574</v>
      </c>
      <c r="FD147" s="5">
        <f t="shared" si="428"/>
        <v>33.67</v>
      </c>
      <c r="FE147" s="150">
        <f t="shared" si="429"/>
        <v>0.56553310677570634</v>
      </c>
      <c r="FF147" s="5">
        <f t="shared" si="430"/>
        <v>56.553310677570636</v>
      </c>
      <c r="FG147">
        <f t="shared" si="431"/>
        <v>37</v>
      </c>
      <c r="FI147" s="59">
        <f t="shared" si="432"/>
        <v>-50</v>
      </c>
      <c r="FJ147">
        <f t="shared" si="433"/>
        <v>-50</v>
      </c>
    </row>
    <row r="148" spans="5:166">
      <c r="E148" s="147">
        <v>38</v>
      </c>
      <c r="F148" s="188">
        <f t="shared" si="476"/>
        <v>0.19</v>
      </c>
      <c r="G148" s="188">
        <f t="shared" si="444"/>
        <v>0.19</v>
      </c>
      <c r="H148" s="188">
        <f t="shared" si="445"/>
        <v>32.299999999999997</v>
      </c>
      <c r="I148" s="188">
        <f t="shared" si="446"/>
        <v>2.2800000000000002</v>
      </c>
      <c r="J148" s="465">
        <f t="shared" si="447"/>
        <v>8.9524107588698474</v>
      </c>
      <c r="K148" s="379">
        <f t="shared" si="448"/>
        <v>8.653438548519663</v>
      </c>
      <c r="L148" s="149">
        <f t="shared" si="449"/>
        <v>17.605849307389512</v>
      </c>
      <c r="M148" s="379"/>
      <c r="N148" s="188">
        <f t="shared" si="450"/>
        <v>0.49150929315790798</v>
      </c>
      <c r="O148" s="149">
        <f t="shared" si="451"/>
        <v>137.00234877394377</v>
      </c>
      <c r="P148" s="149">
        <f t="shared" si="452"/>
        <v>9.6707540311019127</v>
      </c>
      <c r="Q148" s="188">
        <f t="shared" si="322"/>
        <v>0.80589616925849272</v>
      </c>
      <c r="R148" s="188">
        <f t="shared" si="453"/>
        <v>11.416862397828647</v>
      </c>
      <c r="S148" s="188">
        <f t="shared" si="454"/>
        <v>170</v>
      </c>
      <c r="T148" s="188">
        <f t="shared" si="455"/>
        <v>15.717492091222253</v>
      </c>
      <c r="U148" s="188">
        <f t="shared" si="326"/>
        <v>2.6335071939672305</v>
      </c>
      <c r="V148" s="188">
        <f t="shared" si="327"/>
        <v>2.7244936223492968</v>
      </c>
      <c r="W148" s="172">
        <f t="shared" si="328"/>
        <v>220.00965420756847</v>
      </c>
      <c r="X148" s="379">
        <f t="shared" si="435"/>
        <v>179.92080840728147</v>
      </c>
      <c r="Z148" s="188">
        <f t="shared" si="329"/>
        <v>13.333333333333334</v>
      </c>
      <c r="AA148" s="150">
        <f t="shared" si="330"/>
        <v>2.3112199720215716</v>
      </c>
      <c r="AB148" s="150">
        <f t="shared" si="456"/>
        <v>0.15832128235010193</v>
      </c>
      <c r="AC148" s="150"/>
      <c r="AD148" s="150">
        <f t="shared" si="332"/>
        <v>2.3112199720215716</v>
      </c>
      <c r="AE148" s="314">
        <f t="shared" si="457"/>
        <v>264.031680889244</v>
      </c>
      <c r="AF148" s="456">
        <f t="shared" si="458"/>
        <v>0.15832128235010193</v>
      </c>
      <c r="AH148" s="150">
        <f t="shared" si="459"/>
        <v>11.477514248883915</v>
      </c>
      <c r="AI148" s="150">
        <f t="shared" si="460"/>
        <v>15.717492091222253</v>
      </c>
      <c r="AJ148" s="150">
        <f t="shared" si="461"/>
        <v>2.9660435243621621</v>
      </c>
      <c r="AL148" s="314">
        <f t="shared" si="462"/>
        <v>190</v>
      </c>
      <c r="AM148" s="144">
        <f t="shared" si="463"/>
        <v>179.92080840728147</v>
      </c>
      <c r="AO148" s="144">
        <f t="shared" si="340"/>
        <v>190</v>
      </c>
      <c r="AP148" s="144">
        <f t="shared" si="341"/>
        <v>179.92080840728147</v>
      </c>
      <c r="AR148" s="5">
        <f t="shared" si="443"/>
        <v>5.558000816316528</v>
      </c>
      <c r="AS148" s="5">
        <f t="shared" si="440"/>
        <v>2.6335071939672305</v>
      </c>
      <c r="AT148" s="5">
        <f t="shared" si="441"/>
        <v>2.9244936223492974</v>
      </c>
      <c r="AU148" s="150">
        <f t="shared" si="442"/>
        <v>0.47382274328497553</v>
      </c>
      <c r="AW148" s="5">
        <f t="shared" si="342"/>
        <v>0.2943331569728081</v>
      </c>
      <c r="AX148" s="5">
        <f t="shared" si="343"/>
        <v>4.1697197237814487</v>
      </c>
      <c r="AY148" s="5">
        <f t="shared" si="344"/>
        <v>17.585792725959745</v>
      </c>
      <c r="AZ148" s="5"/>
      <c r="BA148" s="150">
        <f t="shared" si="345"/>
        <v>6.2464112603363589</v>
      </c>
      <c r="BB148" s="150">
        <f t="shared" si="346"/>
        <v>0.3074228872507534</v>
      </c>
      <c r="BC148" s="150">
        <f t="shared" si="347"/>
        <v>0.29244732380931049</v>
      </c>
      <c r="BD148" s="150"/>
      <c r="BE148" s="456">
        <f t="shared" si="348"/>
        <v>0.13266002235307331</v>
      </c>
      <c r="BF148" s="456">
        <f t="shared" si="464"/>
        <v>1.1924142084752889</v>
      </c>
      <c r="BG148" s="456">
        <f t="shared" si="465"/>
        <v>7.3771204126589746E-2</v>
      </c>
      <c r="BH148" s="456">
        <f t="shared" si="351"/>
        <v>3.8201984662059436E-2</v>
      </c>
      <c r="BI148">
        <f t="shared" si="352"/>
        <v>4.0285848414914312E-3</v>
      </c>
      <c r="BJ148" s="144">
        <f t="shared" si="436"/>
        <v>77.799788968081174</v>
      </c>
      <c r="BK148">
        <f t="shared" si="466"/>
        <v>1.4446291635473876</v>
      </c>
      <c r="BL148" s="144">
        <f t="shared" si="437"/>
        <v>1441.0760044585027</v>
      </c>
      <c r="BM148" s="150">
        <f t="shared" si="467"/>
        <v>0.42156249999999995</v>
      </c>
      <c r="BN148" s="150">
        <f t="shared" si="468"/>
        <v>0.42156249999999995</v>
      </c>
      <c r="BO148" s="456"/>
      <c r="BQ148" s="144">
        <f t="shared" si="356"/>
        <v>843.12499999999989</v>
      </c>
      <c r="BR148" s="456">
        <f t="shared" si="357"/>
        <v>5.8526480449885288E-2</v>
      </c>
      <c r="BS148" s="456">
        <f t="shared" si="358"/>
        <v>1.890176632111789E-2</v>
      </c>
      <c r="BT148" s="456">
        <f t="shared" si="359"/>
        <v>2.5657631160968314E-3</v>
      </c>
      <c r="BU148" s="456">
        <f t="shared" si="360"/>
        <v>21.263346433671543</v>
      </c>
      <c r="BV148" s="456"/>
      <c r="BW148" s="538">
        <f t="shared" si="469"/>
        <v>4.4447556918740326E-2</v>
      </c>
      <c r="BX148" s="144">
        <f t="shared" si="362"/>
        <v>21387.788000477383</v>
      </c>
      <c r="BY148" s="150">
        <f t="shared" si="363"/>
        <v>23.671989004935885</v>
      </c>
      <c r="BZ148" s="5">
        <f t="shared" si="364"/>
        <v>34.58</v>
      </c>
      <c r="CA148" s="150">
        <f t="shared" si="365"/>
        <v>0.59362779865027304</v>
      </c>
      <c r="CB148" s="5">
        <f t="shared" si="366"/>
        <v>59.362779865027306</v>
      </c>
      <c r="CC148">
        <f t="shared" si="367"/>
        <v>38</v>
      </c>
      <c r="CE148" s="59">
        <f t="shared" si="470"/>
        <v>-50</v>
      </c>
      <c r="CF148">
        <f t="shared" si="471"/>
        <v>-50</v>
      </c>
      <c r="CG148" s="150">
        <f t="shared" si="370"/>
        <v>0.49840675206849377</v>
      </c>
      <c r="CH148" s="150">
        <f t="shared" si="472"/>
        <v>0.1350568335034627</v>
      </c>
      <c r="CI148" s="147">
        <v>38</v>
      </c>
      <c r="CJ148" s="188">
        <f t="shared" si="438"/>
        <v>0.19</v>
      </c>
      <c r="CK148" s="188">
        <f t="shared" si="372"/>
        <v>0.19</v>
      </c>
      <c r="CL148" s="188">
        <f t="shared" si="373"/>
        <v>32.299999999999997</v>
      </c>
      <c r="CM148" s="188">
        <f t="shared" si="374"/>
        <v>2.2800000000000002</v>
      </c>
      <c r="CN148" s="465">
        <f t="shared" si="375"/>
        <v>9</v>
      </c>
      <c r="CO148" s="379">
        <f t="shared" si="473"/>
        <v>8.625</v>
      </c>
      <c r="CP148" s="379">
        <f t="shared" si="474"/>
        <v>17.625</v>
      </c>
      <c r="CQ148" s="379"/>
      <c r="CR148" s="188">
        <f t="shared" si="378"/>
        <v>0.48674080410607357</v>
      </c>
      <c r="CS148" s="149">
        <f t="shared" si="379"/>
        <v>136.39440115060304</v>
      </c>
      <c r="CT148" s="149">
        <f t="shared" si="380"/>
        <v>9.6278400812190377</v>
      </c>
      <c r="CU148" s="188">
        <f t="shared" si="381"/>
        <v>0.80232000676825321</v>
      </c>
      <c r="CV148" s="188">
        <f t="shared" si="382"/>
        <v>11.366200095883586</v>
      </c>
      <c r="CW148" s="188">
        <f t="shared" si="383"/>
        <v>170</v>
      </c>
      <c r="CX148" s="188">
        <f t="shared" si="384"/>
        <v>15.78754930677602</v>
      </c>
      <c r="CY148" s="188">
        <f t="shared" si="385"/>
        <v>2.6312582177960029</v>
      </c>
      <c r="CZ148" s="188">
        <f t="shared" si="386"/>
        <v>2.7456607490045251</v>
      </c>
      <c r="DA148" s="172">
        <f t="shared" si="387"/>
        <v>220.21276595744678</v>
      </c>
      <c r="DB148" s="379">
        <f t="shared" si="388"/>
        <v>185.98011355098367</v>
      </c>
      <c r="DD148" s="188">
        <f t="shared" si="389"/>
        <v>13.333333333333336</v>
      </c>
      <c r="DE148" s="150">
        <f t="shared" si="390"/>
        <v>2.3188405797101459</v>
      </c>
      <c r="DF148" s="150">
        <f t="shared" si="391"/>
        <v>0.15898994622398885</v>
      </c>
      <c r="DG148" s="150"/>
      <c r="DH148" s="150">
        <f t="shared" si="392"/>
        <v>2.3188405797101455</v>
      </c>
      <c r="DI148" s="314">
        <f t="shared" si="393"/>
        <v>263.1639705882352</v>
      </c>
      <c r="DJ148" s="456">
        <f t="shared" si="394"/>
        <v>0.15898994622398879</v>
      </c>
      <c r="DL148" s="150">
        <f t="shared" si="395"/>
        <v>11.477514248883915</v>
      </c>
      <c r="DM148" s="150">
        <f t="shared" si="396"/>
        <v>15.78754930677602</v>
      </c>
      <c r="DN148" s="150">
        <f t="shared" si="397"/>
        <v>3.0179377581056936</v>
      </c>
      <c r="DP148" s="314">
        <f t="shared" si="398"/>
        <v>190</v>
      </c>
      <c r="DQ148" s="144">
        <f t="shared" si="399"/>
        <v>185.98011355098367</v>
      </c>
      <c r="DS148" s="144">
        <f t="shared" si="400"/>
        <v>190</v>
      </c>
      <c r="DT148" s="144">
        <f t="shared" si="401"/>
        <v>185.98011355098367</v>
      </c>
      <c r="DV148" s="5">
        <f t="shared" si="402"/>
        <v>5.3769189668005284</v>
      </c>
      <c r="DW148" s="5">
        <f t="shared" si="403"/>
        <v>2.6312582177960029</v>
      </c>
      <c r="DX148" s="5">
        <f t="shared" si="404"/>
        <v>2.7456607490045255</v>
      </c>
      <c r="DY148" s="150">
        <f t="shared" si="405"/>
        <v>0.4893617021276595</v>
      </c>
      <c r="EA148" s="5">
        <f t="shared" si="406"/>
        <v>0.29408180081249446</v>
      </c>
      <c r="EB148" s="5">
        <f t="shared" si="407"/>
        <v>4.1661588448436708</v>
      </c>
      <c r="EC148" s="5">
        <f t="shared" si="408"/>
        <v>16.423118924601138</v>
      </c>
      <c r="ED148" s="5"/>
      <c r="EE148" s="150">
        <f t="shared" si="409"/>
        <v>6.3763049848412647</v>
      </c>
      <c r="EF148" s="150">
        <f t="shared" si="410"/>
        <v>0.30419937833323107</v>
      </c>
      <c r="EG148" s="150">
        <f t="shared" si="411"/>
        <v>0.2893808424401601</v>
      </c>
      <c r="EH148" s="150"/>
      <c r="EI148" s="456">
        <f t="shared" si="412"/>
        <v>0.13823470188301928</v>
      </c>
      <c r="EJ148" s="456">
        <f t="shared" si="413"/>
        <v>1.5732000000000004</v>
      </c>
      <c r="EK148" s="456">
        <f t="shared" si="414"/>
        <v>4.2589446003175262E-2</v>
      </c>
      <c r="EL148" s="456">
        <f t="shared" si="415"/>
        <v>3.9574490417068252E-2</v>
      </c>
      <c r="EM148">
        <f t="shared" si="416"/>
        <v>4.0499999999999998E-3</v>
      </c>
      <c r="EN148" s="144">
        <f t="shared" si="417"/>
        <v>46.639446003175259</v>
      </c>
      <c r="EP148" s="144">
        <f t="shared" si="439"/>
        <v>1797.6486383032632</v>
      </c>
      <c r="EQ148" s="150">
        <f t="shared" si="418"/>
        <v>0.47499999999999998</v>
      </c>
      <c r="ER148" s="150">
        <f t="shared" si="475"/>
        <v>0.13490000000000002</v>
      </c>
      <c r="ES148" s="456"/>
      <c r="EU148" s="144">
        <f t="shared" si="420"/>
        <v>609.9</v>
      </c>
      <c r="EV148" s="456">
        <f t="shared" si="421"/>
        <v>6.0985897889567341E-2</v>
      </c>
      <c r="EW148" s="456">
        <f t="shared" si="422"/>
        <v>1.8507452355664852E-2</v>
      </c>
      <c r="EX148" s="456">
        <f t="shared" si="423"/>
        <v>2.512238159141303E-3</v>
      </c>
      <c r="EY148" s="456">
        <f t="shared" si="424"/>
        <v>23.357323485002272</v>
      </c>
      <c r="EZ148" s="456"/>
      <c r="FA148" s="538">
        <f t="shared" si="425"/>
        <v>4.6354932007129604E-2</v>
      </c>
      <c r="FB148" s="144">
        <f t="shared" si="426"/>
        <v>23485.684005413776</v>
      </c>
      <c r="FC148" s="150">
        <f t="shared" si="427"/>
        <v>25.893232643717038</v>
      </c>
      <c r="FD148" s="5">
        <f t="shared" si="428"/>
        <v>34.58</v>
      </c>
      <c r="FE148" s="150">
        <f t="shared" si="429"/>
        <v>0.57182324291692621</v>
      </c>
      <c r="FF148" s="5">
        <f t="shared" si="430"/>
        <v>57.182324291692623</v>
      </c>
      <c r="FG148">
        <f t="shared" si="431"/>
        <v>38</v>
      </c>
      <c r="FI148" s="59">
        <f t="shared" si="432"/>
        <v>-50</v>
      </c>
      <c r="FJ148">
        <f t="shared" si="433"/>
        <v>-50</v>
      </c>
    </row>
    <row r="149" spans="5:166">
      <c r="E149" s="147">
        <v>39</v>
      </c>
      <c r="F149" s="188">
        <f t="shared" si="476"/>
        <v>0.19500000000000001</v>
      </c>
      <c r="G149" s="188">
        <f t="shared" si="444"/>
        <v>0.19500000000000001</v>
      </c>
      <c r="H149" s="188">
        <f t="shared" si="445"/>
        <v>33.15</v>
      </c>
      <c r="I149" s="188">
        <f t="shared" si="446"/>
        <v>2.34</v>
      </c>
      <c r="J149" s="465">
        <f t="shared" si="447"/>
        <v>8.9511584104190547</v>
      </c>
      <c r="K149" s="379">
        <f t="shared" si="448"/>
        <v>8.6541869313754418</v>
      </c>
      <c r="L149" s="149">
        <f t="shared" si="449"/>
        <v>17.605345341794497</v>
      </c>
      <c r="M149" s="379"/>
      <c r="N149" s="188">
        <f t="shared" si="450"/>
        <v>0.49156587180546202</v>
      </c>
      <c r="O149" s="149">
        <f t="shared" si="451"/>
        <v>136.99895199756304</v>
      </c>
      <c r="P149" s="149">
        <f t="shared" si="452"/>
        <v>9.670514258651508</v>
      </c>
      <c r="Q149" s="188">
        <f t="shared" si="322"/>
        <v>0.80587618822095908</v>
      </c>
      <c r="R149" s="188">
        <f t="shared" si="453"/>
        <v>11.416579333130253</v>
      </c>
      <c r="S149" s="188">
        <f t="shared" si="454"/>
        <v>170</v>
      </c>
      <c r="T149" s="188">
        <f t="shared" si="455"/>
        <v>16.131510261766906</v>
      </c>
      <c r="U149" s="188">
        <f t="shared" si="326"/>
        <v>2.703255185885773</v>
      </c>
      <c r="V149" s="188">
        <f t="shared" si="327"/>
        <v>2.7960183417027946</v>
      </c>
      <c r="W149" s="172">
        <f t="shared" si="328"/>
        <v>220.00419938432182</v>
      </c>
      <c r="X149" s="379">
        <f t="shared" si="435"/>
        <v>175.46095921862383</v>
      </c>
      <c r="Z149" s="188">
        <f t="shared" si="329"/>
        <v>13.333333333333334</v>
      </c>
      <c r="AA149" s="150">
        <f t="shared" si="330"/>
        <v>2.3110201060588054</v>
      </c>
      <c r="AB149" s="150">
        <f t="shared" si="456"/>
        <v>0.15830366628767667</v>
      </c>
      <c r="AC149" s="150"/>
      <c r="AD149" s="150">
        <f t="shared" si="332"/>
        <v>2.3110201060588054</v>
      </c>
      <c r="AE149" s="314">
        <f t="shared" si="457"/>
        <v>271.00331840692439</v>
      </c>
      <c r="AF149" s="456">
        <f t="shared" si="458"/>
        <v>0.15830366628767673</v>
      </c>
      <c r="AH149" s="150">
        <f t="shared" si="459"/>
        <v>11.627553482998906</v>
      </c>
      <c r="AI149" s="150">
        <f t="shared" si="460"/>
        <v>16.131510261766906</v>
      </c>
      <c r="AJ149" s="150">
        <f t="shared" si="461"/>
        <v>3.2727236506915345</v>
      </c>
      <c r="AL149" s="314">
        <f t="shared" si="462"/>
        <v>195</v>
      </c>
      <c r="AM149" s="144">
        <f t="shared" si="463"/>
        <v>175.46095921862383</v>
      </c>
      <c r="AO149" s="144">
        <f t="shared" si="340"/>
        <v>195</v>
      </c>
      <c r="AP149" s="144">
        <f t="shared" si="341"/>
        <v>175.46095921862383</v>
      </c>
      <c r="AR149" s="5">
        <f t="shared" si="443"/>
        <v>5.6992735275885682</v>
      </c>
      <c r="AS149" s="5">
        <f t="shared" si="440"/>
        <v>2.703255185885773</v>
      </c>
      <c r="AT149" s="5">
        <f t="shared" si="441"/>
        <v>2.9960183417027952</v>
      </c>
      <c r="AU149" s="150">
        <f t="shared" si="442"/>
        <v>0.47431574792823694</v>
      </c>
      <c r="AW149" s="5">
        <f t="shared" si="342"/>
        <v>0.3100792713221916</v>
      </c>
      <c r="AX149" s="5">
        <f t="shared" si="343"/>
        <v>4.3927896770643811</v>
      </c>
      <c r="AY149" s="5">
        <f t="shared" si="344"/>
        <v>18.492580042646125</v>
      </c>
      <c r="AZ149" s="5"/>
      <c r="BA149" s="150">
        <f t="shared" si="345"/>
        <v>6.4142838300603735</v>
      </c>
      <c r="BB149" s="150">
        <f t="shared" si="346"/>
        <v>0.31537293701689412</v>
      </c>
      <c r="BC149" s="150">
        <f t="shared" si="347"/>
        <v>0.30001010093059322</v>
      </c>
      <c r="BD149" s="150"/>
      <c r="BE149" s="456">
        <f t="shared" si="348"/>
        <v>0.1398863259787515</v>
      </c>
      <c r="BF149" s="456">
        <f t="shared" si="464"/>
        <v>1.1934537522469768</v>
      </c>
      <c r="BG149" s="456">
        <f t="shared" si="465"/>
        <v>7.1932510909097067E-2</v>
      </c>
      <c r="BH149" s="456">
        <f t="shared" si="351"/>
        <v>3.7252906958383313E-2</v>
      </c>
      <c r="BI149">
        <f t="shared" si="352"/>
        <v>4.0280212846885745E-3</v>
      </c>
      <c r="BJ149" s="144">
        <f t="shared" si="436"/>
        <v>75.960532193785639</v>
      </c>
      <c r="BK149">
        <f t="shared" si="466"/>
        <v>1.4567813209275682</v>
      </c>
      <c r="BL149" s="144">
        <f t="shared" si="437"/>
        <v>1446.5535173778974</v>
      </c>
      <c r="BM149" s="150">
        <f t="shared" si="467"/>
        <v>0.43265625000000002</v>
      </c>
      <c r="BN149" s="150">
        <f t="shared" si="468"/>
        <v>0.43265625000000002</v>
      </c>
      <c r="BO149" s="456"/>
      <c r="BQ149" s="144">
        <f t="shared" si="356"/>
        <v>865.3125</v>
      </c>
      <c r="BR149" s="456">
        <f t="shared" si="357"/>
        <v>6.1714555578860963E-2</v>
      </c>
      <c r="BS149" s="456">
        <f t="shared" si="358"/>
        <v>1.9892017880532374E-2</v>
      </c>
      <c r="BT149" s="456">
        <f t="shared" si="359"/>
        <v>2.7001818198115419E-3</v>
      </c>
      <c r="BU149" s="456">
        <f t="shared" si="360"/>
        <v>21.311245119938494</v>
      </c>
      <c r="BV149" s="456"/>
      <c r="BW149" s="538">
        <f t="shared" si="469"/>
        <v>4.5659437481954945E-2</v>
      </c>
      <c r="BX149" s="144">
        <f t="shared" si="362"/>
        <v>21441.211312699656</v>
      </c>
      <c r="BY149" s="150">
        <f t="shared" si="363"/>
        <v>23.753077330077552</v>
      </c>
      <c r="BZ149" s="5">
        <f t="shared" si="364"/>
        <v>35.489999999999995</v>
      </c>
      <c r="CA149" s="150">
        <f t="shared" si="365"/>
        <v>0.59905733461927746</v>
      </c>
      <c r="CB149" s="5">
        <f t="shared" si="366"/>
        <v>59.905733461927746</v>
      </c>
      <c r="CC149">
        <f t="shared" si="367"/>
        <v>39</v>
      </c>
      <c r="CE149" s="59">
        <f t="shared" si="470"/>
        <v>-50</v>
      </c>
      <c r="CF149">
        <f t="shared" si="471"/>
        <v>-50</v>
      </c>
      <c r="CG149" s="150">
        <f t="shared" si="370"/>
        <v>0.49840675206849377</v>
      </c>
      <c r="CH149" s="150">
        <f t="shared" si="472"/>
        <v>0.1350568335034627</v>
      </c>
      <c r="CI149" s="147">
        <v>39</v>
      </c>
      <c r="CJ149" s="188">
        <f t="shared" si="438"/>
        <v>0.19500000000000001</v>
      </c>
      <c r="CK149" s="188">
        <f t="shared" si="372"/>
        <v>0.19500000000000001</v>
      </c>
      <c r="CL149" s="188">
        <f t="shared" si="373"/>
        <v>33.15</v>
      </c>
      <c r="CM149" s="188">
        <f t="shared" si="374"/>
        <v>2.34</v>
      </c>
      <c r="CN149" s="465">
        <f t="shared" si="375"/>
        <v>9</v>
      </c>
      <c r="CO149" s="379">
        <f t="shared" si="473"/>
        <v>8.625</v>
      </c>
      <c r="CP149" s="379">
        <f t="shared" si="474"/>
        <v>17.625</v>
      </c>
      <c r="CQ149" s="379"/>
      <c r="CR149" s="188">
        <f t="shared" si="378"/>
        <v>0.48674080410607357</v>
      </c>
      <c r="CS149" s="149">
        <f t="shared" si="379"/>
        <v>136.39440115060304</v>
      </c>
      <c r="CT149" s="149">
        <f t="shared" si="380"/>
        <v>9.6278400812190377</v>
      </c>
      <c r="CU149" s="188">
        <f t="shared" si="381"/>
        <v>0.80232000676825321</v>
      </c>
      <c r="CV149" s="188">
        <f t="shared" si="382"/>
        <v>11.366200095883586</v>
      </c>
      <c r="CW149" s="188">
        <f t="shared" si="383"/>
        <v>170</v>
      </c>
      <c r="CX149" s="188">
        <f t="shared" si="384"/>
        <v>16.203011130638544</v>
      </c>
      <c r="CY149" s="188">
        <f t="shared" si="385"/>
        <v>2.7005018551064239</v>
      </c>
      <c r="CZ149" s="188">
        <f t="shared" si="386"/>
        <v>2.8179149792414857</v>
      </c>
      <c r="DA149" s="172">
        <f t="shared" si="387"/>
        <v>220.21276595744678</v>
      </c>
      <c r="DB149" s="379">
        <f t="shared" si="388"/>
        <v>181.21139269070204</v>
      </c>
      <c r="DD149" s="188">
        <f t="shared" si="389"/>
        <v>13.333333333333336</v>
      </c>
      <c r="DE149" s="150">
        <f t="shared" si="390"/>
        <v>2.3188405797101459</v>
      </c>
      <c r="DF149" s="150">
        <f t="shared" si="391"/>
        <v>0.15898994622398885</v>
      </c>
      <c r="DG149" s="150"/>
      <c r="DH149" s="150">
        <f t="shared" si="392"/>
        <v>2.3188405797101455</v>
      </c>
      <c r="DI149" s="314">
        <f t="shared" si="393"/>
        <v>270.08933823529401</v>
      </c>
      <c r="DJ149" s="456">
        <f t="shared" si="394"/>
        <v>0.15898994622398879</v>
      </c>
      <c r="DL149" s="150">
        <f t="shared" si="395"/>
        <v>11.627553482998906</v>
      </c>
      <c r="DM149" s="150">
        <f t="shared" si="396"/>
        <v>16.203011130638544</v>
      </c>
      <c r="DN149" s="150">
        <f t="shared" si="397"/>
        <v>3.3256872572631178</v>
      </c>
      <c r="DP149" s="314">
        <f t="shared" si="398"/>
        <v>195</v>
      </c>
      <c r="DQ149" s="144">
        <f t="shared" si="399"/>
        <v>181.21139269070204</v>
      </c>
      <c r="DS149" s="144">
        <f t="shared" si="400"/>
        <v>195</v>
      </c>
      <c r="DT149" s="144">
        <f t="shared" si="401"/>
        <v>181.21139269070204</v>
      </c>
      <c r="DV149" s="5">
        <f t="shared" si="402"/>
        <v>5.5184168343479101</v>
      </c>
      <c r="DW149" s="5">
        <f t="shared" si="403"/>
        <v>2.7005018551064239</v>
      </c>
      <c r="DX149" s="5">
        <f t="shared" si="404"/>
        <v>2.8179149792414862</v>
      </c>
      <c r="DY149" s="150">
        <f t="shared" si="405"/>
        <v>0.48936170212765956</v>
      </c>
      <c r="EA149" s="5">
        <f t="shared" si="406"/>
        <v>0.30976344808573691</v>
      </c>
      <c r="EB149" s="5">
        <f t="shared" si="407"/>
        <v>4.3883155145479389</v>
      </c>
      <c r="EC149" s="5">
        <f t="shared" si="408"/>
        <v>17.298866955899122</v>
      </c>
      <c r="ED149" s="5"/>
      <c r="EE149" s="150">
        <f t="shared" si="409"/>
        <v>6.5441024844423499</v>
      </c>
      <c r="EF149" s="150">
        <f t="shared" si="410"/>
        <v>0.31220462513147396</v>
      </c>
      <c r="EG149" s="150">
        <f t="shared" si="411"/>
        <v>0.29699612776753265</v>
      </c>
      <c r="EH149" s="150"/>
      <c r="EI149" s="456">
        <f t="shared" si="412"/>
        <v>0.14560594291140741</v>
      </c>
      <c r="EJ149" s="456">
        <f t="shared" si="413"/>
        <v>1.5732000000000002</v>
      </c>
      <c r="EK149" s="456">
        <f t="shared" si="414"/>
        <v>4.1497408926170772E-2</v>
      </c>
      <c r="EL149" s="456">
        <f t="shared" si="415"/>
        <v>3.8559759893553681E-2</v>
      </c>
      <c r="EM149">
        <f t="shared" si="416"/>
        <v>4.0499999999999998E-3</v>
      </c>
      <c r="EN149" s="144">
        <f t="shared" si="417"/>
        <v>45.547408926170768</v>
      </c>
      <c r="EP149" s="144">
        <f t="shared" si="439"/>
        <v>1802.9131117311322</v>
      </c>
      <c r="EQ149" s="150">
        <f t="shared" si="418"/>
        <v>0.48750000000000004</v>
      </c>
      <c r="ER149" s="150">
        <f t="shared" si="475"/>
        <v>0.13845000000000002</v>
      </c>
      <c r="ES149" s="456"/>
      <c r="EU149" s="144">
        <f t="shared" si="420"/>
        <v>625.95000000000005</v>
      </c>
      <c r="EV149" s="456">
        <f t="shared" si="421"/>
        <v>6.4237915990326813E-2</v>
      </c>
      <c r="EW149" s="456">
        <f t="shared" si="422"/>
        <v>1.9494345590696835E-2</v>
      </c>
      <c r="EX149" s="456">
        <f t="shared" si="423"/>
        <v>2.6462009972672571E-3</v>
      </c>
      <c r="EY149" s="456">
        <f t="shared" si="424"/>
        <v>23.357323485002254</v>
      </c>
      <c r="EZ149" s="456"/>
      <c r="FA149" s="538">
        <f t="shared" si="425"/>
        <v>4.7574798638896146E-2</v>
      </c>
      <c r="FB149" s="144">
        <f t="shared" si="426"/>
        <v>23491.276746219442</v>
      </c>
      <c r="FC149" s="150">
        <f t="shared" si="427"/>
        <v>25.920139857950574</v>
      </c>
      <c r="FD149" s="5">
        <f t="shared" si="428"/>
        <v>35.489999999999995</v>
      </c>
      <c r="FE149" s="150">
        <f t="shared" si="429"/>
        <v>0.57791758953965677</v>
      </c>
      <c r="FF149" s="5">
        <f t="shared" si="430"/>
        <v>57.791758953965676</v>
      </c>
      <c r="FG149">
        <f t="shared" si="431"/>
        <v>39</v>
      </c>
      <c r="FI149" s="59">
        <f t="shared" si="432"/>
        <v>-50</v>
      </c>
      <c r="FJ149">
        <f t="shared" si="433"/>
        <v>-50</v>
      </c>
    </row>
    <row r="150" spans="5:166">
      <c r="E150" s="147">
        <v>40</v>
      </c>
      <c r="F150" s="188">
        <f t="shared" si="476"/>
        <v>0.2</v>
      </c>
      <c r="G150" s="188">
        <f t="shared" si="444"/>
        <v>0.2</v>
      </c>
      <c r="H150" s="188">
        <f t="shared" si="445"/>
        <v>34</v>
      </c>
      <c r="I150" s="188">
        <f t="shared" si="446"/>
        <v>2.4000000000000004</v>
      </c>
      <c r="J150" s="465">
        <f t="shared" si="447"/>
        <v>8.9499060619682602</v>
      </c>
      <c r="K150" s="379">
        <f t="shared" si="448"/>
        <v>8.6549353142312224</v>
      </c>
      <c r="L150" s="149">
        <f t="shared" si="449"/>
        <v>17.604841376199481</v>
      </c>
      <c r="M150" s="379"/>
      <c r="N150" s="188">
        <f t="shared" si="450"/>
        <v>0.49162245369231738</v>
      </c>
      <c r="O150" s="149">
        <f t="shared" si="451"/>
        <v>136.9955517115566</v>
      </c>
      <c r="P150" s="149">
        <f t="shared" si="452"/>
        <v>9.6702742384628184</v>
      </c>
      <c r="Q150" s="188">
        <f t="shared" si="322"/>
        <v>0.80585618653856828</v>
      </c>
      <c r="R150" s="188">
        <f t="shared" si="453"/>
        <v>11.416295975963051</v>
      </c>
      <c r="S150" s="188">
        <f t="shared" si="454"/>
        <v>170</v>
      </c>
      <c r="T150" s="188">
        <f t="shared" si="455"/>
        <v>16.54554938717369</v>
      </c>
      <c r="U150" s="188">
        <f t="shared" si="326"/>
        <v>2.7730262093167148</v>
      </c>
      <c r="V150" s="188">
        <f t="shared" si="327"/>
        <v>2.867534323445724</v>
      </c>
      <c r="W150" s="172">
        <f t="shared" si="328"/>
        <v>219.99873892502904</v>
      </c>
      <c r="X150" s="379">
        <f t="shared" si="435"/>
        <v>171.21644307777169</v>
      </c>
      <c r="Z150" s="188">
        <f t="shared" si="329"/>
        <v>13.333333333333332</v>
      </c>
      <c r="AA150" s="150">
        <f t="shared" si="330"/>
        <v>2.3108202746604238</v>
      </c>
      <c r="AB150" s="150">
        <f t="shared" si="456"/>
        <v>0.15828604921667772</v>
      </c>
      <c r="AC150" s="150"/>
      <c r="AD150" s="150">
        <f t="shared" si="332"/>
        <v>2.3108202746604243</v>
      </c>
      <c r="AE150" s="314">
        <f t="shared" si="457"/>
        <v>277.97615773942636</v>
      </c>
      <c r="AF150" s="456">
        <f t="shared" si="458"/>
        <v>0.15828604921667774</v>
      </c>
      <c r="AH150" s="150">
        <f t="shared" si="459"/>
        <v>11.775681155103795</v>
      </c>
      <c r="AI150" s="150">
        <f t="shared" si="460"/>
        <v>16.54554938717369</v>
      </c>
      <c r="AJ150" s="150">
        <f t="shared" si="461"/>
        <v>3.5794192991410041</v>
      </c>
      <c r="AL150" s="314">
        <f t="shared" si="462"/>
        <v>200</v>
      </c>
      <c r="AM150" s="144">
        <f t="shared" si="463"/>
        <v>171.21644307777169</v>
      </c>
      <c r="AO150" s="144">
        <f t="shared" si="340"/>
        <v>200</v>
      </c>
      <c r="AP150" s="144">
        <f t="shared" si="341"/>
        <v>171.21644307777169</v>
      </c>
      <c r="AR150" s="5">
        <f t="shared" si="443"/>
        <v>5.8405605327624395</v>
      </c>
      <c r="AS150" s="5">
        <f t="shared" si="440"/>
        <v>2.7730262093167148</v>
      </c>
      <c r="AT150" s="5">
        <f t="shared" si="441"/>
        <v>3.0675343234457246</v>
      </c>
      <c r="AU150" s="150">
        <f t="shared" si="442"/>
        <v>0.47478768412064426</v>
      </c>
      <c r="AW150" s="5">
        <f t="shared" si="342"/>
        <v>0.3262383775666724</v>
      </c>
      <c r="AX150" s="5">
        <f t="shared" si="343"/>
        <v>4.6217103488611917</v>
      </c>
      <c r="AY150" s="5">
        <f t="shared" si="344"/>
        <v>19.422208880372288</v>
      </c>
      <c r="AZ150" s="5"/>
      <c r="BA150" s="150">
        <f t="shared" si="345"/>
        <v>6.5821880751930344</v>
      </c>
      <c r="BB150" s="150">
        <f t="shared" si="346"/>
        <v>0.32332222095212515</v>
      </c>
      <c r="BC150" s="150">
        <f t="shared" si="347"/>
        <v>0.30757214952706757</v>
      </c>
      <c r="BD150" s="150"/>
      <c r="BE150" s="456">
        <f t="shared" si="348"/>
        <v>0.1473056795145255</v>
      </c>
      <c r="BF150" s="456">
        <f t="shared" si="464"/>
        <v>1.1944398848164468</v>
      </c>
      <c r="BG150" s="456">
        <f t="shared" si="465"/>
        <v>7.0182595546915971E-2</v>
      </c>
      <c r="BH150" s="456">
        <f t="shared" si="351"/>
        <v>3.6349653449815507E-2</v>
      </c>
      <c r="BI150">
        <f t="shared" si="352"/>
        <v>4.0274577278857169E-3</v>
      </c>
      <c r="BJ150" s="144">
        <f t="shared" si="436"/>
        <v>74.210053274801695</v>
      </c>
      <c r="BK150">
        <f t="shared" si="466"/>
        <v>1.4692927468038623</v>
      </c>
      <c r="BL150" s="144">
        <f t="shared" si="437"/>
        <v>1452.3052710555896</v>
      </c>
      <c r="BM150" s="150">
        <f t="shared" si="467"/>
        <v>0.44374999999999998</v>
      </c>
      <c r="BN150" s="150">
        <f t="shared" si="468"/>
        <v>0.44374999999999998</v>
      </c>
      <c r="BO150" s="456"/>
      <c r="BQ150" s="144">
        <f t="shared" si="356"/>
        <v>887.5</v>
      </c>
      <c r="BR150" s="456">
        <f t="shared" si="357"/>
        <v>6.4987799785820075E-2</v>
      </c>
      <c r="BS150" s="456">
        <f t="shared" si="358"/>
        <v>2.0907451712282969E-2</v>
      </c>
      <c r="BT150" s="456">
        <f t="shared" si="359"/>
        <v>2.8380188149410243E-3</v>
      </c>
      <c r="BU150" s="456">
        <f t="shared" si="360"/>
        <v>21.35682364749546</v>
      </c>
      <c r="BV150" s="456"/>
      <c r="BW150" s="538">
        <f t="shared" si="469"/>
        <v>4.6871392392525094E-2</v>
      </c>
      <c r="BX150" s="144">
        <f t="shared" si="362"/>
        <v>21492.428310201027</v>
      </c>
      <c r="BY150" s="150">
        <f t="shared" si="363"/>
        <v>23.83223358125662</v>
      </c>
      <c r="BZ150" s="5">
        <f t="shared" si="364"/>
        <v>36.4</v>
      </c>
      <c r="CA150" s="150">
        <f t="shared" si="365"/>
        <v>0.60432758069471859</v>
      </c>
      <c r="CB150" s="5">
        <f t="shared" si="366"/>
        <v>60.432758069471859</v>
      </c>
      <c r="CC150">
        <f t="shared" si="367"/>
        <v>40</v>
      </c>
      <c r="CE150" s="59">
        <f t="shared" si="470"/>
        <v>-50</v>
      </c>
      <c r="CF150">
        <f t="shared" si="471"/>
        <v>-50</v>
      </c>
      <c r="CG150" s="150">
        <f t="shared" si="370"/>
        <v>0.49840675206849377</v>
      </c>
      <c r="CH150" s="150">
        <f t="shared" si="472"/>
        <v>0.1350568335034627</v>
      </c>
      <c r="CI150" s="147">
        <v>40</v>
      </c>
      <c r="CJ150" s="188">
        <f t="shared" si="438"/>
        <v>0.2</v>
      </c>
      <c r="CK150" s="188">
        <f t="shared" si="372"/>
        <v>0.2</v>
      </c>
      <c r="CL150" s="188">
        <f t="shared" si="373"/>
        <v>34</v>
      </c>
      <c r="CM150" s="188">
        <f t="shared" si="374"/>
        <v>2.4000000000000004</v>
      </c>
      <c r="CN150" s="465">
        <f t="shared" si="375"/>
        <v>9</v>
      </c>
      <c r="CO150" s="379">
        <f t="shared" si="473"/>
        <v>8.625</v>
      </c>
      <c r="CP150" s="379">
        <f t="shared" si="474"/>
        <v>17.625</v>
      </c>
      <c r="CQ150" s="379"/>
      <c r="CR150" s="188">
        <f t="shared" si="378"/>
        <v>0.48674080410607357</v>
      </c>
      <c r="CS150" s="149">
        <f t="shared" si="379"/>
        <v>136.39440115060304</v>
      </c>
      <c r="CT150" s="149">
        <f t="shared" si="380"/>
        <v>9.6278400812190377</v>
      </c>
      <c r="CU150" s="188">
        <f t="shared" si="381"/>
        <v>0.80232000676825321</v>
      </c>
      <c r="CV150" s="188">
        <f t="shared" si="382"/>
        <v>11.366200095883586</v>
      </c>
      <c r="CW150" s="188">
        <f t="shared" si="383"/>
        <v>170</v>
      </c>
      <c r="CX150" s="188">
        <f t="shared" si="384"/>
        <v>16.618472954501073</v>
      </c>
      <c r="CY150" s="188">
        <f t="shared" si="385"/>
        <v>2.7697454924168454</v>
      </c>
      <c r="CZ150" s="188">
        <f t="shared" si="386"/>
        <v>2.8901692094784472</v>
      </c>
      <c r="DA150" s="172">
        <f t="shared" si="387"/>
        <v>220.21276595744678</v>
      </c>
      <c r="DB150" s="379">
        <f t="shared" si="388"/>
        <v>176.68110787343448</v>
      </c>
      <c r="DD150" s="188">
        <f t="shared" si="389"/>
        <v>13.333333333333336</v>
      </c>
      <c r="DE150" s="150">
        <f t="shared" si="390"/>
        <v>2.3188405797101459</v>
      </c>
      <c r="DF150" s="150">
        <f t="shared" si="391"/>
        <v>0.15898994622398885</v>
      </c>
      <c r="DG150" s="150"/>
      <c r="DH150" s="150">
        <f t="shared" si="392"/>
        <v>2.3188405797101455</v>
      </c>
      <c r="DI150" s="314">
        <f t="shared" si="393"/>
        <v>277.01470588235281</v>
      </c>
      <c r="DJ150" s="456">
        <f t="shared" si="394"/>
        <v>0.15898994622398879</v>
      </c>
      <c r="DL150" s="150">
        <f t="shared" si="395"/>
        <v>11.775681155103795</v>
      </c>
      <c r="DM150" s="150">
        <f t="shared" si="396"/>
        <v>16.618472954501073</v>
      </c>
      <c r="DN150" s="150">
        <f t="shared" si="397"/>
        <v>3.6334367564205472</v>
      </c>
      <c r="DP150" s="314">
        <f t="shared" si="398"/>
        <v>200</v>
      </c>
      <c r="DQ150" s="144">
        <f t="shared" si="399"/>
        <v>176.68110787343448</v>
      </c>
      <c r="DS150" s="144">
        <f t="shared" si="400"/>
        <v>200</v>
      </c>
      <c r="DT150" s="144">
        <f t="shared" si="401"/>
        <v>176.68110787343448</v>
      </c>
      <c r="DV150" s="5">
        <f t="shared" si="402"/>
        <v>5.6599147018952927</v>
      </c>
      <c r="DW150" s="5">
        <f t="shared" si="403"/>
        <v>2.7697454924168454</v>
      </c>
      <c r="DX150" s="5">
        <f t="shared" si="404"/>
        <v>2.8901692094784472</v>
      </c>
      <c r="DY150" s="150">
        <f t="shared" si="405"/>
        <v>0.48936170212765961</v>
      </c>
      <c r="EA150" s="5">
        <f t="shared" si="406"/>
        <v>0.32585241087257011</v>
      </c>
      <c r="EB150" s="5">
        <f t="shared" si="407"/>
        <v>4.6162424873614096</v>
      </c>
      <c r="EC150" s="5">
        <f t="shared" si="408"/>
        <v>18.197361689308739</v>
      </c>
      <c r="ED150" s="5"/>
      <c r="EE150" s="150">
        <f t="shared" si="409"/>
        <v>6.7118999840434377</v>
      </c>
      <c r="EF150" s="150">
        <f t="shared" si="410"/>
        <v>0.32020987192971684</v>
      </c>
      <c r="EG150" s="150">
        <f t="shared" si="411"/>
        <v>0.3046114130949053</v>
      </c>
      <c r="EH150" s="150"/>
      <c r="EI150" s="456">
        <f t="shared" si="412"/>
        <v>0.15316864474572781</v>
      </c>
      <c r="EJ150" s="456">
        <f t="shared" si="413"/>
        <v>1.5732000000000004</v>
      </c>
      <c r="EK150" s="456">
        <f t="shared" si="414"/>
        <v>4.0459973703016495E-2</v>
      </c>
      <c r="EL150" s="456">
        <f t="shared" si="415"/>
        <v>3.7595765896214842E-2</v>
      </c>
      <c r="EM150">
        <f t="shared" si="416"/>
        <v>4.0499999999999998E-3</v>
      </c>
      <c r="EN150" s="144">
        <f t="shared" si="417"/>
        <v>44.509973703016492</v>
      </c>
      <c r="EP150" s="144">
        <f t="shared" si="439"/>
        <v>1808.4743843449598</v>
      </c>
      <c r="EQ150" s="150">
        <f t="shared" si="418"/>
        <v>0.5</v>
      </c>
      <c r="ER150" s="150">
        <f t="shared" si="475"/>
        <v>0.14200000000000002</v>
      </c>
      <c r="ES150" s="456"/>
      <c r="EU150" s="144">
        <f t="shared" si="420"/>
        <v>642</v>
      </c>
      <c r="EV150" s="456">
        <f t="shared" si="421"/>
        <v>6.7574402093703453E-2</v>
      </c>
      <c r="EW150" s="456">
        <f t="shared" si="422"/>
        <v>2.0506872416249131E-2</v>
      </c>
      <c r="EX150" s="456">
        <f t="shared" si="423"/>
        <v>2.7836433896302514E-3</v>
      </c>
      <c r="EY150" s="456">
        <f t="shared" si="424"/>
        <v>23.357323485002297</v>
      </c>
      <c r="EZ150" s="456"/>
      <c r="FA150" s="538">
        <f t="shared" si="425"/>
        <v>4.8794665270662722E-2</v>
      </c>
      <c r="FB150" s="144">
        <f t="shared" si="426"/>
        <v>23496.983068172543</v>
      </c>
      <c r="FC150" s="150">
        <f t="shared" si="427"/>
        <v>25.947457452517501</v>
      </c>
      <c r="FD150" s="5">
        <f t="shared" si="428"/>
        <v>36.4</v>
      </c>
      <c r="FE150" s="150">
        <f t="shared" si="429"/>
        <v>0.58382493027436544</v>
      </c>
      <c r="FF150" s="5">
        <f t="shared" si="430"/>
        <v>58.382493027436546</v>
      </c>
      <c r="FG150">
        <f t="shared" si="431"/>
        <v>40</v>
      </c>
      <c r="FI150" s="59">
        <f t="shared" si="432"/>
        <v>-50</v>
      </c>
      <c r="FJ150">
        <f t="shared" si="433"/>
        <v>-50</v>
      </c>
    </row>
    <row r="151" spans="5:166">
      <c r="E151" s="147">
        <v>41</v>
      </c>
      <c r="F151" s="188">
        <f t="shared" si="476"/>
        <v>0.20499999999999999</v>
      </c>
      <c r="G151" s="188">
        <f t="shared" si="444"/>
        <v>0.20499999999999999</v>
      </c>
      <c r="H151" s="188">
        <f t="shared" si="445"/>
        <v>34.85</v>
      </c>
      <c r="I151" s="188">
        <f t="shared" si="446"/>
        <v>2.46</v>
      </c>
      <c r="J151" s="465">
        <f t="shared" si="447"/>
        <v>8.9486537135174675</v>
      </c>
      <c r="K151" s="379">
        <f t="shared" si="448"/>
        <v>8.6556836970870048</v>
      </c>
      <c r="L151" s="149">
        <f t="shared" si="449"/>
        <v>17.604337410604472</v>
      </c>
      <c r="M151" s="379"/>
      <c r="N151" s="188">
        <f t="shared" si="450"/>
        <v>0.49167903881875202</v>
      </c>
      <c r="O151" s="149">
        <f t="shared" si="451"/>
        <v>136.99214791562295</v>
      </c>
      <c r="P151" s="149">
        <f t="shared" si="452"/>
        <v>9.6700339705145595</v>
      </c>
      <c r="Q151" s="188">
        <f t="shared" si="322"/>
        <v>0.80583616420954673</v>
      </c>
      <c r="R151" s="188">
        <f t="shared" si="453"/>
        <v>11.416012326301912</v>
      </c>
      <c r="S151" s="188">
        <f t="shared" si="454"/>
        <v>170</v>
      </c>
      <c r="T151" s="188">
        <f t="shared" si="455"/>
        <v>16.95960950086231</v>
      </c>
      <c r="U151" s="188">
        <f t="shared" si="326"/>
        <v>2.8428202795316277</v>
      </c>
      <c r="V151" s="188">
        <f t="shared" si="327"/>
        <v>2.9390415756360042</v>
      </c>
      <c r="W151" s="172">
        <f t="shared" si="328"/>
        <v>219.99327282920623</v>
      </c>
      <c r="X151" s="379">
        <f t="shared" si="435"/>
        <v>167.17203175397916</v>
      </c>
      <c r="Z151" s="188">
        <f t="shared" si="329"/>
        <v>13.333333333333334</v>
      </c>
      <c r="AA151" s="150">
        <f t="shared" si="330"/>
        <v>2.310620477817463</v>
      </c>
      <c r="AB151" s="150">
        <f t="shared" si="456"/>
        <v>0.15826843113701863</v>
      </c>
      <c r="AC151" s="150"/>
      <c r="AD151" s="150">
        <f t="shared" si="332"/>
        <v>2.310620477817463</v>
      </c>
      <c r="AE151" s="314">
        <f t="shared" si="457"/>
        <v>284.95019888674949</v>
      </c>
      <c r="AF151" s="456">
        <f t="shared" si="458"/>
        <v>0.15826843113701863</v>
      </c>
      <c r="AH151" s="150">
        <f t="shared" si="459"/>
        <v>11.921968517544967</v>
      </c>
      <c r="AI151" s="150">
        <f t="shared" si="460"/>
        <v>16.95960950086231</v>
      </c>
      <c r="AJ151" s="150">
        <f t="shared" si="461"/>
        <v>3.8861304944659087</v>
      </c>
      <c r="AL151" s="314">
        <f t="shared" si="462"/>
        <v>205</v>
      </c>
      <c r="AM151" s="144">
        <f t="shared" si="463"/>
        <v>167.17203175397916</v>
      </c>
      <c r="AO151" s="144">
        <f t="shared" si="340"/>
        <v>205</v>
      </c>
      <c r="AP151" s="144">
        <f t="shared" si="341"/>
        <v>167.17203175397916</v>
      </c>
      <c r="AR151" s="5">
        <f t="shared" si="443"/>
        <v>5.9818618551676321</v>
      </c>
      <c r="AS151" s="5">
        <f t="shared" si="440"/>
        <v>2.8428202795316277</v>
      </c>
      <c r="AT151" s="5">
        <f t="shared" si="441"/>
        <v>3.1390415756360044</v>
      </c>
      <c r="AU151" s="150">
        <f t="shared" si="442"/>
        <v>0.47524004204071713</v>
      </c>
      <c r="AW151" s="5">
        <f t="shared" si="342"/>
        <v>0.34281068076704924</v>
      </c>
      <c r="AX151" s="5">
        <f t="shared" si="343"/>
        <v>4.8564846441998641</v>
      </c>
      <c r="AY151" s="5">
        <f t="shared" si="344"/>
        <v>20.374684731564006</v>
      </c>
      <c r="AZ151" s="5"/>
      <c r="BA151" s="150">
        <f t="shared" si="345"/>
        <v>6.7501237333718453</v>
      </c>
      <c r="BB151" s="150">
        <f t="shared" si="346"/>
        <v>0.33127075916401605</v>
      </c>
      <c r="BC151" s="150">
        <f t="shared" si="347"/>
        <v>0.31513348872679842</v>
      </c>
      <c r="BD151" s="150"/>
      <c r="BE151" s="456">
        <f t="shared" si="348"/>
        <v>0.15491817941382149</v>
      </c>
      <c r="BF151" s="456">
        <f t="shared" si="464"/>
        <v>1.1953763812765141</v>
      </c>
      <c r="BG151" s="456">
        <f t="shared" si="465"/>
        <v>6.8515179722018954E-2</v>
      </c>
      <c r="BH151" s="456">
        <f t="shared" si="351"/>
        <v>3.5488983475620663E-2</v>
      </c>
      <c r="BI151">
        <f t="shared" si="352"/>
        <v>4.0268941710828602E-3</v>
      </c>
      <c r="BJ151" s="144">
        <f t="shared" si="436"/>
        <v>72.542073893101815</v>
      </c>
      <c r="BK151">
        <f t="shared" si="466"/>
        <v>1.4821679185198751</v>
      </c>
      <c r="BL151" s="144">
        <f t="shared" si="437"/>
        <v>1458.3256180590581</v>
      </c>
      <c r="BM151" s="150">
        <f t="shared" si="467"/>
        <v>0.45484374999999994</v>
      </c>
      <c r="BN151" s="150">
        <f t="shared" si="468"/>
        <v>0.45484374999999994</v>
      </c>
      <c r="BO151" s="456"/>
      <c r="BQ151" s="144">
        <f t="shared" si="356"/>
        <v>909.68749999999989</v>
      </c>
      <c r="BR151" s="456">
        <f t="shared" si="357"/>
        <v>6.8346255623744787E-2</v>
      </c>
      <c r="BS151" s="456">
        <f t="shared" si="358"/>
        <v>2.1948063175420706E-2</v>
      </c>
      <c r="BT151" s="456">
        <f t="shared" si="359"/>
        <v>2.9792734715136954E-3</v>
      </c>
      <c r="BU151" s="456">
        <f t="shared" si="360"/>
        <v>21.400241630207123</v>
      </c>
      <c r="BV151" s="456"/>
      <c r="BW151" s="538">
        <f t="shared" si="469"/>
        <v>4.8083416398735743E-2</v>
      </c>
      <c r="BX151" s="144">
        <f t="shared" si="362"/>
        <v>21541.598638876541</v>
      </c>
      <c r="BY151" s="150">
        <f t="shared" si="363"/>
        <v>23.909611756935597</v>
      </c>
      <c r="BZ151" s="5">
        <f t="shared" si="364"/>
        <v>37.31</v>
      </c>
      <c r="CA151" s="150">
        <f t="shared" si="365"/>
        <v>0.60944522399348822</v>
      </c>
      <c r="CB151" s="5">
        <f t="shared" si="366"/>
        <v>60.94452239934882</v>
      </c>
      <c r="CC151">
        <f t="shared" si="367"/>
        <v>41</v>
      </c>
      <c r="CE151" s="59">
        <f t="shared" si="470"/>
        <v>-50</v>
      </c>
      <c r="CF151">
        <f t="shared" si="471"/>
        <v>-50</v>
      </c>
      <c r="CG151" s="150">
        <f t="shared" si="370"/>
        <v>0.49840675206849377</v>
      </c>
      <c r="CH151" s="150">
        <f t="shared" si="472"/>
        <v>0.1350568335034627</v>
      </c>
      <c r="CI151" s="147">
        <v>41</v>
      </c>
      <c r="CJ151" s="188">
        <f t="shared" si="438"/>
        <v>0.20499999999999999</v>
      </c>
      <c r="CK151" s="188">
        <f t="shared" si="372"/>
        <v>0.20499999999999999</v>
      </c>
      <c r="CL151" s="188">
        <f t="shared" si="373"/>
        <v>34.85</v>
      </c>
      <c r="CM151" s="188">
        <f t="shared" si="374"/>
        <v>2.46</v>
      </c>
      <c r="CN151" s="465">
        <f t="shared" si="375"/>
        <v>9</v>
      </c>
      <c r="CO151" s="379">
        <f t="shared" si="473"/>
        <v>8.625</v>
      </c>
      <c r="CP151" s="379">
        <f t="shared" si="474"/>
        <v>17.625</v>
      </c>
      <c r="CQ151" s="379"/>
      <c r="CR151" s="188">
        <f t="shared" si="378"/>
        <v>0.48674080410607357</v>
      </c>
      <c r="CS151" s="149">
        <f t="shared" si="379"/>
        <v>136.39440115060304</v>
      </c>
      <c r="CT151" s="149">
        <f t="shared" si="380"/>
        <v>9.6278400812190377</v>
      </c>
      <c r="CU151" s="188">
        <f t="shared" si="381"/>
        <v>0.80232000676825321</v>
      </c>
      <c r="CV151" s="188">
        <f t="shared" si="382"/>
        <v>11.366200095883586</v>
      </c>
      <c r="CW151" s="188">
        <f t="shared" si="383"/>
        <v>170</v>
      </c>
      <c r="CX151" s="188">
        <f t="shared" si="384"/>
        <v>17.033934778363601</v>
      </c>
      <c r="CY151" s="188">
        <f t="shared" si="385"/>
        <v>2.8389891297272669</v>
      </c>
      <c r="CZ151" s="188">
        <f t="shared" si="386"/>
        <v>2.9624234397154088</v>
      </c>
      <c r="DA151" s="172">
        <f t="shared" si="387"/>
        <v>220.21276595744678</v>
      </c>
      <c r="DB151" s="379">
        <f t="shared" si="388"/>
        <v>172.37181255944827</v>
      </c>
      <c r="DD151" s="188">
        <f t="shared" si="389"/>
        <v>13.333333333333336</v>
      </c>
      <c r="DE151" s="150">
        <f t="shared" si="390"/>
        <v>2.3188405797101459</v>
      </c>
      <c r="DF151" s="150">
        <f t="shared" si="391"/>
        <v>0.15898994622398885</v>
      </c>
      <c r="DG151" s="150"/>
      <c r="DH151" s="150">
        <f t="shared" si="392"/>
        <v>2.3188405797101455</v>
      </c>
      <c r="DI151" s="314">
        <f t="shared" si="393"/>
        <v>283.94007352941162</v>
      </c>
      <c r="DJ151" s="456">
        <f t="shared" si="394"/>
        <v>0.15898994622398879</v>
      </c>
      <c r="DL151" s="150">
        <f t="shared" si="395"/>
        <v>11.921968517544967</v>
      </c>
      <c r="DM151" s="150">
        <f t="shared" si="396"/>
        <v>17.033934778363601</v>
      </c>
      <c r="DN151" s="150">
        <f t="shared" si="397"/>
        <v>3.9411862555779757</v>
      </c>
      <c r="DP151" s="314">
        <f t="shared" si="398"/>
        <v>205</v>
      </c>
      <c r="DQ151" s="144">
        <f t="shared" si="399"/>
        <v>172.37181255944827</v>
      </c>
      <c r="DS151" s="144">
        <f t="shared" si="400"/>
        <v>205</v>
      </c>
      <c r="DT151" s="144">
        <f t="shared" si="401"/>
        <v>172.37181255944827</v>
      </c>
      <c r="DV151" s="5">
        <f t="shared" si="402"/>
        <v>5.8014125694426752</v>
      </c>
      <c r="DW151" s="5">
        <f t="shared" si="403"/>
        <v>2.8389891297272669</v>
      </c>
      <c r="DX151" s="5">
        <f t="shared" si="404"/>
        <v>2.9624234397154083</v>
      </c>
      <c r="DY151" s="150">
        <f t="shared" si="405"/>
        <v>0.48936170212765961</v>
      </c>
      <c r="EA151" s="5">
        <f t="shared" si="406"/>
        <v>0.34234868917299394</v>
      </c>
      <c r="EB151" s="5">
        <f t="shared" si="407"/>
        <v>4.8499397632840813</v>
      </c>
      <c r="EC151" s="5">
        <f t="shared" si="408"/>
        <v>19.118603124829995</v>
      </c>
      <c r="ED151" s="5"/>
      <c r="EE151" s="150">
        <f t="shared" si="409"/>
        <v>6.8796974836445246</v>
      </c>
      <c r="EF151" s="150">
        <f t="shared" si="410"/>
        <v>0.32821511872795978</v>
      </c>
      <c r="EG151" s="150">
        <f t="shared" si="411"/>
        <v>0.31222669842227796</v>
      </c>
      <c r="EH151" s="150"/>
      <c r="EI151" s="456">
        <f t="shared" si="412"/>
        <v>0.1609228073859803</v>
      </c>
      <c r="EJ151" s="456">
        <f t="shared" si="413"/>
        <v>1.5732000000000002</v>
      </c>
      <c r="EK151" s="456">
        <f t="shared" si="414"/>
        <v>3.9473145076113651E-2</v>
      </c>
      <c r="EL151" s="456">
        <f t="shared" si="415"/>
        <v>3.6678795996307155E-2</v>
      </c>
      <c r="EM151">
        <f t="shared" si="416"/>
        <v>4.0499999999999998E-3</v>
      </c>
      <c r="EN151" s="144">
        <f t="shared" si="417"/>
        <v>43.52314507611365</v>
      </c>
      <c r="EP151" s="144">
        <f t="shared" si="439"/>
        <v>1814.3247484584012</v>
      </c>
      <c r="EQ151" s="150">
        <f t="shared" si="418"/>
        <v>0.51249999999999996</v>
      </c>
      <c r="ER151" s="150">
        <f t="shared" si="475"/>
        <v>0.14555000000000001</v>
      </c>
      <c r="ES151" s="456"/>
      <c r="EU151" s="144">
        <f t="shared" si="420"/>
        <v>658.05000000000007</v>
      </c>
      <c r="EV151" s="456">
        <f t="shared" si="421"/>
        <v>7.0995356199697199E-2</v>
      </c>
      <c r="EW151" s="456">
        <f t="shared" si="422"/>
        <v>2.1545032832321748E-2</v>
      </c>
      <c r="EX151" s="456">
        <f t="shared" si="423"/>
        <v>2.9245653362302833E-3</v>
      </c>
      <c r="EY151" s="456">
        <f t="shared" si="424"/>
        <v>23.357323485002297</v>
      </c>
      <c r="EZ151" s="456"/>
      <c r="FA151" s="538">
        <f t="shared" si="425"/>
        <v>5.0014531902429306E-2</v>
      </c>
      <c r="FB151" s="144">
        <f t="shared" si="426"/>
        <v>23502.802971272977</v>
      </c>
      <c r="FC151" s="150">
        <f t="shared" si="427"/>
        <v>25.975177719731377</v>
      </c>
      <c r="FD151" s="5">
        <f t="shared" si="428"/>
        <v>37.31</v>
      </c>
      <c r="FE151" s="150">
        <f t="shared" si="429"/>
        <v>0.58955353124286636</v>
      </c>
      <c r="FF151" s="5">
        <f t="shared" si="430"/>
        <v>58.955353124286638</v>
      </c>
      <c r="FG151">
        <f t="shared" si="431"/>
        <v>41</v>
      </c>
      <c r="FI151" s="59">
        <f t="shared" si="432"/>
        <v>-50</v>
      </c>
      <c r="FJ151">
        <f t="shared" si="433"/>
        <v>-50</v>
      </c>
    </row>
    <row r="152" spans="5:166">
      <c r="E152" s="147">
        <v>42</v>
      </c>
      <c r="F152" s="188">
        <f t="shared" si="476"/>
        <v>0.21</v>
      </c>
      <c r="G152" s="188">
        <f t="shared" si="444"/>
        <v>0.21</v>
      </c>
      <c r="H152" s="188">
        <f t="shared" si="445"/>
        <v>35.699999999999996</v>
      </c>
      <c r="I152" s="188">
        <f t="shared" si="446"/>
        <v>2.52</v>
      </c>
      <c r="J152" s="465">
        <f t="shared" si="447"/>
        <v>8.9474013650666731</v>
      </c>
      <c r="K152" s="379">
        <f t="shared" si="448"/>
        <v>8.6564320799427854</v>
      </c>
      <c r="L152" s="149">
        <f t="shared" si="449"/>
        <v>17.603833445009457</v>
      </c>
      <c r="M152" s="379"/>
      <c r="N152" s="188">
        <f t="shared" si="450"/>
        <v>0.49173562718504438</v>
      </c>
      <c r="O152" s="149">
        <f t="shared" si="451"/>
        <v>136.98874060946062</v>
      </c>
      <c r="P152" s="149">
        <f t="shared" si="452"/>
        <v>9.6697934547854558</v>
      </c>
      <c r="Q152" s="188">
        <f t="shared" si="322"/>
        <v>0.80581612123212132</v>
      </c>
      <c r="R152" s="188">
        <f t="shared" si="453"/>
        <v>11.415728384121719</v>
      </c>
      <c r="S152" s="188">
        <f t="shared" si="454"/>
        <v>170</v>
      </c>
      <c r="T152" s="188">
        <f t="shared" si="455"/>
        <v>17.373690636262655</v>
      </c>
      <c r="U152" s="188">
        <f t="shared" si="326"/>
        <v>2.9126374118123386</v>
      </c>
      <c r="V152" s="188">
        <f t="shared" si="327"/>
        <v>3.0105401063305322</v>
      </c>
      <c r="W152" s="172">
        <f t="shared" si="328"/>
        <v>219.98780109636908</v>
      </c>
      <c r="X152" s="379">
        <f t="shared" si="435"/>
        <v>163.31389985624571</v>
      </c>
      <c r="Z152" s="188">
        <f t="shared" si="329"/>
        <v>13.333333333333334</v>
      </c>
      <c r="AA152" s="150">
        <f t="shared" si="330"/>
        <v>2.31042071552096</v>
      </c>
      <c r="AB152" s="150">
        <f t="shared" si="456"/>
        <v>0.15825081204861258</v>
      </c>
      <c r="AC152" s="150"/>
      <c r="AD152" s="150">
        <f t="shared" si="332"/>
        <v>2.31042071552096</v>
      </c>
      <c r="AE152" s="314">
        <f t="shared" si="457"/>
        <v>291.92544184889397</v>
      </c>
      <c r="AF152" s="456">
        <f t="shared" si="458"/>
        <v>0.15825081204861255</v>
      </c>
      <c r="AH152" s="150">
        <f t="shared" si="459"/>
        <v>12.066482503198685</v>
      </c>
      <c r="AI152" s="150">
        <f t="shared" si="460"/>
        <v>17.373690636262655</v>
      </c>
      <c r="AJ152" s="150">
        <f t="shared" si="461"/>
        <v>4.1928572614291264</v>
      </c>
      <c r="AL152" s="314">
        <f t="shared" si="462"/>
        <v>210</v>
      </c>
      <c r="AM152" s="144">
        <f t="shared" si="463"/>
        <v>163.31389985624571</v>
      </c>
      <c r="AO152" s="144">
        <f t="shared" si="340"/>
        <v>210</v>
      </c>
      <c r="AP152" s="144">
        <f t="shared" si="341"/>
        <v>163.31389985624571</v>
      </c>
      <c r="AR152" s="5">
        <f t="shared" si="443"/>
        <v>6.1231775181428709</v>
      </c>
      <c r="AS152" s="5">
        <f t="shared" si="440"/>
        <v>2.9126374118123386</v>
      </c>
      <c r="AT152" s="5">
        <f t="shared" si="441"/>
        <v>3.2105401063305323</v>
      </c>
      <c r="AU152" s="150">
        <f t="shared" si="442"/>
        <v>0.475674174590275</v>
      </c>
      <c r="AW152" s="5">
        <f t="shared" si="342"/>
        <v>0.35979638616505361</v>
      </c>
      <c r="AX152" s="5">
        <f t="shared" si="343"/>
        <v>5.0971154706715929</v>
      </c>
      <c r="AY152" s="5">
        <f t="shared" si="344"/>
        <v>21.350013096818657</v>
      </c>
      <c r="AZ152" s="5"/>
      <c r="BA152" s="150">
        <f t="shared" si="345"/>
        <v>6.918090567936904</v>
      </c>
      <c r="BB152" s="150">
        <f t="shared" si="346"/>
        <v>0.33921856996308469</v>
      </c>
      <c r="BC152" s="150">
        <f t="shared" si="347"/>
        <v>0.32269413594833884</v>
      </c>
      <c r="BD152" s="150"/>
      <c r="BE152" s="456">
        <f t="shared" si="348"/>
        <v>0.16272392216100368</v>
      </c>
      <c r="BF152" s="456">
        <f t="shared" si="464"/>
        <v>1.1962666689546904</v>
      </c>
      <c r="BG152" s="456">
        <f t="shared" si="465"/>
        <v>6.692456348127257E-2</v>
      </c>
      <c r="BH152" s="456">
        <f t="shared" si="351"/>
        <v>3.4667954907949793E-2</v>
      </c>
      <c r="BI152">
        <f t="shared" si="352"/>
        <v>4.0263306142800026E-3</v>
      </c>
      <c r="BJ152" s="144">
        <f t="shared" si="436"/>
        <v>70.95089409555257</v>
      </c>
      <c r="BK152">
        <f t="shared" si="466"/>
        <v>1.4954114009235637</v>
      </c>
      <c r="BL152" s="144">
        <f t="shared" si="437"/>
        <v>1464.6094401191965</v>
      </c>
      <c r="BM152" s="150">
        <f t="shared" si="467"/>
        <v>0.4659375</v>
      </c>
      <c r="BN152" s="150">
        <f t="shared" si="468"/>
        <v>0.4659375</v>
      </c>
      <c r="BO152" s="456"/>
      <c r="BQ152" s="144">
        <f t="shared" si="356"/>
        <v>931.875</v>
      </c>
      <c r="BR152" s="456">
        <f t="shared" si="357"/>
        <v>7.1789965659266333E-2</v>
      </c>
      <c r="BS152" s="456">
        <f t="shared" si="358"/>
        <v>2.3013847641560038E-2</v>
      </c>
      <c r="BT152" s="456">
        <f t="shared" si="359"/>
        <v>3.1239451612633498E-3</v>
      </c>
      <c r="BU152" s="456">
        <f t="shared" si="360"/>
        <v>21.441644368731858</v>
      </c>
      <c r="BV152" s="456"/>
      <c r="BW152" s="538">
        <f t="shared" si="469"/>
        <v>4.9295504732665141E-2</v>
      </c>
      <c r="BX152" s="144">
        <f t="shared" si="362"/>
        <v>21588.867631926612</v>
      </c>
      <c r="BY152" s="150">
        <f t="shared" si="363"/>
        <v>23.98535207204581</v>
      </c>
      <c r="BZ152" s="5">
        <f t="shared" si="364"/>
        <v>38.22</v>
      </c>
      <c r="CA152" s="150">
        <f t="shared" si="365"/>
        <v>0.61441658517958164</v>
      </c>
      <c r="CB152" s="5">
        <f t="shared" si="366"/>
        <v>61.441658517958167</v>
      </c>
      <c r="CC152">
        <f t="shared" si="367"/>
        <v>42</v>
      </c>
      <c r="CE152" s="59">
        <f t="shared" si="470"/>
        <v>-50</v>
      </c>
      <c r="CF152">
        <f t="shared" si="471"/>
        <v>-50</v>
      </c>
      <c r="CG152" s="150">
        <f t="shared" si="370"/>
        <v>0.49840675206849366</v>
      </c>
      <c r="CH152" s="150">
        <f t="shared" si="472"/>
        <v>0.13505683350346268</v>
      </c>
      <c r="CI152" s="147">
        <v>42</v>
      </c>
      <c r="CJ152" s="188">
        <f t="shared" si="438"/>
        <v>0.21</v>
      </c>
      <c r="CK152" s="188">
        <f t="shared" si="372"/>
        <v>0.21</v>
      </c>
      <c r="CL152" s="188">
        <f t="shared" si="373"/>
        <v>35.699999999999996</v>
      </c>
      <c r="CM152" s="188">
        <f t="shared" si="374"/>
        <v>2.52</v>
      </c>
      <c r="CN152" s="465">
        <f t="shared" si="375"/>
        <v>9</v>
      </c>
      <c r="CO152" s="379">
        <f t="shared" si="473"/>
        <v>8.625</v>
      </c>
      <c r="CP152" s="379">
        <f t="shared" si="474"/>
        <v>17.625</v>
      </c>
      <c r="CQ152" s="379"/>
      <c r="CR152" s="188">
        <f t="shared" si="378"/>
        <v>0.48674080410607357</v>
      </c>
      <c r="CS152" s="149">
        <f t="shared" si="379"/>
        <v>136.39440115060304</v>
      </c>
      <c r="CT152" s="149">
        <f t="shared" si="380"/>
        <v>9.6278400812190377</v>
      </c>
      <c r="CU152" s="188">
        <f t="shared" si="381"/>
        <v>0.80232000676825321</v>
      </c>
      <c r="CV152" s="188">
        <f t="shared" si="382"/>
        <v>11.366200095883586</v>
      </c>
      <c r="CW152" s="188">
        <f t="shared" si="383"/>
        <v>170</v>
      </c>
      <c r="CX152" s="188">
        <f t="shared" si="384"/>
        <v>17.449396602226127</v>
      </c>
      <c r="CY152" s="188">
        <f t="shared" si="385"/>
        <v>2.9082327670376884</v>
      </c>
      <c r="CZ152" s="188">
        <f t="shared" si="386"/>
        <v>3.0346776699523703</v>
      </c>
      <c r="DA152" s="172">
        <f t="shared" si="387"/>
        <v>220.21276595744678</v>
      </c>
      <c r="DB152" s="379">
        <f t="shared" si="388"/>
        <v>168.26772178422328</v>
      </c>
      <c r="DD152" s="188">
        <f t="shared" si="389"/>
        <v>13.333333333333336</v>
      </c>
      <c r="DE152" s="150">
        <f t="shared" si="390"/>
        <v>2.3188405797101459</v>
      </c>
      <c r="DF152" s="150">
        <f t="shared" si="391"/>
        <v>0.15898994622398885</v>
      </c>
      <c r="DG152" s="150"/>
      <c r="DH152" s="150">
        <f t="shared" si="392"/>
        <v>2.3188405797101455</v>
      </c>
      <c r="DI152" s="314">
        <f t="shared" si="393"/>
        <v>290.86544117647048</v>
      </c>
      <c r="DJ152" s="456">
        <f t="shared" si="394"/>
        <v>0.15898994622398879</v>
      </c>
      <c r="DL152" s="150">
        <f t="shared" si="395"/>
        <v>12.066482503198685</v>
      </c>
      <c r="DM152" s="150">
        <f t="shared" si="396"/>
        <v>17.449396602226127</v>
      </c>
      <c r="DN152" s="150">
        <f t="shared" si="397"/>
        <v>4.2489357547354016</v>
      </c>
      <c r="DP152" s="314">
        <f t="shared" si="398"/>
        <v>210</v>
      </c>
      <c r="DQ152" s="144">
        <f t="shared" si="399"/>
        <v>168.26772178422328</v>
      </c>
      <c r="DS152" s="144">
        <f t="shared" si="400"/>
        <v>210</v>
      </c>
      <c r="DT152" s="144">
        <f t="shared" si="401"/>
        <v>168.26772178422328</v>
      </c>
      <c r="DV152" s="5">
        <f t="shared" si="402"/>
        <v>5.9429104369900587</v>
      </c>
      <c r="DW152" s="5">
        <f t="shared" si="403"/>
        <v>2.9082327670376884</v>
      </c>
      <c r="DX152" s="5">
        <f t="shared" si="404"/>
        <v>3.0346776699523703</v>
      </c>
      <c r="DY152" s="150">
        <f t="shared" si="405"/>
        <v>0.48936170212765961</v>
      </c>
      <c r="EA152" s="5">
        <f t="shared" si="406"/>
        <v>0.35925228298700856</v>
      </c>
      <c r="EB152" s="5">
        <f t="shared" si="407"/>
        <v>5.0894073423159547</v>
      </c>
      <c r="EC152" s="5">
        <f t="shared" si="408"/>
        <v>20.062591262462888</v>
      </c>
      <c r="ED152" s="5"/>
      <c r="EE152" s="150">
        <f t="shared" si="409"/>
        <v>7.0474949832456097</v>
      </c>
      <c r="EF152" s="150">
        <f t="shared" si="410"/>
        <v>0.33622036552620271</v>
      </c>
      <c r="EG152" s="150">
        <f t="shared" si="411"/>
        <v>0.31984198374965056</v>
      </c>
      <c r="EH152" s="150"/>
      <c r="EI152" s="456">
        <f t="shared" si="412"/>
        <v>0.16886843083216493</v>
      </c>
      <c r="EJ152" s="456">
        <f t="shared" si="413"/>
        <v>1.5731999999999997</v>
      </c>
      <c r="EK152" s="456">
        <f t="shared" si="414"/>
        <v>3.8533308288587136E-2</v>
      </c>
      <c r="EL152" s="456">
        <f t="shared" si="415"/>
        <v>3.5805491329728406E-2</v>
      </c>
      <c r="EM152">
        <f t="shared" si="416"/>
        <v>4.0499999999999998E-3</v>
      </c>
      <c r="EN152" s="144">
        <f t="shared" si="417"/>
        <v>42.583308288587133</v>
      </c>
      <c r="EP152" s="144">
        <f t="shared" si="439"/>
        <v>1820.45723045048</v>
      </c>
      <c r="EQ152" s="150">
        <f t="shared" si="418"/>
        <v>0.52500000000000002</v>
      </c>
      <c r="ER152" s="150">
        <f t="shared" si="475"/>
        <v>0.14910000000000001</v>
      </c>
      <c r="ES152" s="456"/>
      <c r="EU152" s="144">
        <f t="shared" si="420"/>
        <v>674.1</v>
      </c>
      <c r="EV152" s="456">
        <f t="shared" si="421"/>
        <v>7.4500778308308063E-2</v>
      </c>
      <c r="EW152" s="456">
        <f t="shared" si="422"/>
        <v>2.2608826838914672E-2</v>
      </c>
      <c r="EX152" s="456">
        <f t="shared" si="423"/>
        <v>3.0689668370673519E-3</v>
      </c>
      <c r="EY152" s="456">
        <f t="shared" si="424"/>
        <v>23.357323485002272</v>
      </c>
      <c r="EZ152" s="456"/>
      <c r="FA152" s="538">
        <f t="shared" si="425"/>
        <v>5.1234398534195855E-2</v>
      </c>
      <c r="FB152" s="144">
        <f t="shared" si="426"/>
        <v>23508.736455520757</v>
      </c>
      <c r="FC152" s="150">
        <f t="shared" si="427"/>
        <v>26.003293685971236</v>
      </c>
      <c r="FD152" s="5">
        <f t="shared" si="428"/>
        <v>38.22</v>
      </c>
      <c r="FE152" s="150">
        <f t="shared" si="429"/>
        <v>0.59511117861506801</v>
      </c>
      <c r="FF152" s="5">
        <f t="shared" si="430"/>
        <v>59.511117861506804</v>
      </c>
      <c r="FG152">
        <f t="shared" si="431"/>
        <v>42</v>
      </c>
      <c r="FI152" s="59">
        <f t="shared" si="432"/>
        <v>-50</v>
      </c>
      <c r="FJ152">
        <f t="shared" si="433"/>
        <v>-50</v>
      </c>
    </row>
    <row r="153" spans="5:166">
      <c r="E153" s="147">
        <v>43</v>
      </c>
      <c r="F153" s="188">
        <f t="shared" si="476"/>
        <v>0.215</v>
      </c>
      <c r="G153" s="188">
        <f t="shared" si="444"/>
        <v>0.215</v>
      </c>
      <c r="H153" s="188">
        <f t="shared" si="445"/>
        <v>36.549999999999997</v>
      </c>
      <c r="I153" s="188">
        <f t="shared" si="446"/>
        <v>2.58</v>
      </c>
      <c r="J153" s="465">
        <f t="shared" si="447"/>
        <v>8.9461490166158804</v>
      </c>
      <c r="K153" s="379">
        <f t="shared" si="448"/>
        <v>8.6571804627985642</v>
      </c>
      <c r="L153" s="149">
        <f t="shared" si="449"/>
        <v>17.603329479414445</v>
      </c>
      <c r="M153" s="379"/>
      <c r="N153" s="188">
        <f t="shared" si="450"/>
        <v>0.49179221879147239</v>
      </c>
      <c r="O153" s="149">
        <f t="shared" si="451"/>
        <v>136.98532979276817</v>
      </c>
      <c r="P153" s="149">
        <f t="shared" si="452"/>
        <v>9.6695526912542249</v>
      </c>
      <c r="Q153" s="188">
        <f t="shared" si="322"/>
        <v>0.80579605760451867</v>
      </c>
      <c r="R153" s="188">
        <f t="shared" si="453"/>
        <v>11.415444149397347</v>
      </c>
      <c r="S153" s="188">
        <f t="shared" si="454"/>
        <v>170</v>
      </c>
      <c r="T153" s="188">
        <f t="shared" si="455"/>
        <v>17.787792826814833</v>
      </c>
      <c r="U153" s="188">
        <f t="shared" si="326"/>
        <v>2.9824776214509456</v>
      </c>
      <c r="V153" s="188">
        <f t="shared" si="327"/>
        <v>3.0820299235851891</v>
      </c>
      <c r="W153" s="172">
        <f t="shared" si="328"/>
        <v>219.98232372603363</v>
      </c>
      <c r="X153" s="379">
        <f t="shared" si="435"/>
        <v>159.62946693110447</v>
      </c>
      <c r="Z153" s="188">
        <f t="shared" si="329"/>
        <v>13.333333333333334</v>
      </c>
      <c r="AA153" s="150">
        <f t="shared" si="330"/>
        <v>2.3102209877619555</v>
      </c>
      <c r="AB153" s="150">
        <f t="shared" si="456"/>
        <v>0.15823319195137309</v>
      </c>
      <c r="AC153" s="150"/>
      <c r="AD153" s="150">
        <f t="shared" si="332"/>
        <v>2.3102209877619555</v>
      </c>
      <c r="AE153" s="314">
        <f t="shared" si="457"/>
        <v>298.90188662585973</v>
      </c>
      <c r="AF153" s="456">
        <f t="shared" si="458"/>
        <v>0.15823319195137311</v>
      </c>
      <c r="AH153" s="150">
        <f t="shared" si="459"/>
        <v>12.209286083414813</v>
      </c>
      <c r="AI153" s="150">
        <f t="shared" si="460"/>
        <v>17.787792826814833</v>
      </c>
      <c r="AJ153" s="150">
        <f t="shared" si="461"/>
        <v>4.4995996248011103</v>
      </c>
      <c r="AL153" s="314">
        <f t="shared" si="462"/>
        <v>215</v>
      </c>
      <c r="AM153" s="144">
        <f t="shared" si="463"/>
        <v>159.62946693110447</v>
      </c>
      <c r="AO153" s="144">
        <f t="shared" si="340"/>
        <v>215</v>
      </c>
      <c r="AP153" s="144">
        <f t="shared" si="341"/>
        <v>159.62946693110447</v>
      </c>
      <c r="AR153" s="5">
        <f t="shared" si="443"/>
        <v>6.2645075450361345</v>
      </c>
      <c r="AS153" s="5">
        <f t="shared" si="440"/>
        <v>2.9824776214509456</v>
      </c>
      <c r="AT153" s="5">
        <f t="shared" si="441"/>
        <v>3.2820299235851889</v>
      </c>
      <c r="AU153" s="150">
        <f t="shared" si="442"/>
        <v>0.4760913128461628</v>
      </c>
      <c r="AW153" s="5">
        <f t="shared" si="342"/>
        <v>0.37719569918350193</v>
      </c>
      <c r="AX153" s="5">
        <f t="shared" si="343"/>
        <v>5.3436057384329434</v>
      </c>
      <c r="AY153" s="5">
        <f t="shared" si="344"/>
        <v>22.34819948491014</v>
      </c>
      <c r="AZ153" s="5"/>
      <c r="BA153" s="150">
        <f t="shared" si="345"/>
        <v>7.0860883650225031</v>
      </c>
      <c r="BB153" s="150">
        <f t="shared" si="346"/>
        <v>0.34716567006332277</v>
      </c>
      <c r="BC153" s="150">
        <f t="shared" si="347"/>
        <v>0.33025410709148811</v>
      </c>
      <c r="BD153" s="150"/>
      <c r="BE153" s="456">
        <f t="shared" si="348"/>
        <v>0.17072300427748477</v>
      </c>
      <c r="BF153" s="456">
        <f t="shared" si="464"/>
        <v>1.197113866557298</v>
      </c>
      <c r="BG153" s="456">
        <f t="shared" si="465"/>
        <v>6.5405560136274687E-2</v>
      </c>
      <c r="BH153" s="456">
        <f t="shared" si="351"/>
        <v>3.3883890549283147E-2</v>
      </c>
      <c r="BI153">
        <f t="shared" si="352"/>
        <v>4.0257670574771458E-3</v>
      </c>
      <c r="BJ153" s="144">
        <f t="shared" si="436"/>
        <v>69.431327193751841</v>
      </c>
      <c r="BK153">
        <f t="shared" si="466"/>
        <v>1.5090278552502336</v>
      </c>
      <c r="BL153" s="144">
        <f t="shared" si="437"/>
        <v>1471.1520885778175</v>
      </c>
      <c r="BM153" s="150">
        <f t="shared" si="467"/>
        <v>0.47703124999999996</v>
      </c>
      <c r="BN153" s="150">
        <f t="shared" si="468"/>
        <v>0.47703124999999996</v>
      </c>
      <c r="BO153" s="456"/>
      <c r="BQ153" s="144">
        <f t="shared" si="356"/>
        <v>954.06249999999989</v>
      </c>
      <c r="BR153" s="456">
        <f t="shared" si="357"/>
        <v>7.5318972475360943E-2</v>
      </c>
      <c r="BS153" s="456">
        <f t="shared" si="358"/>
        <v>2.4104800494103178E-2</v>
      </c>
      <c r="BT153" s="456">
        <f t="shared" si="359"/>
        <v>3.272033257523883E-3</v>
      </c>
      <c r="BU153" s="456">
        <f t="shared" si="360"/>
        <v>21.481164418870684</v>
      </c>
      <c r="BV153" s="456"/>
      <c r="BW153" s="538">
        <f t="shared" si="469"/>
        <v>5.0507653055729566E-2</v>
      </c>
      <c r="BX153" s="144">
        <f t="shared" si="362"/>
        <v>21634.367878153396</v>
      </c>
      <c r="BY153" s="150">
        <f t="shared" si="363"/>
        <v>24.059582466731218</v>
      </c>
      <c r="BZ153" s="5">
        <f t="shared" si="364"/>
        <v>39.129999999999995</v>
      </c>
      <c r="CA153" s="150">
        <f t="shared" si="365"/>
        <v>0.61924764292597778</v>
      </c>
      <c r="CB153" s="5">
        <f t="shared" si="366"/>
        <v>61.924764292597779</v>
      </c>
      <c r="CC153">
        <f t="shared" si="367"/>
        <v>43</v>
      </c>
      <c r="CE153" s="59">
        <f t="shared" si="470"/>
        <v>-50</v>
      </c>
      <c r="CF153">
        <f t="shared" si="471"/>
        <v>-50</v>
      </c>
      <c r="CG153" s="150">
        <f t="shared" si="370"/>
        <v>0.49840675206849377</v>
      </c>
      <c r="CH153" s="150">
        <f t="shared" si="472"/>
        <v>0.1350568335034627</v>
      </c>
      <c r="CI153" s="147">
        <v>43</v>
      </c>
      <c r="CJ153" s="188">
        <f t="shared" si="438"/>
        <v>0.215</v>
      </c>
      <c r="CK153" s="188">
        <f t="shared" si="372"/>
        <v>0.215</v>
      </c>
      <c r="CL153" s="188">
        <f t="shared" si="373"/>
        <v>36.549999999999997</v>
      </c>
      <c r="CM153" s="188">
        <f t="shared" si="374"/>
        <v>2.58</v>
      </c>
      <c r="CN153" s="465">
        <f t="shared" si="375"/>
        <v>9</v>
      </c>
      <c r="CO153" s="379">
        <f t="shared" si="473"/>
        <v>8.625</v>
      </c>
      <c r="CP153" s="379">
        <f t="shared" si="474"/>
        <v>17.625</v>
      </c>
      <c r="CQ153" s="379"/>
      <c r="CR153" s="188">
        <f t="shared" si="378"/>
        <v>0.48674080410607357</v>
      </c>
      <c r="CS153" s="149">
        <f t="shared" si="379"/>
        <v>136.39440115060304</v>
      </c>
      <c r="CT153" s="149">
        <f t="shared" si="380"/>
        <v>9.6278400812190377</v>
      </c>
      <c r="CU153" s="188">
        <f t="shared" si="381"/>
        <v>0.80232000676825321</v>
      </c>
      <c r="CV153" s="188">
        <f t="shared" si="382"/>
        <v>11.366200095883586</v>
      </c>
      <c r="CW153" s="188">
        <f t="shared" si="383"/>
        <v>170</v>
      </c>
      <c r="CX153" s="188">
        <f t="shared" si="384"/>
        <v>17.864858426088652</v>
      </c>
      <c r="CY153" s="188">
        <f t="shared" si="385"/>
        <v>2.9774764043481086</v>
      </c>
      <c r="CZ153" s="188">
        <f t="shared" si="386"/>
        <v>3.106931900189331</v>
      </c>
      <c r="DA153" s="172">
        <f t="shared" si="387"/>
        <v>220.21276595744678</v>
      </c>
      <c r="DB153" s="379">
        <f t="shared" si="388"/>
        <v>164.35451895203209</v>
      </c>
      <c r="DD153" s="188">
        <f t="shared" si="389"/>
        <v>13.333333333333336</v>
      </c>
      <c r="DE153" s="150">
        <f t="shared" si="390"/>
        <v>2.3188405797101459</v>
      </c>
      <c r="DF153" s="150">
        <f t="shared" si="391"/>
        <v>0.15898994622398885</v>
      </c>
      <c r="DG153" s="150"/>
      <c r="DH153" s="150">
        <f t="shared" si="392"/>
        <v>2.3188405797101455</v>
      </c>
      <c r="DI153" s="314">
        <f t="shared" si="393"/>
        <v>297.79080882352929</v>
      </c>
      <c r="DJ153" s="456">
        <f t="shared" si="394"/>
        <v>0.15898994622398879</v>
      </c>
      <c r="DL153" s="150">
        <f t="shared" si="395"/>
        <v>12.209286083414813</v>
      </c>
      <c r="DM153" s="150">
        <f t="shared" si="396"/>
        <v>17.864858426088652</v>
      </c>
      <c r="DN153" s="150">
        <f t="shared" si="397"/>
        <v>4.5566852538928284</v>
      </c>
      <c r="DP153" s="314">
        <f t="shared" si="398"/>
        <v>215</v>
      </c>
      <c r="DQ153" s="144">
        <f t="shared" si="399"/>
        <v>164.35451895203209</v>
      </c>
      <c r="DS153" s="144">
        <f t="shared" si="400"/>
        <v>215</v>
      </c>
      <c r="DT153" s="144">
        <f t="shared" si="401"/>
        <v>164.35451895203209</v>
      </c>
      <c r="DV153" s="5">
        <f t="shared" si="402"/>
        <v>6.0844083045374386</v>
      </c>
      <c r="DW153" s="5">
        <f t="shared" si="403"/>
        <v>2.9774764043481086</v>
      </c>
      <c r="DX153" s="5">
        <f t="shared" si="404"/>
        <v>3.1069319001893301</v>
      </c>
      <c r="DY153" s="150">
        <f t="shared" si="405"/>
        <v>0.48936170212765961</v>
      </c>
      <c r="EA153" s="5">
        <f t="shared" si="406"/>
        <v>0.37656319231461371</v>
      </c>
      <c r="EB153" s="5">
        <f t="shared" si="407"/>
        <v>5.3346452244570273</v>
      </c>
      <c r="EC153" s="5">
        <f t="shared" si="408"/>
        <v>21.029326102207406</v>
      </c>
      <c r="ED153" s="5"/>
      <c r="EE153" s="150">
        <f t="shared" si="409"/>
        <v>7.2152924828466949</v>
      </c>
      <c r="EF153" s="150">
        <f t="shared" si="410"/>
        <v>0.3442256123244456</v>
      </c>
      <c r="EG153" s="150">
        <f t="shared" si="411"/>
        <v>0.32745726907702316</v>
      </c>
      <c r="EH153" s="150"/>
      <c r="EI153" s="456">
        <f t="shared" si="412"/>
        <v>0.17700551508428167</v>
      </c>
      <c r="EJ153" s="456">
        <f t="shared" si="413"/>
        <v>1.5732000000000004</v>
      </c>
      <c r="EK153" s="456">
        <f t="shared" si="414"/>
        <v>3.7637184840015346E-2</v>
      </c>
      <c r="EL153" s="456">
        <f t="shared" si="415"/>
        <v>3.4972805484851016E-2</v>
      </c>
      <c r="EM153">
        <f t="shared" si="416"/>
        <v>4.0499999999999998E-3</v>
      </c>
      <c r="EN153" s="144">
        <f t="shared" si="417"/>
        <v>41.687184840015341</v>
      </c>
      <c r="EP153" s="144">
        <f t="shared" si="439"/>
        <v>1826.8655054091487</v>
      </c>
      <c r="EQ153" s="150">
        <f t="shared" si="418"/>
        <v>0.53749999999999998</v>
      </c>
      <c r="ER153" s="150">
        <f t="shared" si="475"/>
        <v>0.15265000000000001</v>
      </c>
      <c r="ES153" s="456"/>
      <c r="EU153" s="144">
        <f t="shared" si="420"/>
        <v>690.15000000000009</v>
      </c>
      <c r="EV153" s="456">
        <f t="shared" si="421"/>
        <v>7.8090668419536033E-2</v>
      </c>
      <c r="EW153" s="456">
        <f t="shared" si="422"/>
        <v>2.3698254436027903E-2</v>
      </c>
      <c r="EX153" s="456">
        <f t="shared" si="423"/>
        <v>3.2168478921414585E-3</v>
      </c>
      <c r="EY153" s="456">
        <f t="shared" si="424"/>
        <v>23.357323485002276</v>
      </c>
      <c r="EZ153" s="456"/>
      <c r="FA153" s="538">
        <f t="shared" si="425"/>
        <v>5.2454265165962431E-2</v>
      </c>
      <c r="FB153" s="144">
        <f t="shared" si="426"/>
        <v>23514.783520915946</v>
      </c>
      <c r="FC153" s="150">
        <f t="shared" si="427"/>
        <v>26.031799026325093</v>
      </c>
      <c r="FD153" s="5">
        <f t="shared" si="428"/>
        <v>39.129999999999995</v>
      </c>
      <c r="FE153" s="150">
        <f t="shared" si="429"/>
        <v>0.60050521294219705</v>
      </c>
      <c r="FF153" s="5">
        <f t="shared" si="430"/>
        <v>60.050521294219706</v>
      </c>
      <c r="FG153">
        <f t="shared" si="431"/>
        <v>43</v>
      </c>
      <c r="FI153" s="59">
        <f t="shared" si="432"/>
        <v>-50</v>
      </c>
      <c r="FJ153">
        <f t="shared" si="433"/>
        <v>-50</v>
      </c>
    </row>
    <row r="154" spans="5:166">
      <c r="E154" s="147">
        <v>44</v>
      </c>
      <c r="F154" s="188">
        <f t="shared" si="476"/>
        <v>0.22</v>
      </c>
      <c r="G154" s="188">
        <f t="shared" si="444"/>
        <v>0.22</v>
      </c>
      <c r="H154" s="188">
        <f t="shared" si="445"/>
        <v>37.4</v>
      </c>
      <c r="I154" s="188">
        <f t="shared" si="446"/>
        <v>2.64</v>
      </c>
      <c r="J154" s="465">
        <f t="shared" si="447"/>
        <v>8.9448966681650877</v>
      </c>
      <c r="K154" s="379">
        <f t="shared" si="448"/>
        <v>8.6579288456543448</v>
      </c>
      <c r="L154" s="149">
        <f t="shared" si="449"/>
        <v>17.602825513819433</v>
      </c>
      <c r="M154" s="379"/>
      <c r="N154" s="188">
        <f t="shared" si="450"/>
        <v>0.49184881363831467</v>
      </c>
      <c r="O154" s="149">
        <f t="shared" si="451"/>
        <v>136.98191546524419</v>
      </c>
      <c r="P154" s="149">
        <f t="shared" si="452"/>
        <v>9.6693116798995895</v>
      </c>
      <c r="Q154" s="188">
        <f t="shared" si="322"/>
        <v>0.80577597332496576</v>
      </c>
      <c r="R154" s="188">
        <f t="shared" si="453"/>
        <v>11.415159622103682</v>
      </c>
      <c r="S154" s="188">
        <f t="shared" si="454"/>
        <v>170</v>
      </c>
      <c r="T154" s="188">
        <f t="shared" si="455"/>
        <v>18.201916105969158</v>
      </c>
      <c r="U154" s="188">
        <f t="shared" si="326"/>
        <v>3.0523409237498229</v>
      </c>
      <c r="V154" s="188">
        <f t="shared" si="327"/>
        <v>3.1535110354548372</v>
      </c>
      <c r="W154" s="172">
        <f t="shared" si="328"/>
        <v>219.97684071771559</v>
      </c>
      <c r="X154" s="379">
        <f t="shared" si="435"/>
        <v>156.10726041882467</v>
      </c>
      <c r="Z154" s="188">
        <f t="shared" si="329"/>
        <v>13.333333333333336</v>
      </c>
      <c r="AA154" s="150">
        <f t="shared" si="330"/>
        <v>2.3100212945314933</v>
      </c>
      <c r="AB154" s="150">
        <f t="shared" si="456"/>
        <v>0.15821557084521348</v>
      </c>
      <c r="AC154" s="150"/>
      <c r="AD154" s="150">
        <f t="shared" si="332"/>
        <v>2.3100212945314929</v>
      </c>
      <c r="AE154" s="314">
        <f t="shared" si="457"/>
        <v>305.87953321764707</v>
      </c>
      <c r="AF154" s="456">
        <f t="shared" si="458"/>
        <v>0.1582155708452134</v>
      </c>
      <c r="AH154" s="150">
        <f t="shared" si="459"/>
        <v>12.350438588703371</v>
      </c>
      <c r="AI154" s="150">
        <f t="shared" si="460"/>
        <v>18.201916105969158</v>
      </c>
      <c r="AJ154" s="150">
        <f t="shared" si="461"/>
        <v>4.8063576093598694</v>
      </c>
      <c r="AL154" s="314">
        <f t="shared" si="462"/>
        <v>220</v>
      </c>
      <c r="AM154" s="144">
        <f t="shared" si="463"/>
        <v>156.10726041882467</v>
      </c>
      <c r="AO154" s="144">
        <f t="shared" si="340"/>
        <v>220</v>
      </c>
      <c r="AP154" s="144">
        <f t="shared" si="341"/>
        <v>156.10726041882467</v>
      </c>
      <c r="AR154" s="5">
        <f t="shared" si="443"/>
        <v>6.4058519592046599</v>
      </c>
      <c r="AS154" s="5">
        <f t="shared" si="440"/>
        <v>3.0523409237498229</v>
      </c>
      <c r="AT154" s="5">
        <f t="shared" si="441"/>
        <v>3.353511035454837</v>
      </c>
      <c r="AU154" s="150">
        <f t="shared" si="442"/>
        <v>0.47649257947084944</v>
      </c>
      <c r="AW154" s="5">
        <f t="shared" si="342"/>
        <v>0.39500882542644772</v>
      </c>
      <c r="AX154" s="5">
        <f t="shared" si="343"/>
        <v>5.5959583602080087</v>
      </c>
      <c r="AY154" s="5">
        <f t="shared" si="344"/>
        <v>23.369249412793796</v>
      </c>
      <c r="AZ154" s="5"/>
      <c r="BA154" s="150">
        <f t="shared" si="345"/>
        <v>7.2541169310350275</v>
      </c>
      <c r="BB154" s="150">
        <f t="shared" si="346"/>
        <v>0.35511207475645296</v>
      </c>
      <c r="BC154" s="150">
        <f t="shared" si="347"/>
        <v>0.33781341670305953</v>
      </c>
      <c r="BD154" s="150"/>
      <c r="BE154" s="456">
        <f t="shared" si="348"/>
        <v>0.17891552232703875</v>
      </c>
      <c r="BF154" s="456">
        <f t="shared" si="464"/>
        <v>1.1979208181427501</v>
      </c>
      <c r="BG154" s="456">
        <f t="shared" si="465"/>
        <v>6.3953439762729977E-2</v>
      </c>
      <c r="BH154" s="456">
        <f t="shared" si="351"/>
        <v>3.3134348968670853E-2</v>
      </c>
      <c r="BI154">
        <f t="shared" si="352"/>
        <v>4.0252035006742891E-3</v>
      </c>
      <c r="BJ154" s="144">
        <f t="shared" si="436"/>
        <v>67.978643263404265</v>
      </c>
      <c r="BK154">
        <f t="shared" si="466"/>
        <v>1.5230220474133029</v>
      </c>
      <c r="BL154" s="144">
        <f t="shared" si="437"/>
        <v>1477.9493327018638</v>
      </c>
      <c r="BM154" s="150">
        <f t="shared" si="467"/>
        <v>0.48812500000000003</v>
      </c>
      <c r="BN154" s="150">
        <f t="shared" si="468"/>
        <v>0.48812500000000003</v>
      </c>
      <c r="BO154" s="456"/>
      <c r="BQ154" s="144">
        <f t="shared" si="356"/>
        <v>976.25000000000011</v>
      </c>
      <c r="BR154" s="456">
        <f t="shared" si="357"/>
        <v>7.8933318673693562E-2</v>
      </c>
      <c r="BS154" s="456">
        <f t="shared" si="358"/>
        <v>2.5220917127566529E-2</v>
      </c>
      <c r="BT154" s="456">
        <f t="shared" si="359"/>
        <v>3.4235371351378483E-3</v>
      </c>
      <c r="BU154" s="456">
        <f t="shared" si="360"/>
        <v>21.518922958231204</v>
      </c>
      <c r="BV154" s="456"/>
      <c r="BW154" s="538">
        <f t="shared" si="469"/>
        <v>5.1719857411421405E-2</v>
      </c>
      <c r="BX154" s="144">
        <f t="shared" si="362"/>
        <v>21678.220588579024</v>
      </c>
      <c r="BY154" s="150">
        <f t="shared" si="363"/>
        <v>24.132419921280885</v>
      </c>
      <c r="BZ154" s="5">
        <f t="shared" si="364"/>
        <v>40.04</v>
      </c>
      <c r="CA154" s="150">
        <f t="shared" si="365"/>
        <v>0.6239440564827744</v>
      </c>
      <c r="CB154" s="5">
        <f t="shared" si="366"/>
        <v>62.394405648277441</v>
      </c>
      <c r="CC154">
        <f t="shared" si="367"/>
        <v>44</v>
      </c>
      <c r="CE154" s="59">
        <f t="shared" si="470"/>
        <v>-50</v>
      </c>
      <c r="CF154">
        <f t="shared" si="471"/>
        <v>-50</v>
      </c>
      <c r="CG154" s="150">
        <f t="shared" si="370"/>
        <v>0.49840675206849377</v>
      </c>
      <c r="CH154" s="150">
        <f t="shared" si="472"/>
        <v>0.1350568335034627</v>
      </c>
      <c r="CI154" s="147">
        <v>44</v>
      </c>
      <c r="CJ154" s="188">
        <f t="shared" si="438"/>
        <v>0.22</v>
      </c>
      <c r="CK154" s="188">
        <f t="shared" si="372"/>
        <v>0.22</v>
      </c>
      <c r="CL154" s="188">
        <f t="shared" si="373"/>
        <v>37.4</v>
      </c>
      <c r="CM154" s="188">
        <f t="shared" si="374"/>
        <v>2.64</v>
      </c>
      <c r="CN154" s="465">
        <f t="shared" si="375"/>
        <v>9</v>
      </c>
      <c r="CO154" s="379">
        <f t="shared" si="473"/>
        <v>8.625</v>
      </c>
      <c r="CP154" s="379">
        <f t="shared" si="474"/>
        <v>17.625</v>
      </c>
      <c r="CQ154" s="379"/>
      <c r="CR154" s="188">
        <f t="shared" si="378"/>
        <v>0.48674080410607357</v>
      </c>
      <c r="CS154" s="149">
        <f t="shared" si="379"/>
        <v>136.39440115060304</v>
      </c>
      <c r="CT154" s="149">
        <f t="shared" si="380"/>
        <v>9.6278400812190377</v>
      </c>
      <c r="CU154" s="188">
        <f t="shared" si="381"/>
        <v>0.80232000676825321</v>
      </c>
      <c r="CV154" s="188">
        <f t="shared" si="382"/>
        <v>11.366200095883586</v>
      </c>
      <c r="CW154" s="188">
        <f t="shared" si="383"/>
        <v>170</v>
      </c>
      <c r="CX154" s="188">
        <f t="shared" si="384"/>
        <v>18.280320249951181</v>
      </c>
      <c r="CY154" s="188">
        <f t="shared" si="385"/>
        <v>3.0467200416585301</v>
      </c>
      <c r="CZ154" s="188">
        <f t="shared" si="386"/>
        <v>3.1791861304262925</v>
      </c>
      <c r="DA154" s="172">
        <f t="shared" si="387"/>
        <v>220.21276595744678</v>
      </c>
      <c r="DB154" s="379">
        <f t="shared" si="388"/>
        <v>160.61918897584951</v>
      </c>
      <c r="DD154" s="188">
        <f t="shared" si="389"/>
        <v>13.333333333333336</v>
      </c>
      <c r="DE154" s="150">
        <f t="shared" si="390"/>
        <v>2.3188405797101459</v>
      </c>
      <c r="DF154" s="150">
        <f t="shared" si="391"/>
        <v>0.15898994622398885</v>
      </c>
      <c r="DG154" s="150"/>
      <c r="DH154" s="150">
        <f t="shared" si="392"/>
        <v>2.3188405797101455</v>
      </c>
      <c r="DI154" s="314">
        <f t="shared" si="393"/>
        <v>304.7161764705881</v>
      </c>
      <c r="DJ154" s="456">
        <f t="shared" si="394"/>
        <v>0.15898994622398879</v>
      </c>
      <c r="DL154" s="150">
        <f t="shared" si="395"/>
        <v>12.350438588703371</v>
      </c>
      <c r="DM154" s="150">
        <f t="shared" si="396"/>
        <v>18.280320249951181</v>
      </c>
      <c r="DN154" s="150">
        <f t="shared" si="397"/>
        <v>4.864434753050257</v>
      </c>
      <c r="DP154" s="314">
        <f t="shared" si="398"/>
        <v>220</v>
      </c>
      <c r="DQ154" s="144">
        <f t="shared" si="399"/>
        <v>160.61918897584951</v>
      </c>
      <c r="DS154" s="144">
        <f t="shared" si="400"/>
        <v>220</v>
      </c>
      <c r="DT154" s="144">
        <f t="shared" si="401"/>
        <v>160.61918897584951</v>
      </c>
      <c r="DV154" s="5">
        <f t="shared" si="402"/>
        <v>6.225906172084823</v>
      </c>
      <c r="DW154" s="5">
        <f t="shared" si="403"/>
        <v>3.0467200416585301</v>
      </c>
      <c r="DX154" s="5">
        <f t="shared" si="404"/>
        <v>3.1791861304262929</v>
      </c>
      <c r="DY154" s="150">
        <f t="shared" si="405"/>
        <v>0.4893617021276595</v>
      </c>
      <c r="EA154" s="5">
        <f t="shared" si="406"/>
        <v>0.39428141715580972</v>
      </c>
      <c r="EB154" s="5">
        <f t="shared" si="407"/>
        <v>5.5856534097073052</v>
      </c>
      <c r="EC154" s="5">
        <f t="shared" si="408"/>
        <v>22.018807644063578</v>
      </c>
      <c r="ED154" s="5"/>
      <c r="EE154" s="150">
        <f t="shared" si="409"/>
        <v>7.3830899824477809</v>
      </c>
      <c r="EF154" s="150">
        <f t="shared" si="410"/>
        <v>0.35223085912268859</v>
      </c>
      <c r="EG154" s="150">
        <f t="shared" si="411"/>
        <v>0.33507255440439582</v>
      </c>
      <c r="EH154" s="150"/>
      <c r="EI154" s="456">
        <f t="shared" si="412"/>
        <v>0.18533406014233061</v>
      </c>
      <c r="EJ154" s="456">
        <f t="shared" si="413"/>
        <v>1.5731999999999997</v>
      </c>
      <c r="EK154" s="456">
        <f t="shared" si="414"/>
        <v>3.6781794275469536E-2</v>
      </c>
      <c r="EL154" s="456">
        <f t="shared" si="415"/>
        <v>3.4177968996558936E-2</v>
      </c>
      <c r="EM154">
        <f t="shared" si="416"/>
        <v>4.0499999999999998E-3</v>
      </c>
      <c r="EN154" s="144">
        <f t="shared" si="417"/>
        <v>40.831794275469534</v>
      </c>
      <c r="EP154" s="144">
        <f t="shared" si="439"/>
        <v>1833.5438234143589</v>
      </c>
      <c r="EQ154" s="150">
        <f t="shared" si="418"/>
        <v>0.55000000000000004</v>
      </c>
      <c r="ER154" s="150">
        <f t="shared" si="475"/>
        <v>0.15620000000000001</v>
      </c>
      <c r="ES154" s="456"/>
      <c r="EU154" s="144">
        <f t="shared" si="420"/>
        <v>706.2</v>
      </c>
      <c r="EV154" s="456">
        <f t="shared" si="421"/>
        <v>8.1765026533381163E-2</v>
      </c>
      <c r="EW154" s="456">
        <f t="shared" si="422"/>
        <v>2.4813315623661458E-2</v>
      </c>
      <c r="EX154" s="456">
        <f t="shared" si="423"/>
        <v>3.3682085014526035E-3</v>
      </c>
      <c r="EY154" s="456">
        <f t="shared" si="424"/>
        <v>23.357323485002272</v>
      </c>
      <c r="EZ154" s="456"/>
      <c r="FA154" s="538">
        <f t="shared" si="425"/>
        <v>5.3674131797729001E-2</v>
      </c>
      <c r="FB154" s="144">
        <f t="shared" si="426"/>
        <v>23520.944167458496</v>
      </c>
      <c r="FC154" s="150">
        <f t="shared" si="427"/>
        <v>26.060687990872854</v>
      </c>
      <c r="FD154" s="5">
        <f t="shared" si="428"/>
        <v>40.04</v>
      </c>
      <c r="FE154" s="150">
        <f t="shared" si="429"/>
        <v>0.60574256058467502</v>
      </c>
      <c r="FF154" s="5">
        <f t="shared" si="430"/>
        <v>60.574256058467505</v>
      </c>
      <c r="FG154">
        <f t="shared" si="431"/>
        <v>44</v>
      </c>
      <c r="FI154" s="59">
        <f t="shared" si="432"/>
        <v>-50</v>
      </c>
      <c r="FJ154">
        <f t="shared" si="433"/>
        <v>-50</v>
      </c>
    </row>
    <row r="155" spans="5:166">
      <c r="E155" s="147">
        <v>45</v>
      </c>
      <c r="F155" s="188">
        <f t="shared" si="476"/>
        <v>0.22500000000000001</v>
      </c>
      <c r="G155" s="188">
        <f t="shared" si="444"/>
        <v>0.22500000000000001</v>
      </c>
      <c r="H155" s="188">
        <f t="shared" si="445"/>
        <v>38.25</v>
      </c>
      <c r="I155" s="188">
        <f t="shared" si="446"/>
        <v>2.7</v>
      </c>
      <c r="J155" s="465">
        <f t="shared" si="447"/>
        <v>8.9436443197142932</v>
      </c>
      <c r="K155" s="379">
        <f t="shared" si="448"/>
        <v>8.6586772285101272</v>
      </c>
      <c r="L155" s="149">
        <f t="shared" si="449"/>
        <v>17.60232154822442</v>
      </c>
      <c r="M155" s="379"/>
      <c r="N155" s="188">
        <f t="shared" si="450"/>
        <v>0.49190541172584956</v>
      </c>
      <c r="O155" s="149">
        <f t="shared" si="451"/>
        <v>136.97849762658694</v>
      </c>
      <c r="P155" s="149">
        <f t="shared" si="452"/>
        <v>9.6690704207002547</v>
      </c>
      <c r="Q155" s="188">
        <f t="shared" si="322"/>
        <v>0.80575586839168789</v>
      </c>
      <c r="R155" s="188">
        <f t="shared" si="453"/>
        <v>11.414874802215579</v>
      </c>
      <c r="S155" s="188">
        <f t="shared" si="454"/>
        <v>170</v>
      </c>
      <c r="T155" s="188">
        <f t="shared" si="455"/>
        <v>18.616060507186177</v>
      </c>
      <c r="U155" s="188">
        <f t="shared" si="326"/>
        <v>3.1222273340216313</v>
      </c>
      <c r="V155" s="188">
        <f t="shared" si="327"/>
        <v>3.2249834499933288</v>
      </c>
      <c r="W155" s="172">
        <f t="shared" si="328"/>
        <v>219.97135207093075</v>
      </c>
      <c r="X155" s="379">
        <f t="shared" si="435"/>
        <v>152.73679632271865</v>
      </c>
      <c r="Z155" s="188">
        <f t="shared" si="329"/>
        <v>13.333333333333334</v>
      </c>
      <c r="AA155" s="150">
        <f t="shared" si="330"/>
        <v>2.3098216358206183</v>
      </c>
      <c r="AB155" s="150">
        <f t="shared" si="456"/>
        <v>0.15819794873004686</v>
      </c>
      <c r="AC155" s="150"/>
      <c r="AD155" s="150">
        <f t="shared" si="332"/>
        <v>2.3098216358206183</v>
      </c>
      <c r="AE155" s="314">
        <f t="shared" si="457"/>
        <v>312.85838162425563</v>
      </c>
      <c r="AF155" s="456">
        <f t="shared" si="458"/>
        <v>0.15819794873004686</v>
      </c>
      <c r="AH155" s="150">
        <f t="shared" si="459"/>
        <v>12.489995996796797</v>
      </c>
      <c r="AI155" s="150">
        <f t="shared" si="460"/>
        <v>18.616060507186177</v>
      </c>
      <c r="AJ155" s="150">
        <f t="shared" si="461"/>
        <v>5.1131312398909943</v>
      </c>
      <c r="AL155" s="314">
        <f t="shared" si="462"/>
        <v>225</v>
      </c>
      <c r="AM155" s="144">
        <f t="shared" si="463"/>
        <v>152.73679632271865</v>
      </c>
      <c r="AO155" s="144">
        <f t="shared" si="340"/>
        <v>225</v>
      </c>
      <c r="AP155" s="144">
        <f t="shared" si="341"/>
        <v>152.73679632271865</v>
      </c>
      <c r="AR155" s="5">
        <f t="shared" si="443"/>
        <v>6.5472107840149603</v>
      </c>
      <c r="AS155" s="5">
        <f t="shared" si="440"/>
        <v>3.1222273340216313</v>
      </c>
      <c r="AT155" s="5">
        <f t="shared" si="441"/>
        <v>3.4249834499933289</v>
      </c>
      <c r="AU155" s="150">
        <f t="shared" si="442"/>
        <v>0.47687900038968672</v>
      </c>
      <c r="AW155" s="5">
        <f t="shared" si="342"/>
        <v>0.41323597067933354</v>
      </c>
      <c r="AX155" s="5">
        <f t="shared" si="343"/>
        <v>5.8541762512905589</v>
      </c>
      <c r="AY155" s="5">
        <f t="shared" si="344"/>
        <v>24.413168405611383</v>
      </c>
      <c r="AZ155" s="5"/>
      <c r="BA155" s="150">
        <f t="shared" si="345"/>
        <v>7.4221760904585947</v>
      </c>
      <c r="BB155" s="150">
        <f t="shared" si="346"/>
        <v>0.36305779806385097</v>
      </c>
      <c r="BC155" s="150">
        <f t="shared" si="347"/>
        <v>0.3453720781214023</v>
      </c>
      <c r="BD155" s="150"/>
      <c r="BE155" s="456">
        <f t="shared" si="348"/>
        <v>0.18730157292043575</v>
      </c>
      <c r="BF155" s="456">
        <f t="shared" si="464"/>
        <v>1.1986901227037481</v>
      </c>
      <c r="BG155" s="456">
        <f t="shared" si="465"/>
        <v>6.2563880002611302E-2</v>
      </c>
      <c r="BH155" s="456">
        <f t="shared" si="351"/>
        <v>3.2417099107430965E-2</v>
      </c>
      <c r="BI155">
        <f t="shared" si="352"/>
        <v>4.0246399438714315E-3</v>
      </c>
      <c r="BJ155" s="144">
        <f t="shared" si="436"/>
        <v>66.588519946482734</v>
      </c>
      <c r="BK155">
        <f t="shared" si="466"/>
        <v>1.5373988558190048</v>
      </c>
      <c r="BL155" s="144">
        <f t="shared" si="437"/>
        <v>1484.9973146780976</v>
      </c>
      <c r="BM155" s="150">
        <f t="shared" si="467"/>
        <v>0.49921874999999999</v>
      </c>
      <c r="BN155" s="150">
        <f t="shared" si="468"/>
        <v>0.49921874999999999</v>
      </c>
      <c r="BO155" s="456"/>
      <c r="BQ155" s="144">
        <f t="shared" si="356"/>
        <v>998.4375</v>
      </c>
      <c r="BR155" s="456">
        <f t="shared" si="357"/>
        <v>8.2633046876662841E-2</v>
      </c>
      <c r="BS155" s="456">
        <f t="shared" si="358"/>
        <v>2.6362192946994396E-2</v>
      </c>
      <c r="BT155" s="456">
        <f t="shared" si="359"/>
        <v>3.5784561703768804E-3</v>
      </c>
      <c r="BU155" s="456">
        <f t="shared" si="360"/>
        <v>21.555030980814593</v>
      </c>
      <c r="BV155" s="456"/>
      <c r="BW155" s="538">
        <f t="shared" si="469"/>
        <v>5.2932114184155922E-2</v>
      </c>
      <c r="BX155" s="144">
        <f t="shared" si="362"/>
        <v>21720.536790992781</v>
      </c>
      <c r="BY155" s="150">
        <f t="shared" si="363"/>
        <v>24.20397160567088</v>
      </c>
      <c r="BZ155" s="5">
        <f t="shared" si="364"/>
        <v>40.950000000000003</v>
      </c>
      <c r="CA155" s="150">
        <f t="shared" si="365"/>
        <v>0.62851118651431215</v>
      </c>
      <c r="CB155" s="5">
        <f t="shared" si="366"/>
        <v>62.851118651431214</v>
      </c>
      <c r="CC155">
        <f t="shared" si="367"/>
        <v>45</v>
      </c>
      <c r="CE155" s="59">
        <f t="shared" si="470"/>
        <v>-50</v>
      </c>
      <c r="CF155">
        <f t="shared" si="471"/>
        <v>-50</v>
      </c>
      <c r="CG155" s="150">
        <f t="shared" si="370"/>
        <v>0.49840675206849377</v>
      </c>
      <c r="CH155" s="150">
        <f t="shared" si="472"/>
        <v>0.1350568335034627</v>
      </c>
      <c r="CI155" s="147">
        <v>45</v>
      </c>
      <c r="CJ155" s="188">
        <f t="shared" si="438"/>
        <v>0.22500000000000001</v>
      </c>
      <c r="CK155" s="188">
        <f t="shared" si="372"/>
        <v>0.22500000000000001</v>
      </c>
      <c r="CL155" s="188">
        <f t="shared" si="373"/>
        <v>38.25</v>
      </c>
      <c r="CM155" s="188">
        <f t="shared" si="374"/>
        <v>2.7</v>
      </c>
      <c r="CN155" s="465">
        <f t="shared" si="375"/>
        <v>9</v>
      </c>
      <c r="CO155" s="379">
        <f t="shared" si="473"/>
        <v>8.625</v>
      </c>
      <c r="CP155" s="379">
        <f t="shared" si="474"/>
        <v>17.625</v>
      </c>
      <c r="CQ155" s="379"/>
      <c r="CR155" s="188">
        <f t="shared" si="378"/>
        <v>0.48674080410607357</v>
      </c>
      <c r="CS155" s="149">
        <f t="shared" si="379"/>
        <v>136.39440115060304</v>
      </c>
      <c r="CT155" s="149">
        <f t="shared" si="380"/>
        <v>9.6278400812190377</v>
      </c>
      <c r="CU155" s="188">
        <f t="shared" si="381"/>
        <v>0.80232000676825321</v>
      </c>
      <c r="CV155" s="188">
        <f t="shared" si="382"/>
        <v>11.366200095883586</v>
      </c>
      <c r="CW155" s="188">
        <f t="shared" si="383"/>
        <v>170</v>
      </c>
      <c r="CX155" s="188">
        <f t="shared" si="384"/>
        <v>18.69578207381371</v>
      </c>
      <c r="CY155" s="188">
        <f t="shared" si="385"/>
        <v>3.1159636789689515</v>
      </c>
      <c r="CZ155" s="188">
        <f t="shared" si="386"/>
        <v>3.251440360663254</v>
      </c>
      <c r="DA155" s="172">
        <f t="shared" si="387"/>
        <v>220.21276595744678</v>
      </c>
      <c r="DB155" s="379">
        <f t="shared" si="388"/>
        <v>157.04987366527507</v>
      </c>
      <c r="DD155" s="188">
        <f t="shared" si="389"/>
        <v>13.333333333333336</v>
      </c>
      <c r="DE155" s="150">
        <f t="shared" si="390"/>
        <v>2.3188405797101459</v>
      </c>
      <c r="DF155" s="150">
        <f t="shared" si="391"/>
        <v>0.15898994622398885</v>
      </c>
      <c r="DG155" s="150"/>
      <c r="DH155" s="150">
        <f t="shared" si="392"/>
        <v>2.3188405797101455</v>
      </c>
      <c r="DI155" s="314">
        <f t="shared" si="393"/>
        <v>311.64154411764696</v>
      </c>
      <c r="DJ155" s="456">
        <f t="shared" si="394"/>
        <v>0.15898994622398879</v>
      </c>
      <c r="DL155" s="150">
        <f t="shared" si="395"/>
        <v>12.489995996796797</v>
      </c>
      <c r="DM155" s="150">
        <f t="shared" si="396"/>
        <v>18.69578207381371</v>
      </c>
      <c r="DN155" s="150">
        <f t="shared" si="397"/>
        <v>5.1721842522076855</v>
      </c>
      <c r="DP155" s="314">
        <f t="shared" si="398"/>
        <v>225</v>
      </c>
      <c r="DQ155" s="144">
        <f t="shared" si="399"/>
        <v>157.04987366527507</v>
      </c>
      <c r="DS155" s="144">
        <f t="shared" si="400"/>
        <v>225</v>
      </c>
      <c r="DT155" s="144">
        <f t="shared" si="401"/>
        <v>157.04987366527507</v>
      </c>
      <c r="DV155" s="5">
        <f t="shared" si="402"/>
        <v>6.3674040396322056</v>
      </c>
      <c r="DW155" s="5">
        <f t="shared" si="403"/>
        <v>3.1159636789689515</v>
      </c>
      <c r="DX155" s="5">
        <f t="shared" si="404"/>
        <v>3.251440360663254</v>
      </c>
      <c r="DY155" s="150">
        <f t="shared" si="405"/>
        <v>0.48936170212765956</v>
      </c>
      <c r="EA155" s="5">
        <f t="shared" si="406"/>
        <v>0.41240695751059658</v>
      </c>
      <c r="EB155" s="5">
        <f t="shared" si="407"/>
        <v>5.8424318980667849</v>
      </c>
      <c r="EC155" s="5">
        <f t="shared" si="408"/>
        <v>23.031035888031379</v>
      </c>
      <c r="ED155" s="5"/>
      <c r="EE155" s="150">
        <f t="shared" si="409"/>
        <v>7.5508874820488678</v>
      </c>
      <c r="EF155" s="150">
        <f t="shared" si="410"/>
        <v>0.36023610592093158</v>
      </c>
      <c r="EG155" s="150">
        <f t="shared" si="411"/>
        <v>0.34268783973176853</v>
      </c>
      <c r="EH155" s="150"/>
      <c r="EI155" s="456">
        <f t="shared" si="412"/>
        <v>0.19385406600631178</v>
      </c>
      <c r="EJ155" s="456">
        <f t="shared" si="413"/>
        <v>1.5732000000000002</v>
      </c>
      <c r="EK155" s="456">
        <f t="shared" si="414"/>
        <v>3.5964421069347989E-2</v>
      </c>
      <c r="EL155" s="456">
        <f t="shared" si="415"/>
        <v>3.3418458574413182E-2</v>
      </c>
      <c r="EM155">
        <f t="shared" si="416"/>
        <v>4.0499999999999998E-3</v>
      </c>
      <c r="EN155" s="144">
        <f t="shared" si="417"/>
        <v>40.014421069347989</v>
      </c>
      <c r="EP155" s="144">
        <f t="shared" si="439"/>
        <v>1840.4869456500733</v>
      </c>
      <c r="EQ155" s="150">
        <f t="shared" si="418"/>
        <v>0.5625</v>
      </c>
      <c r="ER155" s="150">
        <f t="shared" si="475"/>
        <v>0.15975</v>
      </c>
      <c r="ES155" s="456"/>
      <c r="EU155" s="144">
        <f t="shared" si="420"/>
        <v>722.25000000000011</v>
      </c>
      <c r="EV155" s="456">
        <f t="shared" si="421"/>
        <v>8.552385264984344E-2</v>
      </c>
      <c r="EW155" s="456">
        <f t="shared" si="422"/>
        <v>2.5954010401815327E-2</v>
      </c>
      <c r="EX155" s="456">
        <f t="shared" si="423"/>
        <v>3.5230486650007884E-3</v>
      </c>
      <c r="EY155" s="456">
        <f t="shared" si="424"/>
        <v>23.357323485002315</v>
      </c>
      <c r="EZ155" s="456"/>
      <c r="FA155" s="538">
        <f t="shared" si="425"/>
        <v>5.4893998429495577E-2</v>
      </c>
      <c r="FB155" s="144">
        <f t="shared" si="426"/>
        <v>23527.218395148469</v>
      </c>
      <c r="FC155" s="150">
        <f t="shared" si="427"/>
        <v>26.089955340798543</v>
      </c>
      <c r="FD155" s="5">
        <f t="shared" si="428"/>
        <v>40.950000000000003</v>
      </c>
      <c r="FE155" s="150">
        <f t="shared" si="429"/>
        <v>0.6108297625174437</v>
      </c>
      <c r="FF155" s="5">
        <f t="shared" si="430"/>
        <v>61.08297625174437</v>
      </c>
      <c r="FG155">
        <f t="shared" si="431"/>
        <v>45</v>
      </c>
      <c r="FI155" s="59">
        <f t="shared" si="432"/>
        <v>-50</v>
      </c>
      <c r="FJ155">
        <f t="shared" si="433"/>
        <v>-50</v>
      </c>
    </row>
    <row r="156" spans="5:166" s="59" customFormat="1">
      <c r="E156" s="147">
        <v>46</v>
      </c>
      <c r="F156" s="188">
        <f t="shared" si="476"/>
        <v>0.23</v>
      </c>
      <c r="G156" s="188">
        <f t="shared" si="444"/>
        <v>0.23</v>
      </c>
      <c r="H156" s="188">
        <f t="shared" si="445"/>
        <v>39.1</v>
      </c>
      <c r="I156" s="188">
        <f t="shared" si="446"/>
        <v>2.7600000000000002</v>
      </c>
      <c r="J156" s="465">
        <f t="shared" si="447"/>
        <v>8.9423919712635005</v>
      </c>
      <c r="K156" s="379">
        <f t="shared" si="448"/>
        <v>8.6594256113659061</v>
      </c>
      <c r="L156" s="149">
        <f t="shared" si="449"/>
        <v>17.601817582629408</v>
      </c>
      <c r="M156" s="379"/>
      <c r="N156" s="188">
        <f t="shared" si="450"/>
        <v>0.49196201305435511</v>
      </c>
      <c r="O156" s="149">
        <f t="shared" si="451"/>
        <v>136.97507627649489</v>
      </c>
      <c r="P156" s="149">
        <f t="shared" si="452"/>
        <v>9.6688289136349344</v>
      </c>
      <c r="Q156" s="188">
        <f t="shared" si="322"/>
        <v>0.80573574280291116</v>
      </c>
      <c r="R156" s="188">
        <f t="shared" si="453"/>
        <v>11.414589689707908</v>
      </c>
      <c r="S156" s="188">
        <f t="shared" si="454"/>
        <v>170</v>
      </c>
      <c r="T156" s="188">
        <f t="shared" si="455"/>
        <v>19.030226063936674</v>
      </c>
      <c r="U156" s="188">
        <f t="shared" si="326"/>
        <v>3.1921368675893262</v>
      </c>
      <c r="V156" s="188">
        <f t="shared" si="327"/>
        <v>3.2964471752535065</v>
      </c>
      <c r="W156" s="172">
        <f t="shared" si="328"/>
        <v>219.96585778519477</v>
      </c>
      <c r="X156" s="379">
        <f t="shared" si="435"/>
        <v>149.50847497686107</v>
      </c>
      <c r="Z156" s="188">
        <f t="shared" si="329"/>
        <v>13.333333333333334</v>
      </c>
      <c r="AA156" s="462">
        <f t="shared" si="330"/>
        <v>2.3096220116203847</v>
      </c>
      <c r="AB156" s="150">
        <f t="shared" si="456"/>
        <v>0.15818032560578696</v>
      </c>
      <c r="AC156" s="462"/>
      <c r="AD156" s="462">
        <f t="shared" si="332"/>
        <v>2.3096220116203847</v>
      </c>
      <c r="AE156" s="314">
        <f t="shared" si="457"/>
        <v>319.83843184568531</v>
      </c>
      <c r="AF156" s="456">
        <f t="shared" si="458"/>
        <v>0.15818032560578696</v>
      </c>
      <c r="AH156" s="150">
        <f t="shared" si="459"/>
        <v>12.628011192055013</v>
      </c>
      <c r="AI156" s="462">
        <f t="shared" si="460"/>
        <v>19.030226063936674</v>
      </c>
      <c r="AJ156" s="462">
        <f t="shared" si="461"/>
        <v>5.4199205411876594</v>
      </c>
      <c r="AL156" s="484">
        <f t="shared" si="462"/>
        <v>230</v>
      </c>
      <c r="AM156" s="485">
        <f t="shared" si="463"/>
        <v>149.50847497686107</v>
      </c>
      <c r="AO156" s="59">
        <f t="shared" si="340"/>
        <v>230</v>
      </c>
      <c r="AP156" s="59">
        <f t="shared" si="341"/>
        <v>149.50847497686107</v>
      </c>
      <c r="AR156" s="167">
        <f t="shared" si="443"/>
        <v>6.6885840428428338</v>
      </c>
      <c r="AS156" s="5">
        <f t="shared" si="440"/>
        <v>3.1921368675893262</v>
      </c>
      <c r="AT156" s="5">
        <f t="shared" si="441"/>
        <v>3.4964471752535076</v>
      </c>
      <c r="AU156" s="150">
        <f t="shared" si="442"/>
        <v>0.4772515149906944</v>
      </c>
      <c r="AW156" s="5">
        <f t="shared" si="342"/>
        <v>0.43187734090914415</v>
      </c>
      <c r="AX156" s="5">
        <f t="shared" si="343"/>
        <v>6.1182623295462086</v>
      </c>
      <c r="AY156" s="5">
        <f t="shared" si="344"/>
        <v>25.479961996696016</v>
      </c>
      <c r="AZ156" s="5"/>
      <c r="BA156" s="150">
        <f t="shared" si="345"/>
        <v>7.5902656839398102</v>
      </c>
      <c r="BB156" s="150">
        <f t="shared" si="346"/>
        <v>0.37100285286939855</v>
      </c>
      <c r="BC156" s="150">
        <f t="shared" si="347"/>
        <v>0.3529301036027826</v>
      </c>
      <c r="BD156" s="150"/>
      <c r="BE156" s="456">
        <f t="shared" si="348"/>
        <v>0.19588125271950052</v>
      </c>
      <c r="BF156" s="456">
        <f t="shared" si="464"/>
        <v>1.1994241600065576</v>
      </c>
      <c r="BG156" s="456">
        <f t="shared" si="465"/>
        <v>6.1232923091117109E-2</v>
      </c>
      <c r="BH156" s="456">
        <f t="shared" si="351"/>
        <v>3.173009809788193E-2</v>
      </c>
      <c r="BI156">
        <f t="shared" si="352"/>
        <v>4.0240763870685748E-3</v>
      </c>
      <c r="BJ156" s="144">
        <f t="shared" si="436"/>
        <v>65.256999478185676</v>
      </c>
      <c r="BK156">
        <f t="shared" si="466"/>
        <v>1.5521632788027622</v>
      </c>
      <c r="BL156" s="144">
        <f t="shared" si="437"/>
        <v>1492.2925103021257</v>
      </c>
      <c r="BM156" s="150">
        <f t="shared" si="467"/>
        <v>0.51031250000000006</v>
      </c>
      <c r="BN156" s="150">
        <f t="shared" si="468"/>
        <v>0.51031250000000006</v>
      </c>
      <c r="BO156" s="456"/>
      <c r="BP156"/>
      <c r="BQ156" s="144">
        <f t="shared" si="356"/>
        <v>1020.6250000000001</v>
      </c>
      <c r="BR156" s="456">
        <f t="shared" si="357"/>
        <v>8.6418199729191403E-2</v>
      </c>
      <c r="BS156" s="456">
        <f t="shared" si="358"/>
        <v>2.752862336744652E-2</v>
      </c>
      <c r="BT156" s="456">
        <f t="shared" si="359"/>
        <v>3.7367897408721257E-3</v>
      </c>
      <c r="BU156" s="456">
        <f t="shared" si="360"/>
        <v>21.589590344269745</v>
      </c>
      <c r="BV156" s="456"/>
      <c r="BW156" s="538">
        <f t="shared" si="469"/>
        <v>5.4144420063324969E-2</v>
      </c>
      <c r="BX156" s="144">
        <f t="shared" si="362"/>
        <v>21761.418377170579</v>
      </c>
      <c r="BY156" s="150">
        <f t="shared" si="363"/>
        <v>24.274335887472702</v>
      </c>
      <c r="BZ156" s="5">
        <f t="shared" si="364"/>
        <v>41.86</v>
      </c>
      <c r="CA156" s="150">
        <f t="shared" si="365"/>
        <v>0.63295411435331594</v>
      </c>
      <c r="CB156" s="5">
        <f t="shared" si="366"/>
        <v>63.295411435331594</v>
      </c>
      <c r="CC156">
        <f t="shared" si="367"/>
        <v>46</v>
      </c>
      <c r="CE156" s="59">
        <f t="shared" si="470"/>
        <v>-50</v>
      </c>
      <c r="CF156">
        <f t="shared" si="471"/>
        <v>-50</v>
      </c>
      <c r="CG156" s="150">
        <f t="shared" si="370"/>
        <v>0.49840675206849377</v>
      </c>
      <c r="CH156" s="150">
        <f t="shared" si="472"/>
        <v>0.1350568335034627</v>
      </c>
      <c r="CI156" s="147">
        <v>46</v>
      </c>
      <c r="CJ156" s="188">
        <f t="shared" si="438"/>
        <v>0.23</v>
      </c>
      <c r="CK156" s="188">
        <f t="shared" si="372"/>
        <v>0.23</v>
      </c>
      <c r="CL156" s="188">
        <f t="shared" si="373"/>
        <v>39.1</v>
      </c>
      <c r="CM156" s="188">
        <f t="shared" si="374"/>
        <v>2.7600000000000002</v>
      </c>
      <c r="CN156" s="465">
        <f t="shared" si="375"/>
        <v>9</v>
      </c>
      <c r="CO156" s="379">
        <f t="shared" si="473"/>
        <v>8.625</v>
      </c>
      <c r="CP156" s="379">
        <f t="shared" si="474"/>
        <v>17.625</v>
      </c>
      <c r="CQ156" s="379"/>
      <c r="CR156" s="188">
        <f t="shared" si="378"/>
        <v>0.48674080410607357</v>
      </c>
      <c r="CS156" s="149">
        <f t="shared" si="379"/>
        <v>136.39440115060304</v>
      </c>
      <c r="CT156" s="149">
        <f t="shared" si="380"/>
        <v>9.6278400812190377</v>
      </c>
      <c r="CU156" s="188">
        <f t="shared" si="381"/>
        <v>0.80232000676825321</v>
      </c>
      <c r="CV156" s="188">
        <f t="shared" si="382"/>
        <v>11.366200095883586</v>
      </c>
      <c r="CW156" s="188">
        <f t="shared" si="383"/>
        <v>170</v>
      </c>
      <c r="CX156" s="188">
        <f t="shared" si="384"/>
        <v>19.111243897676236</v>
      </c>
      <c r="CY156" s="188">
        <f t="shared" si="385"/>
        <v>3.185207316279373</v>
      </c>
      <c r="CZ156" s="188">
        <f t="shared" si="386"/>
        <v>3.3236945909002151</v>
      </c>
      <c r="DA156" s="172">
        <f t="shared" si="387"/>
        <v>220.21276595744678</v>
      </c>
      <c r="DB156" s="379">
        <f t="shared" si="388"/>
        <v>153.63574597689953</v>
      </c>
      <c r="DD156" s="188">
        <f t="shared" si="389"/>
        <v>13.333333333333336</v>
      </c>
      <c r="DE156" s="462">
        <f t="shared" si="390"/>
        <v>2.3188405797101459</v>
      </c>
      <c r="DF156" s="150">
        <f t="shared" si="391"/>
        <v>0.15898994622398885</v>
      </c>
      <c r="DG156" s="462"/>
      <c r="DH156" s="462">
        <f t="shared" si="392"/>
        <v>2.3188405797101455</v>
      </c>
      <c r="DI156" s="314">
        <f t="shared" si="393"/>
        <v>318.56691176470576</v>
      </c>
      <c r="DJ156" s="456">
        <f t="shared" si="394"/>
        <v>0.15898994622398879</v>
      </c>
      <c r="DL156" s="150">
        <f t="shared" si="395"/>
        <v>12.628011192055013</v>
      </c>
      <c r="DM156" s="462">
        <f t="shared" si="396"/>
        <v>19.111243897676236</v>
      </c>
      <c r="DN156" s="462">
        <f t="shared" si="397"/>
        <v>5.4799337513651123</v>
      </c>
      <c r="DP156" s="484">
        <f t="shared" si="398"/>
        <v>230</v>
      </c>
      <c r="DQ156" s="485">
        <f t="shared" si="399"/>
        <v>153.63574597689953</v>
      </c>
      <c r="DS156" s="59">
        <f t="shared" si="400"/>
        <v>230</v>
      </c>
      <c r="DT156" s="59">
        <f t="shared" si="401"/>
        <v>153.63574597689953</v>
      </c>
      <c r="DV156" s="167">
        <f t="shared" si="402"/>
        <v>6.5089019071795873</v>
      </c>
      <c r="DW156" s="5">
        <f t="shared" si="403"/>
        <v>3.185207316279373</v>
      </c>
      <c r="DX156" s="5">
        <f t="shared" si="404"/>
        <v>3.3236945909002142</v>
      </c>
      <c r="DY156" s="150">
        <f t="shared" si="405"/>
        <v>0.48936170212765967</v>
      </c>
      <c r="EA156" s="5">
        <f t="shared" si="406"/>
        <v>0.43093981337897402</v>
      </c>
      <c r="EB156" s="5">
        <f t="shared" si="407"/>
        <v>6.1049806895354655</v>
      </c>
      <c r="EC156" s="5">
        <f t="shared" si="408"/>
        <v>24.066010834110809</v>
      </c>
      <c r="ED156" s="5"/>
      <c r="EE156" s="150">
        <f t="shared" si="409"/>
        <v>7.7186849816499548</v>
      </c>
      <c r="EF156" s="150">
        <f t="shared" si="410"/>
        <v>0.36824135271917435</v>
      </c>
      <c r="EG156" s="150">
        <f t="shared" si="411"/>
        <v>0.35030312505914107</v>
      </c>
      <c r="EH156" s="150"/>
      <c r="EI156" s="456">
        <f t="shared" si="412"/>
        <v>0.2025655326762251</v>
      </c>
      <c r="EJ156" s="456">
        <f t="shared" si="413"/>
        <v>1.5732000000000002</v>
      </c>
      <c r="EK156" s="456">
        <f t="shared" si="414"/>
        <v>3.5182585828709992E-2</v>
      </c>
      <c r="EL156" s="456">
        <f t="shared" si="415"/>
        <v>3.2691970344534638E-2</v>
      </c>
      <c r="EM156">
        <f t="shared" si="416"/>
        <v>4.0499999999999998E-3</v>
      </c>
      <c r="EN156" s="144">
        <f t="shared" si="417"/>
        <v>39.232585828709993</v>
      </c>
      <c r="EO156"/>
      <c r="EP156" s="144">
        <f t="shared" si="439"/>
        <v>1847.6900888494699</v>
      </c>
      <c r="EQ156" s="150">
        <f t="shared" si="418"/>
        <v>0.57500000000000007</v>
      </c>
      <c r="ER156" s="150">
        <f t="shared" si="475"/>
        <v>0.1633</v>
      </c>
      <c r="ES156" s="456"/>
      <c r="ET156"/>
      <c r="EU156" s="144">
        <f t="shared" si="420"/>
        <v>738.30000000000007</v>
      </c>
      <c r="EV156" s="456">
        <f t="shared" si="421"/>
        <v>8.936714676892285E-2</v>
      </c>
      <c r="EW156" s="456">
        <f t="shared" si="422"/>
        <v>2.7120338770489479E-2</v>
      </c>
      <c r="EX156" s="456">
        <f t="shared" si="423"/>
        <v>3.6813683827860069E-3</v>
      </c>
      <c r="EY156" s="456">
        <f t="shared" si="424"/>
        <v>23.357323485002279</v>
      </c>
      <c r="EZ156" s="456"/>
      <c r="FA156" s="538">
        <f t="shared" si="425"/>
        <v>5.611386506126214E-2</v>
      </c>
      <c r="FB156" s="144">
        <f t="shared" si="426"/>
        <v>23533.606203985742</v>
      </c>
      <c r="FC156" s="150">
        <f t="shared" si="427"/>
        <v>26.119596292835212</v>
      </c>
      <c r="FD156" s="5">
        <f t="shared" si="428"/>
        <v>41.86</v>
      </c>
      <c r="FE156" s="150">
        <f t="shared" si="429"/>
        <v>0.61577300076452324</v>
      </c>
      <c r="FF156" s="5">
        <f t="shared" si="430"/>
        <v>61.577300076452325</v>
      </c>
      <c r="FG156">
        <f t="shared" si="431"/>
        <v>46</v>
      </c>
      <c r="FI156" s="59">
        <f t="shared" si="432"/>
        <v>-50</v>
      </c>
      <c r="FJ156">
        <f t="shared" si="433"/>
        <v>-50</v>
      </c>
    </row>
    <row r="157" spans="5:166">
      <c r="E157" s="147">
        <v>47</v>
      </c>
      <c r="F157" s="188">
        <f t="shared" si="476"/>
        <v>0.23499999999999999</v>
      </c>
      <c r="G157" s="188">
        <f t="shared" si="444"/>
        <v>0.23499999999999999</v>
      </c>
      <c r="H157" s="188">
        <f t="shared" si="445"/>
        <v>39.949999999999996</v>
      </c>
      <c r="I157" s="188">
        <f t="shared" si="446"/>
        <v>2.82</v>
      </c>
      <c r="J157" s="465">
        <f t="shared" si="447"/>
        <v>8.941139622812706</v>
      </c>
      <c r="K157" s="379">
        <f t="shared" si="448"/>
        <v>8.6601739942216884</v>
      </c>
      <c r="L157" s="149">
        <f t="shared" si="449"/>
        <v>17.601313617034393</v>
      </c>
      <c r="M157" s="379"/>
      <c r="N157" s="188">
        <f t="shared" si="450"/>
        <v>0.4920186176241102</v>
      </c>
      <c r="O157" s="149">
        <f t="shared" si="451"/>
        <v>136.97165141466652</v>
      </c>
      <c r="P157" s="149">
        <f t="shared" si="452"/>
        <v>9.6685871586823424</v>
      </c>
      <c r="Q157" s="188">
        <f t="shared" si="322"/>
        <v>0.80571559655686187</v>
      </c>
      <c r="R157" s="188">
        <f t="shared" si="453"/>
        <v>11.414304284555543</v>
      </c>
      <c r="S157" s="188">
        <f t="shared" si="454"/>
        <v>170</v>
      </c>
      <c r="T157" s="188">
        <f t="shared" si="455"/>
        <v>19.444412809701667</v>
      </c>
      <c r="U157" s="188">
        <f t="shared" si="326"/>
        <v>3.2620695397861668</v>
      </c>
      <c r="V157" s="188">
        <f t="shared" si="327"/>
        <v>3.3679022192871981</v>
      </c>
      <c r="W157" s="172">
        <f t="shared" si="328"/>
        <v>219.96035786002324</v>
      </c>
      <c r="X157" s="379">
        <f t="shared" si="435"/>
        <v>146.41348972952002</v>
      </c>
      <c r="Z157" s="188">
        <f t="shared" si="329"/>
        <v>13.333333333333334</v>
      </c>
      <c r="AA157" s="150">
        <f t="shared" si="330"/>
        <v>2.309422421921842</v>
      </c>
      <c r="AB157" s="150">
        <f t="shared" si="456"/>
        <v>0.15816270147234668</v>
      </c>
      <c r="AC157" s="150"/>
      <c r="AD157" s="150">
        <f t="shared" si="332"/>
        <v>2.309422421921842</v>
      </c>
      <c r="AE157" s="314">
        <f t="shared" si="457"/>
        <v>326.81968388193667</v>
      </c>
      <c r="AF157" s="456">
        <f t="shared" si="458"/>
        <v>0.15816270147234671</v>
      </c>
      <c r="AH157" s="150">
        <f t="shared" si="459"/>
        <v>12.764534199622535</v>
      </c>
      <c r="AI157" s="150">
        <f t="shared" si="460"/>
        <v>19.444412809701667</v>
      </c>
      <c r="AJ157" s="150">
        <f t="shared" si="461"/>
        <v>5.7267255380506175</v>
      </c>
      <c r="AL157" s="314">
        <f t="shared" si="462"/>
        <v>235</v>
      </c>
      <c r="AM157" s="144">
        <f t="shared" si="463"/>
        <v>146.41348972952002</v>
      </c>
      <c r="AO157">
        <f t="shared" si="340"/>
        <v>235</v>
      </c>
      <c r="AP157">
        <f t="shared" si="341"/>
        <v>146.41348972952002</v>
      </c>
      <c r="AR157" s="5">
        <f t="shared" si="443"/>
        <v>6.8299717590733655</v>
      </c>
      <c r="AS157" s="5">
        <f t="shared" si="440"/>
        <v>3.2620695397861668</v>
      </c>
      <c r="AT157" s="5">
        <f t="shared" si="441"/>
        <v>3.5679022192871988</v>
      </c>
      <c r="AU157" s="150">
        <f t="shared" si="442"/>
        <v>0.47761098506046201</v>
      </c>
      <c r="AW157" s="5">
        <f t="shared" si="342"/>
        <v>0.45093314226455838</v>
      </c>
      <c r="AX157" s="5">
        <f t="shared" si="343"/>
        <v>6.3882195154145762</v>
      </c>
      <c r="AY157" s="5">
        <f t="shared" si="344"/>
        <v>26.569635727577051</v>
      </c>
      <c r="AZ157" s="5"/>
      <c r="BA157" s="150">
        <f t="shared" si="345"/>
        <v>7.7583855666110537</v>
      </c>
      <c r="BB157" s="150">
        <f t="shared" si="346"/>
        <v>0.37894725103600502</v>
      </c>
      <c r="BC157" s="150">
        <f t="shared" si="347"/>
        <v>0.36048750443222904</v>
      </c>
      <c r="BD157" s="150"/>
      <c r="BE157" s="456">
        <f t="shared" si="348"/>
        <v>0.20465465844067565</v>
      </c>
      <c r="BF157" s="456">
        <f t="shared" si="464"/>
        <v>1.2001251132284774</v>
      </c>
      <c r="BG157" s="456">
        <f t="shared" si="465"/>
        <v>5.9956938208538091E-2</v>
      </c>
      <c r="BH157" s="456">
        <f t="shared" si="351"/>
        <v>3.1071471830617661E-2</v>
      </c>
      <c r="BI157">
        <f t="shared" si="352"/>
        <v>4.0235128302657172E-3</v>
      </c>
      <c r="BJ157" s="144">
        <f t="shared" si="436"/>
        <v>63.980451038803814</v>
      </c>
      <c r="BK157">
        <f t="shared" si="466"/>
        <v>1.5673204417701407</v>
      </c>
      <c r="BL157" s="144">
        <f t="shared" si="437"/>
        <v>1499.8316945385745</v>
      </c>
      <c r="BM157" s="150">
        <f t="shared" si="467"/>
        <v>0.52140624999999985</v>
      </c>
      <c r="BN157" s="150">
        <f t="shared" si="468"/>
        <v>0.52140624999999985</v>
      </c>
      <c r="BO157" s="456"/>
      <c r="BQ157" s="144">
        <f t="shared" si="356"/>
        <v>1042.8124999999998</v>
      </c>
      <c r="BR157" s="456">
        <f t="shared" si="357"/>
        <v>9.0288819900298092E-2</v>
      </c>
      <c r="BS157" s="456">
        <f t="shared" si="358"/>
        <v>2.8720203813549002E-2</v>
      </c>
      <c r="BT157" s="456">
        <f t="shared" si="359"/>
        <v>3.898537225553291E-3</v>
      </c>
      <c r="BU157" s="456">
        <f t="shared" si="360"/>
        <v>21.622694690576601</v>
      </c>
      <c r="BV157" s="456"/>
      <c r="BW157" s="538">
        <f t="shared" si="469"/>
        <v>5.5356772011804896E-2</v>
      </c>
      <c r="BX157" s="144">
        <f t="shared" si="362"/>
        <v>21800.959023527805</v>
      </c>
      <c r="BY157" s="150">
        <f t="shared" si="363"/>
        <v>24.343603218066381</v>
      </c>
      <c r="BZ157" s="5">
        <f t="shared" si="364"/>
        <v>42.769999999999996</v>
      </c>
      <c r="CA157" s="150">
        <f t="shared" si="365"/>
        <v>0.6372776598066292</v>
      </c>
      <c r="CB157" s="5">
        <f t="shared" si="366"/>
        <v>63.727765980662923</v>
      </c>
      <c r="CC157">
        <f t="shared" si="367"/>
        <v>47</v>
      </c>
      <c r="CE157" s="59">
        <f t="shared" si="470"/>
        <v>-50</v>
      </c>
      <c r="CF157">
        <f t="shared" si="471"/>
        <v>-50</v>
      </c>
      <c r="CG157" s="150">
        <f t="shared" si="370"/>
        <v>0.49840675206849366</v>
      </c>
      <c r="CH157" s="150">
        <f t="shared" si="472"/>
        <v>0.1350568335034627</v>
      </c>
      <c r="CI157" s="147">
        <v>47</v>
      </c>
      <c r="CJ157" s="188">
        <f t="shared" si="438"/>
        <v>0.23499999999999999</v>
      </c>
      <c r="CK157" s="188">
        <f t="shared" si="372"/>
        <v>0.23499999999999999</v>
      </c>
      <c r="CL157" s="188">
        <f t="shared" si="373"/>
        <v>39.949999999999996</v>
      </c>
      <c r="CM157" s="188">
        <f t="shared" si="374"/>
        <v>2.82</v>
      </c>
      <c r="CN157" s="465">
        <f t="shared" si="375"/>
        <v>9</v>
      </c>
      <c r="CO157" s="379">
        <f t="shared" si="473"/>
        <v>8.625</v>
      </c>
      <c r="CP157" s="379">
        <f t="shared" si="474"/>
        <v>17.625</v>
      </c>
      <c r="CQ157" s="379"/>
      <c r="CR157" s="188">
        <f t="shared" si="378"/>
        <v>0.48674080410607357</v>
      </c>
      <c r="CS157" s="149">
        <f t="shared" si="379"/>
        <v>136.39440115060304</v>
      </c>
      <c r="CT157" s="149">
        <f t="shared" si="380"/>
        <v>9.6278400812190377</v>
      </c>
      <c r="CU157" s="188">
        <f t="shared" si="381"/>
        <v>0.80232000676825321</v>
      </c>
      <c r="CV157" s="188">
        <f t="shared" si="382"/>
        <v>11.366200095883586</v>
      </c>
      <c r="CW157" s="188">
        <f t="shared" si="383"/>
        <v>170</v>
      </c>
      <c r="CX157" s="188">
        <f t="shared" si="384"/>
        <v>19.526705721538761</v>
      </c>
      <c r="CY157" s="188">
        <f t="shared" si="385"/>
        <v>3.2544509535897936</v>
      </c>
      <c r="CZ157" s="188">
        <f t="shared" si="386"/>
        <v>3.3959488211371762</v>
      </c>
      <c r="DA157" s="172">
        <f t="shared" si="387"/>
        <v>220.21276595744678</v>
      </c>
      <c r="DB157" s="379">
        <f t="shared" si="388"/>
        <v>150.36690031781657</v>
      </c>
      <c r="DD157" s="188">
        <f t="shared" si="389"/>
        <v>13.333333333333336</v>
      </c>
      <c r="DE157" s="150">
        <f t="shared" si="390"/>
        <v>2.3188405797101459</v>
      </c>
      <c r="DF157" s="150">
        <f t="shared" si="391"/>
        <v>0.15898994622398885</v>
      </c>
      <c r="DG157" s="150"/>
      <c r="DH157" s="150">
        <f t="shared" si="392"/>
        <v>2.3188405797101455</v>
      </c>
      <c r="DI157" s="314">
        <f t="shared" si="393"/>
        <v>325.49227941176457</v>
      </c>
      <c r="DJ157" s="456">
        <f t="shared" si="394"/>
        <v>0.15898994622398879</v>
      </c>
      <c r="DL157" s="150">
        <f t="shared" si="395"/>
        <v>12.764534199622535</v>
      </c>
      <c r="DM157" s="150">
        <f t="shared" si="396"/>
        <v>19.526705721538761</v>
      </c>
      <c r="DN157" s="150">
        <f t="shared" si="397"/>
        <v>5.7876832505225382</v>
      </c>
      <c r="DP157" s="314">
        <f t="shared" si="398"/>
        <v>235</v>
      </c>
      <c r="DQ157" s="144">
        <f t="shared" si="399"/>
        <v>150.36690031781657</v>
      </c>
      <c r="DS157">
        <f t="shared" si="400"/>
        <v>235</v>
      </c>
      <c r="DT157">
        <f t="shared" si="401"/>
        <v>150.36690031781657</v>
      </c>
      <c r="DV157" s="5">
        <f t="shared" si="402"/>
        <v>6.6503997747269699</v>
      </c>
      <c r="DW157" s="5">
        <f t="shared" si="403"/>
        <v>3.2544509535897936</v>
      </c>
      <c r="DX157" s="5">
        <f t="shared" si="404"/>
        <v>3.3959488211371762</v>
      </c>
      <c r="DY157" s="150">
        <f t="shared" si="405"/>
        <v>0.48936170212765956</v>
      </c>
      <c r="EA157" s="5">
        <f t="shared" si="406"/>
        <v>0.44987998476094204</v>
      </c>
      <c r="EB157" s="5">
        <f t="shared" si="407"/>
        <v>6.3732997841133452</v>
      </c>
      <c r="EC157" s="5">
        <f t="shared" si="408"/>
        <v>25.123732482301879</v>
      </c>
      <c r="ED157" s="5"/>
      <c r="EE157" s="150">
        <f t="shared" si="409"/>
        <v>7.8864824812510381</v>
      </c>
      <c r="EF157" s="150">
        <f t="shared" si="410"/>
        <v>0.37624659951741735</v>
      </c>
      <c r="EG157" s="150">
        <f t="shared" si="411"/>
        <v>0.35791841038651373</v>
      </c>
      <c r="EH157" s="150"/>
      <c r="EI157" s="456">
        <f t="shared" si="412"/>
        <v>0.21146846015207038</v>
      </c>
      <c r="EJ157" s="456">
        <f t="shared" si="413"/>
        <v>1.5731999999999997</v>
      </c>
      <c r="EK157" s="456">
        <f t="shared" si="414"/>
        <v>3.4434020172779994E-2</v>
      </c>
      <c r="EL157" s="456">
        <f t="shared" si="415"/>
        <v>3.1996396507416883E-2</v>
      </c>
      <c r="EM157">
        <f t="shared" si="416"/>
        <v>4.0499999999999998E-3</v>
      </c>
      <c r="EN157" s="144">
        <f t="shared" si="417"/>
        <v>38.484020172779992</v>
      </c>
      <c r="EP157" s="144">
        <f t="shared" si="439"/>
        <v>1855.148876832267</v>
      </c>
      <c r="EQ157" s="150">
        <f t="shared" si="418"/>
        <v>0.58749999999999991</v>
      </c>
      <c r="ER157" s="150">
        <f t="shared" si="475"/>
        <v>0.16685</v>
      </c>
      <c r="ES157" s="456"/>
      <c r="EU157" s="144">
        <f t="shared" si="420"/>
        <v>754.34999999999991</v>
      </c>
      <c r="EV157" s="456">
        <f t="shared" si="421"/>
        <v>9.3294908890619296E-2</v>
      </c>
      <c r="EW157" s="456">
        <f t="shared" si="422"/>
        <v>2.8312300729683965E-2</v>
      </c>
      <c r="EX157" s="456">
        <f t="shared" si="423"/>
        <v>3.843167654808266E-3</v>
      </c>
      <c r="EY157" s="456">
        <f t="shared" si="424"/>
        <v>23.357323485002272</v>
      </c>
      <c r="EZ157" s="456"/>
      <c r="FA157" s="538">
        <f t="shared" si="425"/>
        <v>5.7333731693028696E-2</v>
      </c>
      <c r="FB157" s="144">
        <f t="shared" si="426"/>
        <v>23540.10759397041</v>
      </c>
      <c r="FC157" s="150">
        <f t="shared" si="427"/>
        <v>26.149606470802677</v>
      </c>
      <c r="FD157" s="5">
        <f t="shared" si="428"/>
        <v>42.769999999999996</v>
      </c>
      <c r="FE157" s="150">
        <f t="shared" si="429"/>
        <v>0.62057812268732582</v>
      </c>
      <c r="FF157" s="5">
        <f t="shared" si="430"/>
        <v>62.057812268732583</v>
      </c>
      <c r="FG157">
        <f t="shared" si="431"/>
        <v>47</v>
      </c>
      <c r="FI157" s="59">
        <f t="shared" si="432"/>
        <v>-50</v>
      </c>
      <c r="FJ157">
        <f t="shared" si="433"/>
        <v>-50</v>
      </c>
    </row>
    <row r="158" spans="5:166">
      <c r="E158" s="147">
        <v>48</v>
      </c>
      <c r="F158" s="188">
        <f t="shared" si="476"/>
        <v>0.24</v>
      </c>
      <c r="G158" s="188">
        <f t="shared" si="444"/>
        <v>0.24</v>
      </c>
      <c r="H158" s="188">
        <f t="shared" si="445"/>
        <v>40.799999999999997</v>
      </c>
      <c r="I158" s="188">
        <f t="shared" si="446"/>
        <v>2.88</v>
      </c>
      <c r="J158" s="465">
        <f t="shared" si="447"/>
        <v>8.9398872743619133</v>
      </c>
      <c r="K158" s="379">
        <f t="shared" si="448"/>
        <v>8.6609223770774673</v>
      </c>
      <c r="L158" s="149">
        <f t="shared" si="449"/>
        <v>17.600809651439381</v>
      </c>
      <c r="M158" s="379"/>
      <c r="N158" s="188">
        <f t="shared" si="450"/>
        <v>0.49207522543539262</v>
      </c>
      <c r="O158" s="149">
        <f t="shared" si="451"/>
        <v>136.96822304080004</v>
      </c>
      <c r="P158" s="149">
        <f t="shared" si="452"/>
        <v>9.6683451558211804</v>
      </c>
      <c r="Q158" s="188">
        <f t="shared" si="322"/>
        <v>0.80569542965176499</v>
      </c>
      <c r="R158" s="188">
        <f t="shared" si="453"/>
        <v>11.414018586733336</v>
      </c>
      <c r="S158" s="188">
        <f t="shared" si="454"/>
        <v>170</v>
      </c>
      <c r="T158" s="188">
        <f t="shared" si="455"/>
        <v>19.858620777972476</v>
      </c>
      <c r="U158" s="188">
        <f t="shared" si="326"/>
        <v>3.3320253659557286</v>
      </c>
      <c r="V158" s="188">
        <f t="shared" si="327"/>
        <v>3.4393485901452361</v>
      </c>
      <c r="W158" s="172">
        <f t="shared" si="328"/>
        <v>219.95485229493175</v>
      </c>
      <c r="X158" s="379">
        <f t="shared" si="435"/>
        <v>143.4437467129209</v>
      </c>
      <c r="Z158" s="188">
        <f t="shared" si="329"/>
        <v>13.333333333333334</v>
      </c>
      <c r="AA158" s="150">
        <f t="shared" si="330"/>
        <v>2.3092228667160488</v>
      </c>
      <c r="AB158" s="150">
        <f t="shared" si="456"/>
        <v>0.15814507632963967</v>
      </c>
      <c r="AC158" s="150"/>
      <c r="AD158" s="150">
        <f t="shared" si="332"/>
        <v>2.3092228667160488</v>
      </c>
      <c r="AE158" s="314">
        <f t="shared" si="457"/>
        <v>333.80213773300909</v>
      </c>
      <c r="AF158" s="456">
        <f t="shared" si="458"/>
        <v>0.15814507632963967</v>
      </c>
      <c r="AH158" s="150">
        <f t="shared" si="459"/>
        <v>12.89961239727768</v>
      </c>
      <c r="AI158" s="150">
        <f t="shared" si="460"/>
        <v>19.858620777972476</v>
      </c>
      <c r="AJ158" s="150">
        <f t="shared" si="461"/>
        <v>6.0335462552882539</v>
      </c>
      <c r="AL158" s="314">
        <f t="shared" si="462"/>
        <v>240</v>
      </c>
      <c r="AM158" s="144">
        <f t="shared" si="463"/>
        <v>143.4437467129209</v>
      </c>
      <c r="AO158">
        <f t="shared" si="340"/>
        <v>240</v>
      </c>
      <c r="AP158">
        <f t="shared" si="341"/>
        <v>143.4437467129209</v>
      </c>
      <c r="AR158" s="5">
        <f t="shared" si="443"/>
        <v>6.9713739561009636</v>
      </c>
      <c r="AS158" s="5">
        <f t="shared" si="440"/>
        <v>3.3320253659557286</v>
      </c>
      <c r="AT158" s="5">
        <f t="shared" si="441"/>
        <v>3.6393485901452349</v>
      </c>
      <c r="AU158" s="150">
        <f t="shared" si="442"/>
        <v>0.47795820263518113</v>
      </c>
      <c r="AW158" s="5">
        <f t="shared" si="342"/>
        <v>0.47040358107610286</v>
      </c>
      <c r="AX158" s="5">
        <f t="shared" si="343"/>
        <v>6.6640507319114572</v>
      </c>
      <c r="AY158" s="5">
        <f t="shared" si="344"/>
        <v>27.68219514798519</v>
      </c>
      <c r="AZ158" s="5"/>
      <c r="BA158" s="150">
        <f t="shared" si="345"/>
        <v>7.9265356066183807</v>
      </c>
      <c r="BB158" s="150">
        <f t="shared" si="346"/>
        <v>0.38689100350809374</v>
      </c>
      <c r="BC158" s="150">
        <f t="shared" si="347"/>
        <v>0.36804429102102665</v>
      </c>
      <c r="BD158" s="150"/>
      <c r="BE158" s="456">
        <f t="shared" si="348"/>
        <v>0.21362188685816266</v>
      </c>
      <c r="BF158" s="456">
        <f t="shared" si="464"/>
        <v>1.2007949888469882</v>
      </c>
      <c r="BG158" s="456">
        <f t="shared" si="465"/>
        <v>5.873258840281409E-2</v>
      </c>
      <c r="BH158" s="456">
        <f t="shared" si="351"/>
        <v>3.0439497881022123E-2</v>
      </c>
      <c r="BI158">
        <f t="shared" si="352"/>
        <v>4.0229492734628605E-3</v>
      </c>
      <c r="BJ158" s="144">
        <f t="shared" si="436"/>
        <v>62.755537676276951</v>
      </c>
      <c r="BK158">
        <f t="shared" si="466"/>
        <v>1.582875604113144</v>
      </c>
      <c r="BL158" s="144">
        <f t="shared" si="437"/>
        <v>1507.6119112624499</v>
      </c>
      <c r="BM158" s="150">
        <f t="shared" si="467"/>
        <v>0.53249999999999997</v>
      </c>
      <c r="BN158" s="150">
        <f t="shared" si="468"/>
        <v>0.53249999999999997</v>
      </c>
      <c r="BO158" s="456"/>
      <c r="BQ158" s="144">
        <f t="shared" si="356"/>
        <v>1065</v>
      </c>
      <c r="BR158" s="456">
        <f t="shared" si="357"/>
        <v>9.4244950084483539E-2</v>
      </c>
      <c r="BS158" s="456">
        <f t="shared" si="358"/>
        <v>2.9936929719099965E-2</v>
      </c>
      <c r="BT158" s="456">
        <f t="shared" si="359"/>
        <v>4.0636980045951048E-3</v>
      </c>
      <c r="BU158" s="456">
        <f t="shared" si="360"/>
        <v>21.654430257645124</v>
      </c>
      <c r="BV158" s="456"/>
      <c r="BW158" s="538">
        <f t="shared" si="469"/>
        <v>5.6569167238287907E-2</v>
      </c>
      <c r="BX158" s="144">
        <f t="shared" si="362"/>
        <v>21839.24500269159</v>
      </c>
      <c r="BY158" s="150">
        <f t="shared" si="363"/>
        <v>24.41185691395404</v>
      </c>
      <c r="BZ158" s="5">
        <f t="shared" si="364"/>
        <v>43.68</v>
      </c>
      <c r="CA158" s="150">
        <f t="shared" si="365"/>
        <v>0.64148639763484949</v>
      </c>
      <c r="CB158" s="5">
        <f t="shared" si="366"/>
        <v>64.148639763484951</v>
      </c>
      <c r="CC158">
        <f t="shared" si="367"/>
        <v>48</v>
      </c>
      <c r="CE158" s="59">
        <f t="shared" si="470"/>
        <v>-50</v>
      </c>
      <c r="CF158">
        <f t="shared" si="471"/>
        <v>-50</v>
      </c>
      <c r="CG158" s="150">
        <f t="shared" si="370"/>
        <v>0.49840675206849377</v>
      </c>
      <c r="CH158" s="150">
        <f t="shared" si="472"/>
        <v>0.1350568335034627</v>
      </c>
      <c r="CI158" s="147">
        <v>48</v>
      </c>
      <c r="CJ158" s="188">
        <f t="shared" si="438"/>
        <v>0.24</v>
      </c>
      <c r="CK158" s="188">
        <f t="shared" si="372"/>
        <v>0.24</v>
      </c>
      <c r="CL158" s="188">
        <f t="shared" si="373"/>
        <v>40.799999999999997</v>
      </c>
      <c r="CM158" s="188">
        <f t="shared" si="374"/>
        <v>2.88</v>
      </c>
      <c r="CN158" s="465">
        <f t="shared" si="375"/>
        <v>9</v>
      </c>
      <c r="CO158" s="379">
        <f t="shared" si="473"/>
        <v>8.625</v>
      </c>
      <c r="CP158" s="379">
        <f t="shared" si="474"/>
        <v>17.625</v>
      </c>
      <c r="CQ158" s="379"/>
      <c r="CR158" s="188">
        <f t="shared" si="378"/>
        <v>0.48674080410607357</v>
      </c>
      <c r="CS158" s="149">
        <f t="shared" si="379"/>
        <v>136.39440115060304</v>
      </c>
      <c r="CT158" s="149">
        <f t="shared" si="380"/>
        <v>9.6278400812190377</v>
      </c>
      <c r="CU158" s="188">
        <f t="shared" si="381"/>
        <v>0.80232000676825321</v>
      </c>
      <c r="CV158" s="188">
        <f t="shared" si="382"/>
        <v>11.366200095883586</v>
      </c>
      <c r="CW158" s="188">
        <f t="shared" si="383"/>
        <v>170</v>
      </c>
      <c r="CX158" s="188">
        <f t="shared" si="384"/>
        <v>19.94216754540129</v>
      </c>
      <c r="CY158" s="188">
        <f t="shared" si="385"/>
        <v>3.3236945909002147</v>
      </c>
      <c r="CZ158" s="188">
        <f t="shared" si="386"/>
        <v>3.4682030513741373</v>
      </c>
      <c r="DA158" s="172">
        <f t="shared" si="387"/>
        <v>220.21276595744678</v>
      </c>
      <c r="DB158" s="379">
        <f t="shared" si="388"/>
        <v>147.23425656119539</v>
      </c>
      <c r="DD158" s="188">
        <f t="shared" si="389"/>
        <v>13.333333333333336</v>
      </c>
      <c r="DE158" s="150">
        <f t="shared" si="390"/>
        <v>2.3188405797101459</v>
      </c>
      <c r="DF158" s="150">
        <f t="shared" si="391"/>
        <v>0.15898994622398885</v>
      </c>
      <c r="DG158" s="150"/>
      <c r="DH158" s="150">
        <f t="shared" si="392"/>
        <v>2.3188405797101455</v>
      </c>
      <c r="DI158" s="314">
        <f t="shared" si="393"/>
        <v>332.41764705882338</v>
      </c>
      <c r="DJ158" s="456">
        <f t="shared" si="394"/>
        <v>0.15898994622398879</v>
      </c>
      <c r="DL158" s="150">
        <f t="shared" si="395"/>
        <v>12.89961239727768</v>
      </c>
      <c r="DM158" s="150">
        <f t="shared" si="396"/>
        <v>19.94216754540129</v>
      </c>
      <c r="DN158" s="150">
        <f t="shared" si="397"/>
        <v>6.0954327496799676</v>
      </c>
      <c r="DP158" s="314">
        <f t="shared" si="398"/>
        <v>240</v>
      </c>
      <c r="DQ158" s="144">
        <f t="shared" si="399"/>
        <v>147.23425656119539</v>
      </c>
      <c r="DS158">
        <f t="shared" si="400"/>
        <v>240</v>
      </c>
      <c r="DT158">
        <f t="shared" si="401"/>
        <v>147.23425656119539</v>
      </c>
      <c r="DV158" s="5">
        <f t="shared" si="402"/>
        <v>6.7918976422743516</v>
      </c>
      <c r="DW158" s="5">
        <f t="shared" si="403"/>
        <v>3.3236945909002147</v>
      </c>
      <c r="DX158" s="5">
        <f t="shared" si="404"/>
        <v>3.4682030513741369</v>
      </c>
      <c r="DY158" s="150">
        <f t="shared" si="405"/>
        <v>0.48936170212765961</v>
      </c>
      <c r="EA158" s="5">
        <f t="shared" si="406"/>
        <v>0.46922747165650086</v>
      </c>
      <c r="EB158" s="5">
        <f t="shared" si="407"/>
        <v>6.6473891818004294</v>
      </c>
      <c r="EC158" s="5">
        <f t="shared" si="408"/>
        <v>26.204200832604585</v>
      </c>
      <c r="ED158" s="5"/>
      <c r="EE158" s="150">
        <f t="shared" si="409"/>
        <v>8.0542799808521259</v>
      </c>
      <c r="EF158" s="150">
        <f t="shared" si="410"/>
        <v>0.38425184631566023</v>
      </c>
      <c r="EG158" s="150">
        <f t="shared" si="411"/>
        <v>0.36553369571388633</v>
      </c>
      <c r="EH158" s="150"/>
      <c r="EI158" s="456">
        <f t="shared" si="412"/>
        <v>0.2205628484338481</v>
      </c>
      <c r="EJ158" s="456">
        <f t="shared" si="413"/>
        <v>1.5732000000000002</v>
      </c>
      <c r="EK158" s="456">
        <f t="shared" si="414"/>
        <v>3.3716644752513743E-2</v>
      </c>
      <c r="EL158" s="456">
        <f t="shared" si="415"/>
        <v>3.1329804913512359E-2</v>
      </c>
      <c r="EM158">
        <f t="shared" si="416"/>
        <v>4.0499999999999998E-3</v>
      </c>
      <c r="EN158" s="144">
        <f t="shared" si="417"/>
        <v>37.766644752513741</v>
      </c>
      <c r="EP158" s="144">
        <f t="shared" si="439"/>
        <v>1862.8592980998744</v>
      </c>
      <c r="EQ158" s="150">
        <f t="shared" si="418"/>
        <v>0.6</v>
      </c>
      <c r="ER158" s="150">
        <f t="shared" si="475"/>
        <v>0.1704</v>
      </c>
      <c r="ES158" s="456"/>
      <c r="EU158" s="144">
        <f t="shared" si="420"/>
        <v>770.4</v>
      </c>
      <c r="EV158" s="456">
        <f t="shared" si="421"/>
        <v>9.7307139014933E-2</v>
      </c>
      <c r="EW158" s="456">
        <f t="shared" si="422"/>
        <v>2.9529896279398754E-2</v>
      </c>
      <c r="EX158" s="456">
        <f t="shared" si="423"/>
        <v>4.0084464810675614E-3</v>
      </c>
      <c r="EY158" s="456">
        <f t="shared" si="424"/>
        <v>23.357323485002318</v>
      </c>
      <c r="EZ158" s="456"/>
      <c r="FA158" s="538">
        <f t="shared" si="425"/>
        <v>5.8553598324795286E-2</v>
      </c>
      <c r="FB158" s="144">
        <f t="shared" si="426"/>
        <v>23546.722565102515</v>
      </c>
      <c r="FC158" s="150">
        <f t="shared" si="427"/>
        <v>26.179981863202389</v>
      </c>
      <c r="FD158" s="5">
        <f t="shared" si="428"/>
        <v>43.68</v>
      </c>
      <c r="FE158" s="150">
        <f t="shared" si="429"/>
        <v>0.62525066332729362</v>
      </c>
      <c r="FF158" s="5">
        <f t="shared" si="430"/>
        <v>62.525066332729359</v>
      </c>
      <c r="FG158">
        <f t="shared" si="431"/>
        <v>48</v>
      </c>
      <c r="FI158" s="59">
        <f t="shared" si="432"/>
        <v>-50</v>
      </c>
      <c r="FJ158">
        <f t="shared" si="433"/>
        <v>-50</v>
      </c>
    </row>
    <row r="159" spans="5:166">
      <c r="E159" s="147">
        <v>49</v>
      </c>
      <c r="F159" s="188">
        <f t="shared" si="476"/>
        <v>0.245</v>
      </c>
      <c r="G159" s="188">
        <f t="shared" si="444"/>
        <v>0.245</v>
      </c>
      <c r="H159" s="188">
        <f t="shared" si="445"/>
        <v>41.65</v>
      </c>
      <c r="I159" s="188">
        <f t="shared" si="446"/>
        <v>2.94</v>
      </c>
      <c r="J159" s="465">
        <f t="shared" si="447"/>
        <v>8.9386349259111189</v>
      </c>
      <c r="K159" s="379">
        <f t="shared" si="448"/>
        <v>8.6616707599332479</v>
      </c>
      <c r="L159" s="149">
        <f t="shared" si="449"/>
        <v>17.600305685844368</v>
      </c>
      <c r="M159" s="379"/>
      <c r="N159" s="188">
        <f t="shared" si="450"/>
        <v>0.49213183648848124</v>
      </c>
      <c r="O159" s="149">
        <f t="shared" si="451"/>
        <v>136.96479115459383</v>
      </c>
      <c r="P159" s="149">
        <f t="shared" si="452"/>
        <v>9.6681029050301515</v>
      </c>
      <c r="Q159" s="188">
        <f t="shared" si="322"/>
        <v>0.80567524208584607</v>
      </c>
      <c r="R159" s="188">
        <f t="shared" si="453"/>
        <v>11.413732596216152</v>
      </c>
      <c r="S159" s="188">
        <f t="shared" si="454"/>
        <v>170</v>
      </c>
      <c r="T159" s="188">
        <f t="shared" si="455"/>
        <v>20.272850002250646</v>
      </c>
      <c r="U159" s="188">
        <f t="shared" si="326"/>
        <v>3.4020043614519073</v>
      </c>
      <c r="V159" s="188">
        <f t="shared" si="327"/>
        <v>3.510786295877439</v>
      </c>
      <c r="W159" s="172">
        <f t="shared" si="328"/>
        <v>219.94934108943593</v>
      </c>
      <c r="X159" s="379">
        <f t="shared" si="435"/>
        <v>140.59179416022235</v>
      </c>
      <c r="Z159" s="188">
        <f t="shared" si="329"/>
        <v>13.333333333333334</v>
      </c>
      <c r="AA159" s="150">
        <f t="shared" si="330"/>
        <v>2.3090233459940621</v>
      </c>
      <c r="AB159" s="150">
        <f t="shared" si="456"/>
        <v>0.15812745017757907</v>
      </c>
      <c r="AC159" s="150"/>
      <c r="AD159" s="150">
        <f t="shared" si="332"/>
        <v>2.3090233459940621</v>
      </c>
      <c r="AE159" s="314">
        <f t="shared" si="457"/>
        <v>340.78579339890297</v>
      </c>
      <c r="AF159" s="456">
        <f t="shared" si="458"/>
        <v>0.15812745017757912</v>
      </c>
      <c r="AH159" s="150">
        <f t="shared" si="459"/>
        <v>13.033290707517677</v>
      </c>
      <c r="AI159" s="150">
        <f t="shared" si="460"/>
        <v>20.272850002250646</v>
      </c>
      <c r="AJ159" s="150">
        <f t="shared" si="461"/>
        <v>6.3403827177165271</v>
      </c>
      <c r="AL159" s="314">
        <f t="shared" si="462"/>
        <v>245</v>
      </c>
      <c r="AM159" s="144">
        <f t="shared" si="463"/>
        <v>140.59179416022235</v>
      </c>
      <c r="AO159">
        <f t="shared" si="340"/>
        <v>245</v>
      </c>
      <c r="AP159">
        <f t="shared" si="341"/>
        <v>140.59179416022235</v>
      </c>
      <c r="AR159" s="5">
        <f t="shared" si="443"/>
        <v>7.1127906573293451</v>
      </c>
      <c r="AS159" s="5">
        <f t="shared" si="440"/>
        <v>3.4020043614519073</v>
      </c>
      <c r="AT159" s="5">
        <f t="shared" si="441"/>
        <v>3.7107862958774378</v>
      </c>
      <c r="AU159" s="150">
        <f t="shared" si="442"/>
        <v>0.47829389691742524</v>
      </c>
      <c r="AW159" s="5">
        <f t="shared" si="342"/>
        <v>0.49028886385630427</v>
      </c>
      <c r="AX159" s="5">
        <f t="shared" si="343"/>
        <v>6.9457589046309778</v>
      </c>
      <c r="AY159" s="5">
        <f t="shared" si="344"/>
        <v>28.817645815857329</v>
      </c>
      <c r="AZ159" s="5"/>
      <c r="BA159" s="150">
        <f t="shared" si="345"/>
        <v>8.0947156838254255</v>
      </c>
      <c r="BB159" s="150">
        <f t="shared" si="346"/>
        <v>0.39483412040198335</v>
      </c>
      <c r="BC159" s="150">
        <f t="shared" si="347"/>
        <v>0.3756004729926955</v>
      </c>
      <c r="BD159" s="150"/>
      <c r="BE159" s="456">
        <f t="shared" si="348"/>
        <v>0.2227830348066957</v>
      </c>
      <c r="BF159" s="456">
        <f t="shared" si="464"/>
        <v>1.2014356341621397</v>
      </c>
      <c r="BG159" s="456">
        <f t="shared" si="465"/>
        <v>5.7556801448229819E-2</v>
      </c>
      <c r="BH159" s="456">
        <f t="shared" si="351"/>
        <v>2.9832590467489022E-2</v>
      </c>
      <c r="BI159">
        <f t="shared" si="352"/>
        <v>4.0223857166600038E-3</v>
      </c>
      <c r="BJ159" s="144">
        <f t="shared" si="436"/>
        <v>61.579187164889824</v>
      </c>
      <c r="BK159">
        <f t="shared" si="466"/>
        <v>1.5988341659627792</v>
      </c>
      <c r="BL159" s="144">
        <f t="shared" si="437"/>
        <v>1515.6304466012141</v>
      </c>
      <c r="BM159" s="150">
        <f t="shared" si="467"/>
        <v>0.54359374999999999</v>
      </c>
      <c r="BN159" s="150">
        <f t="shared" si="468"/>
        <v>0.54359374999999999</v>
      </c>
      <c r="BO159" s="456"/>
      <c r="BQ159" s="144">
        <f t="shared" si="356"/>
        <v>1087.1875</v>
      </c>
      <c r="BR159" s="456">
        <f t="shared" si="357"/>
        <v>9.8286633002953996E-2</v>
      </c>
      <c r="BS159" s="456">
        <f t="shared" si="358"/>
        <v>3.1178796526721578E-2</v>
      </c>
      <c r="BT159" s="456">
        <f t="shared" si="359"/>
        <v>4.2322714593700976E-3</v>
      </c>
      <c r="BU159" s="456">
        <f t="shared" si="360"/>
        <v>21.684876596609485</v>
      </c>
      <c r="BV159" s="456"/>
      <c r="BW159" s="538">
        <f t="shared" si="469"/>
        <v>5.7781603172905517E-2</v>
      </c>
      <c r="BX159" s="144">
        <f t="shared" si="362"/>
        <v>21876.355900771436</v>
      </c>
      <c r="BY159" s="150">
        <f t="shared" si="363"/>
        <v>24.47917384737265</v>
      </c>
      <c r="BZ159" s="5">
        <f t="shared" si="364"/>
        <v>44.589999999999996</v>
      </c>
      <c r="CA159" s="150">
        <f t="shared" si="365"/>
        <v>0.64558467281704979</v>
      </c>
      <c r="CB159" s="5">
        <f t="shared" si="366"/>
        <v>64.558467281704978</v>
      </c>
      <c r="CC159">
        <f t="shared" si="367"/>
        <v>49</v>
      </c>
      <c r="CE159" s="59">
        <f t="shared" si="470"/>
        <v>-50</v>
      </c>
      <c r="CF159">
        <f t="shared" si="471"/>
        <v>-50</v>
      </c>
      <c r="CG159" s="150">
        <f t="shared" si="370"/>
        <v>0.49840675206849377</v>
      </c>
      <c r="CH159" s="150">
        <f t="shared" si="472"/>
        <v>0.1350568335034627</v>
      </c>
      <c r="CI159" s="147">
        <v>49</v>
      </c>
      <c r="CJ159" s="188">
        <f t="shared" si="438"/>
        <v>0.245</v>
      </c>
      <c r="CK159" s="188">
        <f t="shared" si="372"/>
        <v>0.245</v>
      </c>
      <c r="CL159" s="188">
        <f t="shared" si="373"/>
        <v>41.65</v>
      </c>
      <c r="CM159" s="188">
        <f t="shared" si="374"/>
        <v>2.94</v>
      </c>
      <c r="CN159" s="465">
        <f t="shared" si="375"/>
        <v>9</v>
      </c>
      <c r="CO159" s="379">
        <f t="shared" si="473"/>
        <v>8.625</v>
      </c>
      <c r="CP159" s="379">
        <f t="shared" si="474"/>
        <v>17.625</v>
      </c>
      <c r="CQ159" s="379"/>
      <c r="CR159" s="188">
        <f t="shared" si="378"/>
        <v>0.48674080410607357</v>
      </c>
      <c r="CS159" s="149">
        <f t="shared" si="379"/>
        <v>136.39440115060304</v>
      </c>
      <c r="CT159" s="149">
        <f t="shared" si="380"/>
        <v>9.6278400812190377</v>
      </c>
      <c r="CU159" s="188">
        <f t="shared" si="381"/>
        <v>0.80232000676825321</v>
      </c>
      <c r="CV159" s="188">
        <f t="shared" si="382"/>
        <v>11.366200095883586</v>
      </c>
      <c r="CW159" s="188">
        <f t="shared" si="383"/>
        <v>170</v>
      </c>
      <c r="CX159" s="188">
        <f t="shared" si="384"/>
        <v>20.357629369263815</v>
      </c>
      <c r="CY159" s="188">
        <f t="shared" si="385"/>
        <v>3.3929382282106362</v>
      </c>
      <c r="CZ159" s="188">
        <f t="shared" si="386"/>
        <v>3.5404572816110984</v>
      </c>
      <c r="DA159" s="172">
        <f t="shared" si="387"/>
        <v>220.21276595744678</v>
      </c>
      <c r="DB159" s="379">
        <f t="shared" si="388"/>
        <v>144.22947581504854</v>
      </c>
      <c r="DD159" s="188">
        <f t="shared" si="389"/>
        <v>13.333333333333336</v>
      </c>
      <c r="DE159" s="150">
        <f t="shared" si="390"/>
        <v>2.3188405797101459</v>
      </c>
      <c r="DF159" s="150">
        <f t="shared" si="391"/>
        <v>0.15898994622398885</v>
      </c>
      <c r="DG159" s="150"/>
      <c r="DH159" s="150">
        <f t="shared" si="392"/>
        <v>2.3188405797101455</v>
      </c>
      <c r="DI159" s="314">
        <f t="shared" si="393"/>
        <v>339.34301470588224</v>
      </c>
      <c r="DJ159" s="456">
        <f t="shared" si="394"/>
        <v>0.15898994622398879</v>
      </c>
      <c r="DL159" s="150">
        <f t="shared" si="395"/>
        <v>13.033290707517677</v>
      </c>
      <c r="DM159" s="150">
        <f t="shared" si="396"/>
        <v>20.357629369263815</v>
      </c>
      <c r="DN159" s="150">
        <f t="shared" si="397"/>
        <v>6.4031822488373935</v>
      </c>
      <c r="DP159" s="314">
        <f t="shared" si="398"/>
        <v>245</v>
      </c>
      <c r="DQ159" s="144">
        <f t="shared" si="399"/>
        <v>144.22947581504854</v>
      </c>
      <c r="DS159">
        <f t="shared" si="400"/>
        <v>245</v>
      </c>
      <c r="DT159">
        <f t="shared" si="401"/>
        <v>144.22947581504854</v>
      </c>
      <c r="DV159" s="5">
        <f t="shared" si="402"/>
        <v>6.9333955098217341</v>
      </c>
      <c r="DW159" s="5">
        <f t="shared" si="403"/>
        <v>3.3929382282106362</v>
      </c>
      <c r="DX159" s="5">
        <f t="shared" si="404"/>
        <v>3.540457281611098</v>
      </c>
      <c r="DY159" s="150">
        <f t="shared" si="405"/>
        <v>0.48936170212765961</v>
      </c>
      <c r="EA159" s="5">
        <f t="shared" si="406"/>
        <v>0.48898227406565048</v>
      </c>
      <c r="EB159" s="5">
        <f t="shared" si="407"/>
        <v>6.9272488825967153</v>
      </c>
      <c r="EC159" s="5">
        <f t="shared" si="408"/>
        <v>27.307415885018923</v>
      </c>
      <c r="ED159" s="5"/>
      <c r="EE159" s="150">
        <f t="shared" si="409"/>
        <v>8.222077480453212</v>
      </c>
      <c r="EF159" s="150">
        <f t="shared" si="410"/>
        <v>0.39225709311390311</v>
      </c>
      <c r="EG159" s="150">
        <f t="shared" si="411"/>
        <v>0.37314898104125899</v>
      </c>
      <c r="EH159" s="150"/>
      <c r="EI159" s="456">
        <f t="shared" si="412"/>
        <v>0.22984869752155784</v>
      </c>
      <c r="EJ159" s="456">
        <f t="shared" si="413"/>
        <v>1.5732000000000002</v>
      </c>
      <c r="EK159" s="456">
        <f t="shared" si="414"/>
        <v>3.3028549961646121E-2</v>
      </c>
      <c r="EL159" s="456">
        <f t="shared" si="415"/>
        <v>3.0690421139767211E-2</v>
      </c>
      <c r="EM159">
        <f t="shared" si="416"/>
        <v>4.0499999999999998E-3</v>
      </c>
      <c r="EN159" s="144">
        <f t="shared" si="417"/>
        <v>37.078549961646118</v>
      </c>
      <c r="EP159" s="144">
        <f t="shared" si="439"/>
        <v>1870.8176686229715</v>
      </c>
      <c r="EQ159" s="150">
        <f t="shared" si="418"/>
        <v>0.61250000000000004</v>
      </c>
      <c r="ER159" s="150">
        <f t="shared" si="475"/>
        <v>0.17394999999999999</v>
      </c>
      <c r="ES159" s="456"/>
      <c r="EU159" s="144">
        <f t="shared" si="420"/>
        <v>786.45</v>
      </c>
      <c r="EV159" s="456">
        <f t="shared" si="421"/>
        <v>0.10140383714186377</v>
      </c>
      <c r="EW159" s="456">
        <f t="shared" si="422"/>
        <v>3.0773125419633854E-2</v>
      </c>
      <c r="EX159" s="456">
        <f t="shared" si="423"/>
        <v>4.1772048615638952E-3</v>
      </c>
      <c r="EY159" s="456">
        <f t="shared" si="424"/>
        <v>23.357323485002254</v>
      </c>
      <c r="EZ159" s="456"/>
      <c r="FA159" s="538">
        <f t="shared" si="425"/>
        <v>5.9773464956561835E-2</v>
      </c>
      <c r="FB159" s="144">
        <f t="shared" si="426"/>
        <v>23553.451117381876</v>
      </c>
      <c r="FC159" s="150">
        <f t="shared" si="427"/>
        <v>26.210718786004847</v>
      </c>
      <c r="FD159" s="5">
        <f t="shared" si="428"/>
        <v>44.589999999999996</v>
      </c>
      <c r="FE159" s="150">
        <f t="shared" si="429"/>
        <v>0.62979586598228288</v>
      </c>
      <c r="FF159" s="5">
        <f t="shared" si="430"/>
        <v>62.979586598228288</v>
      </c>
      <c r="FG159">
        <f t="shared" si="431"/>
        <v>49</v>
      </c>
      <c r="FI159" s="59">
        <f t="shared" si="432"/>
        <v>-50</v>
      </c>
      <c r="FJ159">
        <f t="shared" si="433"/>
        <v>-50</v>
      </c>
    </row>
    <row r="160" spans="5:166">
      <c r="E160" s="147">
        <v>50</v>
      </c>
      <c r="F160" s="188">
        <f t="shared" si="476"/>
        <v>0.25</v>
      </c>
      <c r="G160" s="188">
        <f t="shared" si="444"/>
        <v>0.25</v>
      </c>
      <c r="H160" s="188">
        <f t="shared" si="445"/>
        <v>42.5</v>
      </c>
      <c r="I160" s="188">
        <f t="shared" si="446"/>
        <v>3</v>
      </c>
      <c r="J160" s="465">
        <f t="shared" si="447"/>
        <v>8.9373825774603262</v>
      </c>
      <c r="K160" s="379">
        <f t="shared" si="448"/>
        <v>8.6624191427890302</v>
      </c>
      <c r="L160" s="149">
        <f t="shared" si="449"/>
        <v>17.599801720249356</v>
      </c>
      <c r="M160" s="379"/>
      <c r="N160" s="188">
        <f t="shared" si="450"/>
        <v>0.49218845078365464</v>
      </c>
      <c r="O160" s="149">
        <f t="shared" si="451"/>
        <v>136.96135575574618</v>
      </c>
      <c r="P160" s="149">
        <f t="shared" si="452"/>
        <v>9.6678604062879661</v>
      </c>
      <c r="Q160" s="188">
        <f t="shared" si="322"/>
        <v>0.8056550338573305</v>
      </c>
      <c r="R160" s="188">
        <f t="shared" si="453"/>
        <v>11.413446312978849</v>
      </c>
      <c r="S160" s="188">
        <f t="shared" si="454"/>
        <v>170</v>
      </c>
      <c r="T160" s="188">
        <f t="shared" si="455"/>
        <v>20.687100516048023</v>
      </c>
      <c r="U160" s="188">
        <f t="shared" si="326"/>
        <v>3.4720065416389279</v>
      </c>
      <c r="V160" s="188">
        <f t="shared" si="327"/>
        <v>3.5822153445326275</v>
      </c>
      <c r="W160" s="172">
        <f t="shared" si="328"/>
        <v>219.94382424305118</v>
      </c>
      <c r="X160" s="379">
        <f t="shared" si="435"/>
        <v>137.85075997003366</v>
      </c>
      <c r="Z160" s="188">
        <f t="shared" si="329"/>
        <v>13.333333333333334</v>
      </c>
      <c r="AA160" s="150">
        <f t="shared" si="330"/>
        <v>2.3088238597469464</v>
      </c>
      <c r="AB160" s="150">
        <f t="shared" si="456"/>
        <v>0.15810982301607823</v>
      </c>
      <c r="AC160" s="150"/>
      <c r="AD160" s="150">
        <f t="shared" si="332"/>
        <v>2.3088238597469464</v>
      </c>
      <c r="AE160" s="314">
        <f t="shared" si="457"/>
        <v>347.7706508796183</v>
      </c>
      <c r="AF160" s="456">
        <f t="shared" si="458"/>
        <v>0.15810982301607826</v>
      </c>
      <c r="AH160" s="150">
        <f t="shared" si="459"/>
        <v>13.165611772087665</v>
      </c>
      <c r="AI160" s="150">
        <f t="shared" si="460"/>
        <v>20.687100516048023</v>
      </c>
      <c r="AJ160" s="150">
        <f t="shared" si="461"/>
        <v>6.6472349501590289</v>
      </c>
      <c r="AL160" s="314">
        <f t="shared" si="462"/>
        <v>250</v>
      </c>
      <c r="AM160" s="144">
        <f t="shared" si="463"/>
        <v>137.85075997003366</v>
      </c>
      <c r="AO160">
        <f t="shared" si="340"/>
        <v>250</v>
      </c>
      <c r="AP160">
        <f t="shared" si="341"/>
        <v>137.85075997003366</v>
      </c>
      <c r="AR160" s="5">
        <f t="shared" si="443"/>
        <v>7.2542218861715551</v>
      </c>
      <c r="AS160" s="5">
        <f t="shared" si="440"/>
        <v>3.4720065416389279</v>
      </c>
      <c r="AT160" s="5">
        <f t="shared" si="441"/>
        <v>3.7822153445326272</v>
      </c>
      <c r="AU160" s="150">
        <f t="shared" si="442"/>
        <v>0.47861874038585456</v>
      </c>
      <c r="AW160" s="5">
        <f t="shared" si="342"/>
        <v>0.51058919729984231</v>
      </c>
      <c r="AX160" s="5">
        <f t="shared" si="343"/>
        <v>7.2333469617477668</v>
      </c>
      <c r="AY160" s="5">
        <f t="shared" si="344"/>
        <v>29.975993297341528</v>
      </c>
      <c r="AZ160" s="5"/>
      <c r="BA160" s="150">
        <f t="shared" si="345"/>
        <v>8.2629256886693039</v>
      </c>
      <c r="BB160" s="150">
        <f t="shared" si="346"/>
        <v>0.40277661108580315</v>
      </c>
      <c r="BC160" s="150">
        <f t="shared" si="347"/>
        <v>0.38315605925901314</v>
      </c>
      <c r="BD160" s="150"/>
      <c r="BE160" s="456">
        <f t="shared" si="348"/>
        <v>0.23213819918400169</v>
      </c>
      <c r="BF160" s="456">
        <f t="shared" si="464"/>
        <v>1.2020487527743697</v>
      </c>
      <c r="BG160" s="456">
        <f t="shared" si="465"/>
        <v>5.6426744104419661E-2</v>
      </c>
      <c r="BH160" s="456">
        <f t="shared" si="351"/>
        <v>2.9249287164768878E-2</v>
      </c>
      <c r="BI160">
        <f t="shared" si="352"/>
        <v>4.021822159857147E-3</v>
      </c>
      <c r="BJ160" s="144">
        <f t="shared" si="436"/>
        <v>60.448566264276813</v>
      </c>
      <c r="BK160">
        <f t="shared" si="466"/>
        <v>1.6152016748307534</v>
      </c>
      <c r="BL160" s="144">
        <f t="shared" si="437"/>
        <v>1523.8848053874171</v>
      </c>
      <c r="BM160" s="150">
        <f t="shared" si="467"/>
        <v>0.5546875</v>
      </c>
      <c r="BN160" s="150">
        <f t="shared" si="468"/>
        <v>0.5546875</v>
      </c>
      <c r="BO160" s="456"/>
      <c r="BQ160" s="144">
        <f t="shared" si="356"/>
        <v>1109.375</v>
      </c>
      <c r="BR160" s="456">
        <f t="shared" si="357"/>
        <v>0.10241391140470664</v>
      </c>
      <c r="BS160" s="456">
        <f t="shared" si="358"/>
        <v>3.2445799687552866E-2</v>
      </c>
      <c r="BT160" s="456">
        <f t="shared" si="359"/>
        <v>4.4042569724068916E-3</v>
      </c>
      <c r="BU160" s="456">
        <f t="shared" si="360"/>
        <v>21.714107207353084</v>
      </c>
      <c r="BV160" s="456"/>
      <c r="BW160" s="538">
        <f t="shared" si="469"/>
        <v>5.8994077445696923E-2</v>
      </c>
      <c r="BX160" s="144">
        <f t="shared" si="362"/>
        <v>21912.365252863448</v>
      </c>
      <c r="BY160" s="150">
        <f t="shared" si="363"/>
        <v>24.545625058250863</v>
      </c>
      <c r="BZ160" s="5">
        <f t="shared" si="364"/>
        <v>45.5</v>
      </c>
      <c r="CA160" s="150">
        <f t="shared" si="365"/>
        <v>0.64957661470165484</v>
      </c>
      <c r="CB160" s="5">
        <f t="shared" si="366"/>
        <v>64.95766147016549</v>
      </c>
      <c r="CC160">
        <f t="shared" si="367"/>
        <v>50</v>
      </c>
      <c r="CE160" s="59">
        <f t="shared" si="470"/>
        <v>-50</v>
      </c>
      <c r="CF160">
        <f t="shared" si="471"/>
        <v>-50</v>
      </c>
      <c r="CG160" s="150">
        <f t="shared" si="370"/>
        <v>0.49840675206849366</v>
      </c>
      <c r="CH160" s="150">
        <f t="shared" si="472"/>
        <v>0.1350568335034627</v>
      </c>
      <c r="CI160" s="147">
        <v>50</v>
      </c>
      <c r="CJ160" s="188">
        <f t="shared" si="438"/>
        <v>0.25</v>
      </c>
      <c r="CK160" s="188">
        <f t="shared" si="372"/>
        <v>0.25</v>
      </c>
      <c r="CL160" s="188">
        <f t="shared" si="373"/>
        <v>42.5</v>
      </c>
      <c r="CM160" s="188">
        <f t="shared" si="374"/>
        <v>3</v>
      </c>
      <c r="CN160" s="465">
        <f t="shared" si="375"/>
        <v>9</v>
      </c>
      <c r="CO160" s="379">
        <f t="shared" si="473"/>
        <v>8.625</v>
      </c>
      <c r="CP160" s="379">
        <f t="shared" si="474"/>
        <v>17.625</v>
      </c>
      <c r="CQ160" s="379"/>
      <c r="CR160" s="188">
        <f t="shared" si="378"/>
        <v>0.48674080410607357</v>
      </c>
      <c r="CS160" s="149">
        <f t="shared" si="379"/>
        <v>136.39440115060304</v>
      </c>
      <c r="CT160" s="149">
        <f t="shared" si="380"/>
        <v>9.6278400812190377</v>
      </c>
      <c r="CU160" s="188">
        <f t="shared" si="381"/>
        <v>0.80232000676825321</v>
      </c>
      <c r="CV160" s="188">
        <f t="shared" si="382"/>
        <v>11.366200095883586</v>
      </c>
      <c r="CW160" s="188">
        <f t="shared" si="383"/>
        <v>170</v>
      </c>
      <c r="CX160" s="188">
        <f t="shared" si="384"/>
        <v>20.773091193126344</v>
      </c>
      <c r="CY160" s="188">
        <f t="shared" si="385"/>
        <v>3.4621818655210577</v>
      </c>
      <c r="CZ160" s="188">
        <f t="shared" si="386"/>
        <v>3.6127115118480599</v>
      </c>
      <c r="DA160" s="172">
        <f t="shared" si="387"/>
        <v>220.21276595744678</v>
      </c>
      <c r="DB160" s="379">
        <f t="shared" si="388"/>
        <v>141.34488629874755</v>
      </c>
      <c r="DD160" s="188">
        <f t="shared" si="389"/>
        <v>13.333333333333336</v>
      </c>
      <c r="DE160" s="150">
        <f t="shared" si="390"/>
        <v>2.3188405797101459</v>
      </c>
      <c r="DF160" s="150">
        <f t="shared" si="391"/>
        <v>0.15898994622398885</v>
      </c>
      <c r="DG160" s="150"/>
      <c r="DH160" s="150">
        <f t="shared" si="392"/>
        <v>2.3188405797101455</v>
      </c>
      <c r="DI160" s="314">
        <f t="shared" si="393"/>
        <v>346.26838235294105</v>
      </c>
      <c r="DJ160" s="456">
        <f t="shared" si="394"/>
        <v>0.15898994622398879</v>
      </c>
      <c r="DL160" s="150">
        <f t="shared" si="395"/>
        <v>13.165611772087665</v>
      </c>
      <c r="DM160" s="150">
        <f t="shared" si="396"/>
        <v>20.773091193126344</v>
      </c>
      <c r="DN160" s="150">
        <f t="shared" si="397"/>
        <v>6.7109317479948229</v>
      </c>
      <c r="DP160" s="314">
        <f t="shared" si="398"/>
        <v>250</v>
      </c>
      <c r="DQ160" s="144">
        <f t="shared" si="399"/>
        <v>141.34488629874755</v>
      </c>
      <c r="DS160">
        <f t="shared" si="400"/>
        <v>250</v>
      </c>
      <c r="DT160">
        <f t="shared" si="401"/>
        <v>141.34488629874755</v>
      </c>
      <c r="DV160" s="5">
        <f t="shared" si="402"/>
        <v>7.0748933773691176</v>
      </c>
      <c r="DW160" s="5">
        <f t="shared" si="403"/>
        <v>3.4621818655210577</v>
      </c>
      <c r="DX160" s="5">
        <f t="shared" si="404"/>
        <v>3.6127115118480599</v>
      </c>
      <c r="DY160" s="150">
        <f t="shared" si="405"/>
        <v>0.48936170212765961</v>
      </c>
      <c r="EA160" s="5">
        <f t="shared" si="406"/>
        <v>0.5091443919883909</v>
      </c>
      <c r="EB160" s="5">
        <f t="shared" si="407"/>
        <v>7.2128788865022031</v>
      </c>
      <c r="EC160" s="5">
        <f t="shared" si="408"/>
        <v>28.433377639544915</v>
      </c>
      <c r="ED160" s="5"/>
      <c r="EE160" s="150">
        <f t="shared" si="409"/>
        <v>8.389874980054298</v>
      </c>
      <c r="EF160" s="150">
        <f t="shared" si="410"/>
        <v>0.4002623399121461</v>
      </c>
      <c r="EG160" s="150">
        <f t="shared" si="411"/>
        <v>0.38076426636863164</v>
      </c>
      <c r="EH160" s="150"/>
      <c r="EI160" s="456">
        <f t="shared" si="412"/>
        <v>0.23932600741519977</v>
      </c>
      <c r="EJ160" s="456">
        <f t="shared" si="413"/>
        <v>1.5732000000000002</v>
      </c>
      <c r="EK160" s="456">
        <f t="shared" si="414"/>
        <v>3.2367978962413189E-2</v>
      </c>
      <c r="EL160" s="456">
        <f t="shared" si="415"/>
        <v>3.0076612716971863E-2</v>
      </c>
      <c r="EM160">
        <f t="shared" si="416"/>
        <v>4.0499999999999998E-3</v>
      </c>
      <c r="EN160" s="144">
        <f t="shared" si="417"/>
        <v>36.417978962413187</v>
      </c>
      <c r="EP160" s="144">
        <f t="shared" si="439"/>
        <v>1879.0205990945849</v>
      </c>
      <c r="EQ160" s="150">
        <f t="shared" si="418"/>
        <v>0.625</v>
      </c>
      <c r="ER160" s="150">
        <f t="shared" si="475"/>
        <v>0.17749999999999999</v>
      </c>
      <c r="ES160" s="456"/>
      <c r="EU160" s="144">
        <f t="shared" si="420"/>
        <v>802.5</v>
      </c>
      <c r="EV160" s="456">
        <f t="shared" si="421"/>
        <v>0.10558500327141167</v>
      </c>
      <c r="EW160" s="456">
        <f t="shared" si="422"/>
        <v>3.2041988150389278E-2</v>
      </c>
      <c r="EX160" s="456">
        <f t="shared" si="423"/>
        <v>4.3494427962972679E-3</v>
      </c>
      <c r="EY160" s="456">
        <f t="shared" si="424"/>
        <v>23.357323485002254</v>
      </c>
      <c r="EZ160" s="456"/>
      <c r="FA160" s="538">
        <f t="shared" si="425"/>
        <v>6.0993331588328419E-2</v>
      </c>
      <c r="FB160" s="144">
        <f t="shared" si="426"/>
        <v>23560.293250808681</v>
      </c>
      <c r="FC160" s="150">
        <f t="shared" si="427"/>
        <v>26.241813849903266</v>
      </c>
      <c r="FD160" s="5">
        <f t="shared" si="428"/>
        <v>45.5</v>
      </c>
      <c r="FE160" s="150">
        <f t="shared" si="429"/>
        <v>0.63421870117744938</v>
      </c>
      <c r="FF160" s="5">
        <f t="shared" si="430"/>
        <v>63.421870117744938</v>
      </c>
      <c r="FG160">
        <f t="shared" si="431"/>
        <v>50</v>
      </c>
      <c r="FI160" s="59">
        <f t="shared" si="432"/>
        <v>-50</v>
      </c>
      <c r="FJ160">
        <f t="shared" si="433"/>
        <v>-50</v>
      </c>
    </row>
    <row r="161" spans="5:166">
      <c r="E161" s="147">
        <v>51</v>
      </c>
      <c r="F161" s="188">
        <f t="shared" si="476"/>
        <v>0.255</v>
      </c>
      <c r="G161" s="188">
        <f t="shared" si="444"/>
        <v>0.255</v>
      </c>
      <c r="H161" s="188">
        <f t="shared" si="445"/>
        <v>43.35</v>
      </c>
      <c r="I161" s="188">
        <f t="shared" si="446"/>
        <v>3.06</v>
      </c>
      <c r="J161" s="465">
        <f t="shared" si="447"/>
        <v>8.9361302290095317</v>
      </c>
      <c r="K161" s="379">
        <f t="shared" si="448"/>
        <v>8.6631675256448091</v>
      </c>
      <c r="L161" s="149">
        <f t="shared" si="449"/>
        <v>17.599297754654341</v>
      </c>
      <c r="M161" s="379"/>
      <c r="N161" s="188">
        <f t="shared" si="450"/>
        <v>0.49224506832119097</v>
      </c>
      <c r="O161" s="149">
        <f t="shared" si="451"/>
        <v>136.95791684395525</v>
      </c>
      <c r="P161" s="149">
        <f t="shared" si="452"/>
        <v>9.6676176595733132</v>
      </c>
      <c r="Q161" s="188">
        <f t="shared" si="322"/>
        <v>0.80563480496444262</v>
      </c>
      <c r="R161" s="188">
        <f t="shared" si="453"/>
        <v>11.413159736996271</v>
      </c>
      <c r="S161" s="188">
        <f t="shared" si="454"/>
        <v>170</v>
      </c>
      <c r="T161" s="188">
        <f t="shared" si="455"/>
        <v>21.101372352886752</v>
      </c>
      <c r="U161" s="188">
        <f t="shared" si="326"/>
        <v>3.5420319218913616</v>
      </c>
      <c r="V161" s="188">
        <f t="shared" si="327"/>
        <v>3.6536357441586276</v>
      </c>
      <c r="W161" s="172">
        <f t="shared" si="328"/>
        <v>219.93830175529285</v>
      </c>
      <c r="X161" s="379">
        <f t="shared" si="435"/>
        <v>135.21429641714798</v>
      </c>
      <c r="Z161" s="188">
        <f t="shared" si="329"/>
        <v>13.333333333333334</v>
      </c>
      <c r="AA161" s="150">
        <f t="shared" si="330"/>
        <v>2.3086244079657665</v>
      </c>
      <c r="AB161" s="150">
        <f t="shared" si="456"/>
        <v>0.15809219484505049</v>
      </c>
      <c r="AC161" s="150"/>
      <c r="AD161" s="150">
        <f t="shared" si="332"/>
        <v>2.3086244079657665</v>
      </c>
      <c r="AE161" s="314">
        <f t="shared" si="457"/>
        <v>354.75671017515481</v>
      </c>
      <c r="AF161" s="456">
        <f t="shared" si="458"/>
        <v>0.15809219484505047</v>
      </c>
      <c r="AH161" s="150">
        <f t="shared" si="459"/>
        <v>13.29661611087573</v>
      </c>
      <c r="AI161" s="150">
        <f t="shared" si="460"/>
        <v>21.101372352886752</v>
      </c>
      <c r="AJ161" s="150">
        <f t="shared" si="461"/>
        <v>6.9541029774469765</v>
      </c>
      <c r="AL161" s="314">
        <f t="shared" si="462"/>
        <v>255</v>
      </c>
      <c r="AM161" s="144">
        <f t="shared" si="463"/>
        <v>135.21429641714798</v>
      </c>
      <c r="AO161">
        <f t="shared" si="340"/>
        <v>255</v>
      </c>
      <c r="AP161">
        <f t="shared" si="341"/>
        <v>135.21429641714798</v>
      </c>
      <c r="AR161" s="5">
        <f t="shared" si="443"/>
        <v>7.395667666049988</v>
      </c>
      <c r="AS161" s="5">
        <f t="shared" si="440"/>
        <v>3.5420319218913616</v>
      </c>
      <c r="AT161" s="5">
        <f t="shared" si="441"/>
        <v>3.8536357441586264</v>
      </c>
      <c r="AU161" s="150">
        <f t="shared" si="442"/>
        <v>0.47893335420561889</v>
      </c>
      <c r="AW161" s="5">
        <f t="shared" si="342"/>
        <v>0.53130478828370431</v>
      </c>
      <c r="AX161" s="5">
        <f t="shared" si="343"/>
        <v>7.5268178340191447</v>
      </c>
      <c r="AY161" s="5">
        <f t="shared" si="344"/>
        <v>31.157243166802083</v>
      </c>
      <c r="AZ161" s="5"/>
      <c r="BA161" s="150">
        <f t="shared" si="345"/>
        <v>8.4311655211480847</v>
      </c>
      <c r="BB161" s="150">
        <f t="shared" si="346"/>
        <v>0.41071848425032936</v>
      </c>
      <c r="BC161" s="150">
        <f t="shared" si="347"/>
        <v>0.39071105808739981</v>
      </c>
      <c r="BD161" s="150"/>
      <c r="BE161" s="456">
        <f t="shared" si="348"/>
        <v>0.24168747695298726</v>
      </c>
      <c r="BF161" s="456">
        <f t="shared" si="464"/>
        <v>1.2026359182907622</v>
      </c>
      <c r="BG161" s="456">
        <f t="shared" si="465"/>
        <v>5.5339799321624937E-2</v>
      </c>
      <c r="BH161" s="456">
        <f t="shared" si="351"/>
        <v>2.8688237138074529E-2</v>
      </c>
      <c r="BI161">
        <f t="shared" si="352"/>
        <v>4.0212586030542894E-3</v>
      </c>
      <c r="BJ161" s="144">
        <f t="shared" si="436"/>
        <v>59.361057924679223</v>
      </c>
      <c r="BK161">
        <f t="shared" si="466"/>
        <v>1.6319838321865572</v>
      </c>
      <c r="BL161" s="144">
        <f t="shared" si="437"/>
        <v>1532.3726903065033</v>
      </c>
      <c r="BM161" s="150">
        <f t="shared" si="467"/>
        <v>0.5657812499999999</v>
      </c>
      <c r="BN161" s="150">
        <f t="shared" si="468"/>
        <v>0.5657812499999999</v>
      </c>
      <c r="BO161" s="456"/>
      <c r="BQ161" s="144">
        <f t="shared" si="356"/>
        <v>1131.5624999999998</v>
      </c>
      <c r="BR161" s="456">
        <f t="shared" si="357"/>
        <v>0.10662682806749439</v>
      </c>
      <c r="BS161" s="456">
        <f t="shared" si="358"/>
        <v>3.373793466097761E-2</v>
      </c>
      <c r="BT161" s="456">
        <f t="shared" si="359"/>
        <v>4.5796539273532657E-3</v>
      </c>
      <c r="BU161" s="456">
        <f t="shared" si="360"/>
        <v>21.742190102932561</v>
      </c>
      <c r="BV161" s="456"/>
      <c r="BW161" s="538">
        <f t="shared" si="469"/>
        <v>6.0206587867541399E-2</v>
      </c>
      <c r="BX161" s="144">
        <f t="shared" si="362"/>
        <v>21947.341107455926</v>
      </c>
      <c r="BY161" s="150">
        <f t="shared" si="363"/>
        <v>24.61127629776243</v>
      </c>
      <c r="BZ161" s="5">
        <f t="shared" si="364"/>
        <v>46.410000000000004</v>
      </c>
      <c r="CA161" s="150">
        <f t="shared" si="365"/>
        <v>0.65346615013538112</v>
      </c>
      <c r="CB161" s="5">
        <f t="shared" si="366"/>
        <v>65.346615013538113</v>
      </c>
      <c r="CC161">
        <f t="shared" si="367"/>
        <v>51</v>
      </c>
      <c r="CE161" s="59">
        <f t="shared" si="470"/>
        <v>-50</v>
      </c>
      <c r="CF161">
        <f t="shared" si="471"/>
        <v>-50</v>
      </c>
      <c r="CG161" s="150">
        <f t="shared" si="370"/>
        <v>0.49840675206849366</v>
      </c>
      <c r="CH161" s="150">
        <f t="shared" si="472"/>
        <v>0.13505683350346265</v>
      </c>
      <c r="CI161" s="147">
        <v>51</v>
      </c>
      <c r="CJ161" s="188">
        <f t="shared" si="438"/>
        <v>0.255</v>
      </c>
      <c r="CK161" s="188">
        <f t="shared" si="372"/>
        <v>0.255</v>
      </c>
      <c r="CL161" s="188">
        <f t="shared" si="373"/>
        <v>43.35</v>
      </c>
      <c r="CM161" s="188">
        <f t="shared" si="374"/>
        <v>3.06</v>
      </c>
      <c r="CN161" s="465">
        <f t="shared" si="375"/>
        <v>9</v>
      </c>
      <c r="CO161" s="379">
        <f t="shared" si="473"/>
        <v>8.625</v>
      </c>
      <c r="CP161" s="379">
        <f t="shared" si="474"/>
        <v>17.625</v>
      </c>
      <c r="CQ161" s="379"/>
      <c r="CR161" s="188">
        <f t="shared" si="378"/>
        <v>0.48674080410607357</v>
      </c>
      <c r="CS161" s="149">
        <f t="shared" si="379"/>
        <v>136.39440115060304</v>
      </c>
      <c r="CT161" s="149">
        <f t="shared" si="380"/>
        <v>9.6278400812190377</v>
      </c>
      <c r="CU161" s="188">
        <f t="shared" si="381"/>
        <v>0.80232000676825321</v>
      </c>
      <c r="CV161" s="188">
        <f t="shared" si="382"/>
        <v>11.366200095883586</v>
      </c>
      <c r="CW161" s="188">
        <f t="shared" si="383"/>
        <v>170</v>
      </c>
      <c r="CX161" s="188">
        <f t="shared" si="384"/>
        <v>21.188553016988873</v>
      </c>
      <c r="CY161" s="188">
        <f t="shared" si="385"/>
        <v>3.5314255028314792</v>
      </c>
      <c r="CZ161" s="188">
        <f t="shared" si="386"/>
        <v>3.6849657420850215</v>
      </c>
      <c r="DA161" s="172">
        <f t="shared" si="387"/>
        <v>220.21276595744678</v>
      </c>
      <c r="DB161" s="379">
        <f t="shared" si="388"/>
        <v>138.57341793994857</v>
      </c>
      <c r="DD161" s="188">
        <f t="shared" si="389"/>
        <v>13.333333333333336</v>
      </c>
      <c r="DE161" s="150">
        <f t="shared" si="390"/>
        <v>2.3188405797101459</v>
      </c>
      <c r="DF161" s="150">
        <f t="shared" si="391"/>
        <v>0.15898994622398885</v>
      </c>
      <c r="DG161" s="150"/>
      <c r="DH161" s="150">
        <f t="shared" si="392"/>
        <v>2.3188405797101455</v>
      </c>
      <c r="DI161" s="314">
        <f t="shared" si="393"/>
        <v>353.19374999999985</v>
      </c>
      <c r="DJ161" s="456">
        <f t="shared" si="394"/>
        <v>0.15898994622398879</v>
      </c>
      <c r="DL161" s="150">
        <f t="shared" si="395"/>
        <v>13.29661611087573</v>
      </c>
      <c r="DM161" s="150">
        <f t="shared" si="396"/>
        <v>21.188553016988873</v>
      </c>
      <c r="DN161" s="150">
        <f t="shared" si="397"/>
        <v>7.0186812471522515</v>
      </c>
      <c r="DP161" s="314">
        <f t="shared" si="398"/>
        <v>255</v>
      </c>
      <c r="DQ161" s="144">
        <f t="shared" si="399"/>
        <v>138.57341793994857</v>
      </c>
      <c r="DS161">
        <f t="shared" si="400"/>
        <v>255</v>
      </c>
      <c r="DT161">
        <f t="shared" si="401"/>
        <v>138.57341793994857</v>
      </c>
      <c r="DV161" s="5">
        <f t="shared" si="402"/>
        <v>7.2163912449165002</v>
      </c>
      <c r="DW161" s="5">
        <f t="shared" si="403"/>
        <v>3.5314255028314792</v>
      </c>
      <c r="DX161" s="5">
        <f t="shared" si="404"/>
        <v>3.684965742085021</v>
      </c>
      <c r="DY161" s="150">
        <f t="shared" si="405"/>
        <v>0.48936170212765961</v>
      </c>
      <c r="EA161" s="5">
        <f t="shared" si="406"/>
        <v>0.5297138254247219</v>
      </c>
      <c r="EB161" s="5">
        <f t="shared" si="407"/>
        <v>7.5042791935168935</v>
      </c>
      <c r="EC161" s="5">
        <f t="shared" si="408"/>
        <v>29.582086096182525</v>
      </c>
      <c r="ED161" s="5"/>
      <c r="EE161" s="150">
        <f t="shared" si="409"/>
        <v>8.5576724796553858</v>
      </c>
      <c r="EF161" s="150">
        <f t="shared" si="410"/>
        <v>0.4082675867103891</v>
      </c>
      <c r="EG161" s="150">
        <f t="shared" si="411"/>
        <v>0.3883795516960043</v>
      </c>
      <c r="EH161" s="150"/>
      <c r="EI161" s="456">
        <f t="shared" si="412"/>
        <v>0.24899477811477394</v>
      </c>
      <c r="EJ161" s="456">
        <f t="shared" si="413"/>
        <v>1.5731999999999997</v>
      </c>
      <c r="EK161" s="456">
        <f t="shared" si="414"/>
        <v>3.1733312708248224E-2</v>
      </c>
      <c r="EL161" s="456">
        <f t="shared" si="415"/>
        <v>2.9486875212717509E-2</v>
      </c>
      <c r="EM161">
        <f t="shared" si="416"/>
        <v>4.0499999999999998E-3</v>
      </c>
      <c r="EN161" s="144">
        <f t="shared" si="417"/>
        <v>35.783312708248225</v>
      </c>
      <c r="EP161" s="144">
        <f t="shared" si="439"/>
        <v>1887.4649660357395</v>
      </c>
      <c r="EQ161" s="150">
        <f t="shared" si="418"/>
        <v>0.63749999999999996</v>
      </c>
      <c r="ER161" s="150">
        <f t="shared" si="475"/>
        <v>0.18105000000000002</v>
      </c>
      <c r="ES161" s="456"/>
      <c r="EU161" s="144">
        <f t="shared" si="420"/>
        <v>818.55</v>
      </c>
      <c r="EV161" s="456">
        <f t="shared" si="421"/>
        <v>0.10985063740357676</v>
      </c>
      <c r="EW161" s="456">
        <f t="shared" si="422"/>
        <v>3.3336484471665019E-2</v>
      </c>
      <c r="EX161" s="456">
        <f t="shared" si="423"/>
        <v>4.5251602852676778E-3</v>
      </c>
      <c r="EY161" s="456">
        <f t="shared" si="424"/>
        <v>23.357323485002254</v>
      </c>
      <c r="EZ161" s="456"/>
      <c r="FA161" s="538">
        <f t="shared" si="425"/>
        <v>6.2213198220094995E-2</v>
      </c>
      <c r="FB161" s="144">
        <f t="shared" si="426"/>
        <v>23567.24896538286</v>
      </c>
      <c r="FC161" s="150">
        <f t="shared" si="427"/>
        <v>26.273263931418601</v>
      </c>
      <c r="FD161" s="5">
        <f t="shared" si="428"/>
        <v>46.410000000000004</v>
      </c>
      <c r="FE161" s="150">
        <f t="shared" si="429"/>
        <v>0.63852388417491623</v>
      </c>
      <c r="FF161" s="5">
        <f t="shared" si="430"/>
        <v>63.852388417491625</v>
      </c>
      <c r="FG161">
        <f t="shared" si="431"/>
        <v>51</v>
      </c>
      <c r="FI161" s="59">
        <f t="shared" si="432"/>
        <v>-50</v>
      </c>
      <c r="FJ161">
        <f t="shared" si="433"/>
        <v>-50</v>
      </c>
    </row>
    <row r="162" spans="5:166">
      <c r="E162" s="147">
        <v>52</v>
      </c>
      <c r="F162" s="188">
        <f t="shared" si="476"/>
        <v>0.26</v>
      </c>
      <c r="G162" s="188">
        <f t="shared" si="444"/>
        <v>0.26</v>
      </c>
      <c r="H162" s="188">
        <f t="shared" si="445"/>
        <v>44.2</v>
      </c>
      <c r="I162" s="188">
        <f t="shared" si="446"/>
        <v>3.12</v>
      </c>
      <c r="J162" s="465">
        <f t="shared" si="447"/>
        <v>8.934877880558739</v>
      </c>
      <c r="K162" s="379">
        <f t="shared" si="448"/>
        <v>8.6639159085005897</v>
      </c>
      <c r="L162" s="149">
        <f t="shared" si="449"/>
        <v>17.598793789059329</v>
      </c>
      <c r="M162" s="379"/>
      <c r="N162" s="188">
        <f t="shared" si="450"/>
        <v>0.49230168910136901</v>
      </c>
      <c r="O162" s="149">
        <f t="shared" si="451"/>
        <v>136.95447441891938</v>
      </c>
      <c r="P162" s="149">
        <f t="shared" si="452"/>
        <v>9.6673746648648979</v>
      </c>
      <c r="Q162" s="188">
        <f t="shared" si="322"/>
        <v>0.80561455540540805</v>
      </c>
      <c r="R162" s="188">
        <f t="shared" si="453"/>
        <v>11.412872868243282</v>
      </c>
      <c r="S162" s="188">
        <f t="shared" si="454"/>
        <v>170</v>
      </c>
      <c r="T162" s="188">
        <f t="shared" si="455"/>
        <v>21.51566554629926</v>
      </c>
      <c r="U162" s="188">
        <f t="shared" si="326"/>
        <v>3.6120805175941229</v>
      </c>
      <c r="V162" s="188">
        <f t="shared" si="327"/>
        <v>3.7250475028022594</v>
      </c>
      <c r="W162" s="172">
        <f t="shared" si="328"/>
        <v>219.93277362567633</v>
      </c>
      <c r="X162" s="379">
        <f t="shared" si="435"/>
        <v>132.67653107309295</v>
      </c>
      <c r="Z162" s="188">
        <f t="shared" si="329"/>
        <v>13.333333333333334</v>
      </c>
      <c r="AA162" s="150">
        <f t="shared" si="330"/>
        <v>2.3084249906415906</v>
      </c>
      <c r="AB162" s="150">
        <f t="shared" si="456"/>
        <v>0.15807456566440894</v>
      </c>
      <c r="AC162" s="150"/>
      <c r="AD162" s="150">
        <f t="shared" si="332"/>
        <v>2.3084249906415906</v>
      </c>
      <c r="AE162" s="314">
        <f t="shared" si="457"/>
        <v>361.74397128551283</v>
      </c>
      <c r="AF162" s="456">
        <f t="shared" si="458"/>
        <v>0.15807456566440892</v>
      </c>
      <c r="AH162" s="150">
        <f t="shared" si="459"/>
        <v>13.426342266852378</v>
      </c>
      <c r="AI162" s="150">
        <f t="shared" si="460"/>
        <v>21.51566554629926</v>
      </c>
      <c r="AJ162" s="150">
        <f t="shared" si="461"/>
        <v>7.2609868244192048</v>
      </c>
      <c r="AL162" s="314">
        <f t="shared" si="462"/>
        <v>260</v>
      </c>
      <c r="AM162" s="144">
        <f t="shared" si="463"/>
        <v>132.67653107309295</v>
      </c>
      <c r="AO162">
        <f t="shared" si="340"/>
        <v>260</v>
      </c>
      <c r="AP162">
        <f t="shared" si="341"/>
        <v>132.67653107309295</v>
      </c>
      <c r="AR162" s="5">
        <f t="shared" si="443"/>
        <v>7.5371280203963815</v>
      </c>
      <c r="AS162" s="5">
        <f t="shared" si="440"/>
        <v>3.6120805175941229</v>
      </c>
      <c r="AT162" s="5">
        <f t="shared" si="441"/>
        <v>3.9250475028022587</v>
      </c>
      <c r="AU162" s="150">
        <f t="shared" si="442"/>
        <v>0.47923831303109027</v>
      </c>
      <c r="AW162" s="5">
        <f t="shared" si="342"/>
        <v>0.55243584386733646</v>
      </c>
      <c r="AX162" s="5">
        <f t="shared" si="343"/>
        <v>7.8261744547872665</v>
      </c>
      <c r="AY162" s="5">
        <f t="shared" si="344"/>
        <v>32.361401006824373</v>
      </c>
      <c r="AZ162" s="5"/>
      <c r="BA162" s="150">
        <f t="shared" si="345"/>
        <v>8.5994350899224816</v>
      </c>
      <c r="BB162" s="150">
        <f t="shared" si="346"/>
        <v>0.4186597479719214</v>
      </c>
      <c r="BC162" s="150">
        <f t="shared" si="347"/>
        <v>0.39826547716078919</v>
      </c>
      <c r="BD162" s="150"/>
      <c r="BE162" s="456">
        <f t="shared" si="348"/>
        <v>0.25143096514368629</v>
      </c>
      <c r="BF162" s="456">
        <f t="shared" si="464"/>
        <v>1.2031985864918919</v>
      </c>
      <c r="BG162" s="456">
        <f t="shared" si="465"/>
        <v>5.4293546006144298E-2</v>
      </c>
      <c r="BH162" s="456">
        <f t="shared" si="351"/>
        <v>2.8148190698673886E-2</v>
      </c>
      <c r="BI162">
        <f t="shared" si="352"/>
        <v>4.0206950462514327E-3</v>
      </c>
      <c r="BJ162" s="144">
        <f t="shared" si="436"/>
        <v>58.31424105239573</v>
      </c>
      <c r="BK162">
        <f t="shared" si="466"/>
        <v>1.6491865000108052</v>
      </c>
      <c r="BL162" s="144">
        <f t="shared" si="437"/>
        <v>1541.0919833866476</v>
      </c>
      <c r="BM162" s="150">
        <f t="shared" si="467"/>
        <v>0.57687500000000003</v>
      </c>
      <c r="BN162" s="150">
        <f t="shared" si="468"/>
        <v>0.57687500000000003</v>
      </c>
      <c r="BO162" s="456"/>
      <c r="BQ162" s="144">
        <f t="shared" si="356"/>
        <v>1153.75</v>
      </c>
      <c r="BR162" s="456">
        <f t="shared" si="357"/>
        <v>0.11092542579868513</v>
      </c>
      <c r="BS162" s="456">
        <f t="shared" si="358"/>
        <v>3.5055196914382546E-2</v>
      </c>
      <c r="BT162" s="456">
        <f t="shared" si="359"/>
        <v>4.7584617089433323E-3</v>
      </c>
      <c r="BU162" s="456">
        <f t="shared" si="360"/>
        <v>21.769188312007056</v>
      </c>
      <c r="BV162" s="456"/>
      <c r="BW162" s="538">
        <f t="shared" si="469"/>
        <v>6.1419132413232332E-2</v>
      </c>
      <c r="BX162" s="144">
        <f t="shared" si="362"/>
        <v>21981.346528842299</v>
      </c>
      <c r="BY162" s="150">
        <f t="shared" si="363"/>
        <v>24.676188512228947</v>
      </c>
      <c r="BZ162" s="5">
        <f t="shared" si="364"/>
        <v>47.32</v>
      </c>
      <c r="CA162" s="150">
        <f t="shared" si="365"/>
        <v>0.65725701565385564</v>
      </c>
      <c r="CB162" s="5">
        <f t="shared" si="366"/>
        <v>65.725701565385563</v>
      </c>
      <c r="CC162">
        <f t="shared" si="367"/>
        <v>52</v>
      </c>
      <c r="CE162" s="59">
        <f t="shared" si="470"/>
        <v>-50</v>
      </c>
      <c r="CF162">
        <f t="shared" si="471"/>
        <v>-50</v>
      </c>
      <c r="CG162" s="150">
        <f t="shared" si="370"/>
        <v>0.49840675206849366</v>
      </c>
      <c r="CH162" s="150">
        <f t="shared" si="472"/>
        <v>0.13505683350346265</v>
      </c>
      <c r="CI162" s="147">
        <v>52</v>
      </c>
      <c r="CJ162" s="188">
        <f t="shared" si="438"/>
        <v>0.26</v>
      </c>
      <c r="CK162" s="188">
        <f t="shared" si="372"/>
        <v>0.26</v>
      </c>
      <c r="CL162" s="188">
        <f t="shared" si="373"/>
        <v>44.2</v>
      </c>
      <c r="CM162" s="188">
        <f t="shared" si="374"/>
        <v>3.12</v>
      </c>
      <c r="CN162" s="465">
        <f t="shared" si="375"/>
        <v>9</v>
      </c>
      <c r="CO162" s="379">
        <f t="shared" si="473"/>
        <v>8.625</v>
      </c>
      <c r="CP162" s="379">
        <f t="shared" si="474"/>
        <v>17.625</v>
      </c>
      <c r="CQ162" s="379"/>
      <c r="CR162" s="188">
        <f t="shared" si="378"/>
        <v>0.48674080410607357</v>
      </c>
      <c r="CS162" s="149">
        <f t="shared" si="379"/>
        <v>136.39440115060304</v>
      </c>
      <c r="CT162" s="149">
        <f t="shared" si="380"/>
        <v>9.6278400812190377</v>
      </c>
      <c r="CU162" s="188">
        <f t="shared" si="381"/>
        <v>0.80232000676825321</v>
      </c>
      <c r="CV162" s="188">
        <f t="shared" si="382"/>
        <v>11.366200095883586</v>
      </c>
      <c r="CW162" s="188">
        <f t="shared" si="383"/>
        <v>170</v>
      </c>
      <c r="CX162" s="188">
        <f t="shared" si="384"/>
        <v>21.604014840851399</v>
      </c>
      <c r="CY162" s="188">
        <f t="shared" si="385"/>
        <v>3.6006691401419002</v>
      </c>
      <c r="CZ162" s="188">
        <f t="shared" si="386"/>
        <v>3.7572199723219826</v>
      </c>
      <c r="DA162" s="172">
        <f t="shared" si="387"/>
        <v>220.21276595744678</v>
      </c>
      <c r="DB162" s="379">
        <f t="shared" si="388"/>
        <v>135.90854451802647</v>
      </c>
      <c r="DD162" s="188">
        <f t="shared" si="389"/>
        <v>13.333333333333336</v>
      </c>
      <c r="DE162" s="150">
        <f t="shared" si="390"/>
        <v>2.3188405797101459</v>
      </c>
      <c r="DF162" s="150">
        <f t="shared" si="391"/>
        <v>0.15898994622398885</v>
      </c>
      <c r="DG162" s="150"/>
      <c r="DH162" s="150">
        <f t="shared" si="392"/>
        <v>2.3188405797101455</v>
      </c>
      <c r="DI162" s="314">
        <f t="shared" si="393"/>
        <v>360.11911764705872</v>
      </c>
      <c r="DJ162" s="456">
        <f t="shared" si="394"/>
        <v>0.15898994622398879</v>
      </c>
      <c r="DL162" s="150">
        <f t="shared" si="395"/>
        <v>13.426342266852378</v>
      </c>
      <c r="DM162" s="150">
        <f t="shared" si="396"/>
        <v>21.604014840851399</v>
      </c>
      <c r="DN162" s="150">
        <f t="shared" si="397"/>
        <v>7.3264307463096774</v>
      </c>
      <c r="DP162" s="314">
        <f t="shared" si="398"/>
        <v>260</v>
      </c>
      <c r="DQ162" s="144">
        <f t="shared" si="399"/>
        <v>135.90854451802647</v>
      </c>
      <c r="DS162">
        <f t="shared" si="400"/>
        <v>260</v>
      </c>
      <c r="DT162">
        <f t="shared" si="401"/>
        <v>135.90854451802647</v>
      </c>
      <c r="DV162" s="5">
        <f t="shared" si="402"/>
        <v>7.3578891124638828</v>
      </c>
      <c r="DW162" s="5">
        <f t="shared" si="403"/>
        <v>3.6006691401419002</v>
      </c>
      <c r="DX162" s="5">
        <f t="shared" si="404"/>
        <v>3.7572199723219826</v>
      </c>
      <c r="DY162" s="150">
        <f t="shared" si="405"/>
        <v>0.48936170212765961</v>
      </c>
      <c r="EA162" s="5">
        <f t="shared" si="406"/>
        <v>0.55069057437464364</v>
      </c>
      <c r="EB162" s="5">
        <f t="shared" si="407"/>
        <v>7.8014498036407831</v>
      </c>
      <c r="EC162" s="5">
        <f t="shared" si="408"/>
        <v>30.753541254931783</v>
      </c>
      <c r="ED162" s="5"/>
      <c r="EE162" s="150">
        <f t="shared" si="409"/>
        <v>8.7254699792564701</v>
      </c>
      <c r="EF162" s="150">
        <f t="shared" si="410"/>
        <v>0.41627283350863192</v>
      </c>
      <c r="EG162" s="150">
        <f t="shared" si="411"/>
        <v>0.3959948370233769</v>
      </c>
      <c r="EH162" s="150"/>
      <c r="EI162" s="456">
        <f t="shared" si="412"/>
        <v>0.25885500962028007</v>
      </c>
      <c r="EJ162" s="456">
        <f t="shared" si="413"/>
        <v>1.5731999999999997</v>
      </c>
      <c r="EK162" s="456">
        <f t="shared" si="414"/>
        <v>3.1123056694628063E-2</v>
      </c>
      <c r="EL162" s="456">
        <f t="shared" si="415"/>
        <v>2.8919819920165249E-2</v>
      </c>
      <c r="EM162">
        <f t="shared" si="416"/>
        <v>4.0499999999999998E-3</v>
      </c>
      <c r="EN162" s="144">
        <f t="shared" si="417"/>
        <v>35.173056694628066</v>
      </c>
      <c r="EP162" s="144">
        <f t="shared" si="439"/>
        <v>1896.1478862350732</v>
      </c>
      <c r="EQ162" s="150">
        <f t="shared" si="418"/>
        <v>0.65</v>
      </c>
      <c r="ER162" s="150">
        <f t="shared" si="475"/>
        <v>0.18460000000000001</v>
      </c>
      <c r="ES162" s="456"/>
      <c r="EU162" s="144">
        <f t="shared" si="420"/>
        <v>834.6</v>
      </c>
      <c r="EV162" s="456">
        <f t="shared" si="421"/>
        <v>0.11420073953835887</v>
      </c>
      <c r="EW162" s="456">
        <f t="shared" si="422"/>
        <v>3.4656614383461036E-2</v>
      </c>
      <c r="EX162" s="456">
        <f t="shared" si="423"/>
        <v>4.7043573284751249E-3</v>
      </c>
      <c r="EY162" s="456">
        <f t="shared" si="424"/>
        <v>23.357323485002233</v>
      </c>
      <c r="EZ162" s="456"/>
      <c r="FA162" s="538">
        <f t="shared" si="425"/>
        <v>6.3433064851861537E-2</v>
      </c>
      <c r="FB162" s="144">
        <f t="shared" si="426"/>
        <v>23574.318261104389</v>
      </c>
      <c r="FC162" s="150">
        <f t="shared" si="427"/>
        <v>26.305066147339463</v>
      </c>
      <c r="FD162" s="5">
        <f t="shared" si="428"/>
        <v>47.32</v>
      </c>
      <c r="FE162" s="150">
        <f t="shared" si="429"/>
        <v>0.64271589115183381</v>
      </c>
      <c r="FF162" s="5">
        <f t="shared" si="430"/>
        <v>64.271589115183374</v>
      </c>
      <c r="FG162">
        <f t="shared" si="431"/>
        <v>52</v>
      </c>
      <c r="FI162" s="59">
        <f t="shared" si="432"/>
        <v>-50</v>
      </c>
      <c r="FJ162">
        <f t="shared" si="433"/>
        <v>-50</v>
      </c>
    </row>
    <row r="163" spans="5:166">
      <c r="E163" s="147">
        <v>53</v>
      </c>
      <c r="F163" s="188">
        <f t="shared" si="476"/>
        <v>0.26500000000000001</v>
      </c>
      <c r="G163" s="188">
        <f t="shared" si="444"/>
        <v>0.26500000000000001</v>
      </c>
      <c r="H163" s="188">
        <f t="shared" si="445"/>
        <v>45.050000000000004</v>
      </c>
      <c r="I163" s="188">
        <f t="shared" si="446"/>
        <v>3.18</v>
      </c>
      <c r="J163" s="465">
        <f t="shared" si="447"/>
        <v>8.9336255321079463</v>
      </c>
      <c r="K163" s="379">
        <f t="shared" si="448"/>
        <v>8.6646642913563721</v>
      </c>
      <c r="L163" s="149">
        <f t="shared" si="449"/>
        <v>17.59828982346432</v>
      </c>
      <c r="M163" s="379"/>
      <c r="N163" s="188">
        <f t="shared" si="450"/>
        <v>0.49235831312446732</v>
      </c>
      <c r="O163" s="149">
        <f t="shared" si="451"/>
        <v>136.95102848033662</v>
      </c>
      <c r="P163" s="149">
        <f t="shared" si="452"/>
        <v>9.6671314221414093</v>
      </c>
      <c r="Q163" s="188">
        <f t="shared" si="322"/>
        <v>0.80559428517845066</v>
      </c>
      <c r="R163" s="188">
        <f t="shared" si="453"/>
        <v>11.412585706694719</v>
      </c>
      <c r="S163" s="188">
        <f t="shared" si="454"/>
        <v>170</v>
      </c>
      <c r="T163" s="188">
        <f t="shared" si="455"/>
        <v>21.929980129828319</v>
      </c>
      <c r="U163" s="188">
        <f t="shared" si="326"/>
        <v>3.6821523441424904</v>
      </c>
      <c r="V163" s="188">
        <f t="shared" si="327"/>
        <v>3.7964506285093567</v>
      </c>
      <c r="W163" s="172">
        <f t="shared" si="328"/>
        <v>219.927239853717</v>
      </c>
      <c r="X163" s="379">
        <f t="shared" si="435"/>
        <v>130.23202313775113</v>
      </c>
      <c r="Z163" s="188">
        <f t="shared" si="329"/>
        <v>13.333333333333334</v>
      </c>
      <c r="AA163" s="150">
        <f t="shared" si="330"/>
        <v>2.3082256077654901</v>
      </c>
      <c r="AB163" s="150">
        <f t="shared" si="456"/>
        <v>0.15805693547406696</v>
      </c>
      <c r="AC163" s="150"/>
      <c r="AD163" s="150">
        <f t="shared" si="332"/>
        <v>2.3082256077654901</v>
      </c>
      <c r="AE163" s="314">
        <f t="shared" si="457"/>
        <v>368.73243421069225</v>
      </c>
      <c r="AF163" s="456">
        <f t="shared" si="458"/>
        <v>0.15805693547406693</v>
      </c>
      <c r="AH163" s="150">
        <f t="shared" si="459"/>
        <v>13.554826938523906</v>
      </c>
      <c r="AI163" s="150">
        <f t="shared" si="460"/>
        <v>21.929980129828319</v>
      </c>
      <c r="AJ163" s="150">
        <f t="shared" si="461"/>
        <v>7.5678865159222113</v>
      </c>
      <c r="AL163" s="314">
        <f t="shared" si="462"/>
        <v>265</v>
      </c>
      <c r="AM163" s="144">
        <f t="shared" si="463"/>
        <v>130.23202313775113</v>
      </c>
      <c r="AO163">
        <f t="shared" si="340"/>
        <v>265</v>
      </c>
      <c r="AP163">
        <f t="shared" si="341"/>
        <v>130.23202313775113</v>
      </c>
      <c r="AR163" s="5">
        <f t="shared" si="443"/>
        <v>7.6786029726518477</v>
      </c>
      <c r="AS163" s="5">
        <f t="shared" si="440"/>
        <v>3.6821523441424904</v>
      </c>
      <c r="AT163" s="5">
        <f t="shared" si="441"/>
        <v>3.9964506285093573</v>
      </c>
      <c r="AU163" s="150">
        <f t="shared" si="442"/>
        <v>0.47953414927908933</v>
      </c>
      <c r="AW163" s="5">
        <f t="shared" si="342"/>
        <v>0.57398257129279995</v>
      </c>
      <c r="AX163" s="5">
        <f t="shared" si="343"/>
        <v>8.131419759981334</v>
      </c>
      <c r="AY163" s="5">
        <f t="shared" si="344"/>
        <v>33.588472408220007</v>
      </c>
      <c r="AZ163" s="5"/>
      <c r="BA163" s="150">
        <f t="shared" si="345"/>
        <v>8.7677343115170796</v>
      </c>
      <c r="BB163" s="150">
        <f t="shared" si="346"/>
        <v>0.42660040976856933</v>
      </c>
      <c r="BC163" s="150">
        <f t="shared" si="347"/>
        <v>0.40581932363094603</v>
      </c>
      <c r="BD163" s="150"/>
      <c r="BE163" s="456">
        <f t="shared" si="348"/>
        <v>0.26136876085500316</v>
      </c>
      <c r="BF163" s="456">
        <f t="shared" si="464"/>
        <v>1.2037381061572547</v>
      </c>
      <c r="BG163" s="456">
        <f t="shared" si="465"/>
        <v>5.3285741016668074E-2</v>
      </c>
      <c r="BH163" s="456">
        <f t="shared" si="351"/>
        <v>2.7627990010991355E-2</v>
      </c>
      <c r="BI163">
        <f t="shared" si="352"/>
        <v>4.020131489448576E-3</v>
      </c>
      <c r="BJ163" s="144">
        <f t="shared" si="436"/>
        <v>57.30587250611665</v>
      </c>
      <c r="BK163">
        <f t="shared" si="466"/>
        <v>1.6668157073612859</v>
      </c>
      <c r="BL163" s="144">
        <f t="shared" si="437"/>
        <v>1550.040729529366</v>
      </c>
      <c r="BM163" s="150">
        <f t="shared" si="467"/>
        <v>0.58796875000000004</v>
      </c>
      <c r="BN163" s="150">
        <f t="shared" si="468"/>
        <v>0.58796875000000004</v>
      </c>
      <c r="BO163" s="456"/>
      <c r="BQ163" s="144">
        <f t="shared" si="356"/>
        <v>1175.9375</v>
      </c>
      <c r="BR163" s="456">
        <f t="shared" si="357"/>
        <v>0.11530974743603083</v>
      </c>
      <c r="BS163" s="456">
        <f t="shared" si="358"/>
        <v>3.6397581922942256E-2</v>
      </c>
      <c r="BT163" s="456">
        <f t="shared" si="359"/>
        <v>4.9406797029683553E-3</v>
      </c>
      <c r="BU163" s="456">
        <f t="shared" si="360"/>
        <v>21.795160327071841</v>
      </c>
      <c r="BV163" s="456"/>
      <c r="BW163" s="538">
        <f t="shared" si="469"/>
        <v>6.2631709206417696E-2</v>
      </c>
      <c r="BX163" s="144">
        <f t="shared" si="362"/>
        <v>22014.440045340201</v>
      </c>
      <c r="BY163" s="150">
        <f t="shared" si="363"/>
        <v>24.740418274869565</v>
      </c>
      <c r="BZ163" s="5">
        <f t="shared" si="364"/>
        <v>48.230000000000004</v>
      </c>
      <c r="CA163" s="150">
        <f t="shared" si="365"/>
        <v>0.66095276881001552</v>
      </c>
      <c r="CB163" s="5">
        <f t="shared" si="366"/>
        <v>66.095276881001553</v>
      </c>
      <c r="CC163">
        <f t="shared" si="367"/>
        <v>53</v>
      </c>
      <c r="CE163" s="59">
        <f t="shared" si="470"/>
        <v>-50</v>
      </c>
      <c r="CF163">
        <f t="shared" si="471"/>
        <v>-50</v>
      </c>
      <c r="CG163" s="150">
        <f t="shared" si="370"/>
        <v>0.49840675206849377</v>
      </c>
      <c r="CH163" s="150">
        <f t="shared" si="472"/>
        <v>0.1350568335034627</v>
      </c>
      <c r="CI163" s="147">
        <v>53</v>
      </c>
      <c r="CJ163" s="188">
        <f t="shared" si="438"/>
        <v>0.26500000000000001</v>
      </c>
      <c r="CK163" s="188">
        <f t="shared" si="372"/>
        <v>0.26500000000000001</v>
      </c>
      <c r="CL163" s="188">
        <f t="shared" si="373"/>
        <v>45.050000000000004</v>
      </c>
      <c r="CM163" s="188">
        <f t="shared" si="374"/>
        <v>3.18</v>
      </c>
      <c r="CN163" s="465">
        <f t="shared" si="375"/>
        <v>9</v>
      </c>
      <c r="CO163" s="379">
        <f t="shared" si="473"/>
        <v>8.625</v>
      </c>
      <c r="CP163" s="379">
        <f t="shared" si="474"/>
        <v>17.625</v>
      </c>
      <c r="CQ163" s="379"/>
      <c r="CR163" s="188">
        <f t="shared" si="378"/>
        <v>0.48674080410607357</v>
      </c>
      <c r="CS163" s="149">
        <f t="shared" si="379"/>
        <v>136.39440115060304</v>
      </c>
      <c r="CT163" s="149">
        <f t="shared" si="380"/>
        <v>9.6278400812190377</v>
      </c>
      <c r="CU163" s="188">
        <f t="shared" si="381"/>
        <v>0.80232000676825321</v>
      </c>
      <c r="CV163" s="188">
        <f t="shared" si="382"/>
        <v>11.366200095883586</v>
      </c>
      <c r="CW163" s="188">
        <f t="shared" si="383"/>
        <v>170</v>
      </c>
      <c r="CX163" s="188">
        <f t="shared" si="384"/>
        <v>22.019476664713924</v>
      </c>
      <c r="CY163" s="188">
        <f t="shared" si="385"/>
        <v>3.6699127774523204</v>
      </c>
      <c r="CZ163" s="188">
        <f t="shared" si="386"/>
        <v>3.8294742025589432</v>
      </c>
      <c r="DA163" s="172">
        <f t="shared" si="387"/>
        <v>220.21276595744678</v>
      </c>
      <c r="DB163" s="379">
        <f t="shared" si="388"/>
        <v>133.34423235730901</v>
      </c>
      <c r="DD163" s="188">
        <f t="shared" si="389"/>
        <v>13.333333333333336</v>
      </c>
      <c r="DE163" s="150">
        <f t="shared" si="390"/>
        <v>2.3188405797101459</v>
      </c>
      <c r="DF163" s="150">
        <f t="shared" si="391"/>
        <v>0.15898994622398885</v>
      </c>
      <c r="DG163" s="150"/>
      <c r="DH163" s="150">
        <f t="shared" si="392"/>
        <v>2.3188405797101455</v>
      </c>
      <c r="DI163" s="314">
        <f t="shared" si="393"/>
        <v>367.04448529411752</v>
      </c>
      <c r="DJ163" s="456">
        <f t="shared" si="394"/>
        <v>0.15898994622398879</v>
      </c>
      <c r="DL163" s="150">
        <f t="shared" si="395"/>
        <v>13.554826938523906</v>
      </c>
      <c r="DM163" s="150">
        <f t="shared" si="396"/>
        <v>22.019476664713924</v>
      </c>
      <c r="DN163" s="150">
        <f t="shared" si="397"/>
        <v>7.6341802454671042</v>
      </c>
      <c r="DP163" s="314">
        <f t="shared" si="398"/>
        <v>265</v>
      </c>
      <c r="DQ163" s="144">
        <f t="shared" si="399"/>
        <v>133.34423235730901</v>
      </c>
      <c r="DS163">
        <f t="shared" si="400"/>
        <v>265</v>
      </c>
      <c r="DT163">
        <f t="shared" si="401"/>
        <v>133.34423235730901</v>
      </c>
      <c r="DV163" s="5">
        <f t="shared" si="402"/>
        <v>7.4993869800112654</v>
      </c>
      <c r="DW163" s="5">
        <f t="shared" si="403"/>
        <v>3.6699127774523204</v>
      </c>
      <c r="DX163" s="5">
        <f t="shared" si="404"/>
        <v>3.829474202558945</v>
      </c>
      <c r="DY163" s="150">
        <f t="shared" si="405"/>
        <v>0.48936170212765945</v>
      </c>
      <c r="EA163" s="5">
        <f t="shared" si="406"/>
        <v>0.5720746388381559</v>
      </c>
      <c r="EB163" s="5">
        <f t="shared" si="407"/>
        <v>8.1043907168738745</v>
      </c>
      <c r="EC163" s="5">
        <f t="shared" si="408"/>
        <v>31.947743115792679</v>
      </c>
      <c r="ED163" s="5"/>
      <c r="EE163" s="150">
        <f t="shared" si="409"/>
        <v>8.8932674788575543</v>
      </c>
      <c r="EF163" s="150">
        <f t="shared" si="410"/>
        <v>0.42427808030687492</v>
      </c>
      <c r="EG163" s="150">
        <f t="shared" si="411"/>
        <v>0.40361012235074956</v>
      </c>
      <c r="EH163" s="150"/>
      <c r="EI163" s="456">
        <f t="shared" si="412"/>
        <v>0.26890670193171834</v>
      </c>
      <c r="EJ163" s="456">
        <f t="shared" si="413"/>
        <v>1.5732000000000002</v>
      </c>
      <c r="EK163" s="456">
        <f t="shared" si="414"/>
        <v>3.0535829209823763E-2</v>
      </c>
      <c r="EL163" s="456">
        <f t="shared" si="415"/>
        <v>2.8374162940539491E-2</v>
      </c>
      <c r="EM163">
        <f t="shared" si="416"/>
        <v>4.0499999999999998E-3</v>
      </c>
      <c r="EN163" s="144">
        <f t="shared" si="417"/>
        <v>34.585829209823764</v>
      </c>
      <c r="EP163" s="144">
        <f t="shared" si="439"/>
        <v>1905.0666940820818</v>
      </c>
      <c r="EQ163" s="150">
        <f t="shared" si="418"/>
        <v>0.66250000000000009</v>
      </c>
      <c r="ER163" s="150">
        <f t="shared" si="475"/>
        <v>0.18815000000000001</v>
      </c>
      <c r="ES163" s="456"/>
      <c r="EU163" s="144">
        <f t="shared" si="420"/>
        <v>850.65000000000009</v>
      </c>
      <c r="EV163" s="456">
        <f t="shared" si="421"/>
        <v>0.11863530967575811</v>
      </c>
      <c r="EW163" s="456">
        <f t="shared" si="422"/>
        <v>3.6002377885777398E-2</v>
      </c>
      <c r="EX163" s="456">
        <f t="shared" si="423"/>
        <v>4.8870339259196108E-3</v>
      </c>
      <c r="EY163" s="456">
        <f t="shared" si="424"/>
        <v>23.357323485002258</v>
      </c>
      <c r="EZ163" s="456"/>
      <c r="FA163" s="538">
        <f t="shared" si="425"/>
        <v>6.465293148362812E-2</v>
      </c>
      <c r="FB163" s="144">
        <f t="shared" si="426"/>
        <v>23581.501137973341</v>
      </c>
      <c r="FC163" s="150">
        <f t="shared" si="427"/>
        <v>26.337217832055423</v>
      </c>
      <c r="FD163" s="5">
        <f t="shared" si="428"/>
        <v>48.230000000000004</v>
      </c>
      <c r="FE163" s="150">
        <f t="shared" si="429"/>
        <v>0.64679897416350407</v>
      </c>
      <c r="FF163" s="5">
        <f t="shared" si="430"/>
        <v>64.6798974163504</v>
      </c>
      <c r="FG163">
        <f t="shared" si="431"/>
        <v>53</v>
      </c>
      <c r="FI163" s="59">
        <f t="shared" si="432"/>
        <v>-50</v>
      </c>
      <c r="FJ163">
        <f t="shared" si="433"/>
        <v>-50</v>
      </c>
    </row>
    <row r="164" spans="5:166">
      <c r="E164" s="147">
        <v>54</v>
      </c>
      <c r="F164" s="188">
        <f t="shared" si="476"/>
        <v>0.27</v>
      </c>
      <c r="G164" s="188">
        <f t="shared" si="444"/>
        <v>0.27</v>
      </c>
      <c r="H164" s="188">
        <f t="shared" si="445"/>
        <v>45.900000000000006</v>
      </c>
      <c r="I164" s="188">
        <f t="shared" si="446"/>
        <v>3.24</v>
      </c>
      <c r="J164" s="465">
        <f t="shared" si="447"/>
        <v>8.9323731836571518</v>
      </c>
      <c r="K164" s="379">
        <f t="shared" si="448"/>
        <v>8.6654126742121509</v>
      </c>
      <c r="L164" s="149">
        <f t="shared" si="449"/>
        <v>17.597785857869304</v>
      </c>
      <c r="M164" s="379"/>
      <c r="N164" s="188">
        <f t="shared" si="450"/>
        <v>0.49241494039076444</v>
      </c>
      <c r="O164" s="149">
        <f t="shared" si="451"/>
        <v>136.94757902790511</v>
      </c>
      <c r="P164" s="149">
        <f t="shared" si="452"/>
        <v>9.6668879313815381</v>
      </c>
      <c r="Q164" s="188">
        <f t="shared" si="322"/>
        <v>0.80557399428179477</v>
      </c>
      <c r="R164" s="188">
        <f t="shared" si="453"/>
        <v>11.412298252325426</v>
      </c>
      <c r="S164" s="188">
        <f t="shared" si="454"/>
        <v>170</v>
      </c>
      <c r="T164" s="188">
        <f t="shared" si="455"/>
        <v>22.344316137027</v>
      </c>
      <c r="U164" s="188">
        <f t="shared" si="326"/>
        <v>3.7522474169421076</v>
      </c>
      <c r="V164" s="188">
        <f t="shared" si="327"/>
        <v>3.8678451293247584</v>
      </c>
      <c r="W164" s="172">
        <f t="shared" si="328"/>
        <v>219.92170043892997</v>
      </c>
      <c r="X164" s="379">
        <f t="shared" si="435"/>
        <v>127.87572449860293</v>
      </c>
      <c r="Z164" s="188">
        <f t="shared" si="329"/>
        <v>13.333333333333334</v>
      </c>
      <c r="AA164" s="150">
        <f t="shared" si="330"/>
        <v>2.3080262593285412</v>
      </c>
      <c r="AB164" s="150">
        <f t="shared" si="456"/>
        <v>0.15803930427393781</v>
      </c>
      <c r="AC164" s="150"/>
      <c r="AD164" s="150">
        <f t="shared" si="332"/>
        <v>2.3080262593285412</v>
      </c>
      <c r="AE164" s="314">
        <f t="shared" si="457"/>
        <v>375.72209895069273</v>
      </c>
      <c r="AF164" s="456">
        <f t="shared" si="458"/>
        <v>0.15803930427393781</v>
      </c>
      <c r="AH164" s="150">
        <f t="shared" si="459"/>
        <v>13.682105101189656</v>
      </c>
      <c r="AI164" s="150">
        <f t="shared" si="460"/>
        <v>22.344316137027</v>
      </c>
      <c r="AJ164" s="150">
        <f t="shared" si="461"/>
        <v>7.8748020768101235</v>
      </c>
      <c r="AL164" s="314">
        <f t="shared" si="462"/>
        <v>270</v>
      </c>
      <c r="AM164" s="144">
        <f t="shared" si="463"/>
        <v>127.87572449860293</v>
      </c>
      <c r="AO164">
        <f t="shared" si="340"/>
        <v>270</v>
      </c>
      <c r="AP164">
        <f t="shared" si="341"/>
        <v>127.87572449860293</v>
      </c>
      <c r="AR164" s="5">
        <f t="shared" si="443"/>
        <v>7.8200925462668653</v>
      </c>
      <c r="AS164" s="5">
        <f t="shared" si="440"/>
        <v>3.7522474169421076</v>
      </c>
      <c r="AT164" s="5">
        <f t="shared" si="441"/>
        <v>4.0678451293247573</v>
      </c>
      <c r="AU164" s="150">
        <f t="shared" si="442"/>
        <v>0.47982135693948347</v>
      </c>
      <c r="AW164" s="5">
        <f t="shared" si="342"/>
        <v>0.59594517798492297</v>
      </c>
      <c r="AX164" s="5">
        <f t="shared" si="343"/>
        <v>8.4425566881197422</v>
      </c>
      <c r="AY164" s="5">
        <f t="shared" si="344"/>
        <v>34.838462970031706</v>
      </c>
      <c r="AZ164" s="5"/>
      <c r="BA164" s="150">
        <f t="shared" si="345"/>
        <v>8.9360631096083907</v>
      </c>
      <c r="BB164" s="150">
        <f t="shared" si="346"/>
        <v>0.43454047664991563</v>
      </c>
      <c r="BC164" s="150">
        <f t="shared" si="347"/>
        <v>0.41337260416605026</v>
      </c>
      <c r="BD164" s="150"/>
      <c r="BE164" s="456">
        <f t="shared" si="348"/>
        <v>0.27150096125627349</v>
      </c>
      <c r="BF164" s="456">
        <f t="shared" si="464"/>
        <v>1.2042557287187201</v>
      </c>
      <c r="BG164" s="456">
        <f t="shared" si="465"/>
        <v>5.2314303109723917E-2</v>
      </c>
      <c r="BH164" s="456">
        <f t="shared" si="351"/>
        <v>2.712656080577629E-2</v>
      </c>
      <c r="BI164">
        <f t="shared" si="352"/>
        <v>4.0195679326457184E-3</v>
      </c>
      <c r="BJ164" s="144">
        <f t="shared" si="436"/>
        <v>56.333871042369637</v>
      </c>
      <c r="BK164">
        <f t="shared" si="466"/>
        <v>1.6848776569845607</v>
      </c>
      <c r="BL164" s="144">
        <f t="shared" si="437"/>
        <v>1559.2171218231397</v>
      </c>
      <c r="BM164" s="150">
        <f t="shared" si="467"/>
        <v>0.59906250000000005</v>
      </c>
      <c r="BN164" s="150">
        <f t="shared" si="468"/>
        <v>0.59906250000000005</v>
      </c>
      <c r="BO164" s="456"/>
      <c r="BQ164" s="144">
        <f t="shared" si="356"/>
        <v>1198.125</v>
      </c>
      <c r="BR164" s="456">
        <f t="shared" si="357"/>
        <v>0.11977983584835597</v>
      </c>
      <c r="BS164" s="456">
        <f t="shared" si="358"/>
        <v>3.7765085169427177E-2</v>
      </c>
      <c r="BT164" s="456">
        <f t="shared" si="359"/>
        <v>5.1263072962506621E-3</v>
      </c>
      <c r="BU164" s="456">
        <f t="shared" si="360"/>
        <v>21.820160505192991</v>
      </c>
      <c r="BV164" s="456"/>
      <c r="BW164" s="538">
        <f t="shared" si="469"/>
        <v>6.384431650617034E-2</v>
      </c>
      <c r="BX164" s="144">
        <f t="shared" si="362"/>
        <v>22046.676050013193</v>
      </c>
      <c r="BY164" s="150">
        <f t="shared" si="363"/>
        <v>24.804018171836336</v>
      </c>
      <c r="BZ164" s="5">
        <f t="shared" si="364"/>
        <v>49.140000000000008</v>
      </c>
      <c r="CA164" s="150">
        <f t="shared" si="365"/>
        <v>0.66455679870959938</v>
      </c>
      <c r="CB164" s="5">
        <f t="shared" si="366"/>
        <v>66.455679870959941</v>
      </c>
      <c r="CC164">
        <f t="shared" si="367"/>
        <v>54</v>
      </c>
      <c r="CE164" s="59">
        <f t="shared" si="470"/>
        <v>-50</v>
      </c>
      <c r="CF164">
        <f t="shared" si="471"/>
        <v>-50</v>
      </c>
      <c r="CG164" s="150">
        <f t="shared" si="370"/>
        <v>0.49840675206849377</v>
      </c>
      <c r="CH164" s="150">
        <f t="shared" si="472"/>
        <v>0.1350568335034627</v>
      </c>
      <c r="CI164" s="147">
        <v>54</v>
      </c>
      <c r="CJ164" s="188">
        <f t="shared" si="438"/>
        <v>0.27</v>
      </c>
      <c r="CK164" s="188">
        <f t="shared" si="372"/>
        <v>0.27</v>
      </c>
      <c r="CL164" s="188">
        <f t="shared" si="373"/>
        <v>45.900000000000006</v>
      </c>
      <c r="CM164" s="188">
        <f t="shared" si="374"/>
        <v>3.24</v>
      </c>
      <c r="CN164" s="465">
        <f t="shared" si="375"/>
        <v>9</v>
      </c>
      <c r="CO164" s="379">
        <f t="shared" si="473"/>
        <v>8.625</v>
      </c>
      <c r="CP164" s="379">
        <f t="shared" si="474"/>
        <v>17.625</v>
      </c>
      <c r="CQ164" s="379"/>
      <c r="CR164" s="188">
        <f t="shared" si="378"/>
        <v>0.48674080410607357</v>
      </c>
      <c r="CS164" s="149">
        <f t="shared" si="379"/>
        <v>136.39440115060304</v>
      </c>
      <c r="CT164" s="149">
        <f t="shared" si="380"/>
        <v>9.6278400812190377</v>
      </c>
      <c r="CU164" s="188">
        <f t="shared" si="381"/>
        <v>0.80232000676825321</v>
      </c>
      <c r="CV164" s="188">
        <f t="shared" si="382"/>
        <v>11.366200095883586</v>
      </c>
      <c r="CW164" s="188">
        <f t="shared" si="383"/>
        <v>170</v>
      </c>
      <c r="CX164" s="188">
        <f t="shared" si="384"/>
        <v>22.434938488576453</v>
      </c>
      <c r="CY164" s="188">
        <f t="shared" si="385"/>
        <v>3.7391564147627419</v>
      </c>
      <c r="CZ164" s="188">
        <f t="shared" si="386"/>
        <v>3.9017284327959043</v>
      </c>
      <c r="DA164" s="172">
        <f t="shared" si="387"/>
        <v>220.21276595744678</v>
      </c>
      <c r="DB164" s="379">
        <f t="shared" si="388"/>
        <v>130.87489472106256</v>
      </c>
      <c r="DD164" s="188">
        <f t="shared" si="389"/>
        <v>13.333333333333336</v>
      </c>
      <c r="DE164" s="150">
        <f t="shared" si="390"/>
        <v>2.3188405797101459</v>
      </c>
      <c r="DF164" s="150">
        <f t="shared" si="391"/>
        <v>0.15898994622398885</v>
      </c>
      <c r="DG164" s="150"/>
      <c r="DH164" s="150">
        <f t="shared" si="392"/>
        <v>2.3188405797101455</v>
      </c>
      <c r="DI164" s="314">
        <f t="shared" si="393"/>
        <v>373.96985294117633</v>
      </c>
      <c r="DJ164" s="456">
        <f t="shared" si="394"/>
        <v>0.15898994622398879</v>
      </c>
      <c r="DL164" s="150">
        <f t="shared" si="395"/>
        <v>13.682105101189656</v>
      </c>
      <c r="DM164" s="150">
        <f t="shared" si="396"/>
        <v>22.434938488576453</v>
      </c>
      <c r="DN164" s="150">
        <f t="shared" si="397"/>
        <v>7.9419297446245327</v>
      </c>
      <c r="DP164" s="314">
        <f t="shared" si="398"/>
        <v>270</v>
      </c>
      <c r="DQ164" s="144">
        <f t="shared" si="399"/>
        <v>130.87489472106256</v>
      </c>
      <c r="DS164">
        <f t="shared" si="400"/>
        <v>270</v>
      </c>
      <c r="DT164">
        <f t="shared" si="401"/>
        <v>130.87489472106256</v>
      </c>
      <c r="DV164" s="5">
        <f t="shared" si="402"/>
        <v>7.6408848475586462</v>
      </c>
      <c r="DW164" s="5">
        <f t="shared" si="403"/>
        <v>3.7391564147627419</v>
      </c>
      <c r="DX164" s="5">
        <f t="shared" si="404"/>
        <v>3.9017284327959043</v>
      </c>
      <c r="DY164" s="150">
        <f t="shared" si="405"/>
        <v>0.48936170212765961</v>
      </c>
      <c r="EA164" s="5">
        <f t="shared" si="406"/>
        <v>0.59386601881525902</v>
      </c>
      <c r="EB164" s="5">
        <f t="shared" si="407"/>
        <v>8.4131019332161703</v>
      </c>
      <c r="EC164" s="5">
        <f t="shared" si="408"/>
        <v>33.16469167876518</v>
      </c>
      <c r="ED164" s="5"/>
      <c r="EE164" s="150">
        <f t="shared" si="409"/>
        <v>9.0610649784586421</v>
      </c>
      <c r="EF164" s="150">
        <f t="shared" si="410"/>
        <v>0.43228332710511785</v>
      </c>
      <c r="EG164" s="150">
        <f t="shared" si="411"/>
        <v>0.41122540767812216</v>
      </c>
      <c r="EH164" s="150"/>
      <c r="EI164" s="456">
        <f t="shared" si="412"/>
        <v>0.27914985504908901</v>
      </c>
      <c r="EJ164" s="456">
        <f t="shared" si="413"/>
        <v>1.5732000000000002</v>
      </c>
      <c r="EK164" s="456">
        <f t="shared" si="414"/>
        <v>2.9970350891123328E-2</v>
      </c>
      <c r="EL164" s="456">
        <f t="shared" si="415"/>
        <v>2.7848715478677653E-2</v>
      </c>
      <c r="EM164">
        <f t="shared" si="416"/>
        <v>4.0499999999999998E-3</v>
      </c>
      <c r="EN164" s="144">
        <f t="shared" si="417"/>
        <v>34.020350891123329</v>
      </c>
      <c r="EP164" s="144">
        <f t="shared" si="439"/>
        <v>1914.2189214188902</v>
      </c>
      <c r="EQ164" s="150">
        <f t="shared" si="418"/>
        <v>0.67500000000000004</v>
      </c>
      <c r="ER164" s="150">
        <f t="shared" si="475"/>
        <v>0.19170000000000001</v>
      </c>
      <c r="ES164" s="456"/>
      <c r="EU164" s="144">
        <f t="shared" si="420"/>
        <v>866.7</v>
      </c>
      <c r="EV164" s="456">
        <f t="shared" si="421"/>
        <v>0.12315434781577458</v>
      </c>
      <c r="EW164" s="456">
        <f t="shared" si="422"/>
        <v>3.737377497861407E-2</v>
      </c>
      <c r="EX164" s="456">
        <f t="shared" si="423"/>
        <v>5.073190077601133E-3</v>
      </c>
      <c r="EY164" s="456">
        <f t="shared" si="424"/>
        <v>23.357323485002318</v>
      </c>
      <c r="EZ164" s="456"/>
      <c r="FA164" s="538">
        <f t="shared" si="425"/>
        <v>6.5872798115394704E-2</v>
      </c>
      <c r="FB164" s="144">
        <f t="shared" si="426"/>
        <v>23588.797595989701</v>
      </c>
      <c r="FC164" s="150">
        <f t="shared" si="427"/>
        <v>26.369716517408591</v>
      </c>
      <c r="FD164" s="5">
        <f t="shared" si="428"/>
        <v>49.140000000000008</v>
      </c>
      <c r="FE164" s="150">
        <f t="shared" si="429"/>
        <v>0.65077717499668908</v>
      </c>
      <c r="FF164" s="5">
        <f t="shared" si="430"/>
        <v>65.077717499668907</v>
      </c>
      <c r="FG164">
        <f t="shared" si="431"/>
        <v>54</v>
      </c>
      <c r="FI164" s="59">
        <f t="shared" si="432"/>
        <v>-50</v>
      </c>
      <c r="FJ164">
        <f t="shared" si="433"/>
        <v>-50</v>
      </c>
    </row>
    <row r="165" spans="5:166">
      <c r="E165" s="147">
        <v>55</v>
      </c>
      <c r="F165" s="188">
        <f t="shared" si="476"/>
        <v>0.27500000000000002</v>
      </c>
      <c r="G165" s="188">
        <f t="shared" si="444"/>
        <v>0.27500000000000002</v>
      </c>
      <c r="H165" s="188">
        <f t="shared" si="445"/>
        <v>46.750000000000007</v>
      </c>
      <c r="I165" s="188">
        <f t="shared" si="446"/>
        <v>3.3000000000000003</v>
      </c>
      <c r="J165" s="465">
        <f t="shared" si="447"/>
        <v>8.9311208352063591</v>
      </c>
      <c r="K165" s="379">
        <f t="shared" si="448"/>
        <v>8.6661610570679315</v>
      </c>
      <c r="L165" s="149">
        <f t="shared" si="449"/>
        <v>17.597281892274289</v>
      </c>
      <c r="M165" s="379"/>
      <c r="N165" s="188">
        <f t="shared" si="450"/>
        <v>0.49247157090053917</v>
      </c>
      <c r="O165" s="149">
        <f t="shared" si="451"/>
        <v>136.94412606132306</v>
      </c>
      <c r="P165" s="149">
        <f t="shared" si="452"/>
        <v>9.6666441925639806</v>
      </c>
      <c r="Q165" s="188">
        <f t="shared" si="322"/>
        <v>0.80555368271366512</v>
      </c>
      <c r="R165" s="188">
        <f t="shared" si="453"/>
        <v>11.412010505110254</v>
      </c>
      <c r="S165" s="188">
        <f t="shared" si="454"/>
        <v>170</v>
      </c>
      <c r="T165" s="188">
        <f t="shared" si="455"/>
        <v>22.75867360145871</v>
      </c>
      <c r="U165" s="188">
        <f t="shared" si="326"/>
        <v>3.8223657514089933</v>
      </c>
      <c r="V165" s="188">
        <f t="shared" si="327"/>
        <v>3.9392310132923103</v>
      </c>
      <c r="W165" s="172">
        <f t="shared" si="328"/>
        <v>219.91615538083053</v>
      </c>
      <c r="X165" s="379">
        <f t="shared" si="435"/>
        <v>125.60294493104954</v>
      </c>
      <c r="Z165" s="188">
        <f t="shared" si="329"/>
        <v>13.333333333333334</v>
      </c>
      <c r="AA165" s="150">
        <f t="shared" si="330"/>
        <v>2.3078269453218203</v>
      </c>
      <c r="AB165" s="150">
        <f t="shared" si="456"/>
        <v>0.15802167206393475</v>
      </c>
      <c r="AC165" s="150"/>
      <c r="AD165" s="150">
        <f t="shared" si="332"/>
        <v>2.3078269453218203</v>
      </c>
      <c r="AE165" s="314">
        <f t="shared" si="457"/>
        <v>382.7129655055146</v>
      </c>
      <c r="AF165" s="456">
        <f t="shared" si="458"/>
        <v>0.15802167206393475</v>
      </c>
      <c r="AH165" s="150">
        <f t="shared" si="459"/>
        <v>13.808210118138653</v>
      </c>
      <c r="AI165" s="150">
        <f t="shared" si="460"/>
        <v>22.75867360145871</v>
      </c>
      <c r="AJ165" s="150">
        <f t="shared" si="461"/>
        <v>8.1817335319447224</v>
      </c>
      <c r="AL165" s="314">
        <f t="shared" si="462"/>
        <v>275</v>
      </c>
      <c r="AM165" s="144">
        <f t="shared" si="463"/>
        <v>125.60294493104954</v>
      </c>
      <c r="AO165">
        <f t="shared" si="340"/>
        <v>275</v>
      </c>
      <c r="AP165">
        <f t="shared" si="341"/>
        <v>125.60294493104954</v>
      </c>
      <c r="AR165" s="5">
        <f t="shared" si="443"/>
        <v>7.9615967647013033</v>
      </c>
      <c r="AS165" s="5">
        <f t="shared" si="440"/>
        <v>3.8223657514089933</v>
      </c>
      <c r="AT165" s="5">
        <f t="shared" si="441"/>
        <v>4.13923101329231</v>
      </c>
      <c r="AU165" s="150">
        <f t="shared" si="442"/>
        <v>0.48010039498055357</v>
      </c>
      <c r="AW165" s="5">
        <f t="shared" si="342"/>
        <v>0.61832387155145485</v>
      </c>
      <c r="AX165" s="5">
        <f t="shared" si="343"/>
        <v>8.7595881803122779</v>
      </c>
      <c r="AY165" s="5">
        <f t="shared" si="344"/>
        <v>36.111378299538359</v>
      </c>
      <c r="AZ165" s="5"/>
      <c r="BA165" s="150">
        <f t="shared" si="345"/>
        <v>9.1044214143889644</v>
      </c>
      <c r="BB165" s="150">
        <f t="shared" si="346"/>
        <v>0.4424799551619939</v>
      </c>
      <c r="BC165" s="150">
        <f t="shared" si="347"/>
        <v>0.42092532499325708</v>
      </c>
      <c r="BD165" s="150"/>
      <c r="BE165" s="456">
        <f t="shared" si="348"/>
        <v>0.28182766358866673</v>
      </c>
      <c r="BF165" s="456">
        <f t="shared" si="464"/>
        <v>1.2047526168874019</v>
      </c>
      <c r="BG165" s="456">
        <f t="shared" si="465"/>
        <v>5.1377298592413384E-2</v>
      </c>
      <c r="BH165" s="456">
        <f t="shared" si="351"/>
        <v>2.6642904974518749E-2</v>
      </c>
      <c r="BI165">
        <f t="shared" si="352"/>
        <v>4.0190043758428617E-3</v>
      </c>
      <c r="BJ165" s="144">
        <f t="shared" si="436"/>
        <v>55.396302968256251</v>
      </c>
      <c r="BK165">
        <f t="shared" si="466"/>
        <v>1.7033787320030234</v>
      </c>
      <c r="BL165" s="144">
        <f t="shared" si="437"/>
        <v>1568.6194884188435</v>
      </c>
      <c r="BM165" s="150">
        <f t="shared" si="467"/>
        <v>0.61015624999999996</v>
      </c>
      <c r="BN165" s="150">
        <f t="shared" si="468"/>
        <v>0.61015624999999996</v>
      </c>
      <c r="BO165" s="456"/>
      <c r="BQ165" s="144">
        <f t="shared" si="356"/>
        <v>1220.3125</v>
      </c>
      <c r="BR165" s="456">
        <f t="shared" si="357"/>
        <v>0.12433573393617652</v>
      </c>
      <c r="BS165" s="456">
        <f t="shared" si="358"/>
        <v>3.9157702144032025E-2</v>
      </c>
      <c r="BT165" s="456">
        <f t="shared" si="359"/>
        <v>5.3153438766203728E-3</v>
      </c>
      <c r="BU165" s="456">
        <f t="shared" si="360"/>
        <v>21.84423942701169</v>
      </c>
      <c r="BV165" s="456"/>
      <c r="BW165" s="538">
        <f t="shared" si="469"/>
        <v>6.5056952694986916E-2</v>
      </c>
      <c r="BX165" s="144">
        <f t="shared" si="362"/>
        <v>22078.105159663508</v>
      </c>
      <c r="BY165" s="150">
        <f t="shared" si="363"/>
        <v>24.86703714808235</v>
      </c>
      <c r="BZ165" s="5">
        <f t="shared" si="364"/>
        <v>50.050000000000004</v>
      </c>
      <c r="CA165" s="150">
        <f t="shared" si="365"/>
        <v>0.66807233581688874</v>
      </c>
      <c r="CB165" s="5">
        <f t="shared" si="366"/>
        <v>66.807233581688877</v>
      </c>
      <c r="CC165">
        <f t="shared" si="367"/>
        <v>55.000000000000007</v>
      </c>
      <c r="CE165" s="59">
        <f t="shared" si="470"/>
        <v>-50</v>
      </c>
      <c r="CF165">
        <f t="shared" si="471"/>
        <v>-50</v>
      </c>
      <c r="CG165" s="150">
        <f t="shared" si="370"/>
        <v>0.49840675206849377</v>
      </c>
      <c r="CH165" s="150">
        <f t="shared" si="472"/>
        <v>0.1350568335034627</v>
      </c>
      <c r="CI165" s="147">
        <v>55</v>
      </c>
      <c r="CJ165" s="188">
        <f t="shared" si="438"/>
        <v>0.27500000000000002</v>
      </c>
      <c r="CK165" s="188">
        <f t="shared" si="372"/>
        <v>0.27500000000000002</v>
      </c>
      <c r="CL165" s="188">
        <f t="shared" si="373"/>
        <v>46.750000000000007</v>
      </c>
      <c r="CM165" s="188">
        <f t="shared" si="374"/>
        <v>3.3000000000000003</v>
      </c>
      <c r="CN165" s="465">
        <f t="shared" si="375"/>
        <v>9</v>
      </c>
      <c r="CO165" s="379">
        <f t="shared" si="473"/>
        <v>8.625</v>
      </c>
      <c r="CP165" s="379">
        <f t="shared" si="474"/>
        <v>17.625</v>
      </c>
      <c r="CQ165" s="379"/>
      <c r="CR165" s="188">
        <f t="shared" si="378"/>
        <v>0.48674080410607357</v>
      </c>
      <c r="CS165" s="149">
        <f t="shared" si="379"/>
        <v>136.39440115060304</v>
      </c>
      <c r="CT165" s="149">
        <f t="shared" si="380"/>
        <v>9.6278400812190377</v>
      </c>
      <c r="CU165" s="188">
        <f t="shared" si="381"/>
        <v>0.80232000676825321</v>
      </c>
      <c r="CV165" s="188">
        <f t="shared" si="382"/>
        <v>11.366200095883586</v>
      </c>
      <c r="CW165" s="188">
        <f t="shared" si="383"/>
        <v>170</v>
      </c>
      <c r="CX165" s="188">
        <f t="shared" si="384"/>
        <v>22.850400312438978</v>
      </c>
      <c r="CY165" s="188">
        <f t="shared" si="385"/>
        <v>3.8084000520731629</v>
      </c>
      <c r="CZ165" s="188">
        <f t="shared" si="386"/>
        <v>3.9739826630328654</v>
      </c>
      <c r="DA165" s="172">
        <f t="shared" si="387"/>
        <v>220.21276595744678</v>
      </c>
      <c r="DB165" s="379">
        <f t="shared" si="388"/>
        <v>128.49535118067962</v>
      </c>
      <c r="DD165" s="188">
        <f t="shared" si="389"/>
        <v>13.333333333333336</v>
      </c>
      <c r="DE165" s="150">
        <f t="shared" si="390"/>
        <v>2.3188405797101459</v>
      </c>
      <c r="DF165" s="150">
        <f t="shared" si="391"/>
        <v>0.15898994622398885</v>
      </c>
      <c r="DG165" s="150"/>
      <c r="DH165" s="150">
        <f t="shared" si="392"/>
        <v>2.3188405797101455</v>
      </c>
      <c r="DI165" s="314">
        <f t="shared" si="393"/>
        <v>380.89522058823519</v>
      </c>
      <c r="DJ165" s="456">
        <f t="shared" si="394"/>
        <v>0.15898994622398879</v>
      </c>
      <c r="DL165" s="150">
        <f t="shared" si="395"/>
        <v>13.808210118138653</v>
      </c>
      <c r="DM165" s="150">
        <f t="shared" si="396"/>
        <v>22.850400312438978</v>
      </c>
      <c r="DN165" s="150">
        <f t="shared" si="397"/>
        <v>8.2496792437819586</v>
      </c>
      <c r="DP165" s="314">
        <f t="shared" si="398"/>
        <v>275</v>
      </c>
      <c r="DQ165" s="144">
        <f t="shared" si="399"/>
        <v>128.49535118067962</v>
      </c>
      <c r="DS165">
        <f t="shared" si="400"/>
        <v>275</v>
      </c>
      <c r="DT165">
        <f t="shared" si="401"/>
        <v>128.49535118067962</v>
      </c>
      <c r="DV165" s="5">
        <f t="shared" si="402"/>
        <v>7.7823827151060279</v>
      </c>
      <c r="DW165" s="5">
        <f t="shared" si="403"/>
        <v>3.8084000520731629</v>
      </c>
      <c r="DX165" s="5">
        <f t="shared" si="404"/>
        <v>3.973982663032865</v>
      </c>
      <c r="DY165" s="150">
        <f t="shared" si="405"/>
        <v>0.48936170212765961</v>
      </c>
      <c r="EA165" s="5">
        <f t="shared" si="406"/>
        <v>0.61606471430595289</v>
      </c>
      <c r="EB165" s="5">
        <f t="shared" si="407"/>
        <v>8.7275834526676661</v>
      </c>
      <c r="EC165" s="5">
        <f t="shared" si="408"/>
        <v>34.404386943849339</v>
      </c>
      <c r="ED165" s="5"/>
      <c r="EE165" s="150">
        <f t="shared" si="409"/>
        <v>9.2288624780597281</v>
      </c>
      <c r="EF165" s="150">
        <f t="shared" si="410"/>
        <v>0.44028857390336074</v>
      </c>
      <c r="EG165" s="150">
        <f t="shared" si="411"/>
        <v>0.41884069300549476</v>
      </c>
      <c r="EH165" s="150"/>
      <c r="EI165" s="456">
        <f t="shared" si="412"/>
        <v>0.28958446897239171</v>
      </c>
      <c r="EJ165" s="456">
        <f t="shared" si="413"/>
        <v>1.5732000000000004</v>
      </c>
      <c r="EK165" s="456">
        <f t="shared" si="414"/>
        <v>2.9425435420375633E-2</v>
      </c>
      <c r="EL165" s="456">
        <f t="shared" si="415"/>
        <v>2.7342375197247151E-2</v>
      </c>
      <c r="EM165">
        <f t="shared" si="416"/>
        <v>4.0499999999999998E-3</v>
      </c>
      <c r="EN165" s="144">
        <f t="shared" si="417"/>
        <v>33.475435420375632</v>
      </c>
      <c r="EP165" s="144">
        <f t="shared" si="439"/>
        <v>1923.6022795900149</v>
      </c>
      <c r="EQ165" s="150">
        <f t="shared" si="418"/>
        <v>0.6875</v>
      </c>
      <c r="ER165" s="150">
        <f t="shared" si="475"/>
        <v>0.19525000000000001</v>
      </c>
      <c r="ES165" s="456"/>
      <c r="EU165" s="144">
        <f t="shared" si="420"/>
        <v>882.75</v>
      </c>
      <c r="EV165" s="456">
        <f t="shared" si="421"/>
        <v>0.12775785395840814</v>
      </c>
      <c r="EW165" s="456">
        <f t="shared" si="422"/>
        <v>3.8770805661971032E-2</v>
      </c>
      <c r="EX165" s="456">
        <f t="shared" si="423"/>
        <v>5.2628257835196923E-3</v>
      </c>
      <c r="EY165" s="456">
        <f t="shared" si="424"/>
        <v>23.357323485002251</v>
      </c>
      <c r="EZ165" s="456"/>
      <c r="FA165" s="538">
        <f t="shared" si="425"/>
        <v>6.7092664747161274E-2</v>
      </c>
      <c r="FB165" s="144">
        <f t="shared" si="426"/>
        <v>23596.207635153311</v>
      </c>
      <c r="FC165" s="150">
        <f t="shared" si="427"/>
        <v>26.402559914743325</v>
      </c>
      <c r="FD165" s="5">
        <f t="shared" si="428"/>
        <v>50.050000000000004</v>
      </c>
      <c r="FE165" s="150">
        <f t="shared" si="429"/>
        <v>0.65465433800795747</v>
      </c>
      <c r="FF165" s="5">
        <f t="shared" si="430"/>
        <v>65.465433800795751</v>
      </c>
      <c r="FG165">
        <f t="shared" si="431"/>
        <v>55.000000000000007</v>
      </c>
      <c r="FI165" s="59">
        <f t="shared" si="432"/>
        <v>-50</v>
      </c>
      <c r="FJ165">
        <f t="shared" si="433"/>
        <v>-50</v>
      </c>
    </row>
    <row r="166" spans="5:166">
      <c r="E166" s="147">
        <v>56</v>
      </c>
      <c r="F166" s="188">
        <f t="shared" si="476"/>
        <v>0.28000000000000003</v>
      </c>
      <c r="G166" s="188">
        <f t="shared" si="444"/>
        <v>0.28000000000000003</v>
      </c>
      <c r="H166" s="188">
        <f t="shared" si="445"/>
        <v>47.6</v>
      </c>
      <c r="I166" s="188">
        <f t="shared" si="446"/>
        <v>3.3600000000000003</v>
      </c>
      <c r="J166" s="465">
        <f t="shared" si="447"/>
        <v>8.9298684867555647</v>
      </c>
      <c r="K166" s="379">
        <f t="shared" si="448"/>
        <v>8.6669094399237121</v>
      </c>
      <c r="L166" s="149">
        <f t="shared" si="449"/>
        <v>17.596777926679277</v>
      </c>
      <c r="M166" s="379"/>
      <c r="N166" s="188">
        <f t="shared" si="450"/>
        <v>0.49252820465406999</v>
      </c>
      <c r="O166" s="149">
        <f t="shared" si="451"/>
        <v>136.94066958028841</v>
      </c>
      <c r="P166" s="149">
        <f t="shared" si="452"/>
        <v>9.6664002056674185</v>
      </c>
      <c r="Q166" s="188">
        <f t="shared" si="322"/>
        <v>0.8055333504722848</v>
      </c>
      <c r="R166" s="188">
        <f t="shared" si="453"/>
        <v>11.411722465024035</v>
      </c>
      <c r="S166" s="188">
        <f t="shared" si="454"/>
        <v>170</v>
      </c>
      <c r="T166" s="188">
        <f t="shared" si="455"/>
        <v>23.173052556697236</v>
      </c>
      <c r="U166" s="188">
        <f t="shared" si="326"/>
        <v>3.8925073629695577</v>
      </c>
      <c r="V166" s="188">
        <f t="shared" si="327"/>
        <v>4.0106082884548764</v>
      </c>
      <c r="W166" s="172">
        <f t="shared" si="328"/>
        <v>219.91060467893377</v>
      </c>
      <c r="X166" s="379">
        <f t="shared" si="435"/>
        <v>123.40932093499265</v>
      </c>
      <c r="Z166" s="188">
        <f t="shared" si="329"/>
        <v>13.333333333333332</v>
      </c>
      <c r="AA166" s="150">
        <f t="shared" si="330"/>
        <v>2.3076276657364083</v>
      </c>
      <c r="AB166" s="150">
        <f t="shared" si="456"/>
        <v>0.15800403884397088</v>
      </c>
      <c r="AC166" s="150"/>
      <c r="AD166" s="150">
        <f t="shared" si="332"/>
        <v>2.3076276657364088</v>
      </c>
      <c r="AE166" s="314">
        <f t="shared" si="457"/>
        <v>389.70503387515799</v>
      </c>
      <c r="AF166" s="456">
        <f t="shared" si="458"/>
        <v>0.15800403884397091</v>
      </c>
      <c r="AH166" s="150">
        <f t="shared" si="459"/>
        <v>13.93317384278734</v>
      </c>
      <c r="AI166" s="150">
        <f t="shared" si="460"/>
        <v>23.173052556697236</v>
      </c>
      <c r="AJ166" s="150">
        <f t="shared" si="461"/>
        <v>8.4886809061954818</v>
      </c>
      <c r="AL166" s="314">
        <f t="shared" si="462"/>
        <v>280</v>
      </c>
      <c r="AM166" s="144">
        <f t="shared" si="463"/>
        <v>123.40932093499265</v>
      </c>
      <c r="AO166">
        <f t="shared" si="340"/>
        <v>280</v>
      </c>
      <c r="AP166">
        <f t="shared" si="341"/>
        <v>123.40932093499265</v>
      </c>
      <c r="AR166" s="5">
        <f t="shared" si="443"/>
        <v>8.1031156514244351</v>
      </c>
      <c r="AS166" s="5">
        <f t="shared" si="440"/>
        <v>3.8925073629695577</v>
      </c>
      <c r="AT166" s="5">
        <f t="shared" si="441"/>
        <v>4.2106082884548774</v>
      </c>
      <c r="AU166" s="150">
        <f t="shared" si="442"/>
        <v>0.480371690398532</v>
      </c>
      <c r="AW166" s="5">
        <f t="shared" si="342"/>
        <v>0.64111885978322136</v>
      </c>
      <c r="AX166" s="5">
        <f t="shared" si="343"/>
        <v>9.0825171802623021</v>
      </c>
      <c r="AY166" s="5">
        <f t="shared" si="344"/>
        <v>37.407224012260031</v>
      </c>
      <c r="AZ166" s="5"/>
      <c r="BA166" s="150">
        <f t="shared" si="345"/>
        <v>9.2728091619982447</v>
      </c>
      <c r="BB166" s="150">
        <f t="shared" si="346"/>
        <v>0.45041885142732457</v>
      </c>
      <c r="BC166" s="150">
        <f t="shared" si="347"/>
        <v>0.42847749193683904</v>
      </c>
      <c r="BD166" s="150"/>
      <c r="BE166" s="456">
        <f t="shared" si="348"/>
        <v>0.2923489651664512</v>
      </c>
      <c r="BF166" s="456">
        <f t="shared" si="464"/>
        <v>1.2052298523791038</v>
      </c>
      <c r="BG166" s="456">
        <f t="shared" si="465"/>
        <v>5.0472928474309696E-2</v>
      </c>
      <c r="BH166" s="456">
        <f t="shared" si="351"/>
        <v>2.6176093937682821E-2</v>
      </c>
      <c r="BI166">
        <f t="shared" si="352"/>
        <v>4.0184408190400041E-3</v>
      </c>
      <c r="BJ166" s="144">
        <f t="shared" si="436"/>
        <v>54.491369293349706</v>
      </c>
      <c r="BK166">
        <f t="shared" si="466"/>
        <v>1.7223255027049706</v>
      </c>
      <c r="BL166" s="144">
        <f t="shared" si="437"/>
        <v>1578.2462807765876</v>
      </c>
      <c r="BM166" s="150">
        <f t="shared" si="467"/>
        <v>0.62125000000000008</v>
      </c>
      <c r="BN166" s="150">
        <f t="shared" si="468"/>
        <v>0.62125000000000008</v>
      </c>
      <c r="BO166" s="456"/>
      <c r="BQ166" s="144">
        <f t="shared" si="356"/>
        <v>1242.5000000000002</v>
      </c>
      <c r="BR166" s="456">
        <f t="shared" si="357"/>
        <v>0.12897748463225789</v>
      </c>
      <c r="BS166" s="456">
        <f t="shared" si="358"/>
        <v>4.0575428344222064E-2</v>
      </c>
      <c r="BT166" s="456">
        <f t="shared" si="359"/>
        <v>5.5077888328945186E-3</v>
      </c>
      <c r="BU166" s="456">
        <f t="shared" si="360"/>
        <v>21.867444219000056</v>
      </c>
      <c r="BV166" s="456"/>
      <c r="BW166" s="538">
        <f t="shared" si="469"/>
        <v>6.6269616268040774E-2</v>
      </c>
      <c r="BX166" s="144">
        <f t="shared" si="362"/>
        <v>22108.774537077472</v>
      </c>
      <c r="BY166" s="150">
        <f t="shared" si="363"/>
        <v>24.929520817854058</v>
      </c>
      <c r="BZ166" s="5">
        <f t="shared" si="364"/>
        <v>50.96</v>
      </c>
      <c r="CA166" s="150">
        <f t="shared" si="365"/>
        <v>0.6715024610882897</v>
      </c>
      <c r="CB166" s="5">
        <f t="shared" si="366"/>
        <v>67.150246108828966</v>
      </c>
      <c r="CC166">
        <f t="shared" si="367"/>
        <v>56.000000000000007</v>
      </c>
      <c r="CE166" s="59">
        <f t="shared" si="470"/>
        <v>-50</v>
      </c>
      <c r="CF166">
        <f t="shared" si="471"/>
        <v>-50</v>
      </c>
      <c r="CG166" s="150">
        <f t="shared" si="370"/>
        <v>0.49840675206849377</v>
      </c>
      <c r="CH166" s="150">
        <f t="shared" si="472"/>
        <v>0.1350568335034627</v>
      </c>
      <c r="CI166" s="147">
        <v>56</v>
      </c>
      <c r="CJ166" s="188">
        <f t="shared" si="438"/>
        <v>0.28000000000000003</v>
      </c>
      <c r="CK166" s="188">
        <f t="shared" si="372"/>
        <v>0.28000000000000003</v>
      </c>
      <c r="CL166" s="188">
        <f t="shared" si="373"/>
        <v>47.6</v>
      </c>
      <c r="CM166" s="188">
        <f t="shared" si="374"/>
        <v>3.3600000000000003</v>
      </c>
      <c r="CN166" s="465">
        <f t="shared" si="375"/>
        <v>9</v>
      </c>
      <c r="CO166" s="379">
        <f t="shared" si="473"/>
        <v>8.625</v>
      </c>
      <c r="CP166" s="379">
        <f t="shared" si="474"/>
        <v>17.625</v>
      </c>
      <c r="CQ166" s="379"/>
      <c r="CR166" s="188">
        <f t="shared" si="378"/>
        <v>0.48674080410607357</v>
      </c>
      <c r="CS166" s="149">
        <f t="shared" si="379"/>
        <v>136.39440115060304</v>
      </c>
      <c r="CT166" s="149">
        <f t="shared" si="380"/>
        <v>9.6278400812190377</v>
      </c>
      <c r="CU166" s="188">
        <f t="shared" si="381"/>
        <v>0.80232000676825321</v>
      </c>
      <c r="CV166" s="188">
        <f t="shared" si="382"/>
        <v>11.366200095883586</v>
      </c>
      <c r="CW166" s="188">
        <f t="shared" si="383"/>
        <v>170</v>
      </c>
      <c r="CX166" s="188">
        <f t="shared" si="384"/>
        <v>23.265862136301504</v>
      </c>
      <c r="CY166" s="188">
        <f t="shared" si="385"/>
        <v>3.8776436893835844</v>
      </c>
      <c r="CZ166" s="188">
        <f t="shared" si="386"/>
        <v>4.0462368932698265</v>
      </c>
      <c r="DA166" s="172">
        <f t="shared" si="387"/>
        <v>220.21276595744678</v>
      </c>
      <c r="DB166" s="379">
        <f t="shared" si="388"/>
        <v>126.20079133816748</v>
      </c>
      <c r="DD166" s="188">
        <f t="shared" si="389"/>
        <v>13.333333333333336</v>
      </c>
      <c r="DE166" s="150">
        <f t="shared" si="390"/>
        <v>2.3188405797101459</v>
      </c>
      <c r="DF166" s="150">
        <f t="shared" si="391"/>
        <v>0.15898994622398885</v>
      </c>
      <c r="DG166" s="150"/>
      <c r="DH166" s="150">
        <f t="shared" si="392"/>
        <v>2.3188405797101455</v>
      </c>
      <c r="DI166" s="314">
        <f t="shared" si="393"/>
        <v>387.82058823529405</v>
      </c>
      <c r="DJ166" s="456">
        <f t="shared" si="394"/>
        <v>0.15898994622398879</v>
      </c>
      <c r="DL166" s="150">
        <f t="shared" si="395"/>
        <v>13.93317384278734</v>
      </c>
      <c r="DM166" s="150">
        <f t="shared" si="396"/>
        <v>23.265862136301504</v>
      </c>
      <c r="DN166" s="150">
        <f t="shared" si="397"/>
        <v>8.5574287429393845</v>
      </c>
      <c r="DP166" s="314">
        <f t="shared" si="398"/>
        <v>280</v>
      </c>
      <c r="DQ166" s="144">
        <f t="shared" si="399"/>
        <v>126.20079133816748</v>
      </c>
      <c r="DS166">
        <f t="shared" si="400"/>
        <v>280</v>
      </c>
      <c r="DT166">
        <f t="shared" si="401"/>
        <v>126.20079133816748</v>
      </c>
      <c r="DV166" s="5">
        <f t="shared" si="402"/>
        <v>7.9238805826534113</v>
      </c>
      <c r="DW166" s="5">
        <f t="shared" si="403"/>
        <v>3.8776436893835844</v>
      </c>
      <c r="DX166" s="5">
        <f t="shared" si="404"/>
        <v>4.0462368932698265</v>
      </c>
      <c r="DY166" s="150">
        <f t="shared" si="405"/>
        <v>0.48936170212765961</v>
      </c>
      <c r="EA166" s="5">
        <f t="shared" si="406"/>
        <v>0.6386707253102375</v>
      </c>
      <c r="EB166" s="5">
        <f t="shared" si="407"/>
        <v>9.0478352752283655</v>
      </c>
      <c r="EC166" s="5">
        <f t="shared" si="408"/>
        <v>35.66682891104513</v>
      </c>
      <c r="ED166" s="5"/>
      <c r="EE166" s="150">
        <f t="shared" si="409"/>
        <v>9.3966599776608124</v>
      </c>
      <c r="EF166" s="150">
        <f t="shared" si="410"/>
        <v>0.44829382070160356</v>
      </c>
      <c r="EG166" s="150">
        <f t="shared" si="411"/>
        <v>0.42645597833286741</v>
      </c>
      <c r="EH166" s="150"/>
      <c r="EI166" s="456">
        <f t="shared" si="412"/>
        <v>0.30021054370162648</v>
      </c>
      <c r="EJ166" s="456">
        <f t="shared" si="413"/>
        <v>1.5732000000000002</v>
      </c>
      <c r="EK166" s="456">
        <f t="shared" si="414"/>
        <v>2.8899981216440353E-2</v>
      </c>
      <c r="EL166" s="456">
        <f t="shared" si="415"/>
        <v>2.6854118497296308E-2</v>
      </c>
      <c r="EM166">
        <f t="shared" si="416"/>
        <v>4.0499999999999998E-3</v>
      </c>
      <c r="EN166" s="144">
        <f t="shared" si="417"/>
        <v>32.949981216440356</v>
      </c>
      <c r="EP166" s="144">
        <f t="shared" si="439"/>
        <v>1933.2146434153635</v>
      </c>
      <c r="EQ166" s="150">
        <f t="shared" si="418"/>
        <v>0.70000000000000007</v>
      </c>
      <c r="ER166" s="150">
        <f t="shared" si="475"/>
        <v>0.19880000000000003</v>
      </c>
      <c r="ES166" s="456"/>
      <c r="EU166" s="144">
        <f t="shared" si="420"/>
        <v>898.80000000000007</v>
      </c>
      <c r="EV166" s="456">
        <f t="shared" si="421"/>
        <v>0.13244582810365876</v>
      </c>
      <c r="EW166" s="456">
        <f t="shared" si="422"/>
        <v>4.0193469935848297E-2</v>
      </c>
      <c r="EX166" s="456">
        <f t="shared" si="423"/>
        <v>5.4559410436752923E-3</v>
      </c>
      <c r="EY166" s="456">
        <f t="shared" si="424"/>
        <v>23.357323485002254</v>
      </c>
      <c r="EZ166" s="456"/>
      <c r="FA166" s="538">
        <f t="shared" si="425"/>
        <v>6.8312531378927815E-2</v>
      </c>
      <c r="FB166" s="144">
        <f t="shared" si="426"/>
        <v>23603.731255464365</v>
      </c>
      <c r="FC166" s="150">
        <f t="shared" si="427"/>
        <v>26.43574589887973</v>
      </c>
      <c r="FD166" s="5">
        <f t="shared" si="428"/>
        <v>50.96</v>
      </c>
      <c r="FE166" s="150">
        <f t="shared" si="429"/>
        <v>0.65843412203276686</v>
      </c>
      <c r="FF166" s="5">
        <f t="shared" si="430"/>
        <v>65.843412203276685</v>
      </c>
      <c r="FG166">
        <f t="shared" si="431"/>
        <v>56.000000000000007</v>
      </c>
      <c r="FI166" s="59">
        <f t="shared" si="432"/>
        <v>-50</v>
      </c>
      <c r="FJ166">
        <f t="shared" si="433"/>
        <v>-50</v>
      </c>
    </row>
    <row r="167" spans="5:166">
      <c r="E167" s="147">
        <v>57</v>
      </c>
      <c r="F167" s="188">
        <f t="shared" si="476"/>
        <v>0.28499999999999998</v>
      </c>
      <c r="G167" s="188">
        <f t="shared" si="444"/>
        <v>0.28499999999999998</v>
      </c>
      <c r="H167" s="188">
        <f t="shared" si="445"/>
        <v>48.449999999999996</v>
      </c>
      <c r="I167" s="188">
        <f t="shared" si="446"/>
        <v>3.42</v>
      </c>
      <c r="J167" s="465">
        <f t="shared" si="447"/>
        <v>8.928616138304772</v>
      </c>
      <c r="K167" s="379">
        <f t="shared" si="448"/>
        <v>8.6676578227794927</v>
      </c>
      <c r="L167" s="149">
        <f t="shared" si="449"/>
        <v>17.596273961084265</v>
      </c>
      <c r="M167" s="379"/>
      <c r="N167" s="188">
        <f t="shared" si="450"/>
        <v>0.49258484165163569</v>
      </c>
      <c r="O167" s="149">
        <f t="shared" si="451"/>
        <v>136.9372095844993</v>
      </c>
      <c r="P167" s="149">
        <f t="shared" si="452"/>
        <v>9.6661559706705393</v>
      </c>
      <c r="Q167" s="188">
        <f t="shared" si="322"/>
        <v>0.80551299755587824</v>
      </c>
      <c r="R167" s="188">
        <f t="shared" si="453"/>
        <v>11.411434132041608</v>
      </c>
      <c r="S167" s="188">
        <f t="shared" si="454"/>
        <v>170</v>
      </c>
      <c r="T167" s="188">
        <f t="shared" si="455"/>
        <v>23.587453036326671</v>
      </c>
      <c r="U167" s="188">
        <f t="shared" si="326"/>
        <v>3.9626722670605972</v>
      </c>
      <c r="V167" s="188">
        <f t="shared" si="327"/>
        <v>4.0819769628543305</v>
      </c>
      <c r="W167" s="172">
        <f t="shared" si="328"/>
        <v>219.90504833275472</v>
      </c>
      <c r="X167" s="379">
        <f t="shared" si="435"/>
        <v>121.2907877719764</v>
      </c>
      <c r="Z167" s="188">
        <f t="shared" si="329"/>
        <v>13.333333333333334</v>
      </c>
      <c r="AA167" s="150">
        <f t="shared" si="330"/>
        <v>2.3074284205633906</v>
      </c>
      <c r="AB167" s="150">
        <f t="shared" si="456"/>
        <v>0.15798640461395963</v>
      </c>
      <c r="AC167" s="150"/>
      <c r="AD167" s="150">
        <f t="shared" si="332"/>
        <v>2.3074284205633906</v>
      </c>
      <c r="AE167" s="314">
        <f t="shared" si="457"/>
        <v>396.6983040596225</v>
      </c>
      <c r="AF167" s="456">
        <f t="shared" si="458"/>
        <v>0.1579864046139596</v>
      </c>
      <c r="AH167" s="150">
        <f t="shared" si="459"/>
        <v>14.057026712644463</v>
      </c>
      <c r="AI167" s="150">
        <f t="shared" si="460"/>
        <v>23.587453036326671</v>
      </c>
      <c r="AJ167" s="150">
        <f t="shared" si="461"/>
        <v>8.7956442244395099</v>
      </c>
      <c r="AL167" s="314">
        <f t="shared" si="462"/>
        <v>285</v>
      </c>
      <c r="AM167" s="144">
        <f t="shared" si="463"/>
        <v>121.2907877719764</v>
      </c>
      <c r="AO167">
        <f t="shared" si="340"/>
        <v>285</v>
      </c>
      <c r="AP167">
        <f t="shared" si="341"/>
        <v>121.2907877719764</v>
      </c>
      <c r="AR167" s="5">
        <f t="shared" si="443"/>
        <v>8.244649229914927</v>
      </c>
      <c r="AS167" s="5">
        <f t="shared" si="440"/>
        <v>3.9626722670605972</v>
      </c>
      <c r="AT167" s="5">
        <f t="shared" si="441"/>
        <v>4.2819769628543298</v>
      </c>
      <c r="AU167" s="150">
        <f t="shared" si="442"/>
        <v>0.48063564095394345</v>
      </c>
      <c r="AW167" s="5">
        <f t="shared" si="342"/>
        <v>0.66433035065427648</v>
      </c>
      <c r="AX167" s="5">
        <f t="shared" si="343"/>
        <v>9.4113466342689183</v>
      </c>
      <c r="AY167" s="5">
        <f t="shared" si="344"/>
        <v>38.7260057319629</v>
      </c>
      <c r="AZ167" s="5"/>
      <c r="BA167" s="150">
        <f t="shared" si="345"/>
        <v>9.4412262940120915</v>
      </c>
      <c r="BB167" s="150">
        <f t="shared" si="346"/>
        <v>0.45835717118091862</v>
      </c>
      <c r="BC167" s="150">
        <f t="shared" si="347"/>
        <v>0.43602911045243636</v>
      </c>
      <c r="BD167" s="150"/>
      <c r="BE167" s="456">
        <f t="shared" si="348"/>
        <v>0.30306496337813393</v>
      </c>
      <c r="BF167" s="456">
        <f t="shared" si="464"/>
        <v>1.2056884428463324</v>
      </c>
      <c r="BG167" s="456">
        <f t="shared" si="465"/>
        <v>4.9599516938888394E-2</v>
      </c>
      <c r="BH167" s="456">
        <f t="shared" si="351"/>
        <v>2.5725262694039207E-2</v>
      </c>
      <c r="BI167">
        <f t="shared" si="352"/>
        <v>4.0178772622371474E-3</v>
      </c>
      <c r="BJ167" s="144">
        <f t="shared" si="436"/>
        <v>53.617394201125542</v>
      </c>
      <c r="BK167">
        <f t="shared" si="466"/>
        <v>1.7417247334632957</v>
      </c>
      <c r="BL167" s="144">
        <f t="shared" si="437"/>
        <v>1588.096063119631</v>
      </c>
      <c r="BM167" s="150">
        <f t="shared" si="467"/>
        <v>0.63234374999999987</v>
      </c>
      <c r="BN167" s="150">
        <f t="shared" si="468"/>
        <v>0.63234374999999987</v>
      </c>
      <c r="BO167" s="456"/>
      <c r="BQ167" s="144">
        <f t="shared" si="356"/>
        <v>1264.6874999999998</v>
      </c>
      <c r="BR167" s="456">
        <f t="shared" si="357"/>
        <v>0.13370513090211794</v>
      </c>
      <c r="BS167" s="456">
        <f t="shared" si="358"/>
        <v>4.2018259274594794E-2</v>
      </c>
      <c r="BT167" s="456">
        <f t="shared" si="359"/>
        <v>5.7036415548582884E-3</v>
      </c>
      <c r="BU167" s="456">
        <f t="shared" si="360"/>
        <v>21.889818843281642</v>
      </c>
      <c r="BV167" s="456"/>
      <c r="BW167" s="538">
        <f t="shared" si="469"/>
        <v>6.7482305823538036E-2</v>
      </c>
      <c r="BX167" s="144">
        <f t="shared" si="362"/>
        <v>22138.728180836752</v>
      </c>
      <c r="BY167" s="150">
        <f t="shared" si="363"/>
        <v>24.991511743956384</v>
      </c>
      <c r="BZ167" s="5">
        <f t="shared" si="364"/>
        <v>51.87</v>
      </c>
      <c r="CA167" s="150">
        <f t="shared" si="365"/>
        <v>0.67485011448631227</v>
      </c>
      <c r="CB167" s="5">
        <f t="shared" si="366"/>
        <v>67.485011448631226</v>
      </c>
      <c r="CC167">
        <f t="shared" si="367"/>
        <v>56.999999999999993</v>
      </c>
      <c r="CE167" s="59">
        <f t="shared" si="470"/>
        <v>-50</v>
      </c>
      <c r="CF167">
        <f t="shared" si="471"/>
        <v>-50</v>
      </c>
      <c r="CG167" s="150">
        <f t="shared" si="370"/>
        <v>0.49840675206849377</v>
      </c>
      <c r="CH167" s="150">
        <f t="shared" si="472"/>
        <v>0.1350568335034627</v>
      </c>
      <c r="CI167" s="147">
        <v>57</v>
      </c>
      <c r="CJ167" s="188">
        <f t="shared" si="438"/>
        <v>0.28499999999999998</v>
      </c>
      <c r="CK167" s="188">
        <f t="shared" si="372"/>
        <v>0.28499999999999998</v>
      </c>
      <c r="CL167" s="188">
        <f t="shared" si="373"/>
        <v>48.449999999999996</v>
      </c>
      <c r="CM167" s="188">
        <f t="shared" si="374"/>
        <v>3.42</v>
      </c>
      <c r="CN167" s="465">
        <f t="shared" si="375"/>
        <v>9</v>
      </c>
      <c r="CO167" s="379">
        <f t="shared" si="473"/>
        <v>8.625</v>
      </c>
      <c r="CP167" s="379">
        <f t="shared" si="474"/>
        <v>17.625</v>
      </c>
      <c r="CQ167" s="379"/>
      <c r="CR167" s="188">
        <f t="shared" si="378"/>
        <v>0.48674080410607357</v>
      </c>
      <c r="CS167" s="149">
        <f t="shared" si="379"/>
        <v>136.39440115060304</v>
      </c>
      <c r="CT167" s="149">
        <f t="shared" si="380"/>
        <v>9.6278400812190377</v>
      </c>
      <c r="CU167" s="188">
        <f t="shared" si="381"/>
        <v>0.80232000676825321</v>
      </c>
      <c r="CV167" s="188">
        <f t="shared" si="382"/>
        <v>11.366200095883586</v>
      </c>
      <c r="CW167" s="188">
        <f t="shared" si="383"/>
        <v>170</v>
      </c>
      <c r="CX167" s="188">
        <f t="shared" si="384"/>
        <v>23.681323960164029</v>
      </c>
      <c r="CY167" s="188">
        <f t="shared" si="385"/>
        <v>3.946887326694005</v>
      </c>
      <c r="CZ167" s="188">
        <f t="shared" si="386"/>
        <v>4.1184911235067876</v>
      </c>
      <c r="DA167" s="172">
        <f t="shared" si="387"/>
        <v>220.21276595744678</v>
      </c>
      <c r="DB167" s="379">
        <f t="shared" si="388"/>
        <v>123.98674236732244</v>
      </c>
      <c r="DD167" s="188">
        <f t="shared" si="389"/>
        <v>13.333333333333336</v>
      </c>
      <c r="DE167" s="150">
        <f t="shared" si="390"/>
        <v>2.3188405797101459</v>
      </c>
      <c r="DF167" s="150">
        <f t="shared" si="391"/>
        <v>0.15898994622398885</v>
      </c>
      <c r="DG167" s="150"/>
      <c r="DH167" s="150">
        <f t="shared" si="392"/>
        <v>2.3188405797101455</v>
      </c>
      <c r="DI167" s="314">
        <f t="shared" si="393"/>
        <v>394.74595588235275</v>
      </c>
      <c r="DJ167" s="456">
        <f t="shared" si="394"/>
        <v>0.15898994622398879</v>
      </c>
      <c r="DL167" s="150">
        <f t="shared" si="395"/>
        <v>14.057026712644463</v>
      </c>
      <c r="DM167" s="150">
        <f t="shared" si="396"/>
        <v>23.681323960164029</v>
      </c>
      <c r="DN167" s="150">
        <f t="shared" si="397"/>
        <v>8.8651782420968104</v>
      </c>
      <c r="DP167" s="314">
        <f t="shared" si="398"/>
        <v>285</v>
      </c>
      <c r="DQ167" s="144">
        <f t="shared" si="399"/>
        <v>123.98674236732244</v>
      </c>
      <c r="DS167">
        <f t="shared" si="400"/>
        <v>285</v>
      </c>
      <c r="DT167">
        <f t="shared" si="401"/>
        <v>123.98674236732244</v>
      </c>
      <c r="DV167" s="5">
        <f t="shared" si="402"/>
        <v>8.065378450200793</v>
      </c>
      <c r="DW167" s="5">
        <f t="shared" si="403"/>
        <v>3.946887326694005</v>
      </c>
      <c r="DX167" s="5">
        <f t="shared" si="404"/>
        <v>4.1184911235067876</v>
      </c>
      <c r="DY167" s="150">
        <f t="shared" si="405"/>
        <v>0.48936170212765956</v>
      </c>
      <c r="EA167" s="5">
        <f t="shared" si="406"/>
        <v>0.66168405182811263</v>
      </c>
      <c r="EB167" s="5">
        <f t="shared" si="407"/>
        <v>9.3738574008982614</v>
      </c>
      <c r="EC167" s="5">
        <f t="shared" si="408"/>
        <v>36.952017580352553</v>
      </c>
      <c r="ED167" s="5"/>
      <c r="EE167" s="150">
        <f t="shared" si="409"/>
        <v>9.5644574772618967</v>
      </c>
      <c r="EF167" s="150">
        <f t="shared" si="410"/>
        <v>0.45629906749984656</v>
      </c>
      <c r="EG167" s="150">
        <f t="shared" si="411"/>
        <v>0.43407126366024013</v>
      </c>
      <c r="EH167" s="150"/>
      <c r="EI167" s="456">
        <f t="shared" si="412"/>
        <v>0.31102807923679338</v>
      </c>
      <c r="EJ167" s="456">
        <f t="shared" si="413"/>
        <v>1.5731999999999997</v>
      </c>
      <c r="EK167" s="456">
        <f t="shared" si="414"/>
        <v>2.8392964002116834E-2</v>
      </c>
      <c r="EL167" s="456">
        <f t="shared" si="415"/>
        <v>2.6382993611378833E-2</v>
      </c>
      <c r="EM167">
        <f t="shared" si="416"/>
        <v>4.0499999999999998E-3</v>
      </c>
      <c r="EN167" s="144">
        <f t="shared" si="417"/>
        <v>32.442964002116831</v>
      </c>
      <c r="EP167" s="144">
        <f t="shared" si="439"/>
        <v>1943.0540368502889</v>
      </c>
      <c r="EQ167" s="150">
        <f t="shared" si="418"/>
        <v>0.71249999999999991</v>
      </c>
      <c r="ER167" s="150">
        <f t="shared" si="475"/>
        <v>0.20234999999999997</v>
      </c>
      <c r="ES167" s="456"/>
      <c r="EU167" s="144">
        <f t="shared" si="420"/>
        <v>914.84999999999991</v>
      </c>
      <c r="EV167" s="456">
        <f t="shared" si="421"/>
        <v>0.1372182702515265</v>
      </c>
      <c r="EW167" s="456">
        <f t="shared" si="422"/>
        <v>4.1641767800245907E-2</v>
      </c>
      <c r="EX167" s="456">
        <f t="shared" si="423"/>
        <v>5.6525358580679311E-3</v>
      </c>
      <c r="EY167" s="456">
        <f t="shared" si="424"/>
        <v>23.357323485002279</v>
      </c>
      <c r="EZ167" s="456"/>
      <c r="FA167" s="538">
        <f t="shared" si="425"/>
        <v>6.9532398010694385E-2</v>
      </c>
      <c r="FB167" s="144">
        <f t="shared" si="426"/>
        <v>23611.368456922813</v>
      </c>
      <c r="FC167" s="150">
        <f t="shared" si="427"/>
        <v>26.469272493773101</v>
      </c>
      <c r="FD167" s="5">
        <f t="shared" si="428"/>
        <v>51.87</v>
      </c>
      <c r="FE167" s="150">
        <f t="shared" si="429"/>
        <v>0.66212001144282973</v>
      </c>
      <c r="FF167" s="5">
        <f t="shared" si="430"/>
        <v>66.212001144282979</v>
      </c>
      <c r="FG167">
        <f t="shared" si="431"/>
        <v>56.999999999999993</v>
      </c>
      <c r="FI167" s="59">
        <f t="shared" si="432"/>
        <v>-50</v>
      </c>
      <c r="FJ167">
        <f t="shared" si="433"/>
        <v>-50</v>
      </c>
    </row>
    <row r="168" spans="5:166">
      <c r="E168" s="147">
        <v>58</v>
      </c>
      <c r="F168" s="188">
        <f t="shared" si="476"/>
        <v>0.28999999999999998</v>
      </c>
      <c r="G168" s="188">
        <f t="shared" si="444"/>
        <v>0.28999999999999998</v>
      </c>
      <c r="H168" s="188">
        <f t="shared" si="445"/>
        <v>49.3</v>
      </c>
      <c r="I168" s="188">
        <f t="shared" si="446"/>
        <v>3.4799999999999995</v>
      </c>
      <c r="J168" s="465">
        <f t="shared" si="447"/>
        <v>8.9273637898539775</v>
      </c>
      <c r="K168" s="379">
        <f t="shared" si="448"/>
        <v>8.6684062056352733</v>
      </c>
      <c r="L168" s="149">
        <f t="shared" si="449"/>
        <v>17.595769995489249</v>
      </c>
      <c r="M168" s="379"/>
      <c r="N168" s="188">
        <f t="shared" si="450"/>
        <v>0.49264148189351509</v>
      </c>
      <c r="O168" s="149">
        <f t="shared" si="451"/>
        <v>136.93374607365368</v>
      </c>
      <c r="P168" s="149">
        <f t="shared" si="452"/>
        <v>9.6659114875520249</v>
      </c>
      <c r="Q168" s="188">
        <f t="shared" si="322"/>
        <v>0.80549262396266874</v>
      </c>
      <c r="R168" s="188">
        <f t="shared" si="453"/>
        <v>11.411145506137807</v>
      </c>
      <c r="S168" s="188">
        <f t="shared" si="454"/>
        <v>170</v>
      </c>
      <c r="T168" s="188">
        <f t="shared" si="455"/>
        <v>24.001875073941527</v>
      </c>
      <c r="U168" s="188">
        <f t="shared" si="326"/>
        <v>4.0328604791293241</v>
      </c>
      <c r="V168" s="188">
        <f t="shared" si="327"/>
        <v>4.1533370445315665</v>
      </c>
      <c r="W168" s="172">
        <f t="shared" si="328"/>
        <v>219.89948634180851</v>
      </c>
      <c r="X168" s="379">
        <f t="shared" si="435"/>
        <v>119.24355432585403</v>
      </c>
      <c r="Z168" s="188">
        <f t="shared" si="329"/>
        <v>13.333333333333334</v>
      </c>
      <c r="AA168" s="150">
        <f t="shared" si="330"/>
        <v>2.3072292097938529</v>
      </c>
      <c r="AB168" s="150">
        <f t="shared" si="456"/>
        <v>0.15796876937381404</v>
      </c>
      <c r="AC168" s="150"/>
      <c r="AD168" s="150">
        <f t="shared" si="332"/>
        <v>2.3072292097938529</v>
      </c>
      <c r="AE168" s="314">
        <f t="shared" si="457"/>
        <v>403.69277605890846</v>
      </c>
      <c r="AF168" s="456">
        <f t="shared" si="458"/>
        <v>0.15796876937381404</v>
      </c>
      <c r="AH168" s="150">
        <f t="shared" si="459"/>
        <v>14.179797835888445</v>
      </c>
      <c r="AI168" s="150">
        <f t="shared" si="460"/>
        <v>24.001875073941527</v>
      </c>
      <c r="AJ168" s="150">
        <f t="shared" si="461"/>
        <v>9.1026235115616227</v>
      </c>
      <c r="AL168" s="314">
        <f t="shared" si="462"/>
        <v>290</v>
      </c>
      <c r="AM168" s="144">
        <f t="shared" si="463"/>
        <v>119.24355432585403</v>
      </c>
      <c r="AO168">
        <f t="shared" si="340"/>
        <v>290</v>
      </c>
      <c r="AP168">
        <f t="shared" si="341"/>
        <v>119.24355432585403</v>
      </c>
      <c r="AR168" s="5">
        <f t="shared" si="443"/>
        <v>8.3861975236608899</v>
      </c>
      <c r="AS168" s="5">
        <f t="shared" si="440"/>
        <v>4.0328604791293241</v>
      </c>
      <c r="AT168" s="5">
        <f t="shared" si="441"/>
        <v>4.3533370445315658</v>
      </c>
      <c r="AU168" s="150">
        <f t="shared" si="442"/>
        <v>0.48089261763164731</v>
      </c>
      <c r="AW168" s="5">
        <f t="shared" si="342"/>
        <v>0.68795855232206116</v>
      </c>
      <c r="AX168" s="5">
        <f t="shared" si="343"/>
        <v>9.7460794912291995</v>
      </c>
      <c r="AY168" s="5">
        <f t="shared" si="344"/>
        <v>40.067729090664479</v>
      </c>
      <c r="AZ168" s="5"/>
      <c r="BA168" s="150">
        <f t="shared" si="345"/>
        <v>9.6096727569841143</v>
      </c>
      <c r="BB168" s="150">
        <f t="shared" si="346"/>
        <v>0.46629491980267201</v>
      </c>
      <c r="BC168" s="150">
        <f t="shared" si="347"/>
        <v>0.44358018565787272</v>
      </c>
      <c r="BD168" s="150"/>
      <c r="BE168" s="456">
        <f t="shared" si="348"/>
        <v>0.31397575568749708</v>
      </c>
      <c r="BF168" s="456">
        <f t="shared" si="464"/>
        <v>1.2061293281103656</v>
      </c>
      <c r="BG168" s="456">
        <f t="shared" si="465"/>
        <v>4.8755500979044859E-2</v>
      </c>
      <c r="BH168" s="456">
        <f t="shared" si="351"/>
        <v>2.528960447086118E-2</v>
      </c>
      <c r="BI168">
        <f t="shared" si="352"/>
        <v>4.0173137054342898E-3</v>
      </c>
      <c r="BJ168" s="144">
        <f t="shared" si="436"/>
        <v>52.772814684479151</v>
      </c>
      <c r="BK168">
        <f t="shared" si="466"/>
        <v>1.761583389806983</v>
      </c>
      <c r="BL168" s="144">
        <f t="shared" si="437"/>
        <v>1598.167502953203</v>
      </c>
      <c r="BM168" s="150">
        <f t="shared" si="467"/>
        <v>0.6434375</v>
      </c>
      <c r="BN168" s="150">
        <f t="shared" si="468"/>
        <v>0.6434375</v>
      </c>
      <c r="BO168" s="456"/>
      <c r="BQ168" s="144">
        <f t="shared" si="356"/>
        <v>1286.875</v>
      </c>
      <c r="BR168" s="456">
        <f t="shared" si="357"/>
        <v>0.13851871574448402</v>
      </c>
      <c r="BS168" s="456">
        <f t="shared" si="358"/>
        <v>4.3486190446756071E-2</v>
      </c>
      <c r="BT168" s="456">
        <f t="shared" si="359"/>
        <v>5.9029014332481842E-3</v>
      </c>
      <c r="BU168" s="456">
        <f t="shared" si="360"/>
        <v>21.911404358761704</v>
      </c>
      <c r="BV168" s="456"/>
      <c r="BW168" s="538">
        <f t="shared" si="469"/>
        <v>6.8695020054048372E-2</v>
      </c>
      <c r="BX168" s="144">
        <f t="shared" si="362"/>
        <v>22168.007186440238</v>
      </c>
      <c r="BY168" s="150">
        <f t="shared" si="363"/>
        <v>25.053049689393443</v>
      </c>
      <c r="BZ168" s="5">
        <f t="shared" si="364"/>
        <v>52.779999999999994</v>
      </c>
      <c r="CA168" s="150">
        <f t="shared" si="365"/>
        <v>0.67811810292193264</v>
      </c>
      <c r="CB168" s="5">
        <f t="shared" si="366"/>
        <v>67.811810292193258</v>
      </c>
      <c r="CC168">
        <f t="shared" si="367"/>
        <v>57.999999999999993</v>
      </c>
      <c r="CE168" s="59">
        <f t="shared" si="470"/>
        <v>-50</v>
      </c>
      <c r="CF168">
        <f t="shared" si="471"/>
        <v>-50</v>
      </c>
      <c r="CG168" s="150">
        <f t="shared" si="370"/>
        <v>0.49840675206849377</v>
      </c>
      <c r="CH168" s="150">
        <f t="shared" si="472"/>
        <v>0.1350568335034627</v>
      </c>
      <c r="CI168" s="147">
        <v>58</v>
      </c>
      <c r="CJ168" s="188">
        <f t="shared" si="438"/>
        <v>0.28999999999999998</v>
      </c>
      <c r="CK168" s="188">
        <f t="shared" si="372"/>
        <v>0.28999999999999998</v>
      </c>
      <c r="CL168" s="188">
        <f t="shared" si="373"/>
        <v>49.3</v>
      </c>
      <c r="CM168" s="188">
        <f t="shared" si="374"/>
        <v>3.4799999999999995</v>
      </c>
      <c r="CN168" s="465">
        <f t="shared" si="375"/>
        <v>9</v>
      </c>
      <c r="CO168" s="379">
        <f t="shared" si="473"/>
        <v>8.625</v>
      </c>
      <c r="CP168" s="379">
        <f t="shared" si="474"/>
        <v>17.625</v>
      </c>
      <c r="CQ168" s="379"/>
      <c r="CR168" s="188">
        <f t="shared" si="378"/>
        <v>0.48674080410607357</v>
      </c>
      <c r="CS168" s="149">
        <f t="shared" si="379"/>
        <v>136.39440115060304</v>
      </c>
      <c r="CT168" s="149">
        <f t="shared" si="380"/>
        <v>9.6278400812190377</v>
      </c>
      <c r="CU168" s="188">
        <f t="shared" si="381"/>
        <v>0.80232000676825321</v>
      </c>
      <c r="CV168" s="188">
        <f t="shared" si="382"/>
        <v>11.366200095883586</v>
      </c>
      <c r="CW168" s="188">
        <f t="shared" si="383"/>
        <v>170</v>
      </c>
      <c r="CX168" s="188">
        <f t="shared" si="384"/>
        <v>24.096785784026554</v>
      </c>
      <c r="CY168" s="188">
        <f t="shared" si="385"/>
        <v>4.0161309640044252</v>
      </c>
      <c r="CZ168" s="188">
        <f t="shared" si="386"/>
        <v>4.1907453537437487</v>
      </c>
      <c r="DA168" s="172">
        <f t="shared" si="387"/>
        <v>220.21276595744678</v>
      </c>
      <c r="DB168" s="379">
        <f t="shared" si="388"/>
        <v>121.84903991271345</v>
      </c>
      <c r="DD168" s="188">
        <f t="shared" si="389"/>
        <v>13.333333333333336</v>
      </c>
      <c r="DE168" s="150">
        <f t="shared" si="390"/>
        <v>2.3188405797101459</v>
      </c>
      <c r="DF168" s="150">
        <f t="shared" si="391"/>
        <v>0.15898994622398885</v>
      </c>
      <c r="DG168" s="150"/>
      <c r="DH168" s="150">
        <f t="shared" si="392"/>
        <v>2.3188405797101455</v>
      </c>
      <c r="DI168" s="314">
        <f t="shared" si="393"/>
        <v>401.67132352941161</v>
      </c>
      <c r="DJ168" s="456">
        <f t="shared" si="394"/>
        <v>0.15898994622398879</v>
      </c>
      <c r="DL168" s="150">
        <f t="shared" si="395"/>
        <v>14.179797835888445</v>
      </c>
      <c r="DM168" s="150">
        <f t="shared" si="396"/>
        <v>24.096785784026554</v>
      </c>
      <c r="DN168" s="150">
        <f t="shared" si="397"/>
        <v>9.172927741254238</v>
      </c>
      <c r="DP168" s="314">
        <f t="shared" si="398"/>
        <v>290</v>
      </c>
      <c r="DQ168" s="144">
        <f t="shared" si="399"/>
        <v>121.84903991271345</v>
      </c>
      <c r="DS168">
        <f t="shared" si="400"/>
        <v>290</v>
      </c>
      <c r="DT168">
        <f t="shared" si="401"/>
        <v>121.84903991271345</v>
      </c>
      <c r="DV168" s="5">
        <f t="shared" si="402"/>
        <v>8.2068763177481738</v>
      </c>
      <c r="DW168" s="5">
        <f t="shared" si="403"/>
        <v>4.0161309640044252</v>
      </c>
      <c r="DX168" s="5">
        <f t="shared" si="404"/>
        <v>4.1907453537437487</v>
      </c>
      <c r="DY168" s="150">
        <f t="shared" si="405"/>
        <v>0.48936170212765956</v>
      </c>
      <c r="EA168" s="5">
        <f t="shared" si="406"/>
        <v>0.6851046938595784</v>
      </c>
      <c r="EB168" s="5">
        <f t="shared" si="407"/>
        <v>9.7056498296773608</v>
      </c>
      <c r="EC168" s="5">
        <f t="shared" si="408"/>
        <v>38.259952951771631</v>
      </c>
      <c r="ED168" s="5"/>
      <c r="EE168" s="150">
        <f t="shared" si="409"/>
        <v>9.7322549768629827</v>
      </c>
      <c r="EF168" s="150">
        <f t="shared" si="410"/>
        <v>0.46430431429808944</v>
      </c>
      <c r="EG168" s="150">
        <f t="shared" si="411"/>
        <v>0.44168654898761273</v>
      </c>
      <c r="EH168" s="150"/>
      <c r="EI168" s="456">
        <f t="shared" si="412"/>
        <v>0.32203707557789257</v>
      </c>
      <c r="EJ168" s="456">
        <f t="shared" si="413"/>
        <v>1.5732000000000004</v>
      </c>
      <c r="EK168" s="456">
        <f t="shared" si="414"/>
        <v>2.7903430140011381E-2</v>
      </c>
      <c r="EL168" s="456">
        <f t="shared" si="415"/>
        <v>2.5928114411182649E-2</v>
      </c>
      <c r="EM168">
        <f t="shared" si="416"/>
        <v>4.0499999999999998E-3</v>
      </c>
      <c r="EN168" s="144">
        <f t="shared" si="417"/>
        <v>31.953430140011381</v>
      </c>
      <c r="EP168" s="144">
        <f t="shared" si="439"/>
        <v>1953.118620129087</v>
      </c>
      <c r="EQ168" s="150">
        <f t="shared" si="418"/>
        <v>0.72499999999999998</v>
      </c>
      <c r="ER168" s="150">
        <f t="shared" si="475"/>
        <v>0.20589999999999997</v>
      </c>
      <c r="ES168" s="456"/>
      <c r="EU168" s="144">
        <f t="shared" si="420"/>
        <v>930.9</v>
      </c>
      <c r="EV168" s="456">
        <f t="shared" si="421"/>
        <v>0.14207518040201145</v>
      </c>
      <c r="EW168" s="456">
        <f t="shared" si="422"/>
        <v>4.3115699255163807E-2</v>
      </c>
      <c r="EX168" s="456">
        <f t="shared" si="423"/>
        <v>5.8526102266976045E-3</v>
      </c>
      <c r="EY168" s="456">
        <f t="shared" si="424"/>
        <v>23.357323485002293</v>
      </c>
      <c r="EZ168" s="456"/>
      <c r="FA168" s="538">
        <f t="shared" si="425"/>
        <v>7.0752264642460969E-2</v>
      </c>
      <c r="FB168" s="144">
        <f t="shared" si="426"/>
        <v>23619.119239528631</v>
      </c>
      <c r="FC168" s="150">
        <f t="shared" si="427"/>
        <v>26.503137859657716</v>
      </c>
      <c r="FD168" s="5">
        <f t="shared" si="428"/>
        <v>52.779999999999994</v>
      </c>
      <c r="FE168" s="150">
        <f t="shared" si="429"/>
        <v>0.66571532642196884</v>
      </c>
      <c r="FF168" s="5">
        <f t="shared" si="430"/>
        <v>66.571532642196885</v>
      </c>
      <c r="FG168">
        <f t="shared" si="431"/>
        <v>57.999999999999993</v>
      </c>
      <c r="FI168" s="59">
        <f t="shared" si="432"/>
        <v>-50</v>
      </c>
      <c r="FJ168">
        <f t="shared" si="433"/>
        <v>-50</v>
      </c>
    </row>
    <row r="169" spans="5:166">
      <c r="E169" s="147">
        <v>59</v>
      </c>
      <c r="F169" s="188">
        <f t="shared" si="476"/>
        <v>0.29499999999999998</v>
      </c>
      <c r="G169" s="188">
        <f t="shared" si="444"/>
        <v>0.29499999999999998</v>
      </c>
      <c r="H169" s="188">
        <f t="shared" si="445"/>
        <v>50.15</v>
      </c>
      <c r="I169" s="188">
        <f t="shared" si="446"/>
        <v>3.54</v>
      </c>
      <c r="J169" s="465">
        <f t="shared" si="447"/>
        <v>8.9261114414031848</v>
      </c>
      <c r="K169" s="379">
        <f t="shared" si="448"/>
        <v>8.6691545884910539</v>
      </c>
      <c r="L169" s="149">
        <f t="shared" si="449"/>
        <v>17.59526602989424</v>
      </c>
      <c r="M169" s="379"/>
      <c r="N169" s="188">
        <f t="shared" si="450"/>
        <v>0.49269812537998675</v>
      </c>
      <c r="O169" s="149">
        <f t="shared" si="451"/>
        <v>136.93027904744946</v>
      </c>
      <c r="P169" s="149">
        <f t="shared" si="452"/>
        <v>9.6656667562905518</v>
      </c>
      <c r="Q169" s="188">
        <f t="shared" si="322"/>
        <v>0.80547222969087917</v>
      </c>
      <c r="R169" s="188">
        <f t="shared" si="453"/>
        <v>11.410856587287455</v>
      </c>
      <c r="S169" s="188">
        <f t="shared" si="454"/>
        <v>170</v>
      </c>
      <c r="T169" s="188">
        <f t="shared" si="455"/>
        <v>24.416318703146672</v>
      </c>
      <c r="U169" s="188">
        <f t="shared" si="326"/>
        <v>4.103072014633355</v>
      </c>
      <c r="V169" s="188">
        <f t="shared" si="327"/>
        <v>4.224688541526497</v>
      </c>
      <c r="W169" s="172">
        <f t="shared" si="328"/>
        <v>219.89391870561005</v>
      </c>
      <c r="X169" s="379">
        <f t="shared" si="435"/>
        <v>117.26408045986594</v>
      </c>
      <c r="Z169" s="188">
        <f t="shared" si="329"/>
        <v>13.333333333333334</v>
      </c>
      <c r="AA169" s="150">
        <f t="shared" si="330"/>
        <v>2.3070300334188856</v>
      </c>
      <c r="AB169" s="150">
        <f t="shared" si="456"/>
        <v>0.15795113312344733</v>
      </c>
      <c r="AC169" s="150"/>
      <c r="AD169" s="150">
        <f t="shared" si="332"/>
        <v>2.3070300334188856</v>
      </c>
      <c r="AE169" s="314">
        <f t="shared" si="457"/>
        <v>410.68844987301583</v>
      </c>
      <c r="AF169" s="456">
        <f t="shared" si="458"/>
        <v>0.15795113312344736</v>
      </c>
      <c r="AH169" s="150">
        <f t="shared" si="459"/>
        <v>14.301515071254979</v>
      </c>
      <c r="AI169" s="150">
        <f t="shared" si="460"/>
        <v>24.416318703146672</v>
      </c>
      <c r="AJ169" s="150">
        <f t="shared" si="461"/>
        <v>9.4096187924543244</v>
      </c>
      <c r="AL169" s="314">
        <f t="shared" si="462"/>
        <v>295</v>
      </c>
      <c r="AM169" s="144">
        <f t="shared" si="463"/>
        <v>117.26408045986594</v>
      </c>
      <c r="AO169">
        <f t="shared" si="340"/>
        <v>295</v>
      </c>
      <c r="AP169">
        <f t="shared" si="341"/>
        <v>117.26408045986594</v>
      </c>
      <c r="AR169" s="5">
        <f t="shared" si="443"/>
        <v>8.5277605561598513</v>
      </c>
      <c r="AS169" s="5">
        <f t="shared" si="440"/>
        <v>4.103072014633355</v>
      </c>
      <c r="AT169" s="5">
        <f t="shared" si="441"/>
        <v>4.4246885415264963</v>
      </c>
      <c r="AU169" s="150">
        <f t="shared" si="442"/>
        <v>0.48114296685659003</v>
      </c>
      <c r="AW169" s="5">
        <f t="shared" si="342"/>
        <v>0.71200367312755286</v>
      </c>
      <c r="AX169" s="5">
        <f t="shared" si="343"/>
        <v>10.086718702640331</v>
      </c>
      <c r="AY169" s="5">
        <f t="shared" si="344"/>
        <v>41.432399728638416</v>
      </c>
      <c r="AZ169" s="5"/>
      <c r="BA169" s="150">
        <f t="shared" si="345"/>
        <v>9.7781485020326784</v>
      </c>
      <c r="BB169" s="150">
        <f t="shared" si="346"/>
        <v>0.47423210234656177</v>
      </c>
      <c r="BC169" s="150">
        <f t="shared" si="347"/>
        <v>0.45113072236092955</v>
      </c>
      <c r="BD169" s="150"/>
      <c r="BE169" s="456">
        <f t="shared" si="348"/>
        <v>0.32508143963453329</v>
      </c>
      <c r="BF169" s="456">
        <f t="shared" si="464"/>
        <v>1.2065533857744559</v>
      </c>
      <c r="BG169" s="456">
        <f t="shared" si="465"/>
        <v>4.7939421061836233E-2</v>
      </c>
      <c r="BH169" s="456">
        <f t="shared" si="351"/>
        <v>2.4868365905372242E-2</v>
      </c>
      <c r="BI169">
        <f t="shared" si="352"/>
        <v>4.016750148631433E-3</v>
      </c>
      <c r="BJ169" s="144">
        <f t="shared" si="436"/>
        <v>51.956171210467666</v>
      </c>
      <c r="BK169">
        <f t="shared" si="466"/>
        <v>1.7819086456683522</v>
      </c>
      <c r="BL169" s="144">
        <f t="shared" si="437"/>
        <v>1608.4593625248292</v>
      </c>
      <c r="BM169" s="150">
        <f t="shared" si="467"/>
        <v>0.6545312499999999</v>
      </c>
      <c r="BN169" s="150">
        <f t="shared" si="468"/>
        <v>0.6545312499999999</v>
      </c>
      <c r="BO169" s="456"/>
      <c r="BQ169" s="144">
        <f t="shared" si="356"/>
        <v>1309.0624999999998</v>
      </c>
      <c r="BR169" s="456">
        <f t="shared" si="357"/>
        <v>0.14341828219170588</v>
      </c>
      <c r="BS169" s="456">
        <f t="shared" si="358"/>
        <v>4.4979217379207972E-2</v>
      </c>
      <c r="BT169" s="456">
        <f t="shared" si="359"/>
        <v>6.1055678597368226E-3</v>
      </c>
      <c r="BU169" s="456">
        <f t="shared" si="360"/>
        <v>21.932239156825567</v>
      </c>
      <c r="BV169" s="456"/>
      <c r="BW169" s="538">
        <f t="shared" si="469"/>
        <v>6.9907757738695953E-2</v>
      </c>
      <c r="BX169" s="144">
        <f t="shared" si="362"/>
        <v>22196.649981994917</v>
      </c>
      <c r="BY169" s="150">
        <f t="shared" si="363"/>
        <v>25.114171844519745</v>
      </c>
      <c r="BZ169" s="5">
        <f t="shared" si="364"/>
        <v>53.69</v>
      </c>
      <c r="CA169" s="150">
        <f t="shared" si="365"/>
        <v>0.6813091076691995</v>
      </c>
      <c r="CB169" s="5">
        <f t="shared" si="366"/>
        <v>68.130910766919953</v>
      </c>
      <c r="CC169">
        <f t="shared" si="367"/>
        <v>59</v>
      </c>
      <c r="CE169" s="59">
        <f t="shared" si="470"/>
        <v>-50</v>
      </c>
      <c r="CF169">
        <f t="shared" si="471"/>
        <v>-50</v>
      </c>
      <c r="CG169" s="150">
        <f t="shared" si="370"/>
        <v>0.49840675206849366</v>
      </c>
      <c r="CH169" s="150">
        <f t="shared" si="472"/>
        <v>0.13505683350346268</v>
      </c>
      <c r="CI169" s="147">
        <v>59</v>
      </c>
      <c r="CJ169" s="188">
        <f t="shared" si="438"/>
        <v>0.29499999999999998</v>
      </c>
      <c r="CK169" s="188">
        <f t="shared" si="372"/>
        <v>0.29499999999999998</v>
      </c>
      <c r="CL169" s="188">
        <f t="shared" si="373"/>
        <v>50.15</v>
      </c>
      <c r="CM169" s="188">
        <f t="shared" si="374"/>
        <v>3.54</v>
      </c>
      <c r="CN169" s="465">
        <f t="shared" si="375"/>
        <v>9</v>
      </c>
      <c r="CO169" s="379">
        <f t="shared" si="473"/>
        <v>8.625</v>
      </c>
      <c r="CP169" s="379">
        <f t="shared" si="474"/>
        <v>17.625</v>
      </c>
      <c r="CQ169" s="379"/>
      <c r="CR169" s="188">
        <f t="shared" si="378"/>
        <v>0.48674080410607357</v>
      </c>
      <c r="CS169" s="149">
        <f t="shared" si="379"/>
        <v>136.39440115060304</v>
      </c>
      <c r="CT169" s="149">
        <f t="shared" si="380"/>
        <v>9.6278400812190377</v>
      </c>
      <c r="CU169" s="188">
        <f t="shared" si="381"/>
        <v>0.80232000676825321</v>
      </c>
      <c r="CV169" s="188">
        <f t="shared" si="382"/>
        <v>11.366200095883586</v>
      </c>
      <c r="CW169" s="188">
        <f t="shared" si="383"/>
        <v>170</v>
      </c>
      <c r="CX169" s="188">
        <f t="shared" si="384"/>
        <v>24.512247607889083</v>
      </c>
      <c r="CY169" s="188">
        <f t="shared" si="385"/>
        <v>4.0853746013148475</v>
      </c>
      <c r="CZ169" s="188">
        <f t="shared" si="386"/>
        <v>4.2629995839807107</v>
      </c>
      <c r="DA169" s="172">
        <f t="shared" si="387"/>
        <v>220.21276595744678</v>
      </c>
      <c r="DB169" s="379">
        <f t="shared" si="388"/>
        <v>119.78380194809115</v>
      </c>
      <c r="DD169" s="188">
        <f t="shared" si="389"/>
        <v>13.333333333333336</v>
      </c>
      <c r="DE169" s="150">
        <f t="shared" si="390"/>
        <v>2.3188405797101459</v>
      </c>
      <c r="DF169" s="150">
        <f t="shared" si="391"/>
        <v>0.15898994622398885</v>
      </c>
      <c r="DG169" s="150"/>
      <c r="DH169" s="150">
        <f t="shared" si="392"/>
        <v>2.3188405797101455</v>
      </c>
      <c r="DI169" s="314">
        <f t="shared" si="393"/>
        <v>408.59669117647042</v>
      </c>
      <c r="DJ169" s="456">
        <f t="shared" si="394"/>
        <v>0.15898994622398879</v>
      </c>
      <c r="DL169" s="150">
        <f t="shared" si="395"/>
        <v>14.301515071254979</v>
      </c>
      <c r="DM169" s="150">
        <f t="shared" si="396"/>
        <v>24.512247607889083</v>
      </c>
      <c r="DN169" s="150">
        <f t="shared" si="397"/>
        <v>9.4806772404116657</v>
      </c>
      <c r="DP169" s="314">
        <f t="shared" si="398"/>
        <v>295</v>
      </c>
      <c r="DQ169" s="144">
        <f t="shared" si="399"/>
        <v>119.78380194809115</v>
      </c>
      <c r="DS169">
        <f t="shared" si="400"/>
        <v>295</v>
      </c>
      <c r="DT169">
        <f t="shared" si="401"/>
        <v>119.78380194809115</v>
      </c>
      <c r="DV169" s="5">
        <f t="shared" si="402"/>
        <v>8.3483741852955582</v>
      </c>
      <c r="DW169" s="5">
        <f t="shared" si="403"/>
        <v>4.0853746013148475</v>
      </c>
      <c r="DX169" s="5">
        <f t="shared" si="404"/>
        <v>4.2629995839807107</v>
      </c>
      <c r="DY169" s="150">
        <f t="shared" si="405"/>
        <v>0.48936170212765956</v>
      </c>
      <c r="EA169" s="5">
        <f t="shared" si="406"/>
        <v>0.70893265140463524</v>
      </c>
      <c r="EB169" s="5">
        <f t="shared" si="407"/>
        <v>10.043212561565667</v>
      </c>
      <c r="EC169" s="5">
        <f t="shared" si="408"/>
        <v>39.590635025302333</v>
      </c>
      <c r="ED169" s="5"/>
      <c r="EE169" s="150">
        <f t="shared" si="409"/>
        <v>9.9000524764640687</v>
      </c>
      <c r="EF169" s="150">
        <f t="shared" si="410"/>
        <v>0.47230956109633249</v>
      </c>
      <c r="EG169" s="150">
        <f t="shared" si="411"/>
        <v>0.44930183431498533</v>
      </c>
      <c r="EH169" s="150"/>
      <c r="EI169" s="456">
        <f t="shared" si="412"/>
        <v>0.33323753272492396</v>
      </c>
      <c r="EJ169" s="456">
        <f t="shared" si="413"/>
        <v>1.5731999999999997</v>
      </c>
      <c r="EK169" s="456">
        <f t="shared" si="414"/>
        <v>2.7430490646112873E-2</v>
      </c>
      <c r="EL169" s="456">
        <f t="shared" si="415"/>
        <v>2.548865484489141E-2</v>
      </c>
      <c r="EM169">
        <f t="shared" si="416"/>
        <v>4.0499999999999998E-3</v>
      </c>
      <c r="EN169" s="144">
        <f t="shared" si="417"/>
        <v>31.480490646112873</v>
      </c>
      <c r="EP169" s="144">
        <f t="shared" si="439"/>
        <v>1963.406678215928</v>
      </c>
      <c r="EQ169" s="150">
        <f t="shared" si="418"/>
        <v>0.73749999999999993</v>
      </c>
      <c r="ER169" s="150">
        <f t="shared" si="475"/>
        <v>0.20944999999999997</v>
      </c>
      <c r="ES169" s="456"/>
      <c r="EU169" s="144">
        <f t="shared" si="420"/>
        <v>946.94999999999993</v>
      </c>
      <c r="EV169" s="456">
        <f t="shared" si="421"/>
        <v>0.14701655855511353</v>
      </c>
      <c r="EW169" s="456">
        <f t="shared" si="422"/>
        <v>4.4615264300602052E-2</v>
      </c>
      <c r="EX169" s="456">
        <f t="shared" si="423"/>
        <v>6.0561641495643151E-3</v>
      </c>
      <c r="EY169" s="456">
        <f t="shared" si="424"/>
        <v>23.357323485002276</v>
      </c>
      <c r="EZ169" s="456"/>
      <c r="FA169" s="538">
        <f t="shared" si="425"/>
        <v>7.1972131274227524E-2</v>
      </c>
      <c r="FB169" s="144">
        <f t="shared" si="426"/>
        <v>23626.983603281784</v>
      </c>
      <c r="FC169" s="150">
        <f t="shared" si="427"/>
        <v>26.537340281497709</v>
      </c>
      <c r="FD169" s="5">
        <f t="shared" si="428"/>
        <v>53.69</v>
      </c>
      <c r="FE169" s="150">
        <f t="shared" si="429"/>
        <v>0.66922323252416438</v>
      </c>
      <c r="FF169" s="5">
        <f t="shared" si="430"/>
        <v>66.922323252416433</v>
      </c>
      <c r="FG169">
        <f t="shared" si="431"/>
        <v>59</v>
      </c>
      <c r="FI169" s="59">
        <f t="shared" si="432"/>
        <v>-50</v>
      </c>
      <c r="FJ169">
        <f t="shared" si="433"/>
        <v>-50</v>
      </c>
    </row>
    <row r="170" spans="5:166">
      <c r="E170" s="147">
        <v>60</v>
      </c>
      <c r="F170" s="188">
        <f t="shared" si="476"/>
        <v>0.3</v>
      </c>
      <c r="G170" s="188">
        <f t="shared" si="444"/>
        <v>0.3</v>
      </c>
      <c r="H170" s="188">
        <f t="shared" si="445"/>
        <v>51</v>
      </c>
      <c r="I170" s="188">
        <f t="shared" si="446"/>
        <v>3.5999999999999996</v>
      </c>
      <c r="J170" s="465">
        <f t="shared" si="447"/>
        <v>8.9248590929523903</v>
      </c>
      <c r="K170" s="379">
        <f t="shared" si="448"/>
        <v>8.6699029713468345</v>
      </c>
      <c r="L170" s="149">
        <f t="shared" si="449"/>
        <v>17.594762064299225</v>
      </c>
      <c r="M170" s="379"/>
      <c r="N170" s="188">
        <f t="shared" si="450"/>
        <v>0.49275477211132979</v>
      </c>
      <c r="O170" s="149">
        <f t="shared" si="451"/>
        <v>136.92680850558469</v>
      </c>
      <c r="P170" s="149">
        <f t="shared" si="452"/>
        <v>9.6654217768648021</v>
      </c>
      <c r="Q170" s="188">
        <f t="shared" si="322"/>
        <v>0.80545181473873351</v>
      </c>
      <c r="R170" s="188">
        <f t="shared" si="453"/>
        <v>11.410567375465391</v>
      </c>
      <c r="S170" s="188">
        <f t="shared" si="454"/>
        <v>170</v>
      </c>
      <c r="T170" s="188">
        <f t="shared" si="455"/>
        <v>24.830783957557355</v>
      </c>
      <c r="U170" s="188">
        <f t="shared" si="326"/>
        <v>4.1733068890407328</v>
      </c>
      <c r="V170" s="188">
        <f t="shared" si="327"/>
        <v>4.2960314618780542</v>
      </c>
      <c r="W170" s="172">
        <f t="shared" si="328"/>
        <v>219.88834542367422</v>
      </c>
      <c r="X170" s="379">
        <f t="shared" si="435"/>
        <v>115.34905658561809</v>
      </c>
      <c r="Z170" s="188">
        <f t="shared" si="329"/>
        <v>13.333333333333332</v>
      </c>
      <c r="AA170" s="150">
        <f t="shared" si="330"/>
        <v>2.3068308914295819</v>
      </c>
      <c r="AB170" s="150">
        <f t="shared" si="456"/>
        <v>0.15793349586277278</v>
      </c>
      <c r="AC170" s="150"/>
      <c r="AD170" s="150">
        <f t="shared" si="332"/>
        <v>2.3068308914295823</v>
      </c>
      <c r="AE170" s="314">
        <f t="shared" si="457"/>
        <v>417.68532550194436</v>
      </c>
      <c r="AF170" s="456">
        <f t="shared" si="458"/>
        <v>0.15793349586277283</v>
      </c>
      <c r="AH170" s="150">
        <f t="shared" si="459"/>
        <v>14.422205101855956</v>
      </c>
      <c r="AI170" s="150">
        <f t="shared" si="460"/>
        <v>24.830783957557355</v>
      </c>
      <c r="AJ170" s="150">
        <f t="shared" si="461"/>
        <v>9.7166300920177928</v>
      </c>
      <c r="AL170" s="314">
        <f t="shared" si="462"/>
        <v>300</v>
      </c>
      <c r="AM170" s="144">
        <f t="shared" si="463"/>
        <v>115.34905658561809</v>
      </c>
      <c r="AO170">
        <f t="shared" si="340"/>
        <v>300</v>
      </c>
      <c r="AP170">
        <f t="shared" si="341"/>
        <v>115.34905658561809</v>
      </c>
      <c r="AR170" s="5">
        <f t="shared" si="443"/>
        <v>8.6693383509187854</v>
      </c>
      <c r="AS170" s="5">
        <f t="shared" si="440"/>
        <v>4.1733068890407328</v>
      </c>
      <c r="AT170" s="5">
        <f t="shared" si="441"/>
        <v>4.4960314618780526</v>
      </c>
      <c r="AU170" s="150">
        <f t="shared" si="442"/>
        <v>0.48138701249310928</v>
      </c>
      <c r="AW170" s="5">
        <f t="shared" ref="AW170:AW210" si="477">F170*AS170/Vout_ripple*1000</f>
        <v>0.73646592159542346</v>
      </c>
      <c r="AX170" s="5">
        <f t="shared" ref="AX170:AX210" si="478">G170*AS170/Vout_ripple2*1000</f>
        <v>10.433267222601831</v>
      </c>
      <c r="AY170" s="5">
        <f t="shared" ref="AY170:AY210" si="479">H170/Efficiency/J170*AT170/Vinripple1</f>
        <v>42.820023294419656</v>
      </c>
      <c r="AZ170" s="5"/>
      <c r="BA170" s="150">
        <f t="shared" ref="BA170:BA209" si="480">AI170*SQRT(AU170/3)</f>
        <v>9.9466534844684595</v>
      </c>
      <c r="BB170" s="150">
        <f t="shared" ref="BB170:BB210" si="481">AI170*Npri_sec1*SQRT((1-AU170)/3)*(Pout/Pout_total)</f>
        <v>0.48216872356700829</v>
      </c>
      <c r="BC170" s="150">
        <f t="shared" ref="BC170:BC210" si="482">AI170*Npri_sec2*SQRT((1-AU170)/3)*(Pout2/Pout_total)</f>
        <v>0.4586807250844242</v>
      </c>
      <c r="BD170" s="150"/>
      <c r="BE170" s="456">
        <f t="shared" ref="BE170:BE210" si="483">Rdson*BA170^2</f>
        <v>0.33638211283630104</v>
      </c>
      <c r="BF170" s="456">
        <f t="shared" si="464"/>
        <v>1.206961436288694</v>
      </c>
      <c r="BG170" s="456">
        <f t="shared" si="465"/>
        <v>4.714991270514881E-2</v>
      </c>
      <c r="BH170" s="456">
        <f t="shared" ref="BH170:BH210" si="484">0.5*(Coss+Csw)*L170^2*AM170*1000</f>
        <v>2.446084269689951E-2</v>
      </c>
      <c r="BI170">
        <f t="shared" ref="BI170:BI210" si="485">J170*IQ</f>
        <v>4.0161865918285754E-3</v>
      </c>
      <c r="BJ170" s="144">
        <f t="shared" si="436"/>
        <v>51.166099296977386</v>
      </c>
      <c r="BK170">
        <f t="shared" si="466"/>
        <v>1.8027078908281808</v>
      </c>
      <c r="BL170" s="144">
        <f t="shared" si="437"/>
        <v>1618.9704911188721</v>
      </c>
      <c r="BM170" s="150">
        <f t="shared" si="467"/>
        <v>0.66562499999999991</v>
      </c>
      <c r="BN170" s="150">
        <f t="shared" si="468"/>
        <v>0.66562499999999991</v>
      </c>
      <c r="BO170" s="456"/>
      <c r="BQ170" s="144">
        <f t="shared" ref="BQ170:BQ210" si="486">SUM(BM170:BP170)*1000</f>
        <v>1331.2499999999998</v>
      </c>
      <c r="BR170" s="456">
        <f t="shared" ref="BR170:BR210" si="487">Rdcr_pri*BA170^2</f>
        <v>0.14840387331013283</v>
      </c>
      <c r="BS170" s="456">
        <f t="shared" ref="BS170:BS210" si="488">Rdcr_sec*BB170^2</f>
        <v>4.6497335597247613E-2</v>
      </c>
      <c r="BT170" s="456">
        <f t="shared" ref="BT170:BT210" si="489">Rdcr_sec2*BC170^2</f>
        <v>6.3116402269191938E-3</v>
      </c>
      <c r="BU170" s="456">
        <f t="shared" ref="BU170:BU210" si="490">AI170^2.5*AM170^2.5*k_core</f>
        <v>21.952359174448528</v>
      </c>
      <c r="BV170" s="456"/>
      <c r="BW170" s="538">
        <f t="shared" si="469"/>
        <v>7.1120517736113414E-2</v>
      </c>
      <c r="BX170" s="144">
        <f t="shared" ref="BX170:BX192" si="491">SUM(BR170:BW170)*1000</f>
        <v>22224.692541318942</v>
      </c>
      <c r="BY170" s="150">
        <f t="shared" ref="BY170:BY192" si="492">SUM(BE170:BI170,BM170:BP170,BR170:BW170)</f>
        <v>25.174913032437811</v>
      </c>
      <c r="BZ170" s="5">
        <f t="shared" ref="BZ170:BZ192" si="493">MIN(H170+I170,O170+P170)</f>
        <v>54.6</v>
      </c>
      <c r="CA170" s="150">
        <f t="shared" ref="CA170:CA192" si="494">BZ170/(BZ170+BY170)</f>
        <v>0.68442569129218267</v>
      </c>
      <c r="CB170" s="5">
        <f t="shared" ref="CB170:CB192" si="495">CA170*100</f>
        <v>68.442569129218271</v>
      </c>
      <c r="CC170">
        <f t="shared" ref="CC170:CC192" si="496">F170/Iout*100</f>
        <v>60</v>
      </c>
      <c r="CE170" s="59">
        <f t="shared" si="470"/>
        <v>-50</v>
      </c>
      <c r="CF170">
        <f t="shared" si="471"/>
        <v>-50</v>
      </c>
      <c r="CG170" s="150">
        <f t="shared" si="370"/>
        <v>0.49840675206849377</v>
      </c>
      <c r="CH170" s="150">
        <f t="shared" si="472"/>
        <v>0.13505683350346268</v>
      </c>
      <c r="CI170" s="147">
        <v>60</v>
      </c>
      <c r="CJ170" s="188">
        <f t="shared" si="438"/>
        <v>0.3</v>
      </c>
      <c r="CK170" s="188">
        <f t="shared" si="372"/>
        <v>0.3</v>
      </c>
      <c r="CL170" s="188">
        <f t="shared" si="373"/>
        <v>51</v>
      </c>
      <c r="CM170" s="188">
        <f t="shared" si="374"/>
        <v>3.5999999999999996</v>
      </c>
      <c r="CN170" s="465">
        <f t="shared" si="375"/>
        <v>9</v>
      </c>
      <c r="CO170" s="379">
        <f t="shared" si="473"/>
        <v>8.625</v>
      </c>
      <c r="CP170" s="379">
        <f t="shared" si="474"/>
        <v>17.625</v>
      </c>
      <c r="CQ170" s="379"/>
      <c r="CR170" s="188">
        <f t="shared" si="378"/>
        <v>0.48674080410607357</v>
      </c>
      <c r="CS170" s="149">
        <f t="shared" si="379"/>
        <v>136.39440115060304</v>
      </c>
      <c r="CT170" s="149">
        <f t="shared" si="380"/>
        <v>9.6278400812190377</v>
      </c>
      <c r="CU170" s="188">
        <f t="shared" si="381"/>
        <v>0.80232000676825321</v>
      </c>
      <c r="CV170" s="188">
        <f t="shared" si="382"/>
        <v>11.366200095883586</v>
      </c>
      <c r="CW170" s="188">
        <f t="shared" si="383"/>
        <v>170</v>
      </c>
      <c r="CX170" s="188">
        <f t="shared" si="384"/>
        <v>24.927709431751612</v>
      </c>
      <c r="CY170" s="188">
        <f t="shared" si="385"/>
        <v>4.154618238625269</v>
      </c>
      <c r="CZ170" s="188">
        <f t="shared" si="386"/>
        <v>4.3352538142176718</v>
      </c>
      <c r="DA170" s="172">
        <f t="shared" si="387"/>
        <v>220.21276595744678</v>
      </c>
      <c r="DB170" s="379">
        <f t="shared" si="388"/>
        <v>117.7874052489563</v>
      </c>
      <c r="DD170" s="188">
        <f t="shared" si="389"/>
        <v>13.333333333333336</v>
      </c>
      <c r="DE170" s="150">
        <f t="shared" si="390"/>
        <v>2.3188405797101459</v>
      </c>
      <c r="DF170" s="150">
        <f t="shared" si="391"/>
        <v>0.15898994622398885</v>
      </c>
      <c r="DG170" s="150"/>
      <c r="DH170" s="150">
        <f t="shared" si="392"/>
        <v>2.3188405797101455</v>
      </c>
      <c r="DI170" s="314">
        <f t="shared" si="393"/>
        <v>415.52205882352922</v>
      </c>
      <c r="DJ170" s="456">
        <f t="shared" si="394"/>
        <v>0.15898994622398879</v>
      </c>
      <c r="DL170" s="150">
        <f t="shared" si="395"/>
        <v>14.422205101855956</v>
      </c>
      <c r="DM170" s="150">
        <f t="shared" si="396"/>
        <v>24.927709431751612</v>
      </c>
      <c r="DN170" s="150">
        <f t="shared" si="397"/>
        <v>9.7884267395690934</v>
      </c>
      <c r="DP170" s="314">
        <f t="shared" si="398"/>
        <v>300</v>
      </c>
      <c r="DQ170" s="144">
        <f t="shared" si="399"/>
        <v>117.7874052489563</v>
      </c>
      <c r="DS170">
        <f t="shared" si="400"/>
        <v>300</v>
      </c>
      <c r="DT170">
        <f t="shared" si="401"/>
        <v>117.7874052489563</v>
      </c>
      <c r="DV170" s="5">
        <f t="shared" si="402"/>
        <v>8.4898720528429408</v>
      </c>
      <c r="DW170" s="5">
        <f t="shared" si="403"/>
        <v>4.154618238625269</v>
      </c>
      <c r="DX170" s="5">
        <f t="shared" si="404"/>
        <v>4.3352538142176718</v>
      </c>
      <c r="DY170" s="150">
        <f t="shared" si="405"/>
        <v>0.48936170212765961</v>
      </c>
      <c r="EA170" s="5">
        <f t="shared" si="406"/>
        <v>0.73316792446328272</v>
      </c>
      <c r="EB170" s="5">
        <f t="shared" si="407"/>
        <v>10.386545596563172</v>
      </c>
      <c r="EC170" s="5">
        <f t="shared" si="408"/>
        <v>40.944063800944669</v>
      </c>
      <c r="ED170" s="5"/>
      <c r="EE170" s="150">
        <f t="shared" si="409"/>
        <v>10.067849976065158</v>
      </c>
      <c r="EF170" s="150">
        <f t="shared" si="410"/>
        <v>0.48031480789457531</v>
      </c>
      <c r="EG170" s="150">
        <f t="shared" si="411"/>
        <v>0.45691711964235804</v>
      </c>
      <c r="EH170" s="150"/>
      <c r="EI170" s="456">
        <f t="shared" si="412"/>
        <v>0.34462945067788769</v>
      </c>
      <c r="EJ170" s="456">
        <f t="shared" si="413"/>
        <v>1.5732000000000002</v>
      </c>
      <c r="EK170" s="456">
        <f t="shared" si="414"/>
        <v>2.6973315802010994E-2</v>
      </c>
      <c r="EL170" s="456">
        <f t="shared" si="415"/>
        <v>2.5063843930809886E-2</v>
      </c>
      <c r="EM170">
        <f t="shared" si="416"/>
        <v>4.0499999999999998E-3</v>
      </c>
      <c r="EN170" s="144">
        <f t="shared" si="417"/>
        <v>31.023315802010995</v>
      </c>
      <c r="EP170" s="144">
        <f t="shared" si="439"/>
        <v>1973.9166104107089</v>
      </c>
      <c r="EQ170" s="150">
        <f t="shared" si="418"/>
        <v>0.75</v>
      </c>
      <c r="ER170" s="150">
        <f t="shared" si="475"/>
        <v>0.21299999999999999</v>
      </c>
      <c r="ES170" s="456"/>
      <c r="EU170" s="144">
        <f t="shared" ref="EU170:EU210" si="497">SUM(EQ170:ET170)*1000</f>
        <v>963</v>
      </c>
      <c r="EV170" s="456">
        <f t="shared" si="421"/>
        <v>0.1520424047108328</v>
      </c>
      <c r="EW170" s="456">
        <f t="shared" si="422"/>
        <v>4.6140462936560558E-2</v>
      </c>
      <c r="EX170" s="456">
        <f t="shared" si="423"/>
        <v>6.2631976266680671E-3</v>
      </c>
      <c r="EY170" s="456">
        <f t="shared" si="424"/>
        <v>23.357323485002233</v>
      </c>
      <c r="EZ170" s="456"/>
      <c r="FA170" s="538">
        <f t="shared" si="425"/>
        <v>7.3191997905994108E-2</v>
      </c>
      <c r="FB170" s="144">
        <f t="shared" ref="FB170:FB192" si="498">SUM(EV170:FA170)*1000</f>
        <v>23634.961548182291</v>
      </c>
      <c r="FC170" s="150">
        <f t="shared" si="427"/>
        <v>26.571878158592998</v>
      </c>
      <c r="FD170" s="5">
        <f t="shared" si="428"/>
        <v>54.6</v>
      </c>
      <c r="FE170" s="150">
        <f t="shared" si="429"/>
        <v>0.67264674957160575</v>
      </c>
      <c r="FF170" s="5">
        <f t="shared" si="430"/>
        <v>67.26467495716058</v>
      </c>
      <c r="FG170">
        <f t="shared" si="431"/>
        <v>60</v>
      </c>
      <c r="FI170" s="59">
        <f t="shared" si="432"/>
        <v>-50</v>
      </c>
      <c r="FJ170">
        <f t="shared" si="433"/>
        <v>-50</v>
      </c>
    </row>
    <row r="171" spans="5:166">
      <c r="E171" s="147">
        <v>61</v>
      </c>
      <c r="F171" s="188">
        <f t="shared" si="476"/>
        <v>0.30499999999999999</v>
      </c>
      <c r="G171" s="188">
        <f t="shared" si="444"/>
        <v>0.30499999999999999</v>
      </c>
      <c r="H171" s="188">
        <f t="shared" si="445"/>
        <v>51.85</v>
      </c>
      <c r="I171" s="188">
        <f t="shared" si="446"/>
        <v>3.66</v>
      </c>
      <c r="J171" s="465">
        <f t="shared" si="447"/>
        <v>8.9236067445015976</v>
      </c>
      <c r="K171" s="379">
        <f t="shared" si="448"/>
        <v>8.6706513542026151</v>
      </c>
      <c r="L171" s="149">
        <f t="shared" si="449"/>
        <v>17.594258098704213</v>
      </c>
      <c r="M171" s="379"/>
      <c r="N171" s="188">
        <f t="shared" si="450"/>
        <v>0.49281142208782275</v>
      </c>
      <c r="O171" s="149">
        <f t="shared" si="451"/>
        <v>136.92333444775718</v>
      </c>
      <c r="P171" s="149">
        <f t="shared" si="452"/>
        <v>9.6651765492534487</v>
      </c>
      <c r="Q171" s="188">
        <f t="shared" si="322"/>
        <v>0.80543137910445406</v>
      </c>
      <c r="R171" s="188">
        <f t="shared" si="453"/>
        <v>11.410277870646432</v>
      </c>
      <c r="S171" s="188">
        <f t="shared" si="454"/>
        <v>170</v>
      </c>
      <c r="T171" s="188">
        <f t="shared" si="455"/>
        <v>25.245270870799242</v>
      </c>
      <c r="U171" s="188">
        <f t="shared" si="326"/>
        <v>4.2435651178299283</v>
      </c>
      <c r="V171" s="188">
        <f t="shared" si="327"/>
        <v>4.3673658136241995</v>
      </c>
      <c r="W171" s="172">
        <f t="shared" si="328"/>
        <v>219.88276649551588</v>
      </c>
      <c r="X171" s="379">
        <f t="shared" si="435"/>
        <v>113.49538519591633</v>
      </c>
      <c r="Z171" s="188">
        <f t="shared" si="329"/>
        <v>13.333333333333334</v>
      </c>
      <c r="AA171" s="150">
        <f t="shared" si="330"/>
        <v>2.3066317838170391</v>
      </c>
      <c r="AB171" s="150">
        <f t="shared" si="456"/>
        <v>0.15791585759170357</v>
      </c>
      <c r="AC171" s="150"/>
      <c r="AD171" s="150">
        <f t="shared" si="332"/>
        <v>2.3066317838170391</v>
      </c>
      <c r="AE171" s="314">
        <f t="shared" si="457"/>
        <v>424.68340294569447</v>
      </c>
      <c r="AF171" s="456">
        <f t="shared" si="458"/>
        <v>0.15791585759170351</v>
      </c>
      <c r="AH171" s="150">
        <f t="shared" si="459"/>
        <v>14.54189350348388</v>
      </c>
      <c r="AI171" s="150">
        <f t="shared" si="460"/>
        <v>25.245270870799242</v>
      </c>
      <c r="AJ171" s="150">
        <f t="shared" si="461"/>
        <v>10.023657435159931</v>
      </c>
      <c r="AL171" s="314">
        <f t="shared" si="462"/>
        <v>305</v>
      </c>
      <c r="AM171" s="144">
        <f t="shared" si="463"/>
        <v>113.49538519591633</v>
      </c>
      <c r="AO171">
        <f t="shared" si="340"/>
        <v>305</v>
      </c>
      <c r="AP171">
        <f t="shared" si="341"/>
        <v>113.49538519591633</v>
      </c>
      <c r="AR171" s="5">
        <f t="shared" si="443"/>
        <v>8.8109309314541271</v>
      </c>
      <c r="AS171" s="5">
        <f t="shared" si="440"/>
        <v>4.2435651178299283</v>
      </c>
      <c r="AT171" s="5">
        <f t="shared" si="441"/>
        <v>4.5673658136241988</v>
      </c>
      <c r="AU171" s="150">
        <f t="shared" si="442"/>
        <v>0.48162505765206176</v>
      </c>
      <c r="AW171" s="5">
        <f t="shared" si="477"/>
        <v>0.76134550643419296</v>
      </c>
      <c r="AX171" s="5">
        <f t="shared" si="478"/>
        <v>10.785728007817735</v>
      </c>
      <c r="AY171" s="5">
        <f t="shared" si="479"/>
        <v>44.230605444809498</v>
      </c>
      <c r="AZ171" s="5"/>
      <c r="BA171" s="150">
        <f t="shared" si="480"/>
        <v>10.115187663457936</v>
      </c>
      <c r="BB171" s="150">
        <f t="shared" si="481"/>
        <v>0.49010478794272078</v>
      </c>
      <c r="BC171" s="150">
        <f t="shared" si="482"/>
        <v>0.46623019808889327</v>
      </c>
      <c r="BD171" s="150"/>
      <c r="BE171" s="456">
        <f t="shared" si="483"/>
        <v>0.34787787298770351</v>
      </c>
      <c r="BF171" s="456">
        <f t="shared" si="464"/>
        <v>1.2073542475280432</v>
      </c>
      <c r="BG171" s="456">
        <f t="shared" si="465"/>
        <v>4.6385698864027124E-2</v>
      </c>
      <c r="BH171" s="456">
        <f t="shared" si="484"/>
        <v>2.406637567694794E-2</v>
      </c>
      <c r="BI171">
        <f t="shared" si="485"/>
        <v>4.0156230350257187E-3</v>
      </c>
      <c r="BJ171" s="144">
        <f t="shared" si="436"/>
        <v>50.401321899052846</v>
      </c>
      <c r="BK171">
        <f t="shared" si="466"/>
        <v>1.8239887385802149</v>
      </c>
      <c r="BL171" s="144">
        <f t="shared" si="437"/>
        <v>1629.6998180917474</v>
      </c>
      <c r="BM171" s="150">
        <f t="shared" si="467"/>
        <v>0.67671874999999992</v>
      </c>
      <c r="BN171" s="150">
        <f t="shared" si="468"/>
        <v>0.67671874999999992</v>
      </c>
      <c r="BO171" s="456"/>
      <c r="BQ171" s="144">
        <f t="shared" si="486"/>
        <v>1353.4374999999998</v>
      </c>
      <c r="BR171" s="456">
        <f t="shared" si="487"/>
        <v>0.15347553220045743</v>
      </c>
      <c r="BS171" s="456">
        <f t="shared" si="488"/>
        <v>4.8040540632875862E-2</v>
      </c>
      <c r="BT171" s="456">
        <f t="shared" si="489"/>
        <v>6.5211179283002595E-3</v>
      </c>
      <c r="BU171" s="456">
        <f t="shared" si="490"/>
        <v>21.971798087201027</v>
      </c>
      <c r="BV171" s="456"/>
      <c r="BW171" s="538">
        <f t="shared" si="469"/>
        <v>7.2333298978073238E-2</v>
      </c>
      <c r="BX171" s="144">
        <f t="shared" si="491"/>
        <v>22252.168576940734</v>
      </c>
      <c r="BY171" s="150">
        <f t="shared" si="492"/>
        <v>25.235305895032479</v>
      </c>
      <c r="BZ171" s="5">
        <f t="shared" si="493"/>
        <v>55.510000000000005</v>
      </c>
      <c r="CA171" s="150">
        <f t="shared" si="494"/>
        <v>0.68747030412098575</v>
      </c>
      <c r="CB171" s="5">
        <f t="shared" si="495"/>
        <v>68.747030412098582</v>
      </c>
      <c r="CC171">
        <f t="shared" si="496"/>
        <v>61</v>
      </c>
      <c r="CE171" s="59">
        <f t="shared" si="470"/>
        <v>-50</v>
      </c>
      <c r="CF171">
        <f t="shared" si="471"/>
        <v>-50</v>
      </c>
      <c r="CG171" s="150">
        <f t="shared" si="370"/>
        <v>0.49840675206849377</v>
      </c>
      <c r="CH171" s="150">
        <f t="shared" si="472"/>
        <v>0.13505683350346265</v>
      </c>
      <c r="CI171" s="147">
        <v>61</v>
      </c>
      <c r="CJ171" s="188">
        <f t="shared" si="438"/>
        <v>0.30499999999999999</v>
      </c>
      <c r="CK171" s="188">
        <f t="shared" si="372"/>
        <v>0.30499999999999999</v>
      </c>
      <c r="CL171" s="188">
        <f t="shared" si="373"/>
        <v>51.85</v>
      </c>
      <c r="CM171" s="188">
        <f t="shared" si="374"/>
        <v>3.66</v>
      </c>
      <c r="CN171" s="465">
        <f t="shared" si="375"/>
        <v>9</v>
      </c>
      <c r="CO171" s="379">
        <f t="shared" si="473"/>
        <v>8.625</v>
      </c>
      <c r="CP171" s="379">
        <f t="shared" si="474"/>
        <v>17.625</v>
      </c>
      <c r="CQ171" s="379"/>
      <c r="CR171" s="188">
        <f t="shared" si="378"/>
        <v>0.48674080410607357</v>
      </c>
      <c r="CS171" s="149">
        <f t="shared" si="379"/>
        <v>136.39440115060304</v>
      </c>
      <c r="CT171" s="149">
        <f t="shared" si="380"/>
        <v>9.6278400812190377</v>
      </c>
      <c r="CU171" s="188">
        <f t="shared" si="381"/>
        <v>0.80232000676825321</v>
      </c>
      <c r="CV171" s="188">
        <f t="shared" si="382"/>
        <v>11.366200095883586</v>
      </c>
      <c r="CW171" s="188">
        <f t="shared" si="383"/>
        <v>170</v>
      </c>
      <c r="CX171" s="188">
        <f t="shared" si="384"/>
        <v>25.343171255614141</v>
      </c>
      <c r="CY171" s="188">
        <f t="shared" si="385"/>
        <v>4.2238618759356905</v>
      </c>
      <c r="CZ171" s="188">
        <f t="shared" si="386"/>
        <v>4.4075080444546337</v>
      </c>
      <c r="DA171" s="172">
        <f t="shared" si="387"/>
        <v>220.21276595744678</v>
      </c>
      <c r="DB171" s="379">
        <f t="shared" si="388"/>
        <v>115.85646417930127</v>
      </c>
      <c r="DD171" s="188">
        <f t="shared" si="389"/>
        <v>13.333333333333336</v>
      </c>
      <c r="DE171" s="150">
        <f t="shared" si="390"/>
        <v>2.3188405797101459</v>
      </c>
      <c r="DF171" s="150">
        <f t="shared" si="391"/>
        <v>0.15898994622398885</v>
      </c>
      <c r="DG171" s="150"/>
      <c r="DH171" s="150">
        <f t="shared" si="392"/>
        <v>2.3188405797101455</v>
      </c>
      <c r="DI171" s="314">
        <f t="shared" si="393"/>
        <v>422.44742647058814</v>
      </c>
      <c r="DJ171" s="456">
        <f t="shared" si="394"/>
        <v>0.15898994622398879</v>
      </c>
      <c r="DL171" s="150">
        <f t="shared" si="395"/>
        <v>14.54189350348388</v>
      </c>
      <c r="DM171" s="150">
        <f t="shared" si="396"/>
        <v>25.343171255614141</v>
      </c>
      <c r="DN171" s="150">
        <f t="shared" si="397"/>
        <v>10.096176238726523</v>
      </c>
      <c r="DP171" s="314">
        <f t="shared" si="398"/>
        <v>305</v>
      </c>
      <c r="DQ171" s="144">
        <f t="shared" si="399"/>
        <v>115.85646417930127</v>
      </c>
      <c r="DS171">
        <f t="shared" si="400"/>
        <v>305</v>
      </c>
      <c r="DT171">
        <f t="shared" si="401"/>
        <v>115.85646417930127</v>
      </c>
      <c r="DV171" s="5">
        <f t="shared" si="402"/>
        <v>8.6313699203903251</v>
      </c>
      <c r="DW171" s="5">
        <f t="shared" si="403"/>
        <v>4.2238618759356905</v>
      </c>
      <c r="DX171" s="5">
        <f t="shared" si="404"/>
        <v>4.4075080444546346</v>
      </c>
      <c r="DY171" s="150">
        <f t="shared" si="405"/>
        <v>0.4893617021276595</v>
      </c>
      <c r="EA171" s="5">
        <f t="shared" si="406"/>
        <v>0.75781051303552094</v>
      </c>
      <c r="EB171" s="5">
        <f t="shared" si="407"/>
        <v>10.73564893466988</v>
      </c>
      <c r="EC171" s="5">
        <f t="shared" si="408"/>
        <v>42.320239278698658</v>
      </c>
      <c r="ED171" s="5"/>
      <c r="EE171" s="150">
        <f t="shared" si="409"/>
        <v>10.235647475666243</v>
      </c>
      <c r="EF171" s="150">
        <f t="shared" si="410"/>
        <v>0.48832005469281836</v>
      </c>
      <c r="EG171" s="150">
        <f t="shared" si="411"/>
        <v>0.46453240496973069</v>
      </c>
      <c r="EH171" s="150"/>
      <c r="EI171" s="456">
        <f t="shared" si="412"/>
        <v>0.35621282943678323</v>
      </c>
      <c r="EJ171" s="456">
        <f t="shared" si="413"/>
        <v>1.5732000000000002</v>
      </c>
      <c r="EK171" s="456">
        <f t="shared" si="414"/>
        <v>2.6531130297059991E-2</v>
      </c>
      <c r="EL171" s="456">
        <f t="shared" si="415"/>
        <v>2.465296124341956E-2</v>
      </c>
      <c r="EM171">
        <f t="shared" si="416"/>
        <v>4.0499999999999998E-3</v>
      </c>
      <c r="EN171" s="144">
        <f t="shared" si="417"/>
        <v>30.581130297059993</v>
      </c>
      <c r="EP171" s="144">
        <f t="shared" si="439"/>
        <v>1984.6469209772631</v>
      </c>
      <c r="EQ171" s="150">
        <f t="shared" si="418"/>
        <v>0.76249999999999996</v>
      </c>
      <c r="ER171" s="150">
        <f t="shared" si="475"/>
        <v>0.21654999999999999</v>
      </c>
      <c r="ES171" s="456"/>
      <c r="EU171" s="144">
        <f t="shared" si="497"/>
        <v>979.05</v>
      </c>
      <c r="EV171" s="456">
        <f t="shared" si="421"/>
        <v>0.15715271886916909</v>
      </c>
      <c r="EW171" s="456">
        <f t="shared" si="422"/>
        <v>4.7691295163039424E-2</v>
      </c>
      <c r="EX171" s="456">
        <f t="shared" si="423"/>
        <v>6.4737106580088563E-3</v>
      </c>
      <c r="EY171" s="456">
        <f t="shared" si="424"/>
        <v>23.357323485002318</v>
      </c>
      <c r="EZ171" s="456"/>
      <c r="FA171" s="538">
        <f t="shared" si="425"/>
        <v>7.4411864537760677E-2</v>
      </c>
      <c r="FB171" s="144">
        <f t="shared" si="498"/>
        <v>23643.053074230298</v>
      </c>
      <c r="FC171" s="150">
        <f t="shared" si="427"/>
        <v>26.606749995207561</v>
      </c>
      <c r="FD171" s="5">
        <f t="shared" si="428"/>
        <v>55.510000000000005</v>
      </c>
      <c r="FE171" s="150">
        <f t="shared" si="429"/>
        <v>0.67598875994531726</v>
      </c>
      <c r="FF171" s="5">
        <f t="shared" si="430"/>
        <v>67.598875994531724</v>
      </c>
      <c r="FG171">
        <f t="shared" si="431"/>
        <v>61</v>
      </c>
      <c r="FI171" s="59">
        <f t="shared" si="432"/>
        <v>-50</v>
      </c>
      <c r="FJ171">
        <f t="shared" si="433"/>
        <v>-50</v>
      </c>
    </row>
    <row r="172" spans="5:166">
      <c r="E172" s="147">
        <v>62</v>
      </c>
      <c r="F172" s="188">
        <f t="shared" si="476"/>
        <v>0.31</v>
      </c>
      <c r="G172" s="188">
        <f t="shared" si="444"/>
        <v>0.31</v>
      </c>
      <c r="H172" s="188">
        <f t="shared" si="445"/>
        <v>52.7</v>
      </c>
      <c r="I172" s="188">
        <f t="shared" si="446"/>
        <v>3.7199999999999998</v>
      </c>
      <c r="J172" s="465">
        <f t="shared" si="447"/>
        <v>8.9223543960508049</v>
      </c>
      <c r="K172" s="379">
        <f t="shared" si="448"/>
        <v>8.6713997370583957</v>
      </c>
      <c r="L172" s="149">
        <f t="shared" si="449"/>
        <v>17.593754133109201</v>
      </c>
      <c r="M172" s="379"/>
      <c r="N172" s="188">
        <f t="shared" si="450"/>
        <v>0.49286807530974458</v>
      </c>
      <c r="O172" s="149">
        <f t="shared" si="451"/>
        <v>136.9198568736648</v>
      </c>
      <c r="P172" s="149">
        <f t="shared" si="452"/>
        <v>9.6649310734351612</v>
      </c>
      <c r="Q172" s="188">
        <f t="shared" si="322"/>
        <v>0.80541092278626347</v>
      </c>
      <c r="R172" s="188">
        <f t="shared" si="453"/>
        <v>11.409988072805399</v>
      </c>
      <c r="S172" s="188">
        <f t="shared" si="454"/>
        <v>170</v>
      </c>
      <c r="T172" s="188">
        <f t="shared" si="455"/>
        <v>25.659779476508415</v>
      </c>
      <c r="U172" s="188">
        <f t="shared" si="326"/>
        <v>4.3138467164898593</v>
      </c>
      <c r="V172" s="188">
        <f t="shared" si="327"/>
        <v>4.4386916048019138</v>
      </c>
      <c r="W172" s="172">
        <f t="shared" si="328"/>
        <v>219.87718192064995</v>
      </c>
      <c r="X172" s="379">
        <f t="shared" si="435"/>
        <v>111.7001641446991</v>
      </c>
      <c r="Z172" s="188">
        <f t="shared" si="329"/>
        <v>13.333333333333334</v>
      </c>
      <c r="AA172" s="150">
        <f t="shared" si="330"/>
        <v>2.3064327105723548</v>
      </c>
      <c r="AB172" s="150">
        <f t="shared" si="456"/>
        <v>0.15789821831015283</v>
      </c>
      <c r="AC172" s="150"/>
      <c r="AD172" s="150">
        <f t="shared" si="332"/>
        <v>2.3064327105723548</v>
      </c>
      <c r="AE172" s="314">
        <f t="shared" si="457"/>
        <v>431.6826822042658</v>
      </c>
      <c r="AF172" s="456">
        <f t="shared" si="458"/>
        <v>0.1578982183101528</v>
      </c>
      <c r="AH172" s="150">
        <f t="shared" si="459"/>
        <v>14.660604807897023</v>
      </c>
      <c r="AI172" s="150">
        <f t="shared" si="460"/>
        <v>25.659779476508415</v>
      </c>
      <c r="AJ172" s="150">
        <f t="shared" si="461"/>
        <v>10.330700846796356</v>
      </c>
      <c r="AL172" s="314">
        <f t="shared" si="462"/>
        <v>310</v>
      </c>
      <c r="AM172" s="144">
        <f t="shared" si="463"/>
        <v>111.7001641446991</v>
      </c>
      <c r="AO172">
        <f t="shared" si="340"/>
        <v>310</v>
      </c>
      <c r="AP172">
        <f t="shared" si="341"/>
        <v>111.7001641446991</v>
      </c>
      <c r="AR172" s="5">
        <f t="shared" si="443"/>
        <v>8.9525383212917742</v>
      </c>
      <c r="AS172" s="5">
        <f t="shared" si="440"/>
        <v>4.3138467164898593</v>
      </c>
      <c r="AT172" s="5">
        <f t="shared" si="441"/>
        <v>4.6386916048019149</v>
      </c>
      <c r="AU172" s="150">
        <f t="shared" si="442"/>
        <v>0.48185738632698849</v>
      </c>
      <c r="AW172" s="5">
        <f t="shared" si="477"/>
        <v>0.78664263653638611</v>
      </c>
      <c r="AX172" s="5">
        <f t="shared" si="478"/>
        <v>11.144104017598803</v>
      </c>
      <c r="AY172" s="5">
        <f t="shared" si="479"/>
        <v>45.664151844880557</v>
      </c>
      <c r="AZ172" s="5"/>
      <c r="BA172" s="150">
        <f t="shared" si="480"/>
        <v>10.283751001718827</v>
      </c>
      <c r="BB172" s="150">
        <f t="shared" si="481"/>
        <v>0.49804029969829922</v>
      </c>
      <c r="BC172" s="150">
        <f t="shared" si="482"/>
        <v>0.47377914539314303</v>
      </c>
      <c r="BD172" s="150"/>
      <c r="BE172" s="456">
        <f t="shared" si="483"/>
        <v>0.35956881786220007</v>
      </c>
      <c r="BF172" s="456">
        <f t="shared" si="464"/>
        <v>1.2077325389372566</v>
      </c>
      <c r="BG172" s="456">
        <f t="shared" si="465"/>
        <v>4.5645583037299209E-2</v>
      </c>
      <c r="BH172" s="456">
        <f t="shared" si="484"/>
        <v>2.3684347251067526E-2</v>
      </c>
      <c r="BI172">
        <f t="shared" si="485"/>
        <v>4.015059478222862E-3</v>
      </c>
      <c r="BJ172" s="144">
        <f t="shared" si="436"/>
        <v>49.660642515522078</v>
      </c>
      <c r="BK172">
        <f t="shared" si="466"/>
        <v>1.8457590336361669</v>
      </c>
      <c r="BL172" s="144">
        <f t="shared" si="437"/>
        <v>1640.6463465660463</v>
      </c>
      <c r="BM172" s="150">
        <f t="shared" si="467"/>
        <v>0.68781249999999994</v>
      </c>
      <c r="BN172" s="150">
        <f t="shared" si="468"/>
        <v>0.68781249999999994</v>
      </c>
      <c r="BO172" s="456"/>
      <c r="BQ172" s="144">
        <f t="shared" si="486"/>
        <v>1375.6249999999998</v>
      </c>
      <c r="BR172" s="456">
        <f t="shared" si="487"/>
        <v>0.15863330199802947</v>
      </c>
      <c r="BS172" s="456">
        <f t="shared" si="488"/>
        <v>4.9608828024714342E-2</v>
      </c>
      <c r="BT172" s="456">
        <f t="shared" si="489"/>
        <v>6.7340003582837087E-3</v>
      </c>
      <c r="BU172" s="456">
        <f t="shared" si="490"/>
        <v>21.990587484329161</v>
      </c>
      <c r="BV172" s="456"/>
      <c r="BW172" s="538">
        <f t="shared" si="469"/>
        <v>7.3546100463721634E-2</v>
      </c>
      <c r="BX172" s="144">
        <f t="shared" si="491"/>
        <v>22279.109715173912</v>
      </c>
      <c r="BY172" s="150">
        <f t="shared" si="492"/>
        <v>25.295381061739956</v>
      </c>
      <c r="BZ172" s="5">
        <f t="shared" si="493"/>
        <v>56.42</v>
      </c>
      <c r="CA172" s="150">
        <f t="shared" si="494"/>
        <v>0.69044529031042434</v>
      </c>
      <c r="CB172" s="5">
        <f t="shared" si="495"/>
        <v>69.04452903104243</v>
      </c>
      <c r="CC172">
        <f t="shared" si="496"/>
        <v>62</v>
      </c>
      <c r="CE172" s="59">
        <f t="shared" si="470"/>
        <v>-50</v>
      </c>
      <c r="CF172">
        <f t="shared" si="471"/>
        <v>-50</v>
      </c>
      <c r="CG172" s="150">
        <f t="shared" si="370"/>
        <v>0.49840675206849366</v>
      </c>
      <c r="CH172" s="150">
        <f t="shared" si="472"/>
        <v>0.13505683350346268</v>
      </c>
      <c r="CI172" s="147">
        <v>62</v>
      </c>
      <c r="CJ172" s="188">
        <f t="shared" si="438"/>
        <v>0.31</v>
      </c>
      <c r="CK172" s="188">
        <f t="shared" si="372"/>
        <v>0.31</v>
      </c>
      <c r="CL172" s="188">
        <f t="shared" si="373"/>
        <v>52.7</v>
      </c>
      <c r="CM172" s="188">
        <f t="shared" si="374"/>
        <v>3.7199999999999998</v>
      </c>
      <c r="CN172" s="465">
        <f t="shared" si="375"/>
        <v>9</v>
      </c>
      <c r="CO172" s="379">
        <f t="shared" si="473"/>
        <v>8.625</v>
      </c>
      <c r="CP172" s="379">
        <f t="shared" si="474"/>
        <v>17.625</v>
      </c>
      <c r="CQ172" s="379"/>
      <c r="CR172" s="188">
        <f t="shared" si="378"/>
        <v>0.48674080410607357</v>
      </c>
      <c r="CS172" s="149">
        <f t="shared" si="379"/>
        <v>136.39440115060304</v>
      </c>
      <c r="CT172" s="149">
        <f t="shared" si="380"/>
        <v>9.6278400812190377</v>
      </c>
      <c r="CU172" s="188">
        <f t="shared" si="381"/>
        <v>0.80232000676825321</v>
      </c>
      <c r="CV172" s="188">
        <f t="shared" si="382"/>
        <v>11.366200095883586</v>
      </c>
      <c r="CW172" s="188">
        <f t="shared" si="383"/>
        <v>170</v>
      </c>
      <c r="CX172" s="188">
        <f t="shared" si="384"/>
        <v>25.758633079476667</v>
      </c>
      <c r="CY172" s="188">
        <f t="shared" si="385"/>
        <v>4.2931055132461111</v>
      </c>
      <c r="CZ172" s="188">
        <f t="shared" si="386"/>
        <v>4.4797622746915939</v>
      </c>
      <c r="DA172" s="172">
        <f t="shared" si="387"/>
        <v>220.21276595744678</v>
      </c>
      <c r="DB172" s="379">
        <f t="shared" si="388"/>
        <v>113.98781153124803</v>
      </c>
      <c r="DD172" s="188">
        <f t="shared" si="389"/>
        <v>13.333333333333336</v>
      </c>
      <c r="DE172" s="150">
        <f t="shared" si="390"/>
        <v>2.3188405797101459</v>
      </c>
      <c r="DF172" s="150">
        <f t="shared" si="391"/>
        <v>0.15898994622398885</v>
      </c>
      <c r="DG172" s="150"/>
      <c r="DH172" s="150">
        <f t="shared" si="392"/>
        <v>2.3188405797101455</v>
      </c>
      <c r="DI172" s="314">
        <f t="shared" si="393"/>
        <v>429.37279411764695</v>
      </c>
      <c r="DJ172" s="456">
        <f t="shared" si="394"/>
        <v>0.15898994622398879</v>
      </c>
      <c r="DL172" s="150">
        <f t="shared" si="395"/>
        <v>14.660604807897023</v>
      </c>
      <c r="DM172" s="150">
        <f t="shared" si="396"/>
        <v>25.758633079476667</v>
      </c>
      <c r="DN172" s="150">
        <f t="shared" si="397"/>
        <v>10.403925737883949</v>
      </c>
      <c r="DP172" s="314">
        <f t="shared" si="398"/>
        <v>310</v>
      </c>
      <c r="DQ172" s="144">
        <f t="shared" si="399"/>
        <v>113.98781153124803</v>
      </c>
      <c r="DS172">
        <f t="shared" si="400"/>
        <v>310</v>
      </c>
      <c r="DT172">
        <f t="shared" si="401"/>
        <v>113.98781153124803</v>
      </c>
      <c r="DV172" s="5">
        <f t="shared" si="402"/>
        <v>8.7728677879377059</v>
      </c>
      <c r="DW172" s="5">
        <f t="shared" si="403"/>
        <v>4.2931055132461111</v>
      </c>
      <c r="DX172" s="5">
        <f t="shared" si="404"/>
        <v>4.4797622746915948</v>
      </c>
      <c r="DY172" s="150">
        <f t="shared" si="405"/>
        <v>0.48936170212765956</v>
      </c>
      <c r="EA172" s="5">
        <f t="shared" si="406"/>
        <v>0.78286041712134968</v>
      </c>
      <c r="EB172" s="5">
        <f t="shared" si="407"/>
        <v>11.090522575885785</v>
      </c>
      <c r="EC172" s="5">
        <f t="shared" si="408"/>
        <v>43.719161458564265</v>
      </c>
      <c r="ED172" s="5"/>
      <c r="EE172" s="150">
        <f t="shared" si="409"/>
        <v>10.403444975267329</v>
      </c>
      <c r="EF172" s="150">
        <f t="shared" si="410"/>
        <v>0.4963253014910613</v>
      </c>
      <c r="EG172" s="150">
        <f t="shared" si="411"/>
        <v>0.47214769029710335</v>
      </c>
      <c r="EH172" s="150"/>
      <c r="EI172" s="456">
        <f t="shared" si="412"/>
        <v>0.36798766900161112</v>
      </c>
      <c r="EJ172" s="456">
        <f t="shared" si="413"/>
        <v>1.5732000000000002</v>
      </c>
      <c r="EK172" s="456">
        <f t="shared" si="414"/>
        <v>2.6103208840655798E-2</v>
      </c>
      <c r="EL172" s="456">
        <f t="shared" si="415"/>
        <v>2.4255332836267633E-2</v>
      </c>
      <c r="EM172">
        <f t="shared" si="416"/>
        <v>4.0499999999999998E-3</v>
      </c>
      <c r="EN172" s="144">
        <f t="shared" si="417"/>
        <v>30.153208840655797</v>
      </c>
      <c r="EP172" s="144">
        <f t="shared" si="439"/>
        <v>1995.5962106785348</v>
      </c>
      <c r="EQ172" s="150">
        <f t="shared" si="418"/>
        <v>0.77500000000000002</v>
      </c>
      <c r="ER172" s="150">
        <f t="shared" si="475"/>
        <v>0.22009999999999999</v>
      </c>
      <c r="ES172" s="456"/>
      <c r="EU172" s="144">
        <f t="shared" si="497"/>
        <v>995.1</v>
      </c>
      <c r="EV172" s="456">
        <f t="shared" si="421"/>
        <v>0.16234750103012255</v>
      </c>
      <c r="EW172" s="456">
        <f t="shared" si="422"/>
        <v>4.9267760980038579E-2</v>
      </c>
      <c r="EX172" s="456">
        <f t="shared" si="423"/>
        <v>6.6877032435866826E-3</v>
      </c>
      <c r="EY172" s="456">
        <f t="shared" si="424"/>
        <v>23.357323485002276</v>
      </c>
      <c r="EZ172" s="456"/>
      <c r="FA172" s="538">
        <f t="shared" si="425"/>
        <v>7.5631731169527233E-2</v>
      </c>
      <c r="FB172" s="144">
        <f t="shared" si="498"/>
        <v>23651.25818142555</v>
      </c>
      <c r="FC172" s="150">
        <f t="shared" si="427"/>
        <v>26.641954392104086</v>
      </c>
      <c r="FD172" s="5">
        <f t="shared" si="428"/>
        <v>56.42</v>
      </c>
      <c r="FE172" s="150">
        <f t="shared" si="429"/>
        <v>0.6792520163161887</v>
      </c>
      <c r="FF172" s="5">
        <f t="shared" si="430"/>
        <v>67.925201631618876</v>
      </c>
      <c r="FG172">
        <f t="shared" si="431"/>
        <v>62</v>
      </c>
      <c r="FI172" s="59">
        <f t="shared" si="432"/>
        <v>-50</v>
      </c>
      <c r="FJ172">
        <f t="shared" si="433"/>
        <v>-50</v>
      </c>
    </row>
    <row r="173" spans="5:166">
      <c r="E173" s="147">
        <v>63</v>
      </c>
      <c r="F173" s="188">
        <f t="shared" si="476"/>
        <v>0.315</v>
      </c>
      <c r="G173" s="188">
        <f t="shared" si="444"/>
        <v>0.315</v>
      </c>
      <c r="H173" s="188">
        <f t="shared" si="445"/>
        <v>53.55</v>
      </c>
      <c r="I173" s="188">
        <f t="shared" si="446"/>
        <v>3.7800000000000002</v>
      </c>
      <c r="J173" s="465">
        <f t="shared" si="447"/>
        <v>8.9211020476000105</v>
      </c>
      <c r="K173" s="379">
        <f t="shared" si="448"/>
        <v>8.6721481199141763</v>
      </c>
      <c r="L173" s="149">
        <f t="shared" si="449"/>
        <v>17.593250167514185</v>
      </c>
      <c r="M173" s="379"/>
      <c r="N173" s="188">
        <f t="shared" si="450"/>
        <v>0.49292473177737439</v>
      </c>
      <c r="O173" s="149">
        <f t="shared" si="451"/>
        <v>136.91637578300541</v>
      </c>
      <c r="P173" s="149">
        <f t="shared" si="452"/>
        <v>9.664685349388618</v>
      </c>
      <c r="Q173" s="188">
        <f t="shared" si="322"/>
        <v>0.80539044578238472</v>
      </c>
      <c r="R173" s="188">
        <f t="shared" si="453"/>
        <v>11.409697981917118</v>
      </c>
      <c r="S173" s="188">
        <f t="shared" si="454"/>
        <v>170</v>
      </c>
      <c r="T173" s="188">
        <f t="shared" si="455"/>
        <v>26.07430980833136</v>
      </c>
      <c r="U173" s="188">
        <f t="shared" si="326"/>
        <v>4.3841517005198876</v>
      </c>
      <c r="V173" s="188">
        <f t="shared" si="327"/>
        <v>4.5100088434472108</v>
      </c>
      <c r="W173" s="172">
        <f t="shared" si="328"/>
        <v>219.87159169859098</v>
      </c>
      <c r="X173" s="379">
        <f t="shared" si="435"/>
        <v>109.96067148422864</v>
      </c>
      <c r="Z173" s="188">
        <f t="shared" si="329"/>
        <v>13.333333333333334</v>
      </c>
      <c r="AA173" s="150">
        <f t="shared" si="330"/>
        <v>2.3062336716866327</v>
      </c>
      <c r="AB173" s="150">
        <f t="shared" si="456"/>
        <v>0.15788057801803362</v>
      </c>
      <c r="AC173" s="150"/>
      <c r="AD173" s="150">
        <f t="shared" si="332"/>
        <v>2.3062336716866327</v>
      </c>
      <c r="AE173" s="314">
        <f t="shared" si="457"/>
        <v>438.68316327765848</v>
      </c>
      <c r="AF173" s="456">
        <f t="shared" si="458"/>
        <v>0.15788057801803365</v>
      </c>
      <c r="AH173" s="150">
        <f t="shared" si="459"/>
        <v>14.778362561528931</v>
      </c>
      <c r="AI173" s="150">
        <f t="shared" si="460"/>
        <v>26.07430980833136</v>
      </c>
      <c r="AJ173" s="150">
        <f t="shared" si="461"/>
        <v>10.637760351850389</v>
      </c>
      <c r="AL173" s="314">
        <f t="shared" si="462"/>
        <v>315</v>
      </c>
      <c r="AM173" s="144">
        <f t="shared" si="463"/>
        <v>109.96067148422864</v>
      </c>
      <c r="AO173">
        <f t="shared" si="340"/>
        <v>315</v>
      </c>
      <c r="AP173">
        <f t="shared" si="341"/>
        <v>109.96067148422864</v>
      </c>
      <c r="AR173" s="5">
        <f t="shared" si="443"/>
        <v>9.0941605439670976</v>
      </c>
      <c r="AS173" s="5">
        <f t="shared" si="440"/>
        <v>4.3841517005198876</v>
      </c>
      <c r="AT173" s="5">
        <f t="shared" si="441"/>
        <v>4.71000884344721</v>
      </c>
      <c r="AU173" s="150">
        <f t="shared" si="442"/>
        <v>0.48208426487788969</v>
      </c>
      <c r="AW173" s="5">
        <f t="shared" si="477"/>
        <v>0.81235752097868508</v>
      </c>
      <c r="AX173" s="5">
        <f t="shared" si="478"/>
        <v>11.508398213864705</v>
      </c>
      <c r="AY173" s="5">
        <f t="shared" si="479"/>
        <v>47.12066816798184</v>
      </c>
      <c r="AZ173" s="5"/>
      <c r="BA173" s="150">
        <f t="shared" si="480"/>
        <v>10.452343465244002</v>
      </c>
      <c r="BB173" s="150">
        <f t="shared" si="481"/>
        <v>0.5059752628238372</v>
      </c>
      <c r="BC173" s="150">
        <f t="shared" si="482"/>
        <v>0.48132757079289656</v>
      </c>
      <c r="BD173" s="150"/>
      <c r="BE173" s="456">
        <f t="shared" si="483"/>
        <v>0.3714550453124586</v>
      </c>
      <c r="BF173" s="456">
        <f t="shared" si="464"/>
        <v>1.2080969852897516</v>
      </c>
      <c r="BG173" s="456">
        <f t="shared" si="465"/>
        <v>4.4928443016230828E-2</v>
      </c>
      <c r="BH173" s="456">
        <f t="shared" si="484"/>
        <v>2.3314178172114813E-2</v>
      </c>
      <c r="BI173">
        <f t="shared" si="485"/>
        <v>4.0144959214200044E-3</v>
      </c>
      <c r="BJ173" s="144">
        <f t="shared" si="436"/>
        <v>48.94293893765083</v>
      </c>
      <c r="BK173">
        <f t="shared" si="466"/>
        <v>1.8680268602921348</v>
      </c>
      <c r="BL173" s="144">
        <f t="shared" si="437"/>
        <v>1651.809147711976</v>
      </c>
      <c r="BM173" s="150">
        <f t="shared" si="467"/>
        <v>0.69890624999999995</v>
      </c>
      <c r="BN173" s="150">
        <f t="shared" si="468"/>
        <v>0.69890624999999995</v>
      </c>
      <c r="BO173" s="456"/>
      <c r="BQ173" s="144">
        <f t="shared" si="486"/>
        <v>1397.8125</v>
      </c>
      <c r="BR173" s="456">
        <f t="shared" si="487"/>
        <v>0.16387722587314352</v>
      </c>
      <c r="BS173" s="456">
        <f t="shared" si="488"/>
        <v>5.1202193317930224E-2</v>
      </c>
      <c r="BT173" s="456">
        <f t="shared" si="489"/>
        <v>6.9502869121617255E-3</v>
      </c>
      <c r="BU173" s="456">
        <f t="shared" si="490"/>
        <v>22.008757027820128</v>
      </c>
      <c r="BV173" s="456"/>
      <c r="BW173" s="538">
        <f t="shared" si="469"/>
        <v>7.4758921254349131E-2</v>
      </c>
      <c r="BX173" s="144">
        <f t="shared" si="491"/>
        <v>22305.545655177713</v>
      </c>
      <c r="BY173" s="150">
        <f t="shared" si="492"/>
        <v>25.35516730288969</v>
      </c>
      <c r="BZ173" s="5">
        <f t="shared" si="493"/>
        <v>57.33</v>
      </c>
      <c r="CA173" s="150">
        <f t="shared" si="494"/>
        <v>0.69335289351221319</v>
      </c>
      <c r="CB173" s="5">
        <f t="shared" si="495"/>
        <v>69.33528935122132</v>
      </c>
      <c r="CC173">
        <f t="shared" si="496"/>
        <v>63</v>
      </c>
      <c r="CE173" s="59">
        <f t="shared" si="470"/>
        <v>-50</v>
      </c>
      <c r="CF173">
        <f t="shared" si="471"/>
        <v>-50</v>
      </c>
      <c r="CG173" s="150">
        <f t="shared" si="370"/>
        <v>0.49840675206849366</v>
      </c>
      <c r="CH173" s="150">
        <f t="shared" si="472"/>
        <v>0.13505683350346265</v>
      </c>
      <c r="CI173" s="147">
        <v>63</v>
      </c>
      <c r="CJ173" s="188">
        <f t="shared" si="438"/>
        <v>0.315</v>
      </c>
      <c r="CK173" s="188">
        <f t="shared" si="372"/>
        <v>0.315</v>
      </c>
      <c r="CL173" s="188">
        <f t="shared" si="373"/>
        <v>53.55</v>
      </c>
      <c r="CM173" s="188">
        <f t="shared" si="374"/>
        <v>3.7800000000000002</v>
      </c>
      <c r="CN173" s="465">
        <f t="shared" si="375"/>
        <v>9</v>
      </c>
      <c r="CO173" s="379">
        <f t="shared" si="473"/>
        <v>8.625</v>
      </c>
      <c r="CP173" s="379">
        <f t="shared" si="474"/>
        <v>17.625</v>
      </c>
      <c r="CQ173" s="379"/>
      <c r="CR173" s="188">
        <f t="shared" si="378"/>
        <v>0.48674080410607357</v>
      </c>
      <c r="CS173" s="149">
        <f t="shared" si="379"/>
        <v>136.39440115060304</v>
      </c>
      <c r="CT173" s="149">
        <f t="shared" si="380"/>
        <v>9.6278400812190377</v>
      </c>
      <c r="CU173" s="188">
        <f t="shared" si="381"/>
        <v>0.80232000676825321</v>
      </c>
      <c r="CV173" s="188">
        <f t="shared" si="382"/>
        <v>11.366200095883586</v>
      </c>
      <c r="CW173" s="188">
        <f t="shared" si="383"/>
        <v>170</v>
      </c>
      <c r="CX173" s="188">
        <f t="shared" si="384"/>
        <v>26.174094903339192</v>
      </c>
      <c r="CY173" s="188">
        <f t="shared" si="385"/>
        <v>4.3623491505565326</v>
      </c>
      <c r="CZ173" s="188">
        <f t="shared" si="386"/>
        <v>4.5520165049285559</v>
      </c>
      <c r="DA173" s="172">
        <f t="shared" si="387"/>
        <v>220.21276595744678</v>
      </c>
      <c r="DB173" s="379">
        <f t="shared" si="388"/>
        <v>112.17848118948217</v>
      </c>
      <c r="DD173" s="188">
        <f t="shared" si="389"/>
        <v>13.333333333333336</v>
      </c>
      <c r="DE173" s="150">
        <f t="shared" si="390"/>
        <v>2.3188405797101459</v>
      </c>
      <c r="DF173" s="150">
        <f t="shared" si="391"/>
        <v>0.15898994622398885</v>
      </c>
      <c r="DG173" s="150"/>
      <c r="DH173" s="150">
        <f t="shared" si="392"/>
        <v>2.3188405797101455</v>
      </c>
      <c r="DI173" s="314">
        <f t="shared" si="393"/>
        <v>436.29816176470581</v>
      </c>
      <c r="DJ173" s="456">
        <f t="shared" si="394"/>
        <v>0.15898994622398879</v>
      </c>
      <c r="DL173" s="150">
        <f t="shared" si="395"/>
        <v>14.778362561528931</v>
      </c>
      <c r="DM173" s="150">
        <f t="shared" si="396"/>
        <v>26.174094903339192</v>
      </c>
      <c r="DN173" s="150">
        <f t="shared" si="397"/>
        <v>10.711675237041376</v>
      </c>
      <c r="DP173" s="314">
        <f t="shared" si="398"/>
        <v>315</v>
      </c>
      <c r="DQ173" s="144">
        <f t="shared" si="399"/>
        <v>112.17848118948217</v>
      </c>
      <c r="DS173">
        <f t="shared" si="400"/>
        <v>315</v>
      </c>
      <c r="DT173">
        <f t="shared" si="401"/>
        <v>112.17848118948217</v>
      </c>
      <c r="DV173" s="5">
        <f t="shared" si="402"/>
        <v>8.9143656554850903</v>
      </c>
      <c r="DW173" s="5">
        <f t="shared" si="403"/>
        <v>4.3623491505565326</v>
      </c>
      <c r="DX173" s="5">
        <f t="shared" si="404"/>
        <v>4.5520165049285577</v>
      </c>
      <c r="DY173" s="150">
        <f t="shared" si="405"/>
        <v>0.48936170212765945</v>
      </c>
      <c r="EA173" s="5">
        <f t="shared" si="406"/>
        <v>0.80831763672076917</v>
      </c>
      <c r="EB173" s="5">
        <f t="shared" si="407"/>
        <v>11.451166520210897</v>
      </c>
      <c r="EC173" s="5">
        <f t="shared" si="408"/>
        <v>45.14083034054152</v>
      </c>
      <c r="ED173" s="5"/>
      <c r="EE173" s="150">
        <f t="shared" si="409"/>
        <v>10.571242474868413</v>
      </c>
      <c r="EF173" s="150">
        <f t="shared" si="410"/>
        <v>0.50433054828930424</v>
      </c>
      <c r="EG173" s="150">
        <f t="shared" si="411"/>
        <v>0.47976297562447595</v>
      </c>
      <c r="EH173" s="150"/>
      <c r="EI173" s="456">
        <f t="shared" si="412"/>
        <v>0.37995396937237097</v>
      </c>
      <c r="EJ173" s="456">
        <f t="shared" si="413"/>
        <v>1.5731999999999995</v>
      </c>
      <c r="EK173" s="456">
        <f t="shared" si="414"/>
        <v>2.5688872192391417E-2</v>
      </c>
      <c r="EL173" s="456">
        <f t="shared" si="415"/>
        <v>2.3870327553152267E-2</v>
      </c>
      <c r="EM173">
        <f t="shared" si="416"/>
        <v>4.0499999999999998E-3</v>
      </c>
      <c r="EN173" s="144">
        <f t="shared" si="417"/>
        <v>29.738872192391415</v>
      </c>
      <c r="EP173" s="144">
        <f t="shared" si="439"/>
        <v>2006.7631691179142</v>
      </c>
      <c r="EQ173" s="150">
        <f t="shared" si="418"/>
        <v>0.78749999999999998</v>
      </c>
      <c r="ER173" s="150">
        <f t="shared" si="475"/>
        <v>0.22364999999999999</v>
      </c>
      <c r="ES173" s="456"/>
      <c r="EU173" s="144">
        <f t="shared" si="497"/>
        <v>1011.15</v>
      </c>
      <c r="EV173" s="456">
        <f t="shared" si="421"/>
        <v>0.16762675119369308</v>
      </c>
      <c r="EW173" s="456">
        <f t="shared" si="422"/>
        <v>5.0869860387558044E-2</v>
      </c>
      <c r="EX173" s="456">
        <f t="shared" si="423"/>
        <v>6.9051753834015453E-3</v>
      </c>
      <c r="EY173" s="456">
        <f t="shared" si="424"/>
        <v>23.357323485002233</v>
      </c>
      <c r="EZ173" s="456"/>
      <c r="FA173" s="538">
        <f t="shared" si="425"/>
        <v>7.6851597801293775E-2</v>
      </c>
      <c r="FB173" s="144">
        <f t="shared" si="498"/>
        <v>23659.576869768181</v>
      </c>
      <c r="FC173" s="150">
        <f t="shared" si="427"/>
        <v>26.677490038886095</v>
      </c>
      <c r="FD173" s="5">
        <f t="shared" si="428"/>
        <v>57.33</v>
      </c>
      <c r="FE173" s="150">
        <f t="shared" si="429"/>
        <v>0.68243914885997203</v>
      </c>
      <c r="FF173" s="5">
        <f t="shared" si="430"/>
        <v>68.243914885997199</v>
      </c>
      <c r="FG173">
        <f t="shared" si="431"/>
        <v>63</v>
      </c>
      <c r="FI173" s="59">
        <f t="shared" si="432"/>
        <v>-50</v>
      </c>
      <c r="FJ173">
        <f t="shared" si="433"/>
        <v>-50</v>
      </c>
    </row>
    <row r="174" spans="5:166">
      <c r="E174" s="147">
        <v>64</v>
      </c>
      <c r="F174" s="188">
        <f t="shared" si="476"/>
        <v>0.32</v>
      </c>
      <c r="G174" s="188">
        <f t="shared" ref="G174:G210" si="499">IF(PLOT_TYPE=1, E174/100*Iout2, min_I*EXP(Q174*rr/100))</f>
        <v>0.32</v>
      </c>
      <c r="H174" s="188">
        <f t="shared" ref="H174:H210" si="500">F174*Vout</f>
        <v>54.4</v>
      </c>
      <c r="I174" s="188">
        <f t="shared" ref="I174:I210" si="501">Vout2*G174</f>
        <v>3.84</v>
      </c>
      <c r="J174" s="465">
        <f t="shared" ref="J174:J210" si="502">VIN_min-(F174/CG174/Nps+G174/CH174/(Nps/Nsec1sec2))*(Rdcr_pri+RON/1000)</f>
        <v>8.9198496991492178</v>
      </c>
      <c r="K174" s="379">
        <f t="shared" ref="K174:K210" si="503">MAX((S174+Vfwd2+Rdcr_sec*F174/CG174)*Nps,(Vout2+Vfwd22+Rdcr_sec2*G174/CH174)*Nps/Nsec1sec2)</f>
        <v>8.6728965027699569</v>
      </c>
      <c r="L174" s="149">
        <f t="shared" ref="L174:L210" si="504">MAX((Vout+Vfwd2+F174/CG174*Rdcr_sec)*Nps+J174, (Vout2+Vfwd22+G174/CH174*Rdcr_sec2)*Nps/Nsec1sec2+J174)</f>
        <v>17.592746201919176</v>
      </c>
      <c r="M174" s="379"/>
      <c r="N174" s="188">
        <f t="shared" ref="N174:N210" si="505">MAX((Vout+Vfwd2+F174/CG174*Rdcr_sec)*Nps/((Vout+Vfwd2+F174/CG174*Rdcr_sec)*Nps+J174), (Vout2+Vfwd22+G174/CH174*Rdcr_sec2)*Nps/Nsec1sec2/((Vout2+Vfwd22+G174/CH174*Rdcr_sec2)*Nps/Nsec1sec2+J174))</f>
        <v>0.49298139149099068</v>
      </c>
      <c r="O174" s="149">
        <f t="shared" ref="O174:O205" si="506">N174*J174*Isw_max*0.5*Efficiency*Pout/(Pout+Pout2)</f>
        <v>136.91289117547674</v>
      </c>
      <c r="P174" s="149">
        <f t="shared" ref="P174:P210" si="507">N174*J174*Isw_max*0.5*Efficiency*(Pout2/Pout_total)</f>
        <v>9.6644393770924761</v>
      </c>
      <c r="Q174" s="188">
        <f t="shared" ref="Q174:Q210" si="508">O174/Vout</f>
        <v>0.80536994809103968</v>
      </c>
      <c r="R174" s="188">
        <f t="shared" ref="R174:R210" si="509">O174/Vout2</f>
        <v>11.409407597956395</v>
      </c>
      <c r="S174" s="188">
        <f t="shared" ref="S174:S210" si="510">MIN(Vout,O174/F174)</f>
        <v>170</v>
      </c>
      <c r="T174" s="188">
        <f t="shared" ref="T174:T210" si="511">MIN(2*(Vout*F174+Vout2*G174)/(Efficiency*J174*N174), Isw_max)</f>
        <v>26.488861899925023</v>
      </c>
      <c r="U174" s="188">
        <f t="shared" ref="U174:U210" si="512">L*T174/J174*1000000</f>
        <v>4.4544800854298394</v>
      </c>
      <c r="V174" s="188">
        <f t="shared" ref="V174:V210" si="513">L*T174/K174*1000000</f>
        <v>4.5813175375951376</v>
      </c>
      <c r="W174" s="172">
        <f t="shared" ref="W174:W210" si="514">IF(1/((350000*L)*(1/J174+1/K174))&gt;Isw_min, 350, 0.001/((Isw_min*L)*(1/J174+1/K174)))</f>
        <v>219.86599582885381</v>
      </c>
      <c r="X174" s="379">
        <f t="shared" si="435"/>
        <v>108.27435169291559</v>
      </c>
      <c r="Z174" s="188">
        <f t="shared" ref="Z174:Z210" si="515">1/((W174*1000*L)*(1/J174+1/K174))</f>
        <v>13.333333333333334</v>
      </c>
      <c r="AA174" s="150">
        <f t="shared" ref="AA174:AA210" si="516">L*Z174/K174*1000000</f>
        <v>2.3060346671509784</v>
      </c>
      <c r="AB174" s="150">
        <f t="shared" ref="AB174:AB205" si="517">0.5*AA174*Z174*Nps*W174/1000*(Pout/(Pout+Pout2))</f>
        <v>0.15786293671525931</v>
      </c>
      <c r="AC174" s="150"/>
      <c r="AD174" s="150">
        <f t="shared" ref="AD174:AD210" si="518">L*Isw_min/K174*1000000</f>
        <v>2.3060346671509784</v>
      </c>
      <c r="AE174" s="314">
        <f t="shared" ref="AE174:AE205" si="519">MAX(10, F174/(0.5*AD174/1000000*Isw_min*Nps)/1000*Pout_total/Pout)</f>
        <v>445.68484616587256</v>
      </c>
      <c r="AF174" s="456">
        <f t="shared" ref="AF174:AF210" si="520">0.5*AD174/1000000*Isw_min*Nps*W174*1000*(Pout/Pout_total)</f>
        <v>0.15786293671525931</v>
      </c>
      <c r="AH174" s="150">
        <f t="shared" ref="AH174:AH210" si="521">SQRT((H174+I174)/(0.5*L*Fsw_DCM))</f>
        <v>14.895189380020204</v>
      </c>
      <c r="AI174" s="150">
        <f t="shared" ref="AI174:AI205" si="522">MAX(IF(F174&gt;AB174,T174,AH174),Isw_min)</f>
        <v>26.488861899925023</v>
      </c>
      <c r="AJ174" s="150">
        <f t="shared" ref="AJ174:AJ205" si="523">IF(F174&gt;AF174, (AI174-Isw_min)/1.08*0.8+1.2, AE174*0.2/350+1)</f>
        <v>10.944835975253103</v>
      </c>
      <c r="AL174" s="314">
        <f t="shared" ref="AL174:AL210" si="524">F174*1000</f>
        <v>320</v>
      </c>
      <c r="AM174" s="144">
        <f t="shared" ref="AM174:AM210" si="525">IF(F174&gt;AF174, X174, AE174)</f>
        <v>108.27435169291559</v>
      </c>
      <c r="AO174">
        <f t="shared" ref="AO174:AO210" si="526">IF(H174&gt;O174, "",AL174)</f>
        <v>320</v>
      </c>
      <c r="AP174">
        <f t="shared" ref="AP174:AP210" si="527">IF(H174&gt;O174, "",AM174)</f>
        <v>108.27435169291559</v>
      </c>
      <c r="AR174" s="5">
        <f t="shared" si="443"/>
        <v>9.2357976230249754</v>
      </c>
      <c r="AS174" s="5">
        <f t="shared" si="440"/>
        <v>4.4544800854298394</v>
      </c>
      <c r="AT174" s="5">
        <f t="shared" si="441"/>
        <v>4.781317537595136</v>
      </c>
      <c r="AU174" s="150">
        <f t="shared" si="442"/>
        <v>0.48230594337891908</v>
      </c>
      <c r="AW174" s="5">
        <f t="shared" si="477"/>
        <v>0.83849036902208751</v>
      </c>
      <c r="AX174" s="5">
        <f t="shared" si="478"/>
        <v>11.87861356114624</v>
      </c>
      <c r="AY174" s="5">
        <f t="shared" si="479"/>
        <v>48.600160095743959</v>
      </c>
      <c r="AZ174" s="5"/>
      <c r="BA174" s="150">
        <f t="shared" si="480"/>
        <v>10.620965023050845</v>
      </c>
      <c r="BB174" s="150">
        <f t="shared" si="481"/>
        <v>0.51390968109273771</v>
      </c>
      <c r="BC174" s="150">
        <f t="shared" si="482"/>
        <v>0.48887547787774216</v>
      </c>
      <c r="BD174" s="150"/>
      <c r="BE174" s="456">
        <f t="shared" si="483"/>
        <v>0.38353665327095604</v>
      </c>
      <c r="BF174" s="456">
        <f t="shared" ref="BF174:BF210" si="528">0.5*L174*AI174*AM174*1000*Tfall</f>
        <v>1.2084482201017459</v>
      </c>
      <c r="BG174" s="456">
        <f t="shared" ref="BG174:BG210" si="529">Qg*Vdd*AM174*1000*0+Qg*J174*AM174*1000</f>
        <v>4.4233225206512239E-2</v>
      </c>
      <c r="BH174" s="456">
        <f t="shared" si="484"/>
        <v>2.2955324609449674E-2</v>
      </c>
      <c r="BI174">
        <f t="shared" si="485"/>
        <v>4.0139323646171477E-3</v>
      </c>
      <c r="BJ174" s="144">
        <f t="shared" si="436"/>
        <v>48.247157571129385</v>
      </c>
      <c r="BK174">
        <f t="shared" ref="BK174:BK210" si="530">(BF174+BG174*0+BH174+BI174*0+BE174*(1+RdsonTC*(Ta-25)))/(1-BE174*RdsonTC*ThetaJA)</f>
        <v>1.8908005508773535</v>
      </c>
      <c r="BL174" s="144">
        <f t="shared" si="437"/>
        <v>1663.1873555532811</v>
      </c>
      <c r="BM174" s="150">
        <f t="shared" ref="BM174:BM210" si="531">Vfwd2*F174*(1+Diode_TC/1000*(Ta-25))</f>
        <v>0.71</v>
      </c>
      <c r="BN174" s="150">
        <f t="shared" ref="BN174:BN210" si="532">Vfwd2*G174*(1+Diode_TC/1000*(Ta-25))</f>
        <v>0.71</v>
      </c>
      <c r="BO174" s="456"/>
      <c r="BQ174" s="144">
        <f t="shared" si="486"/>
        <v>1420</v>
      </c>
      <c r="BR174" s="456">
        <f t="shared" si="487"/>
        <v>0.16920734703130416</v>
      </c>
      <c r="BS174" s="456">
        <f t="shared" si="488"/>
        <v>5.2820632064167872E-2</v>
      </c>
      <c r="BT174" s="456">
        <f t="shared" si="489"/>
        <v>7.1699769861057229E-3</v>
      </c>
      <c r="BU174" s="456">
        <f t="shared" si="490"/>
        <v>22.026334597137765</v>
      </c>
      <c r="BV174" s="456"/>
      <c r="BW174" s="538">
        <f t="shared" ref="BW174:BW210" si="533">0.5*Lleak*0.000000001*AI174^2*AM174*1000</f>
        <v>7.597176046864125E-2</v>
      </c>
      <c r="BX174" s="144">
        <f t="shared" si="491"/>
        <v>22331.504313687983</v>
      </c>
      <c r="BY174" s="150">
        <f t="shared" si="492"/>
        <v>25.414691669241265</v>
      </c>
      <c r="BZ174" s="5">
        <f t="shared" si="493"/>
        <v>58.239999999999995</v>
      </c>
      <c r="CA174" s="150">
        <f t="shared" si="494"/>
        <v>0.69619526218891181</v>
      </c>
      <c r="CB174" s="5">
        <f t="shared" si="495"/>
        <v>69.619526218891181</v>
      </c>
      <c r="CC174">
        <f t="shared" si="496"/>
        <v>64</v>
      </c>
      <c r="CE174" s="59">
        <f t="shared" ref="CE174:CE210" si="534">IF(ABS(F174-Ioutmax_Vinmin)&lt;Iout/200, AM174, -50)</f>
        <v>-50</v>
      </c>
      <c r="CF174">
        <f t="shared" ref="CF174:CF210" si="535">IF(ABS(F174-Ioutmax_Vinmin)&lt;Iout/200, (O174+P174)*CA174, -50)</f>
        <v>-50</v>
      </c>
      <c r="CG174" s="150">
        <f t="shared" ref="CG174:CG210" si="536">MIN(SQRT(2*DT174*1000*Ls1_*(CL174+CJ174*Vfwd1))/(CW174+Vfwd1), 1-DY174)</f>
        <v>0.49840675206849377</v>
      </c>
      <c r="CH174" s="150">
        <f t="shared" ref="CH174:CH210" si="537">MIN(SQRT(2*DT174*1000*Ls2_*(CM174+CK174*Vfwd22))/(Vout2+Vfwd22), 1-DY174)</f>
        <v>0.1350568335034627</v>
      </c>
      <c r="CI174" s="147">
        <v>64</v>
      </c>
      <c r="CJ174" s="188">
        <f t="shared" si="438"/>
        <v>0.32</v>
      </c>
      <c r="CK174" s="188">
        <f t="shared" ref="CK174:CK210" si="538">IF(PLOT_TYPE=1, CI174/100*Iout2, min_I*EXP(CU174*rr/100))</f>
        <v>0.32</v>
      </c>
      <c r="CL174" s="188">
        <f t="shared" ref="CL174:CL210" si="539">CJ174*Vout</f>
        <v>54.4</v>
      </c>
      <c r="CM174" s="188">
        <f t="shared" ref="CM174:CM210" si="540">Vout2*CK174</f>
        <v>3.84</v>
      </c>
      <c r="CN174" s="465">
        <f t="shared" ref="CN174:CN212" si="541">VIN_min</f>
        <v>9</v>
      </c>
      <c r="CO174" s="379">
        <f t="shared" ref="CO174:CO210" si="542">(CW174+Vfwd2)*Nps</f>
        <v>8.625</v>
      </c>
      <c r="CP174" s="379">
        <f t="shared" ref="CP174:CP210" si="543">(Vout+Vfwd2)*Nps+CN174</f>
        <v>17.625</v>
      </c>
      <c r="CQ174" s="379"/>
      <c r="CR174" s="188">
        <f t="shared" ref="CR174:CR210" si="544">(Vout+Vfwd1)*Nps/((Vout+Vfwd1)*Nps+CN174)</f>
        <v>0.48674080410607357</v>
      </c>
      <c r="CS174" s="149">
        <f t="shared" ref="CS174:CS210" si="545">CR174*CN174*Isw_max*0.5*Efficiency*Pout/(Pout+Pout2)</f>
        <v>136.39440115060304</v>
      </c>
      <c r="CT174" s="149">
        <f t="shared" ref="CT174:CT210" si="546">CR174*CN174*Isw_max*0.5*Efficiency*(Pout2/Pout_total)</f>
        <v>9.6278400812190377</v>
      </c>
      <c r="CU174" s="188">
        <f t="shared" ref="CU174:CU210" si="547">CS174/Vout</f>
        <v>0.80232000676825321</v>
      </c>
      <c r="CV174" s="188">
        <f t="shared" ref="CV174:CV210" si="548">CS174/Vout2</f>
        <v>11.366200095883586</v>
      </c>
      <c r="CW174" s="188">
        <f t="shared" ref="CW174:CW210" si="549">MIN(Vout,CS174/CJ174)</f>
        <v>170</v>
      </c>
      <c r="CX174" s="188">
        <f t="shared" ref="CX174:CX210" si="550">MIN(2*(Vout*CJ174+Vout2*CK174)/(Efficiency*CN174*CR174), Isw_max)</f>
        <v>26.589556727201717</v>
      </c>
      <c r="CY174" s="188">
        <f t="shared" ref="CY174:CY210" si="551">L*CX174/CN174*1000000</f>
        <v>4.4315927878669532</v>
      </c>
      <c r="CZ174" s="188">
        <f t="shared" ref="CZ174:CZ210" si="552">L*CX174/CO174*1000000</f>
        <v>4.6242707351655161</v>
      </c>
      <c r="DA174" s="172">
        <f t="shared" ref="DA174:DA210" si="553">IF(1/((350000*L)*(1/CN174+1/CO174))&gt;Isw_min, 350, 0.001/((Isw_min*L)*(1/CN174+1/CO174)))</f>
        <v>220.21276595744678</v>
      </c>
      <c r="DB174" s="379">
        <f t="shared" ref="DB174:DB210" si="554">MIN(1/(CY174+CZ174)*1000, 350)</f>
        <v>110.42569242089654</v>
      </c>
      <c r="DD174" s="188">
        <f t="shared" ref="DD174:DD210" si="555">1/((DA174*1000*L)*(1/CN174+1/CO174))</f>
        <v>13.333333333333336</v>
      </c>
      <c r="DE174" s="150">
        <f t="shared" ref="DE174:DE210" si="556">L*DD174/CO174*1000000</f>
        <v>2.3188405797101459</v>
      </c>
      <c r="DF174" s="150">
        <f t="shared" ref="DF174:DF210" si="557">0.5*DE174*DD174*Nps*DA174/1000*(Pout/(Pout+Pout2))</f>
        <v>0.15898994622398885</v>
      </c>
      <c r="DG174" s="150"/>
      <c r="DH174" s="150">
        <f t="shared" ref="DH174:DH210" si="558">L*Isw_min/CO174*1000000</f>
        <v>2.3188405797101455</v>
      </c>
      <c r="DI174" s="314">
        <f t="shared" ref="DI174:DI210" si="559">MAX(10, CJ174/(0.5*DH174/1000000*Isw_min*Nps)/1000*Pout_total/Pout)</f>
        <v>443.22352941176462</v>
      </c>
      <c r="DJ174" s="456">
        <f t="shared" ref="DJ174:DJ210" si="560">0.5*DH174/1000000*Isw_min*Nps*DA174*1000*(Pout/Pout_total)</f>
        <v>0.15898994622398879</v>
      </c>
      <c r="DL174" s="150">
        <f t="shared" ref="DL174:DL210" si="561">SQRT((CL174+CM174)/(0.5*L*Fsw_DCM))</f>
        <v>14.895189380020204</v>
      </c>
      <c r="DM174" s="150">
        <f t="shared" ref="DM174:DM210" si="562">MAX(IF(CJ174&gt;DF174,CX174,DL174),Isw_min)</f>
        <v>26.589556727201717</v>
      </c>
      <c r="DN174" s="150">
        <f t="shared" ref="DN174:DN210" si="563">IF(CJ174&gt;DJ174, (DM174-Isw_min)/1.08*0.8+1.2, DI174*0.2/350+1)</f>
        <v>11.019424736198802</v>
      </c>
      <c r="DP174" s="314">
        <f t="shared" ref="DP174:DP210" si="564">CJ174*1000</f>
        <v>320</v>
      </c>
      <c r="DQ174" s="144">
        <f t="shared" ref="DQ174:DQ210" si="565">IF(CJ174&gt;DJ174, DB174, DI174)</f>
        <v>110.42569242089654</v>
      </c>
      <c r="DS174">
        <f t="shared" ref="DS174:DS192" si="566">IF(CL174&gt;CS174, "",DP174)</f>
        <v>320</v>
      </c>
      <c r="DT174">
        <f t="shared" ref="DT174:DT193" si="567">IF(CL174&gt;CS174, "",DQ174)</f>
        <v>110.42569242089654</v>
      </c>
      <c r="DV174" s="5">
        <f t="shared" ref="DV174:DV210" si="568">1/DQ174*1000</f>
        <v>9.0558635230324693</v>
      </c>
      <c r="DW174" s="5">
        <f t="shared" ref="DW174:DW210" si="569">L*DM174/CN174*1000000</f>
        <v>4.4315927878669532</v>
      </c>
      <c r="DX174" s="5">
        <f t="shared" ref="DX174:DX210" si="570">DV174-DW174</f>
        <v>4.6242707351655161</v>
      </c>
      <c r="DY174" s="150">
        <f t="shared" ref="DY174:DY210" si="571">DW174/DV174</f>
        <v>0.48936170212765961</v>
      </c>
      <c r="EA174" s="5">
        <f t="shared" ref="EA174:EA210" si="572">CJ174*DW174/Vout_ripple*1000</f>
        <v>0.83418217183377941</v>
      </c>
      <c r="EB174" s="5">
        <f t="shared" ref="EB174:EB210" si="573">CK174*DW174/Vout_ripple2*1000</f>
        <v>11.817580767645209</v>
      </c>
      <c r="EC174" s="5">
        <f t="shared" ref="EC174:EC210" si="574">CL174/Efficiency/CN174*DX174/Vinripple1</f>
        <v>46.585245924630378</v>
      </c>
      <c r="ED174" s="5"/>
      <c r="EE174" s="150">
        <f t="shared" ref="EE174:EE210" si="575">DM174*SQRT(DY174/3)</f>
        <v>10.739039974469501</v>
      </c>
      <c r="EF174" s="150">
        <f t="shared" ref="EF174:EF210" si="576">DM174*Npri_sec1*SQRT((1-DY174)/3)*(Pout/Pout_total)</f>
        <v>0.51233579508754701</v>
      </c>
      <c r="EG174" s="150">
        <f t="shared" ref="EG174:EG210" si="577">DM174*Npri_sec2*SQRT((1-DY174)/3)*(Pout2/Pout_total)</f>
        <v>0.48737826095184844</v>
      </c>
      <c r="EH174" s="150"/>
      <c r="EI174" s="456">
        <f t="shared" ref="EI174:EI210" si="578">Rdson*EE174^2</f>
        <v>0.39211173054906323</v>
      </c>
      <c r="EJ174" s="456">
        <f t="shared" ref="EJ174:EJ210" si="579">0.5*CP174*DM174*DQ174*1000*Trise</f>
        <v>1.5731999999999997</v>
      </c>
      <c r="EK174" s="456">
        <f t="shared" ref="EK174:EK210" si="580">Qg*Vdd*DQ174*1000</f>
        <v>2.5287483564385309E-2</v>
      </c>
      <c r="EL174" s="456">
        <f t="shared" ref="EL174:EL210" si="581">0.5*(Coss+Csw)*CP174^2*DQ174*1000</f>
        <v>2.3497353685134271E-2</v>
      </c>
      <c r="EM174">
        <f t="shared" ref="EM174:EM210" si="582">CN174*IQ</f>
        <v>4.0499999999999998E-3</v>
      </c>
      <c r="EN174" s="144">
        <f t="shared" ref="EN174:EN210" si="583">(EK174+EM174)*1000</f>
        <v>29.337483564385305</v>
      </c>
      <c r="EP174" s="144">
        <f t="shared" si="439"/>
        <v>2018.1465677985821</v>
      </c>
      <c r="EQ174" s="150">
        <f t="shared" ref="EQ174:EQ210" si="584">Vfwd2*CJ174</f>
        <v>0.8</v>
      </c>
      <c r="ER174" s="150">
        <f t="shared" ref="ER174:ER210" si="585">Vfwd22*CK174*(1+Diode_TC/1000*(Ta-25))</f>
        <v>0.22719999999999999</v>
      </c>
      <c r="ES174" s="456"/>
      <c r="EU174" s="144">
        <f t="shared" si="497"/>
        <v>1027.2</v>
      </c>
      <c r="EV174" s="456">
        <f t="shared" ref="EV174:EV210" si="586">Rdcr_pri*EE174^2</f>
        <v>0.17299046935988086</v>
      </c>
      <c r="EW174" s="456">
        <f t="shared" ref="EW174:EW210" si="587">Rdcr_sec*EF174^2</f>
        <v>5.2497593385597799E-2</v>
      </c>
      <c r="EX174" s="456">
        <f t="shared" ref="EX174:EX210" si="588">Rdcr_sec2*EG174^2</f>
        <v>7.1261270774534416E-3</v>
      </c>
      <c r="EY174" s="456">
        <f t="shared" ref="EY174:EY210" si="589">DM174^2.5*DQ174^2.5*k_core</f>
        <v>23.357323485002233</v>
      </c>
      <c r="EZ174" s="456"/>
      <c r="FA174" s="538">
        <f t="shared" ref="FA174:FA210" si="590">0.5*Lleak*0.000000001*DM174^2*DQ174*1000</f>
        <v>7.8071464433060359E-2</v>
      </c>
      <c r="FB174" s="144">
        <f t="shared" si="498"/>
        <v>23668.009139258225</v>
      </c>
      <c r="FC174" s="150">
        <f t="shared" ref="FC174:FC210" si="591">SUM(EI174:EM174,EQ174:ET174,EV174:FA174)</f>
        <v>26.713355707056806</v>
      </c>
      <c r="FD174" s="5">
        <f t="shared" ref="FD174:FD210" si="592">MIN(CL174+CM174,CS174+CT174)</f>
        <v>58.239999999999995</v>
      </c>
      <c r="FE174" s="150">
        <f t="shared" ref="FE174:FE210" si="593">FD174/(FD174+FC174)</f>
        <v>0.68555267199600667</v>
      </c>
      <c r="FF174" s="5">
        <f t="shared" ref="FF174:FF210" si="594">FE174*100</f>
        <v>68.555267199600664</v>
      </c>
      <c r="FG174">
        <f t="shared" ref="FG174:FG210" si="595">CJ174/Iout*100</f>
        <v>64</v>
      </c>
      <c r="FI174" s="59">
        <f t="shared" ref="FI174:FI210" si="596">IF(ABS(CJ174-Ioutmax_Vinmin)&lt;Iout/200, DQ174, -50)</f>
        <v>-50</v>
      </c>
      <c r="FJ174">
        <f t="shared" ref="FJ174:FJ210" si="597">IF(ABS(CJ174-Ioutmax_Vinmin)&lt;Iout/200, (CS174+CT174)*FE174, -50)</f>
        <v>-50</v>
      </c>
    </row>
    <row r="175" spans="5:166">
      <c r="E175" s="147">
        <v>65</v>
      </c>
      <c r="F175" s="188">
        <f t="shared" ref="F175:F206" si="598">IF(PLOT_TYPE=1, E175/100*Iout_max, min_I*EXP(O175*rr/100))</f>
        <v>0.32500000000000001</v>
      </c>
      <c r="G175" s="188">
        <f t="shared" si="499"/>
        <v>0.32500000000000001</v>
      </c>
      <c r="H175" s="188">
        <f t="shared" si="500"/>
        <v>55.25</v>
      </c>
      <c r="I175" s="188">
        <f t="shared" si="501"/>
        <v>3.9000000000000004</v>
      </c>
      <c r="J175" s="465">
        <f t="shared" si="502"/>
        <v>8.9185973506984233</v>
      </c>
      <c r="K175" s="379">
        <f t="shared" si="503"/>
        <v>8.6736448856257375</v>
      </c>
      <c r="L175" s="149">
        <f t="shared" si="504"/>
        <v>17.592242236324161</v>
      </c>
      <c r="M175" s="379"/>
      <c r="N175" s="188">
        <f t="shared" si="505"/>
        <v>0.4930380544508729</v>
      </c>
      <c r="O175" s="149">
        <f t="shared" si="506"/>
        <v>136.90940305077658</v>
      </c>
      <c r="P175" s="149">
        <f t="shared" si="507"/>
        <v>9.6641931565254069</v>
      </c>
      <c r="Q175" s="188">
        <f t="shared" si="508"/>
        <v>0.80534942971045043</v>
      </c>
      <c r="R175" s="188">
        <f t="shared" si="509"/>
        <v>11.409116920898049</v>
      </c>
      <c r="S175" s="188">
        <f t="shared" si="510"/>
        <v>170</v>
      </c>
      <c r="T175" s="188">
        <f t="shared" si="511"/>
        <v>26.903435784956777</v>
      </c>
      <c r="U175" s="188">
        <f t="shared" si="512"/>
        <v>4.5248318867400066</v>
      </c>
      <c r="V175" s="188">
        <f t="shared" si="513"/>
        <v>4.6526176952797682</v>
      </c>
      <c r="W175" s="172">
        <f t="shared" si="514"/>
        <v>219.86039431095298</v>
      </c>
      <c r="X175" s="379">
        <f t="shared" ref="X175:X210" si="599">MIN(1/(U175+V175+0.2)*1000, 350)</f>
        <v>106.63880314722137</v>
      </c>
      <c r="Z175" s="188">
        <f t="shared" si="515"/>
        <v>13.333333333333334</v>
      </c>
      <c r="AA175" s="150">
        <f t="shared" si="516"/>
        <v>2.3058356969564997</v>
      </c>
      <c r="AB175" s="150">
        <f t="shared" si="517"/>
        <v>0.15784529440174289</v>
      </c>
      <c r="AC175" s="150"/>
      <c r="AD175" s="150">
        <f t="shared" si="518"/>
        <v>2.3058356969564997</v>
      </c>
      <c r="AE175" s="314">
        <f t="shared" si="519"/>
        <v>452.68773086890792</v>
      </c>
      <c r="AF175" s="456">
        <f t="shared" si="520"/>
        <v>0.15784529440174289</v>
      </c>
      <c r="AH175" s="150">
        <f t="shared" si="521"/>
        <v>15.01110699893027</v>
      </c>
      <c r="AI175" s="150">
        <f t="shared" si="522"/>
        <v>26.903435784956777</v>
      </c>
      <c r="AJ175" s="150">
        <f t="shared" si="523"/>
        <v>11.251927741943291</v>
      </c>
      <c r="AL175" s="314">
        <f t="shared" si="524"/>
        <v>325</v>
      </c>
      <c r="AM175" s="144">
        <f t="shared" si="525"/>
        <v>106.63880314722137</v>
      </c>
      <c r="AO175">
        <f t="shared" si="526"/>
        <v>325</v>
      </c>
      <c r="AP175">
        <f t="shared" si="527"/>
        <v>106.63880314722137</v>
      </c>
      <c r="AR175" s="5">
        <f t="shared" si="443"/>
        <v>9.3774495820197732</v>
      </c>
      <c r="AS175" s="5">
        <f t="shared" si="440"/>
        <v>4.5248318867400066</v>
      </c>
      <c r="AT175" s="5">
        <f t="shared" si="441"/>
        <v>4.8526176952797666</v>
      </c>
      <c r="AU175" s="150">
        <f t="shared" si="442"/>
        <v>0.48252265684433787</v>
      </c>
      <c r="AW175" s="5">
        <f t="shared" si="477"/>
        <v>0.86504139011206016</v>
      </c>
      <c r="AX175" s="5">
        <f t="shared" si="478"/>
        <v>12.254753026587519</v>
      </c>
      <c r="AY175" s="5">
        <f t="shared" si="479"/>
        <v>50.102633318083988</v>
      </c>
      <c r="AZ175" s="5"/>
      <c r="BA175" s="150">
        <f t="shared" si="480"/>
        <v>10.789615646953282</v>
      </c>
      <c r="BB175" s="150">
        <f t="shared" si="481"/>
        <v>0.52184355807792793</v>
      </c>
      <c r="BC175" s="150">
        <f t="shared" si="482"/>
        <v>0.49642287004655822</v>
      </c>
      <c r="BD175" s="150"/>
      <c r="BE175" s="456">
        <f t="shared" si="483"/>
        <v>0.39581373975052886</v>
      </c>
      <c r="BF175" s="456">
        <f t="shared" si="528"/>
        <v>1.2087868387379845</v>
      </c>
      <c r="BG175" s="456">
        <f t="shared" si="529"/>
        <v>4.3558939463155026E-2</v>
      </c>
      <c r="BH175" s="456">
        <f t="shared" si="484"/>
        <v>2.2607275482879344E-2</v>
      </c>
      <c r="BI175">
        <f t="shared" si="485"/>
        <v>4.0133688078142901E-3</v>
      </c>
      <c r="BJ175" s="144">
        <f t="shared" ref="BJ175:BJ210" si="600">(BG175+BI175)*1000</f>
        <v>47.572308270969316</v>
      </c>
      <c r="BK175">
        <f t="shared" si="530"/>
        <v>1.9140886945063291</v>
      </c>
      <c r="BL175" s="144">
        <f t="shared" ref="BL175:BL210" si="601">SUM(BE175:BI175)*1000</f>
        <v>1674.7801622423622</v>
      </c>
      <c r="BM175" s="150">
        <f t="shared" si="531"/>
        <v>0.72109374999999998</v>
      </c>
      <c r="BN175" s="150">
        <f t="shared" si="532"/>
        <v>0.72109374999999998</v>
      </c>
      <c r="BO175" s="456"/>
      <c r="BQ175" s="144">
        <f t="shared" si="486"/>
        <v>1442.1875</v>
      </c>
      <c r="BR175" s="456">
        <f t="shared" si="487"/>
        <v>0.17462370871346863</v>
      </c>
      <c r="BS175" s="456">
        <f t="shared" si="488"/>
        <v>5.4464139821486346E-2</v>
      </c>
      <c r="BT175" s="456">
        <f t="shared" si="489"/>
        <v>7.3930699771578602E-3</v>
      </c>
      <c r="BU175" s="456">
        <f t="shared" si="490"/>
        <v>22.043346421110378</v>
      </c>
      <c r="BV175" s="456"/>
      <c r="BW175" s="538">
        <f t="shared" si="533"/>
        <v>7.7184617278357834E-2</v>
      </c>
      <c r="BX175" s="144">
        <f t="shared" si="491"/>
        <v>22357.011956900853</v>
      </c>
      <c r="BY175" s="150">
        <f t="shared" si="492"/>
        <v>25.473979619143211</v>
      </c>
      <c r="BZ175" s="5">
        <f t="shared" si="493"/>
        <v>59.15</v>
      </c>
      <c r="CA175" s="150">
        <f t="shared" si="494"/>
        <v>0.69897445459560237</v>
      </c>
      <c r="CB175" s="5">
        <f t="shared" si="495"/>
        <v>69.897445459560231</v>
      </c>
      <c r="CC175">
        <f t="shared" si="496"/>
        <v>65</v>
      </c>
      <c r="CE175" s="59">
        <f t="shared" si="534"/>
        <v>-50</v>
      </c>
      <c r="CF175">
        <f t="shared" si="535"/>
        <v>-50</v>
      </c>
      <c r="CG175" s="150">
        <f t="shared" si="536"/>
        <v>0.49840675206849366</v>
      </c>
      <c r="CH175" s="150">
        <f t="shared" si="537"/>
        <v>0.13505683350346268</v>
      </c>
      <c r="CI175" s="147">
        <v>65</v>
      </c>
      <c r="CJ175" s="188">
        <f t="shared" ref="CJ175:CJ210" si="602">IF(PLOT_TYPE=1, CI175/100*Iout_max, min_I*EXP(CS175*rr/100))</f>
        <v>0.32500000000000001</v>
      </c>
      <c r="CK175" s="188">
        <f t="shared" si="538"/>
        <v>0.32500000000000001</v>
      </c>
      <c r="CL175" s="188">
        <f t="shared" si="539"/>
        <v>55.25</v>
      </c>
      <c r="CM175" s="188">
        <f t="shared" si="540"/>
        <v>3.9000000000000004</v>
      </c>
      <c r="CN175" s="465">
        <f t="shared" si="541"/>
        <v>9</v>
      </c>
      <c r="CO175" s="379">
        <f t="shared" si="542"/>
        <v>8.625</v>
      </c>
      <c r="CP175" s="379">
        <f t="shared" si="543"/>
        <v>17.625</v>
      </c>
      <c r="CQ175" s="379"/>
      <c r="CR175" s="188">
        <f t="shared" si="544"/>
        <v>0.48674080410607357</v>
      </c>
      <c r="CS175" s="149">
        <f t="shared" si="545"/>
        <v>136.39440115060304</v>
      </c>
      <c r="CT175" s="149">
        <f t="shared" si="546"/>
        <v>9.6278400812190377</v>
      </c>
      <c r="CU175" s="188">
        <f t="shared" si="547"/>
        <v>0.80232000676825321</v>
      </c>
      <c r="CV175" s="188">
        <f t="shared" si="548"/>
        <v>11.366200095883586</v>
      </c>
      <c r="CW175" s="188">
        <f t="shared" si="549"/>
        <v>170</v>
      </c>
      <c r="CX175" s="188">
        <f t="shared" si="550"/>
        <v>27.005018551064246</v>
      </c>
      <c r="CY175" s="188">
        <f t="shared" si="551"/>
        <v>4.5008364251773747</v>
      </c>
      <c r="CZ175" s="188">
        <f t="shared" si="552"/>
        <v>4.6965249654024772</v>
      </c>
      <c r="DA175" s="172">
        <f t="shared" si="553"/>
        <v>220.21276595744678</v>
      </c>
      <c r="DB175" s="379">
        <f t="shared" si="554"/>
        <v>108.7268356144212</v>
      </c>
      <c r="DD175" s="188">
        <f t="shared" si="555"/>
        <v>13.333333333333336</v>
      </c>
      <c r="DE175" s="150">
        <f t="shared" si="556"/>
        <v>2.3188405797101459</v>
      </c>
      <c r="DF175" s="150">
        <f t="shared" si="557"/>
        <v>0.15898994622398885</v>
      </c>
      <c r="DG175" s="150"/>
      <c r="DH175" s="150">
        <f t="shared" si="558"/>
        <v>2.3188405797101455</v>
      </c>
      <c r="DI175" s="314">
        <f t="shared" si="559"/>
        <v>450.14889705882342</v>
      </c>
      <c r="DJ175" s="456">
        <f t="shared" si="560"/>
        <v>0.15898994622398879</v>
      </c>
      <c r="DL175" s="150">
        <f t="shared" si="561"/>
        <v>15.01110699893027</v>
      </c>
      <c r="DM175" s="150">
        <f t="shared" si="562"/>
        <v>27.005018551064246</v>
      </c>
      <c r="DN175" s="150">
        <f t="shared" si="563"/>
        <v>11.32717423535623</v>
      </c>
      <c r="DP175" s="314">
        <f t="shared" si="564"/>
        <v>325</v>
      </c>
      <c r="DQ175" s="144">
        <f t="shared" si="565"/>
        <v>108.7268356144212</v>
      </c>
      <c r="DS175">
        <f t="shared" si="566"/>
        <v>325</v>
      </c>
      <c r="DT175">
        <f t="shared" si="567"/>
        <v>108.7268356144212</v>
      </c>
      <c r="DV175" s="5">
        <f t="shared" si="568"/>
        <v>9.1973613905798519</v>
      </c>
      <c r="DW175" s="5">
        <f t="shared" si="569"/>
        <v>4.5008364251773747</v>
      </c>
      <c r="DX175" s="5">
        <f t="shared" si="570"/>
        <v>4.6965249654024772</v>
      </c>
      <c r="DY175" s="150">
        <f t="shared" si="571"/>
        <v>0.48936170212765961</v>
      </c>
      <c r="EA175" s="5">
        <f t="shared" si="572"/>
        <v>0.8604540224603805</v>
      </c>
      <c r="EB175" s="5">
        <f t="shared" si="573"/>
        <v>12.189765318188723</v>
      </c>
      <c r="EC175" s="5">
        <f t="shared" si="574"/>
        <v>48.052408210830897</v>
      </c>
      <c r="ED175" s="5"/>
      <c r="EE175" s="150">
        <f t="shared" si="575"/>
        <v>10.906837474070587</v>
      </c>
      <c r="EF175" s="150">
        <f t="shared" si="576"/>
        <v>0.52034104188579</v>
      </c>
      <c r="EG175" s="150">
        <f t="shared" si="577"/>
        <v>0.49499354627922115</v>
      </c>
      <c r="EH175" s="150"/>
      <c r="EI175" s="456">
        <f t="shared" si="578"/>
        <v>0.40446095253168751</v>
      </c>
      <c r="EJ175" s="456">
        <f t="shared" si="579"/>
        <v>1.5732000000000002</v>
      </c>
      <c r="EK175" s="456">
        <f t="shared" si="580"/>
        <v>2.4898445355702455E-2</v>
      </c>
      <c r="EL175" s="456">
        <f t="shared" si="581"/>
        <v>2.3135855936132203E-2</v>
      </c>
      <c r="EM175">
        <f t="shared" si="582"/>
        <v>4.0499999999999998E-3</v>
      </c>
      <c r="EN175" s="144">
        <f t="shared" si="583"/>
        <v>28.948445355702457</v>
      </c>
      <c r="EP175" s="144">
        <f t="shared" ref="EP175:EP210" si="603">SUM(EI175:EM175)*1000</f>
        <v>2029.7452538235223</v>
      </c>
      <c r="EQ175" s="150">
        <f t="shared" si="584"/>
        <v>0.8125</v>
      </c>
      <c r="ER175" s="150">
        <f t="shared" si="585"/>
        <v>0.23074999999999998</v>
      </c>
      <c r="ES175" s="456"/>
      <c r="EU175" s="144">
        <f t="shared" si="497"/>
        <v>1043.25</v>
      </c>
      <c r="EV175" s="456">
        <f t="shared" si="586"/>
        <v>0.17843865552868568</v>
      </c>
      <c r="EW175" s="456">
        <f t="shared" si="587"/>
        <v>5.4150959974157899E-2</v>
      </c>
      <c r="EX175" s="456">
        <f t="shared" si="588"/>
        <v>7.3505583257423837E-3</v>
      </c>
      <c r="EY175" s="456">
        <f t="shared" si="589"/>
        <v>23.357323485002276</v>
      </c>
      <c r="EZ175" s="456"/>
      <c r="FA175" s="538">
        <f t="shared" si="590"/>
        <v>7.9291331064826928E-2</v>
      </c>
      <c r="FB175" s="144">
        <f t="shared" si="498"/>
        <v>23676.554989895689</v>
      </c>
      <c r="FC175" s="150">
        <f t="shared" si="591"/>
        <v>26.749550243719209</v>
      </c>
      <c r="FD175" s="5">
        <f t="shared" si="592"/>
        <v>59.15</v>
      </c>
      <c r="FE175" s="150">
        <f t="shared" si="593"/>
        <v>0.68859499068593699</v>
      </c>
      <c r="FF175" s="5">
        <f t="shared" si="594"/>
        <v>68.859499068593692</v>
      </c>
      <c r="FG175">
        <f t="shared" si="595"/>
        <v>65</v>
      </c>
      <c r="FI175" s="59">
        <f t="shared" si="596"/>
        <v>-50</v>
      </c>
      <c r="FJ175">
        <f t="shared" si="597"/>
        <v>-50</v>
      </c>
    </row>
    <row r="176" spans="5:166">
      <c r="E176" s="147">
        <v>66</v>
      </c>
      <c r="F176" s="188">
        <f t="shared" si="598"/>
        <v>0.33</v>
      </c>
      <c r="G176" s="188">
        <f t="shared" si="499"/>
        <v>0.33</v>
      </c>
      <c r="H176" s="188">
        <f t="shared" si="500"/>
        <v>56.1</v>
      </c>
      <c r="I176" s="188">
        <f t="shared" si="501"/>
        <v>3.96</v>
      </c>
      <c r="J176" s="465">
        <f t="shared" si="502"/>
        <v>8.9173450022476306</v>
      </c>
      <c r="K176" s="379">
        <f t="shared" si="503"/>
        <v>8.6743932684815181</v>
      </c>
      <c r="L176" s="149">
        <f t="shared" si="504"/>
        <v>17.591738270729149</v>
      </c>
      <c r="M176" s="379"/>
      <c r="N176" s="188">
        <f t="shared" si="505"/>
        <v>0.4930947206572997</v>
      </c>
      <c r="O176" s="149">
        <f t="shared" si="506"/>
        <v>136.90591140860269</v>
      </c>
      <c r="P176" s="149">
        <f t="shared" si="507"/>
        <v>9.6639466876660727</v>
      </c>
      <c r="Q176" s="188">
        <f t="shared" si="508"/>
        <v>0.80532889063883939</v>
      </c>
      <c r="R176" s="188">
        <f t="shared" si="509"/>
        <v>11.40882595071689</v>
      </c>
      <c r="S176" s="188">
        <f t="shared" si="510"/>
        <v>170</v>
      </c>
      <c r="T176" s="188">
        <f t="shared" si="511"/>
        <v>27.31803149710445</v>
      </c>
      <c r="U176" s="188">
        <f t="shared" si="512"/>
        <v>4.5952071199811542</v>
      </c>
      <c r="V176" s="188">
        <f t="shared" si="513"/>
        <v>4.7239093245342163</v>
      </c>
      <c r="W176" s="172">
        <f t="shared" si="514"/>
        <v>219.85478714440316</v>
      </c>
      <c r="X176" s="379">
        <f t="shared" si="599"/>
        <v>105.05176670847116</v>
      </c>
      <c r="Z176" s="188">
        <f t="shared" si="515"/>
        <v>13.333333333333332</v>
      </c>
      <c r="AA176" s="150">
        <f t="shared" si="516"/>
        <v>2.3056367610943083</v>
      </c>
      <c r="AB176" s="150">
        <f t="shared" si="517"/>
        <v>0.15782765107739752</v>
      </c>
      <c r="AC176" s="150"/>
      <c r="AD176" s="150">
        <f t="shared" si="518"/>
        <v>2.3056367610943087</v>
      </c>
      <c r="AE176" s="314">
        <f t="shared" si="519"/>
        <v>459.69181738676451</v>
      </c>
      <c r="AF176" s="456">
        <f t="shared" si="520"/>
        <v>0.1578276510773976</v>
      </c>
      <c r="AH176" s="150">
        <f t="shared" si="521"/>
        <v>15.126136320951231</v>
      </c>
      <c r="AI176" s="150">
        <f t="shared" si="522"/>
        <v>27.31803149710445</v>
      </c>
      <c r="AJ176" s="150">
        <f t="shared" si="523"/>
        <v>11.559035676867492</v>
      </c>
      <c r="AL176" s="314">
        <f t="shared" si="524"/>
        <v>330</v>
      </c>
      <c r="AM176" s="144">
        <f t="shared" si="525"/>
        <v>105.05176670847116</v>
      </c>
      <c r="AO176">
        <f t="shared" si="526"/>
        <v>330</v>
      </c>
      <c r="AP176">
        <f t="shared" si="527"/>
        <v>105.05176670847116</v>
      </c>
      <c r="AR176" s="5">
        <f t="shared" si="443"/>
        <v>9.5191164445153689</v>
      </c>
      <c r="AS176" s="5">
        <f t="shared" si="440"/>
        <v>4.5952071199811542</v>
      </c>
      <c r="AT176" s="5">
        <f t="shared" si="441"/>
        <v>4.9239093245342147</v>
      </c>
      <c r="AU176" s="150">
        <f t="shared" si="442"/>
        <v>0.48273462634536585</v>
      </c>
      <c r="AW176" s="5">
        <f t="shared" si="477"/>
        <v>0.89201079387869464</v>
      </c>
      <c r="AX176" s="5">
        <f t="shared" si="478"/>
        <v>12.636819579948174</v>
      </c>
      <c r="AY176" s="5">
        <f t="shared" si="479"/>
        <v>51.628093533210631</v>
      </c>
      <c r="AZ176" s="5"/>
      <c r="BA176" s="150">
        <f t="shared" si="480"/>
        <v>10.958295311354217</v>
      </c>
      <c r="BB176" s="150">
        <f t="shared" si="481"/>
        <v>0.52977689716664111</v>
      </c>
      <c r="BC176" s="150">
        <f t="shared" si="482"/>
        <v>0.503969750521575</v>
      </c>
      <c r="BD176" s="150"/>
      <c r="BE176" s="456">
        <f t="shared" si="483"/>
        <v>0.40828640284488255</v>
      </c>
      <c r="BF176" s="456">
        <f t="shared" si="528"/>
        <v>1.2091134012410814</v>
      </c>
      <c r="BG176" s="456">
        <f t="shared" si="529"/>
        <v>4.2904654385046169E-2</v>
      </c>
      <c r="BH176" s="456">
        <f t="shared" si="484"/>
        <v>2.2269550033862474E-2</v>
      </c>
      <c r="BI176">
        <f t="shared" si="485"/>
        <v>4.0128052510114334E-3</v>
      </c>
      <c r="BJ176" s="144">
        <f t="shared" si="600"/>
        <v>46.917459636057607</v>
      </c>
      <c r="BK176">
        <f t="shared" si="530"/>
        <v>1.9379001461557099</v>
      </c>
      <c r="BL176" s="144">
        <f t="shared" si="601"/>
        <v>1686.5868137558839</v>
      </c>
      <c r="BM176" s="150">
        <f t="shared" si="531"/>
        <v>0.73218749999999999</v>
      </c>
      <c r="BN176" s="150">
        <f t="shared" si="532"/>
        <v>0.73218749999999999</v>
      </c>
      <c r="BO176" s="456"/>
      <c r="BQ176" s="144">
        <f t="shared" si="486"/>
        <v>1464.375</v>
      </c>
      <c r="BR176" s="456">
        <f t="shared" si="487"/>
        <v>0.18012635419627174</v>
      </c>
      <c r="BS176" s="456">
        <f t="shared" si="488"/>
        <v>5.6132712154302766E-2</v>
      </c>
      <c r="BT176" s="456">
        <f t="shared" si="489"/>
        <v>7.6195652832233554E-3</v>
      </c>
      <c r="BU176" s="456">
        <f t="shared" si="490"/>
        <v>22.059817198281774</v>
      </c>
      <c r="BV176" s="456"/>
      <c r="BW176" s="538">
        <f t="shared" si="533"/>
        <v>7.8397490904397141E-2</v>
      </c>
      <c r="BX176" s="144">
        <f t="shared" si="491"/>
        <v>22382.093320819968</v>
      </c>
      <c r="BY176" s="150">
        <f t="shared" si="492"/>
        <v>25.533055134575854</v>
      </c>
      <c r="BZ176" s="5">
        <f t="shared" si="493"/>
        <v>60.06</v>
      </c>
      <c r="CA176" s="150">
        <f t="shared" si="494"/>
        <v>0.70169244345314163</v>
      </c>
      <c r="CB176" s="5">
        <f t="shared" si="495"/>
        <v>70.169244345314169</v>
      </c>
      <c r="CC176">
        <f t="shared" si="496"/>
        <v>66</v>
      </c>
      <c r="CE176" s="59">
        <f t="shared" si="534"/>
        <v>-50</v>
      </c>
      <c r="CF176">
        <f t="shared" si="535"/>
        <v>-50</v>
      </c>
      <c r="CG176" s="150">
        <f t="shared" si="536"/>
        <v>0.49840675206849366</v>
      </c>
      <c r="CH176" s="150">
        <f t="shared" si="537"/>
        <v>0.13505683350346265</v>
      </c>
      <c r="CI176" s="147">
        <v>66</v>
      </c>
      <c r="CJ176" s="188">
        <f t="shared" si="602"/>
        <v>0.33</v>
      </c>
      <c r="CK176" s="188">
        <f t="shared" si="538"/>
        <v>0.33</v>
      </c>
      <c r="CL176" s="188">
        <f t="shared" si="539"/>
        <v>56.1</v>
      </c>
      <c r="CM176" s="188">
        <f t="shared" si="540"/>
        <v>3.96</v>
      </c>
      <c r="CN176" s="465">
        <f t="shared" si="541"/>
        <v>9</v>
      </c>
      <c r="CO176" s="379">
        <f t="shared" si="542"/>
        <v>8.625</v>
      </c>
      <c r="CP176" s="379">
        <f t="shared" si="543"/>
        <v>17.625</v>
      </c>
      <c r="CQ176" s="379"/>
      <c r="CR176" s="188">
        <f t="shared" si="544"/>
        <v>0.48674080410607357</v>
      </c>
      <c r="CS176" s="149">
        <f t="shared" si="545"/>
        <v>136.39440115060304</v>
      </c>
      <c r="CT176" s="149">
        <f t="shared" si="546"/>
        <v>9.6278400812190377</v>
      </c>
      <c r="CU176" s="188">
        <f t="shared" si="547"/>
        <v>0.80232000676825321</v>
      </c>
      <c r="CV176" s="188">
        <f t="shared" si="548"/>
        <v>11.366200095883586</v>
      </c>
      <c r="CW176" s="188">
        <f t="shared" si="549"/>
        <v>170</v>
      </c>
      <c r="CX176" s="188">
        <f t="shared" si="550"/>
        <v>27.420480374926775</v>
      </c>
      <c r="CY176" s="188">
        <f t="shared" si="551"/>
        <v>4.5700800624877962</v>
      </c>
      <c r="CZ176" s="188">
        <f t="shared" si="552"/>
        <v>4.7687791956394392</v>
      </c>
      <c r="DA176" s="172">
        <f t="shared" si="553"/>
        <v>220.21276595744678</v>
      </c>
      <c r="DB176" s="379">
        <f t="shared" si="554"/>
        <v>107.07945931723297</v>
      </c>
      <c r="DD176" s="188">
        <f t="shared" si="555"/>
        <v>13.333333333333336</v>
      </c>
      <c r="DE176" s="150">
        <f t="shared" si="556"/>
        <v>2.3188405797101459</v>
      </c>
      <c r="DF176" s="150">
        <f t="shared" si="557"/>
        <v>0.15898994622398885</v>
      </c>
      <c r="DG176" s="150"/>
      <c r="DH176" s="150">
        <f t="shared" si="558"/>
        <v>2.3188405797101455</v>
      </c>
      <c r="DI176" s="314">
        <f t="shared" si="559"/>
        <v>457.07426470588229</v>
      </c>
      <c r="DJ176" s="456">
        <f t="shared" si="560"/>
        <v>0.15898994622398879</v>
      </c>
      <c r="DL176" s="150">
        <f t="shared" si="561"/>
        <v>15.126136320951231</v>
      </c>
      <c r="DM176" s="150">
        <f t="shared" si="562"/>
        <v>27.420480374926775</v>
      </c>
      <c r="DN176" s="150">
        <f t="shared" si="563"/>
        <v>11.634923734513659</v>
      </c>
      <c r="DP176" s="314">
        <f t="shared" si="564"/>
        <v>330</v>
      </c>
      <c r="DQ176" s="144">
        <f t="shared" si="565"/>
        <v>107.07945931723297</v>
      </c>
      <c r="DS176">
        <f t="shared" si="566"/>
        <v>330</v>
      </c>
      <c r="DT176">
        <f t="shared" si="567"/>
        <v>107.07945931723297</v>
      </c>
      <c r="DV176" s="5">
        <f t="shared" si="568"/>
        <v>9.3388592581272363</v>
      </c>
      <c r="DW176" s="5">
        <f t="shared" si="569"/>
        <v>4.5700800624877962</v>
      </c>
      <c r="DX176" s="5">
        <f t="shared" si="570"/>
        <v>4.7687791956394401</v>
      </c>
      <c r="DY176" s="150">
        <f t="shared" si="571"/>
        <v>0.48936170212765956</v>
      </c>
      <c r="EA176" s="5">
        <f t="shared" si="572"/>
        <v>0.88713318860057222</v>
      </c>
      <c r="EB176" s="5">
        <f t="shared" si="573"/>
        <v>12.56772017184144</v>
      </c>
      <c r="EC176" s="5">
        <f t="shared" si="574"/>
        <v>49.542317199143064</v>
      </c>
      <c r="ED176" s="5"/>
      <c r="EE176" s="150">
        <f t="shared" si="575"/>
        <v>11.074634973671673</v>
      </c>
      <c r="EF176" s="150">
        <f t="shared" si="576"/>
        <v>0.52834628868403299</v>
      </c>
      <c r="EG176" s="150">
        <f t="shared" si="577"/>
        <v>0.50260883160659375</v>
      </c>
      <c r="EH176" s="150"/>
      <c r="EI176" s="456">
        <f t="shared" si="578"/>
        <v>0.41700163532024398</v>
      </c>
      <c r="EJ176" s="456">
        <f t="shared" si="579"/>
        <v>1.5731999999999997</v>
      </c>
      <c r="EK176" s="456">
        <f t="shared" si="580"/>
        <v>2.4521196183646354E-2</v>
      </c>
      <c r="EL176" s="456">
        <f t="shared" si="581"/>
        <v>2.2785312664372618E-2</v>
      </c>
      <c r="EM176">
        <f t="shared" si="582"/>
        <v>4.0499999999999998E-3</v>
      </c>
      <c r="EN176" s="144">
        <f t="shared" si="583"/>
        <v>28.571196183646354</v>
      </c>
      <c r="EP176" s="144">
        <f t="shared" si="603"/>
        <v>2041.5581441682625</v>
      </c>
      <c r="EQ176" s="150">
        <f t="shared" si="584"/>
        <v>0.82500000000000007</v>
      </c>
      <c r="ER176" s="150">
        <f t="shared" si="585"/>
        <v>0.23430000000000001</v>
      </c>
      <c r="ES176" s="456"/>
      <c r="EU176" s="144">
        <f t="shared" si="497"/>
        <v>1059.3000000000002</v>
      </c>
      <c r="EV176" s="456">
        <f t="shared" si="586"/>
        <v>0.18397130970010767</v>
      </c>
      <c r="EW176" s="456">
        <f t="shared" si="587"/>
        <v>5.5829960153238316E-2</v>
      </c>
      <c r="EX176" s="456">
        <f t="shared" si="588"/>
        <v>7.5784691282683603E-3</v>
      </c>
      <c r="EY176" s="456">
        <f t="shared" si="589"/>
        <v>23.357323485002276</v>
      </c>
      <c r="EZ176" s="456"/>
      <c r="FA176" s="538">
        <f t="shared" si="590"/>
        <v>8.0511197696593484E-2</v>
      </c>
      <c r="FB176" s="144">
        <f t="shared" si="498"/>
        <v>23685.214421680485</v>
      </c>
      <c r="FC176" s="150">
        <f t="shared" si="591"/>
        <v>26.786072565848748</v>
      </c>
      <c r="FD176" s="5">
        <f t="shared" si="592"/>
        <v>60.06</v>
      </c>
      <c r="FE176" s="150">
        <f t="shared" si="593"/>
        <v>0.69156840632558358</v>
      </c>
      <c r="FF176" s="5">
        <f t="shared" si="594"/>
        <v>69.156840632558357</v>
      </c>
      <c r="FG176">
        <f t="shared" si="595"/>
        <v>66</v>
      </c>
      <c r="FI176" s="59">
        <f t="shared" si="596"/>
        <v>-50</v>
      </c>
      <c r="FJ176">
        <f t="shared" si="597"/>
        <v>-50</v>
      </c>
    </row>
    <row r="177" spans="5:166">
      <c r="E177" s="147">
        <v>67</v>
      </c>
      <c r="F177" s="188">
        <f t="shared" si="598"/>
        <v>0.33500000000000002</v>
      </c>
      <c r="G177" s="188">
        <f t="shared" si="499"/>
        <v>0.33500000000000002</v>
      </c>
      <c r="H177" s="188">
        <f t="shared" si="500"/>
        <v>56.95</v>
      </c>
      <c r="I177" s="188">
        <f t="shared" si="501"/>
        <v>4.0200000000000005</v>
      </c>
      <c r="J177" s="465">
        <f t="shared" si="502"/>
        <v>8.9160926537968361</v>
      </c>
      <c r="K177" s="379">
        <f t="shared" si="503"/>
        <v>8.675141651337297</v>
      </c>
      <c r="L177" s="149">
        <f t="shared" si="504"/>
        <v>17.591234305134133</v>
      </c>
      <c r="M177" s="379"/>
      <c r="N177" s="188">
        <f t="shared" si="505"/>
        <v>0.49315139011055026</v>
      </c>
      <c r="O177" s="149">
        <f t="shared" si="506"/>
        <v>136.90241624865271</v>
      </c>
      <c r="P177" s="149">
        <f t="shared" si="507"/>
        <v>9.6636999704931323</v>
      </c>
      <c r="Q177" s="188">
        <f t="shared" si="508"/>
        <v>0.80530833087442777</v>
      </c>
      <c r="R177" s="188">
        <f t="shared" si="509"/>
        <v>11.408534687387727</v>
      </c>
      <c r="S177" s="188">
        <f t="shared" si="510"/>
        <v>170</v>
      </c>
      <c r="T177" s="188">
        <f t="shared" si="511"/>
        <v>27.732649070056361</v>
      </c>
      <c r="U177" s="188">
        <f t="shared" si="512"/>
        <v>4.6656058006945456</v>
      </c>
      <c r="V177" s="188">
        <f t="shared" si="513"/>
        <v>4.7951924333906346</v>
      </c>
      <c r="W177" s="172">
        <f t="shared" si="514"/>
        <v>219.8491743287187</v>
      </c>
      <c r="X177" s="379">
        <f t="shared" si="599"/>
        <v>103.51111531051389</v>
      </c>
      <c r="Z177" s="188">
        <f t="shared" si="515"/>
        <v>13.333333333333334</v>
      </c>
      <c r="AA177" s="150">
        <f t="shared" si="516"/>
        <v>2.3054378595555205</v>
      </c>
      <c r="AB177" s="150">
        <f t="shared" si="517"/>
        <v>0.15781000674213636</v>
      </c>
      <c r="AC177" s="150"/>
      <c r="AD177" s="150">
        <f t="shared" si="518"/>
        <v>2.3054378595555205</v>
      </c>
      <c r="AE177" s="314">
        <f t="shared" si="519"/>
        <v>466.69710571944262</v>
      </c>
      <c r="AF177" s="456">
        <f t="shared" si="520"/>
        <v>0.15781000674213638</v>
      </c>
      <c r="AH177" s="150">
        <f t="shared" si="521"/>
        <v>15.240297459914183</v>
      </c>
      <c r="AI177" s="150">
        <f t="shared" si="522"/>
        <v>27.732649070056361</v>
      </c>
      <c r="AJ177" s="150">
        <f t="shared" si="523"/>
        <v>11.866159804980018</v>
      </c>
      <c r="AL177" s="314">
        <f t="shared" si="524"/>
        <v>335</v>
      </c>
      <c r="AM177" s="144">
        <f t="shared" si="525"/>
        <v>103.51111531051389</v>
      </c>
      <c r="AO177">
        <f t="shared" si="526"/>
        <v>335</v>
      </c>
      <c r="AP177">
        <f t="shared" si="527"/>
        <v>103.51111531051389</v>
      </c>
      <c r="AR177" s="5">
        <f t="shared" si="443"/>
        <v>9.6607982340851795</v>
      </c>
      <c r="AS177" s="5">
        <f t="shared" si="440"/>
        <v>4.6656058006945456</v>
      </c>
      <c r="AT177" s="5">
        <f t="shared" si="441"/>
        <v>4.9951924333906339</v>
      </c>
      <c r="AU177" s="150">
        <f t="shared" si="442"/>
        <v>0.48294206002909562</v>
      </c>
      <c r="AW177" s="5">
        <f t="shared" si="477"/>
        <v>0.91939879013686643</v>
      </c>
      <c r="AX177" s="5">
        <f t="shared" si="478"/>
        <v>13.024816193605607</v>
      </c>
      <c r="AY177" s="5">
        <f t="shared" si="479"/>
        <v>53.176546447629356</v>
      </c>
      <c r="AZ177" s="5"/>
      <c r="BA177" s="150">
        <f t="shared" si="480"/>
        <v>11.127003993056245</v>
      </c>
      <c r="BB177" s="150">
        <f t="shared" si="481"/>
        <v>0.53770970157390852</v>
      </c>
      <c r="BC177" s="150">
        <f t="shared" si="482"/>
        <v>0.51151612236120902</v>
      </c>
      <c r="BD177" s="150"/>
      <c r="BE177" s="456">
        <f t="shared" si="483"/>
        <v>0.42095474072906475</v>
      </c>
      <c r="BF177" s="456">
        <f t="shared" si="528"/>
        <v>1.2094284349127449</v>
      </c>
      <c r="BG177" s="456">
        <f t="shared" si="529"/>
        <v>4.2269493022132669E-2</v>
      </c>
      <c r="BH177" s="456">
        <f t="shared" si="484"/>
        <v>2.1941695609699309E-2</v>
      </c>
      <c r="BI177">
        <f t="shared" si="485"/>
        <v>4.0122416942085758E-3</v>
      </c>
      <c r="BJ177" s="144">
        <f t="shared" si="600"/>
        <v>46.281734716341241</v>
      </c>
      <c r="BK177">
        <f t="shared" si="530"/>
        <v>1.9622440360876829</v>
      </c>
      <c r="BL177" s="144">
        <f t="shared" si="601"/>
        <v>1698.6066059678501</v>
      </c>
      <c r="BM177" s="150">
        <f t="shared" si="531"/>
        <v>0.74328125</v>
      </c>
      <c r="BN177" s="150">
        <f t="shared" si="532"/>
        <v>0.74328125</v>
      </c>
      <c r="BO177" s="456"/>
      <c r="BQ177" s="144">
        <f t="shared" si="486"/>
        <v>1486.5625</v>
      </c>
      <c r="BR177" s="456">
        <f t="shared" si="487"/>
        <v>0.18571532679223446</v>
      </c>
      <c r="BS177" s="456">
        <f t="shared" si="488"/>
        <v>5.7826344633340354E-2</v>
      </c>
      <c r="BT177" s="456">
        <f t="shared" si="489"/>
        <v>7.8494623030634213E-3</v>
      </c>
      <c r="BU177" s="456">
        <f t="shared" si="490"/>
        <v>22.075770206886286</v>
      </c>
      <c r="BV177" s="456"/>
      <c r="BW177" s="538">
        <f t="shared" si="533"/>
        <v>7.9610380613204787E-2</v>
      </c>
      <c r="BX177" s="144">
        <f t="shared" si="491"/>
        <v>22406.771721228128</v>
      </c>
      <c r="BY177" s="150">
        <f t="shared" si="492"/>
        <v>25.59194082719598</v>
      </c>
      <c r="BZ177" s="5">
        <f t="shared" si="493"/>
        <v>60.970000000000006</v>
      </c>
      <c r="CA177" s="150">
        <f t="shared" si="494"/>
        <v>0.70435112033491376</v>
      </c>
      <c r="CB177" s="5">
        <f t="shared" si="495"/>
        <v>70.435112033491379</v>
      </c>
      <c r="CC177">
        <f t="shared" si="496"/>
        <v>67</v>
      </c>
      <c r="CE177" s="59">
        <f t="shared" si="534"/>
        <v>-50</v>
      </c>
      <c r="CF177">
        <f t="shared" si="535"/>
        <v>-50</v>
      </c>
      <c r="CG177" s="150">
        <f t="shared" si="536"/>
        <v>0.49840675206849366</v>
      </c>
      <c r="CH177" s="150">
        <f t="shared" si="537"/>
        <v>0.13505683350346268</v>
      </c>
      <c r="CI177" s="147">
        <v>67</v>
      </c>
      <c r="CJ177" s="188">
        <f t="shared" si="602"/>
        <v>0.33500000000000002</v>
      </c>
      <c r="CK177" s="188">
        <f t="shared" si="538"/>
        <v>0.33500000000000002</v>
      </c>
      <c r="CL177" s="188">
        <f t="shared" si="539"/>
        <v>56.95</v>
      </c>
      <c r="CM177" s="188">
        <f t="shared" si="540"/>
        <v>4.0200000000000005</v>
      </c>
      <c r="CN177" s="465">
        <f t="shared" si="541"/>
        <v>9</v>
      </c>
      <c r="CO177" s="379">
        <f t="shared" si="542"/>
        <v>8.625</v>
      </c>
      <c r="CP177" s="379">
        <f t="shared" si="543"/>
        <v>17.625</v>
      </c>
      <c r="CQ177" s="379"/>
      <c r="CR177" s="188">
        <f t="shared" si="544"/>
        <v>0.48674080410607357</v>
      </c>
      <c r="CS177" s="149">
        <f t="shared" si="545"/>
        <v>136.39440115060304</v>
      </c>
      <c r="CT177" s="149">
        <f t="shared" si="546"/>
        <v>9.6278400812190377</v>
      </c>
      <c r="CU177" s="188">
        <f t="shared" si="547"/>
        <v>0.80232000676825321</v>
      </c>
      <c r="CV177" s="188">
        <f t="shared" si="548"/>
        <v>11.366200095883586</v>
      </c>
      <c r="CW177" s="188">
        <f t="shared" si="549"/>
        <v>170</v>
      </c>
      <c r="CX177" s="188">
        <f t="shared" si="550"/>
        <v>27.835942198789301</v>
      </c>
      <c r="CY177" s="188">
        <f t="shared" si="551"/>
        <v>4.6393236997982168</v>
      </c>
      <c r="CZ177" s="188">
        <f t="shared" si="552"/>
        <v>4.8410334258764003</v>
      </c>
      <c r="DA177" s="172">
        <f t="shared" si="553"/>
        <v>220.21276595744678</v>
      </c>
      <c r="DB177" s="379">
        <f t="shared" si="554"/>
        <v>105.48125843190117</v>
      </c>
      <c r="DD177" s="188">
        <f t="shared" si="555"/>
        <v>13.333333333333336</v>
      </c>
      <c r="DE177" s="150">
        <f t="shared" si="556"/>
        <v>2.3188405797101459</v>
      </c>
      <c r="DF177" s="150">
        <f t="shared" si="557"/>
        <v>0.15898994622398885</v>
      </c>
      <c r="DG177" s="150"/>
      <c r="DH177" s="150">
        <f t="shared" si="558"/>
        <v>2.3188405797101455</v>
      </c>
      <c r="DI177" s="314">
        <f t="shared" si="559"/>
        <v>463.99963235294109</v>
      </c>
      <c r="DJ177" s="456">
        <f t="shared" si="560"/>
        <v>0.15898994622398879</v>
      </c>
      <c r="DL177" s="150">
        <f t="shared" si="561"/>
        <v>15.240297459914183</v>
      </c>
      <c r="DM177" s="150">
        <f t="shared" si="562"/>
        <v>27.835942198789301</v>
      </c>
      <c r="DN177" s="150">
        <f t="shared" si="563"/>
        <v>11.942673233671085</v>
      </c>
      <c r="DP177" s="314">
        <f t="shared" si="564"/>
        <v>335</v>
      </c>
      <c r="DQ177" s="144">
        <f t="shared" si="565"/>
        <v>105.48125843190117</v>
      </c>
      <c r="DS177">
        <f t="shared" si="566"/>
        <v>335</v>
      </c>
      <c r="DT177">
        <f t="shared" si="567"/>
        <v>105.48125843190117</v>
      </c>
      <c r="DV177" s="5">
        <f t="shared" si="568"/>
        <v>9.4803571256746171</v>
      </c>
      <c r="DW177" s="5">
        <f t="shared" si="569"/>
        <v>4.6393236997982168</v>
      </c>
      <c r="DX177" s="5">
        <f t="shared" si="570"/>
        <v>4.8410334258764003</v>
      </c>
      <c r="DY177" s="150">
        <f t="shared" si="571"/>
        <v>0.48936170212765956</v>
      </c>
      <c r="EA177" s="5">
        <f t="shared" si="572"/>
        <v>0.91421967025435458</v>
      </c>
      <c r="EB177" s="5">
        <f t="shared" si="573"/>
        <v>12.951445328603356</v>
      </c>
      <c r="EC177" s="5">
        <f t="shared" si="574"/>
        <v>51.054972889566848</v>
      </c>
      <c r="ED177" s="5"/>
      <c r="EE177" s="150">
        <f t="shared" si="575"/>
        <v>11.242432473272757</v>
      </c>
      <c r="EF177" s="150">
        <f t="shared" si="576"/>
        <v>0.53635153548227588</v>
      </c>
      <c r="EG177" s="150">
        <f t="shared" si="577"/>
        <v>0.51022411693396652</v>
      </c>
      <c r="EH177" s="150"/>
      <c r="EI177" s="456">
        <f t="shared" si="578"/>
        <v>0.42973377891473252</v>
      </c>
      <c r="EJ177" s="456">
        <f t="shared" si="579"/>
        <v>1.5732000000000002</v>
      </c>
      <c r="EK177" s="456">
        <f t="shared" si="580"/>
        <v>2.4155208180905368E-2</v>
      </c>
      <c r="EL177" s="456">
        <f t="shared" si="581"/>
        <v>2.2445233370874524E-2</v>
      </c>
      <c r="EM177">
        <f t="shared" si="582"/>
        <v>4.0499999999999998E-3</v>
      </c>
      <c r="EN177" s="144">
        <f t="shared" si="583"/>
        <v>28.20520818090537</v>
      </c>
      <c r="EP177" s="144">
        <f t="shared" si="603"/>
        <v>2053.5842204665123</v>
      </c>
      <c r="EQ177" s="150">
        <f t="shared" si="584"/>
        <v>0.83750000000000002</v>
      </c>
      <c r="ER177" s="150">
        <f t="shared" si="585"/>
        <v>0.23785000000000001</v>
      </c>
      <c r="ES177" s="456"/>
      <c r="EU177" s="144">
        <f t="shared" si="497"/>
        <v>1075.3500000000001</v>
      </c>
      <c r="EV177" s="456">
        <f t="shared" si="586"/>
        <v>0.1895884318741467</v>
      </c>
      <c r="EW177" s="456">
        <f t="shared" si="587"/>
        <v>5.7534593922839009E-2</v>
      </c>
      <c r="EX177" s="456">
        <f t="shared" si="588"/>
        <v>7.8098594850313785E-3</v>
      </c>
      <c r="EY177" s="456">
        <f t="shared" si="589"/>
        <v>23.357323485002276</v>
      </c>
      <c r="EZ177" s="456"/>
      <c r="FA177" s="538">
        <f t="shared" si="590"/>
        <v>8.1731064328360081E-2</v>
      </c>
      <c r="FB177" s="144">
        <f t="shared" si="498"/>
        <v>23693.987434612653</v>
      </c>
      <c r="FC177" s="150">
        <f t="shared" si="591"/>
        <v>26.822921655079163</v>
      </c>
      <c r="FD177" s="5">
        <f t="shared" si="592"/>
        <v>60.970000000000006</v>
      </c>
      <c r="FE177" s="150">
        <f t="shared" si="593"/>
        <v>0.6944751222602995</v>
      </c>
      <c r="FF177" s="5">
        <f t="shared" si="594"/>
        <v>69.447512226029957</v>
      </c>
      <c r="FG177">
        <f t="shared" si="595"/>
        <v>67</v>
      </c>
      <c r="FI177" s="59">
        <f t="shared" si="596"/>
        <v>-50</v>
      </c>
      <c r="FJ177">
        <f t="shared" si="597"/>
        <v>-50</v>
      </c>
    </row>
    <row r="178" spans="5:166">
      <c r="E178" s="147">
        <v>68</v>
      </c>
      <c r="F178" s="188">
        <f t="shared" si="598"/>
        <v>0.34</v>
      </c>
      <c r="G178" s="188">
        <f t="shared" si="499"/>
        <v>0.34</v>
      </c>
      <c r="H178" s="188">
        <f t="shared" si="500"/>
        <v>57.800000000000004</v>
      </c>
      <c r="I178" s="188">
        <f t="shared" si="501"/>
        <v>4.08</v>
      </c>
      <c r="J178" s="465">
        <f t="shared" si="502"/>
        <v>8.9148403053460434</v>
      </c>
      <c r="K178" s="379">
        <f t="shared" si="503"/>
        <v>8.6758900341930794</v>
      </c>
      <c r="L178" s="149">
        <f t="shared" si="504"/>
        <v>17.590730339539121</v>
      </c>
      <c r="M178" s="379"/>
      <c r="N178" s="188">
        <f t="shared" si="505"/>
        <v>0.49320806281090368</v>
      </c>
      <c r="O178" s="149">
        <f t="shared" si="506"/>
        <v>136.89891757062435</v>
      </c>
      <c r="P178" s="149">
        <f t="shared" si="507"/>
        <v>9.6634530049852483</v>
      </c>
      <c r="Q178" s="188">
        <f t="shared" si="508"/>
        <v>0.80528775041543732</v>
      </c>
      <c r="R178" s="188">
        <f t="shared" si="509"/>
        <v>11.408243130885362</v>
      </c>
      <c r="S178" s="188">
        <f t="shared" si="510"/>
        <v>170</v>
      </c>
      <c r="T178" s="188">
        <f t="shared" si="511"/>
        <v>28.147288537511262</v>
      </c>
      <c r="U178" s="188">
        <f t="shared" si="512"/>
        <v>4.7360279444319247</v>
      </c>
      <c r="V178" s="188">
        <f t="shared" si="513"/>
        <v>4.8664670298802086</v>
      </c>
      <c r="W178" s="172">
        <f t="shared" si="514"/>
        <v>219.84355586341431</v>
      </c>
      <c r="X178" s="379">
        <f t="shared" si="599"/>
        <v>102.01484444731101</v>
      </c>
      <c r="Z178" s="188">
        <f t="shared" si="515"/>
        <v>13.333333333333334</v>
      </c>
      <c r="AA178" s="150">
        <f t="shared" si="516"/>
        <v>2.3052389923312515</v>
      </c>
      <c r="AB178" s="150">
        <f t="shared" si="517"/>
        <v>0.15779236139587252</v>
      </c>
      <c r="AC178" s="150"/>
      <c r="AD178" s="150">
        <f t="shared" si="518"/>
        <v>2.3052389923312515</v>
      </c>
      <c r="AE178" s="314">
        <f t="shared" si="519"/>
        <v>473.70359586694207</v>
      </c>
      <c r="AF178" s="456">
        <f t="shared" si="520"/>
        <v>0.15779236139587255</v>
      </c>
      <c r="AH178" s="150">
        <f t="shared" si="521"/>
        <v>15.353609781850434</v>
      </c>
      <c r="AI178" s="150">
        <f t="shared" si="522"/>
        <v>28.147288537511262</v>
      </c>
      <c r="AJ178" s="150">
        <f t="shared" si="523"/>
        <v>12.173300151242909</v>
      </c>
      <c r="AL178" s="314">
        <f t="shared" si="524"/>
        <v>340</v>
      </c>
      <c r="AM178" s="144">
        <f t="shared" si="525"/>
        <v>102.01484444731101</v>
      </c>
      <c r="AO178">
        <f t="shared" si="526"/>
        <v>340</v>
      </c>
      <c r="AP178">
        <f t="shared" si="527"/>
        <v>102.01484444731101</v>
      </c>
      <c r="AR178" s="5">
        <f t="shared" si="443"/>
        <v>9.8024949743121308</v>
      </c>
      <c r="AS178" s="5">
        <f t="shared" si="440"/>
        <v>4.7360279444319247</v>
      </c>
      <c r="AT178" s="5">
        <f t="shared" si="441"/>
        <v>5.0664670298802061</v>
      </c>
      <c r="AU178" s="150">
        <f t="shared" si="442"/>
        <v>0.48314515404934094</v>
      </c>
      <c r="AW178" s="5">
        <f t="shared" si="477"/>
        <v>0.94720558888638495</v>
      </c>
      <c r="AX178" s="5">
        <f t="shared" si="478"/>
        <v>13.41874584255712</v>
      </c>
      <c r="AY178" s="5">
        <f t="shared" si="479"/>
        <v>54.747997776147265</v>
      </c>
      <c r="AZ178" s="5"/>
      <c r="BA178" s="150">
        <f t="shared" si="480"/>
        <v>11.295741671088718</v>
      </c>
      <c r="BB178" s="150">
        <f t="shared" si="481"/>
        <v>0.54564197435489137</v>
      </c>
      <c r="BC178" s="150">
        <f t="shared" si="482"/>
        <v>0.51906198847179474</v>
      </c>
      <c r="BD178" s="150"/>
      <c r="BE178" s="456">
        <f t="shared" si="483"/>
        <v>0.43381885165989853</v>
      </c>
      <c r="BF178" s="456">
        <f t="shared" si="528"/>
        <v>1.2097324366719171</v>
      </c>
      <c r="BG178" s="456">
        <f t="shared" si="529"/>
        <v>4.1652628953630283E-2</v>
      </c>
      <c r="BH178" s="456">
        <f t="shared" si="484"/>
        <v>2.1623285639232447E-2</v>
      </c>
      <c r="BI178">
        <f t="shared" si="485"/>
        <v>4.011678137405719E-3</v>
      </c>
      <c r="BJ178" s="144">
        <f t="shared" si="600"/>
        <v>45.664307091036001</v>
      </c>
      <c r="BK178">
        <f t="shared" si="530"/>
        <v>1.9871297796422311</v>
      </c>
      <c r="BL178" s="144">
        <f t="shared" si="601"/>
        <v>1710.8388810620843</v>
      </c>
      <c r="BM178" s="150">
        <f t="shared" si="531"/>
        <v>0.75437500000000002</v>
      </c>
      <c r="BN178" s="150">
        <f t="shared" si="532"/>
        <v>0.75437500000000002</v>
      </c>
      <c r="BO178" s="456"/>
      <c r="BQ178" s="144">
        <f t="shared" si="486"/>
        <v>1508.75</v>
      </c>
      <c r="BR178" s="456">
        <f t="shared" si="487"/>
        <v>0.19139066984995523</v>
      </c>
      <c r="BS178" s="456">
        <f t="shared" si="488"/>
        <v>5.9545032835580797E-2</v>
      </c>
      <c r="BT178" s="456">
        <f t="shared" si="489"/>
        <v>8.0827604362888068E-3</v>
      </c>
      <c r="BU178" s="456">
        <f t="shared" si="490"/>
        <v>22.091227405476197</v>
      </c>
      <c r="BV178" s="456"/>
      <c r="BW178" s="538">
        <f t="shared" si="533"/>
        <v>8.082328571349344E-2</v>
      </c>
      <c r="BX178" s="144">
        <f t="shared" si="491"/>
        <v>22431.069154311517</v>
      </c>
      <c r="BY178" s="150">
        <f t="shared" si="492"/>
        <v>25.650658035373599</v>
      </c>
      <c r="BZ178" s="5">
        <f t="shared" si="493"/>
        <v>61.88</v>
      </c>
      <c r="CA178" s="150">
        <f t="shared" si="494"/>
        <v>0.70695229978726482</v>
      </c>
      <c r="CB178" s="5">
        <f t="shared" si="495"/>
        <v>70.695229978726488</v>
      </c>
      <c r="CC178">
        <f t="shared" si="496"/>
        <v>68</v>
      </c>
      <c r="CE178" s="59">
        <f t="shared" si="534"/>
        <v>-50</v>
      </c>
      <c r="CF178">
        <f t="shared" si="535"/>
        <v>-50</v>
      </c>
      <c r="CG178" s="150">
        <f t="shared" si="536"/>
        <v>0.49840675206849377</v>
      </c>
      <c r="CH178" s="150">
        <f t="shared" si="537"/>
        <v>0.1350568335034627</v>
      </c>
      <c r="CI178" s="147">
        <v>68</v>
      </c>
      <c r="CJ178" s="188">
        <f t="shared" si="602"/>
        <v>0.34</v>
      </c>
      <c r="CK178" s="188">
        <f t="shared" si="538"/>
        <v>0.34</v>
      </c>
      <c r="CL178" s="188">
        <f t="shared" si="539"/>
        <v>57.800000000000004</v>
      </c>
      <c r="CM178" s="188">
        <f t="shared" si="540"/>
        <v>4.08</v>
      </c>
      <c r="CN178" s="465">
        <f t="shared" si="541"/>
        <v>9</v>
      </c>
      <c r="CO178" s="379">
        <f t="shared" si="542"/>
        <v>8.625</v>
      </c>
      <c r="CP178" s="379">
        <f t="shared" si="543"/>
        <v>17.625</v>
      </c>
      <c r="CQ178" s="379"/>
      <c r="CR178" s="188">
        <f t="shared" si="544"/>
        <v>0.48674080410607357</v>
      </c>
      <c r="CS178" s="149">
        <f t="shared" si="545"/>
        <v>136.39440115060304</v>
      </c>
      <c r="CT178" s="149">
        <f t="shared" si="546"/>
        <v>9.6278400812190377</v>
      </c>
      <c r="CU178" s="188">
        <f t="shared" si="547"/>
        <v>0.80232000676825321</v>
      </c>
      <c r="CV178" s="188">
        <f t="shared" si="548"/>
        <v>11.366200095883586</v>
      </c>
      <c r="CW178" s="188">
        <f t="shared" si="549"/>
        <v>170</v>
      </c>
      <c r="CX178" s="188">
        <f t="shared" si="550"/>
        <v>28.251404022651826</v>
      </c>
      <c r="CY178" s="188">
        <f t="shared" si="551"/>
        <v>4.7085673371086374</v>
      </c>
      <c r="CZ178" s="188">
        <f t="shared" si="552"/>
        <v>4.9132876561133614</v>
      </c>
      <c r="DA178" s="172">
        <f t="shared" si="553"/>
        <v>220.21276595744678</v>
      </c>
      <c r="DB178" s="379">
        <f t="shared" si="554"/>
        <v>103.93006345496146</v>
      </c>
      <c r="DD178" s="188">
        <f t="shared" si="555"/>
        <v>13.333333333333336</v>
      </c>
      <c r="DE178" s="150">
        <f t="shared" si="556"/>
        <v>2.3188405797101459</v>
      </c>
      <c r="DF178" s="150">
        <f t="shared" si="557"/>
        <v>0.15898994622398885</v>
      </c>
      <c r="DG178" s="150"/>
      <c r="DH178" s="150">
        <f t="shared" si="558"/>
        <v>2.3188405797101455</v>
      </c>
      <c r="DI178" s="314">
        <f t="shared" si="559"/>
        <v>470.9249999999999</v>
      </c>
      <c r="DJ178" s="456">
        <f t="shared" si="560"/>
        <v>0.15898994622398879</v>
      </c>
      <c r="DL178" s="150">
        <f t="shared" si="561"/>
        <v>15.353609781850434</v>
      </c>
      <c r="DM178" s="150">
        <f t="shared" si="562"/>
        <v>28.251404022651826</v>
      </c>
      <c r="DN178" s="150">
        <f t="shared" si="563"/>
        <v>12.250422732828513</v>
      </c>
      <c r="DP178" s="314">
        <f t="shared" si="564"/>
        <v>340</v>
      </c>
      <c r="DQ178" s="144">
        <f t="shared" si="565"/>
        <v>103.93006345496146</v>
      </c>
      <c r="DS178">
        <f t="shared" si="566"/>
        <v>340</v>
      </c>
      <c r="DT178">
        <f t="shared" si="567"/>
        <v>103.93006345496146</v>
      </c>
      <c r="DV178" s="5">
        <f t="shared" si="568"/>
        <v>9.6218549932219979</v>
      </c>
      <c r="DW178" s="5">
        <f t="shared" si="569"/>
        <v>4.7085673371086374</v>
      </c>
      <c r="DX178" s="5">
        <f t="shared" si="570"/>
        <v>4.9132876561133605</v>
      </c>
      <c r="DY178" s="150">
        <f t="shared" si="571"/>
        <v>0.48936170212765961</v>
      </c>
      <c r="EA178" s="5">
        <f t="shared" si="572"/>
        <v>0.94171346742172757</v>
      </c>
      <c r="EB178" s="5">
        <f t="shared" si="573"/>
        <v>13.340940788474475</v>
      </c>
      <c r="EC178" s="5">
        <f t="shared" si="574"/>
        <v>52.590375282102258</v>
      </c>
      <c r="ED178" s="5"/>
      <c r="EE178" s="150">
        <f t="shared" si="575"/>
        <v>11.410229972873845</v>
      </c>
      <c r="EF178" s="150">
        <f t="shared" si="576"/>
        <v>0.54435678228051876</v>
      </c>
      <c r="EG178" s="150">
        <f t="shared" si="577"/>
        <v>0.51783940226133895</v>
      </c>
      <c r="EH178" s="150"/>
      <c r="EI178" s="456">
        <f t="shared" si="578"/>
        <v>0.44265738331515342</v>
      </c>
      <c r="EJ178" s="456">
        <f t="shared" si="579"/>
        <v>1.5732000000000002</v>
      </c>
      <c r="EK178" s="456">
        <f t="shared" si="580"/>
        <v>2.3799984531186175E-2</v>
      </c>
      <c r="EL178" s="456">
        <f t="shared" si="581"/>
        <v>2.2115156409538136E-2</v>
      </c>
      <c r="EM178">
        <f t="shared" si="582"/>
        <v>4.0499999999999998E-3</v>
      </c>
      <c r="EN178" s="144">
        <f t="shared" si="583"/>
        <v>27.849984531186173</v>
      </c>
      <c r="EP178" s="144">
        <f t="shared" si="603"/>
        <v>2065.8225242558779</v>
      </c>
      <c r="EQ178" s="150">
        <f t="shared" si="584"/>
        <v>0.85000000000000009</v>
      </c>
      <c r="ER178" s="150">
        <f t="shared" si="585"/>
        <v>0.2414</v>
      </c>
      <c r="ES178" s="456"/>
      <c r="EU178" s="144">
        <f t="shared" si="497"/>
        <v>1091.4000000000001</v>
      </c>
      <c r="EV178" s="456">
        <f t="shared" si="586"/>
        <v>0.19529002205080298</v>
      </c>
      <c r="EW178" s="456">
        <f t="shared" si="587"/>
        <v>5.9264861282960025E-2</v>
      </c>
      <c r="EX178" s="456">
        <f t="shared" si="588"/>
        <v>8.0447293960314251E-3</v>
      </c>
      <c r="EY178" s="456">
        <f t="shared" si="589"/>
        <v>23.357323485002272</v>
      </c>
      <c r="EZ178" s="456"/>
      <c r="FA178" s="538">
        <f t="shared" si="590"/>
        <v>8.2950930960126651E-2</v>
      </c>
      <c r="FB178" s="144">
        <f t="shared" si="498"/>
        <v>23702.874028692193</v>
      </c>
      <c r="FC178" s="150">
        <f t="shared" si="591"/>
        <v>26.860096552948072</v>
      </c>
      <c r="FD178" s="5">
        <f t="shared" si="592"/>
        <v>61.88</v>
      </c>
      <c r="FE178" s="150">
        <f t="shared" si="593"/>
        <v>0.69731724895158753</v>
      </c>
      <c r="FF178" s="5">
        <f t="shared" si="594"/>
        <v>69.731724895158749</v>
      </c>
      <c r="FG178">
        <f t="shared" si="595"/>
        <v>68</v>
      </c>
      <c r="FI178" s="59">
        <f t="shared" si="596"/>
        <v>-50</v>
      </c>
      <c r="FJ178">
        <f t="shared" si="597"/>
        <v>-50</v>
      </c>
    </row>
    <row r="179" spans="5:166">
      <c r="E179" s="147">
        <v>69</v>
      </c>
      <c r="F179" s="188">
        <f t="shared" si="598"/>
        <v>0.34499999999999997</v>
      </c>
      <c r="G179" s="188">
        <f t="shared" si="499"/>
        <v>0.34499999999999997</v>
      </c>
      <c r="H179" s="188">
        <f t="shared" si="500"/>
        <v>58.65</v>
      </c>
      <c r="I179" s="188">
        <f t="shared" si="501"/>
        <v>4.1399999999999997</v>
      </c>
      <c r="J179" s="465">
        <f t="shared" si="502"/>
        <v>8.913587956895249</v>
      </c>
      <c r="K179" s="379">
        <f t="shared" si="503"/>
        <v>8.67663841704886</v>
      </c>
      <c r="L179" s="149">
        <f t="shared" si="504"/>
        <v>17.590226373944109</v>
      </c>
      <c r="M179" s="379"/>
      <c r="N179" s="188">
        <f t="shared" si="505"/>
        <v>0.49326473875863885</v>
      </c>
      <c r="O179" s="149">
        <f t="shared" si="506"/>
        <v>136.89541537421513</v>
      </c>
      <c r="P179" s="149">
        <f t="shared" si="507"/>
        <v>9.6632057911210669</v>
      </c>
      <c r="Q179" s="188">
        <f t="shared" si="508"/>
        <v>0.80526714926008902</v>
      </c>
      <c r="R179" s="188">
        <f t="shared" si="509"/>
        <v>11.407951281184594</v>
      </c>
      <c r="S179" s="188">
        <f t="shared" si="510"/>
        <v>170</v>
      </c>
      <c r="T179" s="188">
        <f t="shared" si="511"/>
        <v>28.561949933178457</v>
      </c>
      <c r="U179" s="188">
        <f t="shared" si="512"/>
        <v>4.8064735667555576</v>
      </c>
      <c r="V179" s="188">
        <f t="shared" si="513"/>
        <v>4.9377331220331788</v>
      </c>
      <c r="W179" s="172">
        <f t="shared" si="514"/>
        <v>219.83793174800417</v>
      </c>
      <c r="X179" s="379">
        <f t="shared" si="599"/>
        <v>100.5610634709973</v>
      </c>
      <c r="Z179" s="188">
        <f t="shared" si="515"/>
        <v>13.333333333333334</v>
      </c>
      <c r="AA179" s="150">
        <f t="shared" si="516"/>
        <v>2.305040159412624</v>
      </c>
      <c r="AB179" s="150">
        <f t="shared" si="517"/>
        <v>0.157774715038519</v>
      </c>
      <c r="AC179" s="150"/>
      <c r="AD179" s="150">
        <f t="shared" si="518"/>
        <v>2.305040159412624</v>
      </c>
      <c r="AE179" s="314">
        <f t="shared" si="519"/>
        <v>480.71128782926269</v>
      </c>
      <c r="AF179" s="456">
        <f t="shared" si="520"/>
        <v>0.15777471503851909</v>
      </c>
      <c r="AH179" s="150">
        <f t="shared" si="521"/>
        <v>15.466091943344964</v>
      </c>
      <c r="AI179" s="150">
        <f t="shared" si="522"/>
        <v>28.561949933178457</v>
      </c>
      <c r="AJ179" s="150">
        <f t="shared" si="523"/>
        <v>12.480456740626016</v>
      </c>
      <c r="AL179" s="314">
        <f t="shared" si="524"/>
        <v>345</v>
      </c>
      <c r="AM179" s="144">
        <f t="shared" si="525"/>
        <v>100.5610634709973</v>
      </c>
      <c r="AO179">
        <f t="shared" si="526"/>
        <v>345</v>
      </c>
      <c r="AP179">
        <f t="shared" si="527"/>
        <v>100.5610634709973</v>
      </c>
      <c r="AR179" s="5">
        <f t="shared" si="443"/>
        <v>9.9442066887887375</v>
      </c>
      <c r="AS179" s="5">
        <f t="shared" ref="AS179:AS242" si="604">L*AI179/J179*1000000</f>
        <v>4.8064735667555576</v>
      </c>
      <c r="AT179" s="5">
        <f t="shared" ref="AT179:AT242" si="605">AR179-AS179</f>
        <v>5.1377331220331799</v>
      </c>
      <c r="AU179" s="150">
        <f t="shared" ref="AU179:AU242" si="606">AS179/AR179</f>
        <v>0.48334409341817636</v>
      </c>
      <c r="AW179" s="5">
        <f t="shared" si="477"/>
        <v>0.97543140031215725</v>
      </c>
      <c r="AX179" s="5">
        <f t="shared" si="478"/>
        <v>13.818611504422227</v>
      </c>
      <c r="AY179" s="5">
        <f t="shared" si="479"/>
        <v>56.342453241878651</v>
      </c>
      <c r="AZ179" s="5"/>
      <c r="BA179" s="150">
        <f t="shared" si="480"/>
        <v>11.464508326549685</v>
      </c>
      <c r="BB179" s="150">
        <f t="shared" si="481"/>
        <v>0.55357371841616998</v>
      </c>
      <c r="BC179" s="150">
        <f t="shared" si="482"/>
        <v>0.52660735161832339</v>
      </c>
      <c r="BD179" s="150"/>
      <c r="BE179" s="456">
        <f t="shared" si="483"/>
        <v>0.446878833976392</v>
      </c>
      <c r="BF179" s="456">
        <f t="shared" si="528"/>
        <v>1.2100258752119897</v>
      </c>
      <c r="BG179" s="456">
        <f t="shared" si="529"/>
        <v>4.1053282700374838E-2</v>
      </c>
      <c r="BH179" s="456">
        <f t="shared" si="484"/>
        <v>2.1313917781020802E-2</v>
      </c>
      <c r="BI179">
        <f t="shared" si="485"/>
        <v>4.0111145806028623E-3</v>
      </c>
      <c r="BJ179" s="144">
        <f t="shared" si="600"/>
        <v>45.064397280977701</v>
      </c>
      <c r="BK179">
        <f t="shared" si="530"/>
        <v>2.0125670874213095</v>
      </c>
      <c r="BL179" s="144">
        <f t="shared" si="601"/>
        <v>1723.2830242503803</v>
      </c>
      <c r="BM179" s="150">
        <f t="shared" si="531"/>
        <v>0.76546874999999992</v>
      </c>
      <c r="BN179" s="150">
        <f t="shared" si="532"/>
        <v>0.76546874999999992</v>
      </c>
      <c r="BO179" s="456"/>
      <c r="BQ179" s="144">
        <f t="shared" si="486"/>
        <v>1530.9374999999998</v>
      </c>
      <c r="BR179" s="456">
        <f t="shared" si="487"/>
        <v>0.19715242675429059</v>
      </c>
      <c r="BS179" s="456">
        <f t="shared" si="488"/>
        <v>6.1288772344221011E-2</v>
      </c>
      <c r="BT179" s="456">
        <f t="shared" si="489"/>
        <v>8.3194590833539344E-3</v>
      </c>
      <c r="BU179" s="456">
        <f t="shared" si="490"/>
        <v>22.106209525114629</v>
      </c>
      <c r="BV179" s="456"/>
      <c r="BW179" s="538">
        <f t="shared" si="533"/>
        <v>8.2036205553241606E-2</v>
      </c>
      <c r="BX179" s="144">
        <f t="shared" si="491"/>
        <v>22455.006388849735</v>
      </c>
      <c r="BY179" s="150">
        <f t="shared" si="492"/>
        <v>25.709226913100114</v>
      </c>
      <c r="BZ179" s="5">
        <f t="shared" si="493"/>
        <v>62.79</v>
      </c>
      <c r="CA179" s="150">
        <f t="shared" si="494"/>
        <v>0.70949772320220683</v>
      </c>
      <c r="CB179" s="5">
        <f t="shared" si="495"/>
        <v>70.949772320220688</v>
      </c>
      <c r="CC179">
        <f t="shared" si="496"/>
        <v>69</v>
      </c>
      <c r="CE179" s="59">
        <f t="shared" si="534"/>
        <v>-50</v>
      </c>
      <c r="CF179">
        <f t="shared" si="535"/>
        <v>-50</v>
      </c>
      <c r="CG179" s="150">
        <f t="shared" si="536"/>
        <v>0.49840675206849377</v>
      </c>
      <c r="CH179" s="150">
        <f t="shared" si="537"/>
        <v>0.1350568335034627</v>
      </c>
      <c r="CI179" s="147">
        <v>69</v>
      </c>
      <c r="CJ179" s="188">
        <f t="shared" si="602"/>
        <v>0.34499999999999997</v>
      </c>
      <c r="CK179" s="188">
        <f t="shared" si="538"/>
        <v>0.34499999999999997</v>
      </c>
      <c r="CL179" s="188">
        <f t="shared" si="539"/>
        <v>58.65</v>
      </c>
      <c r="CM179" s="188">
        <f t="shared" si="540"/>
        <v>4.1399999999999997</v>
      </c>
      <c r="CN179" s="465">
        <f t="shared" si="541"/>
        <v>9</v>
      </c>
      <c r="CO179" s="379">
        <f t="shared" si="542"/>
        <v>8.625</v>
      </c>
      <c r="CP179" s="379">
        <f t="shared" si="543"/>
        <v>17.625</v>
      </c>
      <c r="CQ179" s="379"/>
      <c r="CR179" s="188">
        <f t="shared" si="544"/>
        <v>0.48674080410607357</v>
      </c>
      <c r="CS179" s="149">
        <f t="shared" si="545"/>
        <v>136.39440115060304</v>
      </c>
      <c r="CT179" s="149">
        <f t="shared" si="546"/>
        <v>9.6278400812190377</v>
      </c>
      <c r="CU179" s="188">
        <f t="shared" si="547"/>
        <v>0.80232000676825321</v>
      </c>
      <c r="CV179" s="188">
        <f t="shared" si="548"/>
        <v>11.366200095883586</v>
      </c>
      <c r="CW179" s="188">
        <f t="shared" si="549"/>
        <v>170</v>
      </c>
      <c r="CX179" s="188">
        <f t="shared" si="550"/>
        <v>28.666865846514352</v>
      </c>
      <c r="CY179" s="188">
        <f t="shared" si="551"/>
        <v>4.7778109744190589</v>
      </c>
      <c r="CZ179" s="188">
        <f t="shared" si="552"/>
        <v>4.9855418863503225</v>
      </c>
      <c r="DA179" s="172">
        <f t="shared" si="553"/>
        <v>220.21276595744678</v>
      </c>
      <c r="DB179" s="379">
        <f t="shared" si="554"/>
        <v>102.42383065126637</v>
      </c>
      <c r="DD179" s="188">
        <f t="shared" si="555"/>
        <v>13.333333333333336</v>
      </c>
      <c r="DE179" s="150">
        <f t="shared" si="556"/>
        <v>2.3188405797101459</v>
      </c>
      <c r="DF179" s="150">
        <f t="shared" si="557"/>
        <v>0.15898994622398885</v>
      </c>
      <c r="DG179" s="150"/>
      <c r="DH179" s="150">
        <f t="shared" si="558"/>
        <v>2.3188405797101455</v>
      </c>
      <c r="DI179" s="314">
        <f t="shared" si="559"/>
        <v>477.85036764705865</v>
      </c>
      <c r="DJ179" s="456">
        <f t="shared" si="560"/>
        <v>0.15898994622398879</v>
      </c>
      <c r="DL179" s="150">
        <f t="shared" si="561"/>
        <v>15.466091943344964</v>
      </c>
      <c r="DM179" s="150">
        <f t="shared" si="562"/>
        <v>28.666865846514352</v>
      </c>
      <c r="DN179" s="150">
        <f t="shared" si="563"/>
        <v>12.558172231985939</v>
      </c>
      <c r="DP179" s="314">
        <f t="shared" si="564"/>
        <v>345</v>
      </c>
      <c r="DQ179" s="144">
        <f t="shared" si="565"/>
        <v>102.42383065126637</v>
      </c>
      <c r="DS179">
        <f t="shared" si="566"/>
        <v>345</v>
      </c>
      <c r="DT179">
        <f t="shared" si="567"/>
        <v>102.42383065126637</v>
      </c>
      <c r="DV179" s="5">
        <f t="shared" si="568"/>
        <v>9.7633528607693787</v>
      </c>
      <c r="DW179" s="5">
        <f t="shared" si="569"/>
        <v>4.7778109744190589</v>
      </c>
      <c r="DX179" s="5">
        <f t="shared" si="570"/>
        <v>4.9855418863503198</v>
      </c>
      <c r="DY179" s="150">
        <f t="shared" si="571"/>
        <v>0.48936170212765973</v>
      </c>
      <c r="EA179" s="5">
        <f t="shared" si="572"/>
        <v>0.9696145801026913</v>
      </c>
      <c r="EB179" s="5">
        <f t="shared" si="573"/>
        <v>13.736206551454794</v>
      </c>
      <c r="EC179" s="5">
        <f t="shared" si="574"/>
        <v>54.1485243767493</v>
      </c>
      <c r="ED179" s="5"/>
      <c r="EE179" s="150">
        <f t="shared" si="575"/>
        <v>11.578027472474931</v>
      </c>
      <c r="EF179" s="150">
        <f t="shared" si="576"/>
        <v>0.55236202907876153</v>
      </c>
      <c r="EG179" s="150">
        <f t="shared" si="577"/>
        <v>0.52545468758871161</v>
      </c>
      <c r="EH179" s="150"/>
      <c r="EI179" s="456">
        <f t="shared" si="578"/>
        <v>0.45577244852150639</v>
      </c>
      <c r="EJ179" s="456">
        <f t="shared" si="579"/>
        <v>1.5732000000000004</v>
      </c>
      <c r="EK179" s="456">
        <f t="shared" si="580"/>
        <v>2.3455057219139999E-2</v>
      </c>
      <c r="EL179" s="456">
        <f t="shared" si="581"/>
        <v>2.1794646896356427E-2</v>
      </c>
      <c r="EM179">
        <f t="shared" si="582"/>
        <v>4.0499999999999998E-3</v>
      </c>
      <c r="EN179" s="144">
        <f t="shared" si="583"/>
        <v>27.505057219139996</v>
      </c>
      <c r="EP179" s="144">
        <f t="shared" si="603"/>
        <v>2078.2721526370028</v>
      </c>
      <c r="EQ179" s="150">
        <f t="shared" si="584"/>
        <v>0.86249999999999993</v>
      </c>
      <c r="ER179" s="150">
        <f t="shared" si="585"/>
        <v>0.24494999999999995</v>
      </c>
      <c r="ES179" s="456"/>
      <c r="EU179" s="144">
        <f t="shared" si="497"/>
        <v>1107.4499999999998</v>
      </c>
      <c r="EV179" s="456">
        <f t="shared" si="586"/>
        <v>0.20107608023007636</v>
      </c>
      <c r="EW179" s="456">
        <f t="shared" si="587"/>
        <v>6.1020762233601325E-2</v>
      </c>
      <c r="EX179" s="456">
        <f t="shared" si="588"/>
        <v>8.2830788612685158E-3</v>
      </c>
      <c r="EY179" s="456">
        <f t="shared" si="589"/>
        <v>23.35732348500223</v>
      </c>
      <c r="EZ179" s="456"/>
      <c r="FA179" s="538">
        <f t="shared" si="590"/>
        <v>8.4170797591893221E-2</v>
      </c>
      <c r="FB179" s="144">
        <f t="shared" si="498"/>
        <v>23711.874203919066</v>
      </c>
      <c r="FC179" s="150">
        <f t="shared" si="591"/>
        <v>26.897596356556068</v>
      </c>
      <c r="FD179" s="5">
        <f t="shared" si="592"/>
        <v>62.79</v>
      </c>
      <c r="FE179" s="150">
        <f t="shared" si="593"/>
        <v>0.70009680882043301</v>
      </c>
      <c r="FF179" s="5">
        <f t="shared" si="594"/>
        <v>70.009680882043298</v>
      </c>
      <c r="FG179">
        <f t="shared" si="595"/>
        <v>69</v>
      </c>
      <c r="FI179" s="59">
        <f t="shared" si="596"/>
        <v>-50</v>
      </c>
      <c r="FJ179">
        <f t="shared" si="597"/>
        <v>-50</v>
      </c>
    </row>
    <row r="180" spans="5:166">
      <c r="E180" s="147">
        <v>70</v>
      </c>
      <c r="F180" s="188">
        <f t="shared" si="598"/>
        <v>0.35</v>
      </c>
      <c r="G180" s="188">
        <f t="shared" si="499"/>
        <v>0.35</v>
      </c>
      <c r="H180" s="188">
        <f t="shared" si="500"/>
        <v>59.499999999999993</v>
      </c>
      <c r="I180" s="188">
        <f t="shared" si="501"/>
        <v>4.1999999999999993</v>
      </c>
      <c r="J180" s="465">
        <f t="shared" si="502"/>
        <v>8.9123356084444563</v>
      </c>
      <c r="K180" s="379">
        <f t="shared" si="503"/>
        <v>8.6773867999046406</v>
      </c>
      <c r="L180" s="149">
        <f t="shared" si="504"/>
        <v>17.589722408349097</v>
      </c>
      <c r="M180" s="379"/>
      <c r="N180" s="188">
        <f t="shared" si="505"/>
        <v>0.49332141795403506</v>
      </c>
      <c r="O180" s="149">
        <f t="shared" si="506"/>
        <v>136.89190965912266</v>
      </c>
      <c r="P180" s="149">
        <f t="shared" si="507"/>
        <v>9.6629583288792471</v>
      </c>
      <c r="Q180" s="188">
        <f t="shared" si="508"/>
        <v>0.80524652740660385</v>
      </c>
      <c r="R180" s="188">
        <f t="shared" si="509"/>
        <v>11.407659138260222</v>
      </c>
      <c r="S180" s="188">
        <f t="shared" si="510"/>
        <v>170</v>
      </c>
      <c r="T180" s="188">
        <f t="shared" si="511"/>
        <v>28.976633290777691</v>
      </c>
      <c r="U180" s="188">
        <f t="shared" si="512"/>
        <v>4.8769426832382088</v>
      </c>
      <c r="V180" s="188">
        <f t="shared" si="513"/>
        <v>5.0089907178788202</v>
      </c>
      <c r="W180" s="172">
        <f t="shared" si="514"/>
        <v>219.83230198200283</v>
      </c>
      <c r="X180" s="379">
        <f t="shared" si="599"/>
        <v>99.147987620981993</v>
      </c>
      <c r="Z180" s="188">
        <f t="shared" si="515"/>
        <v>13.333333333333334</v>
      </c>
      <c r="AA180" s="150">
        <f t="shared" si="516"/>
        <v>2.3048413607907614</v>
      </c>
      <c r="AB180" s="150">
        <f t="shared" si="517"/>
        <v>0.15775706766998909</v>
      </c>
      <c r="AC180" s="150"/>
      <c r="AD180" s="150">
        <f t="shared" si="518"/>
        <v>2.3048413607907614</v>
      </c>
      <c r="AE180" s="314">
        <f t="shared" si="519"/>
        <v>487.72018160640488</v>
      </c>
      <c r="AF180" s="456">
        <f t="shared" si="520"/>
        <v>0.15775706766998912</v>
      </c>
      <c r="AH180" s="150">
        <f t="shared" si="521"/>
        <v>15.577761927397228</v>
      </c>
      <c r="AI180" s="150">
        <f t="shared" si="522"/>
        <v>28.976633290777691</v>
      </c>
      <c r="AJ180" s="150">
        <f t="shared" si="523"/>
        <v>12.78762959810693</v>
      </c>
      <c r="AL180" s="314">
        <f t="shared" si="524"/>
        <v>350</v>
      </c>
      <c r="AM180" s="144">
        <f t="shared" si="525"/>
        <v>99.147987620981993</v>
      </c>
      <c r="AO180">
        <f t="shared" si="526"/>
        <v>350</v>
      </c>
      <c r="AP180">
        <f t="shared" si="527"/>
        <v>99.147987620981993</v>
      </c>
      <c r="AR180" s="5">
        <f t="shared" si="443"/>
        <v>10.085933401117028</v>
      </c>
      <c r="AS180" s="5">
        <f t="shared" si="604"/>
        <v>4.8769426832382088</v>
      </c>
      <c r="AT180" s="5">
        <f t="shared" si="605"/>
        <v>5.2089907178788195</v>
      </c>
      <c r="AU180" s="150">
        <f t="shared" si="606"/>
        <v>0.48353905278594067</v>
      </c>
      <c r="AW180" s="5">
        <f t="shared" si="477"/>
        <v>1.0040764347843369</v>
      </c>
      <c r="AX180" s="5">
        <f t="shared" si="478"/>
        <v>14.224416159444775</v>
      </c>
      <c r="AY180" s="5">
        <f t="shared" si="479"/>
        <v>57.959918576249471</v>
      </c>
      <c r="AZ180" s="5"/>
      <c r="BA180" s="150">
        <f t="shared" si="480"/>
        <v>11.633303942461076</v>
      </c>
      <c r="BB180" s="150">
        <f t="shared" si="481"/>
        <v>0.56150493652608569</v>
      </c>
      <c r="BC180" s="150">
        <f t="shared" si="482"/>
        <v>0.53415221443428196</v>
      </c>
      <c r="BD180" s="150"/>
      <c r="BE180" s="456">
        <f t="shared" si="483"/>
        <v>0.46013478610011338</v>
      </c>
      <c r="BF180" s="456">
        <f t="shared" si="528"/>
        <v>1.2103091929767995</v>
      </c>
      <c r="BG180" s="456">
        <f t="shared" si="529"/>
        <v>4.0470718438568025E-2</v>
      </c>
      <c r="BH180" s="456">
        <f t="shared" si="484"/>
        <v>2.1013212227083595E-2</v>
      </c>
      <c r="BI180">
        <f t="shared" si="485"/>
        <v>4.0105510238000056E-3</v>
      </c>
      <c r="BJ180" s="144">
        <f t="shared" si="600"/>
        <v>44.481269462368033</v>
      </c>
      <c r="BK180">
        <f t="shared" si="530"/>
        <v>2.0385659758887575</v>
      </c>
      <c r="BL180" s="144">
        <f t="shared" si="601"/>
        <v>1735.9384607663646</v>
      </c>
      <c r="BM180" s="150">
        <f t="shared" si="531"/>
        <v>0.77656249999999993</v>
      </c>
      <c r="BN180" s="150">
        <f t="shared" si="532"/>
        <v>0.77656249999999993</v>
      </c>
      <c r="BO180" s="456"/>
      <c r="BQ180" s="144">
        <f t="shared" si="486"/>
        <v>1553.1249999999998</v>
      </c>
      <c r="BR180" s="456">
        <f t="shared" si="487"/>
        <v>0.20300064092652062</v>
      </c>
      <c r="BS180" s="456">
        <f t="shared" si="488"/>
        <v>6.3057558748632711E-2</v>
      </c>
      <c r="BT180" s="456">
        <f t="shared" si="489"/>
        <v>8.5595576455514133E-3</v>
      </c>
      <c r="BU180" s="456">
        <f t="shared" si="490"/>
        <v>22.120736153948382</v>
      </c>
      <c r="BV180" s="456"/>
      <c r="BW180" s="538">
        <f t="shared" si="533"/>
        <v>8.3249139516944889E-2</v>
      </c>
      <c r="BX180" s="144">
        <f t="shared" si="491"/>
        <v>22478.603050786031</v>
      </c>
      <c r="BY180" s="150">
        <f t="shared" si="492"/>
        <v>25.767666511552395</v>
      </c>
      <c r="BZ180" s="5">
        <f t="shared" si="493"/>
        <v>63.699999999999989</v>
      </c>
      <c r="CA180" s="150">
        <f t="shared" si="494"/>
        <v>0.71198906245950677</v>
      </c>
      <c r="CB180" s="5">
        <f t="shared" si="495"/>
        <v>71.198906245950681</v>
      </c>
      <c r="CC180">
        <f t="shared" si="496"/>
        <v>70</v>
      </c>
      <c r="CE180" s="59">
        <f t="shared" si="534"/>
        <v>-50</v>
      </c>
      <c r="CF180">
        <f t="shared" si="535"/>
        <v>-50</v>
      </c>
      <c r="CG180" s="150">
        <f t="shared" si="536"/>
        <v>0.49840675206849377</v>
      </c>
      <c r="CH180" s="150">
        <f t="shared" si="537"/>
        <v>0.1350568335034627</v>
      </c>
      <c r="CI180" s="147">
        <v>70</v>
      </c>
      <c r="CJ180" s="188">
        <f t="shared" si="602"/>
        <v>0.35</v>
      </c>
      <c r="CK180" s="188">
        <f t="shared" si="538"/>
        <v>0.35</v>
      </c>
      <c r="CL180" s="188">
        <f t="shared" si="539"/>
        <v>59.499999999999993</v>
      </c>
      <c r="CM180" s="188">
        <f t="shared" si="540"/>
        <v>4.1999999999999993</v>
      </c>
      <c r="CN180" s="465">
        <f t="shared" si="541"/>
        <v>9</v>
      </c>
      <c r="CO180" s="379">
        <f t="shared" si="542"/>
        <v>8.625</v>
      </c>
      <c r="CP180" s="379">
        <f t="shared" si="543"/>
        <v>17.625</v>
      </c>
      <c r="CQ180" s="379"/>
      <c r="CR180" s="188">
        <f t="shared" si="544"/>
        <v>0.48674080410607357</v>
      </c>
      <c r="CS180" s="149">
        <f t="shared" si="545"/>
        <v>136.39440115060304</v>
      </c>
      <c r="CT180" s="149">
        <f t="shared" si="546"/>
        <v>9.6278400812190377</v>
      </c>
      <c r="CU180" s="188">
        <f t="shared" si="547"/>
        <v>0.80232000676825321</v>
      </c>
      <c r="CV180" s="188">
        <f t="shared" si="548"/>
        <v>11.366200095883586</v>
      </c>
      <c r="CW180" s="188">
        <f t="shared" si="549"/>
        <v>170</v>
      </c>
      <c r="CX180" s="188">
        <f t="shared" si="550"/>
        <v>29.082327670376873</v>
      </c>
      <c r="CY180" s="188">
        <f t="shared" si="551"/>
        <v>4.8470546117294786</v>
      </c>
      <c r="CZ180" s="188">
        <f t="shared" si="552"/>
        <v>5.0577961165872827</v>
      </c>
      <c r="DA180" s="172">
        <f t="shared" si="553"/>
        <v>220.21276595744678</v>
      </c>
      <c r="DB180" s="379">
        <f t="shared" si="554"/>
        <v>100.960633070534</v>
      </c>
      <c r="DD180" s="188">
        <f t="shared" si="555"/>
        <v>13.333333333333336</v>
      </c>
      <c r="DE180" s="150">
        <f t="shared" si="556"/>
        <v>2.3188405797101459</v>
      </c>
      <c r="DF180" s="150">
        <f t="shared" si="557"/>
        <v>0.15898994622398885</v>
      </c>
      <c r="DG180" s="150"/>
      <c r="DH180" s="150">
        <f t="shared" si="558"/>
        <v>2.3188405797101455</v>
      </c>
      <c r="DI180" s="314">
        <f t="shared" si="559"/>
        <v>484.77573529411745</v>
      </c>
      <c r="DJ180" s="456">
        <f t="shared" si="560"/>
        <v>0.15898994622398879</v>
      </c>
      <c r="DL180" s="150">
        <f t="shared" si="561"/>
        <v>15.577761927397228</v>
      </c>
      <c r="DM180" s="150">
        <f t="shared" si="562"/>
        <v>29.082327670376873</v>
      </c>
      <c r="DN180" s="150">
        <f t="shared" si="563"/>
        <v>12.865921731143363</v>
      </c>
      <c r="DP180" s="314">
        <f t="shared" si="564"/>
        <v>350</v>
      </c>
      <c r="DQ180" s="144">
        <f t="shared" si="565"/>
        <v>100.960633070534</v>
      </c>
      <c r="DS180">
        <f t="shared" si="566"/>
        <v>350</v>
      </c>
      <c r="DT180">
        <f t="shared" si="567"/>
        <v>100.960633070534</v>
      </c>
      <c r="DV180" s="5">
        <f t="shared" si="568"/>
        <v>9.9048507283167613</v>
      </c>
      <c r="DW180" s="5">
        <f t="shared" si="569"/>
        <v>4.8470546117294786</v>
      </c>
      <c r="DX180" s="5">
        <f t="shared" si="570"/>
        <v>5.0577961165872827</v>
      </c>
      <c r="DY180" s="150">
        <f t="shared" si="571"/>
        <v>0.48936170212765956</v>
      </c>
      <c r="EA180" s="5">
        <f t="shared" si="572"/>
        <v>0.99792300829724545</v>
      </c>
      <c r="EB180" s="5">
        <f t="shared" si="573"/>
        <v>14.137242617544311</v>
      </c>
      <c r="EC180" s="5">
        <f t="shared" si="574"/>
        <v>55.729420173508018</v>
      </c>
      <c r="ED180" s="5"/>
      <c r="EE180" s="150">
        <f t="shared" si="575"/>
        <v>11.745824972076012</v>
      </c>
      <c r="EF180" s="150">
        <f t="shared" si="576"/>
        <v>0.56036727587700452</v>
      </c>
      <c r="EG180" s="150">
        <f t="shared" si="577"/>
        <v>0.53306997291608416</v>
      </c>
      <c r="EH180" s="150"/>
      <c r="EI180" s="456">
        <f t="shared" si="578"/>
        <v>0.46907897453379105</v>
      </c>
      <c r="EJ180" s="456">
        <f t="shared" si="579"/>
        <v>1.5732000000000004</v>
      </c>
      <c r="EK180" s="456">
        <f t="shared" si="580"/>
        <v>2.3119984973152284E-2</v>
      </c>
      <c r="EL180" s="456">
        <f t="shared" si="581"/>
        <v>2.1483294797837053E-2</v>
      </c>
      <c r="EM180">
        <f t="shared" si="582"/>
        <v>4.0499999999999998E-3</v>
      </c>
      <c r="EN180" s="144">
        <f t="shared" si="583"/>
        <v>27.169984973152282</v>
      </c>
      <c r="EP180" s="144">
        <f t="shared" si="603"/>
        <v>2090.9322543047806</v>
      </c>
      <c r="EQ180" s="150">
        <f t="shared" si="584"/>
        <v>0.875</v>
      </c>
      <c r="ER180" s="150">
        <f t="shared" si="585"/>
        <v>0.24849999999999997</v>
      </c>
      <c r="ES180" s="456"/>
      <c r="EU180" s="144">
        <f t="shared" si="497"/>
        <v>1123.5</v>
      </c>
      <c r="EV180" s="456">
        <f t="shared" si="586"/>
        <v>0.20694660641196666</v>
      </c>
      <c r="EW180" s="456">
        <f t="shared" si="587"/>
        <v>6.2802296774762983E-2</v>
      </c>
      <c r="EX180" s="456">
        <f t="shared" si="588"/>
        <v>8.524907880742642E-3</v>
      </c>
      <c r="EY180" s="456">
        <f t="shared" si="589"/>
        <v>23.357323485002276</v>
      </c>
      <c r="EZ180" s="456"/>
      <c r="FA180" s="538">
        <f t="shared" si="590"/>
        <v>8.5390664223659749E-2</v>
      </c>
      <c r="FB180" s="144">
        <f t="shared" si="498"/>
        <v>23720.987960293405</v>
      </c>
      <c r="FC180" s="150">
        <f t="shared" si="591"/>
        <v>26.935420214598189</v>
      </c>
      <c r="FD180" s="5">
        <f t="shared" si="592"/>
        <v>63.699999999999989</v>
      </c>
      <c r="FE180" s="150">
        <f t="shared" si="593"/>
        <v>0.70281574079070863</v>
      </c>
      <c r="FF180" s="5">
        <f t="shared" si="594"/>
        <v>70.281574079070865</v>
      </c>
      <c r="FG180">
        <f t="shared" si="595"/>
        <v>70</v>
      </c>
      <c r="FI180" s="59">
        <f t="shared" si="596"/>
        <v>-50</v>
      </c>
      <c r="FJ180">
        <f t="shared" si="597"/>
        <v>-50</v>
      </c>
    </row>
    <row r="181" spans="5:166">
      <c r="E181" s="147">
        <v>71</v>
      </c>
      <c r="F181" s="188">
        <f t="shared" si="598"/>
        <v>0.35499999999999998</v>
      </c>
      <c r="G181" s="188">
        <f t="shared" si="499"/>
        <v>0.35499999999999998</v>
      </c>
      <c r="H181" s="188">
        <f t="shared" si="500"/>
        <v>60.349999999999994</v>
      </c>
      <c r="I181" s="188">
        <f t="shared" si="501"/>
        <v>4.26</v>
      </c>
      <c r="J181" s="465">
        <f t="shared" si="502"/>
        <v>8.9110832599936636</v>
      </c>
      <c r="K181" s="379">
        <f t="shared" si="503"/>
        <v>8.6781351827604194</v>
      </c>
      <c r="L181" s="149">
        <f t="shared" si="504"/>
        <v>17.589218442754081</v>
      </c>
      <c r="M181" s="379"/>
      <c r="N181" s="188">
        <f t="shared" si="505"/>
        <v>0.4933781003973714</v>
      </c>
      <c r="O181" s="149">
        <f t="shared" si="506"/>
        <v>136.88840042504458</v>
      </c>
      <c r="P181" s="149">
        <f t="shared" si="507"/>
        <v>9.6627106182384406</v>
      </c>
      <c r="Q181" s="188">
        <f t="shared" si="508"/>
        <v>0.80522588485320346</v>
      </c>
      <c r="R181" s="188">
        <f t="shared" si="509"/>
        <v>11.407366702087048</v>
      </c>
      <c r="S181" s="188">
        <f t="shared" si="510"/>
        <v>170</v>
      </c>
      <c r="T181" s="188">
        <f t="shared" si="511"/>
        <v>29.391338644039269</v>
      </c>
      <c r="U181" s="188">
        <f t="shared" si="512"/>
        <v>4.9474353094631791</v>
      </c>
      <c r="V181" s="188">
        <f t="shared" si="513"/>
        <v>5.0802398254454602</v>
      </c>
      <c r="W181" s="172">
        <f t="shared" si="514"/>
        <v>219.82666656492441</v>
      </c>
      <c r="X181" s="379">
        <f t="shared" si="599"/>
        <v>97.773930713427262</v>
      </c>
      <c r="Z181" s="188">
        <f t="shared" si="515"/>
        <v>13.333333333333336</v>
      </c>
      <c r="AA181" s="150">
        <f t="shared" si="516"/>
        <v>2.3046425964567918</v>
      </c>
      <c r="AB181" s="150">
        <f t="shared" si="517"/>
        <v>0.1577394192901958</v>
      </c>
      <c r="AC181" s="150"/>
      <c r="AD181" s="150">
        <f t="shared" si="518"/>
        <v>2.3046425964567914</v>
      </c>
      <c r="AE181" s="314">
        <f t="shared" si="519"/>
        <v>494.73027719836801</v>
      </c>
      <c r="AF181" s="456">
        <f t="shared" si="520"/>
        <v>0.15773941929019578</v>
      </c>
      <c r="AH181" s="150">
        <f t="shared" si="521"/>
        <v>15.688637076984518</v>
      </c>
      <c r="AI181" s="150">
        <f t="shared" si="522"/>
        <v>29.391338644039269</v>
      </c>
      <c r="AJ181" s="150">
        <f t="shared" si="523"/>
        <v>13.094818748671063</v>
      </c>
      <c r="AL181" s="314">
        <f t="shared" si="524"/>
        <v>355</v>
      </c>
      <c r="AM181" s="144">
        <f t="shared" si="525"/>
        <v>97.773930713427262</v>
      </c>
      <c r="AO181">
        <f t="shared" si="526"/>
        <v>355</v>
      </c>
      <c r="AP181">
        <f t="shared" si="527"/>
        <v>97.773930713427262</v>
      </c>
      <c r="AR181" s="5">
        <f t="shared" si="443"/>
        <v>10.227675134908639</v>
      </c>
      <c r="AS181" s="5">
        <f t="shared" si="604"/>
        <v>4.9474353094631791</v>
      </c>
      <c r="AT181" s="5">
        <f t="shared" si="605"/>
        <v>5.2802398254454594</v>
      </c>
      <c r="AU181" s="150">
        <f t="shared" si="606"/>
        <v>0.48373019715661641</v>
      </c>
      <c r="AW181" s="5">
        <f t="shared" si="477"/>
        <v>1.0331409028584873</v>
      </c>
      <c r="AX181" s="5">
        <f t="shared" si="478"/>
        <v>14.636162790495236</v>
      </c>
      <c r="AY181" s="5">
        <f t="shared" si="479"/>
        <v>59.600399519003041</v>
      </c>
      <c r="AZ181" s="5"/>
      <c r="BA181" s="150">
        <f t="shared" si="480"/>
        <v>11.802128503635984</v>
      </c>
      <c r="BB181" s="150">
        <f t="shared" si="481"/>
        <v>0.56943563132423691</v>
      </c>
      <c r="BC181" s="150">
        <f t="shared" si="482"/>
        <v>0.54169657943068494</v>
      </c>
      <c r="BD181" s="150"/>
      <c r="BE181" s="456">
        <f t="shared" si="483"/>
        <v>0.47358680653554558</v>
      </c>
      <c r="BF181" s="456">
        <f t="shared" si="528"/>
        <v>1.2105828079729128</v>
      </c>
      <c r="BG181" s="456">
        <f t="shared" si="529"/>
        <v>3.9904240985784455E-2</v>
      </c>
      <c r="BH181" s="456">
        <f t="shared" si="484"/>
        <v>2.0720810147176569E-2</v>
      </c>
      <c r="BI181">
        <f t="shared" si="485"/>
        <v>4.0099874669971489E-3</v>
      </c>
      <c r="BJ181" s="144">
        <f t="shared" si="600"/>
        <v>43.9142284527816</v>
      </c>
      <c r="BK181">
        <f t="shared" si="530"/>
        <v>2.0651367784107575</v>
      </c>
      <c r="BL181" s="144">
        <f t="shared" si="601"/>
        <v>1748.8046531084165</v>
      </c>
      <c r="BM181" s="150">
        <f t="shared" si="531"/>
        <v>0.78765624999999995</v>
      </c>
      <c r="BN181" s="150">
        <f t="shared" si="532"/>
        <v>0.78765624999999995</v>
      </c>
      <c r="BO181" s="456"/>
      <c r="BQ181" s="144">
        <f t="shared" si="486"/>
        <v>1575.3125</v>
      </c>
      <c r="BR181" s="456">
        <f t="shared" si="487"/>
        <v>0.20893535582450543</v>
      </c>
      <c r="BS181" s="456">
        <f t="shared" si="488"/>
        <v>6.485138764432645E-2</v>
      </c>
      <c r="BT181" s="456">
        <f t="shared" si="489"/>
        <v>8.8030555250071304E-3</v>
      </c>
      <c r="BU181" s="456">
        <f t="shared" si="490"/>
        <v>22.134825814884504</v>
      </c>
      <c r="BV181" s="456"/>
      <c r="BW181" s="538">
        <f t="shared" si="533"/>
        <v>8.4462087023094795E-2</v>
      </c>
      <c r="BX181" s="144">
        <f t="shared" si="491"/>
        <v>22501.877700901437</v>
      </c>
      <c r="BY181" s="150">
        <f t="shared" si="492"/>
        <v>25.825994854009853</v>
      </c>
      <c r="BZ181" s="5">
        <f t="shared" si="493"/>
        <v>64.61</v>
      </c>
      <c r="CA181" s="150">
        <f t="shared" si="494"/>
        <v>0.71442792335396366</v>
      </c>
      <c r="CB181" s="5">
        <f t="shared" si="495"/>
        <v>71.442792335396362</v>
      </c>
      <c r="CC181">
        <f t="shared" si="496"/>
        <v>71</v>
      </c>
      <c r="CE181" s="59">
        <f t="shared" si="534"/>
        <v>-50</v>
      </c>
      <c r="CF181">
        <f t="shared" si="535"/>
        <v>-50</v>
      </c>
      <c r="CG181" s="150">
        <f t="shared" si="536"/>
        <v>0.49840675206849377</v>
      </c>
      <c r="CH181" s="150">
        <f t="shared" si="537"/>
        <v>0.1350568335034627</v>
      </c>
      <c r="CI181" s="147">
        <v>71</v>
      </c>
      <c r="CJ181" s="188">
        <f t="shared" si="602"/>
        <v>0.35499999999999998</v>
      </c>
      <c r="CK181" s="188">
        <f t="shared" si="538"/>
        <v>0.35499999999999998</v>
      </c>
      <c r="CL181" s="188">
        <f t="shared" si="539"/>
        <v>60.349999999999994</v>
      </c>
      <c r="CM181" s="188">
        <f t="shared" si="540"/>
        <v>4.26</v>
      </c>
      <c r="CN181" s="465">
        <f t="shared" si="541"/>
        <v>9</v>
      </c>
      <c r="CO181" s="379">
        <f t="shared" si="542"/>
        <v>8.625</v>
      </c>
      <c r="CP181" s="379">
        <f t="shared" si="543"/>
        <v>17.625</v>
      </c>
      <c r="CQ181" s="379"/>
      <c r="CR181" s="188">
        <f t="shared" si="544"/>
        <v>0.48674080410607357</v>
      </c>
      <c r="CS181" s="149">
        <f t="shared" si="545"/>
        <v>136.39440115060304</v>
      </c>
      <c r="CT181" s="149">
        <f t="shared" si="546"/>
        <v>9.6278400812190377</v>
      </c>
      <c r="CU181" s="188">
        <f t="shared" si="547"/>
        <v>0.80232000676825321</v>
      </c>
      <c r="CV181" s="188">
        <f t="shared" si="548"/>
        <v>11.366200095883586</v>
      </c>
      <c r="CW181" s="188">
        <f t="shared" si="549"/>
        <v>170</v>
      </c>
      <c r="CX181" s="188">
        <f t="shared" si="550"/>
        <v>29.497789494239406</v>
      </c>
      <c r="CY181" s="188">
        <f t="shared" si="551"/>
        <v>4.916298249039901</v>
      </c>
      <c r="CZ181" s="188">
        <f t="shared" si="552"/>
        <v>5.1300503468242447</v>
      </c>
      <c r="DA181" s="172">
        <f t="shared" si="553"/>
        <v>220.21276595744678</v>
      </c>
      <c r="DB181" s="379">
        <f t="shared" si="554"/>
        <v>99.538652323061669</v>
      </c>
      <c r="DD181" s="188">
        <f t="shared" si="555"/>
        <v>13.333333333333336</v>
      </c>
      <c r="DE181" s="150">
        <f t="shared" si="556"/>
        <v>2.3188405797101459</v>
      </c>
      <c r="DF181" s="150">
        <f t="shared" si="557"/>
        <v>0.15898994622398885</v>
      </c>
      <c r="DG181" s="150"/>
      <c r="DH181" s="150">
        <f t="shared" si="558"/>
        <v>2.3188405797101455</v>
      </c>
      <c r="DI181" s="314">
        <f t="shared" si="559"/>
        <v>491.70110294117632</v>
      </c>
      <c r="DJ181" s="456">
        <f t="shared" si="560"/>
        <v>0.15898994622398879</v>
      </c>
      <c r="DL181" s="150">
        <f t="shared" si="561"/>
        <v>15.688637076984518</v>
      </c>
      <c r="DM181" s="150">
        <f t="shared" si="562"/>
        <v>29.497789494239406</v>
      </c>
      <c r="DN181" s="150">
        <f t="shared" si="563"/>
        <v>13.173671230300792</v>
      </c>
      <c r="DP181" s="314">
        <f t="shared" si="564"/>
        <v>355</v>
      </c>
      <c r="DQ181" s="144">
        <f t="shared" si="565"/>
        <v>99.538652323061669</v>
      </c>
      <c r="DS181">
        <f t="shared" si="566"/>
        <v>355</v>
      </c>
      <c r="DT181">
        <f t="shared" si="567"/>
        <v>99.538652323061669</v>
      </c>
      <c r="DV181" s="5">
        <f t="shared" si="568"/>
        <v>10.046348595864146</v>
      </c>
      <c r="DW181" s="5">
        <f t="shared" si="569"/>
        <v>4.916298249039901</v>
      </c>
      <c r="DX181" s="5">
        <f t="shared" si="570"/>
        <v>5.1300503468242447</v>
      </c>
      <c r="DY181" s="150">
        <f t="shared" si="571"/>
        <v>0.48936170212765956</v>
      </c>
      <c r="EA181" s="5">
        <f t="shared" si="572"/>
        <v>1.026638752005391</v>
      </c>
      <c r="EB181" s="5">
        <f t="shared" si="573"/>
        <v>14.544048986743039</v>
      </c>
      <c r="EC181" s="5">
        <f t="shared" si="574"/>
        <v>57.333062672378354</v>
      </c>
      <c r="ED181" s="5"/>
      <c r="EE181" s="150">
        <f t="shared" si="575"/>
        <v>11.913622471677101</v>
      </c>
      <c r="EF181" s="150">
        <f t="shared" si="576"/>
        <v>0.56837252267524752</v>
      </c>
      <c r="EG181" s="150">
        <f t="shared" si="577"/>
        <v>0.54068525824345703</v>
      </c>
      <c r="EH181" s="150"/>
      <c r="EI181" s="456">
        <f t="shared" si="578"/>
        <v>0.48257696135200862</v>
      </c>
      <c r="EJ181" s="456">
        <f t="shared" si="579"/>
        <v>1.5731999999999997</v>
      </c>
      <c r="EK181" s="456">
        <f t="shared" si="580"/>
        <v>2.2794351381981121E-2</v>
      </c>
      <c r="EL181" s="456">
        <f t="shared" si="581"/>
        <v>2.1180713180966104E-2</v>
      </c>
      <c r="EM181">
        <f t="shared" si="582"/>
        <v>4.0499999999999998E-3</v>
      </c>
      <c r="EN181" s="144">
        <f t="shared" si="583"/>
        <v>26.844351381981124</v>
      </c>
      <c r="EP181" s="144">
        <f t="shared" si="603"/>
        <v>2103.8020259149553</v>
      </c>
      <c r="EQ181" s="150">
        <f t="shared" si="584"/>
        <v>0.88749999999999996</v>
      </c>
      <c r="ER181" s="150">
        <f t="shared" si="585"/>
        <v>0.25204999999999994</v>
      </c>
      <c r="ES181" s="456"/>
      <c r="EU181" s="144">
        <f t="shared" si="497"/>
        <v>1139.5499999999997</v>
      </c>
      <c r="EV181" s="456">
        <f t="shared" si="586"/>
        <v>0.21290160059647439</v>
      </c>
      <c r="EW181" s="456">
        <f t="shared" si="587"/>
        <v>6.4609464906444952E-2</v>
      </c>
      <c r="EX181" s="456">
        <f t="shared" si="588"/>
        <v>8.7702164544538139E-3</v>
      </c>
      <c r="EY181" s="456">
        <f t="shared" si="589"/>
        <v>23.357323485002276</v>
      </c>
      <c r="EZ181" s="456"/>
      <c r="FA181" s="538">
        <f t="shared" si="590"/>
        <v>8.6610530855426346E-2</v>
      </c>
      <c r="FB181" s="144">
        <f t="shared" si="498"/>
        <v>23730.215297815073</v>
      </c>
      <c r="FC181" s="150">
        <f t="shared" si="591"/>
        <v>26.97356732373003</v>
      </c>
      <c r="FD181" s="5">
        <f t="shared" si="592"/>
        <v>64.61</v>
      </c>
      <c r="FE181" s="150">
        <f t="shared" si="593"/>
        <v>0.7054759045541027</v>
      </c>
      <c r="FF181" s="5">
        <f t="shared" si="594"/>
        <v>70.547590455410273</v>
      </c>
      <c r="FG181">
        <f t="shared" si="595"/>
        <v>71</v>
      </c>
      <c r="FI181" s="59">
        <f t="shared" si="596"/>
        <v>-50</v>
      </c>
      <c r="FJ181">
        <f t="shared" si="597"/>
        <v>-50</v>
      </c>
    </row>
    <row r="182" spans="5:166">
      <c r="E182" s="147">
        <v>72</v>
      </c>
      <c r="F182" s="188">
        <f t="shared" si="598"/>
        <v>0.36</v>
      </c>
      <c r="G182" s="188">
        <f t="shared" si="499"/>
        <v>0.36</v>
      </c>
      <c r="H182" s="188">
        <f t="shared" si="500"/>
        <v>61.199999999999996</v>
      </c>
      <c r="I182" s="188">
        <f t="shared" si="501"/>
        <v>4.32</v>
      </c>
      <c r="J182" s="465">
        <f t="shared" si="502"/>
        <v>8.9098309115428691</v>
      </c>
      <c r="K182" s="379">
        <f t="shared" si="503"/>
        <v>8.6788835656162018</v>
      </c>
      <c r="L182" s="149">
        <f t="shared" si="504"/>
        <v>17.588714477159073</v>
      </c>
      <c r="M182" s="379"/>
      <c r="N182" s="188">
        <f t="shared" si="505"/>
        <v>0.49343478608892705</v>
      </c>
      <c r="O182" s="149">
        <f t="shared" si="506"/>
        <v>136.88488767167823</v>
      </c>
      <c r="P182" s="149">
        <f t="shared" si="507"/>
        <v>9.6624626591772866</v>
      </c>
      <c r="Q182" s="188">
        <f t="shared" si="508"/>
        <v>0.80520522159810726</v>
      </c>
      <c r="R182" s="188">
        <f t="shared" si="509"/>
        <v>11.407073972639852</v>
      </c>
      <c r="S182" s="188">
        <f t="shared" si="510"/>
        <v>170</v>
      </c>
      <c r="T182" s="188">
        <f t="shared" si="511"/>
        <v>29.806066026703988</v>
      </c>
      <c r="U182" s="188">
        <f t="shared" si="512"/>
        <v>5.017951461024297</v>
      </c>
      <c r="V182" s="188">
        <f t="shared" si="513"/>
        <v>5.151480452760473</v>
      </c>
      <c r="W182" s="172">
        <f t="shared" si="514"/>
        <v>219.82102549628328</v>
      </c>
      <c r="X182" s="379">
        <f t="shared" si="599"/>
        <v>96.437298428145724</v>
      </c>
      <c r="Z182" s="188">
        <f t="shared" si="515"/>
        <v>13.333333333333334</v>
      </c>
      <c r="AA182" s="150">
        <f t="shared" si="516"/>
        <v>2.3044438664018418</v>
      </c>
      <c r="AB182" s="150">
        <f t="shared" si="517"/>
        <v>0.15772176989905204</v>
      </c>
      <c r="AC182" s="150"/>
      <c r="AD182" s="150">
        <f t="shared" si="518"/>
        <v>2.3044438664018418</v>
      </c>
      <c r="AE182" s="314">
        <f t="shared" si="519"/>
        <v>501.74157460515295</v>
      </c>
      <c r="AF182" s="456">
        <f t="shared" si="520"/>
        <v>0.15772176989905201</v>
      </c>
      <c r="AH182" s="150">
        <f t="shared" si="521"/>
        <v>15.798734126505199</v>
      </c>
      <c r="AI182" s="150">
        <f t="shared" si="522"/>
        <v>29.806066026703988</v>
      </c>
      <c r="AJ182" s="150">
        <f t="shared" si="523"/>
        <v>13.402024217311594</v>
      </c>
      <c r="AL182" s="314">
        <f t="shared" si="524"/>
        <v>360</v>
      </c>
      <c r="AM182" s="144">
        <f t="shared" si="525"/>
        <v>96.437298428145724</v>
      </c>
      <c r="AO182">
        <f t="shared" si="526"/>
        <v>360</v>
      </c>
      <c r="AP182">
        <f t="shared" si="527"/>
        <v>96.437298428145724</v>
      </c>
      <c r="AR182" s="5">
        <f t="shared" si="443"/>
        <v>10.369431913784769</v>
      </c>
      <c r="AS182" s="5">
        <f t="shared" si="604"/>
        <v>5.017951461024297</v>
      </c>
      <c r="AT182" s="5">
        <f t="shared" si="605"/>
        <v>5.3514804527604722</v>
      </c>
      <c r="AU182" s="150">
        <f t="shared" si="606"/>
        <v>0.48391768254474998</v>
      </c>
      <c r="AW182" s="5">
        <f t="shared" si="477"/>
        <v>1.0626250152757333</v>
      </c>
      <c r="AX182" s="5">
        <f t="shared" si="478"/>
        <v>15.05385438307289</v>
      </c>
      <c r="AY182" s="5">
        <f t="shared" si="479"/>
        <v>61.263901818204751</v>
      </c>
      <c r="AZ182" s="5"/>
      <c r="BA182" s="150">
        <f t="shared" si="480"/>
        <v>11.970981996556796</v>
      </c>
      <c r="BB182" s="150">
        <f t="shared" si="481"/>
        <v>0.57736580533019566</v>
      </c>
      <c r="BC182" s="150">
        <f t="shared" si="482"/>
        <v>0.54924044900436797</v>
      </c>
      <c r="BD182" s="150"/>
      <c r="BE182" s="456">
        <f t="shared" si="483"/>
        <v>0.48723499387041552</v>
      </c>
      <c r="BF182" s="456">
        <f t="shared" si="528"/>
        <v>1.210847115433811</v>
      </c>
      <c r="BG182" s="456">
        <f t="shared" si="529"/>
        <v>3.93531930332836E-2</v>
      </c>
      <c r="BH182" s="456">
        <f t="shared" si="484"/>
        <v>2.0436372260202753E-2</v>
      </c>
      <c r="BI182">
        <f t="shared" si="485"/>
        <v>4.0094239101942913E-3</v>
      </c>
      <c r="BJ182" s="144">
        <f t="shared" si="600"/>
        <v>43.362616943477896</v>
      </c>
      <c r="BK182">
        <f t="shared" si="530"/>
        <v>2.0922901567626386</v>
      </c>
      <c r="BL182" s="144">
        <f t="shared" si="601"/>
        <v>1761.8810985079069</v>
      </c>
      <c r="BM182" s="150">
        <f t="shared" si="531"/>
        <v>0.79874999999999985</v>
      </c>
      <c r="BN182" s="150">
        <f t="shared" si="532"/>
        <v>0.79874999999999985</v>
      </c>
      <c r="BO182" s="456"/>
      <c r="BQ182" s="144">
        <f t="shared" si="486"/>
        <v>1597.4999999999998</v>
      </c>
      <c r="BR182" s="456">
        <f t="shared" si="487"/>
        <v>0.21495661494283042</v>
      </c>
      <c r="BS182" s="456">
        <f t="shared" si="488"/>
        <v>6.6670254632917078E-2</v>
      </c>
      <c r="BT182" s="456">
        <f t="shared" si="489"/>
        <v>9.0499521246755928E-3</v>
      </c>
      <c r="BU182" s="456">
        <f t="shared" si="490"/>
        <v>22.148496037018027</v>
      </c>
      <c r="BV182" s="456"/>
      <c r="BW182" s="538">
        <f t="shared" si="533"/>
        <v>8.5675047521863459E-2</v>
      </c>
      <c r="BX182" s="144">
        <f t="shared" si="491"/>
        <v>22524.847906240313</v>
      </c>
      <c r="BY182" s="150">
        <f t="shared" si="492"/>
        <v>25.884229004748221</v>
      </c>
      <c r="BZ182" s="5">
        <f t="shared" si="493"/>
        <v>65.52</v>
      </c>
      <c r="CA182" s="150">
        <f t="shared" si="494"/>
        <v>0.71681584882244775</v>
      </c>
      <c r="CB182" s="5">
        <f t="shared" si="495"/>
        <v>71.681584882244778</v>
      </c>
      <c r="CC182">
        <f t="shared" si="496"/>
        <v>72</v>
      </c>
      <c r="CE182" s="59">
        <f t="shared" si="534"/>
        <v>-50</v>
      </c>
      <c r="CF182">
        <f t="shared" si="535"/>
        <v>-50</v>
      </c>
      <c r="CG182" s="150">
        <f t="shared" si="536"/>
        <v>0.49840675206849377</v>
      </c>
      <c r="CH182" s="150">
        <f t="shared" si="537"/>
        <v>0.1350568335034627</v>
      </c>
      <c r="CI182" s="147">
        <v>72</v>
      </c>
      <c r="CJ182" s="188">
        <f t="shared" si="602"/>
        <v>0.36</v>
      </c>
      <c r="CK182" s="188">
        <f t="shared" si="538"/>
        <v>0.36</v>
      </c>
      <c r="CL182" s="188">
        <f t="shared" si="539"/>
        <v>61.199999999999996</v>
      </c>
      <c r="CM182" s="188">
        <f t="shared" si="540"/>
        <v>4.32</v>
      </c>
      <c r="CN182" s="465">
        <f t="shared" si="541"/>
        <v>9</v>
      </c>
      <c r="CO182" s="379">
        <f t="shared" si="542"/>
        <v>8.625</v>
      </c>
      <c r="CP182" s="379">
        <f t="shared" si="543"/>
        <v>17.625</v>
      </c>
      <c r="CQ182" s="379"/>
      <c r="CR182" s="188">
        <f t="shared" si="544"/>
        <v>0.48674080410607357</v>
      </c>
      <c r="CS182" s="149">
        <f t="shared" si="545"/>
        <v>136.39440115060304</v>
      </c>
      <c r="CT182" s="149">
        <f t="shared" si="546"/>
        <v>9.6278400812190377</v>
      </c>
      <c r="CU182" s="188">
        <f t="shared" si="547"/>
        <v>0.80232000676825321</v>
      </c>
      <c r="CV182" s="188">
        <f t="shared" si="548"/>
        <v>11.366200095883586</v>
      </c>
      <c r="CW182" s="188">
        <f t="shared" si="549"/>
        <v>170</v>
      </c>
      <c r="CX182" s="188">
        <f t="shared" si="550"/>
        <v>29.913251318101931</v>
      </c>
      <c r="CY182" s="188">
        <f t="shared" si="551"/>
        <v>4.9855418863503225</v>
      </c>
      <c r="CZ182" s="188">
        <f t="shared" si="552"/>
        <v>5.2023045770612057</v>
      </c>
      <c r="DA182" s="172">
        <f t="shared" si="553"/>
        <v>220.21276595744678</v>
      </c>
      <c r="DB182" s="379">
        <f t="shared" si="554"/>
        <v>98.15617104079692</v>
      </c>
      <c r="DD182" s="188">
        <f t="shared" si="555"/>
        <v>13.333333333333336</v>
      </c>
      <c r="DE182" s="150">
        <f t="shared" si="556"/>
        <v>2.3188405797101459</v>
      </c>
      <c r="DF182" s="150">
        <f t="shared" si="557"/>
        <v>0.15898994622398885</v>
      </c>
      <c r="DG182" s="150"/>
      <c r="DH182" s="150">
        <f t="shared" si="558"/>
        <v>2.3188405797101455</v>
      </c>
      <c r="DI182" s="314">
        <f t="shared" si="559"/>
        <v>498.62647058823512</v>
      </c>
      <c r="DJ182" s="456">
        <f t="shared" si="560"/>
        <v>0.15898994622398879</v>
      </c>
      <c r="DL182" s="150">
        <f t="shared" si="561"/>
        <v>15.798734126505199</v>
      </c>
      <c r="DM182" s="150">
        <f t="shared" si="562"/>
        <v>29.913251318101931</v>
      </c>
      <c r="DN182" s="150">
        <f t="shared" si="563"/>
        <v>13.48142072945822</v>
      </c>
      <c r="DP182" s="314">
        <f t="shared" si="564"/>
        <v>360</v>
      </c>
      <c r="DQ182" s="144">
        <f t="shared" si="565"/>
        <v>98.15617104079692</v>
      </c>
      <c r="DS182">
        <f t="shared" si="566"/>
        <v>360</v>
      </c>
      <c r="DT182">
        <f t="shared" si="567"/>
        <v>98.15617104079692</v>
      </c>
      <c r="DV182" s="5">
        <f t="shared" si="568"/>
        <v>10.187846463411528</v>
      </c>
      <c r="DW182" s="5">
        <f t="shared" si="569"/>
        <v>4.9855418863503225</v>
      </c>
      <c r="DX182" s="5">
        <f t="shared" si="570"/>
        <v>5.2023045770612057</v>
      </c>
      <c r="DY182" s="150">
        <f t="shared" si="571"/>
        <v>0.48936170212765961</v>
      </c>
      <c r="EA182" s="5">
        <f t="shared" si="572"/>
        <v>1.055761811227127</v>
      </c>
      <c r="EB182" s="5">
        <f t="shared" si="573"/>
        <v>14.956625659050966</v>
      </c>
      <c r="EC182" s="5">
        <f t="shared" si="574"/>
        <v>58.959451873360322</v>
      </c>
      <c r="ED182" s="5"/>
      <c r="EE182" s="150">
        <f t="shared" si="575"/>
        <v>12.081419971278187</v>
      </c>
      <c r="EF182" s="150">
        <f t="shared" si="576"/>
        <v>0.5763777694734904</v>
      </c>
      <c r="EG182" s="150">
        <f t="shared" si="577"/>
        <v>0.54830054357082958</v>
      </c>
      <c r="EH182" s="150"/>
      <c r="EI182" s="456">
        <f t="shared" si="578"/>
        <v>0.49626640897615809</v>
      </c>
      <c r="EJ182" s="456">
        <f t="shared" si="579"/>
        <v>1.5731999999999997</v>
      </c>
      <c r="EK182" s="456">
        <f t="shared" si="580"/>
        <v>2.2477763168342494E-2</v>
      </c>
      <c r="EL182" s="456">
        <f t="shared" si="581"/>
        <v>2.0886536609008237E-2</v>
      </c>
      <c r="EM182">
        <f t="shared" si="582"/>
        <v>4.0499999999999998E-3</v>
      </c>
      <c r="EN182" s="144">
        <f t="shared" si="583"/>
        <v>26.527763168342496</v>
      </c>
      <c r="EP182" s="144">
        <f t="shared" si="603"/>
        <v>2116.8807087535083</v>
      </c>
      <c r="EQ182" s="150">
        <f t="shared" si="584"/>
        <v>0.89999999999999991</v>
      </c>
      <c r="ER182" s="150">
        <f t="shared" si="585"/>
        <v>0.25559999999999999</v>
      </c>
      <c r="ES182" s="456"/>
      <c r="EU182" s="144">
        <f t="shared" si="497"/>
        <v>1155.5999999999999</v>
      </c>
      <c r="EV182" s="456">
        <f t="shared" si="586"/>
        <v>0.21894106278359918</v>
      </c>
      <c r="EW182" s="456">
        <f t="shared" si="587"/>
        <v>6.6442266628647204E-2</v>
      </c>
      <c r="EX182" s="456">
        <f t="shared" si="588"/>
        <v>9.0190045824020144E-3</v>
      </c>
      <c r="EY182" s="456">
        <f t="shared" si="589"/>
        <v>23.357323485002276</v>
      </c>
      <c r="EZ182" s="456"/>
      <c r="FA182" s="538">
        <f t="shared" si="590"/>
        <v>8.7830397487192902E-2</v>
      </c>
      <c r="FB182" s="144">
        <f t="shared" si="498"/>
        <v>23739.556216484114</v>
      </c>
      <c r="FC182" s="150">
        <f t="shared" si="591"/>
        <v>27.012036925237624</v>
      </c>
      <c r="FD182" s="5">
        <f t="shared" si="592"/>
        <v>65.52</v>
      </c>
      <c r="FE182" s="150">
        <f t="shared" si="593"/>
        <v>0.70807908457627144</v>
      </c>
      <c r="FF182" s="5">
        <f t="shared" si="594"/>
        <v>70.80790845762715</v>
      </c>
      <c r="FG182">
        <f t="shared" si="595"/>
        <v>72</v>
      </c>
      <c r="FI182" s="59">
        <f t="shared" si="596"/>
        <v>-50</v>
      </c>
      <c r="FJ182">
        <f t="shared" si="597"/>
        <v>-50</v>
      </c>
    </row>
    <row r="183" spans="5:166">
      <c r="E183" s="147">
        <v>73</v>
      </c>
      <c r="F183" s="188">
        <f t="shared" si="598"/>
        <v>0.36499999999999999</v>
      </c>
      <c r="G183" s="188">
        <f t="shared" si="499"/>
        <v>0.36499999999999999</v>
      </c>
      <c r="H183" s="188">
        <f t="shared" si="500"/>
        <v>62.05</v>
      </c>
      <c r="I183" s="188">
        <f t="shared" si="501"/>
        <v>4.38</v>
      </c>
      <c r="J183" s="465">
        <f t="shared" si="502"/>
        <v>8.9085785630920764</v>
      </c>
      <c r="K183" s="379">
        <f t="shared" si="503"/>
        <v>8.6796319484719824</v>
      </c>
      <c r="L183" s="149">
        <f t="shared" si="504"/>
        <v>17.588210511564057</v>
      </c>
      <c r="M183" s="379"/>
      <c r="N183" s="188">
        <f t="shared" si="505"/>
        <v>0.49349147502898144</v>
      </c>
      <c r="O183" s="149">
        <f t="shared" si="506"/>
        <v>136.88137139872131</v>
      </c>
      <c r="P183" s="149">
        <f t="shared" si="507"/>
        <v>9.6622144516744459</v>
      </c>
      <c r="Q183" s="188">
        <f t="shared" si="508"/>
        <v>0.80518453763953712</v>
      </c>
      <c r="R183" s="188">
        <f t="shared" si="509"/>
        <v>11.406780949893443</v>
      </c>
      <c r="S183" s="188">
        <f t="shared" si="510"/>
        <v>170</v>
      </c>
      <c r="T183" s="188">
        <f t="shared" si="511"/>
        <v>30.220815472523157</v>
      </c>
      <c r="U183" s="188">
        <f t="shared" si="512"/>
        <v>5.0884911535259265</v>
      </c>
      <c r="V183" s="188">
        <f t="shared" si="513"/>
        <v>5.2227126078502826</v>
      </c>
      <c r="W183" s="172">
        <f t="shared" si="514"/>
        <v>219.81537877559359</v>
      </c>
      <c r="X183" s="379">
        <f t="shared" si="599"/>
        <v>95.136582136723064</v>
      </c>
      <c r="Z183" s="188">
        <f t="shared" si="515"/>
        <v>13.333333333333332</v>
      </c>
      <c r="AA183" s="150">
        <f t="shared" si="516"/>
        <v>2.3042451706170475</v>
      </c>
      <c r="AB183" s="150">
        <f t="shared" si="517"/>
        <v>0.15770411949647098</v>
      </c>
      <c r="AC183" s="150"/>
      <c r="AD183" s="150">
        <f t="shared" si="518"/>
        <v>2.3042451706170479</v>
      </c>
      <c r="AE183" s="314">
        <f t="shared" si="519"/>
        <v>508.75407382675905</v>
      </c>
      <c r="AF183" s="456">
        <f t="shared" si="520"/>
        <v>0.15770411949647106</v>
      </c>
      <c r="AH183" s="150">
        <f t="shared" si="521"/>
        <v>15.908069231263315</v>
      </c>
      <c r="AI183" s="150">
        <f t="shared" si="522"/>
        <v>30.220815472523157</v>
      </c>
      <c r="AJ183" s="150">
        <f t="shared" si="523"/>
        <v>13.709246029029497</v>
      </c>
      <c r="AL183" s="314">
        <f t="shared" si="524"/>
        <v>365</v>
      </c>
      <c r="AM183" s="144">
        <f t="shared" si="525"/>
        <v>95.136582136723064</v>
      </c>
      <c r="AO183">
        <f t="shared" si="526"/>
        <v>365</v>
      </c>
      <c r="AP183">
        <f t="shared" si="527"/>
        <v>95.136582136723064</v>
      </c>
      <c r="AR183" s="5">
        <f t="shared" si="443"/>
        <v>10.511203761376207</v>
      </c>
      <c r="AS183" s="5">
        <f t="shared" si="604"/>
        <v>5.0884911535259265</v>
      </c>
      <c r="AT183" s="5">
        <f t="shared" si="605"/>
        <v>5.4227126078502801</v>
      </c>
      <c r="AU183" s="150">
        <f t="shared" si="606"/>
        <v>0.48410165657940807</v>
      </c>
      <c r="AW183" s="5">
        <f t="shared" si="477"/>
        <v>1.0925289829629194</v>
      </c>
      <c r="AX183" s="5">
        <f t="shared" si="478"/>
        <v>15.477493925308027</v>
      </c>
      <c r="AY183" s="5">
        <f t="shared" si="479"/>
        <v>62.950431230247297</v>
      </c>
      <c r="AZ183" s="5"/>
      <c r="BA183" s="150">
        <f t="shared" si="480"/>
        <v>12.139864409263176</v>
      </c>
      <c r="BB183" s="150">
        <f t="shared" si="481"/>
        <v>0.58529546095153129</v>
      </c>
      <c r="BC183" s="150">
        <f t="shared" si="482"/>
        <v>0.55678382544562022</v>
      </c>
      <c r="BD183" s="150"/>
      <c r="BE183" s="456">
        <f t="shared" si="483"/>
        <v>0.50107944677600214</v>
      </c>
      <c r="BF183" s="456">
        <f t="shared" si="528"/>
        <v>1.2111024893499014</v>
      </c>
      <c r="BG183" s="456">
        <f t="shared" si="529"/>
        <v>3.8816952601458933E-2</v>
      </c>
      <c r="BH183" s="456">
        <f t="shared" si="484"/>
        <v>2.0159577520799058E-2</v>
      </c>
      <c r="BI183">
        <f t="shared" si="485"/>
        <v>4.0088603533914345E-3</v>
      </c>
      <c r="BJ183" s="144">
        <f t="shared" si="600"/>
        <v>42.82581295485037</v>
      </c>
      <c r="BK183">
        <f t="shared" si="530"/>
        <v>2.1200371131290336</v>
      </c>
      <c r="BL183" s="144">
        <f t="shared" si="601"/>
        <v>1775.167326601553</v>
      </c>
      <c r="BM183" s="150">
        <f t="shared" si="531"/>
        <v>0.80984374999999997</v>
      </c>
      <c r="BN183" s="150">
        <f t="shared" si="532"/>
        <v>0.80984374999999997</v>
      </c>
      <c r="BO183" s="456"/>
      <c r="BQ183" s="144">
        <f t="shared" si="486"/>
        <v>1619.6875</v>
      </c>
      <c r="BR183" s="456">
        <f t="shared" si="487"/>
        <v>0.22106446181294212</v>
      </c>
      <c r="BS183" s="456">
        <f t="shared" si="488"/>
        <v>6.8514155322093095E-2</v>
      </c>
      <c r="BT183" s="456">
        <f t="shared" si="489"/>
        <v>9.3002468483357661E-3</v>
      </c>
      <c r="BU183" s="456">
        <f t="shared" si="490"/>
        <v>22.161763421389647</v>
      </c>
      <c r="BV183" s="456"/>
      <c r="BW183" s="538">
        <f t="shared" si="533"/>
        <v>8.688802049297531E-2</v>
      </c>
      <c r="BX183" s="144">
        <f t="shared" si="491"/>
        <v>22547.530305865996</v>
      </c>
      <c r="BY183" s="150">
        <f t="shared" si="492"/>
        <v>25.942385132467546</v>
      </c>
      <c r="BZ183" s="5">
        <f t="shared" si="493"/>
        <v>66.429999999999993</v>
      </c>
      <c r="CA183" s="150">
        <f t="shared" si="494"/>
        <v>0.7191543219841664</v>
      </c>
      <c r="CB183" s="5">
        <f t="shared" si="495"/>
        <v>71.915432198416639</v>
      </c>
      <c r="CC183">
        <f t="shared" si="496"/>
        <v>73</v>
      </c>
      <c r="CE183" s="59">
        <f t="shared" si="534"/>
        <v>-50</v>
      </c>
      <c r="CF183">
        <f t="shared" si="535"/>
        <v>-50</v>
      </c>
      <c r="CG183" s="150">
        <f t="shared" si="536"/>
        <v>0.49840675206849377</v>
      </c>
      <c r="CH183" s="150">
        <f t="shared" si="537"/>
        <v>0.1350568335034627</v>
      </c>
      <c r="CI183" s="147">
        <v>73</v>
      </c>
      <c r="CJ183" s="188">
        <f t="shared" si="602"/>
        <v>0.36499999999999999</v>
      </c>
      <c r="CK183" s="188">
        <f t="shared" si="538"/>
        <v>0.36499999999999999</v>
      </c>
      <c r="CL183" s="188">
        <f t="shared" si="539"/>
        <v>62.05</v>
      </c>
      <c r="CM183" s="188">
        <f t="shared" si="540"/>
        <v>4.38</v>
      </c>
      <c r="CN183" s="465">
        <f t="shared" si="541"/>
        <v>9</v>
      </c>
      <c r="CO183" s="379">
        <f t="shared" si="542"/>
        <v>8.625</v>
      </c>
      <c r="CP183" s="379">
        <f t="shared" si="543"/>
        <v>17.625</v>
      </c>
      <c r="CQ183" s="379"/>
      <c r="CR183" s="188">
        <f t="shared" si="544"/>
        <v>0.48674080410607357</v>
      </c>
      <c r="CS183" s="149">
        <f t="shared" si="545"/>
        <v>136.39440115060304</v>
      </c>
      <c r="CT183" s="149">
        <f t="shared" si="546"/>
        <v>9.6278400812190377</v>
      </c>
      <c r="CU183" s="188">
        <f t="shared" si="547"/>
        <v>0.80232000676825321</v>
      </c>
      <c r="CV183" s="188">
        <f t="shared" si="548"/>
        <v>11.366200095883586</v>
      </c>
      <c r="CW183" s="188">
        <f t="shared" si="549"/>
        <v>170</v>
      </c>
      <c r="CX183" s="188">
        <f t="shared" si="550"/>
        <v>30.328713141964457</v>
      </c>
      <c r="CY183" s="188">
        <f t="shared" si="551"/>
        <v>5.0547855236607431</v>
      </c>
      <c r="CZ183" s="188">
        <f t="shared" si="552"/>
        <v>5.274558807298166</v>
      </c>
      <c r="DA183" s="172">
        <f t="shared" si="553"/>
        <v>220.21276595744678</v>
      </c>
      <c r="DB183" s="379">
        <f t="shared" si="554"/>
        <v>96.811565958046302</v>
      </c>
      <c r="DD183" s="188">
        <f t="shared" si="555"/>
        <v>13.333333333333336</v>
      </c>
      <c r="DE183" s="150">
        <f t="shared" si="556"/>
        <v>2.3188405797101459</v>
      </c>
      <c r="DF183" s="150">
        <f t="shared" si="557"/>
        <v>0.15898994622398885</v>
      </c>
      <c r="DG183" s="150"/>
      <c r="DH183" s="150">
        <f t="shared" si="558"/>
        <v>2.3188405797101455</v>
      </c>
      <c r="DI183" s="314">
        <f t="shared" si="559"/>
        <v>505.55183823529393</v>
      </c>
      <c r="DJ183" s="456">
        <f t="shared" si="560"/>
        <v>0.15898994622398879</v>
      </c>
      <c r="DL183" s="150">
        <f t="shared" si="561"/>
        <v>15.908069231263315</v>
      </c>
      <c r="DM183" s="150">
        <f t="shared" si="562"/>
        <v>30.328713141964457</v>
      </c>
      <c r="DN183" s="150">
        <f t="shared" si="563"/>
        <v>13.789170228615644</v>
      </c>
      <c r="DP183" s="314">
        <f t="shared" si="564"/>
        <v>365</v>
      </c>
      <c r="DQ183" s="144">
        <f t="shared" si="565"/>
        <v>96.811565958046302</v>
      </c>
      <c r="DS183">
        <f t="shared" si="566"/>
        <v>365</v>
      </c>
      <c r="DT183">
        <f t="shared" si="567"/>
        <v>96.811565958046302</v>
      </c>
      <c r="DV183" s="5">
        <f t="shared" si="568"/>
        <v>10.329344330958909</v>
      </c>
      <c r="DW183" s="5">
        <f t="shared" si="569"/>
        <v>5.0547855236607431</v>
      </c>
      <c r="DX183" s="5">
        <f t="shared" si="570"/>
        <v>5.274558807298166</v>
      </c>
      <c r="DY183" s="150">
        <f t="shared" si="571"/>
        <v>0.48936170212765961</v>
      </c>
      <c r="EA183" s="5">
        <f t="shared" si="572"/>
        <v>1.0852921859624536</v>
      </c>
      <c r="EB183" s="5">
        <f t="shared" si="573"/>
        <v>15.374972634468094</v>
      </c>
      <c r="EC183" s="5">
        <f t="shared" si="574"/>
        <v>60.608587776453909</v>
      </c>
      <c r="ED183" s="5"/>
      <c r="EE183" s="150">
        <f t="shared" si="575"/>
        <v>12.249217470879273</v>
      </c>
      <c r="EF183" s="150">
        <f t="shared" si="576"/>
        <v>0.58438301627173328</v>
      </c>
      <c r="EG183" s="150">
        <f t="shared" si="577"/>
        <v>0.55591582889820212</v>
      </c>
      <c r="EH183" s="150"/>
      <c r="EI183" s="456">
        <f t="shared" si="578"/>
        <v>0.51014731740623953</v>
      </c>
      <c r="EJ183" s="456">
        <f t="shared" si="579"/>
        <v>1.5732000000000002</v>
      </c>
      <c r="EK183" s="456">
        <f t="shared" si="580"/>
        <v>2.2169848604392604E-2</v>
      </c>
      <c r="EL183" s="456">
        <f t="shared" si="581"/>
        <v>2.0600419669158817E-2</v>
      </c>
      <c r="EM183">
        <f t="shared" si="582"/>
        <v>4.0499999999999998E-3</v>
      </c>
      <c r="EN183" s="144">
        <f t="shared" si="583"/>
        <v>26.219848604392602</v>
      </c>
      <c r="EP183" s="144">
        <f t="shared" si="603"/>
        <v>2130.167585679791</v>
      </c>
      <c r="EQ183" s="150">
        <f t="shared" si="584"/>
        <v>0.91249999999999998</v>
      </c>
      <c r="ER183" s="150">
        <f t="shared" si="585"/>
        <v>0.25914999999999999</v>
      </c>
      <c r="ES183" s="456"/>
      <c r="EU183" s="144">
        <f t="shared" si="497"/>
        <v>1171.6500000000001</v>
      </c>
      <c r="EV183" s="456">
        <f t="shared" si="586"/>
        <v>0.22506499297334101</v>
      </c>
      <c r="EW183" s="456">
        <f t="shared" si="587"/>
        <v>6.8300701941369779E-2</v>
      </c>
      <c r="EX183" s="456">
        <f t="shared" si="588"/>
        <v>9.2712722645872537E-3</v>
      </c>
      <c r="EY183" s="456">
        <f t="shared" si="589"/>
        <v>23.357323485002318</v>
      </c>
      <c r="EZ183" s="456"/>
      <c r="FA183" s="538">
        <f t="shared" si="590"/>
        <v>8.9050264118959471E-2</v>
      </c>
      <c r="FB183" s="144">
        <f t="shared" si="498"/>
        <v>23749.010716300574</v>
      </c>
      <c r="FC183" s="150">
        <f t="shared" si="591"/>
        <v>27.050828301980367</v>
      </c>
      <c r="FD183" s="5">
        <f t="shared" si="592"/>
        <v>66.429999999999993</v>
      </c>
      <c r="FE183" s="150">
        <f t="shared" si="593"/>
        <v>0.71062699386236294</v>
      </c>
      <c r="FF183" s="5">
        <f t="shared" si="594"/>
        <v>71.062699386236289</v>
      </c>
      <c r="FG183">
        <f t="shared" si="595"/>
        <v>73</v>
      </c>
      <c r="FI183" s="59">
        <f t="shared" si="596"/>
        <v>-50</v>
      </c>
      <c r="FJ183">
        <f t="shared" si="597"/>
        <v>-50</v>
      </c>
    </row>
    <row r="184" spans="5:166">
      <c r="E184" s="147">
        <v>74</v>
      </c>
      <c r="F184" s="188">
        <f t="shared" si="598"/>
        <v>0.37</v>
      </c>
      <c r="G184" s="188">
        <f t="shared" si="499"/>
        <v>0.37</v>
      </c>
      <c r="H184" s="188">
        <f t="shared" si="500"/>
        <v>62.9</v>
      </c>
      <c r="I184" s="188">
        <f t="shared" si="501"/>
        <v>4.4399999999999995</v>
      </c>
      <c r="J184" s="465">
        <f t="shared" si="502"/>
        <v>8.9073262146412819</v>
      </c>
      <c r="K184" s="379">
        <f t="shared" si="503"/>
        <v>8.6803803313277612</v>
      </c>
      <c r="L184" s="149">
        <f t="shared" si="504"/>
        <v>17.587706545969041</v>
      </c>
      <c r="M184" s="379"/>
      <c r="N184" s="188">
        <f t="shared" si="505"/>
        <v>0.49354816721781347</v>
      </c>
      <c r="O184" s="149">
        <f t="shared" si="506"/>
        <v>136.87785160587109</v>
      </c>
      <c r="P184" s="149">
        <f t="shared" si="507"/>
        <v>9.6619659957085489</v>
      </c>
      <c r="Q184" s="188">
        <f t="shared" si="508"/>
        <v>0.80516383297571226</v>
      </c>
      <c r="R184" s="188">
        <f t="shared" si="509"/>
        <v>11.406487633822591</v>
      </c>
      <c r="S184" s="188">
        <f t="shared" si="510"/>
        <v>170</v>
      </c>
      <c r="T184" s="188">
        <f t="shared" si="511"/>
        <v>30.635587015258714</v>
      </c>
      <c r="U184" s="188">
        <f t="shared" si="512"/>
        <v>5.1590544025830001</v>
      </c>
      <c r="V184" s="188">
        <f t="shared" si="513"/>
        <v>5.2939362987403795</v>
      </c>
      <c r="W184" s="172">
        <f t="shared" si="514"/>
        <v>219.80972640236942</v>
      </c>
      <c r="X184" s="379">
        <f t="shared" si="599"/>
        <v>93.870353221633238</v>
      </c>
      <c r="Z184" s="188">
        <f t="shared" si="515"/>
        <v>13.333333333333334</v>
      </c>
      <c r="AA184" s="150">
        <f t="shared" si="516"/>
        <v>2.3040465090935456</v>
      </c>
      <c r="AB184" s="150">
        <f t="shared" si="517"/>
        <v>0.15768646808236583</v>
      </c>
      <c r="AC184" s="150"/>
      <c r="AD184" s="150">
        <f t="shared" si="518"/>
        <v>2.3040465090935456</v>
      </c>
      <c r="AE184" s="314">
        <f t="shared" si="519"/>
        <v>515.76777486318645</v>
      </c>
      <c r="AF184" s="456">
        <f t="shared" si="520"/>
        <v>0.1576864680823658</v>
      </c>
      <c r="AH184" s="150">
        <f t="shared" si="521"/>
        <v>16.0166579951416</v>
      </c>
      <c r="AI184" s="150">
        <f t="shared" si="522"/>
        <v>30.635587015258714</v>
      </c>
      <c r="AJ184" s="150">
        <f t="shared" si="523"/>
        <v>14.016484208833614</v>
      </c>
      <c r="AL184" s="314">
        <f t="shared" si="524"/>
        <v>370</v>
      </c>
      <c r="AM184" s="144">
        <f t="shared" si="525"/>
        <v>93.870353221633238</v>
      </c>
      <c r="AO184">
        <f t="shared" si="526"/>
        <v>370</v>
      </c>
      <c r="AP184">
        <f t="shared" si="527"/>
        <v>93.870353221633238</v>
      </c>
      <c r="AR184" s="5">
        <f t="shared" si="443"/>
        <v>10.652990701323379</v>
      </c>
      <c r="AS184" s="5">
        <f t="shared" si="604"/>
        <v>5.1590544025830001</v>
      </c>
      <c r="AT184" s="5">
        <f t="shared" si="605"/>
        <v>5.4939362987403788</v>
      </c>
      <c r="AU184" s="150">
        <f t="shared" si="606"/>
        <v>0.48428225906008826</v>
      </c>
      <c r="AW184" s="5">
        <f t="shared" si="477"/>
        <v>1.1228530170327706</v>
      </c>
      <c r="AX184" s="5">
        <f t="shared" si="478"/>
        <v>15.907084407964252</v>
      </c>
      <c r="AY184" s="5">
        <f t="shared" si="479"/>
        <v>64.659993519856087</v>
      </c>
      <c r="AZ184" s="5"/>
      <c r="BA184" s="150">
        <f t="shared" si="480"/>
        <v>12.308775731249055</v>
      </c>
      <c r="BB184" s="150">
        <f t="shared" si="481"/>
        <v>0.59322460049119785</v>
      </c>
      <c r="BC184" s="150">
        <f t="shared" si="482"/>
        <v>0.56432671094521114</v>
      </c>
      <c r="BD184" s="150"/>
      <c r="BE184" s="456">
        <f t="shared" si="483"/>
        <v>0.51512026400743138</v>
      </c>
      <c r="BF184" s="456">
        <f t="shared" si="528"/>
        <v>1.2113492838768185</v>
      </c>
      <c r="BG184" s="456">
        <f t="shared" si="529"/>
        <v>3.8294930697714023E-2</v>
      </c>
      <c r="BH184" s="456">
        <f t="shared" si="484"/>
        <v>1.9890121910409304E-2</v>
      </c>
      <c r="BI184">
        <f t="shared" si="485"/>
        <v>4.008296796588577E-3</v>
      </c>
      <c r="BJ184" s="144">
        <f t="shared" si="600"/>
        <v>42.303227494302597</v>
      </c>
      <c r="BK184">
        <f t="shared" si="530"/>
        <v>2.1483890026257013</v>
      </c>
      <c r="BL184" s="144">
        <f t="shared" si="601"/>
        <v>1788.6628972889619</v>
      </c>
      <c r="BM184" s="150">
        <f t="shared" si="531"/>
        <v>0.82093749999999999</v>
      </c>
      <c r="BN184" s="150">
        <f t="shared" si="532"/>
        <v>0.82093749999999999</v>
      </c>
      <c r="BO184" s="456"/>
      <c r="BQ184" s="144">
        <f t="shared" si="486"/>
        <v>1641.875</v>
      </c>
      <c r="BR184" s="456">
        <f t="shared" si="487"/>
        <v>0.22725894000327856</v>
      </c>
      <c r="BS184" s="456">
        <f t="shared" si="488"/>
        <v>7.0383085325588263E-2</v>
      </c>
      <c r="BT184" s="456">
        <f t="shared" si="489"/>
        <v>9.5539391005871957E-3</v>
      </c>
      <c r="BU184" s="456">
        <f t="shared" si="490"/>
        <v>22.174643701590853</v>
      </c>
      <c r="BV184" s="456"/>
      <c r="BW184" s="538">
        <f t="shared" si="533"/>
        <v>8.8101005443748048E-2</v>
      </c>
      <c r="BX184" s="144">
        <f t="shared" si="491"/>
        <v>22569.940671464054</v>
      </c>
      <c r="BY184" s="150">
        <f t="shared" si="492"/>
        <v>26.000478568753014</v>
      </c>
      <c r="BZ184" s="5">
        <f t="shared" si="493"/>
        <v>67.34</v>
      </c>
      <c r="CA184" s="150">
        <f t="shared" si="494"/>
        <v>0.72144476900660526</v>
      </c>
      <c r="CB184" s="5">
        <f t="shared" si="495"/>
        <v>72.144476900660521</v>
      </c>
      <c r="CC184">
        <f t="shared" si="496"/>
        <v>74</v>
      </c>
      <c r="CE184" s="59">
        <f t="shared" si="534"/>
        <v>-50</v>
      </c>
      <c r="CF184">
        <f t="shared" si="535"/>
        <v>-50</v>
      </c>
      <c r="CG184" s="150">
        <f t="shared" si="536"/>
        <v>0.49840675206849366</v>
      </c>
      <c r="CH184" s="150">
        <f t="shared" si="537"/>
        <v>0.13505683350346265</v>
      </c>
      <c r="CI184" s="147">
        <v>74</v>
      </c>
      <c r="CJ184" s="188">
        <f t="shared" si="602"/>
        <v>0.37</v>
      </c>
      <c r="CK184" s="188">
        <f t="shared" si="538"/>
        <v>0.37</v>
      </c>
      <c r="CL184" s="188">
        <f t="shared" si="539"/>
        <v>62.9</v>
      </c>
      <c r="CM184" s="188">
        <f t="shared" si="540"/>
        <v>4.4399999999999995</v>
      </c>
      <c r="CN184" s="465">
        <f t="shared" si="541"/>
        <v>9</v>
      </c>
      <c r="CO184" s="379">
        <f t="shared" si="542"/>
        <v>8.625</v>
      </c>
      <c r="CP184" s="379">
        <f t="shared" si="543"/>
        <v>17.625</v>
      </c>
      <c r="CQ184" s="379"/>
      <c r="CR184" s="188">
        <f t="shared" si="544"/>
        <v>0.48674080410607357</v>
      </c>
      <c r="CS184" s="149">
        <f t="shared" si="545"/>
        <v>136.39440115060304</v>
      </c>
      <c r="CT184" s="149">
        <f t="shared" si="546"/>
        <v>9.6278400812190377</v>
      </c>
      <c r="CU184" s="188">
        <f t="shared" si="547"/>
        <v>0.80232000676825321</v>
      </c>
      <c r="CV184" s="188">
        <f t="shared" si="548"/>
        <v>11.366200095883586</v>
      </c>
      <c r="CW184" s="188">
        <f t="shared" si="549"/>
        <v>170</v>
      </c>
      <c r="CX184" s="188">
        <f t="shared" si="550"/>
        <v>30.744174965826989</v>
      </c>
      <c r="CY184" s="188">
        <f t="shared" si="551"/>
        <v>5.1240291609711655</v>
      </c>
      <c r="CZ184" s="188">
        <f t="shared" si="552"/>
        <v>5.3468130375351279</v>
      </c>
      <c r="DA184" s="172">
        <f t="shared" si="553"/>
        <v>220.21276595744678</v>
      </c>
      <c r="DB184" s="379">
        <f t="shared" si="554"/>
        <v>95.503301553207805</v>
      </c>
      <c r="DD184" s="188">
        <f t="shared" si="555"/>
        <v>13.333333333333336</v>
      </c>
      <c r="DE184" s="150">
        <f t="shared" si="556"/>
        <v>2.3188405797101459</v>
      </c>
      <c r="DF184" s="150">
        <f t="shared" si="557"/>
        <v>0.15898994622398885</v>
      </c>
      <c r="DG184" s="150"/>
      <c r="DH184" s="150">
        <f t="shared" si="558"/>
        <v>2.3188405797101455</v>
      </c>
      <c r="DI184" s="314">
        <f t="shared" si="559"/>
        <v>512.47720588235279</v>
      </c>
      <c r="DJ184" s="456">
        <f t="shared" si="560"/>
        <v>0.15898994622398879</v>
      </c>
      <c r="DL184" s="150">
        <f t="shared" si="561"/>
        <v>16.0166579951416</v>
      </c>
      <c r="DM184" s="150">
        <f t="shared" si="562"/>
        <v>30.744174965826989</v>
      </c>
      <c r="DN184" s="150">
        <f t="shared" si="563"/>
        <v>14.096919727773079</v>
      </c>
      <c r="DP184" s="314">
        <f t="shared" si="564"/>
        <v>370</v>
      </c>
      <c r="DQ184" s="144">
        <f t="shared" si="565"/>
        <v>95.503301553207805</v>
      </c>
      <c r="DS184">
        <f t="shared" si="566"/>
        <v>370</v>
      </c>
      <c r="DT184">
        <f t="shared" si="567"/>
        <v>95.503301553207805</v>
      </c>
      <c r="DV184" s="5">
        <f t="shared" si="568"/>
        <v>10.470842198506293</v>
      </c>
      <c r="DW184" s="5">
        <f t="shared" si="569"/>
        <v>5.1240291609711655</v>
      </c>
      <c r="DX184" s="5">
        <f t="shared" si="570"/>
        <v>5.3468130375351279</v>
      </c>
      <c r="DY184" s="150">
        <f t="shared" si="571"/>
        <v>0.48936170212765961</v>
      </c>
      <c r="EA184" s="5">
        <f t="shared" si="572"/>
        <v>1.1152298762113713</v>
      </c>
      <c r="EB184" s="5">
        <f t="shared" si="573"/>
        <v>15.799089912994425</v>
      </c>
      <c r="EC184" s="5">
        <f t="shared" si="574"/>
        <v>62.280470381659164</v>
      </c>
      <c r="ED184" s="5"/>
      <c r="EE184" s="150">
        <f t="shared" si="575"/>
        <v>12.417014970480361</v>
      </c>
      <c r="EF184" s="150">
        <f t="shared" si="576"/>
        <v>0.59238826306997627</v>
      </c>
      <c r="EG184" s="150">
        <f t="shared" si="577"/>
        <v>0.56353111422557489</v>
      </c>
      <c r="EH184" s="150"/>
      <c r="EI184" s="456">
        <f t="shared" si="578"/>
        <v>0.52421968664225349</v>
      </c>
      <c r="EJ184" s="456">
        <f t="shared" si="579"/>
        <v>1.5731999999999997</v>
      </c>
      <c r="EK184" s="456">
        <f t="shared" si="580"/>
        <v>2.187025605568459E-2</v>
      </c>
      <c r="EL184" s="456">
        <f t="shared" si="581"/>
        <v>2.0322035619575584E-2</v>
      </c>
      <c r="EM184">
        <f t="shared" si="582"/>
        <v>4.0499999999999998E-3</v>
      </c>
      <c r="EN184" s="144">
        <f t="shared" si="583"/>
        <v>25.920256055684593</v>
      </c>
      <c r="EP184" s="144">
        <f t="shared" si="603"/>
        <v>2143.6619783175129</v>
      </c>
      <c r="EQ184" s="150">
        <f t="shared" si="584"/>
        <v>0.92500000000000004</v>
      </c>
      <c r="ER184" s="150">
        <f t="shared" si="585"/>
        <v>0.26269999999999999</v>
      </c>
      <c r="ES184" s="456"/>
      <c r="EU184" s="144">
        <f t="shared" si="497"/>
        <v>1187.7</v>
      </c>
      <c r="EV184" s="456">
        <f t="shared" si="586"/>
        <v>0.23127339116570009</v>
      </c>
      <c r="EW184" s="456">
        <f t="shared" si="587"/>
        <v>7.0184770844612693E-2</v>
      </c>
      <c r="EX184" s="456">
        <f t="shared" si="588"/>
        <v>9.5270195010095388E-3</v>
      </c>
      <c r="EY184" s="456">
        <f t="shared" si="589"/>
        <v>23.357323485002276</v>
      </c>
      <c r="EZ184" s="456"/>
      <c r="FA184" s="538">
        <f t="shared" si="590"/>
        <v>9.0270130750726055E-2</v>
      </c>
      <c r="FB184" s="144">
        <f t="shared" si="498"/>
        <v>23758.578797264323</v>
      </c>
      <c r="FC184" s="150">
        <f t="shared" si="591"/>
        <v>27.089940775581837</v>
      </c>
      <c r="FD184" s="5">
        <f t="shared" si="592"/>
        <v>67.34</v>
      </c>
      <c r="FE184" s="150">
        <f t="shared" si="593"/>
        <v>0.71312127749859944</v>
      </c>
      <c r="FF184" s="5">
        <f t="shared" si="594"/>
        <v>71.31212774985994</v>
      </c>
      <c r="FG184">
        <f t="shared" si="595"/>
        <v>74</v>
      </c>
      <c r="FI184" s="59">
        <f t="shared" si="596"/>
        <v>-50</v>
      </c>
      <c r="FJ184">
        <f t="shared" si="597"/>
        <v>-50</v>
      </c>
    </row>
    <row r="185" spans="5:166">
      <c r="E185" s="147">
        <v>75</v>
      </c>
      <c r="F185" s="188">
        <f t="shared" si="598"/>
        <v>0.375</v>
      </c>
      <c r="G185" s="188">
        <f t="shared" si="499"/>
        <v>0.375</v>
      </c>
      <c r="H185" s="188">
        <f t="shared" si="500"/>
        <v>63.75</v>
      </c>
      <c r="I185" s="188">
        <f t="shared" si="501"/>
        <v>4.5</v>
      </c>
      <c r="J185" s="465">
        <f t="shared" si="502"/>
        <v>8.9060738661904892</v>
      </c>
      <c r="K185" s="379">
        <f t="shared" si="503"/>
        <v>8.6811287141835436</v>
      </c>
      <c r="L185" s="149">
        <f t="shared" si="504"/>
        <v>17.587202580374033</v>
      </c>
      <c r="M185" s="379"/>
      <c r="N185" s="188">
        <f t="shared" si="505"/>
        <v>0.49360486265570264</v>
      </c>
      <c r="O185" s="149">
        <f t="shared" si="506"/>
        <v>136.87432829282508</v>
      </c>
      <c r="P185" s="149">
        <f t="shared" si="507"/>
        <v>9.6617172912582419</v>
      </c>
      <c r="Q185" s="188">
        <f t="shared" si="508"/>
        <v>0.80514310760485341</v>
      </c>
      <c r="R185" s="188">
        <f t="shared" si="509"/>
        <v>11.40619402440209</v>
      </c>
      <c r="S185" s="188">
        <f t="shared" si="510"/>
        <v>170</v>
      </c>
      <c r="T185" s="188">
        <f t="shared" si="511"/>
        <v>31.050380688683052</v>
      </c>
      <c r="U185" s="188">
        <f t="shared" si="512"/>
        <v>5.2296412238209911</v>
      </c>
      <c r="V185" s="188">
        <f t="shared" si="513"/>
        <v>5.3651515334552888</v>
      </c>
      <c r="W185" s="172">
        <f t="shared" si="514"/>
        <v>219.80406837612495</v>
      </c>
      <c r="X185" s="379">
        <f t="shared" si="599"/>
        <v>92.637257841374051</v>
      </c>
      <c r="Z185" s="188">
        <f t="shared" si="515"/>
        <v>13.333333333333334</v>
      </c>
      <c r="AA185" s="150">
        <f t="shared" si="516"/>
        <v>2.3038478818224726</v>
      </c>
      <c r="AB185" s="150">
        <f t="shared" si="517"/>
        <v>0.15766881565664942</v>
      </c>
      <c r="AC185" s="150"/>
      <c r="AD185" s="150">
        <f t="shared" si="518"/>
        <v>2.3038478818224726</v>
      </c>
      <c r="AE185" s="314">
        <f t="shared" si="519"/>
        <v>522.78267771443529</v>
      </c>
      <c r="AF185" s="456">
        <f t="shared" si="520"/>
        <v>0.15766881565664939</v>
      </c>
      <c r="AH185" s="150">
        <f t="shared" si="521"/>
        <v>16.124515496597098</v>
      </c>
      <c r="AI185" s="150">
        <f t="shared" si="522"/>
        <v>31.050380688683052</v>
      </c>
      <c r="AJ185" s="150">
        <f t="shared" si="523"/>
        <v>14.323738781740534</v>
      </c>
      <c r="AL185" s="314">
        <f t="shared" si="524"/>
        <v>375</v>
      </c>
      <c r="AM185" s="144">
        <f t="shared" si="525"/>
        <v>92.637257841374051</v>
      </c>
      <c r="AO185">
        <f t="shared" si="526"/>
        <v>375</v>
      </c>
      <c r="AP185">
        <f t="shared" si="527"/>
        <v>92.637257841374051</v>
      </c>
      <c r="AR185" s="5">
        <f t="shared" si="443"/>
        <v>10.79479275727628</v>
      </c>
      <c r="AS185" s="5">
        <f t="shared" si="604"/>
        <v>5.2296412238209911</v>
      </c>
      <c r="AT185" s="5">
        <f t="shared" si="605"/>
        <v>5.565151533455289</v>
      </c>
      <c r="AU185" s="150">
        <f t="shared" si="606"/>
        <v>0.48445962246898416</v>
      </c>
      <c r="AW185" s="5">
        <f t="shared" si="477"/>
        <v>1.1535973287840422</v>
      </c>
      <c r="AX185" s="5">
        <f t="shared" si="478"/>
        <v>16.342628824440595</v>
      </c>
      <c r="AY185" s="5">
        <f t="shared" si="479"/>
        <v>66.392594460093747</v>
      </c>
      <c r="AZ185" s="5"/>
      <c r="BA185" s="150">
        <f t="shared" si="480"/>
        <v>12.477715953367623</v>
      </c>
      <c r="BB185" s="150">
        <f t="shared" si="481"/>
        <v>0.60115322615433964</v>
      </c>
      <c r="BC185" s="150">
        <f t="shared" si="482"/>
        <v>0.57186910760086529</v>
      </c>
      <c r="BD185" s="150"/>
      <c r="BE185" s="456">
        <f t="shared" si="483"/>
        <v>0.52935754440394467</v>
      </c>
      <c r="BF185" s="456">
        <f t="shared" si="528"/>
        <v>1.2115878346331501</v>
      </c>
      <c r="BG185" s="456">
        <f t="shared" si="529"/>
        <v>3.77865691582248E-2</v>
      </c>
      <c r="BH185" s="456">
        <f t="shared" si="484"/>
        <v>1.9627717323273019E-2</v>
      </c>
      <c r="BI185">
        <f t="shared" si="485"/>
        <v>4.0077332397857202E-3</v>
      </c>
      <c r="BJ185" s="144">
        <f t="shared" si="600"/>
        <v>41.794302398010515</v>
      </c>
      <c r="BK185">
        <f t="shared" si="530"/>
        <v>2.1773575463726815</v>
      </c>
      <c r="BL185" s="144">
        <f t="shared" si="601"/>
        <v>1802.3673987583784</v>
      </c>
      <c r="BM185" s="150">
        <f t="shared" si="531"/>
        <v>0.83203125</v>
      </c>
      <c r="BN185" s="150">
        <f t="shared" si="532"/>
        <v>0.83203125</v>
      </c>
      <c r="BO185" s="456"/>
      <c r="BQ185" s="144">
        <f t="shared" si="486"/>
        <v>1664.0625</v>
      </c>
      <c r="BR185" s="456">
        <f t="shared" si="487"/>
        <v>0.23354009311938737</v>
      </c>
      <c r="BS185" s="456">
        <f t="shared" si="488"/>
        <v>7.2277040263154124E-2</v>
      </c>
      <c r="BT185" s="456">
        <f t="shared" si="489"/>
        <v>9.8110282868462996E-3</v>
      </c>
      <c r="BU185" s="456">
        <f t="shared" si="490"/>
        <v>22.187151799682763</v>
      </c>
      <c r="BV185" s="456"/>
      <c r="BW185" s="538">
        <f t="shared" si="533"/>
        <v>8.9314001907286972E-2</v>
      </c>
      <c r="BX185" s="144">
        <f t="shared" si="491"/>
        <v>22592.093963259438</v>
      </c>
      <c r="BY185" s="150">
        <f t="shared" si="492"/>
        <v>26.058523862017815</v>
      </c>
      <c r="BZ185" s="5">
        <f t="shared" si="493"/>
        <v>68.25</v>
      </c>
      <c r="CA185" s="150">
        <f t="shared" si="494"/>
        <v>0.7236885618086456</v>
      </c>
      <c r="CB185" s="5">
        <f t="shared" si="495"/>
        <v>72.368856180864555</v>
      </c>
      <c r="CC185">
        <f t="shared" si="496"/>
        <v>75</v>
      </c>
      <c r="CE185" s="59">
        <f t="shared" si="534"/>
        <v>-50</v>
      </c>
      <c r="CF185">
        <f t="shared" si="535"/>
        <v>-50</v>
      </c>
      <c r="CG185" s="150">
        <f t="shared" si="536"/>
        <v>0.49840675206849377</v>
      </c>
      <c r="CH185" s="150">
        <f t="shared" si="537"/>
        <v>0.13505683350346265</v>
      </c>
      <c r="CI185" s="147">
        <v>75</v>
      </c>
      <c r="CJ185" s="188">
        <f t="shared" si="602"/>
        <v>0.375</v>
      </c>
      <c r="CK185" s="188">
        <f t="shared" si="538"/>
        <v>0.375</v>
      </c>
      <c r="CL185" s="188">
        <f t="shared" si="539"/>
        <v>63.75</v>
      </c>
      <c r="CM185" s="188">
        <f t="shared" si="540"/>
        <v>4.5</v>
      </c>
      <c r="CN185" s="465">
        <f t="shared" si="541"/>
        <v>9</v>
      </c>
      <c r="CO185" s="379">
        <f t="shared" si="542"/>
        <v>8.625</v>
      </c>
      <c r="CP185" s="379">
        <f t="shared" si="543"/>
        <v>17.625</v>
      </c>
      <c r="CQ185" s="379"/>
      <c r="CR185" s="188">
        <f t="shared" si="544"/>
        <v>0.48674080410607357</v>
      </c>
      <c r="CS185" s="149">
        <f t="shared" si="545"/>
        <v>136.39440115060304</v>
      </c>
      <c r="CT185" s="149">
        <f t="shared" si="546"/>
        <v>9.6278400812190377</v>
      </c>
      <c r="CU185" s="188">
        <f t="shared" si="547"/>
        <v>0.80232000676825321</v>
      </c>
      <c r="CV185" s="188">
        <f t="shared" si="548"/>
        <v>11.366200095883586</v>
      </c>
      <c r="CW185" s="188">
        <f t="shared" si="549"/>
        <v>170</v>
      </c>
      <c r="CX185" s="188">
        <f t="shared" si="550"/>
        <v>31.159636789689515</v>
      </c>
      <c r="CY185" s="188">
        <f t="shared" si="551"/>
        <v>5.1932727982815861</v>
      </c>
      <c r="CZ185" s="188">
        <f t="shared" si="552"/>
        <v>5.419067267772089</v>
      </c>
      <c r="DA185" s="172">
        <f t="shared" si="553"/>
        <v>220.21276595744678</v>
      </c>
      <c r="DB185" s="379">
        <f t="shared" si="554"/>
        <v>94.22992419916504</v>
      </c>
      <c r="DD185" s="188">
        <f t="shared" si="555"/>
        <v>13.333333333333336</v>
      </c>
      <c r="DE185" s="150">
        <f t="shared" si="556"/>
        <v>2.3188405797101459</v>
      </c>
      <c r="DF185" s="150">
        <f t="shared" si="557"/>
        <v>0.15898994622398885</v>
      </c>
      <c r="DG185" s="150"/>
      <c r="DH185" s="150">
        <f t="shared" si="558"/>
        <v>2.3188405797101455</v>
      </c>
      <c r="DI185" s="314">
        <f t="shared" si="559"/>
        <v>519.4025735294116</v>
      </c>
      <c r="DJ185" s="456">
        <f t="shared" si="560"/>
        <v>0.15898994622398879</v>
      </c>
      <c r="DL185" s="150">
        <f t="shared" si="561"/>
        <v>16.124515496597098</v>
      </c>
      <c r="DM185" s="150">
        <f t="shared" si="562"/>
        <v>31.159636789689515</v>
      </c>
      <c r="DN185" s="150">
        <f t="shared" si="563"/>
        <v>14.404669226930503</v>
      </c>
      <c r="DP185" s="314">
        <f t="shared" si="564"/>
        <v>375</v>
      </c>
      <c r="DQ185" s="144">
        <f t="shared" si="565"/>
        <v>94.22992419916504</v>
      </c>
      <c r="DS185">
        <f t="shared" si="566"/>
        <v>375</v>
      </c>
      <c r="DT185">
        <f t="shared" si="567"/>
        <v>94.22992419916504</v>
      </c>
      <c r="DV185" s="5">
        <f t="shared" si="568"/>
        <v>10.612340066053676</v>
      </c>
      <c r="DW185" s="5">
        <f t="shared" si="569"/>
        <v>5.1932727982815861</v>
      </c>
      <c r="DX185" s="5">
        <f t="shared" si="570"/>
        <v>5.4190672677720899</v>
      </c>
      <c r="DY185" s="150">
        <f t="shared" si="571"/>
        <v>0.48936170212765956</v>
      </c>
      <c r="EA185" s="5">
        <f t="shared" si="572"/>
        <v>1.1455748819738791</v>
      </c>
      <c r="EB185" s="5">
        <f t="shared" si="573"/>
        <v>16.228977494629959</v>
      </c>
      <c r="EC185" s="5">
        <f t="shared" si="574"/>
        <v>63.975099688976051</v>
      </c>
      <c r="ED185" s="5"/>
      <c r="EE185" s="150">
        <f t="shared" si="575"/>
        <v>12.584812470081445</v>
      </c>
      <c r="EF185" s="150">
        <f t="shared" si="576"/>
        <v>0.60039350986821927</v>
      </c>
      <c r="EG185" s="150">
        <f t="shared" si="577"/>
        <v>0.57114639955294755</v>
      </c>
      <c r="EH185" s="150"/>
      <c r="EI185" s="456">
        <f t="shared" si="578"/>
        <v>0.53848351668419925</v>
      </c>
      <c r="EJ185" s="456">
        <f t="shared" si="579"/>
        <v>1.5732000000000002</v>
      </c>
      <c r="EK185" s="456">
        <f t="shared" si="580"/>
        <v>2.1578652641608794E-2</v>
      </c>
      <c r="EL185" s="456">
        <f t="shared" si="581"/>
        <v>2.0051075144647906E-2</v>
      </c>
      <c r="EM185">
        <f t="shared" si="582"/>
        <v>4.0499999999999998E-3</v>
      </c>
      <c r="EN185" s="144">
        <f t="shared" si="583"/>
        <v>25.628652641608795</v>
      </c>
      <c r="EP185" s="144">
        <f t="shared" si="603"/>
        <v>2157.3632444704558</v>
      </c>
      <c r="EQ185" s="150">
        <f t="shared" si="584"/>
        <v>0.9375</v>
      </c>
      <c r="ER185" s="150">
        <f t="shared" si="585"/>
        <v>0.26625000000000004</v>
      </c>
      <c r="ES185" s="456"/>
      <c r="EU185" s="144">
        <f t="shared" si="497"/>
        <v>1203.75</v>
      </c>
      <c r="EV185" s="456">
        <f t="shared" si="586"/>
        <v>0.23756625736067616</v>
      </c>
      <c r="EW185" s="456">
        <f t="shared" si="587"/>
        <v>7.2094473338375903E-2</v>
      </c>
      <c r="EX185" s="456">
        <f t="shared" si="588"/>
        <v>9.7862462916688559E-3</v>
      </c>
      <c r="EY185" s="456">
        <f t="shared" si="589"/>
        <v>23.35732348500223</v>
      </c>
      <c r="EZ185" s="456"/>
      <c r="FA185" s="538">
        <f t="shared" si="590"/>
        <v>9.148999738249261E-2</v>
      </c>
      <c r="FB185" s="144">
        <f t="shared" si="498"/>
        <v>23768.260459375444</v>
      </c>
      <c r="FC185" s="150">
        <f t="shared" si="591"/>
        <v>27.1293737038459</v>
      </c>
      <c r="FD185" s="5">
        <f t="shared" si="592"/>
        <v>68.25</v>
      </c>
      <c r="FE185" s="150">
        <f t="shared" si="593"/>
        <v>0.71556351598530166</v>
      </c>
      <c r="FF185" s="5">
        <f t="shared" si="594"/>
        <v>71.556351598530171</v>
      </c>
      <c r="FG185">
        <f t="shared" si="595"/>
        <v>75</v>
      </c>
      <c r="FI185" s="59">
        <f t="shared" si="596"/>
        <v>-50</v>
      </c>
      <c r="FJ185">
        <f t="shared" si="597"/>
        <v>-50</v>
      </c>
    </row>
    <row r="186" spans="5:166">
      <c r="E186" s="147">
        <v>76</v>
      </c>
      <c r="F186" s="188">
        <f t="shared" si="598"/>
        <v>0.38</v>
      </c>
      <c r="G186" s="188">
        <f t="shared" si="499"/>
        <v>0.38</v>
      </c>
      <c r="H186" s="188">
        <f t="shared" si="500"/>
        <v>64.599999999999994</v>
      </c>
      <c r="I186" s="188">
        <f t="shared" si="501"/>
        <v>4.5600000000000005</v>
      </c>
      <c r="J186" s="465">
        <f t="shared" si="502"/>
        <v>8.9048215177396948</v>
      </c>
      <c r="K186" s="379">
        <f t="shared" si="503"/>
        <v>8.6818770970393242</v>
      </c>
      <c r="L186" s="149">
        <f t="shared" si="504"/>
        <v>17.586698614779017</v>
      </c>
      <c r="M186" s="379"/>
      <c r="N186" s="188">
        <f t="shared" si="505"/>
        <v>0.49366156134292832</v>
      </c>
      <c r="O186" s="149">
        <f t="shared" si="506"/>
        <v>136.87080145928059</v>
      </c>
      <c r="P186" s="149">
        <f t="shared" si="507"/>
        <v>9.6614683383021607</v>
      </c>
      <c r="Q186" s="188">
        <f t="shared" si="508"/>
        <v>0.80512236152517991</v>
      </c>
      <c r="R186" s="188">
        <f t="shared" si="509"/>
        <v>11.405900121606715</v>
      </c>
      <c r="S186" s="188">
        <f t="shared" si="510"/>
        <v>170</v>
      </c>
      <c r="T186" s="188">
        <f t="shared" si="511"/>
        <v>31.465196526579195</v>
      </c>
      <c r="U186" s="188">
        <f t="shared" si="512"/>
        <v>5.300251632875959</v>
      </c>
      <c r="V186" s="188">
        <f t="shared" si="513"/>
        <v>5.4363583200186154</v>
      </c>
      <c r="W186" s="172">
        <f t="shared" si="514"/>
        <v>219.79840469637409</v>
      </c>
      <c r="X186" s="379">
        <f t="shared" si="599"/>
        <v>91.436012101293926</v>
      </c>
      <c r="Z186" s="188">
        <f t="shared" si="515"/>
        <v>13.333333333333334</v>
      </c>
      <c r="AA186" s="150">
        <f t="shared" si="516"/>
        <v>2.3036492887949724</v>
      </c>
      <c r="AB186" s="150">
        <f t="shared" si="517"/>
        <v>0.15765116221923481</v>
      </c>
      <c r="AC186" s="150"/>
      <c r="AD186" s="150">
        <f t="shared" si="518"/>
        <v>2.3036492887949724</v>
      </c>
      <c r="AE186" s="314">
        <f t="shared" si="519"/>
        <v>529.79878238050549</v>
      </c>
      <c r="AF186" s="456">
        <f t="shared" si="520"/>
        <v>0.15765116221923484</v>
      </c>
      <c r="AH186" s="150">
        <f t="shared" si="521"/>
        <v>16.231656313102082</v>
      </c>
      <c r="AI186" s="150">
        <f t="shared" si="522"/>
        <v>31.465196526579195</v>
      </c>
      <c r="AJ186" s="150">
        <f t="shared" si="523"/>
        <v>14.631009772774712</v>
      </c>
      <c r="AL186" s="314">
        <f t="shared" si="524"/>
        <v>380</v>
      </c>
      <c r="AM186" s="144">
        <f t="shared" si="525"/>
        <v>91.436012101293926</v>
      </c>
      <c r="AO186">
        <f t="shared" si="526"/>
        <v>380</v>
      </c>
      <c r="AP186">
        <f t="shared" si="527"/>
        <v>91.436012101293926</v>
      </c>
      <c r="AR186" s="5">
        <f t="shared" si="443"/>
        <v>10.936609952894576</v>
      </c>
      <c r="AS186" s="5">
        <f t="shared" si="604"/>
        <v>5.300251632875959</v>
      </c>
      <c r="AT186" s="5">
        <f t="shared" si="605"/>
        <v>5.6363583200186174</v>
      </c>
      <c r="AU186" s="150">
        <f t="shared" si="606"/>
        <v>0.48463387244354905</v>
      </c>
      <c r="AW186" s="5">
        <f t="shared" si="477"/>
        <v>1.184762129701685</v>
      </c>
      <c r="AX186" s="5">
        <f t="shared" si="478"/>
        <v>16.784130170773867</v>
      </c>
      <c r="AY186" s="5">
        <f t="shared" si="479"/>
        <v>68.148239832365945</v>
      </c>
      <c r="AZ186" s="5"/>
      <c r="BA186" s="150">
        <f t="shared" si="480"/>
        <v>12.646685067743809</v>
      </c>
      <c r="BB186" s="150">
        <f t="shared" si="481"/>
        <v>0.60908134005457992</v>
      </c>
      <c r="BC186" s="150">
        <f t="shared" si="482"/>
        <v>0.57941101742324475</v>
      </c>
      <c r="BD186" s="150"/>
      <c r="BE186" s="456">
        <f t="shared" si="483"/>
        <v>0.54379138688916029</v>
      </c>
      <c r="BF186" s="456">
        <f t="shared" si="528"/>
        <v>1.211818459897591</v>
      </c>
      <c r="BG186" s="456">
        <f t="shared" si="529"/>
        <v>3.7291338656960639E-2</v>
      </c>
      <c r="BH186" s="456">
        <f t="shared" si="484"/>
        <v>1.9372090538747715E-2</v>
      </c>
      <c r="BI186">
        <f t="shared" si="485"/>
        <v>4.0071696829828626E-3</v>
      </c>
      <c r="BJ186" s="144">
        <f t="shared" si="600"/>
        <v>41.298508339943503</v>
      </c>
      <c r="BK186">
        <f t="shared" si="530"/>
        <v>2.2069548451500816</v>
      </c>
      <c r="BL186" s="144">
        <f t="shared" si="601"/>
        <v>1816.2804456654424</v>
      </c>
      <c r="BM186" s="150">
        <f t="shared" si="531"/>
        <v>0.8431249999999999</v>
      </c>
      <c r="BN186" s="150">
        <f t="shared" si="532"/>
        <v>0.8431249999999999</v>
      </c>
      <c r="BO186" s="456"/>
      <c r="BQ186" s="144">
        <f t="shared" si="486"/>
        <v>1686.2499999999998</v>
      </c>
      <c r="BR186" s="456">
        <f t="shared" si="487"/>
        <v>0.23990796480404131</v>
      </c>
      <c r="BS186" s="456">
        <f t="shared" si="488"/>
        <v>7.4196015760536568E-2</v>
      </c>
      <c r="BT186" s="456">
        <f t="shared" si="489"/>
        <v>1.0071513813343189E-2</v>
      </c>
      <c r="BU186" s="456">
        <f t="shared" si="490"/>
        <v>22.199301877843617</v>
      </c>
      <c r="BV186" s="456"/>
      <c r="BW186" s="538">
        <f t="shared" si="533"/>
        <v>9.0527009440819858E-2</v>
      </c>
      <c r="BX186" s="144">
        <f t="shared" si="491"/>
        <v>22614.004381662358</v>
      </c>
      <c r="BY186" s="150">
        <f t="shared" si="492"/>
        <v>26.116534827327801</v>
      </c>
      <c r="BZ186" s="5">
        <f t="shared" si="493"/>
        <v>69.16</v>
      </c>
      <c r="CA186" s="150">
        <f t="shared" si="494"/>
        <v>0.72588702061153365</v>
      </c>
      <c r="CB186" s="5">
        <f t="shared" si="495"/>
        <v>72.58870206115337</v>
      </c>
      <c r="CC186">
        <f t="shared" si="496"/>
        <v>76</v>
      </c>
      <c r="CE186" s="59">
        <f t="shared" si="534"/>
        <v>-50</v>
      </c>
      <c r="CF186">
        <f t="shared" si="535"/>
        <v>-50</v>
      </c>
      <c r="CG186" s="150">
        <f t="shared" si="536"/>
        <v>0.49840675206849377</v>
      </c>
      <c r="CH186" s="150">
        <f t="shared" si="537"/>
        <v>0.1350568335034627</v>
      </c>
      <c r="CI186" s="147">
        <v>76</v>
      </c>
      <c r="CJ186" s="188">
        <f t="shared" si="602"/>
        <v>0.38</v>
      </c>
      <c r="CK186" s="188">
        <f t="shared" si="538"/>
        <v>0.38</v>
      </c>
      <c r="CL186" s="188">
        <f t="shared" si="539"/>
        <v>64.599999999999994</v>
      </c>
      <c r="CM186" s="188">
        <f t="shared" si="540"/>
        <v>4.5600000000000005</v>
      </c>
      <c r="CN186" s="465">
        <f t="shared" si="541"/>
        <v>9</v>
      </c>
      <c r="CO186" s="379">
        <f t="shared" si="542"/>
        <v>8.625</v>
      </c>
      <c r="CP186" s="379">
        <f t="shared" si="543"/>
        <v>17.625</v>
      </c>
      <c r="CQ186" s="379"/>
      <c r="CR186" s="188">
        <f t="shared" si="544"/>
        <v>0.48674080410607357</v>
      </c>
      <c r="CS186" s="149">
        <f t="shared" si="545"/>
        <v>136.39440115060304</v>
      </c>
      <c r="CT186" s="149">
        <f t="shared" si="546"/>
        <v>9.6278400812190377</v>
      </c>
      <c r="CU186" s="188">
        <f t="shared" si="547"/>
        <v>0.80232000676825321</v>
      </c>
      <c r="CV186" s="188">
        <f t="shared" si="548"/>
        <v>11.366200095883586</v>
      </c>
      <c r="CW186" s="188">
        <f t="shared" si="549"/>
        <v>170</v>
      </c>
      <c r="CX186" s="188">
        <f t="shared" si="550"/>
        <v>31.57509861355204</v>
      </c>
      <c r="CY186" s="188">
        <f t="shared" si="551"/>
        <v>5.2625164355920058</v>
      </c>
      <c r="CZ186" s="188">
        <f t="shared" si="552"/>
        <v>5.4913214980090501</v>
      </c>
      <c r="DA186" s="172">
        <f t="shared" si="553"/>
        <v>220.21276595744678</v>
      </c>
      <c r="DB186" s="379">
        <f t="shared" si="554"/>
        <v>92.990056775491837</v>
      </c>
      <c r="DD186" s="188">
        <f t="shared" si="555"/>
        <v>13.333333333333336</v>
      </c>
      <c r="DE186" s="150">
        <f t="shared" si="556"/>
        <v>2.3188405797101459</v>
      </c>
      <c r="DF186" s="150">
        <f t="shared" si="557"/>
        <v>0.15898994622398885</v>
      </c>
      <c r="DG186" s="150"/>
      <c r="DH186" s="150">
        <f t="shared" si="558"/>
        <v>2.3188405797101455</v>
      </c>
      <c r="DI186" s="314">
        <f t="shared" si="559"/>
        <v>526.3279411764704</v>
      </c>
      <c r="DJ186" s="456">
        <f t="shared" si="560"/>
        <v>0.15898994622398879</v>
      </c>
      <c r="DL186" s="150">
        <f t="shared" si="561"/>
        <v>16.231656313102082</v>
      </c>
      <c r="DM186" s="150">
        <f t="shared" si="562"/>
        <v>31.57509861355204</v>
      </c>
      <c r="DN186" s="150">
        <f t="shared" si="563"/>
        <v>14.712418726087929</v>
      </c>
      <c r="DP186" s="314">
        <f t="shared" si="564"/>
        <v>380</v>
      </c>
      <c r="DQ186" s="144">
        <f t="shared" si="565"/>
        <v>92.990056775491837</v>
      </c>
      <c r="DS186">
        <f t="shared" si="566"/>
        <v>380</v>
      </c>
      <c r="DT186">
        <f t="shared" si="567"/>
        <v>92.990056775491837</v>
      </c>
      <c r="DV186" s="5">
        <f t="shared" si="568"/>
        <v>10.753837933601057</v>
      </c>
      <c r="DW186" s="5">
        <f t="shared" si="569"/>
        <v>5.2625164355920058</v>
      </c>
      <c r="DX186" s="5">
        <f t="shared" si="570"/>
        <v>5.491321498009051</v>
      </c>
      <c r="DY186" s="150">
        <f t="shared" si="571"/>
        <v>0.4893617021276595</v>
      </c>
      <c r="EA186" s="5">
        <f t="shared" si="572"/>
        <v>1.1763272032499779</v>
      </c>
      <c r="EB186" s="5">
        <f t="shared" si="573"/>
        <v>16.664635379374683</v>
      </c>
      <c r="EC186" s="5">
        <f t="shared" si="574"/>
        <v>65.69247569840455</v>
      </c>
      <c r="ED186" s="5"/>
      <c r="EE186" s="150">
        <f t="shared" si="575"/>
        <v>12.752609969682529</v>
      </c>
      <c r="EF186" s="150">
        <f t="shared" si="576"/>
        <v>0.60839875666646215</v>
      </c>
      <c r="EG186" s="150">
        <f t="shared" si="577"/>
        <v>0.5787616848803202</v>
      </c>
      <c r="EH186" s="150"/>
      <c r="EI186" s="456">
        <f t="shared" si="578"/>
        <v>0.55293880753207714</v>
      </c>
      <c r="EJ186" s="456">
        <f t="shared" si="579"/>
        <v>1.5732000000000004</v>
      </c>
      <c r="EK186" s="456">
        <f t="shared" si="580"/>
        <v>2.1294723001587631E-2</v>
      </c>
      <c r="EL186" s="456">
        <f t="shared" si="581"/>
        <v>1.9787245208534126E-2</v>
      </c>
      <c r="EM186">
        <f t="shared" si="582"/>
        <v>4.0499999999999998E-3</v>
      </c>
      <c r="EN186" s="144">
        <f t="shared" si="583"/>
        <v>25.344723001587631</v>
      </c>
      <c r="EP186" s="144">
        <f t="shared" si="603"/>
        <v>2171.270775742199</v>
      </c>
      <c r="EQ186" s="150">
        <f t="shared" si="584"/>
        <v>0.95</v>
      </c>
      <c r="ER186" s="150">
        <f t="shared" si="585"/>
        <v>0.26980000000000004</v>
      </c>
      <c r="ES186" s="456"/>
      <c r="EU186" s="144">
        <f t="shared" si="497"/>
        <v>1219.8</v>
      </c>
      <c r="EV186" s="456">
        <f t="shared" si="586"/>
        <v>0.24394359155826936</v>
      </c>
      <c r="EW186" s="456">
        <f t="shared" si="587"/>
        <v>7.4029809422659409E-2</v>
      </c>
      <c r="EX186" s="456">
        <f t="shared" si="588"/>
        <v>1.0048952636565212E-2</v>
      </c>
      <c r="EY186" s="456">
        <f t="shared" si="589"/>
        <v>23.357323485002318</v>
      </c>
      <c r="EZ186" s="456"/>
      <c r="FA186" s="538">
        <f t="shared" si="590"/>
        <v>9.2709864014259208E-2</v>
      </c>
      <c r="FB186" s="144">
        <f t="shared" si="498"/>
        <v>23778.055702634072</v>
      </c>
      <c r="FC186" s="150">
        <f t="shared" si="591"/>
        <v>27.16912647837627</v>
      </c>
      <c r="FD186" s="5">
        <f t="shared" si="592"/>
        <v>69.16</v>
      </c>
      <c r="FE186" s="150">
        <f t="shared" si="593"/>
        <v>0.71795522837555126</v>
      </c>
      <c r="FF186" s="5">
        <f t="shared" si="594"/>
        <v>71.795522837555126</v>
      </c>
      <c r="FG186">
        <f t="shared" si="595"/>
        <v>76</v>
      </c>
      <c r="FI186" s="59">
        <f t="shared" si="596"/>
        <v>-50</v>
      </c>
      <c r="FJ186">
        <f t="shared" si="597"/>
        <v>-50</v>
      </c>
    </row>
    <row r="187" spans="5:166">
      <c r="E187" s="147">
        <v>77</v>
      </c>
      <c r="F187" s="188">
        <f t="shared" si="598"/>
        <v>0.38500000000000001</v>
      </c>
      <c r="G187" s="188">
        <f t="shared" si="499"/>
        <v>0.38500000000000001</v>
      </c>
      <c r="H187" s="188">
        <f t="shared" si="500"/>
        <v>65.45</v>
      </c>
      <c r="I187" s="188">
        <f t="shared" si="501"/>
        <v>4.62</v>
      </c>
      <c r="J187" s="465">
        <f t="shared" si="502"/>
        <v>8.9035691692889021</v>
      </c>
      <c r="K187" s="379">
        <f t="shared" si="503"/>
        <v>8.682625479895103</v>
      </c>
      <c r="L187" s="149">
        <f t="shared" si="504"/>
        <v>17.586194649184005</v>
      </c>
      <c r="M187" s="379"/>
      <c r="N187" s="188">
        <f t="shared" si="505"/>
        <v>0.49371826327976953</v>
      </c>
      <c r="O187" s="149">
        <f t="shared" si="506"/>
        <v>136.86727110493499</v>
      </c>
      <c r="P187" s="149">
        <f t="shared" si="507"/>
        <v>9.6612191368189411</v>
      </c>
      <c r="Q187" s="188">
        <f t="shared" si="508"/>
        <v>0.80510159473491172</v>
      </c>
      <c r="R187" s="188">
        <f t="shared" si="509"/>
        <v>11.405605925411249</v>
      </c>
      <c r="S187" s="188">
        <f t="shared" si="510"/>
        <v>170</v>
      </c>
      <c r="T187" s="188">
        <f t="shared" si="511"/>
        <v>31.88003456274074</v>
      </c>
      <c r="U187" s="188">
        <f t="shared" si="512"/>
        <v>5.3708856453945355</v>
      </c>
      <c r="V187" s="188">
        <f t="shared" si="513"/>
        <v>5.5075566664530182</v>
      </c>
      <c r="W187" s="172">
        <f t="shared" si="514"/>
        <v>219.79273536263088</v>
      </c>
      <c r="X187" s="379">
        <f t="shared" si="599"/>
        <v>90.265397593899635</v>
      </c>
      <c r="Z187" s="188">
        <f t="shared" si="515"/>
        <v>13.333333333333334</v>
      </c>
      <c r="AA187" s="150">
        <f t="shared" si="516"/>
        <v>2.3034507300021909</v>
      </c>
      <c r="AB187" s="150">
        <f t="shared" si="517"/>
        <v>0.15763350777003513</v>
      </c>
      <c r="AC187" s="150"/>
      <c r="AD187" s="150">
        <f t="shared" si="518"/>
        <v>2.3034507300021909</v>
      </c>
      <c r="AE187" s="314">
        <f t="shared" si="519"/>
        <v>536.81608886139691</v>
      </c>
      <c r="AF187" s="456">
        <f t="shared" si="520"/>
        <v>0.15763350777003515</v>
      </c>
      <c r="AH187" s="150">
        <f t="shared" si="521"/>
        <v>16.338094544142329</v>
      </c>
      <c r="AI187" s="150">
        <f t="shared" si="522"/>
        <v>31.88003456274074</v>
      </c>
      <c r="AJ187" s="150">
        <f t="shared" si="523"/>
        <v>14.938297206968446</v>
      </c>
      <c r="AL187" s="314">
        <f t="shared" si="524"/>
        <v>385</v>
      </c>
      <c r="AM187" s="144">
        <f t="shared" si="525"/>
        <v>90.265397593899635</v>
      </c>
      <c r="AO187">
        <f t="shared" si="526"/>
        <v>385</v>
      </c>
      <c r="AP187">
        <f t="shared" si="527"/>
        <v>90.265397593899635</v>
      </c>
      <c r="AR187" s="5">
        <f t="shared" si="443"/>
        <v>11.078442311847551</v>
      </c>
      <c r="AS187" s="5">
        <f t="shared" si="604"/>
        <v>5.3708856453945355</v>
      </c>
      <c r="AT187" s="5">
        <f t="shared" si="605"/>
        <v>5.7075566664530157</v>
      </c>
      <c r="AU187" s="150">
        <f t="shared" si="606"/>
        <v>0.48480512821290606</v>
      </c>
      <c r="AW187" s="5">
        <f t="shared" si="477"/>
        <v>1.2163476314569976</v>
      </c>
      <c r="AX187" s="5">
        <f t="shared" si="478"/>
        <v>17.231591445640799</v>
      </c>
      <c r="AY187" s="5">
        <f t="shared" si="479"/>
        <v>69.92693542642607</v>
      </c>
      <c r="AZ187" s="5"/>
      <c r="BA187" s="150">
        <f t="shared" si="480"/>
        <v>12.815683067693437</v>
      </c>
      <c r="BB187" s="150">
        <f t="shared" si="481"/>
        <v>0.617008944219825</v>
      </c>
      <c r="BC187" s="150">
        <f t="shared" si="482"/>
        <v>0.58695244234146937</v>
      </c>
      <c r="BD187" s="150"/>
      <c r="BE187" s="456">
        <f t="shared" si="483"/>
        <v>0.55842189047131841</v>
      </c>
      <c r="BF187" s="456">
        <f t="shared" si="528"/>
        <v>1.2120414617145099</v>
      </c>
      <c r="BG187" s="456">
        <f t="shared" si="529"/>
        <v>3.6808736867035743E-2</v>
      </c>
      <c r="BH187" s="456">
        <f t="shared" si="484"/>
        <v>1.9122982272259188E-2</v>
      </c>
      <c r="BI187">
        <f t="shared" si="485"/>
        <v>4.0066061261800059E-3</v>
      </c>
      <c r="BJ187" s="144">
        <f t="shared" si="600"/>
        <v>40.815342993215751</v>
      </c>
      <c r="BK187">
        <f t="shared" si="530"/>
        <v>2.2371933936694406</v>
      </c>
      <c r="BL187" s="144">
        <f t="shared" si="601"/>
        <v>1830.4016774513034</v>
      </c>
      <c r="BM187" s="150">
        <f t="shared" si="531"/>
        <v>0.85421875000000003</v>
      </c>
      <c r="BN187" s="150">
        <f t="shared" si="532"/>
        <v>0.85421875000000003</v>
      </c>
      <c r="BO187" s="456"/>
      <c r="BQ187" s="144">
        <f t="shared" si="486"/>
        <v>1708.4375</v>
      </c>
      <c r="BR187" s="456">
        <f t="shared" si="487"/>
        <v>0.24636259873734637</v>
      </c>
      <c r="BS187" s="456">
        <f t="shared" si="488"/>
        <v>7.6140007449452624E-2</v>
      </c>
      <c r="BT187" s="456">
        <f t="shared" si="489"/>
        <v>1.0335395087118478E-2</v>
      </c>
      <c r="BU187" s="456">
        <f t="shared" si="490"/>
        <v>22.21110738612397</v>
      </c>
      <c r="BV187" s="456"/>
      <c r="BW187" s="538">
        <f t="shared" si="533"/>
        <v>9.174002762415881E-2</v>
      </c>
      <c r="BX187" s="144">
        <f t="shared" si="491"/>
        <v>22635.685415022046</v>
      </c>
      <c r="BY187" s="150">
        <f t="shared" si="492"/>
        <v>26.17452459247335</v>
      </c>
      <c r="BZ187" s="5">
        <f t="shared" si="493"/>
        <v>70.070000000000007</v>
      </c>
      <c r="CA187" s="150">
        <f t="shared" si="494"/>
        <v>0.7280414163475406</v>
      </c>
      <c r="CB187" s="5">
        <f t="shared" si="495"/>
        <v>72.80414163475406</v>
      </c>
      <c r="CC187">
        <f t="shared" si="496"/>
        <v>77</v>
      </c>
      <c r="CE187" s="59">
        <f t="shared" si="534"/>
        <v>-50</v>
      </c>
      <c r="CF187">
        <f t="shared" si="535"/>
        <v>-50</v>
      </c>
      <c r="CG187" s="150">
        <f t="shared" si="536"/>
        <v>0.49840675206849366</v>
      </c>
      <c r="CH187" s="150">
        <f t="shared" si="537"/>
        <v>0.13505683350346265</v>
      </c>
      <c r="CI187" s="147">
        <v>77</v>
      </c>
      <c r="CJ187" s="188">
        <f t="shared" si="602"/>
        <v>0.38500000000000001</v>
      </c>
      <c r="CK187" s="188">
        <f t="shared" si="538"/>
        <v>0.38500000000000001</v>
      </c>
      <c r="CL187" s="188">
        <f t="shared" si="539"/>
        <v>65.45</v>
      </c>
      <c r="CM187" s="188">
        <f t="shared" si="540"/>
        <v>4.62</v>
      </c>
      <c r="CN187" s="465">
        <f t="shared" si="541"/>
        <v>9</v>
      </c>
      <c r="CO187" s="379">
        <f t="shared" si="542"/>
        <v>8.625</v>
      </c>
      <c r="CP187" s="379">
        <f t="shared" si="543"/>
        <v>17.625</v>
      </c>
      <c r="CQ187" s="379"/>
      <c r="CR187" s="188">
        <f t="shared" si="544"/>
        <v>0.48674080410607357</v>
      </c>
      <c r="CS187" s="149">
        <f t="shared" si="545"/>
        <v>136.39440115060304</v>
      </c>
      <c r="CT187" s="149">
        <f t="shared" si="546"/>
        <v>9.6278400812190377</v>
      </c>
      <c r="CU187" s="188">
        <f t="shared" si="547"/>
        <v>0.80232000676825321</v>
      </c>
      <c r="CV187" s="188">
        <f t="shared" si="548"/>
        <v>11.366200095883586</v>
      </c>
      <c r="CW187" s="188">
        <f t="shared" si="549"/>
        <v>170</v>
      </c>
      <c r="CX187" s="188">
        <f t="shared" si="550"/>
        <v>31.990560437414572</v>
      </c>
      <c r="CY187" s="188">
        <f t="shared" si="551"/>
        <v>5.3317600729024281</v>
      </c>
      <c r="CZ187" s="188">
        <f t="shared" si="552"/>
        <v>5.563575728246013</v>
      </c>
      <c r="DA187" s="172">
        <f t="shared" si="553"/>
        <v>220.21276595744678</v>
      </c>
      <c r="DB187" s="379">
        <f t="shared" si="554"/>
        <v>91.782393700485429</v>
      </c>
      <c r="DD187" s="188">
        <f t="shared" si="555"/>
        <v>13.333333333333336</v>
      </c>
      <c r="DE187" s="150">
        <f t="shared" si="556"/>
        <v>2.3188405797101459</v>
      </c>
      <c r="DF187" s="150">
        <f t="shared" si="557"/>
        <v>0.15898994622398885</v>
      </c>
      <c r="DG187" s="150"/>
      <c r="DH187" s="150">
        <f t="shared" si="558"/>
        <v>2.3188405797101455</v>
      </c>
      <c r="DI187" s="314">
        <f t="shared" si="559"/>
        <v>533.25330882352921</v>
      </c>
      <c r="DJ187" s="456">
        <f t="shared" si="560"/>
        <v>0.15898994622398879</v>
      </c>
      <c r="DL187" s="150">
        <f t="shared" si="561"/>
        <v>16.338094544142329</v>
      </c>
      <c r="DM187" s="150">
        <f t="shared" si="562"/>
        <v>31.990560437414572</v>
      </c>
      <c r="DN187" s="150">
        <f t="shared" si="563"/>
        <v>15.02016822524536</v>
      </c>
      <c r="DP187" s="314">
        <f t="shared" si="564"/>
        <v>385</v>
      </c>
      <c r="DQ187" s="144">
        <f t="shared" si="565"/>
        <v>91.782393700485429</v>
      </c>
      <c r="DS187">
        <f t="shared" si="566"/>
        <v>385</v>
      </c>
      <c r="DT187">
        <f t="shared" si="567"/>
        <v>91.782393700485429</v>
      </c>
      <c r="DV187" s="5">
        <f t="shared" si="568"/>
        <v>10.895335801148439</v>
      </c>
      <c r="DW187" s="5">
        <f t="shared" si="569"/>
        <v>5.3317600729024281</v>
      </c>
      <c r="DX187" s="5">
        <f t="shared" si="570"/>
        <v>5.5635757282460112</v>
      </c>
      <c r="DY187" s="150">
        <f t="shared" si="571"/>
        <v>0.48936170212765961</v>
      </c>
      <c r="EA187" s="5">
        <f t="shared" si="572"/>
        <v>1.2074868400396677</v>
      </c>
      <c r="EB187" s="5">
        <f t="shared" si="573"/>
        <v>17.106063567228624</v>
      </c>
      <c r="EC187" s="5">
        <f t="shared" si="574"/>
        <v>67.432598409944703</v>
      </c>
      <c r="ED187" s="5"/>
      <c r="EE187" s="150">
        <f t="shared" si="575"/>
        <v>12.920407469283621</v>
      </c>
      <c r="EF187" s="150">
        <f t="shared" si="576"/>
        <v>0.61640400346470503</v>
      </c>
      <c r="EG187" s="150">
        <f t="shared" si="577"/>
        <v>0.58637697020769286</v>
      </c>
      <c r="EH187" s="150"/>
      <c r="EI187" s="456">
        <f t="shared" si="578"/>
        <v>0.56758555918588793</v>
      </c>
      <c r="EJ187" s="456">
        <f t="shared" si="579"/>
        <v>1.5732000000000004</v>
      </c>
      <c r="EK187" s="456">
        <f t="shared" si="580"/>
        <v>2.1018168157411164E-2</v>
      </c>
      <c r="EL187" s="456">
        <f t="shared" si="581"/>
        <v>1.9530267998033677E-2</v>
      </c>
      <c r="EM187">
        <f t="shared" si="582"/>
        <v>4.0499999999999998E-3</v>
      </c>
      <c r="EN187" s="144">
        <f t="shared" si="583"/>
        <v>25.068168157411161</v>
      </c>
      <c r="EP187" s="144">
        <f t="shared" si="603"/>
        <v>2185.383995341333</v>
      </c>
      <c r="EQ187" s="150">
        <f t="shared" si="584"/>
        <v>0.96250000000000002</v>
      </c>
      <c r="ER187" s="150">
        <f t="shared" si="585"/>
        <v>0.27335000000000004</v>
      </c>
      <c r="ES187" s="456"/>
      <c r="EU187" s="144">
        <f t="shared" si="497"/>
        <v>1235.8500000000001</v>
      </c>
      <c r="EV187" s="456">
        <f t="shared" si="586"/>
        <v>0.25040539375847998</v>
      </c>
      <c r="EW187" s="456">
        <f t="shared" si="587"/>
        <v>7.5990779097463226E-2</v>
      </c>
      <c r="EX187" s="456">
        <f t="shared" si="588"/>
        <v>1.0315138535698605E-2</v>
      </c>
      <c r="EY187" s="456">
        <f t="shared" si="589"/>
        <v>23.357323485002279</v>
      </c>
      <c r="EZ187" s="456"/>
      <c r="FA187" s="538">
        <f t="shared" si="590"/>
        <v>9.3929730646025777E-2</v>
      </c>
      <c r="FB187" s="144">
        <f t="shared" si="498"/>
        <v>23787.964527039945</v>
      </c>
      <c r="FC187" s="150">
        <f t="shared" si="591"/>
        <v>27.209198522381278</v>
      </c>
      <c r="FD187" s="5">
        <f t="shared" si="592"/>
        <v>70.070000000000007</v>
      </c>
      <c r="FE187" s="150">
        <f t="shared" si="593"/>
        <v>0.72029787523258448</v>
      </c>
      <c r="FF187" s="5">
        <f t="shared" si="594"/>
        <v>72.029787523258449</v>
      </c>
      <c r="FG187">
        <f t="shared" si="595"/>
        <v>77</v>
      </c>
      <c r="FI187" s="59">
        <f t="shared" si="596"/>
        <v>-50</v>
      </c>
      <c r="FJ187">
        <f t="shared" si="597"/>
        <v>-50</v>
      </c>
    </row>
    <row r="188" spans="5:166">
      <c r="E188" s="147">
        <v>78</v>
      </c>
      <c r="F188" s="188">
        <f t="shared" si="598"/>
        <v>0.39</v>
      </c>
      <c r="G188" s="188">
        <f t="shared" si="499"/>
        <v>0.39</v>
      </c>
      <c r="H188" s="188">
        <f t="shared" si="500"/>
        <v>66.3</v>
      </c>
      <c r="I188" s="188">
        <f t="shared" si="501"/>
        <v>4.68</v>
      </c>
      <c r="J188" s="465">
        <f t="shared" si="502"/>
        <v>8.9023168208381076</v>
      </c>
      <c r="K188" s="379">
        <f t="shared" si="503"/>
        <v>8.6833738627508854</v>
      </c>
      <c r="L188" s="149">
        <f t="shared" si="504"/>
        <v>17.585690683588993</v>
      </c>
      <c r="M188" s="379"/>
      <c r="N188" s="188">
        <f t="shared" si="505"/>
        <v>0.49377496846650609</v>
      </c>
      <c r="O188" s="149">
        <f t="shared" si="506"/>
        <v>136.86373722948557</v>
      </c>
      <c r="P188" s="149">
        <f t="shared" si="507"/>
        <v>9.660969686787217</v>
      </c>
      <c r="Q188" s="188">
        <f t="shared" si="508"/>
        <v>0.80508080723226805</v>
      </c>
      <c r="R188" s="188">
        <f t="shared" si="509"/>
        <v>11.405311435790464</v>
      </c>
      <c r="S188" s="188">
        <f t="shared" si="510"/>
        <v>170</v>
      </c>
      <c r="T188" s="188">
        <f t="shared" si="511"/>
        <v>32.294894830971828</v>
      </c>
      <c r="U188" s="188">
        <f t="shared" si="512"/>
        <v>5.4415432770339374</v>
      </c>
      <c r="V188" s="188">
        <f t="shared" si="513"/>
        <v>5.5787465807802104</v>
      </c>
      <c r="W188" s="172">
        <f t="shared" si="514"/>
        <v>219.78706037440918</v>
      </c>
      <c r="X188" s="379">
        <f t="shared" si="599"/>
        <v>89.124257276078282</v>
      </c>
      <c r="Z188" s="188">
        <f t="shared" si="515"/>
        <v>13.333333333333332</v>
      </c>
      <c r="AA188" s="150">
        <f t="shared" si="516"/>
        <v>2.3032522054352746</v>
      </c>
      <c r="AB188" s="150">
        <f t="shared" si="517"/>
        <v>0.15761585230896327</v>
      </c>
      <c r="AC188" s="150"/>
      <c r="AD188" s="150">
        <f t="shared" si="518"/>
        <v>2.3032522054352751</v>
      </c>
      <c r="AE188" s="314">
        <f t="shared" si="519"/>
        <v>543.83459715710978</v>
      </c>
      <c r="AF188" s="456">
        <f t="shared" si="520"/>
        <v>0.15761585230896333</v>
      </c>
      <c r="AH188" s="150">
        <f t="shared" si="521"/>
        <v>16.443843832875572</v>
      </c>
      <c r="AI188" s="150">
        <f t="shared" si="522"/>
        <v>32.294894830971828</v>
      </c>
      <c r="AJ188" s="150">
        <f t="shared" si="523"/>
        <v>15.245601109361846</v>
      </c>
      <c r="AL188" s="314">
        <f t="shared" si="524"/>
        <v>390</v>
      </c>
      <c r="AM188" s="144">
        <f t="shared" si="525"/>
        <v>89.124257276078282</v>
      </c>
      <c r="AO188">
        <f t="shared" si="526"/>
        <v>390</v>
      </c>
      <c r="AP188">
        <f t="shared" si="527"/>
        <v>89.124257276078282</v>
      </c>
      <c r="AR188" s="5">
        <f t="shared" si="443"/>
        <v>11.22028985781415</v>
      </c>
      <c r="AS188" s="5">
        <f t="shared" si="604"/>
        <v>5.4415432770339374</v>
      </c>
      <c r="AT188" s="5">
        <f t="shared" si="605"/>
        <v>5.7787465807802123</v>
      </c>
      <c r="AU188" s="150">
        <f t="shared" si="606"/>
        <v>0.48497350300128672</v>
      </c>
      <c r="AW188" s="5">
        <f t="shared" si="477"/>
        <v>1.2483540459077855</v>
      </c>
      <c r="AX188" s="5">
        <f t="shared" si="478"/>
        <v>17.685015650360295</v>
      </c>
      <c r="AY188" s="5">
        <f t="shared" si="479"/>
        <v>71.728687040380677</v>
      </c>
      <c r="AZ188" s="5"/>
      <c r="BA188" s="150">
        <f t="shared" si="480"/>
        <v>12.984709947648469</v>
      </c>
      <c r="BB188" s="150">
        <f t="shared" si="481"/>
        <v>0.62493604059763319</v>
      </c>
      <c r="BC188" s="150">
        <f t="shared" si="482"/>
        <v>0.59449338420822639</v>
      </c>
      <c r="BD188" s="150"/>
      <c r="BE188" s="456">
        <f t="shared" si="483"/>
        <v>0.57324915424350775</v>
      </c>
      <c r="BF188" s="456">
        <f t="shared" si="528"/>
        <v>1.2122571269159861</v>
      </c>
      <c r="BG188" s="456">
        <f t="shared" si="529"/>
        <v>3.6338286760963893E-2</v>
      </c>
      <c r="BH188" s="456">
        <f t="shared" si="484"/>
        <v>1.8880146297949048E-2</v>
      </c>
      <c r="BI188">
        <f t="shared" si="485"/>
        <v>4.0060425693771483E-3</v>
      </c>
      <c r="BJ188" s="144">
        <f t="shared" si="600"/>
        <v>40.344329330341047</v>
      </c>
      <c r="BK188">
        <f t="shared" si="530"/>
        <v>2.2680860954954132</v>
      </c>
      <c r="BL188" s="144">
        <f t="shared" si="601"/>
        <v>1844.7307567877838</v>
      </c>
      <c r="BM188" s="150">
        <f t="shared" si="531"/>
        <v>0.86531250000000004</v>
      </c>
      <c r="BN188" s="150">
        <f t="shared" si="532"/>
        <v>0.86531250000000004</v>
      </c>
      <c r="BO188" s="456"/>
      <c r="BQ188" s="144">
        <f t="shared" si="486"/>
        <v>1730.625</v>
      </c>
      <c r="BR188" s="456">
        <f t="shared" si="487"/>
        <v>0.25290403863684163</v>
      </c>
      <c r="BS188" s="456">
        <f t="shared" si="488"/>
        <v>7.8109010967569337E-2</v>
      </c>
      <c r="BT188" s="456">
        <f t="shared" si="489"/>
        <v>1.0602671516020495E-2</v>
      </c>
      <c r="BU188" s="456">
        <f t="shared" si="490"/>
        <v>22.222581106644085</v>
      </c>
      <c r="BV188" s="456"/>
      <c r="BW188" s="538">
        <f t="shared" si="533"/>
        <v>9.2953056058278388E-2</v>
      </c>
      <c r="BX188" s="144">
        <f t="shared" si="491"/>
        <v>22657.149883822793</v>
      </c>
      <c r="BY188" s="150">
        <f t="shared" si="492"/>
        <v>26.232505640610579</v>
      </c>
      <c r="BZ188" s="5">
        <f t="shared" si="493"/>
        <v>70.97999999999999</v>
      </c>
      <c r="CA188" s="150">
        <f t="shared" si="494"/>
        <v>0.73015297293549097</v>
      </c>
      <c r="CB188" s="5">
        <f t="shared" si="495"/>
        <v>73.015297293549096</v>
      </c>
      <c r="CC188">
        <f t="shared" si="496"/>
        <v>78</v>
      </c>
      <c r="CE188" s="59">
        <f t="shared" si="534"/>
        <v>-50</v>
      </c>
      <c r="CF188">
        <f t="shared" si="535"/>
        <v>-50</v>
      </c>
      <c r="CG188" s="150">
        <f t="shared" si="536"/>
        <v>0.49840675206849377</v>
      </c>
      <c r="CH188" s="150">
        <f t="shared" si="537"/>
        <v>0.1350568335034627</v>
      </c>
      <c r="CI188" s="147">
        <v>78</v>
      </c>
      <c r="CJ188" s="188">
        <f t="shared" si="602"/>
        <v>0.39</v>
      </c>
      <c r="CK188" s="188">
        <f t="shared" si="538"/>
        <v>0.39</v>
      </c>
      <c r="CL188" s="188">
        <f t="shared" si="539"/>
        <v>66.3</v>
      </c>
      <c r="CM188" s="188">
        <f t="shared" si="540"/>
        <v>4.68</v>
      </c>
      <c r="CN188" s="465">
        <f t="shared" si="541"/>
        <v>9</v>
      </c>
      <c r="CO188" s="379">
        <f t="shared" si="542"/>
        <v>8.625</v>
      </c>
      <c r="CP188" s="379">
        <f t="shared" si="543"/>
        <v>17.625</v>
      </c>
      <c r="CQ188" s="379"/>
      <c r="CR188" s="188">
        <f t="shared" si="544"/>
        <v>0.48674080410607357</v>
      </c>
      <c r="CS188" s="149">
        <f t="shared" si="545"/>
        <v>136.39440115060304</v>
      </c>
      <c r="CT188" s="149">
        <f t="shared" si="546"/>
        <v>9.6278400812190377</v>
      </c>
      <c r="CU188" s="188">
        <f t="shared" si="547"/>
        <v>0.80232000676825321</v>
      </c>
      <c r="CV188" s="188">
        <f t="shared" si="548"/>
        <v>11.366200095883586</v>
      </c>
      <c r="CW188" s="188">
        <f t="shared" si="549"/>
        <v>170</v>
      </c>
      <c r="CX188" s="188">
        <f t="shared" si="550"/>
        <v>32.406022261277087</v>
      </c>
      <c r="CY188" s="188">
        <f t="shared" si="551"/>
        <v>5.4010037102128479</v>
      </c>
      <c r="CZ188" s="188">
        <f t="shared" si="552"/>
        <v>5.6358299584829714</v>
      </c>
      <c r="DA188" s="172">
        <f t="shared" si="553"/>
        <v>220.21276595744678</v>
      </c>
      <c r="DB188" s="379">
        <f t="shared" si="554"/>
        <v>90.605696345351021</v>
      </c>
      <c r="DD188" s="188">
        <f t="shared" si="555"/>
        <v>13.333333333333336</v>
      </c>
      <c r="DE188" s="150">
        <f t="shared" si="556"/>
        <v>2.3188405797101459</v>
      </c>
      <c r="DF188" s="150">
        <f t="shared" si="557"/>
        <v>0.15898994622398885</v>
      </c>
      <c r="DG188" s="150"/>
      <c r="DH188" s="150">
        <f t="shared" si="558"/>
        <v>2.3188405797101455</v>
      </c>
      <c r="DI188" s="314">
        <f t="shared" si="559"/>
        <v>540.17867647058802</v>
      </c>
      <c r="DJ188" s="456">
        <f t="shared" si="560"/>
        <v>0.15898994622398879</v>
      </c>
      <c r="DL188" s="150">
        <f t="shared" si="561"/>
        <v>16.443843832875572</v>
      </c>
      <c r="DM188" s="150">
        <f t="shared" si="562"/>
        <v>32.406022261277087</v>
      </c>
      <c r="DN188" s="150">
        <f t="shared" si="563"/>
        <v>15.327917724402777</v>
      </c>
      <c r="DP188" s="314">
        <f t="shared" si="564"/>
        <v>390</v>
      </c>
      <c r="DQ188" s="144">
        <f t="shared" si="565"/>
        <v>90.605696345351021</v>
      </c>
      <c r="DS188">
        <f t="shared" si="566"/>
        <v>390</v>
      </c>
      <c r="DT188">
        <f t="shared" si="567"/>
        <v>90.605696345351021</v>
      </c>
      <c r="DV188" s="5">
        <f t="shared" si="568"/>
        <v>11.03683366869582</v>
      </c>
      <c r="DW188" s="5">
        <f t="shared" si="569"/>
        <v>5.4010037102128479</v>
      </c>
      <c r="DX188" s="5">
        <f t="shared" si="570"/>
        <v>5.6358299584829723</v>
      </c>
      <c r="DY188" s="150">
        <f t="shared" si="571"/>
        <v>0.48936170212765956</v>
      </c>
      <c r="EA188" s="5">
        <f t="shared" si="572"/>
        <v>1.2390537923429477</v>
      </c>
      <c r="EB188" s="5">
        <f t="shared" si="573"/>
        <v>17.553262058191756</v>
      </c>
      <c r="EC188" s="5">
        <f t="shared" si="574"/>
        <v>69.195467823596488</v>
      </c>
      <c r="ED188" s="5"/>
      <c r="EE188" s="150">
        <f t="shared" si="575"/>
        <v>13.0882049688847</v>
      </c>
      <c r="EF188" s="150">
        <f t="shared" si="576"/>
        <v>0.62440925026294791</v>
      </c>
      <c r="EG188" s="150">
        <f t="shared" si="577"/>
        <v>0.59399225553506529</v>
      </c>
      <c r="EH188" s="150"/>
      <c r="EI188" s="456">
        <f t="shared" si="578"/>
        <v>0.58242377164562964</v>
      </c>
      <c r="EJ188" s="456">
        <f t="shared" si="579"/>
        <v>1.5732000000000002</v>
      </c>
      <c r="EK188" s="456">
        <f t="shared" si="580"/>
        <v>2.0748704463085386E-2</v>
      </c>
      <c r="EL188" s="456">
        <f t="shared" si="581"/>
        <v>1.9279879946776841E-2</v>
      </c>
      <c r="EM188">
        <f t="shared" si="582"/>
        <v>4.0499999999999998E-3</v>
      </c>
      <c r="EN188" s="144">
        <f t="shared" si="583"/>
        <v>24.798704463085386</v>
      </c>
      <c r="EP188" s="144">
        <f t="shared" si="603"/>
        <v>2199.7023560554921</v>
      </c>
      <c r="EQ188" s="150">
        <f t="shared" si="584"/>
        <v>0.97500000000000009</v>
      </c>
      <c r="ER188" s="150">
        <f t="shared" si="585"/>
        <v>0.27690000000000003</v>
      </c>
      <c r="ES188" s="456"/>
      <c r="EU188" s="144">
        <f t="shared" si="497"/>
        <v>1251.9000000000001</v>
      </c>
      <c r="EV188" s="456">
        <f t="shared" si="586"/>
        <v>0.25695166396130725</v>
      </c>
      <c r="EW188" s="456">
        <f t="shared" si="587"/>
        <v>7.797738236278734E-2</v>
      </c>
      <c r="EX188" s="456">
        <f t="shared" si="588"/>
        <v>1.0584803989069028E-2</v>
      </c>
      <c r="EY188" s="456">
        <f t="shared" si="589"/>
        <v>23.357323485002279</v>
      </c>
      <c r="EZ188" s="456"/>
      <c r="FA188" s="538">
        <f t="shared" si="590"/>
        <v>9.5149597277792292E-2</v>
      </c>
      <c r="FB188" s="144">
        <f t="shared" si="498"/>
        <v>23797.986932593238</v>
      </c>
      <c r="FC188" s="150">
        <f t="shared" si="591"/>
        <v>27.249589288648728</v>
      </c>
      <c r="FD188" s="5">
        <f t="shared" si="592"/>
        <v>70.97999999999999</v>
      </c>
      <c r="FE188" s="150">
        <f t="shared" si="593"/>
        <v>0.72259286141800394</v>
      </c>
      <c r="FF188" s="5">
        <f t="shared" si="594"/>
        <v>72.259286141800388</v>
      </c>
      <c r="FG188">
        <f t="shared" si="595"/>
        <v>78</v>
      </c>
      <c r="FI188" s="59">
        <f t="shared" si="596"/>
        <v>-50</v>
      </c>
      <c r="FJ188">
        <f t="shared" si="597"/>
        <v>-50</v>
      </c>
    </row>
    <row r="189" spans="5:166">
      <c r="E189" s="147">
        <v>79</v>
      </c>
      <c r="F189" s="188">
        <f t="shared" si="598"/>
        <v>0.39500000000000002</v>
      </c>
      <c r="G189" s="188">
        <f t="shared" si="499"/>
        <v>0.39500000000000002</v>
      </c>
      <c r="H189" s="188">
        <f t="shared" si="500"/>
        <v>67.150000000000006</v>
      </c>
      <c r="I189" s="188">
        <f t="shared" si="501"/>
        <v>4.74</v>
      </c>
      <c r="J189" s="465">
        <f t="shared" si="502"/>
        <v>8.9010644723873149</v>
      </c>
      <c r="K189" s="379">
        <f t="shared" si="503"/>
        <v>8.6841222456066642</v>
      </c>
      <c r="L189" s="149">
        <f t="shared" si="504"/>
        <v>17.585186717993977</v>
      </c>
      <c r="M189" s="379"/>
      <c r="N189" s="188">
        <f t="shared" si="505"/>
        <v>0.49383167690341712</v>
      </c>
      <c r="O189" s="149">
        <f t="shared" si="506"/>
        <v>136.86019983262963</v>
      </c>
      <c r="P189" s="149">
        <f t="shared" si="507"/>
        <v>9.6607199881856225</v>
      </c>
      <c r="Q189" s="188">
        <f t="shared" si="508"/>
        <v>0.80505999901546843</v>
      </c>
      <c r="R189" s="188">
        <f t="shared" si="509"/>
        <v>11.405016652719135</v>
      </c>
      <c r="S189" s="188">
        <f t="shared" si="510"/>
        <v>170</v>
      </c>
      <c r="T189" s="188">
        <f t="shared" si="511"/>
        <v>32.709777365087255</v>
      </c>
      <c r="U189" s="188">
        <f t="shared" si="512"/>
        <v>5.5122245434619872</v>
      </c>
      <c r="V189" s="188">
        <f t="shared" si="513"/>
        <v>5.6499280710209847</v>
      </c>
      <c r="W189" s="172">
        <f t="shared" si="514"/>
        <v>219.78137973122281</v>
      </c>
      <c r="X189" s="379">
        <f t="shared" si="599"/>
        <v>88.011491653908266</v>
      </c>
      <c r="Z189" s="188">
        <f t="shared" si="515"/>
        <v>13.333333333333336</v>
      </c>
      <c r="AA189" s="150">
        <f t="shared" si="516"/>
        <v>2.3030537150853783</v>
      </c>
      <c r="AB189" s="150">
        <f t="shared" si="517"/>
        <v>0.15759819583593249</v>
      </c>
      <c r="AC189" s="150"/>
      <c r="AD189" s="150">
        <f t="shared" si="518"/>
        <v>2.3030537150853778</v>
      </c>
      <c r="AE189" s="314">
        <f t="shared" si="519"/>
        <v>550.85430726764389</v>
      </c>
      <c r="AF189" s="456">
        <f t="shared" si="520"/>
        <v>0.15759819583593243</v>
      </c>
      <c r="AH189" s="150">
        <f t="shared" si="521"/>
        <v>16.548917386544254</v>
      </c>
      <c r="AI189" s="150">
        <f t="shared" si="522"/>
        <v>32.709777365087255</v>
      </c>
      <c r="AJ189" s="150">
        <f t="shared" si="523"/>
        <v>15.552921505002903</v>
      </c>
      <c r="AL189" s="314">
        <f t="shared" si="524"/>
        <v>395</v>
      </c>
      <c r="AM189" s="144">
        <f t="shared" si="525"/>
        <v>88.011491653908266</v>
      </c>
      <c r="AO189">
        <f t="shared" si="526"/>
        <v>395</v>
      </c>
      <c r="AP189">
        <f t="shared" si="527"/>
        <v>88.011491653908266</v>
      </c>
      <c r="AR189" s="5">
        <f t="shared" si="443"/>
        <v>11.362152614482971</v>
      </c>
      <c r="AS189" s="5">
        <f t="shared" si="604"/>
        <v>5.5122245434619872</v>
      </c>
      <c r="AT189" s="5">
        <f t="shared" si="605"/>
        <v>5.849928071020984</v>
      </c>
      <c r="AU189" s="150">
        <f t="shared" si="606"/>
        <v>0.48513910440137298</v>
      </c>
      <c r="AW189" s="5">
        <f t="shared" si="477"/>
        <v>1.2807815850985205</v>
      </c>
      <c r="AX189" s="5">
        <f t="shared" si="478"/>
        <v>18.144405788895707</v>
      </c>
      <c r="AY189" s="5">
        <f t="shared" si="479"/>
        <v>73.553500480694353</v>
      </c>
      <c r="AZ189" s="5"/>
      <c r="BA189" s="150">
        <f t="shared" si="480"/>
        <v>13.153765703087959</v>
      </c>
      <c r="BB189" s="150">
        <f t="shared" si="481"/>
        <v>0.63286263106018725</v>
      </c>
      <c r="BC189" s="150">
        <f t="shared" si="482"/>
        <v>0.60203384480449795</v>
      </c>
      <c r="BD189" s="150"/>
      <c r="BE189" s="456">
        <f t="shared" si="483"/>
        <v>0.58827327738389246</v>
      </c>
      <c r="BF189" s="456">
        <f t="shared" si="528"/>
        <v>1.2124657280676003</v>
      </c>
      <c r="BG189" s="456">
        <f t="shared" si="529"/>
        <v>3.5879535037726631E-2</v>
      </c>
      <c r="BH189" s="456">
        <f t="shared" si="484"/>
        <v>1.8643348636779137E-2</v>
      </c>
      <c r="BI189">
        <f t="shared" si="485"/>
        <v>4.0054790125742916E-3</v>
      </c>
      <c r="BJ189" s="144">
        <f t="shared" si="600"/>
        <v>39.885014050300924</v>
      </c>
      <c r="BK189">
        <f t="shared" si="530"/>
        <v>2.299646278654595</v>
      </c>
      <c r="BL189" s="144">
        <f t="shared" si="601"/>
        <v>1859.2673681385727</v>
      </c>
      <c r="BM189" s="150">
        <f t="shared" si="531"/>
        <v>0.87640624999999994</v>
      </c>
      <c r="BN189" s="150">
        <f t="shared" si="532"/>
        <v>0.87640624999999994</v>
      </c>
      <c r="BO189" s="456"/>
      <c r="BQ189" s="144">
        <f t="shared" si="486"/>
        <v>1752.8124999999998</v>
      </c>
      <c r="BR189" s="456">
        <f t="shared" si="487"/>
        <v>0.25953232825759964</v>
      </c>
      <c r="BS189" s="456">
        <f t="shared" si="488"/>
        <v>8.0103021958484538E-2</v>
      </c>
      <c r="BT189" s="456">
        <f t="shared" si="489"/>
        <v>1.087334250870259E-2</v>
      </c>
      <c r="BU189" s="456">
        <f t="shared" si="490"/>
        <v>22.233735194541445</v>
      </c>
      <c r="BV189" s="456"/>
      <c r="BW189" s="538">
        <f t="shared" si="533"/>
        <v>9.4166094364000169E-2</v>
      </c>
      <c r="BX189" s="144">
        <f t="shared" si="491"/>
        <v>22678.409981630233</v>
      </c>
      <c r="BY189" s="150">
        <f t="shared" si="492"/>
        <v>26.290489849768804</v>
      </c>
      <c r="BZ189" s="5">
        <f t="shared" si="493"/>
        <v>71.89</v>
      </c>
      <c r="CA189" s="150">
        <f t="shared" si="494"/>
        <v>0.73222286943162251</v>
      </c>
      <c r="CB189" s="5">
        <f t="shared" si="495"/>
        <v>73.222286943162246</v>
      </c>
      <c r="CC189">
        <f t="shared" si="496"/>
        <v>79</v>
      </c>
      <c r="CE189" s="59">
        <f t="shared" si="534"/>
        <v>-50</v>
      </c>
      <c r="CF189">
        <f t="shared" si="535"/>
        <v>-50</v>
      </c>
      <c r="CG189" s="150">
        <f t="shared" si="536"/>
        <v>0.49840675206849377</v>
      </c>
      <c r="CH189" s="150">
        <f t="shared" si="537"/>
        <v>0.13505683350346268</v>
      </c>
      <c r="CI189" s="147">
        <v>79</v>
      </c>
      <c r="CJ189" s="188">
        <f t="shared" si="602"/>
        <v>0.39500000000000002</v>
      </c>
      <c r="CK189" s="188">
        <f t="shared" si="538"/>
        <v>0.39500000000000002</v>
      </c>
      <c r="CL189" s="188">
        <f t="shared" si="539"/>
        <v>67.150000000000006</v>
      </c>
      <c r="CM189" s="188">
        <f t="shared" si="540"/>
        <v>4.74</v>
      </c>
      <c r="CN189" s="465">
        <f t="shared" si="541"/>
        <v>9</v>
      </c>
      <c r="CO189" s="379">
        <f t="shared" si="542"/>
        <v>8.625</v>
      </c>
      <c r="CP189" s="379">
        <f t="shared" si="543"/>
        <v>17.625</v>
      </c>
      <c r="CQ189" s="379"/>
      <c r="CR189" s="188">
        <f t="shared" si="544"/>
        <v>0.48674080410607357</v>
      </c>
      <c r="CS189" s="149">
        <f t="shared" si="545"/>
        <v>136.39440115060304</v>
      </c>
      <c r="CT189" s="149">
        <f t="shared" si="546"/>
        <v>9.6278400812190377</v>
      </c>
      <c r="CU189" s="188">
        <f t="shared" si="547"/>
        <v>0.80232000676825321</v>
      </c>
      <c r="CV189" s="188">
        <f t="shared" si="548"/>
        <v>11.366200095883586</v>
      </c>
      <c r="CW189" s="188">
        <f t="shared" si="549"/>
        <v>170</v>
      </c>
      <c r="CX189" s="188">
        <f t="shared" si="550"/>
        <v>32.821484085139623</v>
      </c>
      <c r="CY189" s="188">
        <f t="shared" si="551"/>
        <v>5.4702473475232711</v>
      </c>
      <c r="CZ189" s="188">
        <f t="shared" si="552"/>
        <v>5.7080841887199352</v>
      </c>
      <c r="DA189" s="172">
        <f t="shared" si="553"/>
        <v>220.21276595744678</v>
      </c>
      <c r="DB189" s="379">
        <f t="shared" si="554"/>
        <v>89.458788796675663</v>
      </c>
      <c r="DD189" s="188">
        <f t="shared" si="555"/>
        <v>13.333333333333336</v>
      </c>
      <c r="DE189" s="150">
        <f t="shared" si="556"/>
        <v>2.3188405797101459</v>
      </c>
      <c r="DF189" s="150">
        <f t="shared" si="557"/>
        <v>0.15898994622398885</v>
      </c>
      <c r="DG189" s="150"/>
      <c r="DH189" s="150">
        <f t="shared" si="558"/>
        <v>2.3188405797101455</v>
      </c>
      <c r="DI189" s="314">
        <f t="shared" si="559"/>
        <v>547.10404411764694</v>
      </c>
      <c r="DJ189" s="456">
        <f t="shared" si="560"/>
        <v>0.15898994622398879</v>
      </c>
      <c r="DL189" s="150">
        <f t="shared" si="561"/>
        <v>16.548917386544254</v>
      </c>
      <c r="DM189" s="150">
        <f t="shared" si="562"/>
        <v>32.821484085139623</v>
      </c>
      <c r="DN189" s="150">
        <f t="shared" si="563"/>
        <v>15.635667223560214</v>
      </c>
      <c r="DP189" s="314">
        <f t="shared" si="564"/>
        <v>395</v>
      </c>
      <c r="DQ189" s="144">
        <f t="shared" si="565"/>
        <v>89.458788796675663</v>
      </c>
      <c r="DS189">
        <f t="shared" si="566"/>
        <v>395</v>
      </c>
      <c r="DT189">
        <f t="shared" si="567"/>
        <v>89.458788796675663</v>
      </c>
      <c r="DV189" s="5">
        <f t="shared" si="568"/>
        <v>11.178331536243206</v>
      </c>
      <c r="DW189" s="5">
        <f t="shared" si="569"/>
        <v>5.4702473475232711</v>
      </c>
      <c r="DX189" s="5">
        <f t="shared" si="570"/>
        <v>5.7080841887199352</v>
      </c>
      <c r="DY189" s="150">
        <f t="shared" si="571"/>
        <v>0.48936170212765956</v>
      </c>
      <c r="EA189" s="5">
        <f t="shared" si="572"/>
        <v>1.271028060159819</v>
      </c>
      <c r="EB189" s="5">
        <f t="shared" si="573"/>
        <v>18.0062308522641</v>
      </c>
      <c r="EC189" s="5">
        <f t="shared" si="574"/>
        <v>70.981083939359934</v>
      </c>
      <c r="ED189" s="5"/>
      <c r="EE189" s="150">
        <f t="shared" si="575"/>
        <v>13.256002468485789</v>
      </c>
      <c r="EF189" s="150">
        <f t="shared" si="576"/>
        <v>0.63241449706119102</v>
      </c>
      <c r="EG189" s="150">
        <f t="shared" si="577"/>
        <v>0.60160754086243817</v>
      </c>
      <c r="EH189" s="150"/>
      <c r="EI189" s="456">
        <f t="shared" si="578"/>
        <v>0.59745344491130459</v>
      </c>
      <c r="EJ189" s="456">
        <f t="shared" si="579"/>
        <v>1.5731999999999997</v>
      </c>
      <c r="EK189" s="456">
        <f t="shared" si="580"/>
        <v>2.0486062634438727E-2</v>
      </c>
      <c r="EL189" s="456">
        <f t="shared" si="581"/>
        <v>1.9035830833526494E-2</v>
      </c>
      <c r="EM189">
        <f t="shared" si="582"/>
        <v>4.0499999999999998E-3</v>
      </c>
      <c r="EN189" s="144">
        <f t="shared" si="583"/>
        <v>24.536062634438728</v>
      </c>
      <c r="EP189" s="144">
        <f t="shared" si="603"/>
        <v>2214.2253383792695</v>
      </c>
      <c r="EQ189" s="150">
        <f t="shared" si="584"/>
        <v>0.98750000000000004</v>
      </c>
      <c r="ER189" s="150">
        <f t="shared" si="585"/>
        <v>0.28045000000000003</v>
      </c>
      <c r="ES189" s="456"/>
      <c r="EU189" s="144">
        <f t="shared" si="497"/>
        <v>1267.95</v>
      </c>
      <c r="EV189" s="456">
        <f t="shared" si="586"/>
        <v>0.26358240216675205</v>
      </c>
      <c r="EW189" s="456">
        <f t="shared" si="587"/>
        <v>7.9989619218631847E-2</v>
      </c>
      <c r="EX189" s="456">
        <f t="shared" si="588"/>
        <v>1.0857948996676506E-2</v>
      </c>
      <c r="EY189" s="456">
        <f t="shared" si="589"/>
        <v>23.357323485002276</v>
      </c>
      <c r="EZ189" s="456"/>
      <c r="FA189" s="538">
        <f t="shared" si="590"/>
        <v>9.6369463909558889E-2</v>
      </c>
      <c r="FB189" s="144">
        <f t="shared" si="498"/>
        <v>23808.122919293892</v>
      </c>
      <c r="FC189" s="150">
        <f t="shared" si="591"/>
        <v>27.290298257673161</v>
      </c>
      <c r="FD189" s="5">
        <f t="shared" si="592"/>
        <v>71.89</v>
      </c>
      <c r="FE189" s="150">
        <f t="shared" si="593"/>
        <v>0.72484153872201307</v>
      </c>
      <c r="FF189" s="5">
        <f t="shared" si="594"/>
        <v>72.484153872201304</v>
      </c>
      <c r="FG189">
        <f t="shared" si="595"/>
        <v>79</v>
      </c>
      <c r="FI189" s="59">
        <f t="shared" si="596"/>
        <v>-50</v>
      </c>
      <c r="FJ189">
        <f t="shared" si="597"/>
        <v>-50</v>
      </c>
    </row>
    <row r="190" spans="5:166">
      <c r="E190" s="147">
        <v>80</v>
      </c>
      <c r="F190" s="188">
        <f t="shared" si="598"/>
        <v>0.4</v>
      </c>
      <c r="G190" s="188">
        <f t="shared" si="499"/>
        <v>0.4</v>
      </c>
      <c r="H190" s="188">
        <f t="shared" si="500"/>
        <v>68</v>
      </c>
      <c r="I190" s="188">
        <f t="shared" si="501"/>
        <v>4.8000000000000007</v>
      </c>
      <c r="J190" s="465">
        <f t="shared" si="502"/>
        <v>8.8998121239365222</v>
      </c>
      <c r="K190" s="379">
        <f t="shared" si="503"/>
        <v>8.6848706284624466</v>
      </c>
      <c r="L190" s="149">
        <f t="shared" si="504"/>
        <v>17.584682752398969</v>
      </c>
      <c r="M190" s="379"/>
      <c r="N190" s="188">
        <f t="shared" si="505"/>
        <v>0.49388838859078216</v>
      </c>
      <c r="O190" s="149">
        <f t="shared" si="506"/>
        <v>136.85665891406441</v>
      </c>
      <c r="P190" s="149">
        <f t="shared" si="507"/>
        <v>9.6604700409927826</v>
      </c>
      <c r="Q190" s="188">
        <f t="shared" si="508"/>
        <v>0.80503917008273185</v>
      </c>
      <c r="R190" s="188">
        <f t="shared" si="509"/>
        <v>11.404721576172035</v>
      </c>
      <c r="S190" s="188">
        <f t="shared" si="510"/>
        <v>170</v>
      </c>
      <c r="T190" s="188">
        <f t="shared" si="511"/>
        <v>33.124682198912389</v>
      </c>
      <c r="U190" s="188">
        <f t="shared" si="512"/>
        <v>5.5829294603571089</v>
      </c>
      <c r="V190" s="188">
        <f t="shared" si="513"/>
        <v>5.7211011451951919</v>
      </c>
      <c r="W190" s="172">
        <f t="shared" si="514"/>
        <v>219.77569343258577</v>
      </c>
      <c r="X190" s="379">
        <f t="shared" si="599"/>
        <v>86.926055248615256</v>
      </c>
      <c r="Z190" s="188">
        <f t="shared" si="515"/>
        <v>13.333333333333334</v>
      </c>
      <c r="AA190" s="150">
        <f t="shared" si="516"/>
        <v>2.3028552589436515</v>
      </c>
      <c r="AB190" s="150">
        <f t="shared" si="517"/>
        <v>0.15758053835085539</v>
      </c>
      <c r="AC190" s="150"/>
      <c r="AD190" s="150">
        <f t="shared" si="518"/>
        <v>2.3028552589436515</v>
      </c>
      <c r="AE190" s="314">
        <f t="shared" si="519"/>
        <v>557.87521919299945</v>
      </c>
      <c r="AF190" s="456">
        <f t="shared" si="520"/>
        <v>0.15758053835085539</v>
      </c>
      <c r="AH190" s="150">
        <f t="shared" si="521"/>
        <v>16.653327995729061</v>
      </c>
      <c r="AI190" s="150">
        <f t="shared" si="522"/>
        <v>33.124682198912389</v>
      </c>
      <c r="AJ190" s="150">
        <f t="shared" si="523"/>
        <v>15.860258418947447</v>
      </c>
      <c r="AL190" s="314">
        <f t="shared" si="524"/>
        <v>400</v>
      </c>
      <c r="AM190" s="144">
        <f t="shared" si="525"/>
        <v>86.926055248615256</v>
      </c>
      <c r="AO190">
        <f t="shared" si="526"/>
        <v>400</v>
      </c>
      <c r="AP190">
        <f t="shared" si="527"/>
        <v>86.926055248615256</v>
      </c>
      <c r="AR190" s="5">
        <f t="shared" si="443"/>
        <v>11.5040306055523</v>
      </c>
      <c r="AS190" s="5">
        <f t="shared" si="604"/>
        <v>5.5829294603571089</v>
      </c>
      <c r="AT190" s="5">
        <f t="shared" si="605"/>
        <v>5.9211011451951912</v>
      </c>
      <c r="AU190" s="150">
        <f t="shared" si="606"/>
        <v>0.48530203472012379</v>
      </c>
      <c r="AW190" s="5">
        <f t="shared" si="477"/>
        <v>1.3136304612604963</v>
      </c>
      <c r="AX190" s="5">
        <f t="shared" si="478"/>
        <v>18.609764867857031</v>
      </c>
      <c r="AY190" s="5">
        <f t="shared" si="479"/>
        <v>75.401381562195155</v>
      </c>
      <c r="AZ190" s="5"/>
      <c r="BA190" s="150">
        <f t="shared" si="480"/>
        <v>13.322850330473957</v>
      </c>
      <c r="BB190" s="150">
        <f t="shared" si="481"/>
        <v>0.64078871740889987</v>
      </c>
      <c r="BC190" s="150">
        <f t="shared" si="482"/>
        <v>0.60957382584394426</v>
      </c>
      <c r="BD190" s="150"/>
      <c r="BE190" s="456">
        <f t="shared" si="483"/>
        <v>0.60349435915591398</v>
      </c>
      <c r="BF190" s="456">
        <f t="shared" si="528"/>
        <v>1.2126675243445277</v>
      </c>
      <c r="BG190" s="456">
        <f t="shared" si="529"/>
        <v>3.5432050665752175E-2</v>
      </c>
      <c r="BH190" s="456">
        <f t="shared" si="484"/>
        <v>1.8412366804465358E-2</v>
      </c>
      <c r="BI190">
        <f t="shared" si="485"/>
        <v>4.0049154557714349E-3</v>
      </c>
      <c r="BJ190" s="144">
        <f t="shared" si="600"/>
        <v>39.436966121523611</v>
      </c>
      <c r="BK190">
        <f t="shared" si="530"/>
        <v>2.331887711970321</v>
      </c>
      <c r="BL190" s="144">
        <f t="shared" si="601"/>
        <v>1874.0112164264308</v>
      </c>
      <c r="BM190" s="150">
        <f t="shared" si="531"/>
        <v>0.88749999999999996</v>
      </c>
      <c r="BN190" s="150">
        <f t="shared" si="532"/>
        <v>0.88749999999999996</v>
      </c>
      <c r="BO190" s="456"/>
      <c r="BQ190" s="144">
        <f t="shared" si="486"/>
        <v>1775</v>
      </c>
      <c r="BR190" s="456">
        <f t="shared" si="487"/>
        <v>0.26624751139231501</v>
      </c>
      <c r="BS190" s="456">
        <f t="shared" si="488"/>
        <v>8.2122036071708593E-2</v>
      </c>
      <c r="BT190" s="456">
        <f t="shared" si="489"/>
        <v>1.1147407474620698E-2</v>
      </c>
      <c r="BU190" s="456">
        <f t="shared" si="490"/>
        <v>22.244581215942471</v>
      </c>
      <c r="BV190" s="456"/>
      <c r="BW190" s="538">
        <f t="shared" si="533"/>
        <v>9.5379142180773577E-2</v>
      </c>
      <c r="BX190" s="144">
        <f t="shared" si="491"/>
        <v>22699.477313061892</v>
      </c>
      <c r="BY190" s="150">
        <f t="shared" si="492"/>
        <v>26.348488529488321</v>
      </c>
      <c r="BZ190" s="5">
        <f t="shared" si="493"/>
        <v>72.8</v>
      </c>
      <c r="CA190" s="150">
        <f t="shared" si="494"/>
        <v>0.73425224206366124</v>
      </c>
      <c r="CB190" s="5">
        <f t="shared" si="495"/>
        <v>73.425224206366124</v>
      </c>
      <c r="CC190">
        <f t="shared" si="496"/>
        <v>80</v>
      </c>
      <c r="CE190" s="59">
        <f t="shared" si="534"/>
        <v>-50</v>
      </c>
      <c r="CF190">
        <f t="shared" si="535"/>
        <v>-50</v>
      </c>
      <c r="CG190" s="150">
        <f t="shared" si="536"/>
        <v>0.49840675206849377</v>
      </c>
      <c r="CH190" s="150">
        <f t="shared" si="537"/>
        <v>0.1350568335034627</v>
      </c>
      <c r="CI190" s="147">
        <v>80</v>
      </c>
      <c r="CJ190" s="188">
        <f t="shared" si="602"/>
        <v>0.4</v>
      </c>
      <c r="CK190" s="188">
        <f t="shared" si="538"/>
        <v>0.4</v>
      </c>
      <c r="CL190" s="188">
        <f t="shared" si="539"/>
        <v>68</v>
      </c>
      <c r="CM190" s="188">
        <f t="shared" si="540"/>
        <v>4.8000000000000007</v>
      </c>
      <c r="CN190" s="465">
        <f t="shared" si="541"/>
        <v>9</v>
      </c>
      <c r="CO190" s="379">
        <f t="shared" si="542"/>
        <v>8.625</v>
      </c>
      <c r="CP190" s="379">
        <f t="shared" si="543"/>
        <v>17.625</v>
      </c>
      <c r="CQ190" s="379"/>
      <c r="CR190" s="188">
        <f t="shared" si="544"/>
        <v>0.48674080410607357</v>
      </c>
      <c r="CS190" s="149">
        <f t="shared" si="545"/>
        <v>136.39440115060304</v>
      </c>
      <c r="CT190" s="149">
        <f t="shared" si="546"/>
        <v>9.6278400812190377</v>
      </c>
      <c r="CU190" s="188">
        <f t="shared" si="547"/>
        <v>0.80232000676825321</v>
      </c>
      <c r="CV190" s="188">
        <f t="shared" si="548"/>
        <v>11.366200095883586</v>
      </c>
      <c r="CW190" s="188">
        <f t="shared" si="549"/>
        <v>170</v>
      </c>
      <c r="CX190" s="188">
        <f t="shared" si="550"/>
        <v>33.236945909002145</v>
      </c>
      <c r="CY190" s="188">
        <f t="shared" si="551"/>
        <v>5.5394909848336908</v>
      </c>
      <c r="CZ190" s="188">
        <f t="shared" si="552"/>
        <v>5.7803384189568945</v>
      </c>
      <c r="DA190" s="172">
        <f t="shared" si="553"/>
        <v>220.21276595744678</v>
      </c>
      <c r="DB190" s="379">
        <f t="shared" si="554"/>
        <v>88.340553936717242</v>
      </c>
      <c r="DD190" s="188">
        <f t="shared" si="555"/>
        <v>13.333333333333336</v>
      </c>
      <c r="DE190" s="150">
        <f t="shared" si="556"/>
        <v>2.3188405797101459</v>
      </c>
      <c r="DF190" s="150">
        <f t="shared" si="557"/>
        <v>0.15898994622398885</v>
      </c>
      <c r="DG190" s="150"/>
      <c r="DH190" s="150">
        <f t="shared" si="558"/>
        <v>2.3188405797101455</v>
      </c>
      <c r="DI190" s="314">
        <f t="shared" si="559"/>
        <v>554.02941176470563</v>
      </c>
      <c r="DJ190" s="456">
        <f t="shared" si="560"/>
        <v>0.15898994622398879</v>
      </c>
      <c r="DL190" s="150">
        <f t="shared" si="561"/>
        <v>16.653327995729061</v>
      </c>
      <c r="DM190" s="150">
        <f t="shared" si="562"/>
        <v>33.236945909002145</v>
      </c>
      <c r="DN190" s="150">
        <f t="shared" si="563"/>
        <v>15.943416722717634</v>
      </c>
      <c r="DP190" s="314">
        <f t="shared" si="564"/>
        <v>400</v>
      </c>
      <c r="DQ190" s="144">
        <f t="shared" si="565"/>
        <v>88.340553936717242</v>
      </c>
      <c r="DS190">
        <f t="shared" si="566"/>
        <v>400</v>
      </c>
      <c r="DT190">
        <f t="shared" si="567"/>
        <v>88.340553936717242</v>
      </c>
      <c r="DV190" s="5">
        <f t="shared" si="568"/>
        <v>11.319829403790585</v>
      </c>
      <c r="DW190" s="5">
        <f t="shared" si="569"/>
        <v>5.5394909848336908</v>
      </c>
      <c r="DX190" s="5">
        <f t="shared" si="570"/>
        <v>5.7803384189568945</v>
      </c>
      <c r="DY190" s="150">
        <f t="shared" si="571"/>
        <v>0.48936170212765961</v>
      </c>
      <c r="EA190" s="5">
        <f t="shared" si="572"/>
        <v>1.3034096434902804</v>
      </c>
      <c r="EB190" s="5">
        <f t="shared" si="573"/>
        <v>18.464969949445639</v>
      </c>
      <c r="EC190" s="5">
        <f t="shared" si="574"/>
        <v>72.789446757234955</v>
      </c>
      <c r="ED190" s="5"/>
      <c r="EE190" s="150">
        <f t="shared" si="575"/>
        <v>13.423799968086875</v>
      </c>
      <c r="EF190" s="150">
        <f t="shared" si="576"/>
        <v>0.64041974385943368</v>
      </c>
      <c r="EG190" s="150">
        <f t="shared" si="577"/>
        <v>0.60922282618981061</v>
      </c>
      <c r="EH190" s="150"/>
      <c r="EI190" s="456">
        <f t="shared" si="578"/>
        <v>0.61267457898291122</v>
      </c>
      <c r="EJ190" s="456">
        <f t="shared" si="579"/>
        <v>1.5732000000000004</v>
      </c>
      <c r="EK190" s="456">
        <f t="shared" si="580"/>
        <v>2.0229986851508248E-2</v>
      </c>
      <c r="EL190" s="456">
        <f t="shared" si="581"/>
        <v>1.8797882948107421E-2</v>
      </c>
      <c r="EM190">
        <f t="shared" si="582"/>
        <v>4.0499999999999998E-3</v>
      </c>
      <c r="EN190" s="144">
        <f t="shared" si="583"/>
        <v>24.279986851508248</v>
      </c>
      <c r="EP190" s="144">
        <f t="shared" si="603"/>
        <v>2228.9524487825265</v>
      </c>
      <c r="EQ190" s="150">
        <f t="shared" si="584"/>
        <v>1</v>
      </c>
      <c r="ER190" s="150">
        <f t="shared" si="585"/>
        <v>0.28400000000000003</v>
      </c>
      <c r="ES190" s="456"/>
      <c r="EU190" s="144">
        <f t="shared" si="497"/>
        <v>1284</v>
      </c>
      <c r="EV190" s="456">
        <f t="shared" si="586"/>
        <v>0.27029760837481381</v>
      </c>
      <c r="EW190" s="456">
        <f t="shared" si="587"/>
        <v>8.2027489664996525E-2</v>
      </c>
      <c r="EX190" s="456">
        <f t="shared" si="588"/>
        <v>1.1134573558521006E-2</v>
      </c>
      <c r="EY190" s="456">
        <f t="shared" si="589"/>
        <v>23.357323485002276</v>
      </c>
      <c r="EZ190" s="456"/>
      <c r="FA190" s="538">
        <f t="shared" si="590"/>
        <v>9.7589330541325445E-2</v>
      </c>
      <c r="FB190" s="144">
        <f t="shared" si="498"/>
        <v>23818.372487141933</v>
      </c>
      <c r="FC190" s="150">
        <f t="shared" si="591"/>
        <v>27.33132493592446</v>
      </c>
      <c r="FD190" s="5">
        <f t="shared" si="592"/>
        <v>72.8</v>
      </c>
      <c r="FE190" s="150">
        <f t="shared" si="593"/>
        <v>0.72704520834599773</v>
      </c>
      <c r="FF190" s="5">
        <f t="shared" si="594"/>
        <v>72.704520834599776</v>
      </c>
      <c r="FG190">
        <f t="shared" si="595"/>
        <v>80</v>
      </c>
      <c r="FI190" s="59">
        <f t="shared" si="596"/>
        <v>-50</v>
      </c>
      <c r="FJ190">
        <f t="shared" si="597"/>
        <v>-50</v>
      </c>
    </row>
    <row r="191" spans="5:166">
      <c r="E191" s="147">
        <v>81</v>
      </c>
      <c r="F191" s="188">
        <f t="shared" si="598"/>
        <v>0.40500000000000003</v>
      </c>
      <c r="G191" s="188">
        <f t="shared" si="499"/>
        <v>0.40500000000000003</v>
      </c>
      <c r="H191" s="188">
        <f t="shared" si="500"/>
        <v>68.850000000000009</v>
      </c>
      <c r="I191" s="188">
        <f t="shared" si="501"/>
        <v>4.8600000000000003</v>
      </c>
      <c r="J191" s="465">
        <f t="shared" si="502"/>
        <v>8.8985597754857277</v>
      </c>
      <c r="K191" s="379">
        <f t="shared" si="503"/>
        <v>8.6856190113182272</v>
      </c>
      <c r="L191" s="149">
        <f t="shared" si="504"/>
        <v>17.584178786803953</v>
      </c>
      <c r="M191" s="379"/>
      <c r="N191" s="188">
        <f t="shared" si="505"/>
        <v>0.49394510352888077</v>
      </c>
      <c r="O191" s="149">
        <f t="shared" si="506"/>
        <v>136.8531144734871</v>
      </c>
      <c r="P191" s="149">
        <f t="shared" si="507"/>
        <v>9.6602198451873242</v>
      </c>
      <c r="Q191" s="188">
        <f t="shared" si="508"/>
        <v>0.80501832043227706</v>
      </c>
      <c r="R191" s="188">
        <f t="shared" si="509"/>
        <v>11.404426206123924</v>
      </c>
      <c r="S191" s="188">
        <f t="shared" si="510"/>
        <v>170</v>
      </c>
      <c r="T191" s="188">
        <f t="shared" si="511"/>
        <v>33.539609366283244</v>
      </c>
      <c r="U191" s="188">
        <f t="shared" si="512"/>
        <v>5.6536580434083481</v>
      </c>
      <c r="V191" s="188">
        <f t="shared" si="513"/>
        <v>5.7922658113217595</v>
      </c>
      <c r="W191" s="172">
        <f t="shared" si="514"/>
        <v>219.77000147801155</v>
      </c>
      <c r="X191" s="379">
        <f t="shared" si="599"/>
        <v>85.866953319795243</v>
      </c>
      <c r="Z191" s="188">
        <f t="shared" si="515"/>
        <v>13.333333333333334</v>
      </c>
      <c r="AA191" s="150">
        <f t="shared" si="516"/>
        <v>2.3026568370012557</v>
      </c>
      <c r="AB191" s="150">
        <f t="shared" si="517"/>
        <v>0.15756287985364523</v>
      </c>
      <c r="AC191" s="150"/>
      <c r="AD191" s="150">
        <f t="shared" si="518"/>
        <v>2.3026568370012557</v>
      </c>
      <c r="AE191" s="314">
        <f t="shared" si="519"/>
        <v>564.89733293317624</v>
      </c>
      <c r="AF191" s="456">
        <f t="shared" si="520"/>
        <v>0.15756287985364525</v>
      </c>
      <c r="AH191" s="150">
        <f t="shared" si="521"/>
        <v>16.757088052522729</v>
      </c>
      <c r="AI191" s="150">
        <f t="shared" si="522"/>
        <v>33.539609366283244</v>
      </c>
      <c r="AJ191" s="150">
        <f t="shared" si="523"/>
        <v>16.16761187625919</v>
      </c>
      <c r="AL191" s="314">
        <f t="shared" si="524"/>
        <v>405</v>
      </c>
      <c r="AM191" s="144">
        <f t="shared" si="525"/>
        <v>85.866953319795243</v>
      </c>
      <c r="AO191">
        <f t="shared" si="526"/>
        <v>405</v>
      </c>
      <c r="AP191">
        <f t="shared" si="527"/>
        <v>85.866953319795243</v>
      </c>
      <c r="AR191" s="5">
        <f t="shared" si="443"/>
        <v>11.645923854730107</v>
      </c>
      <c r="AS191" s="5">
        <f t="shared" si="604"/>
        <v>5.6536580434083481</v>
      </c>
      <c r="AT191" s="5">
        <f t="shared" si="605"/>
        <v>5.9922658113217588</v>
      </c>
      <c r="AU191" s="150">
        <f t="shared" si="606"/>
        <v>0.48546239129942953</v>
      </c>
      <c r="AW191" s="5">
        <f t="shared" si="477"/>
        <v>1.3469008868119889</v>
      </c>
      <c r="AX191" s="5">
        <f t="shared" si="478"/>
        <v>19.081095896503175</v>
      </c>
      <c r="AY191" s="5">
        <f t="shared" si="479"/>
        <v>77.272336108079756</v>
      </c>
      <c r="AZ191" s="5"/>
      <c r="BA191" s="150">
        <f t="shared" si="480"/>
        <v>13.49196382719223</v>
      </c>
      <c r="BB191" s="150">
        <f t="shared" si="481"/>
        <v>0.6487143013786868</v>
      </c>
      <c r="BC191" s="150">
        <f t="shared" si="482"/>
        <v>0.61711332897696769</v>
      </c>
      <c r="BD191" s="150"/>
      <c r="BE191" s="456">
        <f t="shared" si="483"/>
        <v>0.6189124989084962</v>
      </c>
      <c r="BF191" s="456">
        <f t="shared" si="528"/>
        <v>1.2128627623438522</v>
      </c>
      <c r="BG191" s="456">
        <f t="shared" si="529"/>
        <v>3.4995423531960855E-2</v>
      </c>
      <c r="BH191" s="456">
        <f t="shared" si="484"/>
        <v>1.8186989114159422E-2</v>
      </c>
      <c r="BI191">
        <f t="shared" si="485"/>
        <v>4.0043518989685773E-3</v>
      </c>
      <c r="BJ191" s="144">
        <f t="shared" si="600"/>
        <v>38.999775430929432</v>
      </c>
      <c r="BK191">
        <f t="shared" si="530"/>
        <v>2.3648246221647122</v>
      </c>
      <c r="BL191" s="144">
        <f t="shared" si="601"/>
        <v>1888.9620257974373</v>
      </c>
      <c r="BM191" s="150">
        <f t="shared" si="531"/>
        <v>0.89859375000000008</v>
      </c>
      <c r="BN191" s="150">
        <f t="shared" si="532"/>
        <v>0.89859375000000008</v>
      </c>
      <c r="BO191" s="456"/>
      <c r="BQ191" s="144">
        <f t="shared" si="486"/>
        <v>1797.1875000000002</v>
      </c>
      <c r="BR191" s="456">
        <f t="shared" si="487"/>
        <v>0.27304963187139542</v>
      </c>
      <c r="BS191" s="456">
        <f t="shared" si="488"/>
        <v>8.4166048962647538E-2</v>
      </c>
      <c r="BT191" s="456">
        <f t="shared" si="489"/>
        <v>1.1424865824031055E-2</v>
      </c>
      <c r="BU191" s="456">
        <f t="shared" si="490"/>
        <v>22.255130183208731</v>
      </c>
      <c r="BV191" s="456"/>
      <c r="BW191" s="538">
        <f t="shared" si="533"/>
        <v>9.6592199165546094E-2</v>
      </c>
      <c r="BX191" s="144">
        <f t="shared" si="491"/>
        <v>22720.362929032352</v>
      </c>
      <c r="BY191" s="150">
        <f t="shared" si="492"/>
        <v>26.406512454829787</v>
      </c>
      <c r="BZ191" s="5">
        <f t="shared" si="493"/>
        <v>73.710000000000008</v>
      </c>
      <c r="CA191" s="150">
        <f t="shared" si="494"/>
        <v>0.73624218615541781</v>
      </c>
      <c r="CB191" s="5">
        <f t="shared" si="495"/>
        <v>73.624218615541778</v>
      </c>
      <c r="CC191">
        <f t="shared" si="496"/>
        <v>81</v>
      </c>
      <c r="CE191" s="59">
        <f t="shared" si="534"/>
        <v>-50</v>
      </c>
      <c r="CF191">
        <f t="shared" si="535"/>
        <v>-50</v>
      </c>
      <c r="CG191" s="150">
        <f t="shared" si="536"/>
        <v>0.49840675206849377</v>
      </c>
      <c r="CH191" s="150">
        <f t="shared" si="537"/>
        <v>0.13505683350346265</v>
      </c>
      <c r="CI191" s="147">
        <v>81</v>
      </c>
      <c r="CJ191" s="188">
        <f t="shared" si="602"/>
        <v>0.40500000000000003</v>
      </c>
      <c r="CK191" s="188">
        <f t="shared" si="538"/>
        <v>0.40500000000000003</v>
      </c>
      <c r="CL191" s="188">
        <f t="shared" si="539"/>
        <v>68.850000000000009</v>
      </c>
      <c r="CM191" s="188">
        <f t="shared" si="540"/>
        <v>4.8600000000000003</v>
      </c>
      <c r="CN191" s="465">
        <f t="shared" si="541"/>
        <v>9</v>
      </c>
      <c r="CO191" s="379">
        <f t="shared" si="542"/>
        <v>8.625</v>
      </c>
      <c r="CP191" s="379">
        <f t="shared" si="543"/>
        <v>17.625</v>
      </c>
      <c r="CQ191" s="379"/>
      <c r="CR191" s="188">
        <f t="shared" si="544"/>
        <v>0.48674080410607357</v>
      </c>
      <c r="CS191" s="149">
        <f t="shared" si="545"/>
        <v>136.39440115060304</v>
      </c>
      <c r="CT191" s="149">
        <f t="shared" si="546"/>
        <v>9.6278400812190377</v>
      </c>
      <c r="CU191" s="188">
        <f t="shared" si="547"/>
        <v>0.80232000676825321</v>
      </c>
      <c r="CV191" s="188">
        <f t="shared" si="548"/>
        <v>11.366200095883586</v>
      </c>
      <c r="CW191" s="188">
        <f t="shared" si="549"/>
        <v>170</v>
      </c>
      <c r="CX191" s="188">
        <f t="shared" si="550"/>
        <v>33.652407732864681</v>
      </c>
      <c r="CY191" s="188">
        <f t="shared" si="551"/>
        <v>5.6087346221441141</v>
      </c>
      <c r="CZ191" s="188">
        <f t="shared" si="552"/>
        <v>5.8525926491938582</v>
      </c>
      <c r="DA191" s="172">
        <f t="shared" si="553"/>
        <v>220.21276595744678</v>
      </c>
      <c r="DB191" s="379">
        <f t="shared" si="554"/>
        <v>87.249929814041693</v>
      </c>
      <c r="DD191" s="188">
        <f t="shared" si="555"/>
        <v>13.333333333333336</v>
      </c>
      <c r="DE191" s="150">
        <f t="shared" si="556"/>
        <v>2.3188405797101459</v>
      </c>
      <c r="DF191" s="150">
        <f t="shared" si="557"/>
        <v>0.15898994622398885</v>
      </c>
      <c r="DG191" s="150"/>
      <c r="DH191" s="150">
        <f t="shared" si="558"/>
        <v>2.3188405797101455</v>
      </c>
      <c r="DI191" s="314">
        <f t="shared" si="559"/>
        <v>560.95477941176466</v>
      </c>
      <c r="DJ191" s="456">
        <f t="shared" si="560"/>
        <v>0.15898994622398879</v>
      </c>
      <c r="DL191" s="150">
        <f t="shared" si="561"/>
        <v>16.757088052522729</v>
      </c>
      <c r="DM191" s="150">
        <f t="shared" si="562"/>
        <v>33.652407732864681</v>
      </c>
      <c r="DN191" s="150">
        <f t="shared" si="563"/>
        <v>16.251166221875071</v>
      </c>
      <c r="DP191" s="314">
        <f t="shared" si="564"/>
        <v>405</v>
      </c>
      <c r="DQ191" s="144">
        <f t="shared" si="565"/>
        <v>87.249929814041693</v>
      </c>
      <c r="DS191">
        <f t="shared" si="566"/>
        <v>405</v>
      </c>
      <c r="DT191">
        <f t="shared" si="567"/>
        <v>87.249929814041693</v>
      </c>
      <c r="DV191" s="5">
        <f t="shared" si="568"/>
        <v>11.461327271337971</v>
      </c>
      <c r="DW191" s="5">
        <f t="shared" si="569"/>
        <v>5.6087346221441141</v>
      </c>
      <c r="DX191" s="5">
        <f t="shared" si="570"/>
        <v>5.8525926491938574</v>
      </c>
      <c r="DY191" s="150">
        <f t="shared" si="571"/>
        <v>0.48936170212765961</v>
      </c>
      <c r="EA191" s="5">
        <f t="shared" si="572"/>
        <v>1.336198542334333</v>
      </c>
      <c r="EB191" s="5">
        <f t="shared" si="573"/>
        <v>18.929479349736386</v>
      </c>
      <c r="EC191" s="5">
        <f t="shared" si="574"/>
        <v>74.620556277221681</v>
      </c>
      <c r="ED191" s="5"/>
      <c r="EE191" s="150">
        <f t="shared" si="575"/>
        <v>13.591597467687965</v>
      </c>
      <c r="EF191" s="150">
        <f t="shared" si="576"/>
        <v>0.64842499065767678</v>
      </c>
      <c r="EG191" s="150">
        <f t="shared" si="577"/>
        <v>0.61683811151718326</v>
      </c>
      <c r="EH191" s="150"/>
      <c r="EI191" s="456">
        <f t="shared" si="578"/>
        <v>0.62808717386045043</v>
      </c>
      <c r="EJ191" s="456">
        <f t="shared" si="579"/>
        <v>1.5732000000000002</v>
      </c>
      <c r="EK191" s="456">
        <f t="shared" si="580"/>
        <v>1.9980233927415547E-2</v>
      </c>
      <c r="EL191" s="456">
        <f t="shared" si="581"/>
        <v>1.8565810319118432E-2</v>
      </c>
      <c r="EM191">
        <f t="shared" si="582"/>
        <v>4.0499999999999998E-3</v>
      </c>
      <c r="EN191" s="144">
        <f t="shared" si="583"/>
        <v>24.030233927415544</v>
      </c>
      <c r="EP191" s="144">
        <f t="shared" si="603"/>
        <v>2243.8832181069847</v>
      </c>
      <c r="EQ191" s="150">
        <f t="shared" si="584"/>
        <v>1.0125000000000002</v>
      </c>
      <c r="ER191" s="150">
        <f t="shared" si="585"/>
        <v>0.28755000000000003</v>
      </c>
      <c r="ES191" s="456"/>
      <c r="EU191" s="144">
        <f t="shared" si="497"/>
        <v>1300.0500000000002</v>
      </c>
      <c r="EV191" s="456">
        <f t="shared" si="586"/>
        <v>0.27709728258549288</v>
      </c>
      <c r="EW191" s="456">
        <f t="shared" si="587"/>
        <v>8.4090993701881653E-2</v>
      </c>
      <c r="EX191" s="456">
        <f t="shared" si="588"/>
        <v>1.1414677674602551E-2</v>
      </c>
      <c r="EY191" s="456">
        <f t="shared" si="589"/>
        <v>23.357323485002233</v>
      </c>
      <c r="EZ191" s="456"/>
      <c r="FA191" s="538">
        <f t="shared" si="590"/>
        <v>9.8809197173092028E-2</v>
      </c>
      <c r="FB191" s="144">
        <f t="shared" si="498"/>
        <v>23828.735636137302</v>
      </c>
      <c r="FC191" s="150">
        <f t="shared" si="591"/>
        <v>27.372668854244289</v>
      </c>
      <c r="FD191" s="5">
        <f t="shared" si="592"/>
        <v>73.710000000000008</v>
      </c>
      <c r="FE191" s="150">
        <f t="shared" si="593"/>
        <v>0.72920512324705045</v>
      </c>
      <c r="FF191" s="5">
        <f t="shared" si="594"/>
        <v>72.920512324705044</v>
      </c>
      <c r="FG191">
        <f t="shared" si="595"/>
        <v>81</v>
      </c>
      <c r="FI191" s="59">
        <f t="shared" si="596"/>
        <v>-50</v>
      </c>
      <c r="FJ191">
        <f t="shared" si="597"/>
        <v>-50</v>
      </c>
    </row>
    <row r="192" spans="5:166">
      <c r="E192" s="147">
        <v>82</v>
      </c>
      <c r="F192" s="188">
        <f t="shared" si="598"/>
        <v>0.41</v>
      </c>
      <c r="G192" s="188">
        <f t="shared" si="499"/>
        <v>0.41</v>
      </c>
      <c r="H192" s="188">
        <f t="shared" si="500"/>
        <v>69.7</v>
      </c>
      <c r="I192" s="188">
        <f t="shared" si="501"/>
        <v>4.92</v>
      </c>
      <c r="J192" s="465">
        <f t="shared" si="502"/>
        <v>8.897307427034935</v>
      </c>
      <c r="K192" s="379">
        <f t="shared" si="503"/>
        <v>8.6863673941740061</v>
      </c>
      <c r="L192" s="149">
        <f t="shared" si="504"/>
        <v>17.583674821208941</v>
      </c>
      <c r="M192" s="379"/>
      <c r="N192" s="188">
        <f t="shared" si="505"/>
        <v>0.49400182171799212</v>
      </c>
      <c r="O192" s="149">
        <f t="shared" si="506"/>
        <v>136.84956651059477</v>
      </c>
      <c r="P192" s="149">
        <f t="shared" si="507"/>
        <v>9.6599694007478671</v>
      </c>
      <c r="Q192" s="188">
        <f t="shared" si="508"/>
        <v>0.80499745006232215</v>
      </c>
      <c r="R192" s="188">
        <f t="shared" si="509"/>
        <v>11.404130542549565</v>
      </c>
      <c r="S192" s="188">
        <f t="shared" si="510"/>
        <v>170</v>
      </c>
      <c r="T192" s="188">
        <f t="shared" si="511"/>
        <v>33.954558901046468</v>
      </c>
      <c r="U192" s="188">
        <f t="shared" si="512"/>
        <v>5.7244103083153721</v>
      </c>
      <c r="V192" s="188">
        <f t="shared" si="513"/>
        <v>5.8634220774186874</v>
      </c>
      <c r="W192" s="172">
        <f t="shared" si="514"/>
        <v>219.76430386701398</v>
      </c>
      <c r="X192" s="379">
        <f t="shared" si="599"/>
        <v>84.833238824317348</v>
      </c>
      <c r="Z192" s="188">
        <f t="shared" si="515"/>
        <v>13.333333333333332</v>
      </c>
      <c r="AA192" s="150">
        <f t="shared" si="516"/>
        <v>2.3024584492493498</v>
      </c>
      <c r="AB192" s="150">
        <f t="shared" si="517"/>
        <v>0.15754522034421492</v>
      </c>
      <c r="AC192" s="150"/>
      <c r="AD192" s="150">
        <f t="shared" si="518"/>
        <v>2.3024584492493503</v>
      </c>
      <c r="AE192" s="314">
        <f t="shared" si="519"/>
        <v>571.92064848817415</v>
      </c>
      <c r="AF192" s="456">
        <f t="shared" si="520"/>
        <v>0.15754522034421498</v>
      </c>
      <c r="AH192" s="150">
        <f t="shared" si="521"/>
        <v>16.860209567697154</v>
      </c>
      <c r="AI192" s="150">
        <f t="shared" si="522"/>
        <v>33.954558901046468</v>
      </c>
      <c r="AJ192" s="150">
        <f t="shared" si="523"/>
        <v>16.474981902009727</v>
      </c>
      <c r="AL192" s="314">
        <f t="shared" si="524"/>
        <v>410</v>
      </c>
      <c r="AM192" s="144">
        <f t="shared" si="525"/>
        <v>84.833238824317348</v>
      </c>
      <c r="AO192">
        <f t="shared" si="526"/>
        <v>410</v>
      </c>
      <c r="AP192">
        <f t="shared" si="527"/>
        <v>84.833238824317348</v>
      </c>
      <c r="AR192" s="5">
        <f t="shared" si="443"/>
        <v>11.78783238573406</v>
      </c>
      <c r="AS192" s="5">
        <f t="shared" si="604"/>
        <v>5.7244103083153721</v>
      </c>
      <c r="AT192" s="5">
        <f t="shared" si="605"/>
        <v>6.0634220774186876</v>
      </c>
      <c r="AU192" s="150">
        <f t="shared" si="606"/>
        <v>0.48562026681370207</v>
      </c>
      <c r="AW192" s="5">
        <f t="shared" si="477"/>
        <v>1.3805930743584134</v>
      </c>
      <c r="AX192" s="5">
        <f t="shared" si="478"/>
        <v>19.558401886744189</v>
      </c>
      <c r="AY192" s="5">
        <f t="shared" si="479"/>
        <v>79.166369949918376</v>
      </c>
      <c r="AZ192" s="5"/>
      <c r="BA192" s="150">
        <f t="shared" si="480"/>
        <v>13.661106191497172</v>
      </c>
      <c r="BB192" s="150">
        <f t="shared" si="481"/>
        <v>0.65663938464193372</v>
      </c>
      <c r="BC192" s="150">
        <f t="shared" si="482"/>
        <v>0.62465235579448652</v>
      </c>
      <c r="BD192" s="150"/>
      <c r="BE192" s="456">
        <f t="shared" si="483"/>
        <v>0.634527796076232</v>
      </c>
      <c r="BF192" s="456">
        <f t="shared" si="528"/>
        <v>1.2130516768384596</v>
      </c>
      <c r="BG192" s="456">
        <f t="shared" si="529"/>
        <v>3.456926318797704E-2</v>
      </c>
      <c r="BH192" s="456">
        <f t="shared" si="484"/>
        <v>1.7967014029284824E-2</v>
      </c>
      <c r="BI192">
        <f t="shared" si="485"/>
        <v>4.0037883421657205E-3</v>
      </c>
      <c r="BJ192" s="144">
        <f t="shared" si="600"/>
        <v>38.573051530142763</v>
      </c>
      <c r="BK192">
        <f t="shared" si="530"/>
        <v>2.3984717117716188</v>
      </c>
      <c r="BL192" s="144">
        <f t="shared" si="601"/>
        <v>1904.1195384741193</v>
      </c>
      <c r="BM192" s="150">
        <f t="shared" si="531"/>
        <v>0.90968749999999987</v>
      </c>
      <c r="BN192" s="150">
        <f t="shared" si="532"/>
        <v>0.90968749999999987</v>
      </c>
      <c r="BO192" s="456"/>
      <c r="BQ192" s="144">
        <f t="shared" si="486"/>
        <v>1819.3749999999998</v>
      </c>
      <c r="BR192" s="456">
        <f t="shared" si="487"/>
        <v>0.27993873356304355</v>
      </c>
      <c r="BS192" s="456">
        <f t="shared" si="488"/>
        <v>8.6235056292587486E-2</v>
      </c>
      <c r="BT192" s="456">
        <f t="shared" si="489"/>
        <v>1.1705716967988054E-2</v>
      </c>
      <c r="BU192" s="456">
        <f t="shared" si="490"/>
        <v>22.265392587681273</v>
      </c>
      <c r="BV192" s="456"/>
      <c r="BW192" s="538">
        <f t="shared" si="533"/>
        <v>9.7805264991714519E-2</v>
      </c>
      <c r="BX192" s="144">
        <f t="shared" si="491"/>
        <v>22741.077359496605</v>
      </c>
      <c r="BY192" s="150">
        <f t="shared" si="492"/>
        <v>26.464571897970725</v>
      </c>
      <c r="BZ192" s="5">
        <f t="shared" si="493"/>
        <v>74.62</v>
      </c>
      <c r="CA192" s="150">
        <f t="shared" si="494"/>
        <v>0.73819375794871422</v>
      </c>
      <c r="CB192" s="5">
        <f t="shared" si="495"/>
        <v>73.819375794871419</v>
      </c>
      <c r="CC192">
        <f t="shared" si="496"/>
        <v>82</v>
      </c>
      <c r="CE192" s="59">
        <f t="shared" si="534"/>
        <v>-50</v>
      </c>
      <c r="CF192">
        <f t="shared" si="535"/>
        <v>-50</v>
      </c>
      <c r="CG192" s="150">
        <f t="shared" si="536"/>
        <v>0.49840675206849377</v>
      </c>
      <c r="CH192" s="150">
        <f t="shared" si="537"/>
        <v>0.1350568335034627</v>
      </c>
      <c r="CI192" s="147">
        <v>82</v>
      </c>
      <c r="CJ192" s="188">
        <f t="shared" si="602"/>
        <v>0.41</v>
      </c>
      <c r="CK192" s="188">
        <f t="shared" si="538"/>
        <v>0.41</v>
      </c>
      <c r="CL192" s="188">
        <f t="shared" si="539"/>
        <v>69.7</v>
      </c>
      <c r="CM192" s="188">
        <f t="shared" si="540"/>
        <v>4.92</v>
      </c>
      <c r="CN192" s="465">
        <f t="shared" si="541"/>
        <v>9</v>
      </c>
      <c r="CO192" s="379">
        <f t="shared" si="542"/>
        <v>8.625</v>
      </c>
      <c r="CP192" s="379">
        <f t="shared" si="543"/>
        <v>17.625</v>
      </c>
      <c r="CQ192" s="379"/>
      <c r="CR192" s="188">
        <f t="shared" si="544"/>
        <v>0.48674080410607357</v>
      </c>
      <c r="CS192" s="149">
        <f t="shared" si="545"/>
        <v>136.39440115060304</v>
      </c>
      <c r="CT192" s="149">
        <f t="shared" si="546"/>
        <v>9.6278400812190377</v>
      </c>
      <c r="CU192" s="188">
        <f t="shared" si="547"/>
        <v>0.80232000676825321</v>
      </c>
      <c r="CV192" s="188">
        <f t="shared" si="548"/>
        <v>11.366200095883586</v>
      </c>
      <c r="CW192" s="188">
        <f t="shared" si="549"/>
        <v>170</v>
      </c>
      <c r="CX192" s="188">
        <f t="shared" si="550"/>
        <v>34.067869556727203</v>
      </c>
      <c r="CY192" s="188">
        <f t="shared" si="551"/>
        <v>5.6779782594545338</v>
      </c>
      <c r="CZ192" s="188">
        <f t="shared" si="552"/>
        <v>5.9248468794308176</v>
      </c>
      <c r="DA192" s="172">
        <f t="shared" si="553"/>
        <v>220.21276595744678</v>
      </c>
      <c r="DB192" s="379">
        <f t="shared" si="554"/>
        <v>86.185906279724136</v>
      </c>
      <c r="DD192" s="188">
        <f t="shared" si="555"/>
        <v>13.333333333333336</v>
      </c>
      <c r="DE192" s="150">
        <f t="shared" si="556"/>
        <v>2.3188405797101459</v>
      </c>
      <c r="DF192" s="150">
        <f t="shared" si="557"/>
        <v>0.15898994622398885</v>
      </c>
      <c r="DG192" s="150"/>
      <c r="DH192" s="150">
        <f t="shared" si="558"/>
        <v>2.3188405797101455</v>
      </c>
      <c r="DI192" s="314">
        <f t="shared" si="559"/>
        <v>567.88014705882324</v>
      </c>
      <c r="DJ192" s="456">
        <f t="shared" si="560"/>
        <v>0.15898994622398879</v>
      </c>
      <c r="DL192" s="150">
        <f t="shared" si="561"/>
        <v>16.860209567697154</v>
      </c>
      <c r="DM192" s="150">
        <f t="shared" si="562"/>
        <v>34.067869556727203</v>
      </c>
      <c r="DN192" s="150">
        <f t="shared" si="563"/>
        <v>16.558915721032495</v>
      </c>
      <c r="DP192" s="314">
        <f t="shared" si="564"/>
        <v>410</v>
      </c>
      <c r="DQ192" s="144">
        <f t="shared" si="565"/>
        <v>86.185906279724136</v>
      </c>
      <c r="DS192">
        <f t="shared" si="566"/>
        <v>410</v>
      </c>
      <c r="DT192">
        <f t="shared" si="567"/>
        <v>86.185906279724136</v>
      </c>
      <c r="DV192" s="5">
        <f t="shared" si="568"/>
        <v>11.60282513888535</v>
      </c>
      <c r="DW192" s="5">
        <f t="shared" si="569"/>
        <v>5.6779782594545338</v>
      </c>
      <c r="DX192" s="5">
        <f t="shared" si="570"/>
        <v>5.9248468794308167</v>
      </c>
      <c r="DY192" s="150">
        <f t="shared" si="571"/>
        <v>0.48936170212765961</v>
      </c>
      <c r="EA192" s="5">
        <f t="shared" si="572"/>
        <v>1.3693947566919757</v>
      </c>
      <c r="EB192" s="5">
        <f t="shared" si="573"/>
        <v>19.399759053136325</v>
      </c>
      <c r="EC192" s="5">
        <f t="shared" si="574"/>
        <v>76.474412499319982</v>
      </c>
      <c r="ED192" s="5"/>
      <c r="EE192" s="150">
        <f t="shared" si="575"/>
        <v>13.759394967289049</v>
      </c>
      <c r="EF192" s="150">
        <f t="shared" si="576"/>
        <v>0.65643023745591955</v>
      </c>
      <c r="EG192" s="150">
        <f t="shared" si="577"/>
        <v>0.62445339684455592</v>
      </c>
      <c r="EH192" s="150"/>
      <c r="EI192" s="456">
        <f t="shared" si="578"/>
        <v>0.64369122954392122</v>
      </c>
      <c r="EJ192" s="456">
        <f t="shared" si="579"/>
        <v>1.5732000000000002</v>
      </c>
      <c r="EK192" s="456">
        <f t="shared" si="580"/>
        <v>1.9736572538056826E-2</v>
      </c>
      <c r="EL192" s="456">
        <f t="shared" si="581"/>
        <v>1.8339397998153577E-2</v>
      </c>
      <c r="EM192">
        <f t="shared" si="582"/>
        <v>4.0499999999999998E-3</v>
      </c>
      <c r="EN192" s="144">
        <f t="shared" si="583"/>
        <v>23.786572538056827</v>
      </c>
      <c r="EP192" s="144">
        <f t="shared" si="603"/>
        <v>2259.0172000801317</v>
      </c>
      <c r="EQ192" s="150">
        <f t="shared" si="584"/>
        <v>1.0249999999999999</v>
      </c>
      <c r="ER192" s="150">
        <f t="shared" si="585"/>
        <v>0.29110000000000003</v>
      </c>
      <c r="ES192" s="456"/>
      <c r="EU192" s="144">
        <f t="shared" si="497"/>
        <v>1316.1000000000001</v>
      </c>
      <c r="EV192" s="456">
        <f t="shared" si="586"/>
        <v>0.2839814247987888</v>
      </c>
      <c r="EW192" s="456">
        <f t="shared" si="587"/>
        <v>8.6180131329286994E-2</v>
      </c>
      <c r="EX192" s="456">
        <f t="shared" si="588"/>
        <v>1.1698261344921133E-2</v>
      </c>
      <c r="EY192" s="456">
        <f t="shared" si="589"/>
        <v>23.357323485002272</v>
      </c>
      <c r="EZ192" s="456"/>
      <c r="FA192" s="538">
        <f t="shared" si="590"/>
        <v>0.10002906380485861</v>
      </c>
      <c r="FB192" s="144">
        <f t="shared" si="498"/>
        <v>23839.212366280128</v>
      </c>
      <c r="FC192" s="150">
        <f t="shared" si="591"/>
        <v>27.414329566360259</v>
      </c>
      <c r="FD192" s="5">
        <f t="shared" si="592"/>
        <v>74.62</v>
      </c>
      <c r="FE192" s="150">
        <f t="shared" si="593"/>
        <v>0.73132249035330066</v>
      </c>
      <c r="FF192" s="5">
        <f t="shared" si="594"/>
        <v>73.132249035330062</v>
      </c>
      <c r="FG192">
        <f t="shared" si="595"/>
        <v>82</v>
      </c>
      <c r="FI192" s="59">
        <f t="shared" si="596"/>
        <v>-50</v>
      </c>
      <c r="FJ192">
        <f t="shared" si="597"/>
        <v>-50</v>
      </c>
    </row>
    <row r="193" spans="5:166">
      <c r="E193" s="147">
        <v>83</v>
      </c>
      <c r="F193" s="188">
        <f t="shared" si="598"/>
        <v>0.41499999999999998</v>
      </c>
      <c r="G193" s="188">
        <f t="shared" si="499"/>
        <v>0.41499999999999998</v>
      </c>
      <c r="H193" s="188">
        <f t="shared" si="500"/>
        <v>70.55</v>
      </c>
      <c r="I193" s="188">
        <f t="shared" si="501"/>
        <v>4.9799999999999995</v>
      </c>
      <c r="J193" s="465">
        <f t="shared" si="502"/>
        <v>8.8960550785841406</v>
      </c>
      <c r="K193" s="379">
        <f t="shared" si="503"/>
        <v>8.6871157770297867</v>
      </c>
      <c r="L193" s="149">
        <f t="shared" si="504"/>
        <v>17.583170855613929</v>
      </c>
      <c r="M193" s="379"/>
      <c r="N193" s="188">
        <f t="shared" si="505"/>
        <v>0.49405854315839609</v>
      </c>
      <c r="O193" s="149">
        <f t="shared" si="506"/>
        <v>136.84601502508468</v>
      </c>
      <c r="P193" s="149">
        <f t="shared" si="507"/>
        <v>9.6597187076530364</v>
      </c>
      <c r="Q193" s="188">
        <f t="shared" si="508"/>
        <v>0.80497655897108633</v>
      </c>
      <c r="R193" s="188">
        <f t="shared" si="509"/>
        <v>11.403834585423724</v>
      </c>
      <c r="S193" s="188">
        <f t="shared" si="510"/>
        <v>170</v>
      </c>
      <c r="T193" s="188">
        <f t="shared" si="511"/>
        <v>34.369530837059337</v>
      </c>
      <c r="U193" s="188">
        <f t="shared" si="512"/>
        <v>5.795186270788486</v>
      </c>
      <c r="V193" s="188">
        <f t="shared" si="513"/>
        <v>5.9345699515030459</v>
      </c>
      <c r="W193" s="172">
        <f t="shared" si="514"/>
        <v>219.75860059910659</v>
      </c>
      <c r="X193" s="379">
        <f t="shared" si="599"/>
        <v>83.824009591364032</v>
      </c>
      <c r="Z193" s="188">
        <f t="shared" si="515"/>
        <v>13.333333333333334</v>
      </c>
      <c r="AA193" s="150">
        <f t="shared" si="516"/>
        <v>2.3022600956790984</v>
      </c>
      <c r="AB193" s="150">
        <f t="shared" si="517"/>
        <v>0.15752755982247743</v>
      </c>
      <c r="AC193" s="150"/>
      <c r="AD193" s="150">
        <f t="shared" si="518"/>
        <v>2.3022600956790984</v>
      </c>
      <c r="AE193" s="314">
        <f t="shared" si="519"/>
        <v>578.94516585799397</v>
      </c>
      <c r="AF193" s="456">
        <f t="shared" si="520"/>
        <v>0.1575275598224774</v>
      </c>
      <c r="AH193" s="150">
        <f t="shared" si="521"/>
        <v>16.962704186931202</v>
      </c>
      <c r="AI193" s="150">
        <f t="shared" si="522"/>
        <v>34.369530837059337</v>
      </c>
      <c r="AJ193" s="150">
        <f t="shared" si="523"/>
        <v>16.782368521278521</v>
      </c>
      <c r="AL193" s="314">
        <f t="shared" si="524"/>
        <v>415</v>
      </c>
      <c r="AM193" s="144">
        <f t="shared" si="525"/>
        <v>83.824009591364032</v>
      </c>
      <c r="AO193">
        <f t="shared" si="526"/>
        <v>415</v>
      </c>
      <c r="AP193">
        <f t="shared" si="527"/>
        <v>83.824009591364032</v>
      </c>
      <c r="AR193" s="5">
        <f t="shared" si="443"/>
        <v>11.92975622229153</v>
      </c>
      <c r="AS193" s="5">
        <f t="shared" si="604"/>
        <v>5.795186270788486</v>
      </c>
      <c r="AT193" s="5">
        <f t="shared" si="605"/>
        <v>6.1345699515030443</v>
      </c>
      <c r="AU193" s="150">
        <f t="shared" si="606"/>
        <v>0.48577574954631519</v>
      </c>
      <c r="AW193" s="5">
        <f t="shared" si="477"/>
        <v>1.4147072366924831</v>
      </c>
      <c r="AX193" s="5">
        <f t="shared" si="478"/>
        <v>20.041685853143512</v>
      </c>
      <c r="AY193" s="5">
        <f t="shared" si="479"/>
        <v>81.083488927660241</v>
      </c>
      <c r="AZ193" s="5"/>
      <c r="BA193" s="150">
        <f t="shared" si="480"/>
        <v>13.830277422460682</v>
      </c>
      <c r="BB193" s="150">
        <f t="shared" si="481"/>
        <v>0.66456396881218105</v>
      </c>
      <c r="BC193" s="150">
        <f t="shared" si="482"/>
        <v>0.63219090783144061</v>
      </c>
      <c r="BD193" s="150"/>
      <c r="BE193" s="456">
        <f t="shared" si="483"/>
        <v>0.65034035017956737</v>
      </c>
      <c r="BF193" s="456">
        <f t="shared" si="528"/>
        <v>1.2132344914773467</v>
      </c>
      <c r="BG193" s="456">
        <f t="shared" si="529"/>
        <v>3.4153197685450325E-2</v>
      </c>
      <c r="BH193" s="456">
        <f t="shared" si="484"/>
        <v>1.7752249562368025E-2</v>
      </c>
      <c r="BI193">
        <f t="shared" si="485"/>
        <v>4.003224785362863E-3</v>
      </c>
      <c r="BJ193" s="144">
        <f t="shared" si="600"/>
        <v>38.15642247081319</v>
      </c>
      <c r="BK193">
        <f t="shared" si="530"/>
        <v>2.4328441779068939</v>
      </c>
      <c r="BL193" s="144">
        <f t="shared" si="601"/>
        <v>1919.4835136900956</v>
      </c>
      <c r="BM193" s="150">
        <f t="shared" si="531"/>
        <v>0.92078124999999988</v>
      </c>
      <c r="BN193" s="150">
        <f t="shared" si="532"/>
        <v>0.92078124999999988</v>
      </c>
      <c r="BO193" s="456"/>
      <c r="BQ193" s="144">
        <f t="shared" si="486"/>
        <v>1841.5624999999998</v>
      </c>
      <c r="BR193" s="456">
        <f t="shared" si="487"/>
        <v>0.28691486037333852</v>
      </c>
      <c r="BS193" s="456">
        <f t="shared" si="488"/>
        <v>8.832905372867951E-2</v>
      </c>
      <c r="BT193" s="456">
        <f t="shared" si="489"/>
        <v>1.198996031834223E-2</v>
      </c>
      <c r="BU193" s="456">
        <f t="shared" si="490"/>
        <v>22.275378430130221</v>
      </c>
      <c r="BV193" s="456"/>
      <c r="BW193" s="538">
        <f t="shared" si="533"/>
        <v>9.9018339348150491E-2</v>
      </c>
      <c r="BX193" s="144">
        <f t="shared" ref="BX193:BX210" si="607">SUM(BR193:BW193)*1000</f>
        <v>22761.63064389873</v>
      </c>
      <c r="BY193" s="150">
        <f t="shared" ref="BY193:BY210" si="608">SUM(BE193:BI193,BM193:BP193,BR193:BW193)</f>
        <v>26.522676657588825</v>
      </c>
      <c r="BZ193" s="5">
        <f t="shared" ref="BZ193:BZ210" si="609">MIN(H193+I193,O193+P193)</f>
        <v>75.53</v>
      </c>
      <c r="CA193" s="150">
        <f t="shared" ref="CA193:CA210" si="610">BZ193/(BZ193+BY193)</f>
        <v>0.74010797632894287</v>
      </c>
      <c r="CB193" s="5">
        <f t="shared" ref="CB193:CB210" si="611">CA193*100</f>
        <v>74.010797632894281</v>
      </c>
      <c r="CC193">
        <f t="shared" ref="CC193:CC210" si="612">F193/Iout*100</f>
        <v>83</v>
      </c>
      <c r="CE193" s="59">
        <f t="shared" si="534"/>
        <v>-50</v>
      </c>
      <c r="CF193">
        <f t="shared" si="535"/>
        <v>-50</v>
      </c>
      <c r="CG193" s="150">
        <f t="shared" si="536"/>
        <v>0.49840675206849366</v>
      </c>
      <c r="CH193" s="150">
        <f t="shared" si="537"/>
        <v>0.13505683350346268</v>
      </c>
      <c r="CI193" s="147">
        <v>83</v>
      </c>
      <c r="CJ193" s="188">
        <f t="shared" si="602"/>
        <v>0.41499999999999998</v>
      </c>
      <c r="CK193" s="188">
        <f t="shared" si="538"/>
        <v>0.41499999999999998</v>
      </c>
      <c r="CL193" s="188">
        <f t="shared" si="539"/>
        <v>70.55</v>
      </c>
      <c r="CM193" s="188">
        <f t="shared" si="540"/>
        <v>4.9799999999999995</v>
      </c>
      <c r="CN193" s="465">
        <f t="shared" si="541"/>
        <v>9</v>
      </c>
      <c r="CO193" s="379">
        <f t="shared" si="542"/>
        <v>8.625</v>
      </c>
      <c r="CP193" s="379">
        <f t="shared" si="543"/>
        <v>17.625</v>
      </c>
      <c r="CQ193" s="379"/>
      <c r="CR193" s="188">
        <f t="shared" si="544"/>
        <v>0.48674080410607357</v>
      </c>
      <c r="CS193" s="149">
        <f t="shared" si="545"/>
        <v>136.39440115060304</v>
      </c>
      <c r="CT193" s="149">
        <f t="shared" si="546"/>
        <v>9.6278400812190377</v>
      </c>
      <c r="CU193" s="188">
        <f t="shared" si="547"/>
        <v>0.80232000676825321</v>
      </c>
      <c r="CV193" s="188">
        <f t="shared" si="548"/>
        <v>11.366200095883586</v>
      </c>
      <c r="CW193" s="188">
        <f t="shared" si="549"/>
        <v>170</v>
      </c>
      <c r="CX193" s="188">
        <f t="shared" si="550"/>
        <v>34.483331380589732</v>
      </c>
      <c r="CY193" s="188">
        <f t="shared" si="551"/>
        <v>5.7472218967649553</v>
      </c>
      <c r="CZ193" s="188">
        <f t="shared" si="552"/>
        <v>5.9971011096677795</v>
      </c>
      <c r="DA193" s="172">
        <f t="shared" si="553"/>
        <v>220.21276595744678</v>
      </c>
      <c r="DB193" s="379">
        <f t="shared" si="554"/>
        <v>85.147521866715394</v>
      </c>
      <c r="DD193" s="188">
        <f t="shared" si="555"/>
        <v>13.333333333333336</v>
      </c>
      <c r="DE193" s="150">
        <f t="shared" si="556"/>
        <v>2.3188405797101459</v>
      </c>
      <c r="DF193" s="150">
        <f t="shared" si="557"/>
        <v>0.15898994622398885</v>
      </c>
      <c r="DG193" s="150"/>
      <c r="DH193" s="150">
        <f t="shared" si="558"/>
        <v>2.3188405797101455</v>
      </c>
      <c r="DI193" s="314">
        <f t="shared" si="559"/>
        <v>574.80551470588205</v>
      </c>
      <c r="DJ193" s="456">
        <f t="shared" si="560"/>
        <v>0.15898994622398879</v>
      </c>
      <c r="DL193" s="150">
        <f t="shared" si="561"/>
        <v>16.962704186931202</v>
      </c>
      <c r="DM193" s="150">
        <f t="shared" si="562"/>
        <v>34.483331380589732</v>
      </c>
      <c r="DN193" s="150">
        <f t="shared" si="563"/>
        <v>16.866665220189923</v>
      </c>
      <c r="DP193" s="314">
        <f t="shared" si="564"/>
        <v>415</v>
      </c>
      <c r="DQ193" s="144">
        <f t="shared" si="565"/>
        <v>85.147521866715394</v>
      </c>
      <c r="DS193">
        <f>IF(CL193&gt;CS193, "",DP193)</f>
        <v>415</v>
      </c>
      <c r="DT193">
        <f t="shared" si="567"/>
        <v>85.147521866715394</v>
      </c>
      <c r="DV193" s="5">
        <f t="shared" si="568"/>
        <v>11.744323006432735</v>
      </c>
      <c r="DW193" s="5">
        <f t="shared" si="569"/>
        <v>5.7472218967649553</v>
      </c>
      <c r="DX193" s="5">
        <f t="shared" si="570"/>
        <v>5.9971011096677795</v>
      </c>
      <c r="DY193" s="150">
        <f t="shared" si="571"/>
        <v>0.48936170212765956</v>
      </c>
      <c r="EA193" s="5">
        <f t="shared" si="572"/>
        <v>1.4029982865632098</v>
      </c>
      <c r="EB193" s="5">
        <f t="shared" si="573"/>
        <v>19.875809059645469</v>
      </c>
      <c r="EC193" s="5">
        <f t="shared" si="574"/>
        <v>78.351015423529958</v>
      </c>
      <c r="ED193" s="5"/>
      <c r="EE193" s="150">
        <f t="shared" si="575"/>
        <v>13.927192466890133</v>
      </c>
      <c r="EF193" s="150">
        <f t="shared" si="576"/>
        <v>0.66443548425416277</v>
      </c>
      <c r="EG193" s="150">
        <f t="shared" si="577"/>
        <v>0.63206868217192869</v>
      </c>
      <c r="EH193" s="150"/>
      <c r="EI193" s="456">
        <f t="shared" si="578"/>
        <v>0.65948674603332436</v>
      </c>
      <c r="EJ193" s="456">
        <f t="shared" si="579"/>
        <v>1.5732000000000002</v>
      </c>
      <c r="EK193" s="456">
        <f t="shared" si="580"/>
        <v>1.9498782507477826E-2</v>
      </c>
      <c r="EL193" s="456">
        <f t="shared" si="581"/>
        <v>1.8118441395766183E-2</v>
      </c>
      <c r="EM193">
        <f t="shared" si="582"/>
        <v>4.0499999999999998E-3</v>
      </c>
      <c r="EN193" s="144">
        <f t="shared" si="583"/>
        <v>23.548782507477828</v>
      </c>
      <c r="EP193" s="144">
        <f t="shared" si="603"/>
        <v>2274.3539699365683</v>
      </c>
      <c r="EQ193" s="150">
        <f t="shared" si="584"/>
        <v>1.0374999999999999</v>
      </c>
      <c r="ER193" s="150">
        <f t="shared" si="585"/>
        <v>0.29465000000000002</v>
      </c>
      <c r="ES193" s="456"/>
      <c r="EU193" s="144">
        <f t="shared" si="497"/>
        <v>1332.1499999999999</v>
      </c>
      <c r="EV193" s="456">
        <f t="shared" si="586"/>
        <v>0.29095003501470196</v>
      </c>
      <c r="EW193" s="456">
        <f t="shared" si="587"/>
        <v>8.8294902547212756E-2</v>
      </c>
      <c r="EX193" s="456">
        <f t="shared" si="588"/>
        <v>1.1985324569476758E-2</v>
      </c>
      <c r="EY193" s="456">
        <f t="shared" si="589"/>
        <v>23.357323485002279</v>
      </c>
      <c r="EZ193" s="456"/>
      <c r="FA193" s="538">
        <f t="shared" si="590"/>
        <v>0.10124893043662517</v>
      </c>
      <c r="FB193" s="144">
        <f t="shared" ref="FB193:FB210" si="613">SUM(EV193:FA193)*1000</f>
        <v>23849.802677570297</v>
      </c>
      <c r="FC193" s="150">
        <f t="shared" si="591"/>
        <v>27.456306647506864</v>
      </c>
      <c r="FD193" s="5">
        <f t="shared" si="592"/>
        <v>75.53</v>
      </c>
      <c r="FE193" s="150">
        <f t="shared" si="593"/>
        <v>0.73339847265829161</v>
      </c>
      <c r="FF193" s="5">
        <f t="shared" si="594"/>
        <v>73.339847265829164</v>
      </c>
      <c r="FG193">
        <f t="shared" si="595"/>
        <v>83</v>
      </c>
      <c r="FI193" s="59">
        <f t="shared" si="596"/>
        <v>-50</v>
      </c>
      <c r="FJ193">
        <f t="shared" si="597"/>
        <v>-50</v>
      </c>
    </row>
    <row r="194" spans="5:166">
      <c r="E194" s="147">
        <v>84</v>
      </c>
      <c r="F194" s="188">
        <f t="shared" si="598"/>
        <v>0.42</v>
      </c>
      <c r="G194" s="188">
        <f t="shared" si="499"/>
        <v>0.42</v>
      </c>
      <c r="H194" s="188">
        <f t="shared" si="500"/>
        <v>71.399999999999991</v>
      </c>
      <c r="I194" s="188">
        <f t="shared" si="501"/>
        <v>5.04</v>
      </c>
      <c r="J194" s="465">
        <f t="shared" si="502"/>
        <v>8.8948027301333479</v>
      </c>
      <c r="K194" s="379">
        <f t="shared" si="503"/>
        <v>8.687864159885569</v>
      </c>
      <c r="L194" s="149">
        <f t="shared" si="504"/>
        <v>17.582666890018917</v>
      </c>
      <c r="M194" s="379"/>
      <c r="N194" s="188">
        <f t="shared" si="505"/>
        <v>0.49411526785037224</v>
      </c>
      <c r="O194" s="149">
        <f t="shared" si="506"/>
        <v>136.84246001665392</v>
      </c>
      <c r="P194" s="149">
        <f t="shared" si="507"/>
        <v>9.6594677658814536</v>
      </c>
      <c r="Q194" s="188">
        <f t="shared" si="508"/>
        <v>0.80495564715678769</v>
      </c>
      <c r="R194" s="188">
        <f t="shared" si="509"/>
        <v>11.40353833472116</v>
      </c>
      <c r="S194" s="188">
        <f t="shared" si="510"/>
        <v>170</v>
      </c>
      <c r="T194" s="188">
        <f t="shared" si="511"/>
        <v>34.784525208189777</v>
      </c>
      <c r="U194" s="188">
        <f t="shared" si="512"/>
        <v>5.865985946548637</v>
      </c>
      <c r="V194" s="188">
        <f t="shared" si="513"/>
        <v>6.0057094415909811</v>
      </c>
      <c r="W194" s="172">
        <f t="shared" si="514"/>
        <v>219.75289167380308</v>
      </c>
      <c r="X194" s="379">
        <f t="shared" si="599"/>
        <v>82.838405695897137</v>
      </c>
      <c r="Z194" s="188">
        <f t="shared" si="515"/>
        <v>13.333333333333334</v>
      </c>
      <c r="AA194" s="150">
        <f t="shared" si="516"/>
        <v>2.3020617762816666</v>
      </c>
      <c r="AB194" s="150">
        <f t="shared" si="517"/>
        <v>0.15750989828834569</v>
      </c>
      <c r="AC194" s="150"/>
      <c r="AD194" s="150">
        <f t="shared" si="518"/>
        <v>2.3020617762816666</v>
      </c>
      <c r="AE194" s="314">
        <f t="shared" si="519"/>
        <v>585.97088504263468</v>
      </c>
      <c r="AF194" s="456">
        <f t="shared" si="520"/>
        <v>0.15750989828834566</v>
      </c>
      <c r="AH194" s="150">
        <f t="shared" si="521"/>
        <v>17.064583206161235</v>
      </c>
      <c r="AI194" s="150">
        <f t="shared" si="522"/>
        <v>34.784525208189777</v>
      </c>
      <c r="AJ194" s="150">
        <f t="shared" si="523"/>
        <v>17.089771759152921</v>
      </c>
      <c r="AL194" s="314">
        <f t="shared" si="524"/>
        <v>420</v>
      </c>
      <c r="AM194" s="144">
        <f t="shared" si="525"/>
        <v>82.838405695897137</v>
      </c>
      <c r="AO194">
        <f t="shared" si="526"/>
        <v>420</v>
      </c>
      <c r="AP194">
        <f t="shared" si="527"/>
        <v>82.838405695897137</v>
      </c>
      <c r="AR194" s="5">
        <f t="shared" si="443"/>
        <v>12.071695388139617</v>
      </c>
      <c r="AS194" s="5">
        <f t="shared" si="604"/>
        <v>5.865985946548637</v>
      </c>
      <c r="AT194" s="5">
        <f t="shared" si="605"/>
        <v>6.2057094415909795</v>
      </c>
      <c r="AU194" s="150">
        <f t="shared" si="606"/>
        <v>0.48592892364662715</v>
      </c>
      <c r="AW194" s="5">
        <f t="shared" si="477"/>
        <v>1.4492435867943689</v>
      </c>
      <c r="AX194" s="5">
        <f t="shared" si="478"/>
        <v>20.530950812920228</v>
      </c>
      <c r="AY194" s="5">
        <f t="shared" si="479"/>
        <v>83.023698889638595</v>
      </c>
      <c r="AZ194" s="5"/>
      <c r="BA194" s="150">
        <f t="shared" si="480"/>
        <v>13.999477519924621</v>
      </c>
      <c r="BB194" s="150">
        <f t="shared" si="481"/>
        <v>0.67248805544755452</v>
      </c>
      <c r="BC194" s="150">
        <f t="shared" si="482"/>
        <v>0.63972898657005406</v>
      </c>
      <c r="BD194" s="150"/>
      <c r="BE194" s="456">
        <f t="shared" si="483"/>
        <v>0.66635026082497428</v>
      </c>
      <c r="BF194" s="456">
        <f t="shared" si="528"/>
        <v>1.2134114194367407</v>
      </c>
      <c r="BG194" s="456">
        <f t="shared" si="529"/>
        <v>3.3746872493184199E-2</v>
      </c>
      <c r="BH194" s="456">
        <f t="shared" si="484"/>
        <v>1.7542512716096005E-2</v>
      </c>
      <c r="BI194">
        <f t="shared" si="485"/>
        <v>4.0026612285600062E-3</v>
      </c>
      <c r="BJ194" s="144">
        <f t="shared" si="600"/>
        <v>37.749533721744207</v>
      </c>
      <c r="BK194">
        <f t="shared" si="530"/>
        <v>2.4679577319452393</v>
      </c>
      <c r="BL194" s="144">
        <f t="shared" si="601"/>
        <v>1935.053726699555</v>
      </c>
      <c r="BM194" s="150">
        <f t="shared" si="531"/>
        <v>0.93187500000000001</v>
      </c>
      <c r="BN194" s="150">
        <f t="shared" si="532"/>
        <v>0.93187500000000001</v>
      </c>
      <c r="BO194" s="456"/>
      <c r="BQ194" s="144">
        <f t="shared" si="486"/>
        <v>1863.75</v>
      </c>
      <c r="BR194" s="456">
        <f t="shared" si="487"/>
        <v>0.29397805624631224</v>
      </c>
      <c r="BS194" s="456">
        <f t="shared" si="488"/>
        <v>9.0448036943926641E-2</v>
      </c>
      <c r="BT194" s="456">
        <f t="shared" si="489"/>
        <v>1.2277595287738452E-2</v>
      </c>
      <c r="BU194" s="456">
        <f t="shared" si="490"/>
        <v>22.285097249093283</v>
      </c>
      <c r="BV194" s="456"/>
      <c r="BW194" s="538">
        <f t="shared" si="533"/>
        <v>0.10023142193829487</v>
      </c>
      <c r="BX194" s="144">
        <f t="shared" si="607"/>
        <v>22782.032359509554</v>
      </c>
      <c r="BY194" s="150">
        <f t="shared" si="608"/>
        <v>26.580836086209107</v>
      </c>
      <c r="BZ194" s="5">
        <f t="shared" si="609"/>
        <v>76.44</v>
      </c>
      <c r="CA194" s="150">
        <f t="shared" si="610"/>
        <v>0.7419858244601516</v>
      </c>
      <c r="CB194" s="5">
        <f t="shared" si="611"/>
        <v>74.198582446015166</v>
      </c>
      <c r="CC194">
        <f t="shared" si="612"/>
        <v>84</v>
      </c>
      <c r="CE194" s="59">
        <f t="shared" si="534"/>
        <v>-50</v>
      </c>
      <c r="CF194">
        <f t="shared" si="535"/>
        <v>-50</v>
      </c>
      <c r="CG194" s="150">
        <f t="shared" si="536"/>
        <v>0.49840675206849366</v>
      </c>
      <c r="CH194" s="150">
        <f t="shared" si="537"/>
        <v>0.13505683350346268</v>
      </c>
      <c r="CI194" s="147">
        <v>84</v>
      </c>
      <c r="CJ194" s="188">
        <f t="shared" si="602"/>
        <v>0.42</v>
      </c>
      <c r="CK194" s="188">
        <f t="shared" si="538"/>
        <v>0.42</v>
      </c>
      <c r="CL194" s="188">
        <f t="shared" si="539"/>
        <v>71.399999999999991</v>
      </c>
      <c r="CM194" s="188">
        <f t="shared" si="540"/>
        <v>5.04</v>
      </c>
      <c r="CN194" s="465">
        <f t="shared" si="541"/>
        <v>9</v>
      </c>
      <c r="CO194" s="379">
        <f t="shared" si="542"/>
        <v>8.625</v>
      </c>
      <c r="CP194" s="379">
        <f t="shared" si="543"/>
        <v>17.625</v>
      </c>
      <c r="CQ194" s="379"/>
      <c r="CR194" s="188">
        <f t="shared" si="544"/>
        <v>0.48674080410607357</v>
      </c>
      <c r="CS194" s="149">
        <f t="shared" si="545"/>
        <v>136.39440115060304</v>
      </c>
      <c r="CT194" s="149">
        <f t="shared" si="546"/>
        <v>9.6278400812190377</v>
      </c>
      <c r="CU194" s="188">
        <f t="shared" si="547"/>
        <v>0.80232000676825321</v>
      </c>
      <c r="CV194" s="188">
        <f t="shared" si="548"/>
        <v>11.366200095883586</v>
      </c>
      <c r="CW194" s="188">
        <f t="shared" si="549"/>
        <v>170</v>
      </c>
      <c r="CX194" s="188">
        <f t="shared" si="550"/>
        <v>34.898793204452254</v>
      </c>
      <c r="CY194" s="188">
        <f t="shared" si="551"/>
        <v>5.8164655340753768</v>
      </c>
      <c r="CZ194" s="188">
        <f t="shared" si="552"/>
        <v>6.0693553399047406</v>
      </c>
      <c r="DA194" s="172">
        <f t="shared" si="553"/>
        <v>220.21276595744678</v>
      </c>
      <c r="DB194" s="379">
        <f t="shared" si="554"/>
        <v>84.133860892111642</v>
      </c>
      <c r="DD194" s="188">
        <f t="shared" si="555"/>
        <v>13.333333333333336</v>
      </c>
      <c r="DE194" s="150">
        <f t="shared" si="556"/>
        <v>2.3188405797101459</v>
      </c>
      <c r="DF194" s="150">
        <f t="shared" si="557"/>
        <v>0.15898994622398885</v>
      </c>
      <c r="DG194" s="150"/>
      <c r="DH194" s="150">
        <f t="shared" si="558"/>
        <v>2.3188405797101455</v>
      </c>
      <c r="DI194" s="314">
        <f t="shared" si="559"/>
        <v>581.73088235294097</v>
      </c>
      <c r="DJ194" s="456">
        <f t="shared" si="560"/>
        <v>0.15898994622398879</v>
      </c>
      <c r="DL194" s="150">
        <f t="shared" si="561"/>
        <v>17.064583206161235</v>
      </c>
      <c r="DM194" s="150">
        <f t="shared" si="562"/>
        <v>34.898793204452254</v>
      </c>
      <c r="DN194" s="150">
        <f t="shared" si="563"/>
        <v>17.174414719347347</v>
      </c>
      <c r="DP194" s="314">
        <f t="shared" si="564"/>
        <v>420</v>
      </c>
      <c r="DQ194" s="144">
        <f t="shared" si="565"/>
        <v>84.133860892111642</v>
      </c>
      <c r="DS194">
        <f t="shared" ref="DS194:DS210" si="614">IF(CL194&gt;CS194, "",DP194)</f>
        <v>420</v>
      </c>
      <c r="DT194">
        <f t="shared" ref="DT194:DT210" si="615">IF(CL194&gt;CS194, "",DQ194)</f>
        <v>84.133860892111642</v>
      </c>
      <c r="DV194" s="5">
        <f t="shared" si="568"/>
        <v>11.885820873980117</v>
      </c>
      <c r="DW194" s="5">
        <f t="shared" si="569"/>
        <v>5.8164655340753768</v>
      </c>
      <c r="DX194" s="5">
        <f t="shared" si="570"/>
        <v>6.0693553399047406</v>
      </c>
      <c r="DY194" s="150">
        <f t="shared" si="571"/>
        <v>0.48936170212765961</v>
      </c>
      <c r="EA194" s="5">
        <f t="shared" si="572"/>
        <v>1.4370091319480343</v>
      </c>
      <c r="EB194" s="5">
        <f t="shared" si="573"/>
        <v>20.357629369263819</v>
      </c>
      <c r="EC194" s="5">
        <f t="shared" si="574"/>
        <v>80.250365049851553</v>
      </c>
      <c r="ED194" s="5"/>
      <c r="EE194" s="150">
        <f t="shared" si="575"/>
        <v>14.094989966491219</v>
      </c>
      <c r="EF194" s="150">
        <f t="shared" si="576"/>
        <v>0.67244073105240543</v>
      </c>
      <c r="EG194" s="150">
        <f t="shared" si="577"/>
        <v>0.63968396749930112</v>
      </c>
      <c r="EH194" s="150"/>
      <c r="EI194" s="456">
        <f t="shared" si="578"/>
        <v>0.67547372332865974</v>
      </c>
      <c r="EJ194" s="456">
        <f t="shared" si="579"/>
        <v>1.5731999999999997</v>
      </c>
      <c r="EK194" s="456">
        <f t="shared" si="580"/>
        <v>1.9266654144293568E-2</v>
      </c>
      <c r="EL194" s="456">
        <f t="shared" si="581"/>
        <v>1.7902745664864203E-2</v>
      </c>
      <c r="EM194">
        <f t="shared" si="582"/>
        <v>4.0499999999999998E-3</v>
      </c>
      <c r="EN194" s="144">
        <f t="shared" si="583"/>
        <v>23.316654144293569</v>
      </c>
      <c r="EP194" s="144">
        <f t="shared" si="603"/>
        <v>2289.8931231378169</v>
      </c>
      <c r="EQ194" s="150">
        <f t="shared" si="584"/>
        <v>1.05</v>
      </c>
      <c r="ER194" s="150">
        <f t="shared" si="585"/>
        <v>0.29820000000000002</v>
      </c>
      <c r="ES194" s="456"/>
      <c r="EU194" s="144">
        <f t="shared" si="497"/>
        <v>1348.2</v>
      </c>
      <c r="EV194" s="456">
        <f t="shared" si="586"/>
        <v>0.29800311323323225</v>
      </c>
      <c r="EW194" s="456">
        <f t="shared" si="587"/>
        <v>9.0435307355658689E-2</v>
      </c>
      <c r="EX194" s="456">
        <f t="shared" si="588"/>
        <v>1.2275867348269407E-2</v>
      </c>
      <c r="EY194" s="456">
        <f t="shared" si="589"/>
        <v>23.35732348500223</v>
      </c>
      <c r="EZ194" s="456"/>
      <c r="FA194" s="538">
        <f t="shared" si="590"/>
        <v>0.10246879706839171</v>
      </c>
      <c r="FB194" s="144">
        <f t="shared" si="613"/>
        <v>23860.506570007779</v>
      </c>
      <c r="FC194" s="150">
        <f t="shared" si="591"/>
        <v>27.498599693145596</v>
      </c>
      <c r="FD194" s="5">
        <f t="shared" si="592"/>
        <v>76.44</v>
      </c>
      <c r="FE194" s="150">
        <f t="shared" si="593"/>
        <v>0.73543419120202913</v>
      </c>
      <c r="FF194" s="5">
        <f t="shared" si="594"/>
        <v>73.543419120202913</v>
      </c>
      <c r="FG194">
        <f t="shared" si="595"/>
        <v>84</v>
      </c>
      <c r="FI194" s="59">
        <f t="shared" si="596"/>
        <v>-50</v>
      </c>
      <c r="FJ194">
        <f t="shared" si="597"/>
        <v>-50</v>
      </c>
    </row>
    <row r="195" spans="5:166">
      <c r="E195" s="147">
        <v>85</v>
      </c>
      <c r="F195" s="188">
        <f t="shared" si="598"/>
        <v>0.42499999999999999</v>
      </c>
      <c r="G195" s="188">
        <f t="shared" si="499"/>
        <v>0.42499999999999999</v>
      </c>
      <c r="H195" s="188">
        <f t="shared" si="500"/>
        <v>72.25</v>
      </c>
      <c r="I195" s="188">
        <f t="shared" si="501"/>
        <v>5.0999999999999996</v>
      </c>
      <c r="J195" s="465">
        <f t="shared" si="502"/>
        <v>8.8935503816825534</v>
      </c>
      <c r="K195" s="379">
        <f t="shared" si="503"/>
        <v>8.6886125427413479</v>
      </c>
      <c r="L195" s="149">
        <f t="shared" si="504"/>
        <v>17.582162924423901</v>
      </c>
      <c r="M195" s="379"/>
      <c r="N195" s="188">
        <f t="shared" si="505"/>
        <v>0.49417199579420001</v>
      </c>
      <c r="O195" s="149">
        <f t="shared" si="506"/>
        <v>136.8389014849995</v>
      </c>
      <c r="P195" s="149">
        <f t="shared" si="507"/>
        <v>9.6592165754117296</v>
      </c>
      <c r="Q195" s="188">
        <f t="shared" si="508"/>
        <v>0.8049347146176441</v>
      </c>
      <c r="R195" s="188">
        <f t="shared" si="509"/>
        <v>11.403241790416624</v>
      </c>
      <c r="S195" s="188">
        <f t="shared" si="510"/>
        <v>170</v>
      </c>
      <c r="T195" s="188">
        <f t="shared" si="511"/>
        <v>35.19954204831641</v>
      </c>
      <c r="U195" s="188">
        <f t="shared" si="512"/>
        <v>5.9368093513274305</v>
      </c>
      <c r="V195" s="188">
        <f t="shared" si="513"/>
        <v>6.0768405556977321</v>
      </c>
      <c r="W195" s="172">
        <f t="shared" si="514"/>
        <v>219.74717709061684</v>
      </c>
      <c r="X195" s="379">
        <f t="shared" si="599"/>
        <v>81.875607014477353</v>
      </c>
      <c r="Z195" s="188">
        <f t="shared" si="515"/>
        <v>13.333333333333336</v>
      </c>
      <c r="AA195" s="150">
        <f t="shared" si="516"/>
        <v>2.3018634910482265</v>
      </c>
      <c r="AB195" s="150">
        <f t="shared" si="517"/>
        <v>0.15749223574173268</v>
      </c>
      <c r="AC195" s="150"/>
      <c r="AD195" s="150">
        <f t="shared" si="518"/>
        <v>2.3018634910482261</v>
      </c>
      <c r="AE195" s="314">
        <f t="shared" si="519"/>
        <v>592.99780604209684</v>
      </c>
      <c r="AF195" s="456">
        <f t="shared" si="520"/>
        <v>0.15749223574173263</v>
      </c>
      <c r="AH195" s="150">
        <f t="shared" si="521"/>
        <v>17.165857586111642</v>
      </c>
      <c r="AI195" s="150">
        <f t="shared" si="522"/>
        <v>35.19954204831641</v>
      </c>
      <c r="AJ195" s="150">
        <f t="shared" si="523"/>
        <v>17.397191640728202</v>
      </c>
      <c r="AL195" s="314">
        <f t="shared" si="524"/>
        <v>425</v>
      </c>
      <c r="AM195" s="144">
        <f t="shared" si="525"/>
        <v>81.875607014477353</v>
      </c>
      <c r="AO195">
        <f t="shared" si="526"/>
        <v>425</v>
      </c>
      <c r="AP195">
        <f t="shared" si="527"/>
        <v>81.875607014477353</v>
      </c>
      <c r="AR195" s="5">
        <f t="shared" si="443"/>
        <v>12.213649907025161</v>
      </c>
      <c r="AS195" s="5">
        <f t="shared" si="604"/>
        <v>5.9368093513274305</v>
      </c>
      <c r="AT195" s="5">
        <f t="shared" si="605"/>
        <v>6.2768405556977305</v>
      </c>
      <c r="AU195" s="150">
        <f t="shared" si="606"/>
        <v>0.48607986936915892</v>
      </c>
      <c r="AW195" s="5">
        <f t="shared" si="477"/>
        <v>1.4842023378318576</v>
      </c>
      <c r="AX195" s="5">
        <f t="shared" si="478"/>
        <v>21.026199785951317</v>
      </c>
      <c r="AY195" s="5">
        <f t="shared" si="479"/>
        <v>84.987005692576176</v>
      </c>
      <c r="AZ195" s="5"/>
      <c r="BA195" s="150">
        <f t="shared" si="480"/>
        <v>14.168706484456603</v>
      </c>
      <c r="BB195" s="150">
        <f t="shared" si="481"/>
        <v>0.68041164605395532</v>
      </c>
      <c r="BC195" s="150">
        <f t="shared" si="482"/>
        <v>0.64726659344287107</v>
      </c>
      <c r="BD195" s="150"/>
      <c r="BE195" s="456">
        <f t="shared" si="483"/>
        <v>0.68255762770512074</v>
      </c>
      <c r="BF195" s="456">
        <f t="shared" si="528"/>
        <v>1.2135826640260148</v>
      </c>
      <c r="BG195" s="456">
        <f t="shared" si="529"/>
        <v>3.3349949489445585E-2</v>
      </c>
      <c r="BH195" s="456">
        <f t="shared" si="484"/>
        <v>1.7337628963179634E-2</v>
      </c>
      <c r="BI195">
        <f t="shared" si="485"/>
        <v>4.0020976717571486E-3</v>
      </c>
      <c r="BJ195" s="144">
        <f t="shared" si="600"/>
        <v>37.352047161202734</v>
      </c>
      <c r="BK195">
        <f t="shared" si="530"/>
        <v>2.5038286201560669</v>
      </c>
      <c r="BL195" s="144">
        <f t="shared" si="601"/>
        <v>1950.8299678555181</v>
      </c>
      <c r="BM195" s="150">
        <f t="shared" si="531"/>
        <v>0.94296874999999991</v>
      </c>
      <c r="BN195" s="150">
        <f t="shared" si="532"/>
        <v>0.94296874999999991</v>
      </c>
      <c r="BO195" s="456"/>
      <c r="BQ195" s="144">
        <f t="shared" si="486"/>
        <v>1885.9374999999998</v>
      </c>
      <c r="BR195" s="456">
        <f t="shared" si="487"/>
        <v>0.30112836516402386</v>
      </c>
      <c r="BS195" s="456">
        <f t="shared" si="488"/>
        <v>9.25920016171706E-2</v>
      </c>
      <c r="BT195" s="456">
        <f t="shared" si="489"/>
        <v>1.2568621289614168E-2</v>
      </c>
      <c r="BU195" s="456">
        <f t="shared" si="490"/>
        <v>22.294558147272468</v>
      </c>
      <c r="BV195" s="456"/>
      <c r="BW195" s="538">
        <f t="shared" si="533"/>
        <v>0.10144451247931471</v>
      </c>
      <c r="BX195" s="144">
        <f t="shared" si="607"/>
        <v>22802.291647822592</v>
      </c>
      <c r="BY195" s="150">
        <f t="shared" si="608"/>
        <v>26.639059115678108</v>
      </c>
      <c r="BZ195" s="5">
        <f t="shared" si="609"/>
        <v>77.349999999999994</v>
      </c>
      <c r="CA195" s="150">
        <f t="shared" si="610"/>
        <v>0.74382825133512698</v>
      </c>
      <c r="CB195" s="5">
        <f t="shared" si="611"/>
        <v>74.382825133512696</v>
      </c>
      <c r="CC195">
        <f t="shared" si="612"/>
        <v>85</v>
      </c>
      <c r="CE195" s="59">
        <f t="shared" si="534"/>
        <v>-50</v>
      </c>
      <c r="CF195">
        <f t="shared" si="535"/>
        <v>-50</v>
      </c>
      <c r="CG195" s="150">
        <f t="shared" si="536"/>
        <v>0.49840675206849377</v>
      </c>
      <c r="CH195" s="150">
        <f t="shared" si="537"/>
        <v>0.1350568335034627</v>
      </c>
      <c r="CI195" s="147">
        <v>85</v>
      </c>
      <c r="CJ195" s="188">
        <f t="shared" si="602"/>
        <v>0.42499999999999999</v>
      </c>
      <c r="CK195" s="188">
        <f t="shared" si="538"/>
        <v>0.42499999999999999</v>
      </c>
      <c r="CL195" s="188">
        <f t="shared" si="539"/>
        <v>72.25</v>
      </c>
      <c r="CM195" s="188">
        <f t="shared" si="540"/>
        <v>5.0999999999999996</v>
      </c>
      <c r="CN195" s="465">
        <f t="shared" si="541"/>
        <v>9</v>
      </c>
      <c r="CO195" s="379">
        <f t="shared" si="542"/>
        <v>8.625</v>
      </c>
      <c r="CP195" s="379">
        <f t="shared" si="543"/>
        <v>17.625</v>
      </c>
      <c r="CQ195" s="379"/>
      <c r="CR195" s="188">
        <f t="shared" si="544"/>
        <v>0.48674080410607357</v>
      </c>
      <c r="CS195" s="149">
        <f t="shared" si="545"/>
        <v>136.39440115060304</v>
      </c>
      <c r="CT195" s="149">
        <f t="shared" si="546"/>
        <v>9.6278400812190377</v>
      </c>
      <c r="CU195" s="188">
        <f t="shared" si="547"/>
        <v>0.80232000676825321</v>
      </c>
      <c r="CV195" s="188">
        <f t="shared" si="548"/>
        <v>11.366200095883586</v>
      </c>
      <c r="CW195" s="188">
        <f t="shared" si="549"/>
        <v>170</v>
      </c>
      <c r="CX195" s="188">
        <f t="shared" si="550"/>
        <v>35.314255028314783</v>
      </c>
      <c r="CY195" s="188">
        <f t="shared" si="551"/>
        <v>5.8857091713857974</v>
      </c>
      <c r="CZ195" s="188">
        <f t="shared" si="552"/>
        <v>6.1416095701417017</v>
      </c>
      <c r="DA195" s="172">
        <f t="shared" si="553"/>
        <v>220.21276595744678</v>
      </c>
      <c r="DB195" s="379">
        <f t="shared" si="554"/>
        <v>83.144050763969162</v>
      </c>
      <c r="DD195" s="188">
        <f t="shared" si="555"/>
        <v>13.333333333333336</v>
      </c>
      <c r="DE195" s="150">
        <f t="shared" si="556"/>
        <v>2.3188405797101459</v>
      </c>
      <c r="DF195" s="150">
        <f t="shared" si="557"/>
        <v>0.15898994622398885</v>
      </c>
      <c r="DG195" s="150"/>
      <c r="DH195" s="150">
        <f t="shared" si="558"/>
        <v>2.3188405797101455</v>
      </c>
      <c r="DI195" s="314">
        <f t="shared" si="559"/>
        <v>588.65624999999977</v>
      </c>
      <c r="DJ195" s="456">
        <f t="shared" si="560"/>
        <v>0.15898994622398879</v>
      </c>
      <c r="DL195" s="150">
        <f t="shared" si="561"/>
        <v>17.165857586111642</v>
      </c>
      <c r="DM195" s="150">
        <f t="shared" si="562"/>
        <v>35.314255028314783</v>
      </c>
      <c r="DN195" s="150">
        <f t="shared" si="563"/>
        <v>17.482164218504774</v>
      </c>
      <c r="DP195" s="314">
        <f t="shared" si="564"/>
        <v>425</v>
      </c>
      <c r="DQ195" s="144">
        <f t="shared" si="565"/>
        <v>83.144050763969162</v>
      </c>
      <c r="DS195">
        <f t="shared" si="614"/>
        <v>425</v>
      </c>
      <c r="DT195">
        <f t="shared" si="615"/>
        <v>83.144050763969162</v>
      </c>
      <c r="DV195" s="5">
        <f t="shared" si="568"/>
        <v>12.027318741527498</v>
      </c>
      <c r="DW195" s="5">
        <f t="shared" si="569"/>
        <v>5.8857091713857974</v>
      </c>
      <c r="DX195" s="5">
        <f t="shared" si="570"/>
        <v>6.1416095701417008</v>
      </c>
      <c r="DY195" s="150">
        <f t="shared" si="571"/>
        <v>0.48936170212765961</v>
      </c>
      <c r="EA195" s="5">
        <f t="shared" si="572"/>
        <v>1.4714272928464494</v>
      </c>
      <c r="EB195" s="5">
        <f t="shared" si="573"/>
        <v>20.845219981991367</v>
      </c>
      <c r="EC195" s="5">
        <f t="shared" si="574"/>
        <v>82.17246137828478</v>
      </c>
      <c r="ED195" s="5"/>
      <c r="EE195" s="150">
        <f t="shared" si="575"/>
        <v>14.262787466092306</v>
      </c>
      <c r="EF195" s="150">
        <f t="shared" si="576"/>
        <v>0.68044597785064831</v>
      </c>
      <c r="EG195" s="150">
        <f t="shared" si="577"/>
        <v>0.64729925282667378</v>
      </c>
      <c r="EH195" s="150"/>
      <c r="EI195" s="456">
        <f t="shared" si="578"/>
        <v>0.69165216142992725</v>
      </c>
      <c r="EJ195" s="456">
        <f t="shared" si="579"/>
        <v>1.5732000000000002</v>
      </c>
      <c r="EK195" s="456">
        <f t="shared" si="580"/>
        <v>1.9039987624948938E-2</v>
      </c>
      <c r="EL195" s="456">
        <f t="shared" si="581"/>
        <v>1.769212512763051E-2</v>
      </c>
      <c r="EM195">
        <f t="shared" si="582"/>
        <v>4.0499999999999998E-3</v>
      </c>
      <c r="EN195" s="144">
        <f t="shared" si="583"/>
        <v>23.08998762494894</v>
      </c>
      <c r="EP195" s="144">
        <f t="shared" si="603"/>
        <v>2305.6342741825065</v>
      </c>
      <c r="EQ195" s="150">
        <f t="shared" si="584"/>
        <v>1.0625</v>
      </c>
      <c r="ER195" s="150">
        <f t="shared" si="585"/>
        <v>0.30175000000000002</v>
      </c>
      <c r="ES195" s="456"/>
      <c r="EU195" s="144">
        <f t="shared" si="497"/>
        <v>1364.25</v>
      </c>
      <c r="EV195" s="456">
        <f t="shared" si="586"/>
        <v>0.30514065945437968</v>
      </c>
      <c r="EW195" s="456">
        <f t="shared" si="587"/>
        <v>9.2601345754625003E-2</v>
      </c>
      <c r="EX195" s="456">
        <f t="shared" si="588"/>
        <v>1.2569889681299103E-2</v>
      </c>
      <c r="EY195" s="456">
        <f t="shared" si="589"/>
        <v>23.357323485002272</v>
      </c>
      <c r="EZ195" s="456"/>
      <c r="FA195" s="538">
        <f t="shared" si="590"/>
        <v>0.10368866370015831</v>
      </c>
      <c r="FB195" s="144">
        <f t="shared" si="613"/>
        <v>23871.324043592733</v>
      </c>
      <c r="FC195" s="150">
        <f t="shared" si="591"/>
        <v>27.54120831777524</v>
      </c>
      <c r="FD195" s="5">
        <f t="shared" si="592"/>
        <v>77.349999999999994</v>
      </c>
      <c r="FE195" s="150">
        <f t="shared" si="593"/>
        <v>0.7374307269457967</v>
      </c>
      <c r="FF195" s="5">
        <f t="shared" si="594"/>
        <v>73.743072694579666</v>
      </c>
      <c r="FG195">
        <f t="shared" si="595"/>
        <v>85</v>
      </c>
      <c r="FI195" s="59">
        <f t="shared" si="596"/>
        <v>-50</v>
      </c>
      <c r="FJ195">
        <f t="shared" si="597"/>
        <v>-50</v>
      </c>
    </row>
    <row r="196" spans="5:166">
      <c r="E196" s="147">
        <v>86</v>
      </c>
      <c r="F196" s="188">
        <f t="shared" si="598"/>
        <v>0.43</v>
      </c>
      <c r="G196" s="188">
        <f t="shared" si="499"/>
        <v>0.43</v>
      </c>
      <c r="H196" s="188">
        <f t="shared" si="500"/>
        <v>73.099999999999994</v>
      </c>
      <c r="I196" s="188">
        <f t="shared" si="501"/>
        <v>5.16</v>
      </c>
      <c r="J196" s="465">
        <f t="shared" si="502"/>
        <v>8.8922980332317607</v>
      </c>
      <c r="K196" s="379">
        <f t="shared" si="503"/>
        <v>8.6893609255971285</v>
      </c>
      <c r="L196" s="149">
        <f t="shared" si="504"/>
        <v>17.581658958828889</v>
      </c>
      <c r="M196" s="379"/>
      <c r="N196" s="188">
        <f t="shared" si="505"/>
        <v>0.49422872699015913</v>
      </c>
      <c r="O196" s="149">
        <f t="shared" si="506"/>
        <v>136.8353394298185</v>
      </c>
      <c r="P196" s="149">
        <f t="shared" si="507"/>
        <v>9.6589651362224824</v>
      </c>
      <c r="Q196" s="188">
        <f t="shared" si="508"/>
        <v>0.80491376135187354</v>
      </c>
      <c r="R196" s="188">
        <f t="shared" si="509"/>
        <v>11.402944952484875</v>
      </c>
      <c r="S196" s="188">
        <f t="shared" si="510"/>
        <v>170</v>
      </c>
      <c r="T196" s="188">
        <f t="shared" si="511"/>
        <v>35.614581391328507</v>
      </c>
      <c r="U196" s="188">
        <f t="shared" si="512"/>
        <v>6.0076565008671281</v>
      </c>
      <c r="V196" s="188">
        <f t="shared" si="513"/>
        <v>6.1479633018376019</v>
      </c>
      <c r="W196" s="172">
        <f t="shared" si="514"/>
        <v>219.74145684906142</v>
      </c>
      <c r="X196" s="379">
        <f t="shared" si="599"/>
        <v>80.934830948836179</v>
      </c>
      <c r="Z196" s="188">
        <f t="shared" si="515"/>
        <v>13.333333333333334</v>
      </c>
      <c r="AA196" s="150">
        <f t="shared" si="516"/>
        <v>2.3016652399699478</v>
      </c>
      <c r="AB196" s="150">
        <f t="shared" si="517"/>
        <v>0.1574745721825512</v>
      </c>
      <c r="AC196" s="150"/>
      <c r="AD196" s="150">
        <f t="shared" si="518"/>
        <v>2.3016652399699478</v>
      </c>
      <c r="AE196" s="314">
        <f t="shared" si="519"/>
        <v>600.02592885638035</v>
      </c>
      <c r="AF196" s="456">
        <f t="shared" si="520"/>
        <v>0.1574745721825512</v>
      </c>
      <c r="AH196" s="150">
        <f t="shared" si="521"/>
        <v>17.266537966058316</v>
      </c>
      <c r="AI196" s="150">
        <f t="shared" si="522"/>
        <v>35.614581391328507</v>
      </c>
      <c r="AJ196" s="150">
        <f t="shared" si="523"/>
        <v>17.704628191107535</v>
      </c>
      <c r="AL196" s="314">
        <f t="shared" si="524"/>
        <v>430</v>
      </c>
      <c r="AM196" s="144">
        <f t="shared" si="525"/>
        <v>80.934830948836179</v>
      </c>
      <c r="AO196">
        <f t="shared" si="526"/>
        <v>430</v>
      </c>
      <c r="AP196">
        <f t="shared" si="527"/>
        <v>80.934830948836179</v>
      </c>
      <c r="AR196" s="5">
        <f t="shared" si="443"/>
        <v>12.35561980270473</v>
      </c>
      <c r="AS196" s="5">
        <f t="shared" si="604"/>
        <v>6.0076565008671281</v>
      </c>
      <c r="AT196" s="5">
        <f t="shared" si="605"/>
        <v>6.347963301837602</v>
      </c>
      <c r="AU196" s="150">
        <f t="shared" si="606"/>
        <v>0.48622866329635772</v>
      </c>
      <c r="AW196" s="5">
        <f t="shared" si="477"/>
        <v>1.5195837031605088</v>
      </c>
      <c r="AX196" s="5">
        <f t="shared" si="478"/>
        <v>21.527435794773876</v>
      </c>
      <c r="AY196" s="5">
        <f t="shared" si="479"/>
        <v>86.973415201589958</v>
      </c>
      <c r="AZ196" s="5"/>
      <c r="BA196" s="150">
        <f t="shared" si="480"/>
        <v>14.337964317308813</v>
      </c>
      <c r="BB196" s="150">
        <f t="shared" si="481"/>
        <v>0.68833474208803436</v>
      </c>
      <c r="BC196" s="150">
        <f t="shared" si="482"/>
        <v>0.6548037298355841</v>
      </c>
      <c r="BD196" s="150"/>
      <c r="BE196" s="456">
        <f t="shared" si="483"/>
        <v>0.69896255059903067</v>
      </c>
      <c r="BF196" s="456">
        <f t="shared" si="528"/>
        <v>1.2137484192520187</v>
      </c>
      <c r="BG196" s="456">
        <f t="shared" si="529"/>
        <v>3.2962106023435668E-2</v>
      </c>
      <c r="BH196" s="456">
        <f t="shared" si="484"/>
        <v>1.7137431761915903E-2</v>
      </c>
      <c r="BI196">
        <f t="shared" si="485"/>
        <v>4.0015341149542919E-3</v>
      </c>
      <c r="BJ196" s="144">
        <f t="shared" si="600"/>
        <v>36.963640138389955</v>
      </c>
      <c r="BK196">
        <f t="shared" si="530"/>
        <v>2.5404736453540915</v>
      </c>
      <c r="BL196" s="144">
        <f t="shared" si="601"/>
        <v>1966.8120417513553</v>
      </c>
      <c r="BM196" s="150">
        <f t="shared" si="531"/>
        <v>0.95406249999999992</v>
      </c>
      <c r="BN196" s="150">
        <f t="shared" si="532"/>
        <v>0.95406249999999992</v>
      </c>
      <c r="BO196" s="456"/>
      <c r="BQ196" s="144">
        <f t="shared" si="486"/>
        <v>1908.1249999999998</v>
      </c>
      <c r="BR196" s="456">
        <f t="shared" si="487"/>
        <v>0.30836583114663119</v>
      </c>
      <c r="BS196" s="456">
        <f t="shared" si="488"/>
        <v>9.4760943433080169E-2</v>
      </c>
      <c r="BT196" s="456">
        <f t="shared" si="489"/>
        <v>1.2863037738197778E-2</v>
      </c>
      <c r="BU196" s="456">
        <f t="shared" si="490"/>
        <v>22.303769816143173</v>
      </c>
      <c r="BV196" s="456"/>
      <c r="BW196" s="538">
        <f t="shared" si="533"/>
        <v>0.10265761070131842</v>
      </c>
      <c r="BX196" s="144">
        <f t="shared" si="607"/>
        <v>22822.417239162402</v>
      </c>
      <c r="BY196" s="150">
        <f t="shared" si="608"/>
        <v>26.697354280913753</v>
      </c>
      <c r="BZ196" s="5">
        <f t="shared" si="609"/>
        <v>78.259999999999991</v>
      </c>
      <c r="CA196" s="150">
        <f t="shared" si="610"/>
        <v>0.74563617324556919</v>
      </c>
      <c r="CB196" s="5">
        <f t="shared" si="611"/>
        <v>74.563617324556915</v>
      </c>
      <c r="CC196">
        <f t="shared" si="612"/>
        <v>86</v>
      </c>
      <c r="CE196" s="59">
        <f t="shared" si="534"/>
        <v>-50</v>
      </c>
      <c r="CF196">
        <f t="shared" si="535"/>
        <v>-50</v>
      </c>
      <c r="CG196" s="150">
        <f t="shared" si="536"/>
        <v>0.49840675206849377</v>
      </c>
      <c r="CH196" s="150">
        <f t="shared" si="537"/>
        <v>0.1350568335034627</v>
      </c>
      <c r="CI196" s="147">
        <v>86</v>
      </c>
      <c r="CJ196" s="188">
        <f t="shared" si="602"/>
        <v>0.43</v>
      </c>
      <c r="CK196" s="188">
        <f t="shared" si="538"/>
        <v>0.43</v>
      </c>
      <c r="CL196" s="188">
        <f t="shared" si="539"/>
        <v>73.099999999999994</v>
      </c>
      <c r="CM196" s="188">
        <f t="shared" si="540"/>
        <v>5.16</v>
      </c>
      <c r="CN196" s="465">
        <f t="shared" si="541"/>
        <v>9</v>
      </c>
      <c r="CO196" s="379">
        <f t="shared" si="542"/>
        <v>8.625</v>
      </c>
      <c r="CP196" s="379">
        <f t="shared" si="543"/>
        <v>17.625</v>
      </c>
      <c r="CQ196" s="379"/>
      <c r="CR196" s="188">
        <f t="shared" si="544"/>
        <v>0.48674080410607357</v>
      </c>
      <c r="CS196" s="149">
        <f t="shared" si="545"/>
        <v>136.39440115060304</v>
      </c>
      <c r="CT196" s="149">
        <f t="shared" si="546"/>
        <v>9.6278400812190377</v>
      </c>
      <c r="CU196" s="188">
        <f t="shared" si="547"/>
        <v>0.80232000676825321</v>
      </c>
      <c r="CV196" s="188">
        <f t="shared" si="548"/>
        <v>11.366200095883586</v>
      </c>
      <c r="CW196" s="188">
        <f t="shared" si="549"/>
        <v>170</v>
      </c>
      <c r="CX196" s="188">
        <f t="shared" si="550"/>
        <v>35.729716852177305</v>
      </c>
      <c r="CY196" s="188">
        <f t="shared" si="551"/>
        <v>5.9549528086962171</v>
      </c>
      <c r="CZ196" s="188">
        <f t="shared" si="552"/>
        <v>6.2138638003786619</v>
      </c>
      <c r="DA196" s="172">
        <f t="shared" si="553"/>
        <v>220.21276595744678</v>
      </c>
      <c r="DB196" s="379">
        <f t="shared" si="554"/>
        <v>82.177259476016047</v>
      </c>
      <c r="DD196" s="188">
        <f t="shared" si="555"/>
        <v>13.333333333333336</v>
      </c>
      <c r="DE196" s="150">
        <f t="shared" si="556"/>
        <v>2.3188405797101459</v>
      </c>
      <c r="DF196" s="150">
        <f t="shared" si="557"/>
        <v>0.15898994622398885</v>
      </c>
      <c r="DG196" s="150"/>
      <c r="DH196" s="150">
        <f t="shared" si="558"/>
        <v>2.3188405797101455</v>
      </c>
      <c r="DI196" s="314">
        <f t="shared" si="559"/>
        <v>595.58161764705858</v>
      </c>
      <c r="DJ196" s="456">
        <f t="shared" si="560"/>
        <v>0.15898994622398879</v>
      </c>
      <c r="DL196" s="150">
        <f t="shared" si="561"/>
        <v>17.266537966058316</v>
      </c>
      <c r="DM196" s="150">
        <f t="shared" si="562"/>
        <v>35.729716852177305</v>
      </c>
      <c r="DN196" s="150">
        <f t="shared" si="563"/>
        <v>17.789913717662198</v>
      </c>
      <c r="DP196" s="314">
        <f t="shared" si="564"/>
        <v>430</v>
      </c>
      <c r="DQ196" s="144">
        <f t="shared" si="565"/>
        <v>82.177259476016047</v>
      </c>
      <c r="DS196">
        <f t="shared" si="614"/>
        <v>430</v>
      </c>
      <c r="DT196">
        <f t="shared" si="615"/>
        <v>82.177259476016047</v>
      </c>
      <c r="DV196" s="5">
        <f t="shared" si="568"/>
        <v>12.168816609074877</v>
      </c>
      <c r="DW196" s="5">
        <f t="shared" si="569"/>
        <v>5.9549528086962171</v>
      </c>
      <c r="DX196" s="5">
        <f t="shared" si="570"/>
        <v>6.2138638003786602</v>
      </c>
      <c r="DY196" s="150">
        <f t="shared" si="571"/>
        <v>0.48936170212765961</v>
      </c>
      <c r="EA196" s="5">
        <f t="shared" si="572"/>
        <v>1.5062527692584549</v>
      </c>
      <c r="EB196" s="5">
        <f t="shared" si="573"/>
        <v>21.338580897828109</v>
      </c>
      <c r="EC196" s="5">
        <f t="shared" si="574"/>
        <v>84.117304408829625</v>
      </c>
      <c r="ED196" s="5"/>
      <c r="EE196" s="150">
        <f t="shared" si="575"/>
        <v>14.43058496569339</v>
      </c>
      <c r="EF196" s="150">
        <f t="shared" si="576"/>
        <v>0.68845122464889119</v>
      </c>
      <c r="EG196" s="150">
        <f t="shared" si="577"/>
        <v>0.65491453815404632</v>
      </c>
      <c r="EH196" s="150"/>
      <c r="EI196" s="456">
        <f t="shared" si="578"/>
        <v>0.70802206033712667</v>
      </c>
      <c r="EJ196" s="456">
        <f t="shared" si="579"/>
        <v>1.5732000000000004</v>
      </c>
      <c r="EK196" s="456">
        <f t="shared" si="580"/>
        <v>1.8818592420007673E-2</v>
      </c>
      <c r="EL196" s="456">
        <f t="shared" si="581"/>
        <v>1.7486402742425508E-2</v>
      </c>
      <c r="EM196">
        <f t="shared" si="582"/>
        <v>4.0499999999999998E-3</v>
      </c>
      <c r="EN196" s="144">
        <f t="shared" si="583"/>
        <v>22.868592420007676</v>
      </c>
      <c r="EP196" s="144">
        <f t="shared" si="603"/>
        <v>2321.5770554995602</v>
      </c>
      <c r="EQ196" s="150">
        <f t="shared" si="584"/>
        <v>1.075</v>
      </c>
      <c r="ER196" s="150">
        <f t="shared" si="585"/>
        <v>0.30530000000000002</v>
      </c>
      <c r="ES196" s="456"/>
      <c r="EU196" s="144">
        <f t="shared" si="497"/>
        <v>1380.3000000000002</v>
      </c>
      <c r="EV196" s="456">
        <f t="shared" si="586"/>
        <v>0.31236267367814413</v>
      </c>
      <c r="EW196" s="456">
        <f t="shared" si="587"/>
        <v>9.4793017744111613E-2</v>
      </c>
      <c r="EX196" s="456">
        <f t="shared" si="588"/>
        <v>1.2867391568565834E-2</v>
      </c>
      <c r="EY196" s="456">
        <f t="shared" si="589"/>
        <v>23.357323485002318</v>
      </c>
      <c r="EZ196" s="456"/>
      <c r="FA196" s="538">
        <f t="shared" si="590"/>
        <v>0.10490853033192486</v>
      </c>
      <c r="FB196" s="144">
        <f t="shared" si="613"/>
        <v>23882.255098325066</v>
      </c>
      <c r="FC196" s="150">
        <f t="shared" si="591"/>
        <v>27.584132153824626</v>
      </c>
      <c r="FD196" s="5">
        <f t="shared" si="592"/>
        <v>78.259999999999991</v>
      </c>
      <c r="FE196" s="150">
        <f t="shared" si="593"/>
        <v>0.73938912254732969</v>
      </c>
      <c r="FF196" s="5">
        <f t="shared" si="594"/>
        <v>73.938912254732969</v>
      </c>
      <c r="FG196">
        <f t="shared" si="595"/>
        <v>86</v>
      </c>
      <c r="FI196" s="59">
        <f t="shared" si="596"/>
        <v>-50</v>
      </c>
      <c r="FJ196">
        <f t="shared" si="597"/>
        <v>-50</v>
      </c>
    </row>
    <row r="197" spans="5:166">
      <c r="E197" s="147">
        <v>87</v>
      </c>
      <c r="F197" s="188">
        <f t="shared" si="598"/>
        <v>0.435</v>
      </c>
      <c r="G197" s="188">
        <f t="shared" si="499"/>
        <v>0.435</v>
      </c>
      <c r="H197" s="188">
        <f t="shared" si="500"/>
        <v>73.95</v>
      </c>
      <c r="I197" s="188">
        <f t="shared" si="501"/>
        <v>5.22</v>
      </c>
      <c r="J197" s="465">
        <f t="shared" si="502"/>
        <v>8.8910456847809662</v>
      </c>
      <c r="K197" s="379">
        <f t="shared" si="503"/>
        <v>8.6901093084529091</v>
      </c>
      <c r="L197" s="149">
        <f t="shared" si="504"/>
        <v>17.581154993233874</v>
      </c>
      <c r="M197" s="379"/>
      <c r="N197" s="188">
        <f t="shared" si="505"/>
        <v>0.49428546143852931</v>
      </c>
      <c r="O197" s="149">
        <f t="shared" si="506"/>
        <v>136.83177385080785</v>
      </c>
      <c r="P197" s="149">
        <f t="shared" si="507"/>
        <v>9.6587134482923194</v>
      </c>
      <c r="Q197" s="188">
        <f t="shared" si="508"/>
        <v>0.80489278735769321</v>
      </c>
      <c r="R197" s="188">
        <f t="shared" si="509"/>
        <v>11.402647820900654</v>
      </c>
      <c r="S197" s="188">
        <f t="shared" si="510"/>
        <v>170</v>
      </c>
      <c r="T197" s="188">
        <f t="shared" si="511"/>
        <v>36.029643271126048</v>
      </c>
      <c r="U197" s="188">
        <f t="shared" si="512"/>
        <v>6.0785274109206737</v>
      </c>
      <c r="V197" s="188">
        <f t="shared" si="513"/>
        <v>6.2190776880239902</v>
      </c>
      <c r="W197" s="172">
        <f t="shared" si="514"/>
        <v>219.73573094865023</v>
      </c>
      <c r="X197" s="379">
        <f t="shared" si="599"/>
        <v>80.015330303919043</v>
      </c>
      <c r="Z197" s="188">
        <f t="shared" si="515"/>
        <v>13.333333333333334</v>
      </c>
      <c r="AA197" s="150">
        <f t="shared" si="516"/>
        <v>2.3014670230380081</v>
      </c>
      <c r="AB197" s="150">
        <f t="shared" si="517"/>
        <v>0.15745690761071435</v>
      </c>
      <c r="AC197" s="150"/>
      <c r="AD197" s="150">
        <f t="shared" si="518"/>
        <v>2.3014670230380081</v>
      </c>
      <c r="AE197" s="314">
        <f t="shared" si="519"/>
        <v>607.05525348548531</v>
      </c>
      <c r="AF197" s="456">
        <f t="shared" si="520"/>
        <v>0.15745690761071435</v>
      </c>
      <c r="AH197" s="150">
        <f t="shared" si="521"/>
        <v>17.366634676873925</v>
      </c>
      <c r="AI197" s="150">
        <f t="shared" si="522"/>
        <v>36.029643271126048</v>
      </c>
      <c r="AJ197" s="150">
        <f t="shared" si="523"/>
        <v>18.012081435402006</v>
      </c>
      <c r="AL197" s="314">
        <f t="shared" si="524"/>
        <v>435</v>
      </c>
      <c r="AM197" s="144">
        <f t="shared" si="525"/>
        <v>80.015330303919043</v>
      </c>
      <c r="AO197">
        <f t="shared" si="526"/>
        <v>435</v>
      </c>
      <c r="AP197">
        <f t="shared" si="527"/>
        <v>80.015330303919043</v>
      </c>
      <c r="AR197" s="5">
        <f t="shared" si="443"/>
        <v>12.497605098944662</v>
      </c>
      <c r="AS197" s="5">
        <f t="shared" si="604"/>
        <v>6.0785274109206737</v>
      </c>
      <c r="AT197" s="5">
        <f t="shared" si="605"/>
        <v>6.4190776880239886</v>
      </c>
      <c r="AU197" s="150">
        <f t="shared" si="606"/>
        <v>0.48637537854624358</v>
      </c>
      <c r="AW197" s="5">
        <f t="shared" si="477"/>
        <v>1.5553878963238195</v>
      </c>
      <c r="AX197" s="5">
        <f t="shared" si="478"/>
        <v>22.034661864587445</v>
      </c>
      <c r="AY197" s="5">
        <f t="shared" si="479"/>
        <v>88.982933290196769</v>
      </c>
      <c r="AZ197" s="5"/>
      <c r="BA197" s="150">
        <f t="shared" si="480"/>
        <v>14.507251020379636</v>
      </c>
      <c r="BB197" s="150">
        <f t="shared" si="481"/>
        <v>0.69625734495996405</v>
      </c>
      <c r="BC197" s="150">
        <f t="shared" si="482"/>
        <v>0.66234039708967163</v>
      </c>
      <c r="BD197" s="150"/>
      <c r="BE197" s="456">
        <f t="shared" si="483"/>
        <v>0.71556512937224037</v>
      </c>
      <c r="BF197" s="456">
        <f t="shared" si="528"/>
        <v>1.21390887034511</v>
      </c>
      <c r="BG197" s="456">
        <f t="shared" si="529"/>
        <v>3.2583034040446227E-2</v>
      </c>
      <c r="BH197" s="456">
        <f t="shared" si="484"/>
        <v>1.6941762104622449E-2</v>
      </c>
      <c r="BI197">
        <f t="shared" si="485"/>
        <v>4.0009705581514343E-3</v>
      </c>
      <c r="BJ197" s="144">
        <f t="shared" si="600"/>
        <v>36.584004598597659</v>
      </c>
      <c r="BK197">
        <f t="shared" si="530"/>
        <v>2.5779101896240451</v>
      </c>
      <c r="BL197" s="144">
        <f t="shared" si="601"/>
        <v>1982.9997664205705</v>
      </c>
      <c r="BM197" s="150">
        <f t="shared" si="531"/>
        <v>0.96515624999999983</v>
      </c>
      <c r="BN197" s="150">
        <f t="shared" si="532"/>
        <v>0.96515624999999983</v>
      </c>
      <c r="BO197" s="456"/>
      <c r="BQ197" s="144">
        <f t="shared" si="486"/>
        <v>1930.3124999999995</v>
      </c>
      <c r="BR197" s="456">
        <f t="shared" si="487"/>
        <v>0.31569049825245898</v>
      </c>
      <c r="BS197" s="456">
        <f t="shared" si="488"/>
        <v>9.6954858082139675E-2</v>
      </c>
      <c r="BT197" s="456">
        <f t="shared" si="489"/>
        <v>1.3160844048507116E-2</v>
      </c>
      <c r="BU197" s="456">
        <f t="shared" si="490"/>
        <v>22.312740558913802</v>
      </c>
      <c r="BV197" s="456"/>
      <c r="BW197" s="538">
        <f t="shared" si="533"/>
        <v>0.10387071634662366</v>
      </c>
      <c r="BX197" s="144">
        <f t="shared" si="607"/>
        <v>22842.417475643531</v>
      </c>
      <c r="BY197" s="150">
        <f t="shared" si="608"/>
        <v>26.755729742064101</v>
      </c>
      <c r="BZ197" s="5">
        <f t="shared" si="609"/>
        <v>79.17</v>
      </c>
      <c r="CA197" s="150">
        <f t="shared" si="610"/>
        <v>0.74741047517712633</v>
      </c>
      <c r="CB197" s="5">
        <f t="shared" si="611"/>
        <v>74.74104751771263</v>
      </c>
      <c r="CC197">
        <f t="shared" si="612"/>
        <v>87</v>
      </c>
      <c r="CE197" s="59">
        <f t="shared" si="534"/>
        <v>-50</v>
      </c>
      <c r="CF197">
        <f t="shared" si="535"/>
        <v>-50</v>
      </c>
      <c r="CG197" s="150">
        <f t="shared" si="536"/>
        <v>0.49840675206849377</v>
      </c>
      <c r="CH197" s="150">
        <f t="shared" si="537"/>
        <v>0.13505683350346268</v>
      </c>
      <c r="CI197" s="147">
        <v>87</v>
      </c>
      <c r="CJ197" s="188">
        <f t="shared" si="602"/>
        <v>0.435</v>
      </c>
      <c r="CK197" s="188">
        <f t="shared" si="538"/>
        <v>0.435</v>
      </c>
      <c r="CL197" s="188">
        <f t="shared" si="539"/>
        <v>73.95</v>
      </c>
      <c r="CM197" s="188">
        <f t="shared" si="540"/>
        <v>5.22</v>
      </c>
      <c r="CN197" s="465">
        <f t="shared" si="541"/>
        <v>9</v>
      </c>
      <c r="CO197" s="379">
        <f t="shared" si="542"/>
        <v>8.625</v>
      </c>
      <c r="CP197" s="379">
        <f t="shared" si="543"/>
        <v>17.625</v>
      </c>
      <c r="CQ197" s="379"/>
      <c r="CR197" s="188">
        <f t="shared" si="544"/>
        <v>0.48674080410607357</v>
      </c>
      <c r="CS197" s="149">
        <f t="shared" si="545"/>
        <v>136.39440115060304</v>
      </c>
      <c r="CT197" s="149">
        <f t="shared" si="546"/>
        <v>9.6278400812190377</v>
      </c>
      <c r="CU197" s="188">
        <f t="shared" si="547"/>
        <v>0.80232000676825321</v>
      </c>
      <c r="CV197" s="188">
        <f t="shared" si="548"/>
        <v>11.366200095883586</v>
      </c>
      <c r="CW197" s="188">
        <f t="shared" si="549"/>
        <v>170</v>
      </c>
      <c r="CX197" s="188">
        <f t="shared" si="550"/>
        <v>36.145178676039841</v>
      </c>
      <c r="CY197" s="188">
        <f t="shared" si="551"/>
        <v>6.0241964460066404</v>
      </c>
      <c r="CZ197" s="188">
        <f t="shared" si="552"/>
        <v>6.2861180306156248</v>
      </c>
      <c r="DA197" s="172">
        <f t="shared" si="553"/>
        <v>220.21276595744678</v>
      </c>
      <c r="DB197" s="379">
        <f t="shared" si="554"/>
        <v>81.232693275142267</v>
      </c>
      <c r="DD197" s="188">
        <f t="shared" si="555"/>
        <v>13.333333333333336</v>
      </c>
      <c r="DE197" s="150">
        <f t="shared" si="556"/>
        <v>2.3188405797101459</v>
      </c>
      <c r="DF197" s="150">
        <f t="shared" si="557"/>
        <v>0.15898994622398885</v>
      </c>
      <c r="DG197" s="150"/>
      <c r="DH197" s="150">
        <f t="shared" si="558"/>
        <v>2.3188405797101455</v>
      </c>
      <c r="DI197" s="314">
        <f t="shared" si="559"/>
        <v>602.50698529411738</v>
      </c>
      <c r="DJ197" s="456">
        <f t="shared" si="560"/>
        <v>0.15898994622398879</v>
      </c>
      <c r="DL197" s="150">
        <f t="shared" si="561"/>
        <v>17.366634676873925</v>
      </c>
      <c r="DM197" s="150">
        <f t="shared" si="562"/>
        <v>36.145178676039841</v>
      </c>
      <c r="DN197" s="150">
        <f t="shared" si="563"/>
        <v>18.097663216819633</v>
      </c>
      <c r="DP197" s="314">
        <f t="shared" si="564"/>
        <v>435</v>
      </c>
      <c r="DQ197" s="144">
        <f t="shared" si="565"/>
        <v>81.232693275142267</v>
      </c>
      <c r="DS197">
        <f t="shared" si="614"/>
        <v>435</v>
      </c>
      <c r="DT197">
        <f t="shared" si="615"/>
        <v>81.232693275142267</v>
      </c>
      <c r="DV197" s="5">
        <f t="shared" si="568"/>
        <v>12.310314476622265</v>
      </c>
      <c r="DW197" s="5">
        <f t="shared" si="569"/>
        <v>6.0241964460066404</v>
      </c>
      <c r="DX197" s="5">
        <f t="shared" si="570"/>
        <v>6.2861180306156248</v>
      </c>
      <c r="DY197" s="150">
        <f t="shared" si="571"/>
        <v>0.48936170212765956</v>
      </c>
      <c r="EA197" s="5">
        <f t="shared" si="572"/>
        <v>1.5414855611840519</v>
      </c>
      <c r="EB197" s="5">
        <f t="shared" si="573"/>
        <v>21.837712116774068</v>
      </c>
      <c r="EC197" s="5">
        <f t="shared" si="574"/>
        <v>86.084894141486174</v>
      </c>
      <c r="ED197" s="5"/>
      <c r="EE197" s="150">
        <f t="shared" si="575"/>
        <v>14.598382465294478</v>
      </c>
      <c r="EF197" s="150">
        <f t="shared" si="576"/>
        <v>0.69645647144713441</v>
      </c>
      <c r="EG197" s="150">
        <f t="shared" si="577"/>
        <v>0.6625298234814192</v>
      </c>
      <c r="EH197" s="150"/>
      <c r="EI197" s="456">
        <f t="shared" si="578"/>
        <v>0.72458342005025866</v>
      </c>
      <c r="EJ197" s="456">
        <f t="shared" si="579"/>
        <v>1.5731999999999997</v>
      </c>
      <c r="EK197" s="456">
        <f t="shared" si="580"/>
        <v>1.8602286760007577E-2</v>
      </c>
      <c r="EL197" s="456">
        <f t="shared" si="581"/>
        <v>1.7285409607455091E-2</v>
      </c>
      <c r="EM197">
        <f t="shared" si="582"/>
        <v>4.0499999999999998E-3</v>
      </c>
      <c r="EN197" s="144">
        <f t="shared" si="583"/>
        <v>22.652286760007577</v>
      </c>
      <c r="EP197" s="144">
        <f t="shared" si="603"/>
        <v>2337.7211164177215</v>
      </c>
      <c r="EQ197" s="150">
        <f t="shared" si="584"/>
        <v>1.0874999999999999</v>
      </c>
      <c r="ER197" s="150">
        <f t="shared" si="585"/>
        <v>0.30885000000000001</v>
      </c>
      <c r="ES197" s="456"/>
      <c r="EU197" s="144">
        <f t="shared" si="497"/>
        <v>1396.35</v>
      </c>
      <c r="EV197" s="456">
        <f t="shared" si="586"/>
        <v>0.31966915590452594</v>
      </c>
      <c r="EW197" s="456">
        <f t="shared" si="587"/>
        <v>9.701032332411863E-2</v>
      </c>
      <c r="EX197" s="456">
        <f t="shared" si="588"/>
        <v>1.3168373010069614E-2</v>
      </c>
      <c r="EY197" s="456">
        <f t="shared" si="589"/>
        <v>23.357323485002318</v>
      </c>
      <c r="EZ197" s="456"/>
      <c r="FA197" s="538">
        <f t="shared" si="590"/>
        <v>0.10612839696369146</v>
      </c>
      <c r="FB197" s="144">
        <f t="shared" si="613"/>
        <v>23893.299734204724</v>
      </c>
      <c r="FC197" s="150">
        <f t="shared" si="591"/>
        <v>27.627370850622444</v>
      </c>
      <c r="FD197" s="5">
        <f t="shared" si="592"/>
        <v>79.17</v>
      </c>
      <c r="FE197" s="150">
        <f t="shared" si="593"/>
        <v>0.74131038404246052</v>
      </c>
      <c r="FF197" s="5">
        <f t="shared" si="594"/>
        <v>74.131038404246056</v>
      </c>
      <c r="FG197">
        <f t="shared" si="595"/>
        <v>87</v>
      </c>
      <c r="FI197" s="59">
        <f t="shared" si="596"/>
        <v>-50</v>
      </c>
      <c r="FJ197">
        <f t="shared" si="597"/>
        <v>-50</v>
      </c>
    </row>
    <row r="198" spans="5:166">
      <c r="E198" s="147">
        <v>88</v>
      </c>
      <c r="F198" s="188">
        <f t="shared" si="598"/>
        <v>0.44</v>
      </c>
      <c r="G198" s="188">
        <f t="shared" si="499"/>
        <v>0.44</v>
      </c>
      <c r="H198" s="188">
        <f t="shared" si="500"/>
        <v>74.8</v>
      </c>
      <c r="I198" s="188">
        <f t="shared" si="501"/>
        <v>5.28</v>
      </c>
      <c r="J198" s="465">
        <f t="shared" si="502"/>
        <v>8.8897933363301735</v>
      </c>
      <c r="K198" s="379">
        <f t="shared" si="503"/>
        <v>8.6908576913086915</v>
      </c>
      <c r="L198" s="149">
        <f t="shared" si="504"/>
        <v>17.580651027638865</v>
      </c>
      <c r="M198" s="379"/>
      <c r="N198" s="188">
        <f t="shared" si="505"/>
        <v>0.4943421991395901</v>
      </c>
      <c r="O198" s="149">
        <f t="shared" si="506"/>
        <v>136.82820474766456</v>
      </c>
      <c r="P198" s="149">
        <f t="shared" si="507"/>
        <v>9.6584615115998513</v>
      </c>
      <c r="Q198" s="188">
        <f t="shared" si="508"/>
        <v>0.80487179263332087</v>
      </c>
      <c r="R198" s="188">
        <f t="shared" si="509"/>
        <v>11.402350395638713</v>
      </c>
      <c r="S198" s="188">
        <f t="shared" si="510"/>
        <v>170</v>
      </c>
      <c r="T198" s="188">
        <f t="shared" si="511"/>
        <v>36.444727721619699</v>
      </c>
      <c r="U198" s="188">
        <f t="shared" si="512"/>
        <v>6.1494220972516844</v>
      </c>
      <c r="V198" s="188">
        <f t="shared" si="513"/>
        <v>6.2901837222693775</v>
      </c>
      <c r="W198" s="172">
        <f t="shared" si="514"/>
        <v>219.7299993888966</v>
      </c>
      <c r="X198" s="379">
        <f t="shared" si="599"/>
        <v>79.116391308308366</v>
      </c>
      <c r="Z198" s="188">
        <f t="shared" si="515"/>
        <v>13.333333333333334</v>
      </c>
      <c r="AA198" s="150">
        <f t="shared" si="516"/>
        <v>2.3012688402435857</v>
      </c>
      <c r="AB198" s="150">
        <f t="shared" si="517"/>
        <v>0.15743924202613496</v>
      </c>
      <c r="AC198" s="150"/>
      <c r="AD198" s="150">
        <f t="shared" si="518"/>
        <v>2.3012688402435857</v>
      </c>
      <c r="AE198" s="314">
        <f t="shared" si="519"/>
        <v>614.08577992941173</v>
      </c>
      <c r="AF198" s="456">
        <f t="shared" si="520"/>
        <v>0.15743924202613499</v>
      </c>
      <c r="AH198" s="150">
        <f t="shared" si="521"/>
        <v>17.466157753400335</v>
      </c>
      <c r="AI198" s="150">
        <f t="shared" si="522"/>
        <v>36.444727721619699</v>
      </c>
      <c r="AJ198" s="150">
        <f t="shared" si="523"/>
        <v>18.319551398730638</v>
      </c>
      <c r="AL198" s="314">
        <f t="shared" si="524"/>
        <v>440</v>
      </c>
      <c r="AM198" s="144">
        <f t="shared" si="525"/>
        <v>79.116391308308366</v>
      </c>
      <c r="AO198">
        <f t="shared" si="526"/>
        <v>440</v>
      </c>
      <c r="AP198">
        <f t="shared" si="527"/>
        <v>79.116391308308366</v>
      </c>
      <c r="AR198" s="5">
        <f t="shared" ref="AR198:AR262" si="616">1/AM198*1000</f>
        <v>12.639605819521062</v>
      </c>
      <c r="AS198" s="5">
        <f t="shared" si="604"/>
        <v>6.1494220972516844</v>
      </c>
      <c r="AT198" s="5">
        <f t="shared" si="605"/>
        <v>6.4901837222693777</v>
      </c>
      <c r="AU198" s="150">
        <f t="shared" si="606"/>
        <v>0.48652008496612259</v>
      </c>
      <c r="AW198" s="5">
        <f t="shared" si="477"/>
        <v>1.5916151310533773</v>
      </c>
      <c r="AX198" s="5">
        <f t="shared" si="478"/>
        <v>22.547881023256178</v>
      </c>
      <c r="AY198" s="5">
        <f t="shared" si="479"/>
        <v>91.015565840318345</v>
      </c>
      <c r="AZ198" s="5"/>
      <c r="BA198" s="150">
        <f t="shared" si="480"/>
        <v>14.676566596177844</v>
      </c>
      <c r="BB198" s="150">
        <f t="shared" si="481"/>
        <v>0.70417945603602672</v>
      </c>
      <c r="BC198" s="150">
        <f t="shared" si="482"/>
        <v>0.66987659650485987</v>
      </c>
      <c r="BD198" s="150"/>
      <c r="BE198" s="456">
        <f t="shared" si="483"/>
        <v>0.73236546397694724</v>
      </c>
      <c r="BF198" s="456">
        <f t="shared" si="528"/>
        <v>1.2140641942498958</v>
      </c>
      <c r="BG198" s="456">
        <f t="shared" si="529"/>
        <v>3.2212439265716736E-2</v>
      </c>
      <c r="BH198" s="456">
        <f t="shared" si="484"/>
        <v>1.6750468096371519E-2</v>
      </c>
      <c r="BI198">
        <f t="shared" si="485"/>
        <v>4.0004070013485776E-3</v>
      </c>
      <c r="BJ198" s="144">
        <f t="shared" si="600"/>
        <v>36.212846267065316</v>
      </c>
      <c r="BK198">
        <f t="shared" si="530"/>
        <v>2.616156238182779</v>
      </c>
      <c r="BL198" s="144">
        <f t="shared" si="601"/>
        <v>1999.3929725902799</v>
      </c>
      <c r="BM198" s="150">
        <f t="shared" si="531"/>
        <v>0.97625000000000006</v>
      </c>
      <c r="BN198" s="150">
        <f t="shared" si="532"/>
        <v>0.97625000000000006</v>
      </c>
      <c r="BO198" s="456"/>
      <c r="BQ198" s="144">
        <f t="shared" si="486"/>
        <v>1952.5000000000002</v>
      </c>
      <c r="BR198" s="456">
        <f t="shared" si="487"/>
        <v>0.32310241057806499</v>
      </c>
      <c r="BS198" s="456">
        <f t="shared" si="488"/>
        <v>9.9173741260638895E-2</v>
      </c>
      <c r="BT198" s="456">
        <f t="shared" si="489"/>
        <v>1.3462039636348044E-2</v>
      </c>
      <c r="BU198" s="456">
        <f t="shared" si="490"/>
        <v>22.321478311964874</v>
      </c>
      <c r="BV198" s="456"/>
      <c r="BW198" s="538">
        <f t="shared" si="533"/>
        <v>0.10508382916907484</v>
      </c>
      <c r="BX198" s="144">
        <f t="shared" si="607"/>
        <v>22862.300332609004</v>
      </c>
      <c r="BY198" s="150">
        <f t="shared" si="608"/>
        <v>26.814193305199282</v>
      </c>
      <c r="BZ198" s="5">
        <f t="shared" si="609"/>
        <v>80.08</v>
      </c>
      <c r="CA198" s="150">
        <f t="shared" si="610"/>
        <v>0.74915201213371196</v>
      </c>
      <c r="CB198" s="5">
        <f t="shared" si="611"/>
        <v>74.915201213371191</v>
      </c>
      <c r="CC198">
        <f t="shared" si="612"/>
        <v>88</v>
      </c>
      <c r="CE198" s="59">
        <f t="shared" si="534"/>
        <v>-50</v>
      </c>
      <c r="CF198">
        <f t="shared" si="535"/>
        <v>-50</v>
      </c>
      <c r="CG198" s="150">
        <f t="shared" si="536"/>
        <v>0.49840675206849377</v>
      </c>
      <c r="CH198" s="150">
        <f t="shared" si="537"/>
        <v>0.1350568335034627</v>
      </c>
      <c r="CI198" s="147">
        <v>88</v>
      </c>
      <c r="CJ198" s="188">
        <f t="shared" si="602"/>
        <v>0.44</v>
      </c>
      <c r="CK198" s="188">
        <f t="shared" si="538"/>
        <v>0.44</v>
      </c>
      <c r="CL198" s="188">
        <f t="shared" si="539"/>
        <v>74.8</v>
      </c>
      <c r="CM198" s="188">
        <f t="shared" si="540"/>
        <v>5.28</v>
      </c>
      <c r="CN198" s="465">
        <f t="shared" si="541"/>
        <v>9</v>
      </c>
      <c r="CO198" s="379">
        <f t="shared" si="542"/>
        <v>8.625</v>
      </c>
      <c r="CP198" s="379">
        <f t="shared" si="543"/>
        <v>17.625</v>
      </c>
      <c r="CQ198" s="379"/>
      <c r="CR198" s="188">
        <f t="shared" si="544"/>
        <v>0.48674080410607357</v>
      </c>
      <c r="CS198" s="149">
        <f t="shared" si="545"/>
        <v>136.39440115060304</v>
      </c>
      <c r="CT198" s="149">
        <f t="shared" si="546"/>
        <v>9.6278400812190377</v>
      </c>
      <c r="CU198" s="188">
        <f t="shared" si="547"/>
        <v>0.80232000676825321</v>
      </c>
      <c r="CV198" s="188">
        <f t="shared" si="548"/>
        <v>11.366200095883586</v>
      </c>
      <c r="CW198" s="188">
        <f t="shared" si="549"/>
        <v>170</v>
      </c>
      <c r="CX198" s="188">
        <f t="shared" si="550"/>
        <v>36.560640499902362</v>
      </c>
      <c r="CY198" s="188">
        <f t="shared" si="551"/>
        <v>6.0934400833170601</v>
      </c>
      <c r="CZ198" s="188">
        <f t="shared" si="552"/>
        <v>6.358372260852585</v>
      </c>
      <c r="DA198" s="172">
        <f t="shared" si="553"/>
        <v>220.21276595744678</v>
      </c>
      <c r="DB198" s="379">
        <f t="shared" si="554"/>
        <v>80.309594487924755</v>
      </c>
      <c r="DD198" s="188">
        <f t="shared" si="555"/>
        <v>13.333333333333336</v>
      </c>
      <c r="DE198" s="150">
        <f t="shared" si="556"/>
        <v>2.3188405797101459</v>
      </c>
      <c r="DF198" s="150">
        <f t="shared" si="557"/>
        <v>0.15898994622398885</v>
      </c>
      <c r="DG198" s="150"/>
      <c r="DH198" s="150">
        <f t="shared" si="558"/>
        <v>2.3188405797101455</v>
      </c>
      <c r="DI198" s="314">
        <f t="shared" si="559"/>
        <v>609.43235294117619</v>
      </c>
      <c r="DJ198" s="456">
        <f t="shared" si="560"/>
        <v>0.15898994622398879</v>
      </c>
      <c r="DL198" s="150">
        <f t="shared" si="561"/>
        <v>17.466157753400335</v>
      </c>
      <c r="DM198" s="150">
        <f t="shared" si="562"/>
        <v>36.560640499902362</v>
      </c>
      <c r="DN198" s="150">
        <f t="shared" si="563"/>
        <v>18.405412715977057</v>
      </c>
      <c r="DP198" s="314">
        <f t="shared" si="564"/>
        <v>440</v>
      </c>
      <c r="DQ198" s="144">
        <f t="shared" si="565"/>
        <v>80.309594487924755</v>
      </c>
      <c r="DS198">
        <f t="shared" si="614"/>
        <v>440</v>
      </c>
      <c r="DT198">
        <f t="shared" si="615"/>
        <v>80.309594487924755</v>
      </c>
      <c r="DV198" s="5">
        <f t="shared" si="568"/>
        <v>12.451812344169646</v>
      </c>
      <c r="DW198" s="5">
        <f t="shared" si="569"/>
        <v>6.0934400833170601</v>
      </c>
      <c r="DX198" s="5">
        <f t="shared" si="570"/>
        <v>6.3583722608525859</v>
      </c>
      <c r="DY198" s="150">
        <f t="shared" si="571"/>
        <v>0.4893617021276595</v>
      </c>
      <c r="EA198" s="5">
        <f t="shared" si="572"/>
        <v>1.5771256686232389</v>
      </c>
      <c r="EB198" s="5">
        <f t="shared" si="573"/>
        <v>22.342613638829221</v>
      </c>
      <c r="EC198" s="5">
        <f t="shared" si="574"/>
        <v>88.075230576254313</v>
      </c>
      <c r="ED198" s="5"/>
      <c r="EE198" s="150">
        <f t="shared" si="575"/>
        <v>14.766179964895562</v>
      </c>
      <c r="EF198" s="150">
        <f t="shared" si="576"/>
        <v>0.70446171824537718</v>
      </c>
      <c r="EG198" s="150">
        <f t="shared" si="577"/>
        <v>0.67014510880879163</v>
      </c>
      <c r="EH198" s="150"/>
      <c r="EI198" s="456">
        <f t="shared" si="578"/>
        <v>0.74133624056932246</v>
      </c>
      <c r="EJ198" s="456">
        <f t="shared" si="579"/>
        <v>1.5731999999999997</v>
      </c>
      <c r="EK198" s="456">
        <f t="shared" si="580"/>
        <v>1.8390897137734768E-2</v>
      </c>
      <c r="EL198" s="456">
        <f t="shared" si="581"/>
        <v>1.7088984498279468E-2</v>
      </c>
      <c r="EM198">
        <f t="shared" si="582"/>
        <v>4.0499999999999998E-3</v>
      </c>
      <c r="EN198" s="144">
        <f t="shared" si="583"/>
        <v>22.440897137734769</v>
      </c>
      <c r="EP198" s="144">
        <f t="shared" si="603"/>
        <v>2354.0661222053363</v>
      </c>
      <c r="EQ198" s="150">
        <f t="shared" si="584"/>
        <v>1.1000000000000001</v>
      </c>
      <c r="ER198" s="150">
        <f t="shared" si="585"/>
        <v>0.31240000000000001</v>
      </c>
      <c r="ES198" s="456"/>
      <c r="EU198" s="144">
        <f t="shared" si="497"/>
        <v>1412.4</v>
      </c>
      <c r="EV198" s="456">
        <f t="shared" si="586"/>
        <v>0.32706010613352465</v>
      </c>
      <c r="EW198" s="456">
        <f t="shared" si="587"/>
        <v>9.9253262494645833E-2</v>
      </c>
      <c r="EX198" s="456">
        <f t="shared" si="588"/>
        <v>1.3472834005810414E-2</v>
      </c>
      <c r="EY198" s="456">
        <f t="shared" si="589"/>
        <v>23.357323485002276</v>
      </c>
      <c r="EZ198" s="456"/>
      <c r="FA198" s="538">
        <f t="shared" si="590"/>
        <v>0.107348263595458</v>
      </c>
      <c r="FB198" s="144">
        <f t="shared" si="613"/>
        <v>23904.457951231718</v>
      </c>
      <c r="FC198" s="150">
        <f t="shared" si="591"/>
        <v>27.670924073437053</v>
      </c>
      <c r="FD198" s="5">
        <f t="shared" si="592"/>
        <v>80.08</v>
      </c>
      <c r="FE198" s="150">
        <f t="shared" si="593"/>
        <v>0.74319548243894329</v>
      </c>
      <c r="FF198" s="5">
        <f t="shared" si="594"/>
        <v>74.319548243894332</v>
      </c>
      <c r="FG198">
        <f t="shared" si="595"/>
        <v>88</v>
      </c>
      <c r="FI198" s="59">
        <f t="shared" si="596"/>
        <v>-50</v>
      </c>
      <c r="FJ198">
        <f t="shared" si="597"/>
        <v>-50</v>
      </c>
    </row>
    <row r="199" spans="5:166">
      <c r="E199" s="147">
        <v>89</v>
      </c>
      <c r="F199" s="188">
        <f t="shared" si="598"/>
        <v>0.44500000000000001</v>
      </c>
      <c r="G199" s="188">
        <f t="shared" si="499"/>
        <v>0.44500000000000001</v>
      </c>
      <c r="H199" s="188">
        <f t="shared" si="500"/>
        <v>75.650000000000006</v>
      </c>
      <c r="I199" s="188">
        <f t="shared" si="501"/>
        <v>5.34</v>
      </c>
      <c r="J199" s="465">
        <f t="shared" si="502"/>
        <v>8.8885409878793809</v>
      </c>
      <c r="K199" s="379">
        <f t="shared" si="503"/>
        <v>8.6916060741644703</v>
      </c>
      <c r="L199" s="149">
        <f t="shared" si="504"/>
        <v>17.580147062043849</v>
      </c>
      <c r="M199" s="379"/>
      <c r="N199" s="188">
        <f t="shared" si="505"/>
        <v>0.49439894009362134</v>
      </c>
      <c r="O199" s="149">
        <f t="shared" si="506"/>
        <v>136.82463212008554</v>
      </c>
      <c r="P199" s="149">
        <f t="shared" si="507"/>
        <v>9.6582093261236857</v>
      </c>
      <c r="Q199" s="188">
        <f t="shared" si="508"/>
        <v>0.80485077717697373</v>
      </c>
      <c r="R199" s="188">
        <f t="shared" si="509"/>
        <v>11.402052676673796</v>
      </c>
      <c r="S199" s="188">
        <f t="shared" si="510"/>
        <v>170</v>
      </c>
      <c r="T199" s="188">
        <f t="shared" si="511"/>
        <v>36.859834776730857</v>
      </c>
      <c r="U199" s="188">
        <f t="shared" si="512"/>
        <v>6.2203405756344781</v>
      </c>
      <c r="V199" s="188">
        <f t="shared" si="513"/>
        <v>6.3612814125853401</v>
      </c>
      <c r="W199" s="172">
        <f t="shared" si="514"/>
        <v>219.72426216931373</v>
      </c>
      <c r="X199" s="379">
        <f t="shared" si="599"/>
        <v>78.237331766003564</v>
      </c>
      <c r="Z199" s="188">
        <f t="shared" si="515"/>
        <v>13.333333333333334</v>
      </c>
      <c r="AA199" s="150">
        <f t="shared" si="516"/>
        <v>2.301070691577864</v>
      </c>
      <c r="AB199" s="150">
        <f t="shared" si="517"/>
        <v>0.15742157542872598</v>
      </c>
      <c r="AC199" s="150"/>
      <c r="AD199" s="150">
        <f t="shared" si="518"/>
        <v>2.301070691577864</v>
      </c>
      <c r="AE199" s="314">
        <f t="shared" si="519"/>
        <v>621.11750818815904</v>
      </c>
      <c r="AF199" s="456">
        <f t="shared" si="520"/>
        <v>0.15742157542872598</v>
      </c>
      <c r="AH199" s="150">
        <f t="shared" si="521"/>
        <v>17.565116946190063</v>
      </c>
      <c r="AI199" s="150">
        <f t="shared" si="522"/>
        <v>36.859834776730857</v>
      </c>
      <c r="AJ199" s="150">
        <f t="shared" si="523"/>
        <v>18.627038106220386</v>
      </c>
      <c r="AL199" s="314">
        <f t="shared" si="524"/>
        <v>445</v>
      </c>
      <c r="AM199" s="144">
        <f t="shared" si="525"/>
        <v>78.237331766003564</v>
      </c>
      <c r="AO199">
        <f t="shared" si="526"/>
        <v>445</v>
      </c>
      <c r="AP199">
        <f t="shared" si="527"/>
        <v>78.237331766003564</v>
      </c>
      <c r="AR199" s="5">
        <f t="shared" si="616"/>
        <v>12.781621988219818</v>
      </c>
      <c r="AS199" s="5">
        <f t="shared" si="604"/>
        <v>6.2203405756344781</v>
      </c>
      <c r="AT199" s="5">
        <f t="shared" si="605"/>
        <v>6.5612814125853403</v>
      </c>
      <c r="AU199" s="150">
        <f t="shared" si="606"/>
        <v>0.48666284931344822</v>
      </c>
      <c r="AW199" s="5">
        <f t="shared" si="477"/>
        <v>1.628265621269025</v>
      </c>
      <c r="AX199" s="5">
        <f t="shared" si="478"/>
        <v>23.067096301311189</v>
      </c>
      <c r="AY199" s="5">
        <f t="shared" si="479"/>
        <v>93.071318742286692</v>
      </c>
      <c r="AZ199" s="5"/>
      <c r="BA199" s="150">
        <f t="shared" si="480"/>
        <v>14.845911047789214</v>
      </c>
      <c r="BB199" s="150">
        <f t="shared" si="481"/>
        <v>0.71210107664103028</v>
      </c>
      <c r="BC199" s="150">
        <f t="shared" si="482"/>
        <v>0.67741232934142115</v>
      </c>
      <c r="BD199" s="150"/>
      <c r="BE199" s="456">
        <f t="shared" si="483"/>
        <v>0.74936365445215736</v>
      </c>
      <c r="BF199" s="456">
        <f t="shared" si="528"/>
        <v>1.2142145600834064</v>
      </c>
      <c r="BG199" s="456">
        <f t="shared" si="529"/>
        <v>3.185004044244736E-2</v>
      </c>
      <c r="BH199" s="456">
        <f t="shared" si="484"/>
        <v>1.6563404561677375E-2</v>
      </c>
      <c r="BI199">
        <f t="shared" si="485"/>
        <v>3.9998434445457209E-3</v>
      </c>
      <c r="BJ199" s="144">
        <f t="shared" si="600"/>
        <v>35.849883886993084</v>
      </c>
      <c r="BK199">
        <f t="shared" si="530"/>
        <v>2.655230404446224</v>
      </c>
      <c r="BL199" s="144">
        <f t="shared" si="601"/>
        <v>2015.9915029842343</v>
      </c>
      <c r="BM199" s="150">
        <f t="shared" si="531"/>
        <v>0.98734374999999996</v>
      </c>
      <c r="BN199" s="150">
        <f t="shared" si="532"/>
        <v>0.98734374999999996</v>
      </c>
      <c r="BO199" s="456"/>
      <c r="BQ199" s="144">
        <f t="shared" si="486"/>
        <v>1974.6875</v>
      </c>
      <c r="BR199" s="456">
        <f t="shared" si="487"/>
        <v>0.33060161225830476</v>
      </c>
      <c r="BS199" s="456">
        <f t="shared" si="488"/>
        <v>0.10141758867066292</v>
      </c>
      <c r="BT199" s="456">
        <f t="shared" si="489"/>
        <v>1.3766623918313101E-2</v>
      </c>
      <c r="BU199" s="456">
        <f t="shared" si="490"/>
        <v>22.32999066488312</v>
      </c>
      <c r="BV199" s="456"/>
      <c r="BW199" s="538">
        <f t="shared" si="533"/>
        <v>0.10629694893340572</v>
      </c>
      <c r="BX199" s="144">
        <f t="shared" si="607"/>
        <v>22882.073438663807</v>
      </c>
      <c r="BY199" s="150">
        <f t="shared" si="608"/>
        <v>26.872752441648039</v>
      </c>
      <c r="BZ199" s="5">
        <f t="shared" si="609"/>
        <v>80.990000000000009</v>
      </c>
      <c r="CA199" s="150">
        <f t="shared" si="610"/>
        <v>0.75086161039524979</v>
      </c>
      <c r="CB199" s="5">
        <f t="shared" si="611"/>
        <v>75.086161039524981</v>
      </c>
      <c r="CC199">
        <f t="shared" si="612"/>
        <v>89</v>
      </c>
      <c r="CE199" s="59">
        <f t="shared" si="534"/>
        <v>-50</v>
      </c>
      <c r="CF199">
        <f t="shared" si="535"/>
        <v>-50</v>
      </c>
      <c r="CG199" s="150">
        <f t="shared" si="536"/>
        <v>0.49840675206849366</v>
      </c>
      <c r="CH199" s="150">
        <f t="shared" si="537"/>
        <v>0.13505683350346268</v>
      </c>
      <c r="CI199" s="147">
        <v>89</v>
      </c>
      <c r="CJ199" s="188">
        <f t="shared" si="602"/>
        <v>0.44500000000000001</v>
      </c>
      <c r="CK199" s="188">
        <f t="shared" si="538"/>
        <v>0.44500000000000001</v>
      </c>
      <c r="CL199" s="188">
        <f t="shared" si="539"/>
        <v>75.650000000000006</v>
      </c>
      <c r="CM199" s="188">
        <f t="shared" si="540"/>
        <v>5.34</v>
      </c>
      <c r="CN199" s="465">
        <f t="shared" si="541"/>
        <v>9</v>
      </c>
      <c r="CO199" s="379">
        <f t="shared" si="542"/>
        <v>8.625</v>
      </c>
      <c r="CP199" s="379">
        <f t="shared" si="543"/>
        <v>17.625</v>
      </c>
      <c r="CQ199" s="379"/>
      <c r="CR199" s="188">
        <f t="shared" si="544"/>
        <v>0.48674080410607357</v>
      </c>
      <c r="CS199" s="149">
        <f t="shared" si="545"/>
        <v>136.39440115060304</v>
      </c>
      <c r="CT199" s="149">
        <f t="shared" si="546"/>
        <v>9.6278400812190377</v>
      </c>
      <c r="CU199" s="188">
        <f t="shared" si="547"/>
        <v>0.80232000676825321</v>
      </c>
      <c r="CV199" s="188">
        <f t="shared" si="548"/>
        <v>11.366200095883586</v>
      </c>
      <c r="CW199" s="188">
        <f t="shared" si="549"/>
        <v>170</v>
      </c>
      <c r="CX199" s="188">
        <f t="shared" si="550"/>
        <v>36.976102323764891</v>
      </c>
      <c r="CY199" s="188">
        <f t="shared" si="551"/>
        <v>6.1626837206274816</v>
      </c>
      <c r="CZ199" s="188">
        <f t="shared" si="552"/>
        <v>6.4306264910895461</v>
      </c>
      <c r="DA199" s="172">
        <f t="shared" si="553"/>
        <v>220.21276595744678</v>
      </c>
      <c r="DB199" s="379">
        <f t="shared" si="554"/>
        <v>79.407239493678404</v>
      </c>
      <c r="DD199" s="188">
        <f t="shared" si="555"/>
        <v>13.333333333333336</v>
      </c>
      <c r="DE199" s="150">
        <f t="shared" si="556"/>
        <v>2.3188405797101459</v>
      </c>
      <c r="DF199" s="150">
        <f t="shared" si="557"/>
        <v>0.15898994622398885</v>
      </c>
      <c r="DG199" s="150"/>
      <c r="DH199" s="150">
        <f t="shared" si="558"/>
        <v>2.3188405797101455</v>
      </c>
      <c r="DI199" s="314">
        <f t="shared" si="559"/>
        <v>616.357720588235</v>
      </c>
      <c r="DJ199" s="456">
        <f t="shared" si="560"/>
        <v>0.15898994622398879</v>
      </c>
      <c r="DL199" s="150">
        <f t="shared" si="561"/>
        <v>17.565116946190063</v>
      </c>
      <c r="DM199" s="150">
        <f t="shared" si="562"/>
        <v>36.976102323764891</v>
      </c>
      <c r="DN199" s="150">
        <f t="shared" si="563"/>
        <v>18.713162215134485</v>
      </c>
      <c r="DP199" s="314">
        <f t="shared" si="564"/>
        <v>445</v>
      </c>
      <c r="DQ199" s="144">
        <f t="shared" si="565"/>
        <v>79.407239493678404</v>
      </c>
      <c r="DS199">
        <f t="shared" si="614"/>
        <v>445</v>
      </c>
      <c r="DT199">
        <f t="shared" si="615"/>
        <v>79.407239493678404</v>
      </c>
      <c r="DV199" s="5">
        <f t="shared" si="568"/>
        <v>12.593310211717029</v>
      </c>
      <c r="DW199" s="5">
        <f t="shared" si="569"/>
        <v>6.1626837206274816</v>
      </c>
      <c r="DX199" s="5">
        <f t="shared" si="570"/>
        <v>6.430626491089547</v>
      </c>
      <c r="DY199" s="150">
        <f t="shared" si="571"/>
        <v>0.48936170212765956</v>
      </c>
      <c r="EA199" s="5">
        <f t="shared" si="572"/>
        <v>1.6131730915760172</v>
      </c>
      <c r="EB199" s="5">
        <f t="shared" si="573"/>
        <v>22.853285463993576</v>
      </c>
      <c r="EC199" s="5">
        <f t="shared" si="574"/>
        <v>90.088313713134113</v>
      </c>
      <c r="ED199" s="5"/>
      <c r="EE199" s="150">
        <f t="shared" si="575"/>
        <v>14.933977464496648</v>
      </c>
      <c r="EF199" s="150">
        <f t="shared" si="576"/>
        <v>0.71246696504362017</v>
      </c>
      <c r="EG199" s="150">
        <f t="shared" si="577"/>
        <v>0.6777603941361644</v>
      </c>
      <c r="EH199" s="150"/>
      <c r="EI199" s="456">
        <f t="shared" si="578"/>
        <v>0.7582805218943186</v>
      </c>
      <c r="EJ199" s="456">
        <f t="shared" si="579"/>
        <v>1.5732000000000002</v>
      </c>
      <c r="EK199" s="456">
        <f t="shared" si="580"/>
        <v>1.8184257844052355E-2</v>
      </c>
      <c r="EL199" s="456">
        <f t="shared" si="581"/>
        <v>1.6896973436501046E-2</v>
      </c>
      <c r="EM199">
        <f t="shared" si="582"/>
        <v>4.0499999999999998E-3</v>
      </c>
      <c r="EN199" s="144">
        <f t="shared" si="583"/>
        <v>22.234257844052355</v>
      </c>
      <c r="EP199" s="144">
        <f t="shared" si="603"/>
        <v>2370.6117531748723</v>
      </c>
      <c r="EQ199" s="150">
        <f t="shared" si="584"/>
        <v>1.1125</v>
      </c>
      <c r="ER199" s="150">
        <f t="shared" si="585"/>
        <v>0.31595000000000001</v>
      </c>
      <c r="ES199" s="456"/>
      <c r="EU199" s="144">
        <f t="shared" si="497"/>
        <v>1428.45</v>
      </c>
      <c r="EV199" s="456">
        <f t="shared" si="586"/>
        <v>0.33453552436514061</v>
      </c>
      <c r="EW199" s="456">
        <f t="shared" si="587"/>
        <v>0.10152183525569343</v>
      </c>
      <c r="EX199" s="456">
        <f t="shared" si="588"/>
        <v>1.3780774555788267E-2</v>
      </c>
      <c r="EY199" s="456">
        <f t="shared" si="589"/>
        <v>23.357323485002315</v>
      </c>
      <c r="EZ199" s="456"/>
      <c r="FA199" s="538">
        <f t="shared" si="590"/>
        <v>0.10856813022722459</v>
      </c>
      <c r="FB199" s="144">
        <f t="shared" si="613"/>
        <v>23915.729749406164</v>
      </c>
      <c r="FC199" s="150">
        <f t="shared" si="591"/>
        <v>27.714791502581036</v>
      </c>
      <c r="FD199" s="5">
        <f t="shared" si="592"/>
        <v>80.990000000000009</v>
      </c>
      <c r="FE199" s="150">
        <f t="shared" si="593"/>
        <v>0.74504535522775939</v>
      </c>
      <c r="FF199" s="5">
        <f t="shared" si="594"/>
        <v>74.504535522775939</v>
      </c>
      <c r="FG199">
        <f t="shared" si="595"/>
        <v>89</v>
      </c>
      <c r="FI199" s="59">
        <f t="shared" si="596"/>
        <v>-50</v>
      </c>
      <c r="FJ199">
        <f t="shared" si="597"/>
        <v>-50</v>
      </c>
    </row>
    <row r="200" spans="5:166">
      <c r="E200" s="147">
        <v>90</v>
      </c>
      <c r="F200" s="188">
        <f t="shared" si="598"/>
        <v>0.45</v>
      </c>
      <c r="G200" s="188">
        <f t="shared" si="499"/>
        <v>0.45</v>
      </c>
      <c r="H200" s="188">
        <f t="shared" si="500"/>
        <v>76.5</v>
      </c>
      <c r="I200" s="188">
        <f t="shared" si="501"/>
        <v>5.4</v>
      </c>
      <c r="J200" s="465">
        <f t="shared" si="502"/>
        <v>8.8872886394285864</v>
      </c>
      <c r="K200" s="379">
        <f t="shared" si="503"/>
        <v>8.6923544570202509</v>
      </c>
      <c r="L200" s="149">
        <f t="shared" si="504"/>
        <v>17.579643096448837</v>
      </c>
      <c r="M200" s="379"/>
      <c r="N200" s="188">
        <f t="shared" si="505"/>
        <v>0.49445568430090275</v>
      </c>
      <c r="O200" s="149">
        <f t="shared" si="506"/>
        <v>136.82105596776759</v>
      </c>
      <c r="P200" s="149">
        <f t="shared" si="507"/>
        <v>9.657956891842419</v>
      </c>
      <c r="Q200" s="188">
        <f t="shared" si="508"/>
        <v>0.80482974098686821</v>
      </c>
      <c r="R200" s="188">
        <f t="shared" si="509"/>
        <v>11.401754663980633</v>
      </c>
      <c r="S200" s="188">
        <f t="shared" si="510"/>
        <v>170</v>
      </c>
      <c r="T200" s="188">
        <f t="shared" si="511"/>
        <v>37.274964470391623</v>
      </c>
      <c r="U200" s="188">
        <f t="shared" si="512"/>
        <v>6.2912828618540688</v>
      </c>
      <c r="V200" s="188">
        <f t="shared" si="513"/>
        <v>6.4323707669825376</v>
      </c>
      <c r="W200" s="172">
        <f t="shared" si="514"/>
        <v>219.71851928941501</v>
      </c>
      <c r="X200" s="379">
        <f t="shared" si="599"/>
        <v>77.377499329500409</v>
      </c>
      <c r="Z200" s="188">
        <f t="shared" si="515"/>
        <v>13.333333333333334</v>
      </c>
      <c r="AA200" s="150">
        <f t="shared" si="516"/>
        <v>2.3008725770320262</v>
      </c>
      <c r="AB200" s="150">
        <f t="shared" si="517"/>
        <v>0.15740390781840027</v>
      </c>
      <c r="AC200" s="150"/>
      <c r="AD200" s="150">
        <f t="shared" si="518"/>
        <v>2.3008725770320262</v>
      </c>
      <c r="AE200" s="314">
        <f t="shared" si="519"/>
        <v>628.15043826172791</v>
      </c>
      <c r="AF200" s="456">
        <f t="shared" si="520"/>
        <v>0.15740390781840025</v>
      </c>
      <c r="AH200" s="150">
        <f t="shared" si="521"/>
        <v>17.663521732655695</v>
      </c>
      <c r="AI200" s="150">
        <f t="shared" si="522"/>
        <v>37.274964470391623</v>
      </c>
      <c r="AJ200" s="150">
        <f t="shared" si="523"/>
        <v>18.934541583006137</v>
      </c>
      <c r="AL200" s="314">
        <f t="shared" si="524"/>
        <v>450</v>
      </c>
      <c r="AM200" s="144">
        <f t="shared" si="525"/>
        <v>77.377499329500409</v>
      </c>
      <c r="AO200">
        <f t="shared" si="526"/>
        <v>450</v>
      </c>
      <c r="AP200">
        <f t="shared" si="527"/>
        <v>77.377499329500409</v>
      </c>
      <c r="AR200" s="5">
        <f t="shared" si="616"/>
        <v>12.923653628836606</v>
      </c>
      <c r="AS200" s="5">
        <f t="shared" si="604"/>
        <v>6.2912828618540688</v>
      </c>
      <c r="AT200" s="5">
        <f t="shared" si="605"/>
        <v>6.6323707669825369</v>
      </c>
      <c r="AU200" s="150">
        <f t="shared" si="606"/>
        <v>0.48680373542481065</v>
      </c>
      <c r="AW200" s="5">
        <f t="shared" si="477"/>
        <v>1.6653395810790184</v>
      </c>
      <c r="AX200" s="5">
        <f t="shared" si="478"/>
        <v>23.592310731952761</v>
      </c>
      <c r="AY200" s="5">
        <f t="shared" si="479"/>
        <v>95.150197894849001</v>
      </c>
      <c r="AZ200" s="5"/>
      <c r="BA200" s="150">
        <f t="shared" si="480"/>
        <v>15.015284378845296</v>
      </c>
      <c r="BB200" s="150">
        <f t="shared" si="481"/>
        <v>0.72002220806056694</v>
      </c>
      <c r="BC200" s="150">
        <f t="shared" si="482"/>
        <v>0.6849475968223222</v>
      </c>
      <c r="BD200" s="150"/>
      <c r="BE200" s="456">
        <f t="shared" si="483"/>
        <v>0.76655980092382492</v>
      </c>
      <c r="BF200" s="456">
        <f t="shared" si="528"/>
        <v>1.2143601295632034</v>
      </c>
      <c r="BG200" s="456">
        <f t="shared" si="529"/>
        <v>3.1495568619821557E-2</v>
      </c>
      <c r="BH200" s="456">
        <f t="shared" si="484"/>
        <v>1.6380432676997084E-2</v>
      </c>
      <c r="BI200">
        <f t="shared" si="485"/>
        <v>3.9992798877428641E-3</v>
      </c>
      <c r="BJ200" s="144">
        <f t="shared" si="600"/>
        <v>35.49484850756442</v>
      </c>
      <c r="BK200">
        <f t="shared" si="530"/>
        <v>2.6951519563731821</v>
      </c>
      <c r="BL200" s="144">
        <f t="shared" si="601"/>
        <v>2032.7952116715901</v>
      </c>
      <c r="BM200" s="150">
        <f t="shared" si="531"/>
        <v>0.99843749999999998</v>
      </c>
      <c r="BN200" s="150">
        <f t="shared" si="532"/>
        <v>0.99843749999999998</v>
      </c>
      <c r="BO200" s="456"/>
      <c r="BQ200" s="144">
        <f t="shared" si="486"/>
        <v>1996.875</v>
      </c>
      <c r="BR200" s="456">
        <f t="shared" si="487"/>
        <v>0.33818814746639336</v>
      </c>
      <c r="BS200" s="456">
        <f t="shared" si="488"/>
        <v>0.10368639602008288</v>
      </c>
      <c r="BT200" s="456">
        <f t="shared" si="489"/>
        <v>1.4074596311780232E-2</v>
      </c>
      <c r="BU200" s="456">
        <f t="shared" si="490"/>
        <v>22.338284879196767</v>
      </c>
      <c r="BV200" s="456"/>
      <c r="BW200" s="538">
        <f t="shared" si="533"/>
        <v>0.10751007541464376</v>
      </c>
      <c r="BX200" s="144">
        <f t="shared" si="607"/>
        <v>22901.744094409667</v>
      </c>
      <c r="BY200" s="150">
        <f t="shared" si="608"/>
        <v>26.931414306081258</v>
      </c>
      <c r="BZ200" s="5">
        <f t="shared" si="609"/>
        <v>81.900000000000006</v>
      </c>
      <c r="CA200" s="150">
        <f t="shared" si="610"/>
        <v>0.75254006871271195</v>
      </c>
      <c r="CB200" s="5">
        <f t="shared" si="611"/>
        <v>75.254006871271201</v>
      </c>
      <c r="CC200">
        <f t="shared" si="612"/>
        <v>90</v>
      </c>
      <c r="CE200" s="59">
        <f t="shared" si="534"/>
        <v>-50</v>
      </c>
      <c r="CF200">
        <f t="shared" si="535"/>
        <v>-50</v>
      </c>
      <c r="CG200" s="150">
        <f t="shared" si="536"/>
        <v>0.49840675206849377</v>
      </c>
      <c r="CH200" s="150">
        <f t="shared" si="537"/>
        <v>0.1350568335034627</v>
      </c>
      <c r="CI200" s="147">
        <v>90</v>
      </c>
      <c r="CJ200" s="188">
        <f t="shared" si="602"/>
        <v>0.45</v>
      </c>
      <c r="CK200" s="188">
        <f t="shared" si="538"/>
        <v>0.45</v>
      </c>
      <c r="CL200" s="188">
        <f t="shared" si="539"/>
        <v>76.5</v>
      </c>
      <c r="CM200" s="188">
        <f t="shared" si="540"/>
        <v>5.4</v>
      </c>
      <c r="CN200" s="465">
        <f t="shared" si="541"/>
        <v>9</v>
      </c>
      <c r="CO200" s="379">
        <f t="shared" si="542"/>
        <v>8.625</v>
      </c>
      <c r="CP200" s="379">
        <f t="shared" si="543"/>
        <v>17.625</v>
      </c>
      <c r="CQ200" s="379"/>
      <c r="CR200" s="188">
        <f t="shared" si="544"/>
        <v>0.48674080410607357</v>
      </c>
      <c r="CS200" s="149">
        <f t="shared" si="545"/>
        <v>136.39440115060304</v>
      </c>
      <c r="CT200" s="149">
        <f t="shared" si="546"/>
        <v>9.6278400812190377</v>
      </c>
      <c r="CU200" s="188">
        <f t="shared" si="547"/>
        <v>0.80232000676825321</v>
      </c>
      <c r="CV200" s="188">
        <f t="shared" si="548"/>
        <v>11.366200095883586</v>
      </c>
      <c r="CW200" s="188">
        <f t="shared" si="549"/>
        <v>170</v>
      </c>
      <c r="CX200" s="188">
        <f t="shared" si="550"/>
        <v>37.39156414762742</v>
      </c>
      <c r="CY200" s="188">
        <f t="shared" si="551"/>
        <v>6.2319273579379031</v>
      </c>
      <c r="CZ200" s="188">
        <f t="shared" si="552"/>
        <v>6.5028807213265081</v>
      </c>
      <c r="DA200" s="172">
        <f t="shared" si="553"/>
        <v>220.21276595744678</v>
      </c>
      <c r="DB200" s="379">
        <f t="shared" si="554"/>
        <v>78.524936832637536</v>
      </c>
      <c r="DD200" s="188">
        <f t="shared" si="555"/>
        <v>13.333333333333336</v>
      </c>
      <c r="DE200" s="150">
        <f t="shared" si="556"/>
        <v>2.3188405797101459</v>
      </c>
      <c r="DF200" s="150">
        <f t="shared" si="557"/>
        <v>0.15898994622398885</v>
      </c>
      <c r="DG200" s="150"/>
      <c r="DH200" s="150">
        <f t="shared" si="558"/>
        <v>2.3188405797101455</v>
      </c>
      <c r="DI200" s="314">
        <f t="shared" si="559"/>
        <v>623.28308823529392</v>
      </c>
      <c r="DJ200" s="456">
        <f t="shared" si="560"/>
        <v>0.15898994622398879</v>
      </c>
      <c r="DL200" s="150">
        <f t="shared" si="561"/>
        <v>17.663521732655695</v>
      </c>
      <c r="DM200" s="150">
        <f t="shared" si="562"/>
        <v>37.39156414762742</v>
      </c>
      <c r="DN200" s="150">
        <f t="shared" si="563"/>
        <v>19.020911714291913</v>
      </c>
      <c r="DP200" s="314">
        <f t="shared" si="564"/>
        <v>450</v>
      </c>
      <c r="DQ200" s="144">
        <f t="shared" si="565"/>
        <v>78.524936832637536</v>
      </c>
      <c r="DS200">
        <f t="shared" si="614"/>
        <v>450</v>
      </c>
      <c r="DT200">
        <f t="shared" si="615"/>
        <v>78.524936832637536</v>
      </c>
      <c r="DV200" s="5">
        <f t="shared" si="568"/>
        <v>12.734808079264411</v>
      </c>
      <c r="DW200" s="5">
        <f t="shared" si="569"/>
        <v>6.2319273579379031</v>
      </c>
      <c r="DX200" s="5">
        <f t="shared" si="570"/>
        <v>6.5028807213265081</v>
      </c>
      <c r="DY200" s="150">
        <f t="shared" si="571"/>
        <v>0.48936170212765956</v>
      </c>
      <c r="EA200" s="5">
        <f t="shared" si="572"/>
        <v>1.6496278300423863</v>
      </c>
      <c r="EB200" s="5">
        <f t="shared" si="573"/>
        <v>23.369727592267139</v>
      </c>
      <c r="EC200" s="5">
        <f t="shared" si="574"/>
        <v>92.124143552125517</v>
      </c>
      <c r="ED200" s="5"/>
      <c r="EE200" s="150">
        <f t="shared" si="575"/>
        <v>15.101774964097736</v>
      </c>
      <c r="EF200" s="150">
        <f t="shared" si="576"/>
        <v>0.72047221184186316</v>
      </c>
      <c r="EG200" s="150">
        <f t="shared" si="577"/>
        <v>0.68537567946353706</v>
      </c>
      <c r="EH200" s="150"/>
      <c r="EI200" s="456">
        <f t="shared" si="578"/>
        <v>0.7754162640252471</v>
      </c>
      <c r="EJ200" s="456">
        <f t="shared" si="579"/>
        <v>1.5732000000000002</v>
      </c>
      <c r="EK200" s="456">
        <f t="shared" si="580"/>
        <v>1.7982210534673995E-2</v>
      </c>
      <c r="EL200" s="456">
        <f t="shared" si="581"/>
        <v>1.6709229287206591E-2</v>
      </c>
      <c r="EM200">
        <f t="shared" si="582"/>
        <v>4.0499999999999998E-3</v>
      </c>
      <c r="EN200" s="144">
        <f t="shared" si="583"/>
        <v>22.032210534673997</v>
      </c>
      <c r="EP200" s="144">
        <f t="shared" si="603"/>
        <v>2387.3577038471281</v>
      </c>
      <c r="EQ200" s="150">
        <f t="shared" si="584"/>
        <v>1.125</v>
      </c>
      <c r="ER200" s="150">
        <f t="shared" si="585"/>
        <v>0.31950000000000001</v>
      </c>
      <c r="ES200" s="456"/>
      <c r="EU200" s="144">
        <f t="shared" si="497"/>
        <v>1444.5000000000002</v>
      </c>
      <c r="EV200" s="456">
        <f t="shared" si="586"/>
        <v>0.34209541059937376</v>
      </c>
      <c r="EW200" s="456">
        <f t="shared" si="587"/>
        <v>0.10381604160726131</v>
      </c>
      <c r="EX200" s="456">
        <f t="shared" si="588"/>
        <v>1.4092194660003153E-2</v>
      </c>
      <c r="EY200" s="456">
        <f t="shared" si="589"/>
        <v>23.357323485002276</v>
      </c>
      <c r="EZ200" s="456"/>
      <c r="FA200" s="538">
        <f t="shared" si="590"/>
        <v>0.10978799685899115</v>
      </c>
      <c r="FB200" s="144">
        <f t="shared" si="613"/>
        <v>23927.115128727906</v>
      </c>
      <c r="FC200" s="150">
        <f t="shared" si="591"/>
        <v>27.758972832575033</v>
      </c>
      <c r="FD200" s="5">
        <f t="shared" si="592"/>
        <v>81.900000000000006</v>
      </c>
      <c r="FE200" s="150">
        <f t="shared" si="593"/>
        <v>0.74686090781684744</v>
      </c>
      <c r="FF200" s="5">
        <f t="shared" si="594"/>
        <v>74.68609078168474</v>
      </c>
      <c r="FG200">
        <f t="shared" si="595"/>
        <v>90</v>
      </c>
      <c r="FI200" s="59">
        <f t="shared" si="596"/>
        <v>-50</v>
      </c>
      <c r="FJ200">
        <f t="shared" si="597"/>
        <v>-50</v>
      </c>
    </row>
    <row r="201" spans="5:166">
      <c r="E201" s="147">
        <v>91</v>
      </c>
      <c r="F201" s="188">
        <f t="shared" si="598"/>
        <v>0.45500000000000002</v>
      </c>
      <c r="G201" s="188">
        <f t="shared" si="499"/>
        <v>0.45500000000000002</v>
      </c>
      <c r="H201" s="188">
        <f t="shared" si="500"/>
        <v>77.350000000000009</v>
      </c>
      <c r="I201" s="188">
        <f t="shared" si="501"/>
        <v>5.46</v>
      </c>
      <c r="J201" s="465">
        <f t="shared" si="502"/>
        <v>8.8860362909777937</v>
      </c>
      <c r="K201" s="379">
        <f t="shared" si="503"/>
        <v>8.6931028398760315</v>
      </c>
      <c r="L201" s="149">
        <f t="shared" si="504"/>
        <v>17.579139130853825</v>
      </c>
      <c r="M201" s="379"/>
      <c r="N201" s="188">
        <f t="shared" si="505"/>
        <v>0.49451243176171417</v>
      </c>
      <c r="O201" s="149">
        <f t="shared" si="506"/>
        <v>136.81747629040777</v>
      </c>
      <c r="P201" s="149">
        <f t="shared" si="507"/>
        <v>9.6577042087346658</v>
      </c>
      <c r="Q201" s="188">
        <f t="shared" si="508"/>
        <v>0.80480868406122219</v>
      </c>
      <c r="R201" s="188">
        <f t="shared" si="509"/>
        <v>11.401456357533981</v>
      </c>
      <c r="S201" s="188">
        <f t="shared" si="510"/>
        <v>170</v>
      </c>
      <c r="T201" s="188">
        <f t="shared" si="511"/>
        <v>37.69011683654481</v>
      </c>
      <c r="U201" s="188">
        <f t="shared" si="512"/>
        <v>6.3622489717061743</v>
      </c>
      <c r="V201" s="188">
        <f t="shared" si="513"/>
        <v>6.5034517934707239</v>
      </c>
      <c r="W201" s="172">
        <f t="shared" si="514"/>
        <v>219.71277074871361</v>
      </c>
      <c r="X201" s="379">
        <f t="shared" si="599"/>
        <v>76.536269884982403</v>
      </c>
      <c r="Z201" s="188">
        <f t="shared" si="515"/>
        <v>13.333333333333332</v>
      </c>
      <c r="AA201" s="150">
        <f t="shared" si="516"/>
        <v>2.3006744965972601</v>
      </c>
      <c r="AB201" s="150">
        <f t="shared" si="517"/>
        <v>0.15738623919507069</v>
      </c>
      <c r="AC201" s="150"/>
      <c r="AD201" s="150">
        <f t="shared" si="518"/>
        <v>2.3006744965972605</v>
      </c>
      <c r="AE201" s="314">
        <f t="shared" si="519"/>
        <v>635.18457015011813</v>
      </c>
      <c r="AF201" s="456">
        <f t="shared" si="520"/>
        <v>0.15738623919507075</v>
      </c>
      <c r="AH201" s="150">
        <f t="shared" si="521"/>
        <v>17.761381327663305</v>
      </c>
      <c r="AI201" s="150">
        <f t="shared" si="522"/>
        <v>37.69011683654481</v>
      </c>
      <c r="AJ201" s="150">
        <f t="shared" si="523"/>
        <v>19.24206185423072</v>
      </c>
      <c r="AL201" s="314">
        <f t="shared" si="524"/>
        <v>455</v>
      </c>
      <c r="AM201" s="144">
        <f t="shared" si="525"/>
        <v>76.536269884982403</v>
      </c>
      <c r="AO201">
        <f t="shared" si="526"/>
        <v>455</v>
      </c>
      <c r="AP201">
        <f t="shared" si="527"/>
        <v>76.536269884982403</v>
      </c>
      <c r="AR201" s="5">
        <f t="shared" si="616"/>
        <v>13.065700765176896</v>
      </c>
      <c r="AS201" s="5">
        <f t="shared" si="604"/>
        <v>6.3622489717061743</v>
      </c>
      <c r="AT201" s="5">
        <f t="shared" si="605"/>
        <v>6.7034517934707214</v>
      </c>
      <c r="AU201" s="150">
        <f t="shared" si="606"/>
        <v>0.48694280437395554</v>
      </c>
      <c r="AW201" s="5">
        <f t="shared" si="477"/>
        <v>1.7028372247801822</v>
      </c>
      <c r="AX201" s="5">
        <f t="shared" si="478"/>
        <v>24.123527351052577</v>
      </c>
      <c r="AY201" s="5">
        <f t="shared" si="479"/>
        <v>97.252209205173202</v>
      </c>
      <c r="AZ201" s="5"/>
      <c r="BA201" s="150">
        <f t="shared" si="480"/>
        <v>15.18468659349422</v>
      </c>
      <c r="BB201" s="150">
        <f t="shared" si="481"/>
        <v>0.72794285154312566</v>
      </c>
      <c r="BC201" s="150">
        <f t="shared" si="482"/>
        <v>0.69248240013523443</v>
      </c>
      <c r="BD201" s="150"/>
      <c r="BE201" s="456">
        <f t="shared" si="483"/>
        <v>0.78395400360498646</v>
      </c>
      <c r="BF201" s="456">
        <f t="shared" si="528"/>
        <v>1.2145010574076891</v>
      </c>
      <c r="BG201" s="456">
        <f t="shared" si="529"/>
        <v>3.1148766487250318E-2</v>
      </c>
      <c r="BH201" s="456">
        <f t="shared" si="484"/>
        <v>1.6201419627089295E-2</v>
      </c>
      <c r="BI201">
        <f t="shared" si="485"/>
        <v>3.9987163309400074E-3</v>
      </c>
      <c r="BJ201" s="144">
        <f t="shared" si="600"/>
        <v>35.147482818190326</v>
      </c>
      <c r="BK201">
        <f t="shared" si="530"/>
        <v>2.735940844162815</v>
      </c>
      <c r="BL201" s="144">
        <f t="shared" si="601"/>
        <v>2049.8039634579554</v>
      </c>
      <c r="BM201" s="150">
        <f t="shared" si="531"/>
        <v>1.00953125</v>
      </c>
      <c r="BN201" s="150">
        <f t="shared" si="532"/>
        <v>1.00953125</v>
      </c>
      <c r="BO201" s="456"/>
      <c r="BQ201" s="144">
        <f t="shared" si="486"/>
        <v>2019.0625</v>
      </c>
      <c r="BR201" s="456">
        <f t="shared" si="487"/>
        <v>0.34586206041396467</v>
      </c>
      <c r="BS201" s="456">
        <f t="shared" si="488"/>
        <v>0.10598015902254743</v>
      </c>
      <c r="BT201" s="456">
        <f t="shared" si="489"/>
        <v>1.4385956234911648E-2</v>
      </c>
      <c r="BU201" s="456">
        <f t="shared" si="490"/>
        <v>22.346367905909901</v>
      </c>
      <c r="BV201" s="456"/>
      <c r="BW201" s="538">
        <f t="shared" si="533"/>
        <v>0.10872320839755324</v>
      </c>
      <c r="BX201" s="144">
        <f t="shared" si="607"/>
        <v>22921.319289978877</v>
      </c>
      <c r="BY201" s="150">
        <f t="shared" si="608"/>
        <v>26.990185753436833</v>
      </c>
      <c r="BZ201" s="5">
        <f t="shared" si="609"/>
        <v>82.81</v>
      </c>
      <c r="CA201" s="150">
        <f t="shared" si="610"/>
        <v>0.75418815944405615</v>
      </c>
      <c r="CB201" s="5">
        <f t="shared" si="611"/>
        <v>75.418815944405608</v>
      </c>
      <c r="CC201">
        <f t="shared" si="612"/>
        <v>91</v>
      </c>
      <c r="CE201" s="59">
        <f t="shared" si="534"/>
        <v>-50</v>
      </c>
      <c r="CF201">
        <f t="shared" si="535"/>
        <v>-50</v>
      </c>
      <c r="CG201" s="150">
        <f t="shared" si="536"/>
        <v>0.49840675206849377</v>
      </c>
      <c r="CH201" s="150">
        <f t="shared" si="537"/>
        <v>0.13505683350346268</v>
      </c>
      <c r="CI201" s="147">
        <v>91</v>
      </c>
      <c r="CJ201" s="188">
        <f t="shared" si="602"/>
        <v>0.45500000000000002</v>
      </c>
      <c r="CK201" s="188">
        <f t="shared" si="538"/>
        <v>0.45500000000000002</v>
      </c>
      <c r="CL201" s="188">
        <f t="shared" si="539"/>
        <v>77.350000000000009</v>
      </c>
      <c r="CM201" s="188">
        <f t="shared" si="540"/>
        <v>5.46</v>
      </c>
      <c r="CN201" s="465">
        <f t="shared" si="541"/>
        <v>9</v>
      </c>
      <c r="CO201" s="379">
        <f t="shared" si="542"/>
        <v>8.625</v>
      </c>
      <c r="CP201" s="379">
        <f t="shared" si="543"/>
        <v>17.625</v>
      </c>
      <c r="CQ201" s="379"/>
      <c r="CR201" s="188">
        <f t="shared" si="544"/>
        <v>0.48674080410607357</v>
      </c>
      <c r="CS201" s="149">
        <f t="shared" si="545"/>
        <v>136.39440115060304</v>
      </c>
      <c r="CT201" s="149">
        <f t="shared" si="546"/>
        <v>9.6278400812190377</v>
      </c>
      <c r="CU201" s="188">
        <f t="shared" si="547"/>
        <v>0.80232000676825321</v>
      </c>
      <c r="CV201" s="188">
        <f t="shared" si="548"/>
        <v>11.366200095883586</v>
      </c>
      <c r="CW201" s="188">
        <f t="shared" si="549"/>
        <v>170</v>
      </c>
      <c r="CX201" s="188">
        <f t="shared" si="550"/>
        <v>37.807025971489942</v>
      </c>
      <c r="CY201" s="188">
        <f t="shared" si="551"/>
        <v>6.3011709952483246</v>
      </c>
      <c r="CZ201" s="188">
        <f t="shared" si="552"/>
        <v>6.5751349515634683</v>
      </c>
      <c r="DA201" s="172">
        <f t="shared" si="553"/>
        <v>220.21276595744678</v>
      </c>
      <c r="DB201" s="379">
        <f t="shared" si="554"/>
        <v>77.662025438872277</v>
      </c>
      <c r="DD201" s="188">
        <f t="shared" si="555"/>
        <v>13.333333333333336</v>
      </c>
      <c r="DE201" s="150">
        <f t="shared" si="556"/>
        <v>2.3188405797101459</v>
      </c>
      <c r="DF201" s="150">
        <f t="shared" si="557"/>
        <v>0.15898994622398885</v>
      </c>
      <c r="DG201" s="150"/>
      <c r="DH201" s="150">
        <f t="shared" si="558"/>
        <v>2.3188405797101455</v>
      </c>
      <c r="DI201" s="314">
        <f t="shared" si="559"/>
        <v>630.20845588235272</v>
      </c>
      <c r="DJ201" s="456">
        <f t="shared" si="560"/>
        <v>0.15898994622398879</v>
      </c>
      <c r="DL201" s="150">
        <f t="shared" si="561"/>
        <v>17.761381327663305</v>
      </c>
      <c r="DM201" s="150">
        <f t="shared" si="562"/>
        <v>37.807025971489942</v>
      </c>
      <c r="DN201" s="150">
        <f t="shared" si="563"/>
        <v>19.328661213449337</v>
      </c>
      <c r="DP201" s="314">
        <f t="shared" si="564"/>
        <v>455</v>
      </c>
      <c r="DQ201" s="144">
        <f t="shared" si="565"/>
        <v>77.662025438872277</v>
      </c>
      <c r="DS201">
        <f t="shared" si="614"/>
        <v>455</v>
      </c>
      <c r="DT201">
        <f t="shared" si="615"/>
        <v>77.662025438872277</v>
      </c>
      <c r="DV201" s="5">
        <f t="shared" si="568"/>
        <v>12.876305946811796</v>
      </c>
      <c r="DW201" s="5">
        <f t="shared" si="569"/>
        <v>6.3011709952483246</v>
      </c>
      <c r="DX201" s="5">
        <f t="shared" si="570"/>
        <v>6.5751349515634709</v>
      </c>
      <c r="DY201" s="150">
        <f t="shared" si="571"/>
        <v>0.4893617021276595</v>
      </c>
      <c r="EA201" s="5">
        <f t="shared" si="572"/>
        <v>1.6864898840223457</v>
      </c>
      <c r="EB201" s="5">
        <f t="shared" si="573"/>
        <v>23.891940023649898</v>
      </c>
      <c r="EC201" s="5">
        <f t="shared" si="574"/>
        <v>94.182720093228596</v>
      </c>
      <c r="ED201" s="5"/>
      <c r="EE201" s="150">
        <f t="shared" si="575"/>
        <v>15.269572463698818</v>
      </c>
      <c r="EF201" s="150">
        <f t="shared" si="576"/>
        <v>0.72847745864010605</v>
      </c>
      <c r="EG201" s="150">
        <f t="shared" si="577"/>
        <v>0.6929909647909096</v>
      </c>
      <c r="EH201" s="150"/>
      <c r="EI201" s="456">
        <f t="shared" si="578"/>
        <v>0.79274346696210718</v>
      </c>
      <c r="EJ201" s="456">
        <f t="shared" si="579"/>
        <v>1.5731999999999995</v>
      </c>
      <c r="EK201" s="456">
        <f t="shared" si="580"/>
        <v>1.778460382550175E-2</v>
      </c>
      <c r="EL201" s="456">
        <f t="shared" si="581"/>
        <v>1.6525611382951572E-2</v>
      </c>
      <c r="EM201">
        <f t="shared" si="582"/>
        <v>4.0499999999999998E-3</v>
      </c>
      <c r="EN201" s="144">
        <f t="shared" si="583"/>
        <v>21.834603825501752</v>
      </c>
      <c r="EP201" s="144">
        <f t="shared" si="603"/>
        <v>2404.30368217056</v>
      </c>
      <c r="EQ201" s="150">
        <f t="shared" si="584"/>
        <v>1.1375</v>
      </c>
      <c r="ER201" s="150">
        <f t="shared" si="585"/>
        <v>0.32305</v>
      </c>
      <c r="ES201" s="456"/>
      <c r="EU201" s="144">
        <f t="shared" si="497"/>
        <v>1460.55</v>
      </c>
      <c r="EV201" s="456">
        <f t="shared" si="586"/>
        <v>0.34973976483622382</v>
      </c>
      <c r="EW201" s="456">
        <f t="shared" si="587"/>
        <v>0.10613588154934948</v>
      </c>
      <c r="EX201" s="456">
        <f t="shared" si="588"/>
        <v>1.440709431845507E-2</v>
      </c>
      <c r="EY201" s="456">
        <f t="shared" si="589"/>
        <v>23.357323485002276</v>
      </c>
      <c r="EZ201" s="456"/>
      <c r="FA201" s="538">
        <f t="shared" si="590"/>
        <v>0.11100786349075768</v>
      </c>
      <c r="FB201" s="144">
        <f t="shared" si="613"/>
        <v>23938.614089197064</v>
      </c>
      <c r="FC201" s="150">
        <f t="shared" si="591"/>
        <v>27.803467771367622</v>
      </c>
      <c r="FD201" s="5">
        <f t="shared" si="592"/>
        <v>82.81</v>
      </c>
      <c r="FE201" s="150">
        <f t="shared" si="593"/>
        <v>0.74864301489185781</v>
      </c>
      <c r="FF201" s="5">
        <f t="shared" si="594"/>
        <v>74.864301489185777</v>
      </c>
      <c r="FG201">
        <f t="shared" si="595"/>
        <v>91</v>
      </c>
      <c r="FI201" s="59">
        <f t="shared" si="596"/>
        <v>-50</v>
      </c>
      <c r="FJ201">
        <f t="shared" si="597"/>
        <v>-50</v>
      </c>
    </row>
    <row r="202" spans="5:166">
      <c r="E202" s="147">
        <v>92</v>
      </c>
      <c r="F202" s="188">
        <f t="shared" si="598"/>
        <v>0.46</v>
      </c>
      <c r="G202" s="188">
        <f t="shared" si="499"/>
        <v>0.46</v>
      </c>
      <c r="H202" s="188">
        <f t="shared" si="500"/>
        <v>78.2</v>
      </c>
      <c r="I202" s="188">
        <f t="shared" si="501"/>
        <v>5.5200000000000005</v>
      </c>
      <c r="J202" s="465">
        <f t="shared" si="502"/>
        <v>8.8847839425269992</v>
      </c>
      <c r="K202" s="379">
        <f t="shared" si="503"/>
        <v>8.6938512227318121</v>
      </c>
      <c r="L202" s="149">
        <f t="shared" si="504"/>
        <v>17.57863516525881</v>
      </c>
      <c r="M202" s="379"/>
      <c r="N202" s="188">
        <f t="shared" si="505"/>
        <v>0.49456918247633547</v>
      </c>
      <c r="O202" s="149">
        <f t="shared" si="506"/>
        <v>136.81389308770267</v>
      </c>
      <c r="P202" s="149">
        <f t="shared" si="507"/>
        <v>9.6574512767790139</v>
      </c>
      <c r="Q202" s="188">
        <f t="shared" si="508"/>
        <v>0.80478760639825098</v>
      </c>
      <c r="R202" s="188">
        <f t="shared" si="509"/>
        <v>11.401157757308555</v>
      </c>
      <c r="S202" s="188">
        <f t="shared" si="510"/>
        <v>170</v>
      </c>
      <c r="T202" s="188">
        <f t="shared" si="511"/>
        <v>38.105291909144029</v>
      </c>
      <c r="U202" s="188">
        <f t="shared" si="512"/>
        <v>6.4332389209972449</v>
      </c>
      <c r="V202" s="188">
        <f t="shared" si="513"/>
        <v>6.5745245000587529</v>
      </c>
      <c r="W202" s="172">
        <f t="shared" si="514"/>
        <v>219.70701654672251</v>
      </c>
      <c r="X202" s="379">
        <f t="shared" si="599"/>
        <v>75.713046041223478</v>
      </c>
      <c r="Z202" s="188">
        <f t="shared" si="515"/>
        <v>13.333333333333336</v>
      </c>
      <c r="AA202" s="150">
        <f t="shared" si="516"/>
        <v>2.3004764502647581</v>
      </c>
      <c r="AB202" s="150">
        <f t="shared" si="517"/>
        <v>0.1573685695586502</v>
      </c>
      <c r="AC202" s="150"/>
      <c r="AD202" s="150">
        <f t="shared" si="518"/>
        <v>2.3004764502647577</v>
      </c>
      <c r="AE202" s="314">
        <f t="shared" si="519"/>
        <v>642.21990385332992</v>
      </c>
      <c r="AF202" s="456">
        <f t="shared" si="520"/>
        <v>0.15736856955865017</v>
      </c>
      <c r="AH202" s="150">
        <f t="shared" si="521"/>
        <v>17.858704693603435</v>
      </c>
      <c r="AI202" s="150">
        <f t="shared" si="522"/>
        <v>38.105291909144029</v>
      </c>
      <c r="AJ202" s="150">
        <f t="shared" si="523"/>
        <v>19.549598945044956</v>
      </c>
      <c r="AL202" s="314">
        <f t="shared" si="524"/>
        <v>460</v>
      </c>
      <c r="AM202" s="144">
        <f t="shared" si="525"/>
        <v>75.713046041223478</v>
      </c>
      <c r="AO202">
        <f t="shared" si="526"/>
        <v>460</v>
      </c>
      <c r="AP202">
        <f t="shared" si="527"/>
        <v>75.713046041223478</v>
      </c>
      <c r="AR202" s="5">
        <f t="shared" si="616"/>
        <v>13.207763421055997</v>
      </c>
      <c r="AS202" s="5">
        <f t="shared" si="604"/>
        <v>6.4332389209972449</v>
      </c>
      <c r="AT202" s="5">
        <f t="shared" si="605"/>
        <v>6.7745245000587522</v>
      </c>
      <c r="AU202" s="150">
        <f t="shared" si="606"/>
        <v>0.48708011461965522</v>
      </c>
      <c r="AW202" s="5">
        <f t="shared" si="477"/>
        <v>1.7407587668580782</v>
      </c>
      <c r="AX202" s="5">
        <f t="shared" si="478"/>
        <v>24.660749197156107</v>
      </c>
      <c r="AY202" s="5">
        <f t="shared" si="479"/>
        <v>99.377358588853212</v>
      </c>
      <c r="AZ202" s="5"/>
      <c r="BA202" s="150">
        <f t="shared" si="480"/>
        <v>15.354117696373436</v>
      </c>
      <c r="BB202" s="150">
        <f t="shared" si="481"/>
        <v>0.73586300830207096</v>
      </c>
      <c r="BC202" s="150">
        <f t="shared" si="482"/>
        <v>0.70001674043441475</v>
      </c>
      <c r="BD202" s="150"/>
      <c r="BE202" s="456">
        <f t="shared" si="483"/>
        <v>0.80154636279589886</v>
      </c>
      <c r="BF202" s="456">
        <f t="shared" si="528"/>
        <v>1.2146374917107101</v>
      </c>
      <c r="BG202" s="456">
        <f t="shared" si="529"/>
        <v>3.0809387751374637E-2</v>
      </c>
      <c r="BH202" s="456">
        <f t="shared" si="484"/>
        <v>1.602623828344351E-2</v>
      </c>
      <c r="BI202">
        <f t="shared" si="485"/>
        <v>3.9981527741371498E-3</v>
      </c>
      <c r="BJ202" s="144">
        <f t="shared" si="600"/>
        <v>34.807540525511783</v>
      </c>
      <c r="BK202">
        <f t="shared" si="530"/>
        <v>2.7776177293880027</v>
      </c>
      <c r="BL202" s="144">
        <f t="shared" si="601"/>
        <v>2067.0176333155637</v>
      </c>
      <c r="BM202" s="150">
        <f t="shared" si="531"/>
        <v>1.0206250000000001</v>
      </c>
      <c r="BN202" s="150">
        <f t="shared" si="532"/>
        <v>1.0206250000000001</v>
      </c>
      <c r="BO202" s="456"/>
      <c r="BQ202" s="144">
        <f t="shared" si="486"/>
        <v>2041.2500000000002</v>
      </c>
      <c r="BR202" s="456">
        <f t="shared" si="487"/>
        <v>0.35362339535113185</v>
      </c>
      <c r="BS202" s="456">
        <f t="shared" si="488"/>
        <v>0.10829887339747475</v>
      </c>
      <c r="BT202" s="456">
        <f t="shared" si="489"/>
        <v>1.4700703106652684E-2</v>
      </c>
      <c r="BU202" s="456">
        <f t="shared" si="490"/>
        <v>22.354246401923266</v>
      </c>
      <c r="BV202" s="456"/>
      <c r="BW202" s="538">
        <f t="shared" si="533"/>
        <v>0.10993634767611435</v>
      </c>
      <c r="BX202" s="144">
        <f t="shared" si="607"/>
        <v>22940.805721454642</v>
      </c>
      <c r="BY202" s="150">
        <f t="shared" si="608"/>
        <v>27.049073354770204</v>
      </c>
      <c r="BZ202" s="5">
        <f t="shared" si="609"/>
        <v>83.72</v>
      </c>
      <c r="CA202" s="150">
        <f t="shared" si="610"/>
        <v>0.75580662963444978</v>
      </c>
      <c r="CB202" s="5">
        <f t="shared" si="611"/>
        <v>75.580662963444979</v>
      </c>
      <c r="CC202">
        <f t="shared" si="612"/>
        <v>92</v>
      </c>
      <c r="CE202" s="59">
        <f t="shared" si="534"/>
        <v>-50</v>
      </c>
      <c r="CF202">
        <f t="shared" si="535"/>
        <v>-50</v>
      </c>
      <c r="CG202" s="150">
        <f t="shared" si="536"/>
        <v>0.49840675206849377</v>
      </c>
      <c r="CH202" s="150">
        <f t="shared" si="537"/>
        <v>0.1350568335034627</v>
      </c>
      <c r="CI202" s="147">
        <v>92</v>
      </c>
      <c r="CJ202" s="188">
        <f t="shared" si="602"/>
        <v>0.46</v>
      </c>
      <c r="CK202" s="188">
        <f t="shared" si="538"/>
        <v>0.46</v>
      </c>
      <c r="CL202" s="188">
        <f t="shared" si="539"/>
        <v>78.2</v>
      </c>
      <c r="CM202" s="188">
        <f t="shared" si="540"/>
        <v>5.5200000000000005</v>
      </c>
      <c r="CN202" s="465">
        <f t="shared" si="541"/>
        <v>9</v>
      </c>
      <c r="CO202" s="379">
        <f t="shared" si="542"/>
        <v>8.625</v>
      </c>
      <c r="CP202" s="379">
        <f t="shared" si="543"/>
        <v>17.625</v>
      </c>
      <c r="CQ202" s="379"/>
      <c r="CR202" s="188">
        <f t="shared" si="544"/>
        <v>0.48674080410607357</v>
      </c>
      <c r="CS202" s="149">
        <f t="shared" si="545"/>
        <v>136.39440115060304</v>
      </c>
      <c r="CT202" s="149">
        <f t="shared" si="546"/>
        <v>9.6278400812190377</v>
      </c>
      <c r="CU202" s="188">
        <f t="shared" si="547"/>
        <v>0.80232000676825321</v>
      </c>
      <c r="CV202" s="188">
        <f t="shared" si="548"/>
        <v>11.366200095883586</v>
      </c>
      <c r="CW202" s="188">
        <f t="shared" si="549"/>
        <v>170</v>
      </c>
      <c r="CX202" s="188">
        <f t="shared" si="550"/>
        <v>38.222487795352471</v>
      </c>
      <c r="CY202" s="188">
        <f t="shared" si="551"/>
        <v>6.3704146325587461</v>
      </c>
      <c r="CZ202" s="188">
        <f t="shared" si="552"/>
        <v>6.6473891818004303</v>
      </c>
      <c r="DA202" s="172">
        <f t="shared" si="553"/>
        <v>220.21276595744678</v>
      </c>
      <c r="DB202" s="379">
        <f t="shared" si="554"/>
        <v>76.817872988449764</v>
      </c>
      <c r="DD202" s="188">
        <f t="shared" si="555"/>
        <v>13.333333333333336</v>
      </c>
      <c r="DE202" s="150">
        <f t="shared" si="556"/>
        <v>2.3188405797101459</v>
      </c>
      <c r="DF202" s="150">
        <f t="shared" si="557"/>
        <v>0.15898994622398885</v>
      </c>
      <c r="DG202" s="150"/>
      <c r="DH202" s="150">
        <f t="shared" si="558"/>
        <v>2.3188405797101455</v>
      </c>
      <c r="DI202" s="314">
        <f t="shared" si="559"/>
        <v>637.13382352941153</v>
      </c>
      <c r="DJ202" s="456">
        <f t="shared" si="560"/>
        <v>0.15898994622398879</v>
      </c>
      <c r="DL202" s="150">
        <f t="shared" si="561"/>
        <v>17.858704693603435</v>
      </c>
      <c r="DM202" s="150">
        <f t="shared" si="562"/>
        <v>38.222487795352471</v>
      </c>
      <c r="DN202" s="150">
        <f t="shared" si="563"/>
        <v>19.636410712606768</v>
      </c>
      <c r="DP202" s="314">
        <f t="shared" si="564"/>
        <v>460</v>
      </c>
      <c r="DQ202" s="144">
        <f t="shared" si="565"/>
        <v>76.817872988449764</v>
      </c>
      <c r="DS202">
        <f t="shared" si="614"/>
        <v>460</v>
      </c>
      <c r="DT202">
        <f t="shared" si="615"/>
        <v>76.817872988449764</v>
      </c>
      <c r="DV202" s="5">
        <f t="shared" si="568"/>
        <v>13.017803814359175</v>
      </c>
      <c r="DW202" s="5">
        <f t="shared" si="569"/>
        <v>6.3704146325587461</v>
      </c>
      <c r="DX202" s="5">
        <f t="shared" si="570"/>
        <v>6.6473891818004285</v>
      </c>
      <c r="DY202" s="150">
        <f t="shared" si="571"/>
        <v>0.48936170212765967</v>
      </c>
      <c r="EA202" s="5">
        <f t="shared" si="572"/>
        <v>1.7237592535158961</v>
      </c>
      <c r="EB202" s="5">
        <f t="shared" si="573"/>
        <v>24.419922758141862</v>
      </c>
      <c r="EC202" s="5">
        <f t="shared" si="574"/>
        <v>96.264043336443237</v>
      </c>
      <c r="ED202" s="5"/>
      <c r="EE202" s="150">
        <f t="shared" si="575"/>
        <v>15.43736996329991</v>
      </c>
      <c r="EF202" s="150">
        <f t="shared" si="576"/>
        <v>0.73648270543834871</v>
      </c>
      <c r="EG202" s="150">
        <f t="shared" si="577"/>
        <v>0.70060625011828215</v>
      </c>
      <c r="EH202" s="150"/>
      <c r="EI202" s="456">
        <f t="shared" si="578"/>
        <v>0.81026213070490039</v>
      </c>
      <c r="EJ202" s="456">
        <f t="shared" si="579"/>
        <v>1.5732000000000002</v>
      </c>
      <c r="EK202" s="456">
        <f t="shared" si="580"/>
        <v>1.7591292914354996E-2</v>
      </c>
      <c r="EL202" s="456">
        <f t="shared" si="581"/>
        <v>1.6345985172267319E-2</v>
      </c>
      <c r="EM202">
        <f t="shared" si="582"/>
        <v>4.0499999999999998E-3</v>
      </c>
      <c r="EN202" s="144">
        <f t="shared" si="583"/>
        <v>21.641292914354995</v>
      </c>
      <c r="EP202" s="144">
        <f t="shared" si="603"/>
        <v>2421.4494087915223</v>
      </c>
      <c r="EQ202" s="150">
        <f t="shared" si="584"/>
        <v>1.1500000000000001</v>
      </c>
      <c r="ER202" s="150">
        <f t="shared" si="585"/>
        <v>0.3266</v>
      </c>
      <c r="ES202" s="456"/>
      <c r="EU202" s="144">
        <f t="shared" si="497"/>
        <v>1476.6000000000001</v>
      </c>
      <c r="EV202" s="456">
        <f t="shared" si="586"/>
        <v>0.3574685870756914</v>
      </c>
      <c r="EW202" s="456">
        <f t="shared" si="587"/>
        <v>0.10848135508195791</v>
      </c>
      <c r="EX202" s="456">
        <f t="shared" si="588"/>
        <v>1.4725473531144027E-2</v>
      </c>
      <c r="EY202" s="456">
        <f t="shared" si="589"/>
        <v>23.357323485002276</v>
      </c>
      <c r="EZ202" s="456"/>
      <c r="FA202" s="538">
        <f t="shared" si="590"/>
        <v>0.11222773012252428</v>
      </c>
      <c r="FB202" s="144">
        <f t="shared" si="613"/>
        <v>23950.226630813591</v>
      </c>
      <c r="FC202" s="150">
        <f t="shared" si="591"/>
        <v>27.848276039605114</v>
      </c>
      <c r="FD202" s="5">
        <f t="shared" si="592"/>
        <v>83.72</v>
      </c>
      <c r="FE202" s="150">
        <f t="shared" si="593"/>
        <v>0.75039252170823745</v>
      </c>
      <c r="FF202" s="5">
        <f t="shared" si="594"/>
        <v>75.039252170823744</v>
      </c>
      <c r="FG202">
        <f t="shared" si="595"/>
        <v>92</v>
      </c>
      <c r="FI202" s="59">
        <f t="shared" si="596"/>
        <v>-50</v>
      </c>
      <c r="FJ202">
        <f t="shared" si="597"/>
        <v>-50</v>
      </c>
    </row>
    <row r="203" spans="5:166">
      <c r="E203" s="147">
        <v>93</v>
      </c>
      <c r="F203" s="188">
        <f t="shared" si="598"/>
        <v>0.46500000000000002</v>
      </c>
      <c r="G203" s="188">
        <f t="shared" si="499"/>
        <v>0.46500000000000002</v>
      </c>
      <c r="H203" s="188">
        <f t="shared" si="500"/>
        <v>79.05</v>
      </c>
      <c r="I203" s="188">
        <f t="shared" si="501"/>
        <v>5.58</v>
      </c>
      <c r="J203" s="465">
        <f t="shared" si="502"/>
        <v>8.8835315940762065</v>
      </c>
      <c r="K203" s="379">
        <f t="shared" si="503"/>
        <v>8.6945996055875927</v>
      </c>
      <c r="L203" s="149">
        <f t="shared" si="504"/>
        <v>17.578131199663801</v>
      </c>
      <c r="M203" s="379"/>
      <c r="N203" s="188">
        <f t="shared" si="505"/>
        <v>0.49462593644504632</v>
      </c>
      <c r="O203" s="149">
        <f t="shared" si="506"/>
        <v>136.81030635934923</v>
      </c>
      <c r="P203" s="149">
        <f t="shared" si="507"/>
        <v>9.6571980959540635</v>
      </c>
      <c r="Q203" s="188">
        <f t="shared" si="508"/>
        <v>0.80476650799617189</v>
      </c>
      <c r="R203" s="188">
        <f t="shared" si="509"/>
        <v>11.400858863279103</v>
      </c>
      <c r="S203" s="188">
        <f t="shared" si="510"/>
        <v>170</v>
      </c>
      <c r="T203" s="188">
        <f t="shared" si="511"/>
        <v>38.520489722153613</v>
      </c>
      <c r="U203" s="188">
        <f t="shared" si="512"/>
        <v>6.5042527255444522</v>
      </c>
      <c r="V203" s="188">
        <f t="shared" si="513"/>
        <v>6.6455888947545754</v>
      </c>
      <c r="W203" s="172">
        <f t="shared" si="514"/>
        <v>219.70125668295492</v>
      </c>
      <c r="X203" s="379">
        <f t="shared" si="599"/>
        <v>74.907255714513909</v>
      </c>
      <c r="Z203" s="188">
        <f t="shared" si="515"/>
        <v>13.333333333333334</v>
      </c>
      <c r="AA203" s="150">
        <f t="shared" si="516"/>
        <v>2.3002784380257122</v>
      </c>
      <c r="AB203" s="150">
        <f t="shared" si="517"/>
        <v>0.15735089890905149</v>
      </c>
      <c r="AC203" s="150"/>
      <c r="AD203" s="150">
        <f t="shared" si="518"/>
        <v>2.3002784380257122</v>
      </c>
      <c r="AE203" s="314">
        <f t="shared" si="519"/>
        <v>649.25643937136306</v>
      </c>
      <c r="AF203" s="456">
        <f t="shared" si="520"/>
        <v>0.15735089890905149</v>
      </c>
      <c r="AH203" s="150">
        <f t="shared" si="521"/>
        <v>17.955500549970751</v>
      </c>
      <c r="AI203" s="150">
        <f t="shared" si="522"/>
        <v>38.520489722153613</v>
      </c>
      <c r="AJ203" s="150">
        <f t="shared" si="523"/>
        <v>19.857152880607611</v>
      </c>
      <c r="AL203" s="314">
        <f t="shared" si="524"/>
        <v>465</v>
      </c>
      <c r="AM203" s="144">
        <f t="shared" si="525"/>
        <v>74.907255714513909</v>
      </c>
      <c r="AO203">
        <f t="shared" si="526"/>
        <v>465</v>
      </c>
      <c r="AP203">
        <f t="shared" si="527"/>
        <v>74.907255714513909</v>
      </c>
      <c r="AR203" s="5">
        <f t="shared" si="616"/>
        <v>13.349841620299028</v>
      </c>
      <c r="AS203" s="5">
        <f t="shared" si="604"/>
        <v>6.5042527255444522</v>
      </c>
      <c r="AT203" s="5">
        <f t="shared" si="605"/>
        <v>6.8455888947545755</v>
      </c>
      <c r="AU203" s="150">
        <f t="shared" si="606"/>
        <v>0.48721572214418235</v>
      </c>
      <c r="AW203" s="5">
        <f t="shared" si="477"/>
        <v>1.779104421987159</v>
      </c>
      <c r="AX203" s="5">
        <f t="shared" si="478"/>
        <v>25.203979311484755</v>
      </c>
      <c r="AY203" s="5">
        <f t="shared" si="479"/>
        <v>101.52565196991388</v>
      </c>
      <c r="AZ203" s="5"/>
      <c r="BA203" s="150">
        <f t="shared" si="480"/>
        <v>15.523577692584119</v>
      </c>
      <c r="BB203" s="150">
        <f t="shared" si="481"/>
        <v>0.74378267951749277</v>
      </c>
      <c r="BC203" s="150">
        <f t="shared" si="482"/>
        <v>0.70755061884246784</v>
      </c>
      <c r="BD203" s="150"/>
      <c r="BE203" s="456">
        <f t="shared" si="483"/>
        <v>0.8193369788841639</v>
      </c>
      <c r="BF203" s="456">
        <f t="shared" si="528"/>
        <v>1.2147695742923574</v>
      </c>
      <c r="BG203" s="456">
        <f t="shared" si="529"/>
        <v>3.0477196552656686E-2</v>
      </c>
      <c r="BH203" s="456">
        <f t="shared" si="484"/>
        <v>1.5854766903143667E-2</v>
      </c>
      <c r="BI203">
        <f t="shared" si="485"/>
        <v>3.9975892173342931E-3</v>
      </c>
      <c r="BJ203" s="144">
        <f t="shared" si="600"/>
        <v>34.47478576999098</v>
      </c>
      <c r="BK203">
        <f t="shared" si="530"/>
        <v>2.8202040156523096</v>
      </c>
      <c r="BL203" s="144">
        <f t="shared" si="601"/>
        <v>2084.4361058496565</v>
      </c>
      <c r="BM203" s="150">
        <f t="shared" si="531"/>
        <v>1.03171875</v>
      </c>
      <c r="BN203" s="150">
        <f t="shared" si="532"/>
        <v>1.03171875</v>
      </c>
      <c r="BO203" s="456"/>
      <c r="BQ203" s="144">
        <f t="shared" si="486"/>
        <v>2063.4375</v>
      </c>
      <c r="BR203" s="456">
        <f t="shared" si="487"/>
        <v>0.36147219656654295</v>
      </c>
      <c r="BS203" s="456">
        <f t="shared" si="488"/>
        <v>0.11064253487004427</v>
      </c>
      <c r="BT203" s="456">
        <f t="shared" si="489"/>
        <v>1.5018836346730775E-2</v>
      </c>
      <c r="BU203" s="456">
        <f t="shared" si="490"/>
        <v>22.361926745425013</v>
      </c>
      <c r="BV203" s="456"/>
      <c r="BW203" s="538">
        <f t="shared" si="533"/>
        <v>0.11114949305303483</v>
      </c>
      <c r="BX203" s="144">
        <f t="shared" si="607"/>
        <v>22960.209806261366</v>
      </c>
      <c r="BY203" s="150">
        <f t="shared" si="608"/>
        <v>27.108083412111021</v>
      </c>
      <c r="BZ203" s="5">
        <f t="shared" si="609"/>
        <v>84.63</v>
      </c>
      <c r="CA203" s="150">
        <f t="shared" si="610"/>
        <v>0.75739620204392333</v>
      </c>
      <c r="CB203" s="5">
        <f t="shared" si="611"/>
        <v>75.739620204392338</v>
      </c>
      <c r="CC203">
        <f t="shared" si="612"/>
        <v>93</v>
      </c>
      <c r="CE203" s="59">
        <f t="shared" si="534"/>
        <v>-50</v>
      </c>
      <c r="CF203">
        <f t="shared" si="535"/>
        <v>-50</v>
      </c>
      <c r="CG203" s="150">
        <f t="shared" si="536"/>
        <v>0.49840675206849377</v>
      </c>
      <c r="CH203" s="150">
        <f t="shared" si="537"/>
        <v>0.1350568335034627</v>
      </c>
      <c r="CI203" s="147">
        <v>93</v>
      </c>
      <c r="CJ203" s="188">
        <f t="shared" si="602"/>
        <v>0.46500000000000002</v>
      </c>
      <c r="CK203" s="188">
        <f t="shared" si="538"/>
        <v>0.46500000000000002</v>
      </c>
      <c r="CL203" s="188">
        <f t="shared" si="539"/>
        <v>79.05</v>
      </c>
      <c r="CM203" s="188">
        <f t="shared" si="540"/>
        <v>5.58</v>
      </c>
      <c r="CN203" s="465">
        <f t="shared" si="541"/>
        <v>9</v>
      </c>
      <c r="CO203" s="379">
        <f t="shared" si="542"/>
        <v>8.625</v>
      </c>
      <c r="CP203" s="379">
        <f t="shared" si="543"/>
        <v>17.625</v>
      </c>
      <c r="CQ203" s="379"/>
      <c r="CR203" s="188">
        <f t="shared" si="544"/>
        <v>0.48674080410607357</v>
      </c>
      <c r="CS203" s="149">
        <f t="shared" si="545"/>
        <v>136.39440115060304</v>
      </c>
      <c r="CT203" s="149">
        <f t="shared" si="546"/>
        <v>9.6278400812190377</v>
      </c>
      <c r="CU203" s="188">
        <f t="shared" si="547"/>
        <v>0.80232000676825321</v>
      </c>
      <c r="CV203" s="188">
        <f t="shared" si="548"/>
        <v>11.366200095883586</v>
      </c>
      <c r="CW203" s="188">
        <f t="shared" si="549"/>
        <v>170</v>
      </c>
      <c r="CX203" s="188">
        <f t="shared" si="550"/>
        <v>38.637949619214993</v>
      </c>
      <c r="CY203" s="188">
        <f t="shared" si="551"/>
        <v>6.4396582698691658</v>
      </c>
      <c r="CZ203" s="188">
        <f t="shared" si="552"/>
        <v>6.7196434120373905</v>
      </c>
      <c r="DA203" s="172">
        <f t="shared" si="553"/>
        <v>220.21276595744678</v>
      </c>
      <c r="DB203" s="379">
        <f t="shared" si="554"/>
        <v>75.991874354165361</v>
      </c>
      <c r="DD203" s="188">
        <f t="shared" si="555"/>
        <v>13.333333333333336</v>
      </c>
      <c r="DE203" s="150">
        <f t="shared" si="556"/>
        <v>2.3188405797101459</v>
      </c>
      <c r="DF203" s="150">
        <f t="shared" si="557"/>
        <v>0.15898994622398885</v>
      </c>
      <c r="DG203" s="150"/>
      <c r="DH203" s="150">
        <f t="shared" si="558"/>
        <v>2.3188405797101455</v>
      </c>
      <c r="DI203" s="314">
        <f t="shared" si="559"/>
        <v>644.05919117647045</v>
      </c>
      <c r="DJ203" s="456">
        <f t="shared" si="560"/>
        <v>0.15898994622398879</v>
      </c>
      <c r="DL203" s="150">
        <f t="shared" si="561"/>
        <v>17.955500549970751</v>
      </c>
      <c r="DM203" s="150">
        <f t="shared" si="562"/>
        <v>38.637949619214993</v>
      </c>
      <c r="DN203" s="150">
        <f t="shared" si="563"/>
        <v>19.944160211764192</v>
      </c>
      <c r="DP203" s="314">
        <f t="shared" si="564"/>
        <v>465</v>
      </c>
      <c r="DQ203" s="144">
        <f t="shared" si="565"/>
        <v>75.991874354165361</v>
      </c>
      <c r="DS203">
        <f t="shared" si="614"/>
        <v>465</v>
      </c>
      <c r="DT203">
        <f t="shared" si="615"/>
        <v>75.991874354165361</v>
      </c>
      <c r="DV203" s="5">
        <f t="shared" si="568"/>
        <v>13.159301681906557</v>
      </c>
      <c r="DW203" s="5">
        <f t="shared" si="569"/>
        <v>6.4396582698691658</v>
      </c>
      <c r="DX203" s="5">
        <f t="shared" si="570"/>
        <v>6.7196434120373914</v>
      </c>
      <c r="DY203" s="150">
        <f t="shared" si="571"/>
        <v>0.48936170212765956</v>
      </c>
      <c r="EA203" s="5">
        <f t="shared" si="572"/>
        <v>1.7614359385230365</v>
      </c>
      <c r="EB203" s="5">
        <f t="shared" si="573"/>
        <v>24.953675795743017</v>
      </c>
      <c r="EC203" s="5">
        <f t="shared" si="574"/>
        <v>98.368113281769581</v>
      </c>
      <c r="ED203" s="5"/>
      <c r="EE203" s="150">
        <f t="shared" si="575"/>
        <v>15.60516746290099</v>
      </c>
      <c r="EF203" s="150">
        <f t="shared" si="576"/>
        <v>0.7444879522365917</v>
      </c>
      <c r="EG203" s="150">
        <f t="shared" si="577"/>
        <v>0.7082215354456548</v>
      </c>
      <c r="EH203" s="150"/>
      <c r="EI203" s="456">
        <f t="shared" si="578"/>
        <v>0.82797225525362461</v>
      </c>
      <c r="EJ203" s="456">
        <f t="shared" si="579"/>
        <v>1.5731999999999997</v>
      </c>
      <c r="EK203" s="456">
        <f t="shared" si="580"/>
        <v>1.7402139227103867E-2</v>
      </c>
      <c r="EL203" s="456">
        <f t="shared" si="581"/>
        <v>1.6170221890845091E-2</v>
      </c>
      <c r="EM203">
        <f t="shared" si="582"/>
        <v>4.0499999999999998E-3</v>
      </c>
      <c r="EN203" s="144">
        <f t="shared" si="583"/>
        <v>21.452139227103867</v>
      </c>
      <c r="EP203" s="144">
        <f t="shared" si="603"/>
        <v>2438.7946163715728</v>
      </c>
      <c r="EQ203" s="150">
        <f t="shared" si="584"/>
        <v>1.1625000000000001</v>
      </c>
      <c r="ER203" s="150">
        <f t="shared" si="585"/>
        <v>0.33015000000000005</v>
      </c>
      <c r="ES203" s="456"/>
      <c r="EU203" s="144">
        <f t="shared" si="497"/>
        <v>1492.6500000000003</v>
      </c>
      <c r="EV203" s="456">
        <f t="shared" si="586"/>
        <v>0.36528187731777562</v>
      </c>
      <c r="EW203" s="456">
        <f t="shared" si="587"/>
        <v>0.11085246220508674</v>
      </c>
      <c r="EX203" s="456">
        <f t="shared" si="588"/>
        <v>1.5047332298070025E-2</v>
      </c>
      <c r="EY203" s="456">
        <f t="shared" si="589"/>
        <v>23.357323485002272</v>
      </c>
      <c r="EZ203" s="456"/>
      <c r="FA203" s="538">
        <f t="shared" si="590"/>
        <v>0.11344759675429081</v>
      </c>
      <c r="FB203" s="144">
        <f t="shared" si="613"/>
        <v>23961.952753577494</v>
      </c>
      <c r="FC203" s="150">
        <f t="shared" si="591"/>
        <v>27.893397369949071</v>
      </c>
      <c r="FD203" s="5">
        <f t="shared" si="592"/>
        <v>84.63</v>
      </c>
      <c r="FE203" s="150">
        <f t="shared" si="593"/>
        <v>0.75211024531864701</v>
      </c>
      <c r="FF203" s="5">
        <f t="shared" si="594"/>
        <v>75.211024531864695</v>
      </c>
      <c r="FG203">
        <f t="shared" si="595"/>
        <v>93</v>
      </c>
      <c r="FI203" s="59">
        <f t="shared" si="596"/>
        <v>-50</v>
      </c>
      <c r="FJ203">
        <f t="shared" si="597"/>
        <v>-50</v>
      </c>
    </row>
    <row r="204" spans="5:166">
      <c r="E204" s="147">
        <v>94</v>
      </c>
      <c r="F204" s="188">
        <f t="shared" si="598"/>
        <v>0.47</v>
      </c>
      <c r="G204" s="188">
        <f t="shared" si="499"/>
        <v>0.47</v>
      </c>
      <c r="H204" s="188">
        <f t="shared" si="500"/>
        <v>79.899999999999991</v>
      </c>
      <c r="I204" s="188">
        <f t="shared" si="501"/>
        <v>5.64</v>
      </c>
      <c r="J204" s="465">
        <f t="shared" si="502"/>
        <v>8.882279245625412</v>
      </c>
      <c r="K204" s="379">
        <f t="shared" si="503"/>
        <v>8.6953479884433733</v>
      </c>
      <c r="L204" s="149">
        <f t="shared" si="504"/>
        <v>17.577627234068785</v>
      </c>
      <c r="M204" s="379"/>
      <c r="N204" s="188">
        <f t="shared" si="505"/>
        <v>0.49468269366812689</v>
      </c>
      <c r="O204" s="149">
        <f t="shared" si="506"/>
        <v>136.80671610504416</v>
      </c>
      <c r="P204" s="149">
        <f t="shared" si="507"/>
        <v>9.6569446662384113</v>
      </c>
      <c r="Q204" s="188">
        <f t="shared" si="508"/>
        <v>0.8047453888532009</v>
      </c>
      <c r="R204" s="188">
        <f t="shared" si="509"/>
        <v>11.400559675420347</v>
      </c>
      <c r="S204" s="188">
        <f t="shared" si="510"/>
        <v>170</v>
      </c>
      <c r="T204" s="188">
        <f t="shared" si="511"/>
        <v>38.935710309548668</v>
      </c>
      <c r="U204" s="188">
        <f t="shared" si="512"/>
        <v>6.5752904011757112</v>
      </c>
      <c r="V204" s="188">
        <f t="shared" si="513"/>
        <v>6.7166449855652433</v>
      </c>
      <c r="W204" s="172">
        <f t="shared" si="514"/>
        <v>219.69549115692385</v>
      </c>
      <c r="X204" s="379">
        <f t="shared" si="599"/>
        <v>74.118350802564521</v>
      </c>
      <c r="Z204" s="188">
        <f t="shared" si="515"/>
        <v>13.333333333333334</v>
      </c>
      <c r="AA204" s="150">
        <f t="shared" si="516"/>
        <v>2.3000804598713214</v>
      </c>
      <c r="AB204" s="150">
        <f t="shared" si="517"/>
        <v>0.15733322724618765</v>
      </c>
      <c r="AC204" s="150"/>
      <c r="AD204" s="150">
        <f t="shared" si="518"/>
        <v>2.3000804598713214</v>
      </c>
      <c r="AE204" s="314">
        <f t="shared" si="519"/>
        <v>656.29417670421708</v>
      </c>
      <c r="AF204" s="456">
        <f t="shared" si="520"/>
        <v>0.15733322724618765</v>
      </c>
      <c r="AH204" s="150">
        <f t="shared" si="521"/>
        <v>18.05177738248139</v>
      </c>
      <c r="AI204" s="150">
        <f t="shared" si="522"/>
        <v>38.935710309548668</v>
      </c>
      <c r="AJ204" s="150">
        <f t="shared" si="523"/>
        <v>20.164723686085431</v>
      </c>
      <c r="AL204" s="314">
        <f t="shared" si="524"/>
        <v>470</v>
      </c>
      <c r="AM204" s="144">
        <f t="shared" si="525"/>
        <v>74.118350802564521</v>
      </c>
      <c r="AO204">
        <f t="shared" si="526"/>
        <v>470</v>
      </c>
      <c r="AP204">
        <f t="shared" si="527"/>
        <v>74.118350802564521</v>
      </c>
      <c r="AR204" s="5">
        <f t="shared" si="616"/>
        <v>13.491935386740954</v>
      </c>
      <c r="AS204" s="5">
        <f t="shared" si="604"/>
        <v>6.5752904011757112</v>
      </c>
      <c r="AT204" s="5">
        <f t="shared" si="605"/>
        <v>6.9166449855652425</v>
      </c>
      <c r="AU204" s="150">
        <f t="shared" si="606"/>
        <v>0.48734968058307654</v>
      </c>
      <c r="AW204" s="5">
        <f t="shared" si="477"/>
        <v>1.8178744050309319</v>
      </c>
      <c r="AX204" s="5">
        <f t="shared" si="478"/>
        <v>25.7532207379382</v>
      </c>
      <c r="AY204" s="5">
        <f t="shared" si="479"/>
        <v>103.69709528081658</v>
      </c>
      <c r="AZ204" s="5"/>
      <c r="BA204" s="150">
        <f t="shared" si="480"/>
        <v>15.693066587667234</v>
      </c>
      <c r="BB204" s="150">
        <f t="shared" si="481"/>
        <v>0.75170186633794533</v>
      </c>
      <c r="BC204" s="150">
        <f t="shared" si="482"/>
        <v>0.7150840364519977</v>
      </c>
      <c r="BD204" s="150"/>
      <c r="BE204" s="456">
        <f t="shared" si="483"/>
        <v>0.83732595234485618</v>
      </c>
      <c r="BF204" s="456">
        <f t="shared" si="528"/>
        <v>1.2148974410277036</v>
      </c>
      <c r="BG204" s="456">
        <f t="shared" si="529"/>
        <v>3.0151966918654988E-2</v>
      </c>
      <c r="BH204" s="456">
        <f t="shared" si="484"/>
        <v>1.5686888846666778E-2</v>
      </c>
      <c r="BI204">
        <f t="shared" si="485"/>
        <v>3.9970256605314355E-3</v>
      </c>
      <c r="BJ204" s="144">
        <f t="shared" si="600"/>
        <v>34.148992579186427</v>
      </c>
      <c r="BK204">
        <f t="shared" si="530"/>
        <v>2.8637218808645613</v>
      </c>
      <c r="BL204" s="144">
        <f t="shared" si="601"/>
        <v>2102.0592747984128</v>
      </c>
      <c r="BM204" s="150">
        <f t="shared" si="531"/>
        <v>1.0428124999999997</v>
      </c>
      <c r="BN204" s="150">
        <f t="shared" si="532"/>
        <v>1.0428124999999997</v>
      </c>
      <c r="BO204" s="456"/>
      <c r="BQ204" s="144">
        <f t="shared" si="486"/>
        <v>2085.6249999999995</v>
      </c>
      <c r="BR204" s="456">
        <f t="shared" si="487"/>
        <v>0.36940850838743661</v>
      </c>
      <c r="BS204" s="456">
        <f t="shared" si="488"/>
        <v>0.11301113917119006</v>
      </c>
      <c r="BT204" s="456">
        <f t="shared" si="489"/>
        <v>1.5340355375654459E-2</v>
      </c>
      <c r="BU204" s="456">
        <f t="shared" si="490"/>
        <v>22.369415050324768</v>
      </c>
      <c r="BV204" s="456"/>
      <c r="BW204" s="538">
        <f t="shared" si="533"/>
        <v>0.11236264433929295</v>
      </c>
      <c r="BX204" s="144">
        <f t="shared" si="607"/>
        <v>22979.537697598342</v>
      </c>
      <c r="BY204" s="150">
        <f t="shared" si="608"/>
        <v>27.167221972396753</v>
      </c>
      <c r="BZ204" s="5">
        <f t="shared" si="609"/>
        <v>85.539999999999992</v>
      </c>
      <c r="CA204" s="150">
        <f t="shared" si="610"/>
        <v>0.7589575761254207</v>
      </c>
      <c r="CB204" s="5">
        <f t="shared" si="611"/>
        <v>75.89575761254207</v>
      </c>
      <c r="CC204">
        <f t="shared" si="612"/>
        <v>94</v>
      </c>
      <c r="CE204" s="59">
        <f t="shared" si="534"/>
        <v>-50</v>
      </c>
      <c r="CF204">
        <f t="shared" si="535"/>
        <v>-50</v>
      </c>
      <c r="CG204" s="150">
        <f t="shared" si="536"/>
        <v>0.49840675206849366</v>
      </c>
      <c r="CH204" s="150">
        <f t="shared" si="537"/>
        <v>0.1350568335034627</v>
      </c>
      <c r="CI204" s="147">
        <v>94</v>
      </c>
      <c r="CJ204" s="188">
        <f t="shared" si="602"/>
        <v>0.47</v>
      </c>
      <c r="CK204" s="188">
        <f t="shared" si="538"/>
        <v>0.47</v>
      </c>
      <c r="CL204" s="188">
        <f t="shared" si="539"/>
        <v>79.899999999999991</v>
      </c>
      <c r="CM204" s="188">
        <f t="shared" si="540"/>
        <v>5.64</v>
      </c>
      <c r="CN204" s="465">
        <f t="shared" si="541"/>
        <v>9</v>
      </c>
      <c r="CO204" s="379">
        <f t="shared" si="542"/>
        <v>8.625</v>
      </c>
      <c r="CP204" s="379">
        <f t="shared" si="543"/>
        <v>17.625</v>
      </c>
      <c r="CQ204" s="379"/>
      <c r="CR204" s="188">
        <f t="shared" si="544"/>
        <v>0.48674080410607357</v>
      </c>
      <c r="CS204" s="149">
        <f t="shared" si="545"/>
        <v>136.39440115060304</v>
      </c>
      <c r="CT204" s="149">
        <f t="shared" si="546"/>
        <v>9.6278400812190377</v>
      </c>
      <c r="CU204" s="188">
        <f t="shared" si="547"/>
        <v>0.80232000676825321</v>
      </c>
      <c r="CV204" s="188">
        <f t="shared" si="548"/>
        <v>11.366200095883586</v>
      </c>
      <c r="CW204" s="188">
        <f t="shared" si="549"/>
        <v>170</v>
      </c>
      <c r="CX204" s="188">
        <f t="shared" si="550"/>
        <v>39.053411443077522</v>
      </c>
      <c r="CY204" s="188">
        <f t="shared" si="551"/>
        <v>6.5089019071795873</v>
      </c>
      <c r="CZ204" s="188">
        <f t="shared" si="552"/>
        <v>6.7918976422743524</v>
      </c>
      <c r="DA204" s="172">
        <f t="shared" si="553"/>
        <v>220.21276595744678</v>
      </c>
      <c r="DB204" s="379">
        <f t="shared" si="554"/>
        <v>75.183450158908286</v>
      </c>
      <c r="DD204" s="188">
        <f t="shared" si="555"/>
        <v>13.333333333333336</v>
      </c>
      <c r="DE204" s="150">
        <f t="shared" si="556"/>
        <v>2.3188405797101459</v>
      </c>
      <c r="DF204" s="150">
        <f t="shared" si="557"/>
        <v>0.15898994622398885</v>
      </c>
      <c r="DG204" s="150"/>
      <c r="DH204" s="150">
        <f t="shared" si="558"/>
        <v>2.3188405797101455</v>
      </c>
      <c r="DI204" s="314">
        <f t="shared" si="559"/>
        <v>650.98455882352914</v>
      </c>
      <c r="DJ204" s="456">
        <f t="shared" si="560"/>
        <v>0.15898994622398879</v>
      </c>
      <c r="DL204" s="150">
        <f t="shared" si="561"/>
        <v>18.05177738248139</v>
      </c>
      <c r="DM204" s="150">
        <f t="shared" si="562"/>
        <v>39.053411443077522</v>
      </c>
      <c r="DN204" s="150">
        <f t="shared" si="563"/>
        <v>20.251909710921616</v>
      </c>
      <c r="DP204" s="314">
        <f t="shared" si="564"/>
        <v>470</v>
      </c>
      <c r="DQ204" s="144">
        <f t="shared" si="565"/>
        <v>75.183450158908286</v>
      </c>
      <c r="DS204">
        <f t="shared" si="614"/>
        <v>470</v>
      </c>
      <c r="DT204">
        <f t="shared" si="615"/>
        <v>75.183450158908286</v>
      </c>
      <c r="DV204" s="5">
        <f t="shared" si="568"/>
        <v>13.30079954945394</v>
      </c>
      <c r="DW204" s="5">
        <f t="shared" si="569"/>
        <v>6.5089019071795873</v>
      </c>
      <c r="DX204" s="5">
        <f t="shared" si="570"/>
        <v>6.7918976422743524</v>
      </c>
      <c r="DY204" s="150">
        <f t="shared" si="571"/>
        <v>0.48936170212765956</v>
      </c>
      <c r="EA204" s="5">
        <f t="shared" si="572"/>
        <v>1.7995199390437682</v>
      </c>
      <c r="EB204" s="5">
        <f t="shared" si="573"/>
        <v>25.493199136453381</v>
      </c>
      <c r="EC204" s="5">
        <f t="shared" si="574"/>
        <v>100.49492992920752</v>
      </c>
      <c r="ED204" s="5"/>
      <c r="EE204" s="150">
        <f t="shared" si="575"/>
        <v>15.772964962502076</v>
      </c>
      <c r="EF204" s="150">
        <f t="shared" si="576"/>
        <v>0.75249319903483469</v>
      </c>
      <c r="EG204" s="150">
        <f t="shared" si="577"/>
        <v>0.71583682077302746</v>
      </c>
      <c r="EH204" s="150"/>
      <c r="EI204" s="456">
        <f t="shared" si="578"/>
        <v>0.84587384060828152</v>
      </c>
      <c r="EJ204" s="456">
        <f t="shared" si="579"/>
        <v>1.5731999999999997</v>
      </c>
      <c r="EK204" s="456">
        <f t="shared" si="580"/>
        <v>1.7217010086389997E-2</v>
      </c>
      <c r="EL204" s="456">
        <f t="shared" si="581"/>
        <v>1.5998198253708441E-2</v>
      </c>
      <c r="EM204">
        <f t="shared" si="582"/>
        <v>4.0499999999999998E-3</v>
      </c>
      <c r="EN204" s="144">
        <f t="shared" si="583"/>
        <v>21.267010086389995</v>
      </c>
      <c r="EP204" s="144">
        <f t="shared" si="603"/>
        <v>2456.3390489483795</v>
      </c>
      <c r="EQ204" s="150">
        <f t="shared" si="584"/>
        <v>1.1749999999999998</v>
      </c>
      <c r="ER204" s="150">
        <f t="shared" si="585"/>
        <v>0.3337</v>
      </c>
      <c r="ES204" s="456"/>
      <c r="EU204" s="144">
        <f t="shared" si="497"/>
        <v>1508.6999999999998</v>
      </c>
      <c r="EV204" s="456">
        <f t="shared" si="586"/>
        <v>0.37317963556247719</v>
      </c>
      <c r="EW204" s="456">
        <f t="shared" si="587"/>
        <v>0.11324920291873586</v>
      </c>
      <c r="EX204" s="456">
        <f t="shared" si="588"/>
        <v>1.5372670619233064E-2</v>
      </c>
      <c r="EY204" s="456">
        <f t="shared" si="589"/>
        <v>23.357323485002272</v>
      </c>
      <c r="EZ204" s="456"/>
      <c r="FA204" s="538">
        <f t="shared" si="590"/>
        <v>0.11466746338605739</v>
      </c>
      <c r="FB204" s="144">
        <f t="shared" si="613"/>
        <v>23973.792457488777</v>
      </c>
      <c r="FC204" s="150">
        <f t="shared" si="591"/>
        <v>27.938831506437158</v>
      </c>
      <c r="FD204" s="5">
        <f t="shared" si="592"/>
        <v>85.539999999999992</v>
      </c>
      <c r="FE204" s="150">
        <f t="shared" si="593"/>
        <v>0.75379697573945936</v>
      </c>
      <c r="FF204" s="5">
        <f t="shared" si="594"/>
        <v>75.379697573945933</v>
      </c>
      <c r="FG204">
        <f t="shared" si="595"/>
        <v>94</v>
      </c>
      <c r="FI204" s="59">
        <f t="shared" si="596"/>
        <v>-50</v>
      </c>
      <c r="FJ204">
        <f t="shared" si="597"/>
        <v>-50</v>
      </c>
    </row>
    <row r="205" spans="5:166">
      <c r="E205" s="147">
        <v>95</v>
      </c>
      <c r="F205" s="188">
        <f t="shared" si="598"/>
        <v>0.47499999999999998</v>
      </c>
      <c r="G205" s="188">
        <f t="shared" si="499"/>
        <v>0.47499999999999998</v>
      </c>
      <c r="H205" s="188">
        <f t="shared" si="500"/>
        <v>80.75</v>
      </c>
      <c r="I205" s="188">
        <f t="shared" si="501"/>
        <v>5.6999999999999993</v>
      </c>
      <c r="J205" s="465">
        <f t="shared" si="502"/>
        <v>8.8810268971746194</v>
      </c>
      <c r="K205" s="379">
        <f t="shared" si="503"/>
        <v>8.6960963712991521</v>
      </c>
      <c r="L205" s="149">
        <f t="shared" si="504"/>
        <v>17.57712326847377</v>
      </c>
      <c r="M205" s="379"/>
      <c r="N205" s="188">
        <f t="shared" si="505"/>
        <v>0.49473945414585685</v>
      </c>
      <c r="O205" s="149">
        <f t="shared" si="506"/>
        <v>136.80312232448418</v>
      </c>
      <c r="P205" s="149">
        <f t="shared" si="507"/>
        <v>9.6566909876106468</v>
      </c>
      <c r="Q205" s="188">
        <f t="shared" si="508"/>
        <v>0.80472424896755401</v>
      </c>
      <c r="R205" s="188">
        <f t="shared" si="509"/>
        <v>11.400260193707014</v>
      </c>
      <c r="S205" s="188">
        <f t="shared" si="510"/>
        <v>170</v>
      </c>
      <c r="T205" s="188">
        <f t="shared" si="511"/>
        <v>39.350953705315092</v>
      </c>
      <c r="U205" s="188">
        <f t="shared" si="512"/>
        <v>6.6463519637296802</v>
      </c>
      <c r="V205" s="188">
        <f t="shared" si="513"/>
        <v>6.7876927804969105</v>
      </c>
      <c r="W205" s="172">
        <f t="shared" si="514"/>
        <v>219.68971996814219</v>
      </c>
      <c r="X205" s="379">
        <f t="shared" si="599"/>
        <v>73.345805940930006</v>
      </c>
      <c r="Z205" s="188">
        <f t="shared" si="515"/>
        <v>13.333333333333334</v>
      </c>
      <c r="AA205" s="150">
        <f t="shared" si="516"/>
        <v>2.2998825157927847</v>
      </c>
      <c r="AB205" s="150">
        <f t="shared" si="517"/>
        <v>0.15731555456997134</v>
      </c>
      <c r="AC205" s="150"/>
      <c r="AD205" s="150">
        <f t="shared" si="518"/>
        <v>2.2998825157927847</v>
      </c>
      <c r="AE205" s="314">
        <f t="shared" si="519"/>
        <v>663.33311585189244</v>
      </c>
      <c r="AF205" s="456">
        <f t="shared" si="520"/>
        <v>0.15731555456997137</v>
      </c>
      <c r="AH205" s="150">
        <f t="shared" si="521"/>
        <v>18.147543451754931</v>
      </c>
      <c r="AI205" s="150">
        <f t="shared" si="522"/>
        <v>39.350953705315092</v>
      </c>
      <c r="AJ205" s="150">
        <f t="shared" si="523"/>
        <v>20.472311386653153</v>
      </c>
      <c r="AL205" s="314">
        <f t="shared" si="524"/>
        <v>475</v>
      </c>
      <c r="AM205" s="144">
        <f t="shared" si="525"/>
        <v>73.345805940930006</v>
      </c>
      <c r="AO205">
        <f t="shared" si="526"/>
        <v>475</v>
      </c>
      <c r="AP205">
        <f t="shared" si="527"/>
        <v>73.345805940930006</v>
      </c>
      <c r="AR205" s="5">
        <f t="shared" si="616"/>
        <v>13.634044744226587</v>
      </c>
      <c r="AS205" s="5">
        <f t="shared" si="604"/>
        <v>6.6463519637296802</v>
      </c>
      <c r="AT205" s="5">
        <f t="shared" si="605"/>
        <v>6.9876927804969071</v>
      </c>
      <c r="AU205" s="150">
        <f t="shared" si="606"/>
        <v>0.4874820413468362</v>
      </c>
      <c r="AW205" s="5">
        <f t="shared" si="477"/>
        <v>1.8570689310421167</v>
      </c>
      <c r="AX205" s="5">
        <f t="shared" si="478"/>
        <v>26.308476523096651</v>
      </c>
      <c r="AY205" s="5">
        <f t="shared" si="479"/>
        <v>105.89169446246427</v>
      </c>
      <c r="AZ205" s="5"/>
      <c r="BA205" s="150">
        <f t="shared" si="480"/>
        <v>15.862584387581071</v>
      </c>
      <c r="BB205" s="150">
        <f t="shared" si="481"/>
        <v>0.75962056988207438</v>
      </c>
      <c r="BC205" s="150">
        <f t="shared" si="482"/>
        <v>0.7226169943271572</v>
      </c>
      <c r="BD205" s="150"/>
      <c r="BE205" s="456">
        <f t="shared" si="483"/>
        <v>0.85551338374064445</v>
      </c>
      <c r="BF205" s="456">
        <f t="shared" si="528"/>
        <v>1.2150212221550889</v>
      </c>
      <c r="BG205" s="456">
        <f t="shared" si="529"/>
        <v>2.9833482251320799E-2</v>
      </c>
      <c r="BH205" s="456">
        <f t="shared" si="484"/>
        <v>1.5522492313242285E-2</v>
      </c>
      <c r="BI205">
        <f t="shared" si="485"/>
        <v>3.9964621037285788E-3</v>
      </c>
      <c r="BJ205" s="144">
        <f t="shared" si="600"/>
        <v>33.829944355049378</v>
      </c>
      <c r="BK205">
        <f t="shared" si="530"/>
        <v>2.9081943112315676</v>
      </c>
      <c r="BL205" s="144">
        <f t="shared" si="601"/>
        <v>2119.8870425640253</v>
      </c>
      <c r="BM205" s="150">
        <f t="shared" si="531"/>
        <v>1.05390625</v>
      </c>
      <c r="BN205" s="150">
        <f t="shared" si="532"/>
        <v>1.05390625</v>
      </c>
      <c r="BO205" s="456"/>
      <c r="BQ205" s="144">
        <f t="shared" si="486"/>
        <v>2107.8125</v>
      </c>
      <c r="BR205" s="456">
        <f t="shared" si="487"/>
        <v>0.37743237517969613</v>
      </c>
      <c r="BS205" s="456">
        <f t="shared" si="488"/>
        <v>0.11540468203759349</v>
      </c>
      <c r="BT205" s="456">
        <f t="shared" si="489"/>
        <v>1.5665259614712441E-2</v>
      </c>
      <c r="BU205" s="456">
        <f t="shared" si="490"/>
        <v>22.376717179799343</v>
      </c>
      <c r="BV205" s="456"/>
      <c r="BW205" s="538">
        <f t="shared" si="533"/>
        <v>0.11357580135370846</v>
      </c>
      <c r="BX205" s="144">
        <f t="shared" si="607"/>
        <v>22998.795297985052</v>
      </c>
      <c r="BY205" s="150">
        <f t="shared" si="608"/>
        <v>27.226494840549076</v>
      </c>
      <c r="BZ205" s="5">
        <f t="shared" si="609"/>
        <v>86.45</v>
      </c>
      <c r="CA205" s="150">
        <f t="shared" si="610"/>
        <v>0.76049142895601296</v>
      </c>
      <c r="CB205" s="5">
        <f t="shared" si="611"/>
        <v>76.049142895601292</v>
      </c>
      <c r="CC205">
        <f t="shared" si="612"/>
        <v>95</v>
      </c>
      <c r="CE205" s="59">
        <f t="shared" si="534"/>
        <v>-50</v>
      </c>
      <c r="CF205">
        <f t="shared" si="535"/>
        <v>-50</v>
      </c>
      <c r="CG205" s="150">
        <f t="shared" si="536"/>
        <v>0.49840675206849377</v>
      </c>
      <c r="CH205" s="150">
        <f t="shared" si="537"/>
        <v>0.1350568335034627</v>
      </c>
      <c r="CI205" s="147">
        <v>95</v>
      </c>
      <c r="CJ205" s="188">
        <f t="shared" si="602"/>
        <v>0.47499999999999998</v>
      </c>
      <c r="CK205" s="188">
        <f t="shared" si="538"/>
        <v>0.47499999999999998</v>
      </c>
      <c r="CL205" s="188">
        <f t="shared" si="539"/>
        <v>80.75</v>
      </c>
      <c r="CM205" s="188">
        <f t="shared" si="540"/>
        <v>5.6999999999999993</v>
      </c>
      <c r="CN205" s="465">
        <f t="shared" si="541"/>
        <v>9</v>
      </c>
      <c r="CO205" s="379">
        <f t="shared" si="542"/>
        <v>8.625</v>
      </c>
      <c r="CP205" s="379">
        <f t="shared" si="543"/>
        <v>17.625</v>
      </c>
      <c r="CQ205" s="379"/>
      <c r="CR205" s="188">
        <f t="shared" si="544"/>
        <v>0.48674080410607357</v>
      </c>
      <c r="CS205" s="149">
        <f t="shared" si="545"/>
        <v>136.39440115060304</v>
      </c>
      <c r="CT205" s="149">
        <f t="shared" si="546"/>
        <v>9.6278400812190377</v>
      </c>
      <c r="CU205" s="188">
        <f t="shared" si="547"/>
        <v>0.80232000676825321</v>
      </c>
      <c r="CV205" s="188">
        <f t="shared" si="548"/>
        <v>11.366200095883586</v>
      </c>
      <c r="CW205" s="188">
        <f t="shared" si="549"/>
        <v>170</v>
      </c>
      <c r="CX205" s="188">
        <f t="shared" si="550"/>
        <v>39.468873266940051</v>
      </c>
      <c r="CY205" s="188">
        <f t="shared" si="551"/>
        <v>6.5781455444900088</v>
      </c>
      <c r="CZ205" s="188">
        <f t="shared" si="552"/>
        <v>6.8641518725113135</v>
      </c>
      <c r="DA205" s="172">
        <f t="shared" si="553"/>
        <v>220.21276595744678</v>
      </c>
      <c r="DB205" s="379">
        <f t="shared" si="554"/>
        <v>74.392045420393458</v>
      </c>
      <c r="DD205" s="188">
        <f t="shared" si="555"/>
        <v>13.333333333333336</v>
      </c>
      <c r="DE205" s="150">
        <f t="shared" si="556"/>
        <v>2.3188405797101459</v>
      </c>
      <c r="DF205" s="150">
        <f t="shared" si="557"/>
        <v>0.15898994622398885</v>
      </c>
      <c r="DG205" s="150"/>
      <c r="DH205" s="150">
        <f t="shared" si="558"/>
        <v>2.3188405797101455</v>
      </c>
      <c r="DI205" s="314">
        <f t="shared" si="559"/>
        <v>657.90992647058795</v>
      </c>
      <c r="DJ205" s="456">
        <f t="shared" si="560"/>
        <v>0.15898994622398879</v>
      </c>
      <c r="DL205" s="150">
        <f t="shared" si="561"/>
        <v>18.147543451754931</v>
      </c>
      <c r="DM205" s="150">
        <f t="shared" si="562"/>
        <v>39.468873266940051</v>
      </c>
      <c r="DN205" s="150">
        <f t="shared" si="563"/>
        <v>20.559659210079047</v>
      </c>
      <c r="DP205" s="314">
        <f t="shared" si="564"/>
        <v>475</v>
      </c>
      <c r="DQ205" s="144">
        <f t="shared" si="565"/>
        <v>74.392045420393458</v>
      </c>
      <c r="DS205">
        <f t="shared" si="614"/>
        <v>475</v>
      </c>
      <c r="DT205">
        <f t="shared" si="615"/>
        <v>74.392045420393458</v>
      </c>
      <c r="DV205" s="5">
        <f t="shared" si="568"/>
        <v>13.442297417001321</v>
      </c>
      <c r="DW205" s="5">
        <f t="shared" si="569"/>
        <v>6.5781455444900088</v>
      </c>
      <c r="DX205" s="5">
        <f t="shared" si="570"/>
        <v>6.8641518725113118</v>
      </c>
      <c r="DY205" s="150">
        <f t="shared" si="571"/>
        <v>0.48936170212765961</v>
      </c>
      <c r="EA205" s="5">
        <f t="shared" si="572"/>
        <v>1.8380112550780907</v>
      </c>
      <c r="EB205" s="5">
        <f t="shared" si="573"/>
        <v>26.03849278027295</v>
      </c>
      <c r="EC205" s="5">
        <f t="shared" si="574"/>
        <v>102.6444932787571</v>
      </c>
      <c r="ED205" s="5"/>
      <c r="EE205" s="150">
        <f t="shared" si="575"/>
        <v>15.940762462103166</v>
      </c>
      <c r="EF205" s="150">
        <f t="shared" si="576"/>
        <v>0.76049844583307769</v>
      </c>
      <c r="EG205" s="150">
        <f t="shared" si="577"/>
        <v>0.72345210610040012</v>
      </c>
      <c r="EH205" s="150"/>
      <c r="EI205" s="456">
        <f t="shared" si="578"/>
        <v>0.86396688676887101</v>
      </c>
      <c r="EJ205" s="456">
        <f t="shared" si="579"/>
        <v>1.5732000000000002</v>
      </c>
      <c r="EK205" s="456">
        <f t="shared" si="580"/>
        <v>1.7035778401270102E-2</v>
      </c>
      <c r="EL205" s="456">
        <f t="shared" si="581"/>
        <v>1.5829796166827299E-2</v>
      </c>
      <c r="EM205">
        <f t="shared" si="582"/>
        <v>4.0499999999999998E-3</v>
      </c>
      <c r="EN205" s="144">
        <f t="shared" si="583"/>
        <v>21.085778401270101</v>
      </c>
      <c r="EP205" s="144">
        <f t="shared" si="603"/>
        <v>2474.0824613369682</v>
      </c>
      <c r="EQ205" s="150">
        <f t="shared" si="584"/>
        <v>1.1875</v>
      </c>
      <c r="ER205" s="150">
        <f t="shared" si="585"/>
        <v>0.33724999999999999</v>
      </c>
      <c r="ES205" s="456"/>
      <c r="EU205" s="144">
        <f t="shared" si="497"/>
        <v>1524.75</v>
      </c>
      <c r="EV205" s="456">
        <f t="shared" si="586"/>
        <v>0.38116186180979605</v>
      </c>
      <c r="EW205" s="456">
        <f t="shared" si="587"/>
        <v>0.11567157722290532</v>
      </c>
      <c r="EX205" s="456">
        <f t="shared" si="588"/>
        <v>1.5701488494633136E-2</v>
      </c>
      <c r="EY205" s="456">
        <f t="shared" si="589"/>
        <v>23.357323485002276</v>
      </c>
      <c r="EZ205" s="456"/>
      <c r="FA205" s="538">
        <f t="shared" si="590"/>
        <v>0.11588733001782399</v>
      </c>
      <c r="FB205" s="144">
        <f t="shared" si="613"/>
        <v>23985.745742547431</v>
      </c>
      <c r="FC205" s="150">
        <f t="shared" si="591"/>
        <v>27.9845782038844</v>
      </c>
      <c r="FD205" s="5">
        <f t="shared" si="592"/>
        <v>86.45</v>
      </c>
      <c r="FE205" s="150">
        <f t="shared" si="593"/>
        <v>0.75545347705983434</v>
      </c>
      <c r="FF205" s="5">
        <f t="shared" si="594"/>
        <v>75.545347705983431</v>
      </c>
      <c r="FG205">
        <f t="shared" si="595"/>
        <v>95</v>
      </c>
      <c r="FI205" s="59">
        <f t="shared" si="596"/>
        <v>-50</v>
      </c>
      <c r="FJ205">
        <f t="shared" si="597"/>
        <v>-50</v>
      </c>
    </row>
    <row r="206" spans="5:166">
      <c r="E206" s="147">
        <v>96</v>
      </c>
      <c r="F206" s="188">
        <f t="shared" si="598"/>
        <v>0.48</v>
      </c>
      <c r="G206" s="188">
        <f t="shared" si="499"/>
        <v>0.48</v>
      </c>
      <c r="H206" s="188">
        <f t="shared" si="500"/>
        <v>81.599999999999994</v>
      </c>
      <c r="I206" s="188">
        <f t="shared" si="501"/>
        <v>5.76</v>
      </c>
      <c r="J206" s="465">
        <f t="shared" si="502"/>
        <v>8.8797745487238267</v>
      </c>
      <c r="K206" s="379">
        <f t="shared" si="503"/>
        <v>8.6968447541549345</v>
      </c>
      <c r="L206" s="149">
        <f t="shared" si="504"/>
        <v>17.576619302878761</v>
      </c>
      <c r="M206" s="379"/>
      <c r="N206" s="188">
        <f t="shared" si="505"/>
        <v>0.4947962178785163</v>
      </c>
      <c r="O206" s="149">
        <f>N206*J206*Isw_max*0.5*Efficiency*Pout/(Pout+Pout2)</f>
        <v>136.79952501736594</v>
      </c>
      <c r="P206" s="149">
        <f t="shared" si="507"/>
        <v>9.6564370600493596</v>
      </c>
      <c r="Q206" s="188">
        <f t="shared" si="508"/>
        <v>0.80470308833744664</v>
      </c>
      <c r="R206" s="188">
        <f t="shared" si="509"/>
        <v>11.399960418113828</v>
      </c>
      <c r="S206" s="188">
        <f t="shared" si="510"/>
        <v>170</v>
      </c>
      <c r="T206" s="188">
        <f t="shared" si="511"/>
        <v>39.766219943449535</v>
      </c>
      <c r="U206" s="188">
        <f t="shared" si="512"/>
        <v>6.7174374290557779</v>
      </c>
      <c r="V206" s="188">
        <f t="shared" si="513"/>
        <v>6.8587322875548313</v>
      </c>
      <c r="W206" s="172">
        <f t="shared" si="514"/>
        <v>219.68394311612289</v>
      </c>
      <c r="X206" s="379">
        <f t="shared" si="599"/>
        <v>72.589117336021971</v>
      </c>
      <c r="Z206" s="188">
        <f t="shared" si="515"/>
        <v>13.333333333333334</v>
      </c>
      <c r="AA206" s="150">
        <f t="shared" si="516"/>
        <v>2.2996846057813052</v>
      </c>
      <c r="AB206" s="150">
        <f>0.5*AA206*Z206*Nps*W206/1000*(Pout/(Pout+Pout2))</f>
        <v>0.15729788088031549</v>
      </c>
      <c r="AC206" s="150"/>
      <c r="AD206" s="150">
        <f t="shared" si="518"/>
        <v>2.2996846057813052</v>
      </c>
      <c r="AE206" s="314">
        <f>MAX(10, F206/(0.5*AD206/1000000*Isw_min*Nps)/1000*Pout_total/Pout)</f>
        <v>670.37325681438972</v>
      </c>
      <c r="AF206" s="456">
        <f t="shared" si="520"/>
        <v>0.15729788088031543</v>
      </c>
      <c r="AH206" s="150">
        <f t="shared" si="521"/>
        <v>18.242806801586209</v>
      </c>
      <c r="AI206" s="150">
        <f>MAX(IF(F206&gt;AB206,T206,AH206),Isw_min)</f>
        <v>39.766219943449535</v>
      </c>
      <c r="AJ206" s="150">
        <f>IF(F206&gt;AF206, (AI206-Isw_min)/1.08*0.8+1.2, AE206*0.2/350+1)</f>
        <v>20.77991600749348</v>
      </c>
      <c r="AL206" s="314">
        <f t="shared" si="524"/>
        <v>480</v>
      </c>
      <c r="AM206" s="144">
        <f t="shared" si="525"/>
        <v>72.589117336021971</v>
      </c>
      <c r="AO206">
        <f t="shared" si="526"/>
        <v>480</v>
      </c>
      <c r="AP206">
        <f t="shared" si="527"/>
        <v>72.589117336021971</v>
      </c>
      <c r="AR206" s="5">
        <f t="shared" si="616"/>
        <v>13.776169716610609</v>
      </c>
      <c r="AS206" s="5">
        <f t="shared" si="604"/>
        <v>6.7174374290557779</v>
      </c>
      <c r="AT206" s="5">
        <f t="shared" si="605"/>
        <v>7.0587322875548306</v>
      </c>
      <c r="AU206" s="150">
        <f t="shared" si="606"/>
        <v>0.48761285373511565</v>
      </c>
      <c r="AW206" s="5">
        <f t="shared" si="477"/>
        <v>1.8966882152628077</v>
      </c>
      <c r="AX206" s="5">
        <f t="shared" si="478"/>
        <v>26.869749716223112</v>
      </c>
      <c r="AY206" s="5">
        <f t="shared" si="479"/>
        <v>108.10945546420693</v>
      </c>
      <c r="AZ206" s="5"/>
      <c r="BA206" s="150">
        <f t="shared" si="480"/>
        <v>16.032131098680171</v>
      </c>
      <c r="BB206" s="150">
        <f t="shared" si="481"/>
        <v>0.76753879124014579</v>
      </c>
      <c r="BC206" s="150">
        <f t="shared" si="482"/>
        <v>0.73014949350510194</v>
      </c>
      <c r="BD206" s="150"/>
      <c r="BE206" s="456">
        <f t="shared" si="483"/>
        <v>0.87389937372191073</v>
      </c>
      <c r="BF206" s="456">
        <f t="shared" si="528"/>
        <v>1.2151410425654177</v>
      </c>
      <c r="BG206" s="456">
        <f t="shared" si="529"/>
        <v>2.9521534845870882E-2</v>
      </c>
      <c r="BH206" s="456">
        <f t="shared" si="484"/>
        <v>1.5361470092510031E-2</v>
      </c>
      <c r="BI206">
        <f t="shared" si="485"/>
        <v>3.9958985469257221E-3</v>
      </c>
      <c r="BJ206" s="144">
        <f t="shared" si="600"/>
        <v>33.517433392796605</v>
      </c>
      <c r="BK206">
        <f t="shared" si="530"/>
        <v>2.9536451370767325</v>
      </c>
      <c r="BL206" s="144">
        <f t="shared" si="601"/>
        <v>2137.9193197726354</v>
      </c>
      <c r="BM206" s="150">
        <f t="shared" si="531"/>
        <v>1.0649999999999999</v>
      </c>
      <c r="BN206" s="150">
        <f t="shared" si="532"/>
        <v>1.0649999999999999</v>
      </c>
      <c r="BO206" s="456"/>
      <c r="BQ206" s="144">
        <f t="shared" si="486"/>
        <v>2130</v>
      </c>
      <c r="BR206" s="456">
        <f t="shared" si="487"/>
        <v>0.38554384134790182</v>
      </c>
      <c r="BS206" s="456">
        <f t="shared" si="488"/>
        <v>0.11782315921167681</v>
      </c>
      <c r="BT206" s="456">
        <f t="shared" si="489"/>
        <v>1.5993548485972706E-2</v>
      </c>
      <c r="BU206" s="456">
        <f t="shared" si="490"/>
        <v>22.383838759014953</v>
      </c>
      <c r="BV206" s="456"/>
      <c r="BW206" s="538">
        <f t="shared" si="533"/>
        <v>0.11478896392254002</v>
      </c>
      <c r="BX206" s="144">
        <f t="shared" si="607"/>
        <v>23017.988271983042</v>
      </c>
      <c r="BY206" s="150">
        <f t="shared" si="608"/>
        <v>27.285907591755677</v>
      </c>
      <c r="BZ206" s="5">
        <f t="shared" si="609"/>
        <v>87.36</v>
      </c>
      <c r="CA206" s="150">
        <f t="shared" si="610"/>
        <v>0.76199841612385788</v>
      </c>
      <c r="CB206" s="5">
        <f t="shared" si="611"/>
        <v>76.199841612385782</v>
      </c>
      <c r="CC206">
        <f t="shared" si="612"/>
        <v>96</v>
      </c>
      <c r="CE206" s="59">
        <f t="shared" si="534"/>
        <v>-50</v>
      </c>
      <c r="CF206">
        <f t="shared" si="535"/>
        <v>-50</v>
      </c>
      <c r="CG206" s="150">
        <f t="shared" si="536"/>
        <v>0.49840675206849377</v>
      </c>
      <c r="CH206" s="150">
        <f t="shared" si="537"/>
        <v>0.1350568335034627</v>
      </c>
      <c r="CI206" s="147">
        <v>96</v>
      </c>
      <c r="CJ206" s="188">
        <f t="shared" si="602"/>
        <v>0.48</v>
      </c>
      <c r="CK206" s="188">
        <f t="shared" si="538"/>
        <v>0.48</v>
      </c>
      <c r="CL206" s="188">
        <f t="shared" si="539"/>
        <v>81.599999999999994</v>
      </c>
      <c r="CM206" s="188">
        <f t="shared" si="540"/>
        <v>5.76</v>
      </c>
      <c r="CN206" s="465">
        <f t="shared" si="541"/>
        <v>9</v>
      </c>
      <c r="CO206" s="379">
        <f t="shared" si="542"/>
        <v>8.625</v>
      </c>
      <c r="CP206" s="379">
        <f t="shared" si="543"/>
        <v>17.625</v>
      </c>
      <c r="CQ206" s="379"/>
      <c r="CR206" s="188">
        <f t="shared" si="544"/>
        <v>0.48674080410607357</v>
      </c>
      <c r="CS206" s="149">
        <f t="shared" si="545"/>
        <v>136.39440115060304</v>
      </c>
      <c r="CT206" s="149">
        <f t="shared" si="546"/>
        <v>9.6278400812190377</v>
      </c>
      <c r="CU206" s="188">
        <f t="shared" si="547"/>
        <v>0.80232000676825321</v>
      </c>
      <c r="CV206" s="188">
        <f t="shared" si="548"/>
        <v>11.366200095883586</v>
      </c>
      <c r="CW206" s="188">
        <f t="shared" si="549"/>
        <v>170</v>
      </c>
      <c r="CX206" s="188">
        <f t="shared" si="550"/>
        <v>39.88433509080258</v>
      </c>
      <c r="CY206" s="188">
        <f t="shared" si="551"/>
        <v>6.6473891818004294</v>
      </c>
      <c r="CZ206" s="188">
        <f t="shared" si="552"/>
        <v>6.9364061027482746</v>
      </c>
      <c r="DA206" s="172">
        <f t="shared" si="553"/>
        <v>220.21276595744678</v>
      </c>
      <c r="DB206" s="379">
        <f t="shared" si="554"/>
        <v>73.617128280597697</v>
      </c>
      <c r="DD206" s="188">
        <f t="shared" si="555"/>
        <v>13.333333333333336</v>
      </c>
      <c r="DE206" s="150">
        <f t="shared" si="556"/>
        <v>2.3188405797101459</v>
      </c>
      <c r="DF206" s="150">
        <f t="shared" si="557"/>
        <v>0.15898994622398885</v>
      </c>
      <c r="DG206" s="150"/>
      <c r="DH206" s="150">
        <f t="shared" si="558"/>
        <v>2.3188405797101455</v>
      </c>
      <c r="DI206" s="314">
        <f t="shared" si="559"/>
        <v>664.83529411764675</v>
      </c>
      <c r="DJ206" s="456">
        <f t="shared" si="560"/>
        <v>0.15898994622398879</v>
      </c>
      <c r="DL206" s="150">
        <f t="shared" si="561"/>
        <v>18.242806801586209</v>
      </c>
      <c r="DM206" s="150">
        <f t="shared" si="562"/>
        <v>39.88433509080258</v>
      </c>
      <c r="DN206" s="150">
        <f t="shared" si="563"/>
        <v>20.867408709236479</v>
      </c>
      <c r="DP206" s="314">
        <f t="shared" si="564"/>
        <v>480</v>
      </c>
      <c r="DQ206" s="144">
        <f t="shared" si="565"/>
        <v>73.617128280597697</v>
      </c>
      <c r="DS206">
        <f t="shared" si="614"/>
        <v>480</v>
      </c>
      <c r="DT206">
        <f t="shared" si="615"/>
        <v>73.617128280597697</v>
      </c>
      <c r="DV206" s="5">
        <f t="shared" si="568"/>
        <v>13.583795284548703</v>
      </c>
      <c r="DW206" s="5">
        <f t="shared" si="569"/>
        <v>6.6473891818004294</v>
      </c>
      <c r="DX206" s="5">
        <f t="shared" si="570"/>
        <v>6.9364061027482737</v>
      </c>
      <c r="DY206" s="150">
        <f t="shared" si="571"/>
        <v>0.48936170212765961</v>
      </c>
      <c r="EA206" s="5">
        <f t="shared" si="572"/>
        <v>1.8769098866260034</v>
      </c>
      <c r="EB206" s="5">
        <f t="shared" si="573"/>
        <v>26.589556727201717</v>
      </c>
      <c r="EC206" s="5">
        <f t="shared" si="574"/>
        <v>104.81680333041834</v>
      </c>
      <c r="ED206" s="5"/>
      <c r="EE206" s="150">
        <f t="shared" si="575"/>
        <v>16.108559961704252</v>
      </c>
      <c r="EF206" s="150">
        <f t="shared" si="576"/>
        <v>0.76850369263132046</v>
      </c>
      <c r="EG206" s="150">
        <f t="shared" si="577"/>
        <v>0.73106739142777266</v>
      </c>
      <c r="EH206" s="150"/>
      <c r="EI206" s="456">
        <f t="shared" si="578"/>
        <v>0.88225139373539241</v>
      </c>
      <c r="EJ206" s="456">
        <f t="shared" si="579"/>
        <v>1.5732000000000002</v>
      </c>
      <c r="EK206" s="456">
        <f t="shared" si="580"/>
        <v>1.6858322376256871E-2</v>
      </c>
      <c r="EL206" s="456">
        <f t="shared" si="581"/>
        <v>1.5664902456756179E-2</v>
      </c>
      <c r="EM206">
        <f t="shared" si="582"/>
        <v>4.0499999999999998E-3</v>
      </c>
      <c r="EN206" s="144">
        <f t="shared" si="583"/>
        <v>20.908322376256873</v>
      </c>
      <c r="EP206" s="144">
        <f t="shared" si="603"/>
        <v>2492.0246185684055</v>
      </c>
      <c r="EQ206" s="150">
        <f t="shared" si="584"/>
        <v>1.2</v>
      </c>
      <c r="ER206" s="150">
        <f t="shared" si="585"/>
        <v>0.34079999999999999</v>
      </c>
      <c r="ES206" s="456"/>
      <c r="EU206" s="144">
        <f t="shared" si="497"/>
        <v>1540.8</v>
      </c>
      <c r="EV206" s="456">
        <f t="shared" si="586"/>
        <v>0.389228556059732</v>
      </c>
      <c r="EW206" s="456">
        <f t="shared" si="587"/>
        <v>0.11811958511759502</v>
      </c>
      <c r="EX206" s="456">
        <f t="shared" si="588"/>
        <v>1.6033785924270245E-2</v>
      </c>
      <c r="EY206" s="456">
        <f t="shared" si="589"/>
        <v>23.357323485002272</v>
      </c>
      <c r="EZ206" s="456"/>
      <c r="FA206" s="538">
        <f t="shared" si="590"/>
        <v>0.11710719664959057</v>
      </c>
      <c r="FB206" s="144">
        <f t="shared" si="613"/>
        <v>23997.812608753458</v>
      </c>
      <c r="FC206" s="150">
        <f t="shared" si="591"/>
        <v>28.030637227321865</v>
      </c>
      <c r="FD206" s="5">
        <f t="shared" si="592"/>
        <v>87.36</v>
      </c>
      <c r="FE206" s="150">
        <f t="shared" si="593"/>
        <v>0.75708048849664511</v>
      </c>
      <c r="FF206" s="5">
        <f t="shared" si="594"/>
        <v>75.708048849664507</v>
      </c>
      <c r="FG206">
        <f t="shared" si="595"/>
        <v>96</v>
      </c>
      <c r="FI206" s="59">
        <f t="shared" si="596"/>
        <v>-50</v>
      </c>
      <c r="FJ206">
        <f t="shared" si="597"/>
        <v>-50</v>
      </c>
    </row>
    <row r="207" spans="5:166">
      <c r="E207" s="147">
        <v>97</v>
      </c>
      <c r="F207" s="188">
        <f>IF(PLOT_TYPE=1, E207/100*Iout_max, min_I*EXP(O207*rr/100))</f>
        <v>0.48499999999999999</v>
      </c>
      <c r="G207" s="188">
        <f t="shared" si="499"/>
        <v>0.48499999999999999</v>
      </c>
      <c r="H207" s="188">
        <f t="shared" si="500"/>
        <v>82.45</v>
      </c>
      <c r="I207" s="188">
        <f t="shared" si="501"/>
        <v>5.82</v>
      </c>
      <c r="J207" s="465">
        <f t="shared" si="502"/>
        <v>8.8785222002730322</v>
      </c>
      <c r="K207" s="379">
        <f t="shared" si="503"/>
        <v>8.6975931370107151</v>
      </c>
      <c r="L207" s="149">
        <f t="shared" si="504"/>
        <v>17.576115337283746</v>
      </c>
      <c r="M207" s="379"/>
      <c r="N207" s="188">
        <f t="shared" si="505"/>
        <v>0.49485298486638524</v>
      </c>
      <c r="O207" s="149">
        <f>N207*J207*Isw_max*0.5*Efficiency*Pout/(Pout+Pout2)</f>
        <v>136.79592418338606</v>
      </c>
      <c r="P207" s="149">
        <f t="shared" si="507"/>
        <v>9.6561828835331358</v>
      </c>
      <c r="Q207" s="188">
        <f t="shared" si="508"/>
        <v>0.80468190696109454</v>
      </c>
      <c r="R207" s="188">
        <f t="shared" si="509"/>
        <v>11.399660348615505</v>
      </c>
      <c r="S207" s="188">
        <f t="shared" si="510"/>
        <v>170</v>
      </c>
      <c r="T207" s="188">
        <f t="shared" si="511"/>
        <v>40.181509057959488</v>
      </c>
      <c r="U207" s="188">
        <f t="shared" si="512"/>
        <v>6.7885468130141904</v>
      </c>
      <c r="V207" s="188">
        <f t="shared" si="513"/>
        <v>6.9297635147433754</v>
      </c>
      <c r="W207" s="172">
        <f t="shared" si="514"/>
        <v>219.67816060037879</v>
      </c>
      <c r="X207" s="379">
        <f t="shared" si="599"/>
        <v>71.847801669264413</v>
      </c>
      <c r="Z207" s="188">
        <f t="shared" si="515"/>
        <v>13.333333333333334</v>
      </c>
      <c r="AA207" s="150">
        <f t="shared" si="516"/>
        <v>2.2994867298280894</v>
      </c>
      <c r="AB207" s="150">
        <f>0.5*AA207*Z207*Nps*W207/1000*(Pout/(Pout+Pout2))</f>
        <v>0.15728020617713287</v>
      </c>
      <c r="AC207" s="150"/>
      <c r="AD207" s="150">
        <f t="shared" si="518"/>
        <v>2.2994867298280894</v>
      </c>
      <c r="AE207" s="314">
        <f>MAX(10, F207/(0.5*AD207/1000000*Isw_min*Nps)/1000*Pout_total/Pout)</f>
        <v>677.414599591708</v>
      </c>
      <c r="AF207" s="456">
        <f t="shared" si="520"/>
        <v>0.15728020617713284</v>
      </c>
      <c r="AH207" s="150">
        <f t="shared" si="521"/>
        <v>18.33757526683031</v>
      </c>
      <c r="AI207" s="150">
        <f>MAX(IF(F207&gt;AB207,T207,AH207),Isw_min)</f>
        <v>40.181509057959488</v>
      </c>
      <c r="AJ207" s="150">
        <f>IF(F207&gt;AF207, (AI207-Isw_min)/1.08*0.8+1.2, AE207*0.2/350+1)</f>
        <v>21.08753757379715</v>
      </c>
      <c r="AL207" s="314">
        <f t="shared" si="524"/>
        <v>485</v>
      </c>
      <c r="AM207" s="144">
        <f t="shared" si="525"/>
        <v>71.847801669264413</v>
      </c>
      <c r="AO207">
        <f t="shared" si="526"/>
        <v>485</v>
      </c>
      <c r="AP207">
        <f t="shared" si="527"/>
        <v>71.847801669264413</v>
      </c>
      <c r="AR207" s="5">
        <f t="shared" si="616"/>
        <v>13.918310327757563</v>
      </c>
      <c r="AS207" s="5">
        <f t="shared" si="604"/>
        <v>6.7885468130141904</v>
      </c>
      <c r="AT207" s="5">
        <f t="shared" si="605"/>
        <v>7.1297635147433729</v>
      </c>
      <c r="AU207" s="150">
        <f t="shared" si="606"/>
        <v>0.48774216504396056</v>
      </c>
      <c r="AW207" s="5">
        <f t="shared" si="477"/>
        <v>1.9367324731246367</v>
      </c>
      <c r="AX207" s="5">
        <f t="shared" si="478"/>
        <v>27.437043369265684</v>
      </c>
      <c r="AY207" s="5">
        <f t="shared" si="479"/>
        <v>110.35038424384665</v>
      </c>
      <c r="AZ207" s="5"/>
      <c r="BA207" s="150">
        <f t="shared" si="480"/>
        <v>16.20170672769558</v>
      </c>
      <c r="BB207" s="150">
        <f t="shared" si="481"/>
        <v>0.7754565314754831</v>
      </c>
      <c r="BC207" s="150">
        <f t="shared" si="482"/>
        <v>0.73768153499735756</v>
      </c>
      <c r="BD207" s="150"/>
      <c r="BE207" s="456">
        <f t="shared" si="483"/>
        <v>0.89248402302687102</v>
      </c>
      <c r="BF207" s="456">
        <f t="shared" si="528"/>
        <v>1.2152570220738192</v>
      </c>
      <c r="BG207" s="456">
        <f t="shared" si="529"/>
        <v>2.9215925438991108E-2</v>
      </c>
      <c r="BH207" s="456">
        <f t="shared" si="484"/>
        <v>1.5203719331317818E-2</v>
      </c>
      <c r="BI207">
        <f t="shared" si="485"/>
        <v>3.9953349901228645E-3</v>
      </c>
      <c r="BJ207" s="144">
        <f t="shared" si="600"/>
        <v>33.21126042911397</v>
      </c>
      <c r="BK207">
        <f t="shared" si="530"/>
        <v>3.0000990706000343</v>
      </c>
      <c r="BL207" s="144">
        <f t="shared" si="601"/>
        <v>2156.1560248611218</v>
      </c>
      <c r="BM207" s="150">
        <f t="shared" si="531"/>
        <v>1.0760937499999998</v>
      </c>
      <c r="BN207" s="150">
        <f t="shared" si="532"/>
        <v>1.0760937499999998</v>
      </c>
      <c r="BO207" s="456"/>
      <c r="BQ207" s="144">
        <f t="shared" si="486"/>
        <v>2152.1874999999995</v>
      </c>
      <c r="BR207" s="456">
        <f t="shared" si="487"/>
        <v>0.39374295133538434</v>
      </c>
      <c r="BS207" s="456">
        <f t="shared" si="488"/>
        <v>0.12026656644159739</v>
      </c>
      <c r="BT207" s="456">
        <f t="shared" si="489"/>
        <v>1.632522141228173E-2</v>
      </c>
      <c r="BU207" s="456">
        <f t="shared" si="490"/>
        <v>22.390785187081761</v>
      </c>
      <c r="BV207" s="456"/>
      <c r="BW207" s="538">
        <f t="shared" si="533"/>
        <v>0.11600213187910777</v>
      </c>
      <c r="BX207" s="144">
        <f t="shared" si="607"/>
        <v>23037.122058150133</v>
      </c>
      <c r="BY207" s="150">
        <f t="shared" si="608"/>
        <v>27.345465583011254</v>
      </c>
      <c r="BZ207" s="5">
        <f t="shared" si="609"/>
        <v>88.27000000000001</v>
      </c>
      <c r="CA207" s="150">
        <f t="shared" si="610"/>
        <v>0.76347917257334963</v>
      </c>
      <c r="CB207" s="5">
        <f t="shared" si="611"/>
        <v>76.347917257334956</v>
      </c>
      <c r="CC207">
        <f t="shared" si="612"/>
        <v>97</v>
      </c>
      <c r="CE207" s="59">
        <f t="shared" si="534"/>
        <v>-50</v>
      </c>
      <c r="CF207">
        <f t="shared" si="535"/>
        <v>-50</v>
      </c>
      <c r="CG207" s="150">
        <f t="shared" si="536"/>
        <v>0.49840675206849366</v>
      </c>
      <c r="CH207" s="150">
        <f t="shared" si="537"/>
        <v>0.13505683350346268</v>
      </c>
      <c r="CI207" s="147">
        <v>97</v>
      </c>
      <c r="CJ207" s="188">
        <f t="shared" si="602"/>
        <v>0.48499999999999999</v>
      </c>
      <c r="CK207" s="188">
        <f t="shared" si="538"/>
        <v>0.48499999999999999</v>
      </c>
      <c r="CL207" s="188">
        <f t="shared" si="539"/>
        <v>82.45</v>
      </c>
      <c r="CM207" s="188">
        <f t="shared" si="540"/>
        <v>5.82</v>
      </c>
      <c r="CN207" s="465">
        <f t="shared" si="541"/>
        <v>9</v>
      </c>
      <c r="CO207" s="379">
        <f t="shared" si="542"/>
        <v>8.625</v>
      </c>
      <c r="CP207" s="379">
        <f t="shared" si="543"/>
        <v>17.625</v>
      </c>
      <c r="CQ207" s="379"/>
      <c r="CR207" s="188">
        <f t="shared" si="544"/>
        <v>0.48674080410607357</v>
      </c>
      <c r="CS207" s="149">
        <f t="shared" si="545"/>
        <v>136.39440115060304</v>
      </c>
      <c r="CT207" s="149">
        <f t="shared" si="546"/>
        <v>9.6278400812190377</v>
      </c>
      <c r="CU207" s="188">
        <f t="shared" si="547"/>
        <v>0.80232000676825321</v>
      </c>
      <c r="CV207" s="188">
        <f t="shared" si="548"/>
        <v>11.366200095883586</v>
      </c>
      <c r="CW207" s="188">
        <f t="shared" si="549"/>
        <v>170</v>
      </c>
      <c r="CX207" s="188">
        <f t="shared" si="550"/>
        <v>40.299796914665109</v>
      </c>
      <c r="CY207" s="188">
        <f t="shared" si="551"/>
        <v>6.7166328191108517</v>
      </c>
      <c r="CZ207" s="188">
        <f t="shared" si="552"/>
        <v>7.0086603329852366</v>
      </c>
      <c r="DA207" s="172">
        <f t="shared" si="553"/>
        <v>220.21276595744678</v>
      </c>
      <c r="DB207" s="379">
        <f t="shared" si="554"/>
        <v>72.858188813787393</v>
      </c>
      <c r="DD207" s="188">
        <f t="shared" si="555"/>
        <v>13.333333333333336</v>
      </c>
      <c r="DE207" s="150">
        <f t="shared" si="556"/>
        <v>2.3188405797101459</v>
      </c>
      <c r="DF207" s="150">
        <f t="shared" si="557"/>
        <v>0.15898994622398885</v>
      </c>
      <c r="DG207" s="150"/>
      <c r="DH207" s="150">
        <f t="shared" si="558"/>
        <v>2.3188405797101455</v>
      </c>
      <c r="DI207" s="314">
        <f t="shared" si="559"/>
        <v>671.76066176470567</v>
      </c>
      <c r="DJ207" s="456">
        <f t="shared" si="560"/>
        <v>0.15898994622398879</v>
      </c>
      <c r="DL207" s="150">
        <f t="shared" si="561"/>
        <v>18.33757526683031</v>
      </c>
      <c r="DM207" s="150">
        <f t="shared" si="562"/>
        <v>40.299796914665109</v>
      </c>
      <c r="DN207" s="150">
        <f t="shared" si="563"/>
        <v>21.175158208393906</v>
      </c>
      <c r="DP207" s="314">
        <f t="shared" si="564"/>
        <v>485</v>
      </c>
      <c r="DQ207" s="144">
        <f t="shared" si="565"/>
        <v>72.858188813787393</v>
      </c>
      <c r="DS207">
        <f t="shared" si="614"/>
        <v>485</v>
      </c>
      <c r="DT207">
        <f t="shared" si="615"/>
        <v>72.858188813787393</v>
      </c>
      <c r="DV207" s="5">
        <f t="shared" si="568"/>
        <v>13.725293152096089</v>
      </c>
      <c r="DW207" s="5">
        <f t="shared" si="569"/>
        <v>6.7166328191108517</v>
      </c>
      <c r="DX207" s="5">
        <f t="shared" si="570"/>
        <v>7.0086603329852375</v>
      </c>
      <c r="DY207" s="150">
        <f t="shared" si="571"/>
        <v>0.48936170212765956</v>
      </c>
      <c r="EA207" s="5">
        <f t="shared" si="572"/>
        <v>1.9162158336875077</v>
      </c>
      <c r="EB207" s="5">
        <f t="shared" si="573"/>
        <v>27.14639097723969</v>
      </c>
      <c r="EC207" s="5">
        <f t="shared" si="574"/>
        <v>107.01186008419124</v>
      </c>
      <c r="ED207" s="5"/>
      <c r="EE207" s="150">
        <f t="shared" si="575"/>
        <v>16.276357461305338</v>
      </c>
      <c r="EF207" s="150">
        <f t="shared" si="576"/>
        <v>0.77650893942956356</v>
      </c>
      <c r="EG207" s="150">
        <f t="shared" si="577"/>
        <v>0.73868267675514554</v>
      </c>
      <c r="EH207" s="150"/>
      <c r="EI207" s="456">
        <f t="shared" si="578"/>
        <v>0.90072736150784583</v>
      </c>
      <c r="EJ207" s="456">
        <f t="shared" si="579"/>
        <v>1.5732000000000002</v>
      </c>
      <c r="EK207" s="456">
        <f t="shared" si="580"/>
        <v>1.6684525238357312E-2</v>
      </c>
      <c r="EL207" s="456">
        <f t="shared" si="581"/>
        <v>1.5503408616995803E-2</v>
      </c>
      <c r="EM207">
        <f t="shared" si="582"/>
        <v>4.0499999999999998E-3</v>
      </c>
      <c r="EN207" s="144">
        <f t="shared" si="583"/>
        <v>20.73452523835731</v>
      </c>
      <c r="EP207" s="144">
        <f t="shared" si="603"/>
        <v>2510.1652953631988</v>
      </c>
      <c r="EQ207" s="150">
        <f t="shared" si="584"/>
        <v>1.2124999999999999</v>
      </c>
      <c r="ER207" s="150">
        <f t="shared" si="585"/>
        <v>0.34434999999999999</v>
      </c>
      <c r="ES207" s="456"/>
      <c r="EU207" s="144">
        <f t="shared" si="497"/>
        <v>1556.85</v>
      </c>
      <c r="EV207" s="456">
        <f t="shared" si="586"/>
        <v>0.39737971831228497</v>
      </c>
      <c r="EW207" s="456">
        <f t="shared" si="587"/>
        <v>0.12059322660280512</v>
      </c>
      <c r="EX207" s="456">
        <f t="shared" si="588"/>
        <v>1.6369562908144404E-2</v>
      </c>
      <c r="EY207" s="456">
        <f t="shared" si="589"/>
        <v>23.357323485002272</v>
      </c>
      <c r="EZ207" s="456"/>
      <c r="FA207" s="538">
        <f t="shared" si="590"/>
        <v>0.11832706328135713</v>
      </c>
      <c r="FB207" s="144">
        <f t="shared" si="613"/>
        <v>24009.993056106861</v>
      </c>
      <c r="FC207" s="150">
        <f t="shared" si="591"/>
        <v>28.077008351470063</v>
      </c>
      <c r="FD207" s="5">
        <f t="shared" si="592"/>
        <v>88.27000000000001</v>
      </c>
      <c r="FE207" s="150">
        <f t="shared" si="593"/>
        <v>0.75867872539831149</v>
      </c>
      <c r="FF207" s="5">
        <f t="shared" si="594"/>
        <v>75.867872539831154</v>
      </c>
      <c r="FG207">
        <f t="shared" si="595"/>
        <v>97</v>
      </c>
      <c r="FI207" s="59">
        <f t="shared" si="596"/>
        <v>-50</v>
      </c>
      <c r="FJ207">
        <f t="shared" si="597"/>
        <v>-50</v>
      </c>
    </row>
    <row r="208" spans="5:166">
      <c r="E208" s="147">
        <v>98</v>
      </c>
      <c r="F208" s="188">
        <f>IF(PLOT_TYPE=1, E208/100*Iout_max, min_I*EXP(O208*rr/100))</f>
        <v>0.49</v>
      </c>
      <c r="G208" s="188">
        <f t="shared" si="499"/>
        <v>0.49</v>
      </c>
      <c r="H208" s="188">
        <f t="shared" si="500"/>
        <v>83.3</v>
      </c>
      <c r="I208" s="188">
        <f t="shared" si="501"/>
        <v>5.88</v>
      </c>
      <c r="J208" s="465">
        <f t="shared" si="502"/>
        <v>8.8772698518222395</v>
      </c>
      <c r="K208" s="379">
        <f t="shared" si="503"/>
        <v>8.6983415198664957</v>
      </c>
      <c r="L208" s="149">
        <f t="shared" si="504"/>
        <v>17.575611371688737</v>
      </c>
      <c r="M208" s="379"/>
      <c r="N208" s="188">
        <f t="shared" si="505"/>
        <v>0.4949097551097435</v>
      </c>
      <c r="O208" s="149">
        <f>N208*J208*Isw_max*0.5*Efficiency*Pout/(Pout+Pout2)</f>
        <v>136.79231982224124</v>
      </c>
      <c r="P208" s="149">
        <f t="shared" si="507"/>
        <v>9.6559284580405595</v>
      </c>
      <c r="Q208" s="188">
        <f t="shared" si="508"/>
        <v>0.80466070483671315</v>
      </c>
      <c r="R208" s="188">
        <f t="shared" si="509"/>
        <v>11.39935998518677</v>
      </c>
      <c r="S208" s="188">
        <f t="shared" si="510"/>
        <v>170</v>
      </c>
      <c r="T208" s="188">
        <f t="shared" si="511"/>
        <v>40.596821082863237</v>
      </c>
      <c r="U208" s="188">
        <f t="shared" si="512"/>
        <v>6.8596801314758817</v>
      </c>
      <c r="V208" s="188">
        <f t="shared" si="513"/>
        <v>7.0007864700660187</v>
      </c>
      <c r="W208" s="172">
        <f t="shared" si="514"/>
        <v>219.67237242042268</v>
      </c>
      <c r="X208" s="379">
        <f t="shared" si="599"/>
        <v>71.121395067382608</v>
      </c>
      <c r="Z208" s="188">
        <f t="shared" si="515"/>
        <v>13.333333333333334</v>
      </c>
      <c r="AA208" s="150">
        <f t="shared" si="516"/>
        <v>2.2992888879243463</v>
      </c>
      <c r="AB208" s="150">
        <f>0.5*AA208*Z208*Nps*W208/1000*(Pout/(Pout+Pout2))</f>
        <v>0.15726253046033625</v>
      </c>
      <c r="AC208" s="150"/>
      <c r="AD208" s="150">
        <f t="shared" si="518"/>
        <v>2.2992888879243463</v>
      </c>
      <c r="AE208" s="314">
        <f>MAX(10, F208/(0.5*AD208/1000000*Isw_min*Nps)/1000*Pout_total/Pout)</f>
        <v>684.45714418384762</v>
      </c>
      <c r="AF208" s="456">
        <f t="shared" si="520"/>
        <v>0.15726253046033631</v>
      </c>
      <c r="AH208" s="150">
        <f t="shared" si="521"/>
        <v>18.431856480922733</v>
      </c>
      <c r="AI208" s="150">
        <f>MAX(IF(F208&gt;AB208,T208,AH208),Isw_min)</f>
        <v>40.596821082863237</v>
      </c>
      <c r="AJ208" s="150">
        <f>IF(F208&gt;AF208, (AI208-Isw_min)/1.08*0.8+1.2, AE208*0.2/350+1)</f>
        <v>21.395176110762886</v>
      </c>
      <c r="AL208" s="314">
        <f t="shared" si="524"/>
        <v>490</v>
      </c>
      <c r="AM208" s="144">
        <f t="shared" si="525"/>
        <v>71.121395067382608</v>
      </c>
      <c r="AO208">
        <f t="shared" si="526"/>
        <v>490</v>
      </c>
      <c r="AP208">
        <f t="shared" si="527"/>
        <v>71.121395067382608</v>
      </c>
      <c r="AR208" s="5">
        <f t="shared" si="616"/>
        <v>14.060466601541901</v>
      </c>
      <c r="AS208" s="5">
        <f t="shared" si="604"/>
        <v>6.8596801314758817</v>
      </c>
      <c r="AT208" s="5">
        <f t="shared" si="605"/>
        <v>7.2007864700660189</v>
      </c>
      <c r="AU208" s="150">
        <f t="shared" si="606"/>
        <v>0.48787002066657126</v>
      </c>
      <c r="AW208" s="5">
        <f t="shared" si="477"/>
        <v>1.9772019202489304</v>
      </c>
      <c r="AX208" s="5">
        <f t="shared" si="478"/>
        <v>28.010360536859849</v>
      </c>
      <c r="AY208" s="5">
        <f t="shared" si="479"/>
        <v>112.61448676764303</v>
      </c>
      <c r="AZ208" s="5"/>
      <c r="BA208" s="150">
        <f t="shared" si="480"/>
        <v>16.371311281716224</v>
      </c>
      <c r="BB208" s="150">
        <f t="shared" si="481"/>
        <v>0.78337379162581589</v>
      </c>
      <c r="BC208" s="150">
        <f t="shared" si="482"/>
        <v>0.74521311979110261</v>
      </c>
      <c r="BD208" s="150"/>
      <c r="BE208" s="456">
        <f t="shared" si="483"/>
        <v>0.91126743248168618</v>
      </c>
      <c r="BF208" s="456">
        <f t="shared" si="528"/>
        <v>1.2153692756749142</v>
      </c>
      <c r="BG208" s="456">
        <f t="shared" si="529"/>
        <v>2.8916462784305628E-2</v>
      </c>
      <c r="BH208" s="456">
        <f t="shared" si="484"/>
        <v>1.504914131459267E-2</v>
      </c>
      <c r="BI208">
        <f t="shared" si="485"/>
        <v>3.9947714333200077E-3</v>
      </c>
      <c r="BJ208" s="144">
        <f t="shared" si="600"/>
        <v>32.91123421762564</v>
      </c>
      <c r="BK208">
        <f t="shared" si="530"/>
        <v>3.0475817457032082</v>
      </c>
      <c r="BL208" s="144">
        <f t="shared" si="601"/>
        <v>2174.5970836888187</v>
      </c>
      <c r="BM208" s="150">
        <f t="shared" si="531"/>
        <v>1.0871875</v>
      </c>
      <c r="BN208" s="150">
        <f t="shared" si="532"/>
        <v>1.0871875</v>
      </c>
      <c r="BO208" s="456"/>
      <c r="BQ208" s="144">
        <f t="shared" si="486"/>
        <v>2174.375</v>
      </c>
      <c r="BR208" s="456">
        <f t="shared" si="487"/>
        <v>0.40202974962427335</v>
      </c>
      <c r="BS208" s="456">
        <f t="shared" si="488"/>
        <v>0.12273489948124144</v>
      </c>
      <c r="BT208" s="456">
        <f t="shared" si="489"/>
        <v>1.6660277817263647E-2</v>
      </c>
      <c r="BU208" s="456">
        <f t="shared" si="490"/>
        <v>22.397561648295671</v>
      </c>
      <c r="BV208" s="456"/>
      <c r="BW208" s="538">
        <f t="shared" si="533"/>
        <v>0.11721530506343755</v>
      </c>
      <c r="BX208" s="144">
        <f t="shared" si="607"/>
        <v>23056.201880281889</v>
      </c>
      <c r="BY208" s="150">
        <f t="shared" si="608"/>
        <v>27.405173963970707</v>
      </c>
      <c r="BZ208" s="5">
        <f t="shared" si="609"/>
        <v>89.179999999999993</v>
      </c>
      <c r="CA208" s="150">
        <f t="shared" si="610"/>
        <v>0.76493431341072615</v>
      </c>
      <c r="CB208" s="5">
        <f t="shared" si="611"/>
        <v>76.493431341072622</v>
      </c>
      <c r="CC208">
        <f t="shared" si="612"/>
        <v>98</v>
      </c>
      <c r="CE208" s="59">
        <f t="shared" si="534"/>
        <v>-50</v>
      </c>
      <c r="CF208">
        <f t="shared" si="535"/>
        <v>-50</v>
      </c>
      <c r="CG208" s="150">
        <f t="shared" si="536"/>
        <v>0.49840675206849377</v>
      </c>
      <c r="CH208" s="150">
        <f t="shared" si="537"/>
        <v>0.1350568335034627</v>
      </c>
      <c r="CI208" s="147">
        <v>98</v>
      </c>
      <c r="CJ208" s="188">
        <f t="shared" si="602"/>
        <v>0.49</v>
      </c>
      <c r="CK208" s="188">
        <f t="shared" si="538"/>
        <v>0.49</v>
      </c>
      <c r="CL208" s="188">
        <f t="shared" si="539"/>
        <v>83.3</v>
      </c>
      <c r="CM208" s="188">
        <f t="shared" si="540"/>
        <v>5.88</v>
      </c>
      <c r="CN208" s="465">
        <f t="shared" si="541"/>
        <v>9</v>
      </c>
      <c r="CO208" s="379">
        <f t="shared" si="542"/>
        <v>8.625</v>
      </c>
      <c r="CP208" s="379">
        <f t="shared" si="543"/>
        <v>17.625</v>
      </c>
      <c r="CQ208" s="379"/>
      <c r="CR208" s="188">
        <f t="shared" si="544"/>
        <v>0.48674080410607357</v>
      </c>
      <c r="CS208" s="149">
        <f t="shared" si="545"/>
        <v>136.39440115060304</v>
      </c>
      <c r="CT208" s="149">
        <f t="shared" si="546"/>
        <v>9.6278400812190377</v>
      </c>
      <c r="CU208" s="188">
        <f t="shared" si="547"/>
        <v>0.80232000676825321</v>
      </c>
      <c r="CV208" s="188">
        <f t="shared" si="548"/>
        <v>11.366200095883586</v>
      </c>
      <c r="CW208" s="188">
        <f t="shared" si="549"/>
        <v>170</v>
      </c>
      <c r="CX208" s="188">
        <f t="shared" si="550"/>
        <v>40.715258738527631</v>
      </c>
      <c r="CY208" s="188">
        <f t="shared" si="551"/>
        <v>6.7858764564212724</v>
      </c>
      <c r="CZ208" s="188">
        <f t="shared" si="552"/>
        <v>7.0809145632221968</v>
      </c>
      <c r="DA208" s="172">
        <f t="shared" si="553"/>
        <v>220.21276595744678</v>
      </c>
      <c r="DB208" s="379">
        <f t="shared" si="554"/>
        <v>72.114737907524272</v>
      </c>
      <c r="DD208" s="188">
        <f t="shared" si="555"/>
        <v>13.333333333333336</v>
      </c>
      <c r="DE208" s="150">
        <f t="shared" si="556"/>
        <v>2.3188405797101459</v>
      </c>
      <c r="DF208" s="150">
        <f t="shared" si="557"/>
        <v>0.15898994622398885</v>
      </c>
      <c r="DG208" s="150"/>
      <c r="DH208" s="150">
        <f t="shared" si="558"/>
        <v>2.3188405797101455</v>
      </c>
      <c r="DI208" s="314">
        <f t="shared" si="559"/>
        <v>678.68602941176448</v>
      </c>
      <c r="DJ208" s="456">
        <f t="shared" si="560"/>
        <v>0.15898994622398879</v>
      </c>
      <c r="DL208" s="150">
        <f t="shared" si="561"/>
        <v>18.431856480922733</v>
      </c>
      <c r="DM208" s="150">
        <f t="shared" si="562"/>
        <v>40.715258738527631</v>
      </c>
      <c r="DN208" s="150">
        <f t="shared" si="563"/>
        <v>21.48290770755133</v>
      </c>
      <c r="DP208" s="314">
        <f t="shared" si="564"/>
        <v>490</v>
      </c>
      <c r="DQ208" s="144">
        <f t="shared" si="565"/>
        <v>72.114737907524272</v>
      </c>
      <c r="DS208">
        <f t="shared" si="614"/>
        <v>490</v>
      </c>
      <c r="DT208">
        <f t="shared" si="615"/>
        <v>72.114737907524272</v>
      </c>
      <c r="DV208" s="5">
        <f t="shared" si="568"/>
        <v>13.866791019643468</v>
      </c>
      <c r="DW208" s="5">
        <f t="shared" si="569"/>
        <v>6.7858764564212724</v>
      </c>
      <c r="DX208" s="5">
        <f t="shared" si="570"/>
        <v>7.0809145632221959</v>
      </c>
      <c r="DY208" s="150">
        <f t="shared" si="571"/>
        <v>0.48936170212765961</v>
      </c>
      <c r="EA208" s="5">
        <f t="shared" si="572"/>
        <v>1.9559290962626019</v>
      </c>
      <c r="EB208" s="5">
        <f t="shared" si="573"/>
        <v>27.708995530386861</v>
      </c>
      <c r="EC208" s="5">
        <f t="shared" si="574"/>
        <v>109.22966354007569</v>
      </c>
      <c r="ED208" s="5"/>
      <c r="EE208" s="150">
        <f t="shared" si="575"/>
        <v>16.444154960906424</v>
      </c>
      <c r="EF208" s="150">
        <f t="shared" si="576"/>
        <v>0.78451418622780622</v>
      </c>
      <c r="EG208" s="150">
        <f t="shared" si="577"/>
        <v>0.74629796208251797</v>
      </c>
      <c r="EH208" s="150"/>
      <c r="EI208" s="456">
        <f t="shared" si="578"/>
        <v>0.91939479008623137</v>
      </c>
      <c r="EJ208" s="456">
        <f t="shared" si="579"/>
        <v>1.5732000000000002</v>
      </c>
      <c r="EK208" s="456">
        <f t="shared" si="580"/>
        <v>1.6514274980823061E-2</v>
      </c>
      <c r="EL208" s="456">
        <f t="shared" si="581"/>
        <v>1.5345210569883605E-2</v>
      </c>
      <c r="EM208">
        <f t="shared" si="582"/>
        <v>4.0499999999999998E-3</v>
      </c>
      <c r="EN208" s="144">
        <f t="shared" si="583"/>
        <v>20.564274980823061</v>
      </c>
      <c r="EP208" s="144">
        <f t="shared" si="603"/>
        <v>2528.504275636938</v>
      </c>
      <c r="EQ208" s="150">
        <f t="shared" si="584"/>
        <v>1.2250000000000001</v>
      </c>
      <c r="ER208" s="150">
        <f t="shared" si="585"/>
        <v>0.34789999999999999</v>
      </c>
      <c r="ES208" s="456"/>
      <c r="EU208" s="144">
        <f t="shared" si="497"/>
        <v>1572.9</v>
      </c>
      <c r="EV208" s="456">
        <f t="shared" si="586"/>
        <v>0.40561534856745507</v>
      </c>
      <c r="EW208" s="456">
        <f t="shared" si="587"/>
        <v>0.12309250167853542</v>
      </c>
      <c r="EX208" s="456">
        <f t="shared" si="588"/>
        <v>1.6708819446255581E-2</v>
      </c>
      <c r="EY208" s="456">
        <f t="shared" si="589"/>
        <v>23.357323485002272</v>
      </c>
      <c r="EZ208" s="456"/>
      <c r="FA208" s="538">
        <f t="shared" si="590"/>
        <v>0.11954692991312367</v>
      </c>
      <c r="FB208" s="144">
        <f t="shared" si="613"/>
        <v>24022.287084607644</v>
      </c>
      <c r="FC208" s="150">
        <f t="shared" si="591"/>
        <v>28.123691360244582</v>
      </c>
      <c r="FD208" s="5">
        <f t="shared" si="592"/>
        <v>89.179999999999993</v>
      </c>
      <c r="FE208" s="150">
        <f t="shared" si="593"/>
        <v>0.76024888020040615</v>
      </c>
      <c r="FF208" s="5">
        <f t="shared" si="594"/>
        <v>76.024888020040621</v>
      </c>
      <c r="FG208">
        <f t="shared" si="595"/>
        <v>98</v>
      </c>
      <c r="FI208" s="59">
        <f t="shared" si="596"/>
        <v>-50</v>
      </c>
      <c r="FJ208">
        <f t="shared" si="597"/>
        <v>-50</v>
      </c>
    </row>
    <row r="209" spans="1:169">
      <c r="E209" s="147">
        <v>99</v>
      </c>
      <c r="F209" s="188">
        <f>IF(PLOT_TYPE=1, E209/100*Iout_max, min_I*EXP(O209*rr/100))</f>
        <v>0.495</v>
      </c>
      <c r="G209" s="188">
        <f t="shared" si="499"/>
        <v>0.495</v>
      </c>
      <c r="H209" s="188">
        <f t="shared" si="500"/>
        <v>84.15</v>
      </c>
      <c r="I209" s="188">
        <f t="shared" si="501"/>
        <v>5.9399999999999995</v>
      </c>
      <c r="J209" s="465">
        <f t="shared" si="502"/>
        <v>8.876017503371445</v>
      </c>
      <c r="K209" s="379">
        <f t="shared" si="503"/>
        <v>8.6990899027222746</v>
      </c>
      <c r="L209" s="149">
        <f t="shared" si="504"/>
        <v>17.575107406093721</v>
      </c>
      <c r="M209" s="379"/>
      <c r="N209" s="188">
        <f t="shared" si="505"/>
        <v>0.49496652860887136</v>
      </c>
      <c r="O209" s="149">
        <f>N209*J209*Isw_max*0.5*Efficiency*Pout/(Pout+Pout2)</f>
        <v>136.78871193362798</v>
      </c>
      <c r="P209" s="149">
        <f t="shared" si="507"/>
        <v>9.6556737835502116</v>
      </c>
      <c r="Q209" s="188">
        <f t="shared" si="508"/>
        <v>0.80463948196251756</v>
      </c>
      <c r="R209" s="188">
        <f t="shared" si="509"/>
        <v>11.399059327802332</v>
      </c>
      <c r="S209" s="188">
        <f t="shared" si="510"/>
        <v>170</v>
      </c>
      <c r="T209" s="188">
        <f t="shared" si="511"/>
        <v>41.012156052189894</v>
      </c>
      <c r="U209" s="188">
        <f t="shared" si="512"/>
        <v>6.9308374003226012</v>
      </c>
      <c r="V209" s="188">
        <f t="shared" si="513"/>
        <v>7.0718011615253529</v>
      </c>
      <c r="W209" s="172">
        <f t="shared" si="514"/>
        <v>219.66657857576726</v>
      </c>
      <c r="X209" s="379">
        <f t="shared" si="599"/>
        <v>70.409452134215726</v>
      </c>
      <c r="Z209" s="188">
        <f t="shared" si="515"/>
        <v>13.333333333333334</v>
      </c>
      <c r="AA209" s="150">
        <f t="shared" si="516"/>
        <v>2.2990910800612885</v>
      </c>
      <c r="AB209" s="150">
        <f>0.5*AA209*Z209*Nps*W209/1000*(Pout/(Pout+Pout2))</f>
        <v>0.15724485372983862</v>
      </c>
      <c r="AC209" s="150"/>
      <c r="AD209" s="150">
        <f t="shared" si="518"/>
        <v>2.2990910800612885</v>
      </c>
      <c r="AE209" s="314">
        <f>MAX(10, F209/(0.5*AD209/1000000*Isw_min*Nps)/1000*Pout_total/Pout)</f>
        <v>691.50089059080847</v>
      </c>
      <c r="AF209" s="456">
        <f t="shared" si="520"/>
        <v>0.15724485372983857</v>
      </c>
      <c r="AH209" s="150">
        <f t="shared" si="521"/>
        <v>18.525657883055057</v>
      </c>
      <c r="AI209" s="150">
        <f>MAX(IF(F209&gt;AB209,T209,AH209),Isw_min)</f>
        <v>41.012156052189894</v>
      </c>
      <c r="AJ209" s="150">
        <f>IF(F209&gt;AF209, (AI209-Isw_min)/1.08*0.8+1.2, AE209*0.2/350+1)</f>
        <v>21.702831643597449</v>
      </c>
      <c r="AL209" s="314">
        <f t="shared" si="524"/>
        <v>495</v>
      </c>
      <c r="AM209" s="144">
        <f t="shared" si="525"/>
        <v>70.409452134215726</v>
      </c>
      <c r="AO209">
        <f t="shared" si="526"/>
        <v>495</v>
      </c>
      <c r="AP209">
        <f t="shared" si="527"/>
        <v>70.409452134215726</v>
      </c>
      <c r="AR209" s="5">
        <f t="shared" si="616"/>
        <v>14.202638561847953</v>
      </c>
      <c r="AS209" s="5">
        <f t="shared" si="604"/>
        <v>6.9308374003226012</v>
      </c>
      <c r="AT209" s="5">
        <f t="shared" si="605"/>
        <v>7.2718011615253522</v>
      </c>
      <c r="AU209" s="150">
        <f t="shared" si="606"/>
        <v>0.48799646418804637</v>
      </c>
      <c r="AW209" s="5">
        <f t="shared" si="477"/>
        <v>2.0180967724468752</v>
      </c>
      <c r="AX209" s="5">
        <f t="shared" si="478"/>
        <v>28.589704276330728</v>
      </c>
      <c r="AY209" s="5">
        <f t="shared" si="479"/>
        <v>114.90176901031859</v>
      </c>
      <c r="AZ209" s="5"/>
      <c r="BA209" s="150">
        <f t="shared" si="480"/>
        <v>16.540944768171471</v>
      </c>
      <c r="BB209" s="150">
        <f t="shared" si="481"/>
        <v>0.79129057270455028</v>
      </c>
      <c r="BC209" s="150">
        <f t="shared" si="482"/>
        <v>0.75274424885037639</v>
      </c>
      <c r="BD209" s="150"/>
      <c r="BE209" s="456">
        <f t="shared" si="483"/>
        <v>0.93024970300057708</v>
      </c>
      <c r="BF209" s="456">
        <f t="shared" si="528"/>
        <v>1.2154779137828284</v>
      </c>
      <c r="BG209" s="456">
        <f t="shared" si="529"/>
        <v>2.8622963253211051E-2</v>
      </c>
      <c r="BH209" s="456">
        <f t="shared" si="484"/>
        <v>1.4897641259304508E-2</v>
      </c>
      <c r="BI209">
        <f t="shared" si="485"/>
        <v>3.9942078765171501E-3</v>
      </c>
      <c r="BJ209" s="144">
        <f t="shared" si="600"/>
        <v>32.617171129728199</v>
      </c>
      <c r="BK209">
        <f t="shared" si="530"/>
        <v>3.0961197600131092</v>
      </c>
      <c r="BL209" s="144">
        <f t="shared" si="601"/>
        <v>2193.2424291724383</v>
      </c>
      <c r="BM209" s="150">
        <f t="shared" si="531"/>
        <v>1.0982812499999999</v>
      </c>
      <c r="BN209" s="150">
        <f t="shared" si="532"/>
        <v>1.0982812499999999</v>
      </c>
      <c r="BO209" s="456"/>
      <c r="BQ209" s="144">
        <f t="shared" si="486"/>
        <v>2196.5624999999995</v>
      </c>
      <c r="BR209" s="456">
        <f t="shared" si="487"/>
        <v>0.41040428073554874</v>
      </c>
      <c r="BS209" s="456">
        <f t="shared" si="488"/>
        <v>0.12522815409021903</v>
      </c>
      <c r="BT209" s="456">
        <f t="shared" si="489"/>
        <v>1.6998717125319519E-2</v>
      </c>
      <c r="BU209" s="456">
        <f t="shared" si="490"/>
        <v>22.404173122715516</v>
      </c>
      <c r="BV209" s="456"/>
      <c r="BW209" s="538">
        <f t="shared" si="533"/>
        <v>0.11842848332192761</v>
      </c>
      <c r="BX209" s="144">
        <f t="shared" si="607"/>
        <v>23075.232757988531</v>
      </c>
      <c r="BY209" s="150">
        <f t="shared" si="608"/>
        <v>27.465037687160969</v>
      </c>
      <c r="BZ209" s="5">
        <f t="shared" si="609"/>
        <v>90.09</v>
      </c>
      <c r="CA209" s="150">
        <f t="shared" si="610"/>
        <v>0.76636443467228266</v>
      </c>
      <c r="CB209" s="5">
        <f t="shared" si="611"/>
        <v>76.636443467228261</v>
      </c>
      <c r="CC209">
        <f t="shared" si="612"/>
        <v>99</v>
      </c>
      <c r="CE209" s="59">
        <f t="shared" si="534"/>
        <v>-50</v>
      </c>
      <c r="CF209">
        <f t="shared" si="535"/>
        <v>-50</v>
      </c>
      <c r="CG209" s="150">
        <f t="shared" si="536"/>
        <v>0.49840675206849377</v>
      </c>
      <c r="CH209" s="150">
        <f t="shared" si="537"/>
        <v>0.13505683350346268</v>
      </c>
      <c r="CI209" s="147">
        <v>99</v>
      </c>
      <c r="CJ209" s="188">
        <f t="shared" si="602"/>
        <v>0.495</v>
      </c>
      <c r="CK209" s="188">
        <f t="shared" si="538"/>
        <v>0.495</v>
      </c>
      <c r="CL209" s="188">
        <f t="shared" si="539"/>
        <v>84.15</v>
      </c>
      <c r="CM209" s="188">
        <f t="shared" si="540"/>
        <v>5.9399999999999995</v>
      </c>
      <c r="CN209" s="465">
        <f t="shared" si="541"/>
        <v>9</v>
      </c>
      <c r="CO209" s="379">
        <f t="shared" si="542"/>
        <v>8.625</v>
      </c>
      <c r="CP209" s="379">
        <f t="shared" si="543"/>
        <v>17.625</v>
      </c>
      <c r="CQ209" s="379"/>
      <c r="CR209" s="188">
        <f t="shared" si="544"/>
        <v>0.48674080410607357</v>
      </c>
      <c r="CS209" s="149">
        <f t="shared" si="545"/>
        <v>136.39440115060304</v>
      </c>
      <c r="CT209" s="149">
        <f t="shared" si="546"/>
        <v>9.6278400812190377</v>
      </c>
      <c r="CU209" s="188">
        <f t="shared" si="547"/>
        <v>0.80232000676825321</v>
      </c>
      <c r="CV209" s="188">
        <f t="shared" si="548"/>
        <v>11.366200095883586</v>
      </c>
      <c r="CW209" s="188">
        <f t="shared" si="549"/>
        <v>170</v>
      </c>
      <c r="CX209" s="188">
        <f t="shared" si="550"/>
        <v>41.13072056239016</v>
      </c>
      <c r="CY209" s="188">
        <f t="shared" si="551"/>
        <v>6.8551200937316938</v>
      </c>
      <c r="CZ209" s="188">
        <f t="shared" si="552"/>
        <v>7.1531687934591588</v>
      </c>
      <c r="DA209" s="172">
        <f t="shared" si="553"/>
        <v>220.21276595744678</v>
      </c>
      <c r="DB209" s="379">
        <f t="shared" si="554"/>
        <v>71.386306211488673</v>
      </c>
      <c r="DD209" s="188">
        <f t="shared" si="555"/>
        <v>13.333333333333336</v>
      </c>
      <c r="DE209" s="150">
        <f t="shared" si="556"/>
        <v>2.3188405797101459</v>
      </c>
      <c r="DF209" s="150">
        <f t="shared" si="557"/>
        <v>0.15898994622398885</v>
      </c>
      <c r="DG209" s="150"/>
      <c r="DH209" s="150">
        <f t="shared" si="558"/>
        <v>2.3188405797101455</v>
      </c>
      <c r="DI209" s="314">
        <f t="shared" si="559"/>
        <v>685.61139705882329</v>
      </c>
      <c r="DJ209" s="456">
        <f t="shared" si="560"/>
        <v>0.15898994622398879</v>
      </c>
      <c r="DL209" s="150">
        <f t="shared" si="561"/>
        <v>18.525657883055057</v>
      </c>
      <c r="DM209" s="150">
        <f t="shared" si="562"/>
        <v>41.13072056239016</v>
      </c>
      <c r="DN209" s="150">
        <f t="shared" si="563"/>
        <v>21.790657206708758</v>
      </c>
      <c r="DP209" s="314">
        <f t="shared" si="564"/>
        <v>495</v>
      </c>
      <c r="DQ209" s="144">
        <f t="shared" si="565"/>
        <v>71.386306211488673</v>
      </c>
      <c r="DS209">
        <f t="shared" si="614"/>
        <v>495</v>
      </c>
      <c r="DT209">
        <f t="shared" si="615"/>
        <v>71.386306211488673</v>
      </c>
      <c r="DV209" s="5">
        <f t="shared" si="568"/>
        <v>14.008288887190851</v>
      </c>
      <c r="DW209" s="5">
        <f t="shared" si="569"/>
        <v>6.8551200937316938</v>
      </c>
      <c r="DX209" s="5">
        <f t="shared" si="570"/>
        <v>7.153168793459157</v>
      </c>
      <c r="DY209" s="150">
        <f t="shared" si="571"/>
        <v>0.48936170212765961</v>
      </c>
      <c r="EA209" s="5">
        <f t="shared" si="572"/>
        <v>1.9960496743512872</v>
      </c>
      <c r="EB209" s="5">
        <f t="shared" si="573"/>
        <v>28.277370386643238</v>
      </c>
      <c r="EC209" s="5">
        <f t="shared" si="574"/>
        <v>111.47021369807186</v>
      </c>
      <c r="ED209" s="5"/>
      <c r="EE209" s="150">
        <f t="shared" si="575"/>
        <v>16.61195246050751</v>
      </c>
      <c r="EF209" s="150">
        <f t="shared" si="576"/>
        <v>0.79251943302604932</v>
      </c>
      <c r="EG209" s="150">
        <f t="shared" si="577"/>
        <v>0.75391324740989063</v>
      </c>
      <c r="EH209" s="150"/>
      <c r="EI209" s="456">
        <f t="shared" si="578"/>
        <v>0.93825367947054905</v>
      </c>
      <c r="EJ209" s="456">
        <f t="shared" si="579"/>
        <v>1.5732000000000002</v>
      </c>
      <c r="EK209" s="456">
        <f t="shared" si="580"/>
        <v>1.6347464122430905E-2</v>
      </c>
      <c r="EL209" s="456">
        <f t="shared" si="581"/>
        <v>1.5190208442915085E-2</v>
      </c>
      <c r="EM209">
        <f t="shared" si="582"/>
        <v>4.0499999999999998E-3</v>
      </c>
      <c r="EN209" s="144">
        <f t="shared" si="583"/>
        <v>20.397464122430904</v>
      </c>
      <c r="EP209" s="144">
        <f t="shared" si="603"/>
        <v>2547.0413520358948</v>
      </c>
      <c r="EQ209" s="150">
        <f t="shared" si="584"/>
        <v>1.2375</v>
      </c>
      <c r="ER209" s="150">
        <f t="shared" si="585"/>
        <v>0.35144999999999998</v>
      </c>
      <c r="ES209" s="456"/>
      <c r="EU209" s="144">
        <f t="shared" si="497"/>
        <v>1588.95</v>
      </c>
      <c r="EV209" s="456">
        <f t="shared" si="586"/>
        <v>0.41393544682524225</v>
      </c>
      <c r="EW209" s="456">
        <f t="shared" si="587"/>
        <v>0.12561741034478613</v>
      </c>
      <c r="EX209" s="456">
        <f t="shared" si="588"/>
        <v>1.705155553860381E-2</v>
      </c>
      <c r="EY209" s="456">
        <f t="shared" si="589"/>
        <v>23.357323485002272</v>
      </c>
      <c r="EZ209" s="456"/>
      <c r="FA209" s="538">
        <f t="shared" si="590"/>
        <v>0.12076679654489027</v>
      </c>
      <c r="FB209" s="144">
        <f t="shared" si="613"/>
        <v>24034.694694255799</v>
      </c>
      <c r="FC209" s="150">
        <f t="shared" si="591"/>
        <v>28.170686046291692</v>
      </c>
      <c r="FD209" s="5">
        <f t="shared" si="592"/>
        <v>90.09</v>
      </c>
      <c r="FE209" s="150">
        <f t="shared" si="593"/>
        <v>0.76179162333571593</v>
      </c>
      <c r="FF209" s="5">
        <f t="shared" si="594"/>
        <v>76.179162333571597</v>
      </c>
      <c r="FG209">
        <f t="shared" si="595"/>
        <v>99</v>
      </c>
      <c r="FI209" s="59">
        <f t="shared" si="596"/>
        <v>-50</v>
      </c>
      <c r="FJ209">
        <f t="shared" si="597"/>
        <v>-50</v>
      </c>
    </row>
    <row r="210" spans="1:169">
      <c r="A210" t="s">
        <v>862</v>
      </c>
      <c r="E210" s="147">
        <v>100</v>
      </c>
      <c r="F210" s="188">
        <f>IF(PLOT_TYPE=1, E210/100*Iout_max, min_I*EXP(O210*rr/100))</f>
        <v>0.5</v>
      </c>
      <c r="G210" s="188">
        <f t="shared" si="499"/>
        <v>0.5</v>
      </c>
      <c r="H210" s="188">
        <f t="shared" si="500"/>
        <v>85</v>
      </c>
      <c r="I210" s="188">
        <f t="shared" si="501"/>
        <v>6</v>
      </c>
      <c r="J210" s="465">
        <f t="shared" si="502"/>
        <v>8.8747651549206523</v>
      </c>
      <c r="K210" s="379">
        <f t="shared" si="503"/>
        <v>8.6998382855780569</v>
      </c>
      <c r="L210" s="149">
        <f t="shared" si="504"/>
        <v>17.574603440498709</v>
      </c>
      <c r="M210" s="379"/>
      <c r="N210" s="188">
        <f t="shared" si="505"/>
        <v>0.49502330536404893</v>
      </c>
      <c r="O210" s="149">
        <f>N210*J210*Isw_max*0.5*Efficiency*Pout/(Pout+Pout2)</f>
        <v>136.78510051724291</v>
      </c>
      <c r="P210" s="149">
        <f t="shared" si="507"/>
        <v>9.6554188600406761</v>
      </c>
      <c r="Q210" s="188">
        <f t="shared" si="508"/>
        <v>0.80461823833672297</v>
      </c>
      <c r="R210" s="188">
        <f t="shared" si="509"/>
        <v>11.398758376436909</v>
      </c>
      <c r="S210" s="188">
        <f t="shared" si="510"/>
        <v>170</v>
      </c>
      <c r="T210" s="188">
        <f t="shared" si="511"/>
        <v>41.427513999979382</v>
      </c>
      <c r="U210" s="188">
        <f t="shared" si="512"/>
        <v>7.002018635446885</v>
      </c>
      <c r="V210" s="188">
        <f t="shared" si="513"/>
        <v>7.1428075971230678</v>
      </c>
      <c r="W210" s="172">
        <f t="shared" si="514"/>
        <v>219.66077906592531</v>
      </c>
      <c r="X210" s="379">
        <f t="shared" si="599"/>
        <v>69.711545039806637</v>
      </c>
      <c r="Z210" s="188">
        <f t="shared" si="515"/>
        <v>13.333333333333334</v>
      </c>
      <c r="AA210" s="150">
        <f t="shared" si="516"/>
        <v>2.2988933062301298</v>
      </c>
      <c r="AB210" s="150">
        <f>0.5*AA210*Z210*Nps*W210/1000*(Pout/(Pout+Pout2))</f>
        <v>0.15722717598555255</v>
      </c>
      <c r="AC210" s="150"/>
      <c r="AD210" s="150">
        <f t="shared" si="518"/>
        <v>2.2988933062301298</v>
      </c>
      <c r="AE210" s="314">
        <f>MAX(10, F210/(0.5*AD210/1000000*Isw_min*Nps)/1000*Pout_total/Pout)</f>
        <v>698.54583881259089</v>
      </c>
      <c r="AF210" s="456">
        <f t="shared" si="520"/>
        <v>0.15722717598555255</v>
      </c>
      <c r="AH210" s="150">
        <f t="shared" si="521"/>
        <v>18.618986725025255</v>
      </c>
      <c r="AI210" s="150">
        <f>MAX(IF(F210&gt;AB210,T210,AH210),Isw_min)</f>
        <v>41.427513999979382</v>
      </c>
      <c r="AJ210" s="150">
        <f>IF(F210&gt;AF210, (AI210-Isw_min)/1.08*0.8+1.2, AE210*0.2/350+1)</f>
        <v>22.010504197515591</v>
      </c>
      <c r="AL210" s="314">
        <f t="shared" si="524"/>
        <v>500</v>
      </c>
      <c r="AM210" s="144">
        <f t="shared" si="525"/>
        <v>69.711545039806637</v>
      </c>
      <c r="AO210">
        <f t="shared" si="526"/>
        <v>500</v>
      </c>
      <c r="AP210">
        <f t="shared" si="527"/>
        <v>69.711545039806637</v>
      </c>
      <c r="AR210" s="5">
        <f t="shared" si="616"/>
        <v>14.344826232569952</v>
      </c>
      <c r="AS210" s="5">
        <f t="shared" si="604"/>
        <v>7.002018635446885</v>
      </c>
      <c r="AT210" s="5">
        <f t="shared" si="605"/>
        <v>7.3428075971230671</v>
      </c>
      <c r="AU210" s="150">
        <f t="shared" si="606"/>
        <v>0.48812153747452097</v>
      </c>
      <c r="AW210" s="5">
        <f t="shared" si="477"/>
        <v>2.059417245719672</v>
      </c>
      <c r="AX210" s="5">
        <f t="shared" si="478"/>
        <v>29.175077647695353</v>
      </c>
      <c r="AY210" s="5">
        <f t="shared" si="479"/>
        <v>117.21223695506359</v>
      </c>
      <c r="AZ210" s="5"/>
      <c r="BA210" s="150">
        <f>AI210*SQRT(AU210/3)</f>
        <v>16.710607194814653</v>
      </c>
      <c r="BB210" s="150">
        <f t="shared" si="481"/>
        <v>0.79920687570196125</v>
      </c>
      <c r="BC210" s="150">
        <f t="shared" si="482"/>
        <v>0.76027492311721501</v>
      </c>
      <c r="BD210" s="150"/>
      <c r="BE210" s="456">
        <f t="shared" si="483"/>
        <v>0.94943093558593017</v>
      </c>
      <c r="BF210" s="456">
        <f t="shared" si="528"/>
        <v>1.215583042457012</v>
      </c>
      <c r="BG210" s="456">
        <f t="shared" si="529"/>
        <v>2.833525045932506E-2</v>
      </c>
      <c r="BH210" s="456">
        <f t="shared" si="484"/>
        <v>1.4749128120618994E-2</v>
      </c>
      <c r="BI210">
        <f t="shared" si="485"/>
        <v>3.9936443197142934E-3</v>
      </c>
      <c r="BJ210" s="144">
        <f t="shared" si="600"/>
        <v>32.328894779039352</v>
      </c>
      <c r="BK210">
        <f t="shared" si="530"/>
        <v>3.1457407192459947</v>
      </c>
      <c r="BL210" s="144">
        <f t="shared" si="601"/>
        <v>2212.0920009426009</v>
      </c>
      <c r="BM210" s="150">
        <f t="shared" si="531"/>
        <v>1.109375</v>
      </c>
      <c r="BN210" s="150">
        <f t="shared" si="532"/>
        <v>1.109375</v>
      </c>
      <c r="BO210" s="456"/>
      <c r="BQ210" s="144">
        <f t="shared" si="486"/>
        <v>2218.75</v>
      </c>
      <c r="BR210" s="456">
        <f t="shared" si="487"/>
        <v>0.41886658922908687</v>
      </c>
      <c r="BS210" s="456">
        <f t="shared" si="488"/>
        <v>0.12774632603385802</v>
      </c>
      <c r="BT210" s="456">
        <f t="shared" si="489"/>
        <v>1.7340538761626615E-2</v>
      </c>
      <c r="BU210" s="456">
        <f t="shared" si="490"/>
        <v>22.410624396121616</v>
      </c>
      <c r="BV210" s="456"/>
      <c r="BW210" s="538">
        <f t="shared" si="533"/>
        <v>0.11964166650703405</v>
      </c>
      <c r="BX210" s="144">
        <f t="shared" si="607"/>
        <v>23094.219516653218</v>
      </c>
      <c r="BY210" s="150">
        <f t="shared" si="608"/>
        <v>27.52506151759582</v>
      </c>
      <c r="BZ210" s="5">
        <f t="shared" si="609"/>
        <v>91</v>
      </c>
      <c r="CA210" s="150">
        <f t="shared" si="610"/>
        <v>0.76777011405718998</v>
      </c>
      <c r="CB210" s="5">
        <f t="shared" si="611"/>
        <v>76.777011405718994</v>
      </c>
      <c r="CC210">
        <f t="shared" si="612"/>
        <v>100</v>
      </c>
      <c r="CE210" s="59">
        <f t="shared" si="534"/>
        <v>-50</v>
      </c>
      <c r="CF210">
        <f t="shared" si="535"/>
        <v>-50</v>
      </c>
      <c r="CG210" s="150">
        <f t="shared" si="536"/>
        <v>0.49840675206849366</v>
      </c>
      <c r="CH210" s="150">
        <f t="shared" si="537"/>
        <v>0.1350568335034627</v>
      </c>
      <c r="CI210" s="147">
        <v>100</v>
      </c>
      <c r="CJ210" s="188">
        <f t="shared" si="602"/>
        <v>0.5</v>
      </c>
      <c r="CK210" s="188">
        <f t="shared" si="538"/>
        <v>0.5</v>
      </c>
      <c r="CL210" s="188">
        <f t="shared" si="539"/>
        <v>85</v>
      </c>
      <c r="CM210" s="188">
        <f t="shared" si="540"/>
        <v>6</v>
      </c>
      <c r="CN210" s="465">
        <f t="shared" si="541"/>
        <v>9</v>
      </c>
      <c r="CO210" s="379">
        <f t="shared" si="542"/>
        <v>8.625</v>
      </c>
      <c r="CP210" s="379">
        <f t="shared" si="543"/>
        <v>17.625</v>
      </c>
      <c r="CQ210" s="379"/>
      <c r="CR210" s="188">
        <f t="shared" si="544"/>
        <v>0.48674080410607357</v>
      </c>
      <c r="CS210" s="149">
        <f t="shared" si="545"/>
        <v>136.39440115060304</v>
      </c>
      <c r="CT210" s="149">
        <f t="shared" si="546"/>
        <v>9.6278400812190377</v>
      </c>
      <c r="CU210" s="188">
        <f t="shared" si="547"/>
        <v>0.80232000676825321</v>
      </c>
      <c r="CV210" s="188">
        <f t="shared" si="548"/>
        <v>11.366200095883586</v>
      </c>
      <c r="CW210" s="188">
        <f t="shared" si="549"/>
        <v>170</v>
      </c>
      <c r="CX210" s="188">
        <f t="shared" si="550"/>
        <v>41.546182386252688</v>
      </c>
      <c r="CY210" s="188">
        <f t="shared" si="551"/>
        <v>6.9243637310421153</v>
      </c>
      <c r="CZ210" s="188">
        <f t="shared" si="552"/>
        <v>7.2254230236961199</v>
      </c>
      <c r="DA210" s="172">
        <f t="shared" si="553"/>
        <v>220.21276595744678</v>
      </c>
      <c r="DB210" s="379">
        <f t="shared" si="554"/>
        <v>70.672443149373777</v>
      </c>
      <c r="DD210" s="188">
        <f t="shared" si="555"/>
        <v>13.333333333333336</v>
      </c>
      <c r="DE210" s="150">
        <f t="shared" si="556"/>
        <v>2.3188405797101459</v>
      </c>
      <c r="DF210" s="150">
        <f t="shared" si="557"/>
        <v>0.15898994622398885</v>
      </c>
      <c r="DG210" s="150"/>
      <c r="DH210" s="150">
        <f t="shared" si="558"/>
        <v>2.3188405797101455</v>
      </c>
      <c r="DI210" s="314">
        <f t="shared" si="559"/>
        <v>692.53676470588209</v>
      </c>
      <c r="DJ210" s="456">
        <f t="shared" si="560"/>
        <v>0.15898994622398879</v>
      </c>
      <c r="DL210" s="150">
        <f t="shared" si="561"/>
        <v>18.618986725025255</v>
      </c>
      <c r="DM210" s="150">
        <f t="shared" si="562"/>
        <v>41.546182386252688</v>
      </c>
      <c r="DN210" s="150">
        <f t="shared" si="563"/>
        <v>22.098406705866186</v>
      </c>
      <c r="DP210" s="314">
        <f t="shared" si="564"/>
        <v>500</v>
      </c>
      <c r="DQ210" s="144">
        <f t="shared" si="565"/>
        <v>70.672443149373777</v>
      </c>
      <c r="DS210">
        <f t="shared" si="614"/>
        <v>500</v>
      </c>
      <c r="DT210">
        <f t="shared" si="615"/>
        <v>70.672443149373777</v>
      </c>
      <c r="DV210" s="5">
        <f t="shared" si="568"/>
        <v>14.149786754738235</v>
      </c>
      <c r="DW210" s="5">
        <f t="shared" si="569"/>
        <v>6.9243637310421153</v>
      </c>
      <c r="DX210" s="5">
        <f t="shared" si="570"/>
        <v>7.2254230236961199</v>
      </c>
      <c r="DY210" s="150">
        <f t="shared" si="571"/>
        <v>0.48936170212765961</v>
      </c>
      <c r="EA210" s="5">
        <f t="shared" si="572"/>
        <v>2.0365775679535636</v>
      </c>
      <c r="EB210" s="5">
        <f t="shared" si="573"/>
        <v>28.851515546008812</v>
      </c>
      <c r="EC210" s="5">
        <f t="shared" si="574"/>
        <v>113.73351055817966</v>
      </c>
      <c r="ED210" s="5"/>
      <c r="EE210" s="150">
        <f t="shared" si="575"/>
        <v>16.779749960108596</v>
      </c>
      <c r="EF210" s="150">
        <f t="shared" si="576"/>
        <v>0.80052467982429221</v>
      </c>
      <c r="EG210" s="150">
        <f t="shared" si="577"/>
        <v>0.76152853273726329</v>
      </c>
      <c r="EH210" s="150"/>
      <c r="EI210" s="456">
        <f t="shared" si="578"/>
        <v>0.95730402966079908</v>
      </c>
      <c r="EJ210" s="456">
        <f t="shared" si="579"/>
        <v>1.5732000000000002</v>
      </c>
      <c r="EK210" s="456">
        <f t="shared" si="580"/>
        <v>1.6183989481206595E-2</v>
      </c>
      <c r="EL210" s="456">
        <f t="shared" si="581"/>
        <v>1.5038306358485931E-2</v>
      </c>
      <c r="EM210">
        <f t="shared" si="582"/>
        <v>4.0499999999999998E-3</v>
      </c>
      <c r="EN210" s="144">
        <f t="shared" si="583"/>
        <v>20.233989481206596</v>
      </c>
      <c r="EP210" s="144">
        <f t="shared" si="603"/>
        <v>2565.7763255004916</v>
      </c>
      <c r="EQ210" s="150">
        <f t="shared" si="584"/>
        <v>1.25</v>
      </c>
      <c r="ER210" s="150">
        <f t="shared" si="585"/>
        <v>0.35499999999999998</v>
      </c>
      <c r="ES210" s="456"/>
      <c r="EU210" s="144">
        <f t="shared" si="497"/>
        <v>1605</v>
      </c>
      <c r="EV210" s="456">
        <f t="shared" si="586"/>
        <v>0.42234001308564667</v>
      </c>
      <c r="EW210" s="456">
        <f t="shared" si="587"/>
        <v>0.12816795260155711</v>
      </c>
      <c r="EX210" s="456">
        <f t="shared" si="588"/>
        <v>1.7397771185189072E-2</v>
      </c>
      <c r="EY210" s="456">
        <f t="shared" si="589"/>
        <v>23.357323485002276</v>
      </c>
      <c r="EZ210" s="456"/>
      <c r="FA210" s="538">
        <f t="shared" si="590"/>
        <v>0.12198666317665684</v>
      </c>
      <c r="FB210" s="144">
        <f t="shared" si="613"/>
        <v>24047.215885051326</v>
      </c>
      <c r="FC210" s="150">
        <f t="shared" si="591"/>
        <v>28.217992210551817</v>
      </c>
      <c r="FD210" s="5">
        <f t="shared" si="592"/>
        <v>91</v>
      </c>
      <c r="FE210" s="150">
        <f t="shared" si="593"/>
        <v>0.76330760410126852</v>
      </c>
      <c r="FF210" s="5">
        <f t="shared" si="594"/>
        <v>76.330760410126857</v>
      </c>
      <c r="FG210">
        <f t="shared" si="595"/>
        <v>100</v>
      </c>
      <c r="FI210" s="59">
        <f t="shared" si="596"/>
        <v>-50</v>
      </c>
      <c r="FJ210">
        <f t="shared" si="597"/>
        <v>-50</v>
      </c>
    </row>
    <row r="211" spans="1:169">
      <c r="E211" s="147"/>
      <c r="F211" s="188"/>
      <c r="G211" s="188"/>
      <c r="H211" s="188"/>
      <c r="I211" s="188"/>
      <c r="J211" s="465"/>
      <c r="K211" s="379"/>
      <c r="L211" s="149"/>
      <c r="M211" s="379"/>
      <c r="N211" s="188"/>
      <c r="O211" s="149"/>
      <c r="P211" s="149"/>
      <c r="Q211" s="188"/>
      <c r="R211" s="188"/>
      <c r="S211" s="188"/>
      <c r="T211" s="188"/>
      <c r="U211" s="188"/>
      <c r="V211" s="188"/>
      <c r="W211" s="172"/>
      <c r="X211" s="379"/>
      <c r="Z211" s="188"/>
      <c r="AA211" s="150"/>
      <c r="AB211" s="150"/>
      <c r="AC211" s="150"/>
      <c r="AD211" s="150"/>
      <c r="AE211" s="314"/>
      <c r="AF211" s="456"/>
      <c r="AH211" s="150"/>
      <c r="AI211" s="150"/>
      <c r="AJ211" s="150"/>
      <c r="AL211" s="314"/>
      <c r="AM211" s="144"/>
      <c r="AR211" s="5"/>
      <c r="AS211" s="5"/>
      <c r="AT211" s="5"/>
      <c r="AU211" s="150"/>
      <c r="CE211" s="59"/>
      <c r="CF211" s="463">
        <f>MAX(CF110:CF210)</f>
        <v>-50</v>
      </c>
      <c r="CG211" s="150"/>
      <c r="CH211" s="150"/>
      <c r="CI211" s="147"/>
      <c r="CJ211" s="188"/>
      <c r="CK211" s="188"/>
      <c r="CL211" s="188"/>
      <c r="CM211" s="188"/>
      <c r="CN211" s="465"/>
      <c r="CO211" s="379"/>
      <c r="CP211" s="379"/>
      <c r="CQ211" s="379"/>
      <c r="CR211" s="188"/>
      <c r="CS211" s="149"/>
      <c r="CT211" s="149"/>
      <c r="CU211" s="188"/>
      <c r="CV211" s="188"/>
      <c r="CW211" s="188"/>
      <c r="CX211" s="188"/>
      <c r="CY211" s="188"/>
      <c r="CZ211" s="188"/>
      <c r="DA211" s="172"/>
      <c r="DB211" s="379"/>
      <c r="DD211" s="188"/>
      <c r="DE211" s="150"/>
      <c r="DF211" s="150"/>
      <c r="DG211" s="150"/>
      <c r="DH211" s="150"/>
      <c r="DI211" s="314"/>
      <c r="DJ211" s="456"/>
      <c r="DL211" s="150"/>
      <c r="DM211" s="150"/>
      <c r="DN211" s="150"/>
      <c r="DP211" s="314"/>
      <c r="DQ211" s="144"/>
      <c r="DV211" s="5"/>
      <c r="DW211" s="5"/>
      <c r="DX211" s="5"/>
      <c r="DY211" s="150"/>
      <c r="FI211" s="59"/>
      <c r="FJ211" s="463">
        <f>MAX(FJ110:FJ210)</f>
        <v>-50</v>
      </c>
    </row>
    <row r="212" spans="1:169">
      <c r="A212" t="s">
        <v>862</v>
      </c>
      <c r="E212" s="147">
        <v>101</v>
      </c>
      <c r="F212" s="188">
        <f>'Calculations - Dual'!Ioutmax_Vinmin+0*H210/(H210+I210)</f>
        <v>0.80684065452539278</v>
      </c>
      <c r="G212" s="188">
        <f>'Calculations - Dual'!Ioutmax_Vinmin/Nsec1sec2*(1-H210/(H210+I210))</f>
        <v>0.71693001153312275</v>
      </c>
      <c r="H212" s="188">
        <f>F212*Vout</f>
        <v>137.16291126931677</v>
      </c>
      <c r="I212" s="188">
        <f>Vout2*G212</f>
        <v>8.6031601383974738</v>
      </c>
      <c r="J212" s="465">
        <f>VIN_min-(F212/CG212/Nps+G212/CH212/(Nps/Nsec1sec2))*(Rdcr_pri+RON/1000)</f>
        <v>8.8027519426341065</v>
      </c>
      <c r="K212" s="379">
        <f>MAX((S212+Vfwd2+Rdcr_sec*F212/CG212)*Nps,(Vout2+Vfwd22+Rdcr_sec2*G212/CH212)*Nps/Nsec1sec2)</f>
        <v>8.7323076258851913</v>
      </c>
      <c r="L212" s="149">
        <f>MAX((Vout+Vfwd2+F212/CG212*Rdcr_sec)*Nps+J212, (Vout2+Vfwd22+G212/CH212*Rdcr_sec2)*Nps/Nsec1sec2+J212)</f>
        <v>17.535059568519298</v>
      </c>
      <c r="M212" s="379"/>
      <c r="N212" s="188">
        <f>MAX((Vout+Vfwd2+F212/CG212*Rdcr_sec)*Nps/((Vout+Vfwd2+F212/CG212*Rdcr_sec)*Nps+J212), (Vout2+Vfwd22+G212/CH212*Rdcr_sec2)*Nps/Nsec1sec2/((Vout2+Vfwd22+G212/CH212*Rdcr_sec2)*Nps/Nsec1sec2+J212))</f>
        <v>0.4979913294142615</v>
      </c>
      <c r="O212" s="149">
        <f>N212*J212*Isw_max*0.5*Efficiency*Pout/(Pout+Pout2)</f>
        <v>136.48864545984915</v>
      </c>
      <c r="P212" s="149">
        <f>N212*J212*Isw_max*0.5*Efficiency*(Pout2/Pout_total)</f>
        <v>9.6344926206952337</v>
      </c>
      <c r="Q212" s="188">
        <f>O212/Vout</f>
        <v>0.80287438505793618</v>
      </c>
      <c r="R212" s="188">
        <f>O212/Vout2</f>
        <v>11.374053788320763</v>
      </c>
      <c r="S212" s="188">
        <f>MIN(Vout,O212/F212)</f>
        <v>169.16431354111148</v>
      </c>
      <c r="T212" s="188">
        <f>MIN(2*(Vout*F212+Vout2*G212)/(Efficiency*J212*N212), Isw_max)</f>
        <v>66.503759921246086</v>
      </c>
      <c r="U212" s="188">
        <f>L*T212/J212*1000000</f>
        <v>11.332324315391144</v>
      </c>
      <c r="V212" s="188">
        <f>L*T212/K212*1000000</f>
        <v>11.423743202331002</v>
      </c>
      <c r="W212" s="172">
        <f>IF(1/((350000*L)*(1/J212+1/K212))&gt;Isw_min, 350, 0.001/((Isw_min*L)*(1/J212+1/K212)))</f>
        <v>219.18470712081657</v>
      </c>
      <c r="X212" s="379">
        <f>MIN(1/(U212+V212+0.2)*1000, 350)</f>
        <v>43.561467974773876</v>
      </c>
      <c r="Z212" s="188">
        <f>1/((W212*1000*L)*(1/J212+1/K212))</f>
        <v>13.333333333333334</v>
      </c>
      <c r="AA212" s="150">
        <f>L*Z212/K212*1000000</f>
        <v>2.2903453310226927</v>
      </c>
      <c r="AB212" s="150">
        <f>0.5*AA212*Z212*Nps*W212/1000*(Pout/(Pout+Pout2))</f>
        <v>0.1563030659332886</v>
      </c>
      <c r="AC212" s="150"/>
      <c r="AD212" s="150">
        <f>L*Isw_min/K212*1000000</f>
        <v>2.2903453310226927</v>
      </c>
      <c r="AE212" s="314">
        <f>MAX(10, F212/(0.5*AD212/1000000*Isw_min*Nps)/1000*Pout_total/Pout)</f>
        <v>1131.4373873561506</v>
      </c>
      <c r="AF212" s="456">
        <f>0.5*AD212/1000000*Isw_min*Nps*W212*1000*(Pout/Pout_total)</f>
        <v>0.1563030659332886</v>
      </c>
      <c r="AH212" s="150">
        <f>SQRT((H212+I212)/(0.5*L*Fsw_DCM))</f>
        <v>23.564789828225397</v>
      </c>
      <c r="AI212" s="150">
        <f>MAX(IF(F212&gt;AB212,T212,AH212),Isw_min)</f>
        <v>66.503759921246086</v>
      </c>
      <c r="AJ212" s="150">
        <f>IF(F212&gt;AF212, (AI212-Isw_min)/1.08*0.8+1.2, AE212*0.2/350+1)</f>
        <v>40.585501176231666</v>
      </c>
      <c r="AL212" s="314">
        <f>F212*1000</f>
        <v>806.84065452539278</v>
      </c>
      <c r="AM212" s="144">
        <f>IF(F212&gt;AF212, X212, AE212)</f>
        <v>43.561467974773876</v>
      </c>
      <c r="AO212" t="str">
        <f>IF(H212&gt;O212, "",AL212)</f>
        <v/>
      </c>
      <c r="AP212" t="str">
        <f>IF(H212&gt;O212, "",AM212)</f>
        <v/>
      </c>
      <c r="AR212" s="5">
        <f>1/AM212*1000</f>
        <v>22.956067517722143</v>
      </c>
      <c r="AS212" s="5">
        <f>L*AI212/J212*1000000</f>
        <v>11.332324315391144</v>
      </c>
      <c r="AT212" s="5">
        <f>AR212-AS212</f>
        <v>11.623743202330999</v>
      </c>
      <c r="AU212" s="150">
        <f>AS212/AR212</f>
        <v>0.49365268274466262</v>
      </c>
      <c r="AW212" s="5">
        <f>F212*AS212/Vout_ripple*1000</f>
        <v>5.3784588046613031</v>
      </c>
      <c r="AX212" s="5">
        <f>G212*AS212/Vout_ripple2*1000</f>
        <v>67.704028351087175</v>
      </c>
      <c r="AY212" s="5">
        <f>H212/Efficiency/J212*AT212/Vinripple1</f>
        <v>301.86515684123731</v>
      </c>
      <c r="AZ212" s="5"/>
      <c r="BA212" s="150">
        <f>AI212*SQRT(AU212/3)</f>
        <v>26.977165924223712</v>
      </c>
      <c r="BB212" s="150">
        <f>AI212*Npri_sec1*SQRT((1-AU212)/3)*(Pout/Pout_total)</f>
        <v>1.2760196629100593</v>
      </c>
      <c r="BC212" s="150">
        <f>AI212*Npri_sec2*SQRT((1-AU212)/3)*(Pout2/Pout_total)</f>
        <v>1.2138606168308006</v>
      </c>
      <c r="BD212" s="150"/>
      <c r="BE212" s="456">
        <f>Rdson*BA212^2</f>
        <v>2.47440943643053</v>
      </c>
      <c r="BF212" s="456">
        <f>0.5*L212*AI212*AM212*1000*Tfall</f>
        <v>1.216638259616567</v>
      </c>
      <c r="BG212" s="456">
        <f>Qg*Vdd*AM212*1000*0+Qg*J212*AM212*1000</f>
        <v>1.7562504495223185E-2</v>
      </c>
      <c r="BH212" s="456">
        <f>0.5*(Coss+Csw)*L212^2*AM212*1000</f>
        <v>9.1750316109843345E-3</v>
      </c>
      <c r="BI212">
        <f>J212*IQ</f>
        <v>3.9612383741853482E-3</v>
      </c>
      <c r="BJ212" s="144">
        <f>(BG212+BI212)*1000</f>
        <v>21.523742869408533</v>
      </c>
      <c r="BK212">
        <f>(BF212+BG212*0+BH212+BI212*0+BE212*(1+RdsonTC*(Ta-25)))/(1-BE212*RdsonTC*ThetaJA)</f>
        <v>10.600635569570834</v>
      </c>
      <c r="BL212" s="144">
        <f>SUM(BE212:BI212)*1000</f>
        <v>3721.7464705274897</v>
      </c>
      <c r="BM212" s="150">
        <f>Vfwd2*F212*(1+Diode_TC/1000*(Ta-25))</f>
        <v>1.7901777022282153</v>
      </c>
      <c r="BN212" s="150">
        <f>Vfwd2*G212*(1+Diode_TC/1000*(Ta-25))</f>
        <v>1.5906884630891158</v>
      </c>
      <c r="BO212" s="456"/>
      <c r="BQ212" s="144">
        <f>SUM(BM212:BP212)*1000</f>
        <v>3380.8661653173313</v>
      </c>
      <c r="BR212" s="456">
        <f>Rdcr_pri*BA212^2</f>
        <v>1.0916512219546455</v>
      </c>
      <c r="BS212" s="456">
        <f>Rdcr_sec*BB212^2</f>
        <v>0.32564523602662027</v>
      </c>
      <c r="BT212" s="456">
        <f>Rdcr_sec2*BC212^2</f>
        <v>4.4203727912785547E-2</v>
      </c>
      <c r="BU212" s="456">
        <f>AI212^2.5*AM212^2.5*k_core</f>
        <v>22.586127219690166</v>
      </c>
      <c r="BV212" s="456"/>
      <c r="BW212" s="538">
        <f>0.5*Lleak*0.000000001*AI212^2*AM212*1000</f>
        <v>0.1926614861299028</v>
      </c>
      <c r="BX212" s="144">
        <f>SUM(BR212:BW212)*1000</f>
        <v>24240.288891714121</v>
      </c>
      <c r="BY212" s="150">
        <f>SUM(BE212:BI212,BM212:BP212,BR212:BW212)</f>
        <v>31.34290152755894</v>
      </c>
      <c r="BZ212" s="5">
        <f>MIN(H212+I212,O212+P212)</f>
        <v>145.76607140771424</v>
      </c>
      <c r="CA212" s="150">
        <f>BZ212/(BZ212+BY212)</f>
        <v>0.82303041450636372</v>
      </c>
      <c r="CB212" s="5">
        <f>CA212*100</f>
        <v>82.303041450636371</v>
      </c>
      <c r="CC212">
        <f>F212/Iout*100</f>
        <v>161.36813090507854</v>
      </c>
      <c r="CE212" s="59">
        <f>IF(ABS(F212-Ioutmax_Vinmin)&lt;Iout/200, AM212, -50)</f>
        <v>43.561467974773876</v>
      </c>
      <c r="CF212">
        <f>IF(ABS(F212-Ioutmax_Vinmin)&lt;Iout/200, (O212+P212)*CA212, -50)</f>
        <v>120.26378690340105</v>
      </c>
      <c r="CG212" s="150">
        <f>MIN(SQRT(2*DT212*1000*Ls1_*(CL212+CJ212*Vfwd1))/(CW212+Vfwd1), 1-DY212)</f>
        <v>0.49840675206849366</v>
      </c>
      <c r="CH212" s="150">
        <f>MIN(SQRT(2*DT212*1000*Ls2_*(CM212+CK212*Vfwd22))/(Vout2+Vfwd22), 1-DY212)</f>
        <v>0.1350568335034627</v>
      </c>
      <c r="CI212" s="147">
        <v>100</v>
      </c>
      <c r="CJ212" s="188">
        <f>IF(PLOT_TYPE=1, CI212/100*Iout_max, min_I*EXP(CS212*rr/100))</f>
        <v>0.5</v>
      </c>
      <c r="CK212" s="188">
        <f>IF(PLOT_TYPE=1, CI212/100*Iout2, min_I*EXP(CU212*rr/100))</f>
        <v>0.5</v>
      </c>
      <c r="CL212" s="188">
        <f>CJ212*Vout</f>
        <v>85</v>
      </c>
      <c r="CM212" s="188">
        <f>Vout2*CK212</f>
        <v>6</v>
      </c>
      <c r="CN212" s="465">
        <f t="shared" si="541"/>
        <v>9</v>
      </c>
      <c r="CO212" s="379">
        <f>(CW212+Vfwd2)*Nps</f>
        <v>8.625</v>
      </c>
      <c r="CP212" s="379">
        <f>(Vout+Vfwd2)*Nps+CN212</f>
        <v>17.625</v>
      </c>
      <c r="CQ212" s="379"/>
      <c r="CR212" s="188">
        <f>(Vout+Vfwd1)*Nps/((Vout+Vfwd1)*Nps+CN212)</f>
        <v>0.48674080410607357</v>
      </c>
      <c r="CS212" s="149">
        <f>CR212*CN212*Isw_max*0.5*Efficiency*Pout/(Pout+Pout2)</f>
        <v>136.39440115060304</v>
      </c>
      <c r="CT212" s="149">
        <f>CR212*CN212*Isw_max*0.5*Efficiency*(Pout2/Pout_total)</f>
        <v>9.6278400812190377</v>
      </c>
      <c r="CU212" s="188">
        <f>CS212/Vout</f>
        <v>0.80232000676825321</v>
      </c>
      <c r="CV212" s="188">
        <f>CS212/Vout2</f>
        <v>11.366200095883586</v>
      </c>
      <c r="CW212" s="188">
        <f>MIN(Vout,CS212/CJ212)</f>
        <v>170</v>
      </c>
      <c r="CX212" s="188">
        <f>MIN(2*(Vout*CJ212+Vout2*CK212)/(Efficiency*CN212*CR212), Isw_max)</f>
        <v>41.546182386252688</v>
      </c>
      <c r="CY212" s="188">
        <f>L*CX212/CN212*1000000</f>
        <v>6.9243637310421153</v>
      </c>
      <c r="CZ212" s="188">
        <f>L*CX212/CO212*1000000</f>
        <v>7.2254230236961199</v>
      </c>
      <c r="DA212" s="172">
        <f>IF(1/((350000*L)*(1/CN212+1/CO212))&gt;Isw_min, 350, 0.001/((Isw_min*L)*(1/CN212+1/CO212)))</f>
        <v>220.21276595744678</v>
      </c>
      <c r="DB212" s="379">
        <f>MIN(1/(CY212+CZ212)*1000, 350)</f>
        <v>70.672443149373777</v>
      </c>
      <c r="DD212" s="188">
        <f>1/((DA212*1000*L)*(1/CN212+1/CO212))</f>
        <v>13.333333333333336</v>
      </c>
      <c r="DE212" s="150">
        <f>L*DD212/CO212*1000000</f>
        <v>2.3188405797101459</v>
      </c>
      <c r="DF212" s="150">
        <f>0.5*DE212*DD212*Nps*DA212/1000*(Pout/(Pout+Pout2))</f>
        <v>0.15898994622398885</v>
      </c>
      <c r="DG212" s="150"/>
      <c r="DH212" s="150">
        <f>L*Isw_min/CO212*1000000</f>
        <v>2.3188405797101455</v>
      </c>
      <c r="DI212" s="314">
        <f>MAX(10, CJ212/(0.5*DH212/1000000*Isw_min*Nps)/1000*Pout_total/Pout)</f>
        <v>692.53676470588209</v>
      </c>
      <c r="DJ212" s="456">
        <f>0.5*DH212/1000000*Isw_min*Nps*DA212*1000*(Pout/Pout_total)</f>
        <v>0.15898994622398879</v>
      </c>
      <c r="DL212" s="150">
        <f>SQRT((CL212+CM212)/(0.5*L*Fsw_DCM))</f>
        <v>18.618986725025255</v>
      </c>
      <c r="DM212" s="150">
        <f>MAX(IF(CJ212&gt;DF212,CX212,DL212),Isw_min)</f>
        <v>41.546182386252688</v>
      </c>
      <c r="DN212" s="150">
        <f>IF(CJ212&gt;DJ212, (DM212-Isw_min)/1.08*0.8+1.2, DI212*0.2/350+1)</f>
        <v>22.098406705866186</v>
      </c>
      <c r="DP212" s="314">
        <f>CJ212*1000</f>
        <v>500</v>
      </c>
      <c r="DQ212" s="144">
        <f>IF(CJ212&gt;DJ212, DB212, DI212)</f>
        <v>70.672443149373777</v>
      </c>
      <c r="DS212">
        <f>IF(CL212&gt;CS212, "",DP212)</f>
        <v>500</v>
      </c>
      <c r="DT212">
        <f>IF(CL212&gt;CS212, "",DQ212)</f>
        <v>70.672443149373777</v>
      </c>
      <c r="DV212" s="5">
        <f>1/DQ212*1000</f>
        <v>14.149786754738235</v>
      </c>
      <c r="DW212" s="5">
        <f>L*DM212/CN212*1000000</f>
        <v>6.9243637310421153</v>
      </c>
      <c r="DX212" s="5">
        <f>DV212-DW212</f>
        <v>7.2254230236961199</v>
      </c>
      <c r="DY212" s="150">
        <f>DW212/DV212</f>
        <v>0.48936170212765961</v>
      </c>
      <c r="EA212" s="5">
        <f>CJ212*DW212/Vout_ripple*1000</f>
        <v>2.0365775679535636</v>
      </c>
      <c r="EB212" s="5">
        <f>CK212*DW212/Vout_ripple2*1000</f>
        <v>28.851515546008812</v>
      </c>
      <c r="EC212" s="5">
        <f>CL212/Efficiency/CN212*DX212/Vinripple1</f>
        <v>113.73351055817966</v>
      </c>
      <c r="ED212" s="5"/>
      <c r="EE212" s="150">
        <f>DM212*SQRT(DY212/3)</f>
        <v>16.779749960108596</v>
      </c>
      <c r="EF212" s="150">
        <f>DM212*Npri_sec1*SQRT((1-DY212)/3)*(Pout/Pout_total)</f>
        <v>0.80052467982429221</v>
      </c>
      <c r="EG212" s="150">
        <f>DM212*Npri_sec2*SQRT((1-DY212)/3)*(Pout2/Pout_total)</f>
        <v>0.76152853273726329</v>
      </c>
      <c r="EH212" s="150"/>
      <c r="EI212" s="456">
        <f>Rdson*EE212^2</f>
        <v>0.95730402966079908</v>
      </c>
      <c r="EJ212" s="456">
        <f>0.5*CP212*DM212*DQ212*1000*Trise</f>
        <v>1.5732000000000002</v>
      </c>
      <c r="EK212" s="456">
        <f>Qg*Vdd*DQ212*1000</f>
        <v>1.6183989481206595E-2</v>
      </c>
      <c r="EL212" s="456">
        <f>0.5*(Coss+Csw)*CP212^2*DQ212*1000</f>
        <v>1.5038306358485931E-2</v>
      </c>
      <c r="EM212">
        <f>CN212*IQ</f>
        <v>4.0499999999999998E-3</v>
      </c>
      <c r="EN212" s="144">
        <f>(EK212+EM212)*1000</f>
        <v>20.233989481206596</v>
      </c>
      <c r="EP212" s="144">
        <f>SUM(EI212:EM212)*1000</f>
        <v>2565.7763255004916</v>
      </c>
      <c r="EQ212" s="150">
        <f>Vfwd2*CJ212</f>
        <v>1.25</v>
      </c>
      <c r="ER212" s="150">
        <f>Vfwd22*CK212*(1+Diode_TC/1000*(Ta-25))</f>
        <v>0.35499999999999998</v>
      </c>
      <c r="ES212" s="456"/>
      <c r="EU212" s="144">
        <f>SUM(EQ212:ET212)*1000</f>
        <v>1605</v>
      </c>
      <c r="EV212" s="456">
        <f>Rdcr_pri*EE212^2</f>
        <v>0.42234001308564667</v>
      </c>
      <c r="EW212" s="456">
        <f>Rdcr_sec*EF212^2</f>
        <v>0.12816795260155711</v>
      </c>
      <c r="EX212" s="456">
        <f>Rdcr_sec2*EG212^2</f>
        <v>1.7397771185189072E-2</v>
      </c>
      <c r="EY212" s="456">
        <f>DM212^2.5*DQ212^2.5*k_core</f>
        <v>23.357323485002276</v>
      </c>
      <c r="EZ212" s="456"/>
      <c r="FA212" s="538">
        <f>0.5*Lleak*0.000000001*DM212^2*DQ212*1000</f>
        <v>0.12198666317665684</v>
      </c>
      <c r="FB212" s="144">
        <f>SUM(EV212:FA212)*1000</f>
        <v>24047.215885051326</v>
      </c>
      <c r="FC212" s="150">
        <f>SUM(EI212:EM212,EQ212:ET212,EV212:FA212)</f>
        <v>28.217992210551817</v>
      </c>
      <c r="FD212" s="5">
        <f>MIN(CL212+CM212,CS212+CT212)</f>
        <v>91</v>
      </c>
      <c r="FE212" s="150">
        <f>FD212/(FD212+FC212)</f>
        <v>0.76330760410126852</v>
      </c>
      <c r="FF212" s="5">
        <f>FE212*100</f>
        <v>76.330760410126857</v>
      </c>
      <c r="FG212">
        <f>CJ212/Iout*100</f>
        <v>100</v>
      </c>
      <c r="FI212" s="59">
        <f>IF(ABS(CJ212-Ioutmax_Vinmin)&lt;Iout/200, DQ212, -50)</f>
        <v>-50</v>
      </c>
      <c r="FJ212">
        <f>IF(ABS(CJ212-Ioutmax_Vinmin)&lt;Iout/200, (CS212+CT212)*FE212, -50)</f>
        <v>-50</v>
      </c>
    </row>
    <row r="213" spans="1:169">
      <c r="G213" s="188"/>
      <c r="H213" s="188"/>
      <c r="I213" s="188"/>
      <c r="J213" s="465"/>
      <c r="K213" s="379"/>
      <c r="L213" s="149"/>
      <c r="M213" s="379"/>
      <c r="N213" s="188"/>
      <c r="O213" s="149"/>
      <c r="P213" s="149"/>
      <c r="Q213" s="188"/>
      <c r="R213" s="188"/>
      <c r="S213" s="188"/>
      <c r="T213" s="188"/>
      <c r="U213" s="188"/>
      <c r="V213" s="188"/>
      <c r="W213" s="172"/>
      <c r="X213" s="379"/>
      <c r="Z213" s="188"/>
      <c r="AA213" s="150"/>
      <c r="AB213" s="150"/>
      <c r="AC213" s="150"/>
      <c r="AD213" s="150"/>
      <c r="AE213" s="314"/>
      <c r="AF213" s="456"/>
      <c r="AH213" s="150"/>
      <c r="AI213" s="150"/>
      <c r="AJ213" s="150"/>
      <c r="AL213" s="314"/>
      <c r="AM213" s="144"/>
      <c r="AR213" s="5"/>
      <c r="AS213" s="5"/>
      <c r="AT213" s="5"/>
      <c r="AU213" s="150"/>
      <c r="CE213" s="59"/>
      <c r="CG213" s="150"/>
      <c r="CH213" s="150"/>
      <c r="CK213" s="188"/>
      <c r="CL213" s="188"/>
      <c r="CM213" s="188"/>
      <c r="CN213" s="465"/>
      <c r="CO213" s="379"/>
      <c r="CP213" s="379"/>
      <c r="CQ213" s="379"/>
      <c r="CR213" s="188"/>
      <c r="CS213" s="149"/>
      <c r="CT213" s="149"/>
      <c r="CU213" s="188"/>
      <c r="CV213" s="188"/>
      <c r="CW213" s="188"/>
      <c r="CX213" s="188"/>
      <c r="CY213" s="188"/>
      <c r="CZ213" s="188"/>
      <c r="DA213" s="172"/>
      <c r="DB213" s="379"/>
      <c r="DD213" s="188"/>
      <c r="DE213" s="150"/>
      <c r="DF213" s="150"/>
      <c r="DG213" s="150"/>
      <c r="DH213" s="150"/>
      <c r="DI213" s="314"/>
      <c r="DJ213" s="456"/>
      <c r="DL213" s="150"/>
      <c r="DM213" s="150"/>
      <c r="DN213" s="150"/>
      <c r="DP213" s="314"/>
      <c r="DQ213" s="144"/>
      <c r="DV213" s="5"/>
      <c r="DW213" s="5"/>
      <c r="DX213" s="5"/>
      <c r="DY213" s="150"/>
      <c r="FI213" s="59"/>
    </row>
    <row r="214" spans="1:169">
      <c r="E214" s="159" t="s">
        <v>435</v>
      </c>
      <c r="G214" s="188"/>
      <c r="H214" s="188"/>
      <c r="I214" s="188"/>
      <c r="J214" s="465"/>
      <c r="K214" s="379"/>
      <c r="L214" s="149"/>
      <c r="M214" s="379"/>
      <c r="N214" s="188"/>
      <c r="O214" s="149"/>
      <c r="P214" s="149"/>
      <c r="Q214" s="188"/>
      <c r="R214" s="188"/>
      <c r="S214" s="188"/>
      <c r="T214" s="188"/>
      <c r="U214" s="188"/>
      <c r="V214" s="188"/>
      <c r="W214" s="172"/>
      <c r="X214" s="379"/>
      <c r="Z214" s="188"/>
      <c r="AA214" s="150"/>
      <c r="AB214" s="150"/>
      <c r="AC214" s="150"/>
      <c r="AD214" s="150"/>
      <c r="AE214" s="314"/>
      <c r="AF214" s="456"/>
      <c r="AH214" s="150"/>
      <c r="AI214" s="150"/>
      <c r="AJ214" s="150"/>
      <c r="AL214" s="314"/>
      <c r="AM214" s="144"/>
      <c r="AR214" s="5"/>
      <c r="AS214" s="5"/>
      <c r="AT214" s="5"/>
      <c r="AU214" s="150"/>
      <c r="CE214" s="59"/>
      <c r="CG214" s="150"/>
      <c r="CH214" s="150"/>
      <c r="CI214" s="159" t="s">
        <v>435</v>
      </c>
      <c r="CK214" s="188"/>
      <c r="CL214" s="188"/>
      <c r="CM214" s="188"/>
      <c r="CN214" s="465"/>
      <c r="CO214" s="379"/>
      <c r="CP214" s="379"/>
      <c r="CQ214" s="379"/>
      <c r="CR214" s="188"/>
      <c r="CS214" s="149"/>
      <c r="CT214" s="149"/>
      <c r="CU214" s="188"/>
      <c r="CV214" s="188"/>
      <c r="CW214" s="188"/>
      <c r="CX214" s="188"/>
      <c r="CY214" s="188"/>
      <c r="CZ214" s="188"/>
      <c r="DA214" s="172"/>
      <c r="DB214" s="379"/>
      <c r="DD214" s="188"/>
      <c r="DE214" s="150"/>
      <c r="DF214" s="150"/>
      <c r="DG214" s="150"/>
      <c r="DH214" s="150"/>
      <c r="DI214" s="314"/>
      <c r="DJ214" s="456"/>
      <c r="DL214" s="150"/>
      <c r="DM214" s="150"/>
      <c r="DN214" s="150"/>
      <c r="DP214" s="314"/>
      <c r="DQ214" s="144"/>
      <c r="DV214" s="5"/>
      <c r="DW214" s="5"/>
      <c r="DX214" s="5"/>
      <c r="DY214" s="150"/>
      <c r="FI214" s="59"/>
    </row>
    <row r="215" spans="1:169" ht="45" customHeight="1" thickBot="1">
      <c r="E215" s="211" t="s">
        <v>25</v>
      </c>
      <c r="F215" s="516" t="s">
        <v>580</v>
      </c>
      <c r="G215" s="380" t="s">
        <v>579</v>
      </c>
      <c r="H215" s="517" t="s">
        <v>581</v>
      </c>
      <c r="I215" s="518" t="s">
        <v>582</v>
      </c>
      <c r="J215" s="212" t="s">
        <v>412</v>
      </c>
      <c r="K215" s="213" t="s">
        <v>586</v>
      </c>
      <c r="L215" s="519" t="s">
        <v>413</v>
      </c>
      <c r="M215" s="520"/>
      <c r="N215" s="214" t="s">
        <v>48</v>
      </c>
      <c r="O215" s="520" t="s">
        <v>590</v>
      </c>
      <c r="P215" s="520" t="s">
        <v>606</v>
      </c>
      <c r="Q215" s="520" t="s">
        <v>583</v>
      </c>
      <c r="R215" s="520" t="s">
        <v>584</v>
      </c>
      <c r="S215" s="520" t="s">
        <v>585</v>
      </c>
      <c r="T215" s="520" t="s">
        <v>414</v>
      </c>
      <c r="U215" s="520" t="s">
        <v>466</v>
      </c>
      <c r="V215" s="520" t="s">
        <v>465</v>
      </c>
      <c r="W215" s="521" t="s">
        <v>420</v>
      </c>
      <c r="X215" s="522" t="s">
        <v>425</v>
      </c>
      <c r="Z215" s="215" t="s">
        <v>417</v>
      </c>
      <c r="AA215" s="215" t="s">
        <v>464</v>
      </c>
      <c r="AB215" s="215" t="s">
        <v>587</v>
      </c>
      <c r="AC215" s="468"/>
      <c r="AD215" s="215" t="s">
        <v>463</v>
      </c>
      <c r="AE215" s="521" t="s">
        <v>426</v>
      </c>
      <c r="AF215" s="215" t="s">
        <v>588</v>
      </c>
      <c r="AG215" s="468"/>
      <c r="AH215" s="215" t="s">
        <v>429</v>
      </c>
      <c r="AI215" s="470" t="s">
        <v>430</v>
      </c>
      <c r="AJ215" s="470" t="s">
        <v>431</v>
      </c>
      <c r="AL215" s="467" t="s">
        <v>275</v>
      </c>
      <c r="AM215" s="467" t="s">
        <v>432</v>
      </c>
      <c r="AO215" s="215" t="s">
        <v>275</v>
      </c>
      <c r="AP215" s="215" t="s">
        <v>432</v>
      </c>
      <c r="AQ215" s="471"/>
      <c r="AR215" s="215" t="s">
        <v>467</v>
      </c>
      <c r="AS215" s="215" t="s">
        <v>461</v>
      </c>
      <c r="AT215" s="215" t="s">
        <v>462</v>
      </c>
      <c r="AU215" s="215" t="s">
        <v>48</v>
      </c>
      <c r="AV215" s="468"/>
      <c r="AW215" s="215" t="s">
        <v>591</v>
      </c>
      <c r="AX215" s="215" t="s">
        <v>592</v>
      </c>
      <c r="AY215" s="215" t="s">
        <v>514</v>
      </c>
      <c r="AZ215" s="468"/>
      <c r="BA215" s="479" t="s">
        <v>456</v>
      </c>
      <c r="BB215" s="215" t="s">
        <v>599</v>
      </c>
      <c r="BC215" s="215" t="s">
        <v>598</v>
      </c>
      <c r="BD215" s="468"/>
      <c r="BE215" s="479" t="s">
        <v>474</v>
      </c>
      <c r="BF215" s="215" t="s">
        <v>475</v>
      </c>
      <c r="BG215" s="215" t="s">
        <v>473</v>
      </c>
      <c r="BH215" s="215" t="s">
        <v>469</v>
      </c>
      <c r="BI215" s="215" t="s">
        <v>478</v>
      </c>
      <c r="BJ215" s="215" t="s">
        <v>491</v>
      </c>
      <c r="BK215" s="215" t="s">
        <v>776</v>
      </c>
      <c r="BL215" s="215" t="s">
        <v>778</v>
      </c>
      <c r="BM215" s="479" t="s">
        <v>601</v>
      </c>
      <c r="BN215" s="215" t="s">
        <v>600</v>
      </c>
      <c r="BO215" s="215" t="s">
        <v>477</v>
      </c>
      <c r="BP215" s="215" t="s">
        <v>483</v>
      </c>
      <c r="BQ215" s="215" t="s">
        <v>487</v>
      </c>
      <c r="BR215" s="479" t="s">
        <v>458</v>
      </c>
      <c r="BS215" s="215" t="s">
        <v>603</v>
      </c>
      <c r="BT215" s="215" t="s">
        <v>602</v>
      </c>
      <c r="BU215" s="215" t="s">
        <v>468</v>
      </c>
      <c r="BV215" s="215" t="s">
        <v>673</v>
      </c>
      <c r="BW215" s="215" t="s">
        <v>484</v>
      </c>
      <c r="BX215" s="215" t="s">
        <v>667</v>
      </c>
      <c r="BY215" s="479" t="s">
        <v>482</v>
      </c>
      <c r="BZ215" s="215" t="s">
        <v>223</v>
      </c>
      <c r="CA215" s="215" t="s">
        <v>47</v>
      </c>
      <c r="CB215" s="215" t="s">
        <v>485</v>
      </c>
      <c r="CC215" s="215" t="s">
        <v>604</v>
      </c>
      <c r="CE215" s="490" t="s">
        <v>497</v>
      </c>
      <c r="CG215" s="668" t="s">
        <v>829</v>
      </c>
      <c r="CH215" s="669" t="s">
        <v>830</v>
      </c>
      <c r="CI215" s="211" t="s">
        <v>25</v>
      </c>
      <c r="CJ215" s="516" t="s">
        <v>580</v>
      </c>
      <c r="CK215" s="380" t="s">
        <v>579</v>
      </c>
      <c r="CL215" s="517" t="s">
        <v>581</v>
      </c>
      <c r="CM215" s="518" t="s">
        <v>582</v>
      </c>
      <c r="CN215" s="212" t="s">
        <v>412</v>
      </c>
      <c r="CO215" s="213" t="s">
        <v>586</v>
      </c>
      <c r="CP215" s="519" t="s">
        <v>413</v>
      </c>
      <c r="CQ215" s="520"/>
      <c r="CR215" s="214" t="s">
        <v>48</v>
      </c>
      <c r="CS215" s="520" t="s">
        <v>590</v>
      </c>
      <c r="CT215" s="520" t="s">
        <v>606</v>
      </c>
      <c r="CU215" s="520" t="s">
        <v>583</v>
      </c>
      <c r="CV215" s="520" t="s">
        <v>584</v>
      </c>
      <c r="CW215" s="520" t="s">
        <v>585</v>
      </c>
      <c r="CX215" s="520" t="s">
        <v>414</v>
      </c>
      <c r="CY215" s="520" t="s">
        <v>466</v>
      </c>
      <c r="CZ215" s="520" t="s">
        <v>465</v>
      </c>
      <c r="DA215" s="521" t="s">
        <v>420</v>
      </c>
      <c r="DB215" s="522" t="s">
        <v>425</v>
      </c>
      <c r="DD215" s="215" t="s">
        <v>417</v>
      </c>
      <c r="DE215" s="215" t="s">
        <v>464</v>
      </c>
      <c r="DF215" s="215" t="s">
        <v>587</v>
      </c>
      <c r="DG215" s="468"/>
      <c r="DH215" s="215" t="s">
        <v>463</v>
      </c>
      <c r="DI215" s="521" t="s">
        <v>426</v>
      </c>
      <c r="DJ215" s="215" t="s">
        <v>588</v>
      </c>
      <c r="DK215" s="468"/>
      <c r="DL215" s="215" t="s">
        <v>429</v>
      </c>
      <c r="DM215" s="470" t="s">
        <v>430</v>
      </c>
      <c r="DN215" s="470" t="s">
        <v>431</v>
      </c>
      <c r="DP215" s="467" t="s">
        <v>275</v>
      </c>
      <c r="DQ215" s="467" t="s">
        <v>432</v>
      </c>
      <c r="DS215" s="215" t="s">
        <v>275</v>
      </c>
      <c r="DT215" s="215" t="s">
        <v>432</v>
      </c>
      <c r="DU215" s="471"/>
      <c r="DV215" s="215" t="s">
        <v>467</v>
      </c>
      <c r="DW215" s="215" t="s">
        <v>461</v>
      </c>
      <c r="DX215" s="215" t="s">
        <v>462</v>
      </c>
      <c r="DY215" s="215" t="s">
        <v>48</v>
      </c>
      <c r="DZ215" s="468"/>
      <c r="EA215" s="215" t="s">
        <v>591</v>
      </c>
      <c r="EB215" s="215" t="s">
        <v>592</v>
      </c>
      <c r="EC215" s="215" t="s">
        <v>514</v>
      </c>
      <c r="ED215" s="468"/>
      <c r="EE215" s="479" t="s">
        <v>456</v>
      </c>
      <c r="EF215" s="215" t="s">
        <v>599</v>
      </c>
      <c r="EG215" s="215" t="s">
        <v>598</v>
      </c>
      <c r="EH215" s="468"/>
      <c r="EI215" s="479" t="s">
        <v>474</v>
      </c>
      <c r="EJ215" s="215" t="s">
        <v>475</v>
      </c>
      <c r="EK215" s="215" t="s">
        <v>473</v>
      </c>
      <c r="EL215" s="215" t="s">
        <v>469</v>
      </c>
      <c r="EM215" s="215" t="s">
        <v>478</v>
      </c>
      <c r="EN215" s="215" t="s">
        <v>491</v>
      </c>
      <c r="EO215" s="215" t="s">
        <v>776</v>
      </c>
      <c r="EP215" s="215" t="s">
        <v>778</v>
      </c>
      <c r="EQ215" s="479" t="s">
        <v>601</v>
      </c>
      <c r="ER215" s="215" t="s">
        <v>600</v>
      </c>
      <c r="ES215" s="215" t="s">
        <v>477</v>
      </c>
      <c r="ET215" s="215" t="s">
        <v>483</v>
      </c>
      <c r="EU215" s="215" t="s">
        <v>487</v>
      </c>
      <c r="EV215" s="479" t="s">
        <v>458</v>
      </c>
      <c r="EW215" s="215" t="s">
        <v>603</v>
      </c>
      <c r="EX215" s="215" t="s">
        <v>602</v>
      </c>
      <c r="EY215" s="215" t="s">
        <v>468</v>
      </c>
      <c r="EZ215" s="215" t="s">
        <v>673</v>
      </c>
      <c r="FA215" s="215" t="s">
        <v>484</v>
      </c>
      <c r="FB215" s="215" t="s">
        <v>486</v>
      </c>
      <c r="FC215" s="479" t="s">
        <v>482</v>
      </c>
      <c r="FD215" s="215" t="s">
        <v>223</v>
      </c>
      <c r="FE215" s="215" t="s">
        <v>47</v>
      </c>
      <c r="FF215" s="215" t="s">
        <v>485</v>
      </c>
      <c r="FG215" s="215" t="s">
        <v>604</v>
      </c>
      <c r="FI215" s="490" t="s">
        <v>497</v>
      </c>
      <c r="FL215" s="668" t="s">
        <v>876</v>
      </c>
      <c r="FM215" s="668" t="s">
        <v>875</v>
      </c>
    </row>
    <row r="216" spans="1:169">
      <c r="E216" s="147">
        <v>0.1</v>
      </c>
      <c r="F216" s="188">
        <v>1.0000000000000001E-9</v>
      </c>
      <c r="G216" s="188">
        <f t="shared" ref="G216:G247" si="617">IF(PLOT_TYPE=1, E216/100*Iout2, min_I*EXP(Q216*rr/100))</f>
        <v>5.0000000000000001E-4</v>
      </c>
      <c r="H216" s="188">
        <f t="shared" ref="H216:H247" si="618">F216*Vout</f>
        <v>1.7000000000000001E-7</v>
      </c>
      <c r="I216" s="188">
        <f t="shared" ref="I216:I247" si="619">Vout2*G216</f>
        <v>6.0000000000000001E-3</v>
      </c>
      <c r="J216" s="465">
        <f t="shared" ref="J216:J247" si="620">VIN_max-(F216/CG216/Nps+G216/CH216/(Nps/Nsec1sec2))*(Rdcr_pri+RON/1000)</f>
        <v>15.99779698904895</v>
      </c>
      <c r="K216" s="379">
        <f t="shared" ref="K216:K247" si="621">MAX((S216+Vfwd2+Rdcr_sec*F216/CG216)*Nps,(Vout2+Vfwd22+Rdcr_sec2*G216/CH216)*Nps/Nsec1sec2)</f>
        <v>8.6310916440816197</v>
      </c>
      <c r="L216" s="149">
        <f t="shared" ref="L216:L247" si="622">MAX((Vout+Vfwd2+F216/CG216*Rdcr_sec)*Nps+J216, (Vout2+Vfwd22+G216/CH216*Rdcr_sec2)*Nps/Nsec1sec2+J216)</f>
        <v>24.628888633130572</v>
      </c>
      <c r="M216" s="379"/>
      <c r="N216" s="188">
        <f t="shared" ref="N216:N247" si="623">MAX((Vout+Vfwd2+F216/CG216*Rdcr_sec)*Nps/((Vout+Vfwd2+F216/CG216*Rdcr_sec)*Nps+J216), (Vout2+Vfwd22+G216/CH216*Rdcr_sec2)*Nps/Nsec1sec2/((Vout2+Vfwd22+G216/CH216*Rdcr_sec2)*Nps/Nsec1sec2+J216))</f>
        <v>0.35044584319859029</v>
      </c>
      <c r="O216" s="149">
        <f t="shared" ref="O216:O247" si="624">N216*J216*Isw_max*0.5*Efficiency*Pout/(Pout+Pout2)</f>
        <v>174.55704164377508</v>
      </c>
      <c r="P216" s="149">
        <f t="shared" ref="P216:P247" si="625">N216*J216*Isw_max*0.5*Efficiency*(Pout2/Pout_total)</f>
        <v>12.321673527795889</v>
      </c>
      <c r="Q216" s="188">
        <f t="shared" ref="Q216:Q279" si="626">O216/Vout</f>
        <v>1.026806127316324</v>
      </c>
      <c r="R216" s="188">
        <f t="shared" ref="R216:R247" si="627">O216/Vout2</f>
        <v>14.546420136981256</v>
      </c>
      <c r="S216" s="188">
        <f t="shared" ref="S216:S247" si="628">MIN(Vout,O216/F216)</f>
        <v>170</v>
      </c>
      <c r="T216" s="188">
        <f t="shared" ref="T216:T247" si="629">MIN(2*(Vout*F216+Vout2*G216)/(Efficiency*J216*N216), Isw_max)</f>
        <v>2.1404863200503495E-3</v>
      </c>
      <c r="U216" s="188">
        <f t="shared" ref="U216:U279" si="630">L*T216/J216*1000000</f>
        <v>2.006982262791171E-4</v>
      </c>
      <c r="V216" s="188">
        <f t="shared" ref="V216:V279" si="631">L*T216/K216*1000000</f>
        <v>3.7199575818165908E-4</v>
      </c>
      <c r="W216" s="172">
        <f t="shared" ref="W216:W279" si="632">IF(1/((350000*L)*(1/J216+1/K216))&gt;Isw_min, 350, 0.001/((Isw_min*L)*(1/J216+1/K216)))</f>
        <v>280.31807275735645</v>
      </c>
      <c r="X216" s="379">
        <f>MIN(1/(U216+V216+0.2)*1000, 350)</f>
        <v>350</v>
      </c>
      <c r="Z216" s="188">
        <f t="shared" ref="Z216:Z279" si="633">1/((W216*1000*L)*(1/J216+1/K216))</f>
        <v>13.333333333333332</v>
      </c>
      <c r="AA216" s="150">
        <f t="shared" ref="AA216:AA279" si="634">L*Z216/K216*1000000</f>
        <v>2.3172039904956976</v>
      </c>
      <c r="AB216" s="150">
        <f t="shared" ref="AB216:AB247" si="635">0.5*AA216*Z216*Nps*W216/1000*(Pout/(Pout+Pout2))</f>
        <v>0.20224213673303965</v>
      </c>
      <c r="AC216" s="150"/>
      <c r="AD216" s="150">
        <f t="shared" ref="AD216:AD279" si="636">L*Isw_min/K216*1000000</f>
        <v>2.3172039904956976</v>
      </c>
      <c r="AE216" s="314">
        <f t="shared" ref="AE216:AE247" si="637">MAX(10, F216/(0.5*AD216/1000000*Isw_min*Nps)/1000*Pout_total/Pout)</f>
        <v>10</v>
      </c>
      <c r="AF216" s="456">
        <f t="shared" ref="AF216:AF247" si="638">0.5*AD216/1000000*Isw_min*Nps*W216*1000*(Pout/Pout_total)</f>
        <v>0.20224213673303967</v>
      </c>
      <c r="AH216" s="150">
        <f t="shared" ref="AH216:AH247" si="639">SQRT((H216+I216)/(0.5*L*Fsw_DCM))</f>
        <v>0.1511879309872004</v>
      </c>
      <c r="AI216" s="150">
        <f t="shared" ref="AI216:AI247" si="640">MAX(IF(F216&gt;AB216,T216,AH216),Isw_min)</f>
        <v>13.333333333333334</v>
      </c>
      <c r="AJ216" s="150">
        <f t="shared" ref="AJ216:AJ247" si="641">IF(F216&gt;AF216, (AI216-Isw_min)/1.08*0.8+1.2, AE216*0.2/350+1)</f>
        <v>1.0057142857142858</v>
      </c>
      <c r="AL216" s="314">
        <f t="shared" ref="AL216:AL247" si="642">F216*1000</f>
        <v>1.0000000000000002E-6</v>
      </c>
      <c r="AM216" s="144">
        <f t="shared" ref="AM216:AM247" si="643">IF(F216&gt;AF216, X216, AE216)</f>
        <v>10</v>
      </c>
      <c r="AO216">
        <f t="shared" ref="AO216:AO279" si="644">IF(H216&gt;O216, "",AL216)</f>
        <v>1.0000000000000002E-6</v>
      </c>
      <c r="AP216">
        <f t="shared" ref="AP216:AP279" si="645">IF(H216&gt;O216, "",AM216)</f>
        <v>10</v>
      </c>
      <c r="AR216" s="5">
        <f t="shared" si="616"/>
        <v>100</v>
      </c>
      <c r="AS216" s="5">
        <f t="shared" si="604"/>
        <v>1.2501721339313592</v>
      </c>
      <c r="AT216" s="5">
        <f t="shared" si="605"/>
        <v>98.749827866068642</v>
      </c>
      <c r="AU216" s="150">
        <f t="shared" si="606"/>
        <v>1.2501721339313591E-2</v>
      </c>
      <c r="BA216" s="150">
        <f>AI216*SQRT(AU216/3)</f>
        <v>0.8607222235038422</v>
      </c>
      <c r="BB216" s="150">
        <f>AI216*Npri_sec1*SQRT((1-AU216)/3)*(Pout/Pout_total)</f>
        <v>0.35726775470693128</v>
      </c>
      <c r="BC216" s="150">
        <f>AI216*Npri_sec2*SQRT((1-AU216)/3)*(Pout2/Pout_total)</f>
        <v>0.33986408650889144</v>
      </c>
      <c r="BD216" s="150"/>
      <c r="BE216" s="456">
        <f>Rdson*BA216^2</f>
        <v>2.5188653365135535E-3</v>
      </c>
      <c r="BF216" s="456">
        <f t="shared" ref="BF216:BF247" si="646">0.5*L216*AI216*AM216*1000*Tfall</f>
        <v>7.864825103513029E-2</v>
      </c>
      <c r="BG216" s="456">
        <f t="shared" ref="BG216:BG247" si="647">Qg*Vdd*AM216*1000*0+Qg*J216*AM216*1000</f>
        <v>7.3269910209844196E-3</v>
      </c>
      <c r="BH216" s="456">
        <f>0.5*(Coss+Csw)*L216^2*AM216*1000</f>
        <v>4.1550877638265654E-3</v>
      </c>
      <c r="BI216">
        <f>J216*IQ</f>
        <v>7.1990086450720277E-3</v>
      </c>
      <c r="BJ216" s="144">
        <f>(BG216+BI216)*1000</f>
        <v>14.525999666056448</v>
      </c>
      <c r="BK216">
        <f t="shared" ref="BK216:BK247" si="648">(BF216+BG216*0+BH216+BI216*0+BE216*(1+RdsonTC*(Ta-25)))/(1-BE216*RdsonTC*ThetaJA)</f>
        <v>8.6053799461100061E-2</v>
      </c>
      <c r="BL216" s="144">
        <f>SUM(BE216:BI216)*1000</f>
        <v>99.848203801526836</v>
      </c>
      <c r="BM216" s="150">
        <f t="shared" ref="BM216:BM247" si="649">Vfwd2*F216*(1+Diode_TC/1000*(Ta-25))</f>
        <v>2.21875E-9</v>
      </c>
      <c r="BN216" s="150">
        <f t="shared" ref="BN216:BN247" si="650">Vfwd22*G216*(1+Diode_TC/1000*(Ta-25))</f>
        <v>3.5500000000000001E-4</v>
      </c>
      <c r="BQ216" s="144">
        <f>SUM(BM216:BP216)*1000</f>
        <v>0.35500221875000004</v>
      </c>
      <c r="BR216" s="456">
        <f>Rdcr_pri*BA216^2</f>
        <v>1.1112641190500971E-3</v>
      </c>
      <c r="BS216" s="456">
        <f>Rdcr_sec*BB216^2</f>
        <v>2.5528049710666408E-2</v>
      </c>
      <c r="BT216" s="456">
        <f>Rdcr_sec2*BC216^2</f>
        <v>3.4652279189556971E-3</v>
      </c>
      <c r="BU216" s="456">
        <f>AI216^2.5*AM216^2.5*k_core</f>
        <v>1.026400478559336E-2</v>
      </c>
      <c r="BV216" s="456"/>
      <c r="BW216" s="538">
        <f>0.5*Lleak*0.000000001*AI216^2*AM216*1000</f>
        <v>1.7777777777777781E-3</v>
      </c>
      <c r="BX216" s="144">
        <f>SUM(BR216:BW216)*1000</f>
        <v>42.14632431204334</v>
      </c>
      <c r="BY216" s="150">
        <f>SUM(BE216:BI216,BM216:BP216,BR216:BW216)</f>
        <v>0.14234953033232017</v>
      </c>
      <c r="BZ216" s="5">
        <f>MIN(H216+I216,O216+P216)</f>
        <v>6.00017E-3</v>
      </c>
      <c r="CA216" s="150">
        <f>BZ216/(BZ216+BY216)</f>
        <v>4.0446121472162991E-2</v>
      </c>
      <c r="CB216" s="5">
        <f>CA216*100</f>
        <v>4.0446121472162995</v>
      </c>
      <c r="CC216">
        <f>F216/Iout*100</f>
        <v>2.0000000000000002E-7</v>
      </c>
      <c r="CE216" s="59">
        <f t="shared" ref="CE216:CE247" si="651">IF(ABS(F216-Ioutmax_Vinmax)&lt;Iout/200, AM216, -50)</f>
        <v>-50</v>
      </c>
      <c r="CG216" s="150">
        <f t="shared" ref="CG216:CG247" si="652">MIN(SQRT(2*DT216*1000*Ls1_*CL216)/CW216, 1-DY216)</f>
        <v>8.4016805041680589E-6</v>
      </c>
      <c r="CH216" s="150">
        <f t="shared" ref="CH216:CH247" si="653">MIN(SQRT(2*DT216*1000*Ls2_*CM216)/Vout2, 1-DY216)</f>
        <v>1.6592272528694093E-3</v>
      </c>
      <c r="CI216" s="147">
        <v>0.1</v>
      </c>
      <c r="CJ216" s="188">
        <v>1.0000000000000001E-9</v>
      </c>
      <c r="CK216" s="188">
        <f t="shared" ref="CK216:CK279" si="654">IF(PLOT_TYPE=1, CI216/100*Iout2, min_I*EXP(CU216*rr/100))</f>
        <v>5.0000000000000001E-4</v>
      </c>
      <c r="CL216" s="188">
        <f t="shared" ref="CL216:CL279" si="655">CJ216*Vout</f>
        <v>1.7000000000000001E-7</v>
      </c>
      <c r="CM216" s="188">
        <f t="shared" ref="CM216:CM279" si="656">Vout2*CK216</f>
        <v>6.0000000000000001E-3</v>
      </c>
      <c r="CN216" s="465">
        <f t="shared" ref="CN216:CN279" si="657">VIN_max</f>
        <v>16</v>
      </c>
      <c r="CO216" s="379">
        <f t="shared" ref="CO216:CO247" si="658">(CW216+Vfwd2)*Nps</f>
        <v>8.625</v>
      </c>
      <c r="CP216" s="379">
        <f t="shared" ref="CP216:CP247" si="659">(Vout+Vfwd2)*Nps+CN216</f>
        <v>24.625</v>
      </c>
      <c r="CQ216" s="379"/>
      <c r="CR216" s="188">
        <f t="shared" ref="CR216:CR279" si="660">(Vout+Vfwd1)*Nps/((Vout+Vfwd1)*Nps+CN216)</f>
        <v>0.34787038923986141</v>
      </c>
      <c r="CS216" s="149">
        <f t="shared" ref="CS216:CS279" si="661">CR216*CN216*Isw_max*0.5*Efficiency*Pout/(Pout+Pout2)</f>
        <v>173.29806936491266</v>
      </c>
      <c r="CT216" s="149">
        <f t="shared" ref="CT216:CT279" si="662">CR216*CN216*Isw_max*0.5*Efficiency*(Pout2/Pout_total)</f>
        <v>12.232804896346776</v>
      </c>
      <c r="CU216" s="188">
        <f t="shared" ref="CU216:CU279" si="663">CS216/Vout</f>
        <v>1.0194004080288981</v>
      </c>
      <c r="CV216" s="188">
        <f t="shared" ref="CV216:CV279" si="664">CS216/Vout2</f>
        <v>14.441505780409388</v>
      </c>
      <c r="CW216" s="188">
        <f t="shared" ref="CW216:CW279" si="665">MIN(Vout,CS216/CJ216)</f>
        <v>170</v>
      </c>
      <c r="CX216" s="188">
        <f t="shared" ref="CX216:CX279" si="666">MIN(2*(Vout*CJ216+Vout2*CK216)/(Efficiency*CN216*CR216), Isw_max)</f>
        <v>2.1560364814001173E-3</v>
      </c>
      <c r="CY216" s="188">
        <f t="shared" ref="CY216:CY279" si="667">L*CX216/CN216*1000000</f>
        <v>2.0212842013126098E-4</v>
      </c>
      <c r="CZ216" s="188">
        <f t="shared" ref="CZ216:CZ279" si="668">L*CX216/CO216*1000000</f>
        <v>3.7496286633045519E-4</v>
      </c>
      <c r="DA216" s="172">
        <f t="shared" ref="DA216:DA279" si="669">IF(1/((350000*L)*(1/CN216+1/CO216))&gt;Isw_min, 350, 0.001/((Isw_min*L)*(1/CN216+1/CO216)))</f>
        <v>280.20304568527916</v>
      </c>
      <c r="DB216" s="379">
        <f t="shared" ref="DB216:DB279" si="670">MIN(1/(CY216+CZ216)*1000, 350)</f>
        <v>350</v>
      </c>
      <c r="DD216" s="188">
        <f t="shared" ref="DD216:DD279" si="671">1/((DA216*1000*L)*(1/CN216+1/CO216))</f>
        <v>13.333333333333332</v>
      </c>
      <c r="DE216" s="150">
        <f t="shared" ref="DE216:DE279" si="672">L*DD216/CO216*1000000</f>
        <v>2.318840579710145</v>
      </c>
      <c r="DF216" s="150">
        <f t="shared" ref="DF216:DF279" si="673">0.5*DE216*DD216*Nps*DA216/1000*(Pout/(Pout+Pout2))</f>
        <v>0.20230192819025303</v>
      </c>
      <c r="DG216" s="150"/>
      <c r="DH216" s="150">
        <f t="shared" ref="DH216:DH279" si="674">L*Isw_min/CO216*1000000</f>
        <v>2.3188405797101455</v>
      </c>
      <c r="DI216" s="314">
        <f t="shared" ref="DI216:DI279" si="675">MAX(10, CJ216/(0.5*DH216/1000000*Isw_min*Nps)/1000*Pout_total/Pout)</f>
        <v>10</v>
      </c>
      <c r="DJ216" s="456">
        <f t="shared" ref="DJ216:DJ279" si="676">0.5*DH216/1000000*Isw_min*Nps*DA216*1000*(Pout/Pout_total)</f>
        <v>0.20230192819025311</v>
      </c>
      <c r="DL216" s="150">
        <f t="shared" ref="DL216:DL279" si="677">SQRT((CL216+CM216)/(0.5*L*Fsw_DCM))</f>
        <v>0.1511879309872004</v>
      </c>
      <c r="DM216" s="150">
        <f t="shared" ref="DM216:DM279" si="678">MAX(IF(CJ216&gt;DF216,CX216,DL216),Isw_min)</f>
        <v>13.333333333333334</v>
      </c>
      <c r="DN216" s="150">
        <f t="shared" ref="DN216:DN279" si="679">IF(CJ216&gt;DJ216, (DM216-Isw_min)/1.08*0.8+1.2, DI216*0.2/350+1)</f>
        <v>1.0057142857142858</v>
      </c>
      <c r="DP216" s="314">
        <f t="shared" ref="DP216:DP279" si="680">CJ216*1000</f>
        <v>1.0000000000000002E-6</v>
      </c>
      <c r="DQ216" s="144">
        <f t="shared" ref="DQ216:DQ279" si="681">IF(CJ216&gt;DJ216, DB216, DI216)</f>
        <v>10</v>
      </c>
      <c r="DS216">
        <f t="shared" ref="DS216:DS279" si="682">IF(CL216&gt;CS216, "",DP216)</f>
        <v>1.0000000000000002E-6</v>
      </c>
      <c r="DT216">
        <f t="shared" ref="DT216:DT279" si="683">IF(CL216&gt;CS216, "",DQ216)</f>
        <v>10</v>
      </c>
      <c r="DV216" s="5">
        <f t="shared" ref="DV216:DV280" si="684">1/DQ216*1000</f>
        <v>100</v>
      </c>
      <c r="DW216" s="5">
        <f t="shared" ref="DW216:DW279" si="685">L*DM216/CN216*1000000</f>
        <v>1.25</v>
      </c>
      <c r="DX216" s="5">
        <f t="shared" ref="DX216:DX279" si="686">DV216-DW216</f>
        <v>98.75</v>
      </c>
      <c r="DY216" s="150">
        <f t="shared" ref="DY216:DY279" si="687">DW216/DV216</f>
        <v>1.2500000000000001E-2</v>
      </c>
      <c r="EA216" s="5">
        <f>CJ216*DW216/Vout_ripple*1000</f>
        <v>7.352941176470588E-10</v>
      </c>
      <c r="EB216" s="5">
        <f>CK216*DW216/Vout_ripple2*1000</f>
        <v>5.208333333333333E-3</v>
      </c>
      <c r="EC216" s="5">
        <f>CL216/Efficiency/CN216*DX216/Vinripple1</f>
        <v>1.7486979166666665E-6</v>
      </c>
      <c r="ED216" s="5"/>
      <c r="EE216" s="150">
        <f>DM216*SQRT(DY216/3)</f>
        <v>0.86066296582387036</v>
      </c>
      <c r="EF216" s="150">
        <f>DM216*Npri_sec1*SQRT((1-DY216)/3)*(Pout/Pout_total)</f>
        <v>0.35726806608912648</v>
      </c>
      <c r="EG216" s="150">
        <f>DM216*Npri_sec2*SQRT((1-DY216)/3)*(Pout2/Pout_total)</f>
        <v>0.33986438272265246</v>
      </c>
      <c r="EH216" s="150"/>
      <c r="EI216" s="456">
        <f>Rdson*EE216^2</f>
        <v>2.518518518518518E-3</v>
      </c>
      <c r="EJ216" s="456">
        <f>0.5*CP216*DM216*DQ216*1000*Trise</f>
        <v>9.9813333333333351E-2</v>
      </c>
      <c r="EK216" s="456">
        <f>Qg*Vdd*DQ216*1000</f>
        <v>2.2899999999999999E-3</v>
      </c>
      <c r="EL216" s="456">
        <f>0.5*(Coss+Csw)*CP216^2*DQ216*1000</f>
        <v>4.1537757812499998E-3</v>
      </c>
      <c r="EM216">
        <f>CN216*IQ</f>
        <v>7.1999999999999998E-3</v>
      </c>
      <c r="EN216" s="144">
        <f>(EK216+EM216)*1000</f>
        <v>9.49</v>
      </c>
      <c r="EP216" s="144">
        <f>SUM(EI216:EM216)*1000</f>
        <v>115.97562763310187</v>
      </c>
      <c r="EQ216" s="150">
        <f>Vfwd2*CJ216</f>
        <v>2.5000000000000001E-9</v>
      </c>
      <c r="ER216" s="150">
        <f t="shared" ref="ER216:ER247" si="688">Vfwd22*CK216*(1+Diode_TC/1000*(Ta-25))</f>
        <v>3.5500000000000001E-4</v>
      </c>
      <c r="ES216" s="456"/>
      <c r="EU216" s="144">
        <f>SUM(EQ216:ET216)*1000</f>
        <v>0.3550025</v>
      </c>
      <c r="EV216" s="456">
        <f>Rdcr_pri*EE216^2</f>
        <v>1.1111111111111111E-3</v>
      </c>
      <c r="EW216" s="456">
        <f>Rdcr_sec*EF216^2</f>
        <v>2.5528094209412891E-2</v>
      </c>
      <c r="EX216" s="456">
        <f>Rdcr_sec2*EG216^2</f>
        <v>3.4652339593034872E-3</v>
      </c>
      <c r="EY216" s="456">
        <f>DM216^2.5*DQ216^2.5*k_core</f>
        <v>1.026400478559336E-2</v>
      </c>
      <c r="EZ216" s="456"/>
      <c r="FA216" s="538">
        <f>0.5*Lleak*0.000000001*DM216^2*DQ216*1000</f>
        <v>1.7777777777777781E-3</v>
      </c>
      <c r="FB216" s="144">
        <f>SUM(EV216:FA216)*1000</f>
        <v>42.146221843198632</v>
      </c>
      <c r="FC216" s="150">
        <f>SUM(EI216:EM216,EQ216:ET216,EV216:FA216)</f>
        <v>0.15847685197630046</v>
      </c>
      <c r="FD216" s="5">
        <f>MIN(CL216+CM216,CS216+CT216)</f>
        <v>6.00017E-3</v>
      </c>
      <c r="FE216" s="150">
        <f>FD216/(FD216+FC216)</f>
        <v>3.6480293282939946E-2</v>
      </c>
      <c r="FF216" s="5">
        <f>FE216*100</f>
        <v>3.6480293282939948</v>
      </c>
      <c r="FG216">
        <f>CJ216/Iout*100</f>
        <v>2.0000000000000002E-7</v>
      </c>
      <c r="FI216" s="59">
        <f t="shared" ref="FI216:FI279" si="689">IF(ABS(CJ216-Ioutmax_Vinmax)&lt;Iout/200, DQ216, -50)</f>
        <v>-50</v>
      </c>
    </row>
    <row r="217" spans="1:169">
      <c r="E217" s="147">
        <v>1</v>
      </c>
      <c r="F217" s="188">
        <f t="shared" ref="F217:F248" si="690">IF(PLOT_TYPE=1, E217/100*Iout_max, min_I*EXP(O217*rr/100))</f>
        <v>5.0000000000000001E-3</v>
      </c>
      <c r="G217" s="188">
        <f t="shared" si="617"/>
        <v>5.0000000000000001E-3</v>
      </c>
      <c r="H217" s="188">
        <f t="shared" si="618"/>
        <v>0.85</v>
      </c>
      <c r="I217" s="188">
        <f t="shared" si="619"/>
        <v>0.06</v>
      </c>
      <c r="J217" s="465">
        <f t="shared" si="620"/>
        <v>15.966988111820676</v>
      </c>
      <c r="K217" s="379">
        <f t="shared" si="621"/>
        <v>8.6442634699929961</v>
      </c>
      <c r="L217" s="149">
        <f t="shared" si="622"/>
        <v>24.611251581813672</v>
      </c>
      <c r="M217" s="379"/>
      <c r="N217" s="188">
        <f t="shared" si="623"/>
        <v>0.35123217692758946</v>
      </c>
      <c r="O217" s="149">
        <f t="shared" si="624"/>
        <v>174.61179466915601</v>
      </c>
      <c r="P217" s="149">
        <f t="shared" si="625"/>
        <v>12.325538447234543</v>
      </c>
      <c r="Q217" s="188">
        <f t="shared" si="626"/>
        <v>1.0271282039362117</v>
      </c>
      <c r="R217" s="188">
        <f t="shared" si="627"/>
        <v>14.550982889096334</v>
      </c>
      <c r="S217" s="188">
        <f t="shared" si="628"/>
        <v>170</v>
      </c>
      <c r="T217" s="188">
        <f t="shared" si="629"/>
        <v>0.32452943269975132</v>
      </c>
      <c r="U217" s="188">
        <f t="shared" si="630"/>
        <v>3.0487537514307019E-2</v>
      </c>
      <c r="V217" s="188">
        <f t="shared" si="631"/>
        <v>5.6314126789337837E-2</v>
      </c>
      <c r="W217" s="172">
        <f t="shared" si="632"/>
        <v>280.40599967458587</v>
      </c>
      <c r="X217" s="379">
        <f t="shared" ref="X217:X280" si="691">MIN(1/(U217+V217+0.2)*1000, 350)</f>
        <v>350</v>
      </c>
      <c r="Z217" s="188">
        <f t="shared" si="633"/>
        <v>13.333333333333332</v>
      </c>
      <c r="AA217" s="150">
        <f t="shared" si="634"/>
        <v>2.3136731162147472</v>
      </c>
      <c r="AB217" s="150">
        <f t="shared" si="635"/>
        <v>0.20199730755001793</v>
      </c>
      <c r="AC217" s="150"/>
      <c r="AD217" s="150">
        <f t="shared" si="636"/>
        <v>2.3136731162147472</v>
      </c>
      <c r="AE217" s="314">
        <f t="shared" si="637"/>
        <v>10</v>
      </c>
      <c r="AF217" s="456">
        <f t="shared" si="638"/>
        <v>0.20199730755001796</v>
      </c>
      <c r="AH217" s="150">
        <f t="shared" si="639"/>
        <v>1.8618986725025255</v>
      </c>
      <c r="AI217" s="150">
        <f t="shared" si="640"/>
        <v>13.333333333333334</v>
      </c>
      <c r="AJ217" s="150">
        <f t="shared" si="641"/>
        <v>1.0057142857142858</v>
      </c>
      <c r="AL217" s="314">
        <f t="shared" si="642"/>
        <v>5</v>
      </c>
      <c r="AM217" s="144">
        <f t="shared" si="643"/>
        <v>10</v>
      </c>
      <c r="AO217">
        <f t="shared" si="644"/>
        <v>5</v>
      </c>
      <c r="AP217">
        <f t="shared" si="645"/>
        <v>10</v>
      </c>
      <c r="AR217" s="5">
        <f t="shared" si="616"/>
        <v>100</v>
      </c>
      <c r="AS217" s="5">
        <f t="shared" si="604"/>
        <v>1.2525843859803218</v>
      </c>
      <c r="AT217" s="5">
        <f t="shared" si="605"/>
        <v>98.747415614019673</v>
      </c>
      <c r="AU217" s="150">
        <f t="shared" si="606"/>
        <v>1.2525843859803218E-2</v>
      </c>
      <c r="BA217" s="150">
        <f t="shared" ref="BA217:BA280" si="692">AI217*SQRT(AU217/3)</f>
        <v>0.8615522205467756</v>
      </c>
      <c r="BB217" s="150">
        <f t="shared" ref="BB217:BB280" si="693">AI217*Npri_sec1*SQRT((1-AU217)/3)*(Pout/Pout_total)</f>
        <v>0.35726339102774762</v>
      </c>
      <c r="BC217" s="150">
        <f t="shared" ref="BC217:BC280" si="694">AI217*Npri_sec2*SQRT((1-AU217)/3)*(Pout2/Pout_total)</f>
        <v>0.33985993539863857</v>
      </c>
      <c r="BD217" s="150"/>
      <c r="BE217" s="456">
        <f t="shared" ref="BE217:BE280" si="695">Rdson*BA217^2</f>
        <v>2.5237255776788714E-3</v>
      </c>
      <c r="BF217" s="456">
        <f t="shared" si="646"/>
        <v>7.8591930051258321E-2</v>
      </c>
      <c r="BG217" s="456">
        <f t="shared" si="647"/>
        <v>7.3128805552138696E-3</v>
      </c>
      <c r="BH217" s="456">
        <f t="shared" ref="BH217:BH280" si="696">0.5*(Coss+Csw)*L217^2*AM217*1000</f>
        <v>4.1491388752997833E-3</v>
      </c>
      <c r="BI217">
        <f t="shared" ref="BI217:BI280" si="697">J217*IQ</f>
        <v>7.1851446503193037E-3</v>
      </c>
      <c r="BJ217" s="144">
        <f t="shared" ref="BJ217:BJ280" si="698">(BG217+BI217)*1000</f>
        <v>14.498025205533173</v>
      </c>
      <c r="BK217">
        <f t="shared" si="648"/>
        <v>8.5997767870706593E-2</v>
      </c>
      <c r="BL217" s="144">
        <f t="shared" ref="BL217:BL280" si="699">SUM(BE217:BI217)*1000</f>
        <v>99.762819709770142</v>
      </c>
      <c r="BM217" s="150">
        <f t="shared" si="649"/>
        <v>1.1093749999999999E-2</v>
      </c>
      <c r="BN217" s="150">
        <f t="shared" si="650"/>
        <v>3.5499999999999998E-3</v>
      </c>
      <c r="BQ217" s="144">
        <f t="shared" ref="BQ217:BQ280" si="700">SUM(BM217:BP217)*1000</f>
        <v>14.643749999999999</v>
      </c>
      <c r="BR217" s="456">
        <f t="shared" ref="BR217:BR280" si="701">Rdcr_pri*BA217^2</f>
        <v>1.1134083430936197E-3</v>
      </c>
      <c r="BS217" s="456">
        <f t="shared" ref="BS217:BS280" si="702">Rdcr_sec*BB217^2</f>
        <v>2.5527426113729063E-2</v>
      </c>
      <c r="BT217" s="456">
        <f t="shared" ref="BT217:BT280" si="703">Rdcr_sec2*BC217^2</f>
        <v>3.4651432706750032E-3</v>
      </c>
      <c r="BU217" s="456">
        <f t="shared" ref="BU217:BU280" si="704">AI217^2.5*AM217^2.5*k_core</f>
        <v>1.026400478559336E-2</v>
      </c>
      <c r="BV217" s="456"/>
      <c r="BW217" s="538">
        <f t="shared" ref="BW217:BW280" si="705">0.5*Lleak*0.000000001*AI217^2*AM217*1000</f>
        <v>1.7777777777777781E-3</v>
      </c>
      <c r="BX217" s="144">
        <f t="shared" ref="BX217:BX280" si="706">SUM(BR217:BW217)*1000</f>
        <v>42.147760290868831</v>
      </c>
      <c r="BY217" s="150">
        <f t="shared" ref="BY217:BY280" si="707">SUM(BE217:BI217,BM217:BP217,BR217:BW217)</f>
        <v>0.15655433000063898</v>
      </c>
      <c r="BZ217" s="5">
        <f t="shared" ref="BZ217:BZ280" si="708">MIN(H217+I217,O217+P217)</f>
        <v>0.90999999999999992</v>
      </c>
      <c r="CA217" s="150">
        <f t="shared" ref="CA217:CA280" si="709">BZ217/(BZ217+BY217)</f>
        <v>0.853214856855398</v>
      </c>
      <c r="CB217" s="5">
        <f t="shared" ref="CB217:CB280" si="710">CA217*100</f>
        <v>85.321485685539798</v>
      </c>
      <c r="CC217">
        <f t="shared" ref="CC217:CC280" si="711">F217/Iout*100</f>
        <v>1</v>
      </c>
      <c r="CE217" s="59">
        <f t="shared" si="651"/>
        <v>-50</v>
      </c>
      <c r="CG217" s="150">
        <f t="shared" si="652"/>
        <v>1.8786728732554481E-2</v>
      </c>
      <c r="CH217" s="150">
        <f t="shared" si="653"/>
        <v>5.2469372748914838E-3</v>
      </c>
      <c r="CI217" s="147">
        <v>1</v>
      </c>
      <c r="CJ217" s="188">
        <f t="shared" ref="CJ217:CJ280" si="712">IF(PLOT_TYPE=1, CI217/100*Iout_max, min_I*EXP(CS217*rr/100))</f>
        <v>5.0000000000000001E-3</v>
      </c>
      <c r="CK217" s="188">
        <f t="shared" si="654"/>
        <v>5.0000000000000001E-3</v>
      </c>
      <c r="CL217" s="188">
        <f t="shared" si="655"/>
        <v>0.85</v>
      </c>
      <c r="CM217" s="188">
        <f t="shared" si="656"/>
        <v>0.06</v>
      </c>
      <c r="CN217" s="465">
        <f t="shared" si="657"/>
        <v>16</v>
      </c>
      <c r="CO217" s="379">
        <f t="shared" si="658"/>
        <v>8.625</v>
      </c>
      <c r="CP217" s="379">
        <f t="shared" si="659"/>
        <v>24.625</v>
      </c>
      <c r="CQ217" s="379"/>
      <c r="CR217" s="188">
        <f t="shared" si="660"/>
        <v>0.34787038923986141</v>
      </c>
      <c r="CS217" s="149">
        <f t="shared" si="661"/>
        <v>173.29806936491266</v>
      </c>
      <c r="CT217" s="149">
        <f t="shared" si="662"/>
        <v>12.232804896346776</v>
      </c>
      <c r="CU217" s="188">
        <f t="shared" si="663"/>
        <v>1.0194004080288981</v>
      </c>
      <c r="CV217" s="188">
        <f t="shared" si="664"/>
        <v>14.441505780409388</v>
      </c>
      <c r="CW217" s="188">
        <f t="shared" si="665"/>
        <v>170</v>
      </c>
      <c r="CX217" s="188">
        <f t="shared" si="666"/>
        <v>0.32698960164030461</v>
      </c>
      <c r="CY217" s="188">
        <f t="shared" si="667"/>
        <v>3.0655275153778559E-2</v>
      </c>
      <c r="CZ217" s="188">
        <f t="shared" si="668"/>
        <v>5.6867756807009499E-2</v>
      </c>
      <c r="DA217" s="172">
        <f t="shared" si="669"/>
        <v>280.20304568527916</v>
      </c>
      <c r="DB217" s="379">
        <f t="shared" si="670"/>
        <v>350</v>
      </c>
      <c r="DD217" s="188">
        <f t="shared" si="671"/>
        <v>13.333333333333332</v>
      </c>
      <c r="DE217" s="150">
        <f t="shared" si="672"/>
        <v>2.318840579710145</v>
      </c>
      <c r="DF217" s="150">
        <f t="shared" si="673"/>
        <v>0.20230192819025303</v>
      </c>
      <c r="DG217" s="150"/>
      <c r="DH217" s="150">
        <f t="shared" si="674"/>
        <v>2.3188405797101455</v>
      </c>
      <c r="DI217" s="314">
        <f t="shared" si="675"/>
        <v>10</v>
      </c>
      <c r="DJ217" s="456">
        <f t="shared" si="676"/>
        <v>0.20230192819025311</v>
      </c>
      <c r="DL217" s="150">
        <f t="shared" si="677"/>
        <v>1.8618986725025255</v>
      </c>
      <c r="DM217" s="150">
        <f t="shared" si="678"/>
        <v>13.333333333333334</v>
      </c>
      <c r="DN217" s="150">
        <f t="shared" si="679"/>
        <v>1.0057142857142858</v>
      </c>
      <c r="DP217" s="314">
        <f t="shared" si="680"/>
        <v>5</v>
      </c>
      <c r="DQ217" s="144">
        <f t="shared" si="681"/>
        <v>10</v>
      </c>
      <c r="DS217">
        <f t="shared" si="682"/>
        <v>5</v>
      </c>
      <c r="DT217">
        <f t="shared" si="683"/>
        <v>10</v>
      </c>
      <c r="DV217" s="5">
        <f t="shared" si="684"/>
        <v>100</v>
      </c>
      <c r="DW217" s="5">
        <f t="shared" si="685"/>
        <v>1.25</v>
      </c>
      <c r="DX217" s="5">
        <f t="shared" si="686"/>
        <v>98.75</v>
      </c>
      <c r="DY217" s="150">
        <f t="shared" si="687"/>
        <v>1.2500000000000001E-2</v>
      </c>
      <c r="EA217" s="5">
        <f t="shared" ref="EA217:EA280" si="713">CJ217*DW217/Vout_ripple*1000</f>
        <v>3.6764705882352941E-3</v>
      </c>
      <c r="EB217" s="5">
        <f t="shared" ref="EB217:EB280" si="714">CK217*DW217/Vout_ripple2*1000</f>
        <v>5.2083333333333336E-2</v>
      </c>
      <c r="EC217" s="5">
        <f t="shared" ref="EC217:EC280" si="715">CL217/Efficiency/CN217*DX217/Vinripple1</f>
        <v>8.7434895833333321</v>
      </c>
      <c r="ED217" s="5"/>
      <c r="EE217" s="150">
        <f t="shared" ref="EE217:EE280" si="716">DM217*SQRT(DY217/3)</f>
        <v>0.86066296582387036</v>
      </c>
      <c r="EF217" s="150">
        <f t="shared" ref="EF217:EF280" si="717">DM217*Npri_sec1*SQRT((1-DY217)/3)*(Pout/Pout_total)</f>
        <v>0.35726806608912648</v>
      </c>
      <c r="EG217" s="150">
        <f t="shared" ref="EG217:EG280" si="718">DM217*Npri_sec2*SQRT((1-DY217)/3)*(Pout2/Pout_total)</f>
        <v>0.33986438272265246</v>
      </c>
      <c r="EH217" s="150"/>
      <c r="EI217" s="456">
        <f t="shared" ref="EI217:EI280" si="719">Rdson*EE217^2</f>
        <v>2.518518518518518E-3</v>
      </c>
      <c r="EJ217" s="456">
        <f t="shared" ref="EJ217:EJ280" si="720">0.5*CP217*DM217*DQ217*1000*Trise</f>
        <v>9.9813333333333351E-2</v>
      </c>
      <c r="EK217" s="456">
        <f t="shared" ref="EK217:EK280" si="721">Qg*Vdd*DQ217*1000</f>
        <v>2.2899999999999999E-3</v>
      </c>
      <c r="EL217" s="456">
        <f t="shared" ref="EL217:EL280" si="722">0.5*(Coss+Csw)*CP217^2*DQ217*1000</f>
        <v>4.1537757812499998E-3</v>
      </c>
      <c r="EM217">
        <f t="shared" ref="EM217:EM280" si="723">CN217*IQ</f>
        <v>7.1999999999999998E-3</v>
      </c>
      <c r="EN217" s="144">
        <f t="shared" ref="EN217:EN280" si="724">(EK217+EM217)*1000</f>
        <v>9.49</v>
      </c>
      <c r="EP217" s="144">
        <f t="shared" ref="EP217:EP280" si="725">SUM(EI217:EM217)*1000</f>
        <v>115.97562763310187</v>
      </c>
      <c r="EQ217" s="150">
        <f t="shared" ref="EQ217:EQ280" si="726">Vfwd2*CJ217</f>
        <v>1.2500000000000001E-2</v>
      </c>
      <c r="ER217" s="150">
        <f t="shared" si="688"/>
        <v>3.5499999999999998E-3</v>
      </c>
      <c r="ES217" s="456"/>
      <c r="EU217" s="144">
        <f t="shared" ref="EU217:EU280" si="727">SUM(EQ217:ET217)*1000</f>
        <v>16.05</v>
      </c>
      <c r="EV217" s="456">
        <f t="shared" ref="EV217:EV280" si="728">Rdcr_pri*EE217^2</f>
        <v>1.1111111111111111E-3</v>
      </c>
      <c r="EW217" s="456">
        <f t="shared" ref="EW217:EW280" si="729">Rdcr_sec*EF217^2</f>
        <v>2.5528094209412891E-2</v>
      </c>
      <c r="EX217" s="456">
        <f t="shared" ref="EX217:EX280" si="730">Rdcr_sec2*EG217^2</f>
        <v>3.4652339593034872E-3</v>
      </c>
      <c r="EY217" s="456">
        <f t="shared" ref="EY217:EY280" si="731">DM217^2.5*DQ217^2.5*k_core</f>
        <v>1.026400478559336E-2</v>
      </c>
      <c r="EZ217" s="456"/>
      <c r="FA217" s="538">
        <f t="shared" ref="FA217:FA280" si="732">0.5*Lleak*0.000000001*DM217^2*DQ217*1000</f>
        <v>1.7777777777777781E-3</v>
      </c>
      <c r="FB217" s="144">
        <f t="shared" ref="FB217:FB280" si="733">SUM(EV217:FA217)*1000</f>
        <v>42.146221843198632</v>
      </c>
      <c r="FC217" s="150">
        <f t="shared" ref="FC217:FC280" si="734">SUM(EI217:EM217,EQ217:ET217,EV217:FA217)</f>
        <v>0.17417184947630049</v>
      </c>
      <c r="FD217" s="5">
        <f t="shared" ref="FD217:FD280" si="735">MIN(CL217+CM217,CS217+CT217)</f>
        <v>0.90999999999999992</v>
      </c>
      <c r="FE217" s="150">
        <f t="shared" ref="FE217:FE280" si="736">FD217/(FD217+FC217)</f>
        <v>0.83935033033699169</v>
      </c>
      <c r="FF217" s="5">
        <f t="shared" ref="FF217:FF280" si="737">FE217*100</f>
        <v>83.93503303369917</v>
      </c>
      <c r="FG217">
        <f t="shared" ref="FG217:FG280" si="738">CJ217/Iout*100</f>
        <v>1</v>
      </c>
      <c r="FI217" s="59">
        <f t="shared" si="689"/>
        <v>-50</v>
      </c>
    </row>
    <row r="218" spans="1:169">
      <c r="E218" s="147">
        <v>2</v>
      </c>
      <c r="F218" s="188">
        <f t="shared" si="690"/>
        <v>0.01</v>
      </c>
      <c r="G218" s="188">
        <f t="shared" si="617"/>
        <v>0.01</v>
      </c>
      <c r="H218" s="188">
        <f t="shared" si="618"/>
        <v>1.7</v>
      </c>
      <c r="I218" s="188">
        <f t="shared" si="619"/>
        <v>0.12</v>
      </c>
      <c r="J218" s="465">
        <f t="shared" si="620"/>
        <v>15.960331210464938</v>
      </c>
      <c r="K218" s="379">
        <f t="shared" si="621"/>
        <v>8.648147980288682</v>
      </c>
      <c r="L218" s="149">
        <f t="shared" si="622"/>
        <v>24.60847919075362</v>
      </c>
      <c r="M218" s="379"/>
      <c r="N218" s="188">
        <f t="shared" si="623"/>
        <v>0.35142959925528977</v>
      </c>
      <c r="O218" s="149">
        <f t="shared" si="624"/>
        <v>174.63710187121168</v>
      </c>
      <c r="P218" s="149">
        <f t="shared" si="625"/>
        <v>12.327324837967884</v>
      </c>
      <c r="Q218" s="188">
        <f t="shared" si="626"/>
        <v>1.027277069830657</v>
      </c>
      <c r="R218" s="188">
        <f t="shared" si="627"/>
        <v>14.553091822600974</v>
      </c>
      <c r="S218" s="188">
        <f t="shared" si="628"/>
        <v>170</v>
      </c>
      <c r="T218" s="188">
        <f t="shared" si="629"/>
        <v>0.64896480827374481</v>
      </c>
      <c r="U218" s="188">
        <f t="shared" si="630"/>
        <v>6.0991667376698505E-2</v>
      </c>
      <c r="V218" s="188">
        <f t="shared" si="631"/>
        <v>0.11256135008667172</v>
      </c>
      <c r="W218" s="172">
        <f t="shared" si="632"/>
        <v>280.44664006376934</v>
      </c>
      <c r="X218" s="379">
        <f t="shared" si="691"/>
        <v>350</v>
      </c>
      <c r="Z218" s="188">
        <f t="shared" si="633"/>
        <v>13.333333333333332</v>
      </c>
      <c r="AA218" s="150">
        <f t="shared" si="634"/>
        <v>2.3126338778643771</v>
      </c>
      <c r="AB218" s="150">
        <f t="shared" si="635"/>
        <v>0.20193583905970827</v>
      </c>
      <c r="AC218" s="150"/>
      <c r="AD218" s="150">
        <f t="shared" si="636"/>
        <v>2.3126338778643776</v>
      </c>
      <c r="AE218" s="314">
        <f t="shared" si="637"/>
        <v>13.88790822716947</v>
      </c>
      <c r="AF218" s="456">
        <f t="shared" si="638"/>
        <v>0.20193583905970836</v>
      </c>
      <c r="AH218" s="150">
        <f t="shared" si="639"/>
        <v>2.6331223544175333</v>
      </c>
      <c r="AI218" s="150">
        <f t="shared" si="640"/>
        <v>13.333333333333334</v>
      </c>
      <c r="AJ218" s="150">
        <f t="shared" si="641"/>
        <v>1.0079359475583825</v>
      </c>
      <c r="AL218" s="314">
        <f t="shared" si="642"/>
        <v>10</v>
      </c>
      <c r="AM218" s="144">
        <f t="shared" si="643"/>
        <v>13.88790822716947</v>
      </c>
      <c r="AO218">
        <f t="shared" si="644"/>
        <v>10</v>
      </c>
      <c r="AP218">
        <f t="shared" si="645"/>
        <v>13.88790822716947</v>
      </c>
      <c r="AR218" s="5">
        <f t="shared" si="616"/>
        <v>72.00508410933044</v>
      </c>
      <c r="AS218" s="5">
        <f t="shared" si="604"/>
        <v>1.2531068269364183</v>
      </c>
      <c r="AT218" s="5">
        <f t="shared" si="605"/>
        <v>70.751977282394023</v>
      </c>
      <c r="AU218" s="150">
        <f t="shared" si="606"/>
        <v>1.7403032611332515E-2</v>
      </c>
      <c r="BA218" s="150">
        <f t="shared" si="692"/>
        <v>1.0155248994546107</v>
      </c>
      <c r="BB218" s="150">
        <f t="shared" si="693"/>
        <v>0.35638002723860512</v>
      </c>
      <c r="BC218" s="150">
        <f t="shared" si="694"/>
        <v>0.33901960311760687</v>
      </c>
      <c r="BD218" s="150"/>
      <c r="BE218" s="456">
        <f t="shared" si="695"/>
        <v>3.5063887928018099E-3</v>
      </c>
      <c r="BF218" s="456">
        <f t="shared" si="646"/>
        <v>0.10913545599523909</v>
      </c>
      <c r="BG218" s="456">
        <f t="shared" si="647"/>
        <v>1.0151827172778388E-2</v>
      </c>
      <c r="BH218" s="456">
        <f t="shared" si="696"/>
        <v>5.7609878533875477E-3</v>
      </c>
      <c r="BI218">
        <f t="shared" si="697"/>
        <v>7.1821490447092221E-3</v>
      </c>
      <c r="BJ218" s="144">
        <f t="shared" si="698"/>
        <v>17.33397621748761</v>
      </c>
      <c r="BK218">
        <f t="shared" si="648"/>
        <v>0.11944907278537868</v>
      </c>
      <c r="BL218" s="144">
        <f t="shared" si="699"/>
        <v>135.73680885891608</v>
      </c>
      <c r="BM218" s="150">
        <f t="shared" si="649"/>
        <v>2.2187499999999999E-2</v>
      </c>
      <c r="BN218" s="150">
        <f t="shared" si="650"/>
        <v>7.0999999999999995E-3</v>
      </c>
      <c r="BQ218" s="144">
        <f t="shared" si="700"/>
        <v>29.287499999999998</v>
      </c>
      <c r="BR218" s="456">
        <f t="shared" si="701"/>
        <v>1.5469362321184456E-3</v>
      </c>
      <c r="BS218" s="456">
        <f t="shared" si="702"/>
        <v>2.5401344762917791E-2</v>
      </c>
      <c r="BT218" s="456">
        <f t="shared" si="703"/>
        <v>3.4480287389405903E-3</v>
      </c>
      <c r="BU218" s="456">
        <f t="shared" si="704"/>
        <v>2.3329688537683732E-2</v>
      </c>
      <c r="BV218" s="456"/>
      <c r="BW218" s="538">
        <f t="shared" si="705"/>
        <v>2.4689614626079064E-3</v>
      </c>
      <c r="BX218" s="144">
        <f t="shared" si="706"/>
        <v>56.194959734268465</v>
      </c>
      <c r="BY218" s="150">
        <f t="shared" si="707"/>
        <v>0.2212192685931845</v>
      </c>
      <c r="BZ218" s="5">
        <f t="shared" si="708"/>
        <v>1.8199999999999998</v>
      </c>
      <c r="CA218" s="150">
        <f t="shared" si="709"/>
        <v>0.89162395632995872</v>
      </c>
      <c r="CB218" s="5">
        <f t="shared" si="710"/>
        <v>89.162395632995867</v>
      </c>
      <c r="CC218">
        <f t="shared" si="711"/>
        <v>2</v>
      </c>
      <c r="CE218" s="59">
        <f t="shared" si="651"/>
        <v>-50</v>
      </c>
      <c r="CG218" s="150">
        <f t="shared" si="652"/>
        <v>3.126817810390807E-2</v>
      </c>
      <c r="CH218" s="150">
        <f t="shared" si="653"/>
        <v>8.7328758267024246E-3</v>
      </c>
      <c r="CI218" s="147">
        <v>2</v>
      </c>
      <c r="CJ218" s="188">
        <f t="shared" si="712"/>
        <v>0.01</v>
      </c>
      <c r="CK218" s="188">
        <f t="shared" si="654"/>
        <v>0.01</v>
      </c>
      <c r="CL218" s="188">
        <f t="shared" si="655"/>
        <v>1.7</v>
      </c>
      <c r="CM218" s="188">
        <f t="shared" si="656"/>
        <v>0.12</v>
      </c>
      <c r="CN218" s="465">
        <f t="shared" si="657"/>
        <v>16</v>
      </c>
      <c r="CO218" s="379">
        <f t="shared" si="658"/>
        <v>8.625</v>
      </c>
      <c r="CP218" s="379">
        <f t="shared" si="659"/>
        <v>24.625</v>
      </c>
      <c r="CQ218" s="379"/>
      <c r="CR218" s="188">
        <f t="shared" si="660"/>
        <v>0.34787038923986141</v>
      </c>
      <c r="CS218" s="149">
        <f t="shared" si="661"/>
        <v>173.29806936491266</v>
      </c>
      <c r="CT218" s="149">
        <f t="shared" si="662"/>
        <v>12.232804896346776</v>
      </c>
      <c r="CU218" s="188">
        <f t="shared" si="663"/>
        <v>1.0194004080288981</v>
      </c>
      <c r="CV218" s="188">
        <f t="shared" si="664"/>
        <v>14.441505780409388</v>
      </c>
      <c r="CW218" s="188">
        <f t="shared" si="665"/>
        <v>170</v>
      </c>
      <c r="CX218" s="188">
        <f t="shared" si="666"/>
        <v>0.65397920328060921</v>
      </c>
      <c r="CY218" s="188">
        <f t="shared" si="667"/>
        <v>6.1310550307557117E-2</v>
      </c>
      <c r="CZ218" s="188">
        <f t="shared" si="668"/>
        <v>0.113735513614019</v>
      </c>
      <c r="DA218" s="172">
        <f t="shared" si="669"/>
        <v>280.20304568527916</v>
      </c>
      <c r="DB218" s="379">
        <f t="shared" si="670"/>
        <v>350</v>
      </c>
      <c r="DD218" s="188">
        <f t="shared" si="671"/>
        <v>13.333333333333332</v>
      </c>
      <c r="DE218" s="150">
        <f t="shared" si="672"/>
        <v>2.318840579710145</v>
      </c>
      <c r="DF218" s="150">
        <f t="shared" si="673"/>
        <v>0.20230192819025303</v>
      </c>
      <c r="DG218" s="150"/>
      <c r="DH218" s="150">
        <f t="shared" si="674"/>
        <v>2.3188405797101455</v>
      </c>
      <c r="DI218" s="314">
        <f t="shared" si="675"/>
        <v>13.850735294117644</v>
      </c>
      <c r="DJ218" s="456">
        <f t="shared" si="676"/>
        <v>0.20230192819025311</v>
      </c>
      <c r="DL218" s="150">
        <f t="shared" si="677"/>
        <v>2.6331223544175333</v>
      </c>
      <c r="DM218" s="150">
        <f t="shared" si="678"/>
        <v>13.333333333333334</v>
      </c>
      <c r="DN218" s="150">
        <f t="shared" si="679"/>
        <v>1.007914705882353</v>
      </c>
      <c r="DP218" s="314">
        <f t="shared" si="680"/>
        <v>10</v>
      </c>
      <c r="DQ218" s="144">
        <f t="shared" si="681"/>
        <v>13.850735294117644</v>
      </c>
      <c r="DS218">
        <f t="shared" si="682"/>
        <v>10</v>
      </c>
      <c r="DT218">
        <f t="shared" si="683"/>
        <v>13.850735294117644</v>
      </c>
      <c r="DV218" s="5">
        <f t="shared" si="684"/>
        <v>72.198333067898304</v>
      </c>
      <c r="DW218" s="5">
        <f t="shared" si="685"/>
        <v>1.25</v>
      </c>
      <c r="DX218" s="5">
        <f t="shared" si="686"/>
        <v>70.948333067898304</v>
      </c>
      <c r="DY218" s="150">
        <f t="shared" si="687"/>
        <v>1.7313419117647055E-2</v>
      </c>
      <c r="EA218" s="5">
        <f t="shared" si="713"/>
        <v>7.3529411764705881E-3</v>
      </c>
      <c r="EB218" s="5">
        <f t="shared" si="714"/>
        <v>0.10416666666666667</v>
      </c>
      <c r="EC218" s="5">
        <f t="shared" si="715"/>
        <v>12.563767314106988</v>
      </c>
      <c r="ED218" s="5"/>
      <c r="EE218" s="150">
        <f t="shared" si="716"/>
        <v>1.0129069020185728</v>
      </c>
      <c r="EF218" s="150">
        <f t="shared" si="717"/>
        <v>0.35639627791525952</v>
      </c>
      <c r="EG218" s="150">
        <f t="shared" si="718"/>
        <v>0.3390350621712257</v>
      </c>
      <c r="EH218" s="150"/>
      <c r="EI218" s="456">
        <f t="shared" si="719"/>
        <v>3.4883333333333329E-3</v>
      </c>
      <c r="EJ218" s="456">
        <f t="shared" si="720"/>
        <v>0.13824880588235292</v>
      </c>
      <c r="EK218" s="456">
        <f t="shared" si="721"/>
        <v>3.1718183823529408E-3</v>
      </c>
      <c r="EL218" s="456">
        <f t="shared" si="722"/>
        <v>5.753284881721046E-3</v>
      </c>
      <c r="EM218">
        <f t="shared" si="723"/>
        <v>7.1999999999999998E-3</v>
      </c>
      <c r="EN218" s="144">
        <f t="shared" si="724"/>
        <v>10.371818382352942</v>
      </c>
      <c r="EP218" s="144">
        <f t="shared" si="725"/>
        <v>157.86224247976028</v>
      </c>
      <c r="EQ218" s="150">
        <f t="shared" si="726"/>
        <v>2.5000000000000001E-2</v>
      </c>
      <c r="ER218" s="150">
        <f t="shared" si="688"/>
        <v>7.0999999999999995E-3</v>
      </c>
      <c r="ES218" s="456"/>
      <c r="EU218" s="144">
        <f t="shared" si="727"/>
        <v>32.1</v>
      </c>
      <c r="EV218" s="456">
        <f t="shared" si="728"/>
        <v>1.538970588235294E-3</v>
      </c>
      <c r="EW218" s="456">
        <f t="shared" si="729"/>
        <v>2.5403661382370182E-2</v>
      </c>
      <c r="EX218" s="456">
        <f t="shared" si="730"/>
        <v>3.4483432014434062E-3</v>
      </c>
      <c r="EY218" s="456">
        <f t="shared" si="731"/>
        <v>2.3173888837690945E-2</v>
      </c>
      <c r="EZ218" s="456"/>
      <c r="FA218" s="538">
        <f t="shared" si="732"/>
        <v>2.4623529411764706E-3</v>
      </c>
      <c r="FB218" s="144">
        <f t="shared" si="733"/>
        <v>56.027216950916298</v>
      </c>
      <c r="FC218" s="150">
        <f t="shared" si="734"/>
        <v>0.24598945943067657</v>
      </c>
      <c r="FD218" s="5">
        <f t="shared" si="735"/>
        <v>1.8199999999999998</v>
      </c>
      <c r="FE218" s="150">
        <f t="shared" si="736"/>
        <v>0.88093382649761265</v>
      </c>
      <c r="FF218" s="5">
        <f t="shared" si="737"/>
        <v>88.093382649761267</v>
      </c>
      <c r="FG218">
        <f t="shared" si="738"/>
        <v>2</v>
      </c>
      <c r="FI218" s="59">
        <f t="shared" si="689"/>
        <v>-50</v>
      </c>
    </row>
    <row r="219" spans="1:169">
      <c r="E219" s="147">
        <v>3</v>
      </c>
      <c r="F219" s="188">
        <f t="shared" si="690"/>
        <v>1.4999999999999999E-2</v>
      </c>
      <c r="G219" s="188">
        <f t="shared" si="617"/>
        <v>1.4999999999999999E-2</v>
      </c>
      <c r="H219" s="188">
        <f t="shared" si="618"/>
        <v>2.5499999999999998</v>
      </c>
      <c r="I219" s="188">
        <f t="shared" si="619"/>
        <v>0.18</v>
      </c>
      <c r="J219" s="465">
        <f t="shared" si="620"/>
        <v>15.960331210464938</v>
      </c>
      <c r="K219" s="379">
        <f t="shared" si="621"/>
        <v>8.648147980288682</v>
      </c>
      <c r="L219" s="149">
        <f t="shared" si="622"/>
        <v>24.60847919075362</v>
      </c>
      <c r="M219" s="379"/>
      <c r="N219" s="188">
        <f t="shared" si="623"/>
        <v>0.35142959925528977</v>
      </c>
      <c r="O219" s="149">
        <f t="shared" si="624"/>
        <v>174.63710187121168</v>
      </c>
      <c r="P219" s="149">
        <f t="shared" si="625"/>
        <v>12.327324837967884</v>
      </c>
      <c r="Q219" s="188">
        <f t="shared" si="626"/>
        <v>1.027277069830657</v>
      </c>
      <c r="R219" s="188">
        <f t="shared" si="627"/>
        <v>14.553091822600974</v>
      </c>
      <c r="S219" s="188">
        <f t="shared" si="628"/>
        <v>170</v>
      </c>
      <c r="T219" s="188">
        <f t="shared" si="629"/>
        <v>0.97344721241061727</v>
      </c>
      <c r="U219" s="188">
        <f t="shared" si="630"/>
        <v>9.1487501065047758E-2</v>
      </c>
      <c r="V219" s="188">
        <f t="shared" si="631"/>
        <v>0.16884202513000757</v>
      </c>
      <c r="W219" s="172">
        <f t="shared" si="632"/>
        <v>280.44664006376934</v>
      </c>
      <c r="X219" s="379">
        <f t="shared" si="691"/>
        <v>350</v>
      </c>
      <c r="Z219" s="188">
        <f t="shared" si="633"/>
        <v>13.333333333333332</v>
      </c>
      <c r="AA219" s="150">
        <f t="shared" si="634"/>
        <v>2.3126338778643771</v>
      </c>
      <c r="AB219" s="150">
        <f t="shared" si="635"/>
        <v>0.20193583905970827</v>
      </c>
      <c r="AC219" s="150"/>
      <c r="AD219" s="150">
        <f t="shared" si="636"/>
        <v>2.3126338778643776</v>
      </c>
      <c r="AE219" s="314">
        <f t="shared" si="637"/>
        <v>20.831862340754203</v>
      </c>
      <c r="AF219" s="456">
        <f t="shared" si="638"/>
        <v>0.20193583905970836</v>
      </c>
      <c r="AH219" s="150">
        <f t="shared" si="639"/>
        <v>3.2249030993194201</v>
      </c>
      <c r="AI219" s="150">
        <f t="shared" si="640"/>
        <v>13.333333333333334</v>
      </c>
      <c r="AJ219" s="150">
        <f t="shared" si="641"/>
        <v>1.0119039213375738</v>
      </c>
      <c r="AL219" s="314">
        <f t="shared" si="642"/>
        <v>15</v>
      </c>
      <c r="AM219" s="144">
        <f t="shared" si="643"/>
        <v>20.831862340754203</v>
      </c>
      <c r="AO219">
        <f t="shared" si="644"/>
        <v>15</v>
      </c>
      <c r="AP219">
        <f t="shared" si="645"/>
        <v>20.831862340754203</v>
      </c>
      <c r="AR219" s="5">
        <f t="shared" si="616"/>
        <v>48.0033894062203</v>
      </c>
      <c r="AS219" s="5">
        <f t="shared" si="604"/>
        <v>1.2531068269364183</v>
      </c>
      <c r="AT219" s="5">
        <f t="shared" si="605"/>
        <v>46.750282579283883</v>
      </c>
      <c r="AU219" s="150">
        <f t="shared" si="606"/>
        <v>2.6104548916998767E-2</v>
      </c>
      <c r="BA219" s="150">
        <f t="shared" si="692"/>
        <v>1.2437589123774935</v>
      </c>
      <c r="BB219" s="150">
        <f t="shared" si="693"/>
        <v>0.35479853313644749</v>
      </c>
      <c r="BC219" s="150">
        <f t="shared" si="694"/>
        <v>0.33751514870976385</v>
      </c>
      <c r="BD219" s="150"/>
      <c r="BE219" s="456">
        <f t="shared" si="695"/>
        <v>5.2595831892027142E-3</v>
      </c>
      <c r="BF219" s="456">
        <f t="shared" si="646"/>
        <v>0.16370318399285863</v>
      </c>
      <c r="BG219" s="456">
        <f t="shared" si="647"/>
        <v>1.5227740759167581E-2</v>
      </c>
      <c r="BH219" s="456">
        <f t="shared" si="696"/>
        <v>8.6414817800813202E-3</v>
      </c>
      <c r="BI219">
        <f t="shared" si="697"/>
        <v>7.1821490447092221E-3</v>
      </c>
      <c r="BJ219" s="144">
        <f t="shared" si="698"/>
        <v>22.409889803876805</v>
      </c>
      <c r="BK219">
        <f t="shared" si="648"/>
        <v>0.17924833894355494</v>
      </c>
      <c r="BL219" s="144">
        <f t="shared" si="699"/>
        <v>200.01413876601947</v>
      </c>
      <c r="BM219" s="150">
        <f t="shared" si="649"/>
        <v>3.3281249999999998E-2</v>
      </c>
      <c r="BN219" s="150">
        <f t="shared" si="650"/>
        <v>1.065E-2</v>
      </c>
      <c r="BQ219" s="144">
        <f t="shared" si="700"/>
        <v>43.931249999999999</v>
      </c>
      <c r="BR219" s="456">
        <f t="shared" si="701"/>
        <v>2.3204043481776684E-3</v>
      </c>
      <c r="BS219" s="456">
        <f t="shared" si="702"/>
        <v>2.5176399823154966E-2</v>
      </c>
      <c r="BT219" s="456">
        <f t="shared" si="703"/>
        <v>3.4174942682572199E-3</v>
      </c>
      <c r="BU219" s="456">
        <f t="shared" si="704"/>
        <v>6.4289061872305361E-2</v>
      </c>
      <c r="BV219" s="456"/>
      <c r="BW219" s="538">
        <f t="shared" si="705"/>
        <v>3.7034421939118592E-3</v>
      </c>
      <c r="BX219" s="144">
        <f t="shared" si="706"/>
        <v>98.906802505807079</v>
      </c>
      <c r="BY219" s="150">
        <f t="shared" si="707"/>
        <v>0.34285219127182653</v>
      </c>
      <c r="BZ219" s="5">
        <f t="shared" si="708"/>
        <v>2.73</v>
      </c>
      <c r="CA219" s="150">
        <f t="shared" si="709"/>
        <v>0.8884254204462978</v>
      </c>
      <c r="CB219" s="5">
        <f t="shared" si="710"/>
        <v>88.842542044629781</v>
      </c>
      <c r="CC219">
        <f t="shared" si="711"/>
        <v>3</v>
      </c>
      <c r="CE219" s="59">
        <f t="shared" si="651"/>
        <v>-50</v>
      </c>
      <c r="CG219" s="150">
        <f t="shared" si="652"/>
        <v>4.6902267155862098E-2</v>
      </c>
      <c r="CH219" s="150">
        <f t="shared" si="653"/>
        <v>1.3099313740053636E-2</v>
      </c>
      <c r="CI219" s="147">
        <v>3</v>
      </c>
      <c r="CJ219" s="188">
        <f t="shared" si="712"/>
        <v>1.4999999999999999E-2</v>
      </c>
      <c r="CK219" s="188">
        <f t="shared" si="654"/>
        <v>1.4999999999999999E-2</v>
      </c>
      <c r="CL219" s="188">
        <f t="shared" si="655"/>
        <v>2.5499999999999998</v>
      </c>
      <c r="CM219" s="188">
        <f t="shared" si="656"/>
        <v>0.18</v>
      </c>
      <c r="CN219" s="465">
        <f t="shared" si="657"/>
        <v>16</v>
      </c>
      <c r="CO219" s="379">
        <f t="shared" si="658"/>
        <v>8.625</v>
      </c>
      <c r="CP219" s="379">
        <f t="shared" si="659"/>
        <v>24.625</v>
      </c>
      <c r="CQ219" s="379"/>
      <c r="CR219" s="188">
        <f t="shared" si="660"/>
        <v>0.34787038923986141</v>
      </c>
      <c r="CS219" s="149">
        <f t="shared" si="661"/>
        <v>173.29806936491266</v>
      </c>
      <c r="CT219" s="149">
        <f t="shared" si="662"/>
        <v>12.232804896346776</v>
      </c>
      <c r="CU219" s="188">
        <f t="shared" si="663"/>
        <v>1.0194004080288981</v>
      </c>
      <c r="CV219" s="188">
        <f t="shared" si="664"/>
        <v>14.441505780409388</v>
      </c>
      <c r="CW219" s="188">
        <f t="shared" si="665"/>
        <v>170</v>
      </c>
      <c r="CX219" s="188">
        <f t="shared" si="666"/>
        <v>0.98096880492091387</v>
      </c>
      <c r="CY219" s="188">
        <f t="shared" si="667"/>
        <v>9.1965825461335679E-2</v>
      </c>
      <c r="CZ219" s="188">
        <f t="shared" si="668"/>
        <v>0.17060327042102852</v>
      </c>
      <c r="DA219" s="172">
        <f t="shared" si="669"/>
        <v>280.20304568527916</v>
      </c>
      <c r="DB219" s="379">
        <f t="shared" si="670"/>
        <v>350</v>
      </c>
      <c r="DD219" s="188">
        <f t="shared" si="671"/>
        <v>13.333333333333332</v>
      </c>
      <c r="DE219" s="150">
        <f t="shared" si="672"/>
        <v>2.318840579710145</v>
      </c>
      <c r="DF219" s="150">
        <f t="shared" si="673"/>
        <v>0.20230192819025303</v>
      </c>
      <c r="DG219" s="150"/>
      <c r="DH219" s="150">
        <f t="shared" si="674"/>
        <v>2.3188405797101455</v>
      </c>
      <c r="DI219" s="314">
        <f t="shared" si="675"/>
        <v>20.776102941176461</v>
      </c>
      <c r="DJ219" s="456">
        <f t="shared" si="676"/>
        <v>0.20230192819025311</v>
      </c>
      <c r="DL219" s="150">
        <f t="shared" si="677"/>
        <v>3.2249030993194201</v>
      </c>
      <c r="DM219" s="150">
        <f t="shared" si="678"/>
        <v>13.333333333333334</v>
      </c>
      <c r="DN219" s="150">
        <f t="shared" si="679"/>
        <v>1.0118720588235295</v>
      </c>
      <c r="DP219" s="314">
        <f t="shared" si="680"/>
        <v>15</v>
      </c>
      <c r="DQ219" s="144">
        <f t="shared" si="681"/>
        <v>20.776102941176461</v>
      </c>
      <c r="DS219">
        <f t="shared" si="682"/>
        <v>15</v>
      </c>
      <c r="DT219">
        <f t="shared" si="683"/>
        <v>20.776102941176461</v>
      </c>
      <c r="DV219" s="5">
        <f t="shared" si="684"/>
        <v>48.132222045265543</v>
      </c>
      <c r="DW219" s="5">
        <f t="shared" si="685"/>
        <v>1.25</v>
      </c>
      <c r="DX219" s="5">
        <f t="shared" si="686"/>
        <v>46.882222045265543</v>
      </c>
      <c r="DY219" s="150">
        <f t="shared" si="687"/>
        <v>2.5970128676470576E-2</v>
      </c>
      <c r="EA219" s="5">
        <f t="shared" si="713"/>
        <v>1.1029411764705881E-2</v>
      </c>
      <c r="EB219" s="5">
        <f t="shared" si="714"/>
        <v>0.15625</v>
      </c>
      <c r="EC219" s="5">
        <f t="shared" si="715"/>
        <v>12.453090230773658</v>
      </c>
      <c r="ED219" s="5"/>
      <c r="EE219" s="150">
        <f t="shared" si="716"/>
        <v>1.2405525334443899</v>
      </c>
      <c r="EF219" s="150">
        <f t="shared" si="717"/>
        <v>0.35482301751953438</v>
      </c>
      <c r="EG219" s="150">
        <f t="shared" si="718"/>
        <v>0.33753844037933639</v>
      </c>
      <c r="EH219" s="150"/>
      <c r="EI219" s="456">
        <f t="shared" si="719"/>
        <v>5.2324999999999993E-3</v>
      </c>
      <c r="EJ219" s="456">
        <f t="shared" si="720"/>
        <v>0.20737320882352936</v>
      </c>
      <c r="EK219" s="456">
        <f t="shared" si="721"/>
        <v>4.7577275735294095E-3</v>
      </c>
      <c r="EL219" s="456">
        <f t="shared" si="722"/>
        <v>8.6299273225815664E-3</v>
      </c>
      <c r="EM219">
        <f t="shared" si="723"/>
        <v>7.1999999999999998E-3</v>
      </c>
      <c r="EN219" s="144">
        <f t="shared" si="724"/>
        <v>11.957727573529409</v>
      </c>
      <c r="EP219" s="144">
        <f t="shared" si="725"/>
        <v>233.19336371964033</v>
      </c>
      <c r="EQ219" s="150">
        <f t="shared" si="726"/>
        <v>3.7499999999999999E-2</v>
      </c>
      <c r="ER219" s="150">
        <f t="shared" si="688"/>
        <v>1.065E-2</v>
      </c>
      <c r="ES219" s="456"/>
      <c r="EU219" s="144">
        <f t="shared" si="727"/>
        <v>48.15</v>
      </c>
      <c r="EV219" s="456">
        <f t="shared" si="728"/>
        <v>2.3084558823529412E-3</v>
      </c>
      <c r="EW219" s="456">
        <f t="shared" si="729"/>
        <v>2.5179874752333561E-2</v>
      </c>
      <c r="EX219" s="456">
        <f t="shared" si="730"/>
        <v>3.4179659620114447E-3</v>
      </c>
      <c r="EY219" s="456">
        <f t="shared" si="731"/>
        <v>6.3859728384361686E-2</v>
      </c>
      <c r="EZ219" s="456"/>
      <c r="FA219" s="538">
        <f t="shared" si="732"/>
        <v>3.6935294117647049E-3</v>
      </c>
      <c r="FB219" s="144">
        <f t="shared" si="733"/>
        <v>98.45955439282433</v>
      </c>
      <c r="FC219" s="150">
        <f t="shared" si="734"/>
        <v>0.37980291811246469</v>
      </c>
      <c r="FD219" s="5">
        <f t="shared" si="735"/>
        <v>2.73</v>
      </c>
      <c r="FE219" s="150">
        <f t="shared" si="736"/>
        <v>0.8778691357254913</v>
      </c>
      <c r="FF219" s="5">
        <f t="shared" si="737"/>
        <v>87.786913572549125</v>
      </c>
      <c r="FG219">
        <f t="shared" si="738"/>
        <v>3</v>
      </c>
      <c r="FI219" s="59">
        <f t="shared" si="689"/>
        <v>-50</v>
      </c>
    </row>
    <row r="220" spans="1:169">
      <c r="E220" s="147">
        <v>4</v>
      </c>
      <c r="F220" s="188">
        <f t="shared" si="690"/>
        <v>0.02</v>
      </c>
      <c r="G220" s="188">
        <f t="shared" si="617"/>
        <v>0.02</v>
      </c>
      <c r="H220" s="188">
        <f t="shared" si="618"/>
        <v>3.4</v>
      </c>
      <c r="I220" s="188">
        <f t="shared" si="619"/>
        <v>0.24</v>
      </c>
      <c r="J220" s="465">
        <f t="shared" si="620"/>
        <v>15.960331210464938</v>
      </c>
      <c r="K220" s="379">
        <f t="shared" si="621"/>
        <v>8.648147980288682</v>
      </c>
      <c r="L220" s="149">
        <f t="shared" si="622"/>
        <v>24.60847919075362</v>
      </c>
      <c r="M220" s="379"/>
      <c r="N220" s="188">
        <f t="shared" si="623"/>
        <v>0.35142959925528977</v>
      </c>
      <c r="O220" s="149">
        <f t="shared" si="624"/>
        <v>174.63710187121168</v>
      </c>
      <c r="P220" s="149">
        <f t="shared" si="625"/>
        <v>12.327324837967884</v>
      </c>
      <c r="Q220" s="188">
        <f t="shared" si="626"/>
        <v>1.027277069830657</v>
      </c>
      <c r="R220" s="188">
        <f t="shared" si="627"/>
        <v>14.553091822600974</v>
      </c>
      <c r="S220" s="188">
        <f t="shared" si="628"/>
        <v>170</v>
      </c>
      <c r="T220" s="188">
        <f t="shared" si="629"/>
        <v>1.2979296165474896</v>
      </c>
      <c r="U220" s="188">
        <f t="shared" si="630"/>
        <v>0.12198333475339701</v>
      </c>
      <c r="V220" s="188">
        <f t="shared" si="631"/>
        <v>0.22512270017334343</v>
      </c>
      <c r="W220" s="172">
        <f t="shared" si="632"/>
        <v>280.44664006376934</v>
      </c>
      <c r="X220" s="379">
        <f t="shared" si="691"/>
        <v>350</v>
      </c>
      <c r="Z220" s="188">
        <f t="shared" si="633"/>
        <v>13.333333333333332</v>
      </c>
      <c r="AA220" s="150">
        <f t="shared" si="634"/>
        <v>2.3126338778643771</v>
      </c>
      <c r="AB220" s="150">
        <f t="shared" si="635"/>
        <v>0.20193583905970827</v>
      </c>
      <c r="AC220" s="150"/>
      <c r="AD220" s="150">
        <f t="shared" si="636"/>
        <v>2.3126338778643776</v>
      </c>
      <c r="AE220" s="314">
        <f t="shared" si="637"/>
        <v>27.775816454338941</v>
      </c>
      <c r="AF220" s="456">
        <f t="shared" si="638"/>
        <v>0.20193583905970836</v>
      </c>
      <c r="AH220" s="150">
        <f t="shared" si="639"/>
        <v>3.723797345005051</v>
      </c>
      <c r="AI220" s="150">
        <f t="shared" si="640"/>
        <v>13.333333333333334</v>
      </c>
      <c r="AJ220" s="150">
        <f t="shared" si="641"/>
        <v>1.0158718951167651</v>
      </c>
      <c r="AL220" s="314">
        <f t="shared" si="642"/>
        <v>20</v>
      </c>
      <c r="AM220" s="144">
        <f t="shared" si="643"/>
        <v>27.775816454338941</v>
      </c>
      <c r="AO220">
        <f t="shared" si="644"/>
        <v>20</v>
      </c>
      <c r="AP220">
        <f t="shared" si="645"/>
        <v>27.775816454338941</v>
      </c>
      <c r="AR220" s="5">
        <f t="shared" si="616"/>
        <v>36.00254205466522</v>
      </c>
      <c r="AS220" s="5">
        <f t="shared" si="604"/>
        <v>1.2531068269364183</v>
      </c>
      <c r="AT220" s="5">
        <f t="shared" si="605"/>
        <v>34.749435227728803</v>
      </c>
      <c r="AU220" s="150">
        <f t="shared" si="606"/>
        <v>3.4806065222665029E-2</v>
      </c>
      <c r="BA220" s="150">
        <f t="shared" si="692"/>
        <v>1.4361690857362841</v>
      </c>
      <c r="BB220" s="150">
        <f t="shared" si="693"/>
        <v>0.35320995798102955</v>
      </c>
      <c r="BC220" s="150">
        <f t="shared" si="694"/>
        <v>0.33600395818967421</v>
      </c>
      <c r="BD220" s="150"/>
      <c r="BE220" s="456">
        <f t="shared" si="695"/>
        <v>7.0127775856036198E-3</v>
      </c>
      <c r="BF220" s="456">
        <f t="shared" si="646"/>
        <v>0.21827091199047818</v>
      </c>
      <c r="BG220" s="456">
        <f t="shared" si="647"/>
        <v>2.0303654345556775E-2</v>
      </c>
      <c r="BH220" s="456">
        <f t="shared" si="696"/>
        <v>1.1521975706775095E-2</v>
      </c>
      <c r="BI220">
        <f t="shared" si="697"/>
        <v>7.1821490447092221E-3</v>
      </c>
      <c r="BJ220" s="144">
        <f t="shared" si="698"/>
        <v>27.485803390265996</v>
      </c>
      <c r="BK220">
        <f t="shared" si="648"/>
        <v>0.23909750809555164</v>
      </c>
      <c r="BL220" s="144">
        <f t="shared" si="699"/>
        <v>264.29146867312289</v>
      </c>
      <c r="BM220" s="150">
        <f t="shared" si="649"/>
        <v>4.4374999999999998E-2</v>
      </c>
      <c r="BN220" s="150">
        <f t="shared" si="650"/>
        <v>1.4199999999999999E-2</v>
      </c>
      <c r="BQ220" s="144">
        <f t="shared" si="700"/>
        <v>58.574999999999996</v>
      </c>
      <c r="BR220" s="456">
        <f t="shared" si="701"/>
        <v>3.0938724642368912E-3</v>
      </c>
      <c r="BS220" s="456">
        <f t="shared" si="702"/>
        <v>2.4951454883392135E-2</v>
      </c>
      <c r="BT220" s="456">
        <f t="shared" si="703"/>
        <v>3.38695979757385E-3</v>
      </c>
      <c r="BU220" s="456">
        <f t="shared" si="704"/>
        <v>0.1319726477437298</v>
      </c>
      <c r="BV220" s="456"/>
      <c r="BW220" s="538">
        <f t="shared" si="705"/>
        <v>4.9379229252158128E-3</v>
      </c>
      <c r="BX220" s="144">
        <f t="shared" si="706"/>
        <v>168.34285781414849</v>
      </c>
      <c r="BY220" s="150">
        <f t="shared" si="707"/>
        <v>0.49120932648727134</v>
      </c>
      <c r="BZ220" s="5">
        <f t="shared" si="708"/>
        <v>3.6399999999999997</v>
      </c>
      <c r="CA220" s="150">
        <f t="shared" si="709"/>
        <v>0.88109793339740006</v>
      </c>
      <c r="CB220" s="5">
        <f t="shared" si="710"/>
        <v>88.109793339740008</v>
      </c>
      <c r="CC220">
        <f t="shared" si="711"/>
        <v>4</v>
      </c>
      <c r="CE220" s="59">
        <f t="shared" si="651"/>
        <v>-50</v>
      </c>
      <c r="CG220" s="150">
        <f t="shared" si="652"/>
        <v>6.2536356207816141E-2</v>
      </c>
      <c r="CH220" s="150">
        <f t="shared" si="653"/>
        <v>1.7465751653404849E-2</v>
      </c>
      <c r="CI220" s="147">
        <v>4</v>
      </c>
      <c r="CJ220" s="188">
        <f t="shared" si="712"/>
        <v>0.02</v>
      </c>
      <c r="CK220" s="188">
        <f t="shared" si="654"/>
        <v>0.02</v>
      </c>
      <c r="CL220" s="188">
        <f t="shared" si="655"/>
        <v>3.4</v>
      </c>
      <c r="CM220" s="188">
        <f t="shared" si="656"/>
        <v>0.24</v>
      </c>
      <c r="CN220" s="465">
        <f t="shared" si="657"/>
        <v>16</v>
      </c>
      <c r="CO220" s="379">
        <f t="shared" si="658"/>
        <v>8.625</v>
      </c>
      <c r="CP220" s="379">
        <f t="shared" si="659"/>
        <v>24.625</v>
      </c>
      <c r="CQ220" s="379"/>
      <c r="CR220" s="188">
        <f t="shared" si="660"/>
        <v>0.34787038923986141</v>
      </c>
      <c r="CS220" s="149">
        <f t="shared" si="661"/>
        <v>173.29806936491266</v>
      </c>
      <c r="CT220" s="149">
        <f t="shared" si="662"/>
        <v>12.232804896346776</v>
      </c>
      <c r="CU220" s="188">
        <f t="shared" si="663"/>
        <v>1.0194004080288981</v>
      </c>
      <c r="CV220" s="188">
        <f t="shared" si="664"/>
        <v>14.441505780409388</v>
      </c>
      <c r="CW220" s="188">
        <f t="shared" si="665"/>
        <v>170</v>
      </c>
      <c r="CX220" s="188">
        <f t="shared" si="666"/>
        <v>1.3079584065612184</v>
      </c>
      <c r="CY220" s="188">
        <f t="shared" si="667"/>
        <v>0.12262110061511423</v>
      </c>
      <c r="CZ220" s="188">
        <f t="shared" si="668"/>
        <v>0.227471027228038</v>
      </c>
      <c r="DA220" s="172">
        <f t="shared" si="669"/>
        <v>280.20304568527916</v>
      </c>
      <c r="DB220" s="379">
        <f t="shared" si="670"/>
        <v>350</v>
      </c>
      <c r="DD220" s="188">
        <f t="shared" si="671"/>
        <v>13.333333333333332</v>
      </c>
      <c r="DE220" s="150">
        <f t="shared" si="672"/>
        <v>2.318840579710145</v>
      </c>
      <c r="DF220" s="150">
        <f t="shared" si="673"/>
        <v>0.20230192819025303</v>
      </c>
      <c r="DG220" s="150"/>
      <c r="DH220" s="150">
        <f t="shared" si="674"/>
        <v>2.3188405797101455</v>
      </c>
      <c r="DI220" s="314">
        <f t="shared" si="675"/>
        <v>27.701470588235289</v>
      </c>
      <c r="DJ220" s="456">
        <f t="shared" si="676"/>
        <v>0.20230192819025311</v>
      </c>
      <c r="DL220" s="150">
        <f t="shared" si="677"/>
        <v>3.723797345005051</v>
      </c>
      <c r="DM220" s="150">
        <f t="shared" si="678"/>
        <v>13.333333333333334</v>
      </c>
      <c r="DN220" s="150">
        <f t="shared" si="679"/>
        <v>1.015829411764706</v>
      </c>
      <c r="DP220" s="314">
        <f t="shared" si="680"/>
        <v>20</v>
      </c>
      <c r="DQ220" s="144">
        <f t="shared" si="681"/>
        <v>27.701470588235289</v>
      </c>
      <c r="DS220">
        <f t="shared" si="682"/>
        <v>20</v>
      </c>
      <c r="DT220">
        <f t="shared" si="683"/>
        <v>27.701470588235289</v>
      </c>
      <c r="DV220" s="5">
        <f t="shared" si="684"/>
        <v>36.099166533949152</v>
      </c>
      <c r="DW220" s="5">
        <f t="shared" si="685"/>
        <v>1.25</v>
      </c>
      <c r="DX220" s="5">
        <f t="shared" si="686"/>
        <v>34.849166533949152</v>
      </c>
      <c r="DY220" s="150">
        <f t="shared" si="687"/>
        <v>3.4626838235294111E-2</v>
      </c>
      <c r="EA220" s="5">
        <f t="shared" si="713"/>
        <v>1.4705882352941176E-2</v>
      </c>
      <c r="EB220" s="5">
        <f t="shared" si="714"/>
        <v>0.20833333333333334</v>
      </c>
      <c r="EC220" s="5">
        <f t="shared" si="715"/>
        <v>12.342413147440322</v>
      </c>
      <c r="ED220" s="5"/>
      <c r="EE220" s="150">
        <f t="shared" si="716"/>
        <v>1.4324666782559812</v>
      </c>
      <c r="EF220" s="150">
        <f t="shared" si="717"/>
        <v>0.35324275026033386</v>
      </c>
      <c r="EG220" s="150">
        <f t="shared" si="718"/>
        <v>0.33603515305096093</v>
      </c>
      <c r="EH220" s="150"/>
      <c r="EI220" s="456">
        <f t="shared" si="719"/>
        <v>6.976666666666664E-3</v>
      </c>
      <c r="EJ220" s="456">
        <f t="shared" si="720"/>
        <v>0.27649761176470583</v>
      </c>
      <c r="EK220" s="456">
        <f t="shared" si="721"/>
        <v>6.3436367647058817E-3</v>
      </c>
      <c r="EL220" s="456">
        <f t="shared" si="722"/>
        <v>1.1506569763442092E-2</v>
      </c>
      <c r="EM220">
        <f t="shared" si="723"/>
        <v>7.1999999999999998E-3</v>
      </c>
      <c r="EN220" s="144">
        <f t="shared" si="724"/>
        <v>13.543636764705882</v>
      </c>
      <c r="EP220" s="144">
        <f t="shared" si="725"/>
        <v>308.52448495952052</v>
      </c>
      <c r="EQ220" s="150">
        <f t="shared" si="726"/>
        <v>0.05</v>
      </c>
      <c r="ER220" s="150">
        <f t="shared" si="688"/>
        <v>1.4199999999999999E-2</v>
      </c>
      <c r="ES220" s="456"/>
      <c r="EU220" s="144">
        <f t="shared" si="727"/>
        <v>64.2</v>
      </c>
      <c r="EV220" s="456">
        <f t="shared" si="728"/>
        <v>3.0779411764705875E-3</v>
      </c>
      <c r="EW220" s="456">
        <f t="shared" si="729"/>
        <v>2.495608812229692E-2</v>
      </c>
      <c r="EX220" s="456">
        <f t="shared" si="730"/>
        <v>3.3875887225794823E-3</v>
      </c>
      <c r="EY220" s="456">
        <f t="shared" si="731"/>
        <v>0.13109131154875608</v>
      </c>
      <c r="EZ220" s="456"/>
      <c r="FA220" s="538">
        <f t="shared" si="732"/>
        <v>4.9247058823529413E-3</v>
      </c>
      <c r="FB220" s="144">
        <f t="shared" si="733"/>
        <v>167.43763545245602</v>
      </c>
      <c r="FC220" s="150">
        <f t="shared" si="734"/>
        <v>0.54016212041197653</v>
      </c>
      <c r="FD220" s="5">
        <f t="shared" si="735"/>
        <v>3.6399999999999997</v>
      </c>
      <c r="FE220" s="150">
        <f t="shared" si="736"/>
        <v>0.87077962412645826</v>
      </c>
      <c r="FF220" s="5">
        <f t="shared" si="737"/>
        <v>87.077962412645832</v>
      </c>
      <c r="FG220">
        <f t="shared" si="738"/>
        <v>4</v>
      </c>
      <c r="FI220" s="59">
        <f t="shared" si="689"/>
        <v>-50</v>
      </c>
    </row>
    <row r="221" spans="1:169">
      <c r="E221" s="147">
        <v>5</v>
      </c>
      <c r="F221" s="188">
        <f t="shared" si="690"/>
        <v>2.5000000000000001E-2</v>
      </c>
      <c r="G221" s="188">
        <f t="shared" si="617"/>
        <v>2.5000000000000001E-2</v>
      </c>
      <c r="H221" s="188">
        <f t="shared" si="618"/>
        <v>4.25</v>
      </c>
      <c r="I221" s="188">
        <f t="shared" si="619"/>
        <v>0.30000000000000004</v>
      </c>
      <c r="J221" s="465">
        <f t="shared" si="620"/>
        <v>15.960331210464938</v>
      </c>
      <c r="K221" s="379">
        <f t="shared" si="621"/>
        <v>8.648147980288682</v>
      </c>
      <c r="L221" s="149">
        <f t="shared" si="622"/>
        <v>24.60847919075362</v>
      </c>
      <c r="M221" s="379"/>
      <c r="N221" s="188">
        <f t="shared" si="623"/>
        <v>0.35142959925528977</v>
      </c>
      <c r="O221" s="149">
        <f t="shared" si="624"/>
        <v>174.63710187121168</v>
      </c>
      <c r="P221" s="149">
        <f t="shared" si="625"/>
        <v>12.327324837967884</v>
      </c>
      <c r="Q221" s="188">
        <f t="shared" si="626"/>
        <v>1.027277069830657</v>
      </c>
      <c r="R221" s="188">
        <f t="shared" si="627"/>
        <v>14.553091822600974</v>
      </c>
      <c r="S221" s="188">
        <f t="shared" si="628"/>
        <v>170</v>
      </c>
      <c r="T221" s="188">
        <f t="shared" si="629"/>
        <v>1.622412020684362</v>
      </c>
      <c r="U221" s="188">
        <f t="shared" si="630"/>
        <v>0.15247916844174625</v>
      </c>
      <c r="V221" s="188">
        <f t="shared" si="631"/>
        <v>0.2814033752166793</v>
      </c>
      <c r="W221" s="172">
        <f t="shared" si="632"/>
        <v>280.44664006376934</v>
      </c>
      <c r="X221" s="379">
        <f t="shared" si="691"/>
        <v>350</v>
      </c>
      <c r="Z221" s="188">
        <f t="shared" si="633"/>
        <v>13.333333333333332</v>
      </c>
      <c r="AA221" s="150">
        <f t="shared" si="634"/>
        <v>2.3126338778643771</v>
      </c>
      <c r="AB221" s="150">
        <f t="shared" si="635"/>
        <v>0.20193583905970827</v>
      </c>
      <c r="AC221" s="150"/>
      <c r="AD221" s="150">
        <f t="shared" si="636"/>
        <v>2.3126338778643776</v>
      </c>
      <c r="AE221" s="314">
        <f t="shared" si="637"/>
        <v>34.719770567923675</v>
      </c>
      <c r="AF221" s="456">
        <f t="shared" si="638"/>
        <v>0.20193583905970836</v>
      </c>
      <c r="AH221" s="150">
        <f t="shared" si="639"/>
        <v>4.1633319989322652</v>
      </c>
      <c r="AI221" s="150">
        <f t="shared" si="640"/>
        <v>13.333333333333334</v>
      </c>
      <c r="AJ221" s="150">
        <f t="shared" si="641"/>
        <v>1.0198398688959565</v>
      </c>
      <c r="AL221" s="314">
        <f t="shared" si="642"/>
        <v>25</v>
      </c>
      <c r="AM221" s="144">
        <f t="shared" si="643"/>
        <v>34.719770567923675</v>
      </c>
      <c r="AO221">
        <f t="shared" si="644"/>
        <v>25</v>
      </c>
      <c r="AP221">
        <f t="shared" si="645"/>
        <v>34.719770567923675</v>
      </c>
      <c r="AR221" s="5">
        <f t="shared" si="616"/>
        <v>28.80203364373218</v>
      </c>
      <c r="AS221" s="5">
        <f t="shared" si="604"/>
        <v>1.2531068269364183</v>
      </c>
      <c r="AT221" s="5">
        <f t="shared" si="605"/>
        <v>27.548926816795763</v>
      </c>
      <c r="AU221" s="150">
        <f t="shared" si="606"/>
        <v>4.3507581528331278E-2</v>
      </c>
      <c r="BA221" s="150">
        <f t="shared" si="692"/>
        <v>1.6056858514450274</v>
      </c>
      <c r="BB221" s="150">
        <f t="shared" si="693"/>
        <v>0.35161420579684571</v>
      </c>
      <c r="BC221" s="150">
        <f t="shared" si="694"/>
        <v>0.33448594025710965</v>
      </c>
      <c r="BD221" s="150"/>
      <c r="BE221" s="456">
        <f t="shared" si="695"/>
        <v>8.7659719820045237E-3</v>
      </c>
      <c r="BF221" s="456">
        <f t="shared" si="646"/>
        <v>0.27283863998809776</v>
      </c>
      <c r="BG221" s="456">
        <f t="shared" si="647"/>
        <v>2.537956793194597E-2</v>
      </c>
      <c r="BH221" s="456">
        <f t="shared" si="696"/>
        <v>1.440246963346887E-2</v>
      </c>
      <c r="BI221">
        <f t="shared" si="697"/>
        <v>7.1821490447092221E-3</v>
      </c>
      <c r="BJ221" s="144">
        <f t="shared" si="698"/>
        <v>32.561716976655191</v>
      </c>
      <c r="BK221">
        <f t="shared" si="648"/>
        <v>0.29899664273415044</v>
      </c>
      <c r="BL221" s="144">
        <f t="shared" si="699"/>
        <v>328.56879858022631</v>
      </c>
      <c r="BM221" s="150">
        <f t="shared" si="649"/>
        <v>5.5468749999999997E-2</v>
      </c>
      <c r="BN221" s="150">
        <f t="shared" si="650"/>
        <v>1.7750000000000002E-2</v>
      </c>
      <c r="BQ221" s="144">
        <f t="shared" si="700"/>
        <v>73.21875</v>
      </c>
      <c r="BR221" s="456">
        <f t="shared" si="701"/>
        <v>3.867340580296114E-3</v>
      </c>
      <c r="BS221" s="456">
        <f t="shared" si="702"/>
        <v>2.4726509943629314E-2</v>
      </c>
      <c r="BT221" s="456">
        <f t="shared" si="703"/>
        <v>3.3564253268904818E-3</v>
      </c>
      <c r="BU221" s="456">
        <f t="shared" si="704"/>
        <v>0.23054672775438628</v>
      </c>
      <c r="BV221" s="456"/>
      <c r="BW221" s="538">
        <f t="shared" si="705"/>
        <v>6.1724036565197656E-3</v>
      </c>
      <c r="BX221" s="144">
        <f t="shared" si="706"/>
        <v>268.66940726172197</v>
      </c>
      <c r="BY221" s="150">
        <f t="shared" si="707"/>
        <v>0.6704569558419482</v>
      </c>
      <c r="BZ221" s="5">
        <f t="shared" si="708"/>
        <v>4.55</v>
      </c>
      <c r="CA221" s="150">
        <f t="shared" si="709"/>
        <v>0.87157121272848082</v>
      </c>
      <c r="CB221" s="5">
        <f t="shared" si="710"/>
        <v>87.157121272848087</v>
      </c>
      <c r="CC221">
        <f t="shared" si="711"/>
        <v>5</v>
      </c>
      <c r="CE221" s="59">
        <f t="shared" si="651"/>
        <v>-50</v>
      </c>
      <c r="CG221" s="150">
        <f t="shared" si="652"/>
        <v>7.8170445259770169E-2</v>
      </c>
      <c r="CH221" s="150">
        <f t="shared" si="653"/>
        <v>2.1832189566756061E-2</v>
      </c>
      <c r="CI221" s="147">
        <v>5</v>
      </c>
      <c r="CJ221" s="188">
        <f t="shared" si="712"/>
        <v>2.5000000000000001E-2</v>
      </c>
      <c r="CK221" s="188">
        <f t="shared" si="654"/>
        <v>2.5000000000000001E-2</v>
      </c>
      <c r="CL221" s="188">
        <f t="shared" si="655"/>
        <v>4.25</v>
      </c>
      <c r="CM221" s="188">
        <f t="shared" si="656"/>
        <v>0.30000000000000004</v>
      </c>
      <c r="CN221" s="465">
        <f t="shared" si="657"/>
        <v>16</v>
      </c>
      <c r="CO221" s="379">
        <f t="shared" si="658"/>
        <v>8.625</v>
      </c>
      <c r="CP221" s="379">
        <f t="shared" si="659"/>
        <v>24.625</v>
      </c>
      <c r="CQ221" s="379"/>
      <c r="CR221" s="188">
        <f t="shared" si="660"/>
        <v>0.34787038923986141</v>
      </c>
      <c r="CS221" s="149">
        <f t="shared" si="661"/>
        <v>173.29806936491266</v>
      </c>
      <c r="CT221" s="149">
        <f t="shared" si="662"/>
        <v>12.232804896346776</v>
      </c>
      <c r="CU221" s="188">
        <f t="shared" si="663"/>
        <v>1.0194004080288981</v>
      </c>
      <c r="CV221" s="188">
        <f t="shared" si="664"/>
        <v>14.441505780409388</v>
      </c>
      <c r="CW221" s="188">
        <f t="shared" si="665"/>
        <v>170</v>
      </c>
      <c r="CX221" s="188">
        <f t="shared" si="666"/>
        <v>1.6349480082015231</v>
      </c>
      <c r="CY221" s="188">
        <f t="shared" si="667"/>
        <v>0.1532763757688928</v>
      </c>
      <c r="CZ221" s="188">
        <f t="shared" si="668"/>
        <v>0.28433878403504753</v>
      </c>
      <c r="DA221" s="172">
        <f t="shared" si="669"/>
        <v>280.20304568527916</v>
      </c>
      <c r="DB221" s="379">
        <f t="shared" si="670"/>
        <v>350</v>
      </c>
      <c r="DD221" s="188">
        <f t="shared" si="671"/>
        <v>13.333333333333332</v>
      </c>
      <c r="DE221" s="150">
        <f t="shared" si="672"/>
        <v>2.318840579710145</v>
      </c>
      <c r="DF221" s="150">
        <f t="shared" si="673"/>
        <v>0.20230192819025303</v>
      </c>
      <c r="DG221" s="150"/>
      <c r="DH221" s="150">
        <f t="shared" si="674"/>
        <v>2.3188405797101455</v>
      </c>
      <c r="DI221" s="314">
        <f t="shared" si="675"/>
        <v>34.626838235294102</v>
      </c>
      <c r="DJ221" s="456">
        <f t="shared" si="676"/>
        <v>0.20230192819025311</v>
      </c>
      <c r="DL221" s="150">
        <f t="shared" si="677"/>
        <v>4.1633319989322652</v>
      </c>
      <c r="DM221" s="150">
        <f t="shared" si="678"/>
        <v>13.333333333333334</v>
      </c>
      <c r="DN221" s="150">
        <f t="shared" si="679"/>
        <v>1.0197867647058823</v>
      </c>
      <c r="DP221" s="314">
        <f t="shared" si="680"/>
        <v>25</v>
      </c>
      <c r="DQ221" s="144">
        <f t="shared" si="681"/>
        <v>34.626838235294102</v>
      </c>
      <c r="DS221">
        <f t="shared" si="682"/>
        <v>25</v>
      </c>
      <c r="DT221">
        <f t="shared" si="683"/>
        <v>34.626838235294102</v>
      </c>
      <c r="DV221" s="5">
        <f t="shared" si="684"/>
        <v>28.879333227159325</v>
      </c>
      <c r="DW221" s="5">
        <f t="shared" si="685"/>
        <v>1.25</v>
      </c>
      <c r="DX221" s="5">
        <f t="shared" si="686"/>
        <v>27.629333227159325</v>
      </c>
      <c r="DY221" s="150">
        <f t="shared" si="687"/>
        <v>4.3283547794117631E-2</v>
      </c>
      <c r="EA221" s="5">
        <f t="shared" si="713"/>
        <v>1.8382352941176468E-2</v>
      </c>
      <c r="EB221" s="5">
        <f t="shared" si="714"/>
        <v>0.26041666666666669</v>
      </c>
      <c r="EC221" s="5">
        <f t="shared" si="715"/>
        <v>12.231736064106991</v>
      </c>
      <c r="ED221" s="5"/>
      <c r="EE221" s="150">
        <f t="shared" si="716"/>
        <v>1.601546434041847</v>
      </c>
      <c r="EF221" s="150">
        <f t="shared" si="717"/>
        <v>0.35165538167544291</v>
      </c>
      <c r="EG221" s="150">
        <f t="shared" si="718"/>
        <v>0.3345251103254443</v>
      </c>
      <c r="EH221" s="150"/>
      <c r="EI221" s="456">
        <f t="shared" si="719"/>
        <v>8.7208333333333322E-3</v>
      </c>
      <c r="EJ221" s="456">
        <f t="shared" si="720"/>
        <v>0.34562201470588222</v>
      </c>
      <c r="EK221" s="456">
        <f t="shared" si="721"/>
        <v>7.9295459558823504E-3</v>
      </c>
      <c r="EL221" s="456">
        <f t="shared" si="722"/>
        <v>1.4383212204302612E-2</v>
      </c>
      <c r="EM221">
        <f t="shared" si="723"/>
        <v>7.1999999999999998E-3</v>
      </c>
      <c r="EN221" s="144">
        <f t="shared" si="724"/>
        <v>15.12954595588235</v>
      </c>
      <c r="EP221" s="144">
        <f t="shared" si="725"/>
        <v>383.85560619940054</v>
      </c>
      <c r="EQ221" s="150">
        <f t="shared" si="726"/>
        <v>6.25E-2</v>
      </c>
      <c r="ER221" s="150">
        <f t="shared" si="688"/>
        <v>1.7750000000000002E-2</v>
      </c>
      <c r="ES221" s="456"/>
      <c r="EU221" s="144">
        <f t="shared" si="727"/>
        <v>80.25</v>
      </c>
      <c r="EV221" s="456">
        <f t="shared" si="728"/>
        <v>3.8474264705882348E-3</v>
      </c>
      <c r="EW221" s="456">
        <f t="shared" si="729"/>
        <v>2.4732301492260286E-2</v>
      </c>
      <c r="EX221" s="456">
        <f t="shared" si="730"/>
        <v>3.3572114831475204E-3</v>
      </c>
      <c r="EY221" s="456">
        <f t="shared" si="731"/>
        <v>0.2290070967832982</v>
      </c>
      <c r="EZ221" s="456"/>
      <c r="FA221" s="538">
        <f t="shared" si="732"/>
        <v>6.1558823529411751E-3</v>
      </c>
      <c r="FB221" s="144">
        <f t="shared" si="733"/>
        <v>267.09991858223543</v>
      </c>
      <c r="FC221" s="150">
        <f t="shared" si="734"/>
        <v>0.73120552478163592</v>
      </c>
      <c r="FD221" s="5">
        <f t="shared" si="735"/>
        <v>4.55</v>
      </c>
      <c r="FE221" s="150">
        <f t="shared" si="736"/>
        <v>0.86154571691055903</v>
      </c>
      <c r="FF221" s="5">
        <f t="shared" si="737"/>
        <v>86.154571691055907</v>
      </c>
      <c r="FG221">
        <f t="shared" si="738"/>
        <v>5</v>
      </c>
      <c r="FI221" s="59">
        <f t="shared" si="689"/>
        <v>-50</v>
      </c>
    </row>
    <row r="222" spans="1:169">
      <c r="E222" s="147">
        <v>6</v>
      </c>
      <c r="F222" s="188">
        <f t="shared" si="690"/>
        <v>0.03</v>
      </c>
      <c r="G222" s="188">
        <f t="shared" si="617"/>
        <v>0.03</v>
      </c>
      <c r="H222" s="188">
        <f t="shared" si="618"/>
        <v>5.0999999999999996</v>
      </c>
      <c r="I222" s="188">
        <f t="shared" si="619"/>
        <v>0.36</v>
      </c>
      <c r="J222" s="465">
        <f t="shared" si="620"/>
        <v>15.960331210464938</v>
      </c>
      <c r="K222" s="379">
        <f t="shared" si="621"/>
        <v>8.648147980288682</v>
      </c>
      <c r="L222" s="149">
        <f t="shared" si="622"/>
        <v>24.60847919075362</v>
      </c>
      <c r="M222" s="379"/>
      <c r="N222" s="188">
        <f t="shared" si="623"/>
        <v>0.35142959925528977</v>
      </c>
      <c r="O222" s="149">
        <f t="shared" si="624"/>
        <v>174.63710187121168</v>
      </c>
      <c r="P222" s="149">
        <f t="shared" si="625"/>
        <v>12.327324837967884</v>
      </c>
      <c r="Q222" s="188">
        <f t="shared" si="626"/>
        <v>1.027277069830657</v>
      </c>
      <c r="R222" s="188">
        <f t="shared" si="627"/>
        <v>14.553091822600974</v>
      </c>
      <c r="S222" s="188">
        <f t="shared" si="628"/>
        <v>170</v>
      </c>
      <c r="T222" s="188">
        <f t="shared" si="629"/>
        <v>1.9468944248212345</v>
      </c>
      <c r="U222" s="188">
        <f t="shared" si="630"/>
        <v>0.18297500213009552</v>
      </c>
      <c r="V222" s="188">
        <f t="shared" si="631"/>
        <v>0.33768405026001513</v>
      </c>
      <c r="W222" s="172">
        <f t="shared" si="632"/>
        <v>280.44664006376934</v>
      </c>
      <c r="X222" s="379">
        <f t="shared" si="691"/>
        <v>350</v>
      </c>
      <c r="Z222" s="188">
        <f t="shared" si="633"/>
        <v>13.333333333333332</v>
      </c>
      <c r="AA222" s="150">
        <f t="shared" si="634"/>
        <v>2.3126338778643771</v>
      </c>
      <c r="AB222" s="150">
        <f t="shared" si="635"/>
        <v>0.20193583905970827</v>
      </c>
      <c r="AC222" s="150"/>
      <c r="AD222" s="150">
        <f t="shared" si="636"/>
        <v>2.3126338778643776</v>
      </c>
      <c r="AE222" s="314">
        <f t="shared" si="637"/>
        <v>41.663724681508405</v>
      </c>
      <c r="AF222" s="456">
        <f t="shared" si="638"/>
        <v>0.20193583905970836</v>
      </c>
      <c r="AH222" s="150">
        <f t="shared" si="639"/>
        <v>4.5607017003965522</v>
      </c>
      <c r="AI222" s="150">
        <f t="shared" si="640"/>
        <v>13.333333333333334</v>
      </c>
      <c r="AJ222" s="150">
        <f t="shared" si="641"/>
        <v>1.0238078426751476</v>
      </c>
      <c r="AL222" s="314">
        <f t="shared" si="642"/>
        <v>30</v>
      </c>
      <c r="AM222" s="144">
        <f t="shared" si="643"/>
        <v>41.663724681508405</v>
      </c>
      <c r="AO222">
        <f t="shared" si="644"/>
        <v>30</v>
      </c>
      <c r="AP222">
        <f t="shared" si="645"/>
        <v>41.663724681508405</v>
      </c>
      <c r="AR222" s="5">
        <f t="shared" si="616"/>
        <v>24.00169470311015</v>
      </c>
      <c r="AS222" s="5">
        <f t="shared" si="604"/>
        <v>1.2531068269364183</v>
      </c>
      <c r="AT222" s="5">
        <f t="shared" si="605"/>
        <v>22.748587876173733</v>
      </c>
      <c r="AU222" s="150">
        <f t="shared" si="606"/>
        <v>5.2209097833997534E-2</v>
      </c>
      <c r="BA222" s="150">
        <f t="shared" si="692"/>
        <v>1.7589407222066611</v>
      </c>
      <c r="BB222" s="150">
        <f t="shared" si="693"/>
        <v>0.3500111784205362</v>
      </c>
      <c r="BC222" s="150">
        <f t="shared" si="694"/>
        <v>0.33296100153056524</v>
      </c>
      <c r="BD222" s="150"/>
      <c r="BE222" s="456">
        <f t="shared" si="695"/>
        <v>1.0519166378405427E-2</v>
      </c>
      <c r="BF222" s="456">
        <f t="shared" si="646"/>
        <v>0.32740636798571726</v>
      </c>
      <c r="BG222" s="456">
        <f t="shared" si="647"/>
        <v>3.0455481518335163E-2</v>
      </c>
      <c r="BH222" s="456">
        <f t="shared" si="696"/>
        <v>1.728296356016264E-2</v>
      </c>
      <c r="BI222">
        <f t="shared" si="697"/>
        <v>7.1821490447092221E-3</v>
      </c>
      <c r="BJ222" s="144">
        <f t="shared" si="698"/>
        <v>37.637630563044389</v>
      </c>
      <c r="BK222">
        <f t="shared" si="648"/>
        <v>0.35894580545652122</v>
      </c>
      <c r="BL222" s="144">
        <f t="shared" si="699"/>
        <v>392.84612848732968</v>
      </c>
      <c r="BM222" s="150">
        <f t="shared" si="649"/>
        <v>6.6562499999999997E-2</v>
      </c>
      <c r="BN222" s="150">
        <f t="shared" si="650"/>
        <v>2.1299999999999999E-2</v>
      </c>
      <c r="BQ222" s="144">
        <f t="shared" si="700"/>
        <v>87.862499999999997</v>
      </c>
      <c r="BR222" s="456">
        <f t="shared" si="701"/>
        <v>4.640808696355336E-3</v>
      </c>
      <c r="BS222" s="456">
        <f t="shared" si="702"/>
        <v>2.4501565003866486E-2</v>
      </c>
      <c r="BT222" s="456">
        <f t="shared" si="703"/>
        <v>3.3258908562071119E-3</v>
      </c>
      <c r="BU222" s="456">
        <f t="shared" si="704"/>
        <v>0.36367385284822923</v>
      </c>
      <c r="BV222" s="456"/>
      <c r="BW222" s="538">
        <f t="shared" si="705"/>
        <v>7.4068843878237183E-3</v>
      </c>
      <c r="BX222" s="144">
        <f t="shared" si="706"/>
        <v>403.54900179248187</v>
      </c>
      <c r="BY222" s="150">
        <f t="shared" si="707"/>
        <v>0.88425763027981152</v>
      </c>
      <c r="BZ222" s="5">
        <f t="shared" si="708"/>
        <v>5.46</v>
      </c>
      <c r="CA222" s="150">
        <f t="shared" si="709"/>
        <v>0.86062078783505969</v>
      </c>
      <c r="CB222" s="5">
        <f t="shared" si="710"/>
        <v>86.062078783505967</v>
      </c>
      <c r="CC222">
        <f t="shared" si="711"/>
        <v>6</v>
      </c>
      <c r="CE222" s="59">
        <f t="shared" si="651"/>
        <v>-50</v>
      </c>
      <c r="CG222" s="150">
        <f t="shared" si="652"/>
        <v>9.3804534311724197E-2</v>
      </c>
      <c r="CH222" s="150">
        <f t="shared" si="653"/>
        <v>2.6198627480107272E-2</v>
      </c>
      <c r="CI222" s="147">
        <v>6</v>
      </c>
      <c r="CJ222" s="188">
        <f t="shared" si="712"/>
        <v>0.03</v>
      </c>
      <c r="CK222" s="188">
        <f t="shared" si="654"/>
        <v>0.03</v>
      </c>
      <c r="CL222" s="188">
        <f t="shared" si="655"/>
        <v>5.0999999999999996</v>
      </c>
      <c r="CM222" s="188">
        <f t="shared" si="656"/>
        <v>0.36</v>
      </c>
      <c r="CN222" s="465">
        <f t="shared" si="657"/>
        <v>16</v>
      </c>
      <c r="CO222" s="379">
        <f t="shared" si="658"/>
        <v>8.625</v>
      </c>
      <c r="CP222" s="379">
        <f t="shared" si="659"/>
        <v>24.625</v>
      </c>
      <c r="CQ222" s="379"/>
      <c r="CR222" s="188">
        <f t="shared" si="660"/>
        <v>0.34787038923986141</v>
      </c>
      <c r="CS222" s="149">
        <f t="shared" si="661"/>
        <v>173.29806936491266</v>
      </c>
      <c r="CT222" s="149">
        <f t="shared" si="662"/>
        <v>12.232804896346776</v>
      </c>
      <c r="CU222" s="188">
        <f t="shared" si="663"/>
        <v>1.0194004080288981</v>
      </c>
      <c r="CV222" s="188">
        <f t="shared" si="664"/>
        <v>14.441505780409388</v>
      </c>
      <c r="CW222" s="188">
        <f t="shared" si="665"/>
        <v>170</v>
      </c>
      <c r="CX222" s="188">
        <f t="shared" si="666"/>
        <v>1.9619376098418277</v>
      </c>
      <c r="CY222" s="188">
        <f t="shared" si="667"/>
        <v>0.18393165092267136</v>
      </c>
      <c r="CZ222" s="188">
        <f t="shared" si="668"/>
        <v>0.34120654084205704</v>
      </c>
      <c r="DA222" s="172">
        <f t="shared" si="669"/>
        <v>280.20304568527916</v>
      </c>
      <c r="DB222" s="379">
        <f t="shared" si="670"/>
        <v>350</v>
      </c>
      <c r="DD222" s="188">
        <f t="shared" si="671"/>
        <v>13.333333333333332</v>
      </c>
      <c r="DE222" s="150">
        <f t="shared" si="672"/>
        <v>2.318840579710145</v>
      </c>
      <c r="DF222" s="150">
        <f t="shared" si="673"/>
        <v>0.20230192819025303</v>
      </c>
      <c r="DG222" s="150"/>
      <c r="DH222" s="150">
        <f t="shared" si="674"/>
        <v>2.3188405797101455</v>
      </c>
      <c r="DI222" s="314">
        <f t="shared" si="675"/>
        <v>41.552205882352922</v>
      </c>
      <c r="DJ222" s="456">
        <f t="shared" si="676"/>
        <v>0.20230192819025311</v>
      </c>
      <c r="DL222" s="150">
        <f t="shared" si="677"/>
        <v>4.5607017003965522</v>
      </c>
      <c r="DM222" s="150">
        <f t="shared" si="678"/>
        <v>13.333333333333334</v>
      </c>
      <c r="DN222" s="150">
        <f t="shared" si="679"/>
        <v>1.0237441176470587</v>
      </c>
      <c r="DP222" s="314">
        <f t="shared" si="680"/>
        <v>30</v>
      </c>
      <c r="DQ222" s="144">
        <f t="shared" si="681"/>
        <v>41.552205882352922</v>
      </c>
      <c r="DS222">
        <f t="shared" si="682"/>
        <v>30</v>
      </c>
      <c r="DT222">
        <f t="shared" si="683"/>
        <v>41.552205882352922</v>
      </c>
      <c r="DV222" s="5">
        <f t="shared" si="684"/>
        <v>24.066111022632771</v>
      </c>
      <c r="DW222" s="5">
        <f t="shared" si="685"/>
        <v>1.25</v>
      </c>
      <c r="DX222" s="5">
        <f t="shared" si="686"/>
        <v>22.816111022632771</v>
      </c>
      <c r="DY222" s="150">
        <f t="shared" si="687"/>
        <v>5.1940257352941152E-2</v>
      </c>
      <c r="EA222" s="5">
        <f t="shared" si="713"/>
        <v>2.2058823529411763E-2</v>
      </c>
      <c r="EB222" s="5">
        <f t="shared" si="714"/>
        <v>0.3125</v>
      </c>
      <c r="EC222" s="5">
        <f t="shared" si="715"/>
        <v>12.121058980773658</v>
      </c>
      <c r="ED222" s="5"/>
      <c r="EE222" s="150">
        <f t="shared" si="716"/>
        <v>1.7544062176333586</v>
      </c>
      <c r="EF222" s="150">
        <f t="shared" si="717"/>
        <v>0.35006081516090642</v>
      </c>
      <c r="EG222" s="150">
        <f t="shared" si="718"/>
        <v>0.33300822030472255</v>
      </c>
      <c r="EH222" s="150"/>
      <c r="EI222" s="456">
        <f t="shared" si="719"/>
        <v>1.0464999999999997E-2</v>
      </c>
      <c r="EJ222" s="456">
        <f t="shared" si="720"/>
        <v>0.41474641764705872</v>
      </c>
      <c r="EK222" s="456">
        <f t="shared" si="721"/>
        <v>9.515455147058819E-3</v>
      </c>
      <c r="EL222" s="456">
        <f t="shared" si="722"/>
        <v>1.7259854645163133E-2</v>
      </c>
      <c r="EM222">
        <f t="shared" si="723"/>
        <v>7.1999999999999998E-3</v>
      </c>
      <c r="EN222" s="144">
        <f t="shared" si="724"/>
        <v>16.715455147058819</v>
      </c>
      <c r="EP222" s="144">
        <f t="shared" si="725"/>
        <v>459.18672743928062</v>
      </c>
      <c r="EQ222" s="150">
        <f t="shared" si="726"/>
        <v>7.4999999999999997E-2</v>
      </c>
      <c r="ER222" s="150">
        <f t="shared" si="688"/>
        <v>2.1299999999999999E-2</v>
      </c>
      <c r="ES222" s="456"/>
      <c r="EU222" s="144">
        <f t="shared" si="727"/>
        <v>96.3</v>
      </c>
      <c r="EV222" s="456">
        <f t="shared" si="728"/>
        <v>4.6169117647058815E-3</v>
      </c>
      <c r="EW222" s="456">
        <f t="shared" si="729"/>
        <v>2.4508514862223663E-2</v>
      </c>
      <c r="EX222" s="456">
        <f t="shared" si="730"/>
        <v>3.3268342437155589E-3</v>
      </c>
      <c r="EY222" s="456">
        <f t="shared" si="731"/>
        <v>0.36124517588250604</v>
      </c>
      <c r="EZ222" s="456"/>
      <c r="FA222" s="538">
        <f t="shared" si="732"/>
        <v>7.3870588235294098E-3</v>
      </c>
      <c r="FB222" s="144">
        <f t="shared" si="733"/>
        <v>401.08449557668058</v>
      </c>
      <c r="FC222" s="150">
        <f t="shared" si="734"/>
        <v>0.9565712230159612</v>
      </c>
      <c r="FD222" s="5">
        <f t="shared" si="735"/>
        <v>5.46</v>
      </c>
      <c r="FE222" s="150">
        <f t="shared" si="736"/>
        <v>0.85092174780437535</v>
      </c>
      <c r="FF222" s="5">
        <f t="shared" si="737"/>
        <v>85.092174780437531</v>
      </c>
      <c r="FG222">
        <f t="shared" si="738"/>
        <v>6</v>
      </c>
      <c r="FI222" s="59">
        <f t="shared" si="689"/>
        <v>-50</v>
      </c>
    </row>
    <row r="223" spans="1:169">
      <c r="E223" s="147">
        <v>7</v>
      </c>
      <c r="F223" s="188">
        <f t="shared" si="690"/>
        <v>3.5000000000000003E-2</v>
      </c>
      <c r="G223" s="188">
        <f t="shared" si="617"/>
        <v>3.5000000000000003E-2</v>
      </c>
      <c r="H223" s="188">
        <f t="shared" si="618"/>
        <v>5.95</v>
      </c>
      <c r="I223" s="188">
        <f t="shared" si="619"/>
        <v>0.42000000000000004</v>
      </c>
      <c r="J223" s="465">
        <f t="shared" si="620"/>
        <v>15.960331210464938</v>
      </c>
      <c r="K223" s="379">
        <f t="shared" si="621"/>
        <v>8.648147980288682</v>
      </c>
      <c r="L223" s="149">
        <f t="shared" si="622"/>
        <v>24.60847919075362</v>
      </c>
      <c r="M223" s="379"/>
      <c r="N223" s="188">
        <f t="shared" si="623"/>
        <v>0.35142959925528977</v>
      </c>
      <c r="O223" s="149">
        <f t="shared" si="624"/>
        <v>174.63710187121168</v>
      </c>
      <c r="P223" s="149">
        <f t="shared" si="625"/>
        <v>12.327324837967884</v>
      </c>
      <c r="Q223" s="188">
        <f t="shared" si="626"/>
        <v>1.027277069830657</v>
      </c>
      <c r="R223" s="188">
        <f t="shared" si="627"/>
        <v>14.553091822600974</v>
      </c>
      <c r="S223" s="188">
        <f t="shared" si="628"/>
        <v>170</v>
      </c>
      <c r="T223" s="188">
        <f t="shared" si="629"/>
        <v>2.2713768289581071</v>
      </c>
      <c r="U223" s="188">
        <f t="shared" si="630"/>
        <v>0.21347083581844475</v>
      </c>
      <c r="V223" s="188">
        <f t="shared" si="631"/>
        <v>0.39396472530335103</v>
      </c>
      <c r="W223" s="172">
        <f t="shared" si="632"/>
        <v>280.44664006376934</v>
      </c>
      <c r="X223" s="379">
        <f t="shared" si="691"/>
        <v>350</v>
      </c>
      <c r="Z223" s="188">
        <f t="shared" si="633"/>
        <v>13.333333333333332</v>
      </c>
      <c r="AA223" s="150">
        <f t="shared" si="634"/>
        <v>2.3126338778643771</v>
      </c>
      <c r="AB223" s="150">
        <f t="shared" si="635"/>
        <v>0.20193583905970827</v>
      </c>
      <c r="AC223" s="150"/>
      <c r="AD223" s="150">
        <f t="shared" si="636"/>
        <v>2.3126338778643776</v>
      </c>
      <c r="AE223" s="314">
        <f t="shared" si="637"/>
        <v>48.607678795093143</v>
      </c>
      <c r="AF223" s="456">
        <f t="shared" si="638"/>
        <v>0.20193583905970836</v>
      </c>
      <c r="AH223" s="150">
        <f t="shared" si="639"/>
        <v>4.9261208538429777</v>
      </c>
      <c r="AI223" s="150">
        <f t="shared" si="640"/>
        <v>13.333333333333334</v>
      </c>
      <c r="AJ223" s="150">
        <f t="shared" si="641"/>
        <v>1.0277758164543389</v>
      </c>
      <c r="AL223" s="314">
        <f t="shared" si="642"/>
        <v>35</v>
      </c>
      <c r="AM223" s="144">
        <f t="shared" si="643"/>
        <v>48.607678795093143</v>
      </c>
      <c r="AO223">
        <f t="shared" si="644"/>
        <v>35</v>
      </c>
      <c r="AP223">
        <f t="shared" si="645"/>
        <v>48.607678795093143</v>
      </c>
      <c r="AR223" s="5">
        <f t="shared" si="616"/>
        <v>20.572881174094412</v>
      </c>
      <c r="AS223" s="5">
        <f t="shared" si="604"/>
        <v>1.2531068269364183</v>
      </c>
      <c r="AT223" s="5">
        <f t="shared" si="605"/>
        <v>19.319774347157995</v>
      </c>
      <c r="AU223" s="150">
        <f t="shared" si="606"/>
        <v>6.0910614139663796E-2</v>
      </c>
      <c r="BA223" s="150">
        <f t="shared" si="692"/>
        <v>1.8998731207486041</v>
      </c>
      <c r="BB223" s="150">
        <f t="shared" si="693"/>
        <v>0.34840077543042047</v>
      </c>
      <c r="BC223" s="150">
        <f t="shared" si="694"/>
        <v>0.33142904648022536</v>
      </c>
      <c r="BD223" s="150"/>
      <c r="BE223" s="456">
        <f t="shared" si="695"/>
        <v>1.2272360774806335E-2</v>
      </c>
      <c r="BF223" s="456">
        <f t="shared" si="646"/>
        <v>0.38197409598333687</v>
      </c>
      <c r="BG223" s="456">
        <f t="shared" si="647"/>
        <v>3.5531395104724361E-2</v>
      </c>
      <c r="BH223" s="456">
        <f t="shared" si="696"/>
        <v>2.0163457486856416E-2</v>
      </c>
      <c r="BI223">
        <f t="shared" si="697"/>
        <v>7.1821490447092221E-3</v>
      </c>
      <c r="BJ223" s="144">
        <f t="shared" si="698"/>
        <v>42.713544149433581</v>
      </c>
      <c r="BK223">
        <f t="shared" si="648"/>
        <v>0.41894505896444129</v>
      </c>
      <c r="BL223" s="144">
        <f t="shared" si="699"/>
        <v>457.12345839443321</v>
      </c>
      <c r="BM223" s="150">
        <f t="shared" si="649"/>
        <v>7.765625000000001E-2</v>
      </c>
      <c r="BN223" s="150">
        <f t="shared" si="650"/>
        <v>2.4850000000000004E-2</v>
      </c>
      <c r="BQ223" s="144">
        <f t="shared" si="700"/>
        <v>102.50625000000002</v>
      </c>
      <c r="BR223" s="456">
        <f t="shared" si="701"/>
        <v>5.4142768124145601E-3</v>
      </c>
      <c r="BS223" s="456">
        <f t="shared" si="702"/>
        <v>2.4276620064103655E-2</v>
      </c>
      <c r="BT223" s="456">
        <f t="shared" si="703"/>
        <v>3.2953563855237411E-3</v>
      </c>
      <c r="BU223" s="456">
        <f t="shared" si="704"/>
        <v>0.53466167136997822</v>
      </c>
      <c r="BV223" s="456"/>
      <c r="BW223" s="538">
        <f t="shared" si="705"/>
        <v>8.6413651191276711E-3</v>
      </c>
      <c r="BX223" s="144">
        <f t="shared" si="706"/>
        <v>576.28928975114786</v>
      </c>
      <c r="BY223" s="150">
        <f t="shared" si="707"/>
        <v>1.1359189981455811</v>
      </c>
      <c r="BZ223" s="5">
        <f t="shared" si="708"/>
        <v>6.37</v>
      </c>
      <c r="CA223" s="150">
        <f t="shared" si="709"/>
        <v>0.84866356825510336</v>
      </c>
      <c r="CB223" s="5">
        <f t="shared" si="710"/>
        <v>84.866356825510337</v>
      </c>
      <c r="CC223">
        <f t="shared" si="711"/>
        <v>7.0000000000000009</v>
      </c>
      <c r="CE223" s="59">
        <f t="shared" si="651"/>
        <v>-50</v>
      </c>
      <c r="CG223" s="150">
        <f t="shared" si="652"/>
        <v>0.10943862336367825</v>
      </c>
      <c r="CH223" s="150">
        <f t="shared" si="653"/>
        <v>3.056506539345849E-2</v>
      </c>
      <c r="CI223" s="147">
        <v>7</v>
      </c>
      <c r="CJ223" s="188">
        <f t="shared" si="712"/>
        <v>3.5000000000000003E-2</v>
      </c>
      <c r="CK223" s="188">
        <f t="shared" si="654"/>
        <v>3.5000000000000003E-2</v>
      </c>
      <c r="CL223" s="188">
        <f t="shared" si="655"/>
        <v>5.95</v>
      </c>
      <c r="CM223" s="188">
        <f t="shared" si="656"/>
        <v>0.42000000000000004</v>
      </c>
      <c r="CN223" s="465">
        <f t="shared" si="657"/>
        <v>16</v>
      </c>
      <c r="CO223" s="379">
        <f t="shared" si="658"/>
        <v>8.625</v>
      </c>
      <c r="CP223" s="379">
        <f t="shared" si="659"/>
        <v>24.625</v>
      </c>
      <c r="CQ223" s="379"/>
      <c r="CR223" s="188">
        <f t="shared" si="660"/>
        <v>0.34787038923986141</v>
      </c>
      <c r="CS223" s="149">
        <f t="shared" si="661"/>
        <v>173.29806936491266</v>
      </c>
      <c r="CT223" s="149">
        <f t="shared" si="662"/>
        <v>12.232804896346776</v>
      </c>
      <c r="CU223" s="188">
        <f t="shared" si="663"/>
        <v>1.0194004080288981</v>
      </c>
      <c r="CV223" s="188">
        <f t="shared" si="664"/>
        <v>14.441505780409388</v>
      </c>
      <c r="CW223" s="188">
        <f t="shared" si="665"/>
        <v>170</v>
      </c>
      <c r="CX223" s="188">
        <f t="shared" si="666"/>
        <v>2.2889272114821324</v>
      </c>
      <c r="CY223" s="188">
        <f t="shared" si="667"/>
        <v>0.21458692607644991</v>
      </c>
      <c r="CZ223" s="188">
        <f t="shared" si="668"/>
        <v>0.39807429764906649</v>
      </c>
      <c r="DA223" s="172">
        <f t="shared" si="669"/>
        <v>280.20304568527916</v>
      </c>
      <c r="DB223" s="379">
        <f t="shared" si="670"/>
        <v>350</v>
      </c>
      <c r="DD223" s="188">
        <f t="shared" si="671"/>
        <v>13.333333333333332</v>
      </c>
      <c r="DE223" s="150">
        <f t="shared" si="672"/>
        <v>2.318840579710145</v>
      </c>
      <c r="DF223" s="150">
        <f t="shared" si="673"/>
        <v>0.20230192819025303</v>
      </c>
      <c r="DG223" s="150"/>
      <c r="DH223" s="150">
        <f t="shared" si="674"/>
        <v>2.3188405797101455</v>
      </c>
      <c r="DI223" s="314">
        <f t="shared" si="675"/>
        <v>48.477573529411757</v>
      </c>
      <c r="DJ223" s="456">
        <f t="shared" si="676"/>
        <v>0.20230192819025311</v>
      </c>
      <c r="DL223" s="150">
        <f t="shared" si="677"/>
        <v>4.9261208538429777</v>
      </c>
      <c r="DM223" s="150">
        <f t="shared" si="678"/>
        <v>13.333333333333334</v>
      </c>
      <c r="DN223" s="150">
        <f t="shared" si="679"/>
        <v>1.0277014705882352</v>
      </c>
      <c r="DP223" s="314">
        <f t="shared" si="680"/>
        <v>35</v>
      </c>
      <c r="DQ223" s="144">
        <f t="shared" si="681"/>
        <v>48.477573529411757</v>
      </c>
      <c r="DS223">
        <f t="shared" si="682"/>
        <v>35</v>
      </c>
      <c r="DT223">
        <f t="shared" si="683"/>
        <v>48.477573529411757</v>
      </c>
      <c r="DV223" s="5">
        <f t="shared" si="684"/>
        <v>20.628095162256656</v>
      </c>
      <c r="DW223" s="5">
        <f t="shared" si="685"/>
        <v>1.25</v>
      </c>
      <c r="DX223" s="5">
        <f t="shared" si="686"/>
        <v>19.378095162256656</v>
      </c>
      <c r="DY223" s="150">
        <f t="shared" si="687"/>
        <v>6.0596966911764694E-2</v>
      </c>
      <c r="EA223" s="5">
        <f t="shared" si="713"/>
        <v>2.5735294117647061E-2</v>
      </c>
      <c r="EB223" s="5">
        <f t="shared" si="714"/>
        <v>0.36458333333333337</v>
      </c>
      <c r="EC223" s="5">
        <f t="shared" si="715"/>
        <v>12.010381897440322</v>
      </c>
      <c r="ED223" s="5"/>
      <c r="EE223" s="150">
        <f t="shared" si="716"/>
        <v>1.8949752960260511</v>
      </c>
      <c r="EF223" s="150">
        <f t="shared" si="717"/>
        <v>0.34845895190242293</v>
      </c>
      <c r="EG223" s="150">
        <f t="shared" si="718"/>
        <v>0.3314843889880586</v>
      </c>
      <c r="EH223" s="150"/>
      <c r="EI223" s="456">
        <f t="shared" si="719"/>
        <v>1.2209166666666667E-2</v>
      </c>
      <c r="EJ223" s="456">
        <f t="shared" si="720"/>
        <v>0.48387082058823527</v>
      </c>
      <c r="EK223" s="456">
        <f t="shared" si="721"/>
        <v>1.1101364338235293E-2</v>
      </c>
      <c r="EL223" s="456">
        <f t="shared" si="722"/>
        <v>2.0136497086023664E-2</v>
      </c>
      <c r="EM223">
        <f t="shared" si="723"/>
        <v>7.1999999999999998E-3</v>
      </c>
      <c r="EN223" s="144">
        <f t="shared" si="724"/>
        <v>18.301364338235295</v>
      </c>
      <c r="EP223" s="144">
        <f t="shared" si="725"/>
        <v>534.51784867916092</v>
      </c>
      <c r="EQ223" s="150">
        <f t="shared" si="726"/>
        <v>8.7500000000000008E-2</v>
      </c>
      <c r="ER223" s="150">
        <f t="shared" si="688"/>
        <v>2.4850000000000004E-2</v>
      </c>
      <c r="ES223" s="456"/>
      <c r="EU223" s="144">
        <f t="shared" si="727"/>
        <v>112.35000000000001</v>
      </c>
      <c r="EV223" s="456">
        <f t="shared" si="728"/>
        <v>5.3863970588235296E-3</v>
      </c>
      <c r="EW223" s="456">
        <f t="shared" si="729"/>
        <v>2.4284728232187022E-2</v>
      </c>
      <c r="EX223" s="456">
        <f t="shared" si="730"/>
        <v>3.2964570042835965E-3</v>
      </c>
      <c r="EY223" s="456">
        <f t="shared" si="731"/>
        <v>0.53109110814267468</v>
      </c>
      <c r="EZ223" s="456"/>
      <c r="FA223" s="538">
        <f t="shared" si="732"/>
        <v>8.6182352941176488E-3</v>
      </c>
      <c r="FB223" s="144">
        <f t="shared" si="733"/>
        <v>572.67692573208649</v>
      </c>
      <c r="FC223" s="150">
        <f t="shared" si="734"/>
        <v>1.2195447744112475</v>
      </c>
      <c r="FD223" s="5">
        <f t="shared" si="735"/>
        <v>6.37</v>
      </c>
      <c r="FE223" s="150">
        <f t="shared" si="736"/>
        <v>0.83931252655323418</v>
      </c>
      <c r="FF223" s="5">
        <f t="shared" si="737"/>
        <v>83.931252655323419</v>
      </c>
      <c r="FG223">
        <f t="shared" si="738"/>
        <v>7.0000000000000009</v>
      </c>
      <c r="FI223" s="59">
        <f t="shared" si="689"/>
        <v>-50</v>
      </c>
    </row>
    <row r="224" spans="1:169">
      <c r="E224" s="147">
        <v>8</v>
      </c>
      <c r="F224" s="188">
        <f t="shared" si="690"/>
        <v>0.04</v>
      </c>
      <c r="G224" s="188">
        <f t="shared" si="617"/>
        <v>0.04</v>
      </c>
      <c r="H224" s="188">
        <f t="shared" si="618"/>
        <v>6.8</v>
      </c>
      <c r="I224" s="188">
        <f t="shared" si="619"/>
        <v>0.48</v>
      </c>
      <c r="J224" s="465">
        <f t="shared" si="620"/>
        <v>15.960331210464938</v>
      </c>
      <c r="K224" s="379">
        <f t="shared" si="621"/>
        <v>8.648147980288682</v>
      </c>
      <c r="L224" s="149">
        <f t="shared" si="622"/>
        <v>24.60847919075362</v>
      </c>
      <c r="M224" s="379"/>
      <c r="N224" s="188">
        <f t="shared" si="623"/>
        <v>0.35142959925528977</v>
      </c>
      <c r="O224" s="149">
        <f t="shared" si="624"/>
        <v>174.63710187121168</v>
      </c>
      <c r="P224" s="149">
        <f t="shared" si="625"/>
        <v>12.327324837967884</v>
      </c>
      <c r="Q224" s="188">
        <f t="shared" si="626"/>
        <v>1.027277069830657</v>
      </c>
      <c r="R224" s="188">
        <f t="shared" si="627"/>
        <v>14.553091822600974</v>
      </c>
      <c r="S224" s="188">
        <f t="shared" si="628"/>
        <v>170</v>
      </c>
      <c r="T224" s="188">
        <f t="shared" si="629"/>
        <v>2.5958592330949792</v>
      </c>
      <c r="U224" s="188">
        <f t="shared" si="630"/>
        <v>0.24396666950679402</v>
      </c>
      <c r="V224" s="188">
        <f t="shared" si="631"/>
        <v>0.45024540034668686</v>
      </c>
      <c r="W224" s="172">
        <f t="shared" si="632"/>
        <v>280.44664006376934</v>
      </c>
      <c r="X224" s="379">
        <f t="shared" si="691"/>
        <v>350</v>
      </c>
      <c r="Z224" s="188">
        <f t="shared" si="633"/>
        <v>13.333333333333332</v>
      </c>
      <c r="AA224" s="150">
        <f t="shared" si="634"/>
        <v>2.3126338778643771</v>
      </c>
      <c r="AB224" s="150">
        <f t="shared" si="635"/>
        <v>0.20193583905970827</v>
      </c>
      <c r="AC224" s="150"/>
      <c r="AD224" s="150">
        <f t="shared" si="636"/>
        <v>2.3126338778643776</v>
      </c>
      <c r="AE224" s="314">
        <f t="shared" si="637"/>
        <v>55.551632908677881</v>
      </c>
      <c r="AF224" s="456">
        <f t="shared" si="638"/>
        <v>0.20193583905970836</v>
      </c>
      <c r="AH224" s="150">
        <f t="shared" si="639"/>
        <v>5.2662447088350666</v>
      </c>
      <c r="AI224" s="150">
        <f t="shared" si="640"/>
        <v>13.333333333333334</v>
      </c>
      <c r="AJ224" s="150">
        <f t="shared" si="641"/>
        <v>1.0317437902335302</v>
      </c>
      <c r="AL224" s="314">
        <f t="shared" si="642"/>
        <v>40</v>
      </c>
      <c r="AM224" s="144">
        <f t="shared" si="643"/>
        <v>55.551632908677881</v>
      </c>
      <c r="AO224">
        <f t="shared" si="644"/>
        <v>40</v>
      </c>
      <c r="AP224">
        <f t="shared" si="645"/>
        <v>55.551632908677881</v>
      </c>
      <c r="AR224" s="5">
        <f t="shared" si="616"/>
        <v>18.00127102733261</v>
      </c>
      <c r="AS224" s="5">
        <f t="shared" si="604"/>
        <v>1.2531068269364183</v>
      </c>
      <c r="AT224" s="5">
        <f t="shared" si="605"/>
        <v>16.748164200396193</v>
      </c>
      <c r="AU224" s="150">
        <f t="shared" si="606"/>
        <v>6.9612130445330059E-2</v>
      </c>
      <c r="BA224" s="150">
        <f t="shared" si="692"/>
        <v>2.0310497989092213</v>
      </c>
      <c r="BB224" s="150">
        <f t="shared" si="693"/>
        <v>0.34678289407308455</v>
      </c>
      <c r="BC224" s="150">
        <f t="shared" si="694"/>
        <v>0.32988997735812725</v>
      </c>
      <c r="BD224" s="150"/>
      <c r="BE224" s="456">
        <f t="shared" si="695"/>
        <v>1.402555517120724E-2</v>
      </c>
      <c r="BF224" s="456">
        <f t="shared" si="646"/>
        <v>0.43654182398095637</v>
      </c>
      <c r="BG224" s="456">
        <f t="shared" si="647"/>
        <v>4.060730869111355E-2</v>
      </c>
      <c r="BH224" s="456">
        <f t="shared" si="696"/>
        <v>2.3043951413550191E-2</v>
      </c>
      <c r="BI224">
        <f t="shared" si="697"/>
        <v>7.1821490447092221E-3</v>
      </c>
      <c r="BJ224" s="144">
        <f t="shared" si="698"/>
        <v>47.789457735822772</v>
      </c>
      <c r="BK224">
        <f t="shared" si="648"/>
        <v>0.47899446606451235</v>
      </c>
      <c r="BL224" s="144">
        <f t="shared" si="699"/>
        <v>521.40078830153652</v>
      </c>
      <c r="BM224" s="150">
        <f t="shared" si="649"/>
        <v>8.8749999999999996E-2</v>
      </c>
      <c r="BN224" s="150">
        <f t="shared" si="650"/>
        <v>2.8399999999999998E-2</v>
      </c>
      <c r="BQ224" s="144">
        <f t="shared" si="700"/>
        <v>117.14999999999999</v>
      </c>
      <c r="BR224" s="456">
        <f t="shared" si="701"/>
        <v>6.1877449284737825E-3</v>
      </c>
      <c r="BS224" s="456">
        <f t="shared" si="702"/>
        <v>2.4051675124340838E-2</v>
      </c>
      <c r="BT224" s="456">
        <f t="shared" si="703"/>
        <v>3.2648219148403712E-3</v>
      </c>
      <c r="BU224" s="456">
        <f t="shared" si="704"/>
        <v>0.74655003320587854</v>
      </c>
      <c r="BV224" s="456"/>
      <c r="BW224" s="538">
        <f t="shared" si="705"/>
        <v>9.8758458504316256E-3</v>
      </c>
      <c r="BX224" s="144">
        <f t="shared" si="706"/>
        <v>789.93012102396517</v>
      </c>
      <c r="BY224" s="150">
        <f t="shared" si="707"/>
        <v>1.4284809093255015</v>
      </c>
      <c r="BZ224" s="5">
        <f t="shared" si="708"/>
        <v>7.2799999999999994</v>
      </c>
      <c r="CA224" s="150">
        <f t="shared" si="709"/>
        <v>0.83596669451318317</v>
      </c>
      <c r="CB224" s="5">
        <f t="shared" si="710"/>
        <v>83.59666945131832</v>
      </c>
      <c r="CC224">
        <f t="shared" si="711"/>
        <v>8</v>
      </c>
      <c r="CE224" s="59">
        <f t="shared" si="651"/>
        <v>-50</v>
      </c>
      <c r="CG224" s="150">
        <f t="shared" si="652"/>
        <v>0.12507271241563228</v>
      </c>
      <c r="CH224" s="150">
        <f t="shared" si="653"/>
        <v>3.4931503306809698E-2</v>
      </c>
      <c r="CI224" s="147">
        <v>8</v>
      </c>
      <c r="CJ224" s="188">
        <f t="shared" si="712"/>
        <v>0.04</v>
      </c>
      <c r="CK224" s="188">
        <f t="shared" si="654"/>
        <v>0.04</v>
      </c>
      <c r="CL224" s="188">
        <f t="shared" si="655"/>
        <v>6.8</v>
      </c>
      <c r="CM224" s="188">
        <f t="shared" si="656"/>
        <v>0.48</v>
      </c>
      <c r="CN224" s="465">
        <f t="shared" si="657"/>
        <v>16</v>
      </c>
      <c r="CO224" s="379">
        <f t="shared" si="658"/>
        <v>8.625</v>
      </c>
      <c r="CP224" s="379">
        <f t="shared" si="659"/>
        <v>24.625</v>
      </c>
      <c r="CQ224" s="379"/>
      <c r="CR224" s="188">
        <f t="shared" si="660"/>
        <v>0.34787038923986141</v>
      </c>
      <c r="CS224" s="149">
        <f t="shared" si="661"/>
        <v>173.29806936491266</v>
      </c>
      <c r="CT224" s="149">
        <f t="shared" si="662"/>
        <v>12.232804896346776</v>
      </c>
      <c r="CU224" s="188">
        <f t="shared" si="663"/>
        <v>1.0194004080288981</v>
      </c>
      <c r="CV224" s="188">
        <f t="shared" si="664"/>
        <v>14.441505780409388</v>
      </c>
      <c r="CW224" s="188">
        <f t="shared" si="665"/>
        <v>170</v>
      </c>
      <c r="CX224" s="188">
        <f t="shared" si="666"/>
        <v>2.6159168131224368</v>
      </c>
      <c r="CY224" s="188">
        <f t="shared" si="667"/>
        <v>0.24524220123022847</v>
      </c>
      <c r="CZ224" s="188">
        <f t="shared" si="668"/>
        <v>0.45494205445607599</v>
      </c>
      <c r="DA224" s="172">
        <f t="shared" si="669"/>
        <v>280.20304568527916</v>
      </c>
      <c r="DB224" s="379">
        <f t="shared" si="670"/>
        <v>350</v>
      </c>
      <c r="DD224" s="188">
        <f t="shared" si="671"/>
        <v>13.333333333333332</v>
      </c>
      <c r="DE224" s="150">
        <f t="shared" si="672"/>
        <v>2.318840579710145</v>
      </c>
      <c r="DF224" s="150">
        <f t="shared" si="673"/>
        <v>0.20230192819025303</v>
      </c>
      <c r="DG224" s="150"/>
      <c r="DH224" s="150">
        <f t="shared" si="674"/>
        <v>2.3188405797101455</v>
      </c>
      <c r="DI224" s="314">
        <f t="shared" si="675"/>
        <v>55.402941176470577</v>
      </c>
      <c r="DJ224" s="456">
        <f t="shared" si="676"/>
        <v>0.20230192819025311</v>
      </c>
      <c r="DL224" s="150">
        <f t="shared" si="677"/>
        <v>5.2662447088350666</v>
      </c>
      <c r="DM224" s="150">
        <f t="shared" si="678"/>
        <v>13.333333333333334</v>
      </c>
      <c r="DN224" s="150">
        <f t="shared" si="679"/>
        <v>1.0316588235294117</v>
      </c>
      <c r="DP224" s="314">
        <f t="shared" si="680"/>
        <v>40</v>
      </c>
      <c r="DQ224" s="144">
        <f t="shared" si="681"/>
        <v>55.402941176470577</v>
      </c>
      <c r="DS224">
        <f t="shared" si="682"/>
        <v>40</v>
      </c>
      <c r="DT224">
        <f t="shared" si="683"/>
        <v>55.402941176470577</v>
      </c>
      <c r="DV224" s="5">
        <f t="shared" si="684"/>
        <v>18.049583266974576</v>
      </c>
      <c r="DW224" s="5">
        <f t="shared" si="685"/>
        <v>1.25</v>
      </c>
      <c r="DX224" s="5">
        <f t="shared" si="686"/>
        <v>16.799583266974576</v>
      </c>
      <c r="DY224" s="150">
        <f t="shared" si="687"/>
        <v>6.9253676470588221E-2</v>
      </c>
      <c r="EA224" s="5">
        <f t="shared" si="713"/>
        <v>2.9411764705882353E-2</v>
      </c>
      <c r="EB224" s="5">
        <f t="shared" si="714"/>
        <v>0.41666666666666669</v>
      </c>
      <c r="EC224" s="5">
        <f t="shared" si="715"/>
        <v>11.89970481410699</v>
      </c>
      <c r="ED224" s="5"/>
      <c r="EE224" s="150">
        <f t="shared" si="716"/>
        <v>2.0258138040371456</v>
      </c>
      <c r="EF224" s="150">
        <f t="shared" si="717"/>
        <v>0.34684969080388695</v>
      </c>
      <c r="EG224" s="150">
        <f t="shared" si="718"/>
        <v>0.32995352020406521</v>
      </c>
      <c r="EH224" s="150"/>
      <c r="EI224" s="456">
        <f t="shared" si="719"/>
        <v>1.3953333333333331E-2</v>
      </c>
      <c r="EJ224" s="456">
        <f t="shared" si="720"/>
        <v>0.55299522352941166</v>
      </c>
      <c r="EK224" s="456">
        <f t="shared" si="721"/>
        <v>1.2687273529411763E-2</v>
      </c>
      <c r="EL224" s="456">
        <f t="shared" si="722"/>
        <v>2.3013139526884184E-2</v>
      </c>
      <c r="EM224">
        <f t="shared" si="723"/>
        <v>7.1999999999999998E-3</v>
      </c>
      <c r="EN224" s="144">
        <f t="shared" si="724"/>
        <v>19.887273529411761</v>
      </c>
      <c r="EP224" s="144">
        <f t="shared" si="725"/>
        <v>609.848969919041</v>
      </c>
      <c r="EQ224" s="150">
        <f t="shared" si="726"/>
        <v>0.1</v>
      </c>
      <c r="ER224" s="150">
        <f t="shared" si="688"/>
        <v>2.8399999999999998E-2</v>
      </c>
      <c r="ES224" s="456"/>
      <c r="EU224" s="144">
        <f t="shared" si="727"/>
        <v>128.4</v>
      </c>
      <c r="EV224" s="456">
        <f t="shared" si="728"/>
        <v>6.155882352941176E-3</v>
      </c>
      <c r="EW224" s="456">
        <f t="shared" si="729"/>
        <v>2.4060941602150398E-2</v>
      </c>
      <c r="EX224" s="456">
        <f t="shared" si="730"/>
        <v>3.2660797648516341E-3</v>
      </c>
      <c r="EY224" s="456">
        <f t="shared" si="731"/>
        <v>0.74156444280611111</v>
      </c>
      <c r="EZ224" s="456"/>
      <c r="FA224" s="538">
        <f t="shared" si="732"/>
        <v>9.8494117647058826E-3</v>
      </c>
      <c r="FB224" s="144">
        <f t="shared" si="733"/>
        <v>784.8967582907602</v>
      </c>
      <c r="FC224" s="150">
        <f t="shared" si="734"/>
        <v>1.5231457282098013</v>
      </c>
      <c r="FD224" s="5">
        <f t="shared" si="735"/>
        <v>7.2799999999999994</v>
      </c>
      <c r="FE224" s="150">
        <f t="shared" si="736"/>
        <v>0.8269771084978339</v>
      </c>
      <c r="FF224" s="5">
        <f t="shared" si="737"/>
        <v>82.697710849783391</v>
      </c>
      <c r="FG224">
        <f t="shared" si="738"/>
        <v>8</v>
      </c>
      <c r="FI224" s="59">
        <f t="shared" si="689"/>
        <v>-50</v>
      </c>
    </row>
    <row r="225" spans="5:165">
      <c r="E225" s="147">
        <v>9</v>
      </c>
      <c r="F225" s="188">
        <f t="shared" si="690"/>
        <v>4.4999999999999998E-2</v>
      </c>
      <c r="G225" s="188">
        <f t="shared" si="617"/>
        <v>4.4999999999999998E-2</v>
      </c>
      <c r="H225" s="188">
        <f t="shared" si="618"/>
        <v>7.6499999999999995</v>
      </c>
      <c r="I225" s="188">
        <f t="shared" si="619"/>
        <v>0.54</v>
      </c>
      <c r="J225" s="465">
        <f t="shared" si="620"/>
        <v>15.960331210464938</v>
      </c>
      <c r="K225" s="379">
        <f t="shared" si="621"/>
        <v>8.648147980288682</v>
      </c>
      <c r="L225" s="149">
        <f t="shared" si="622"/>
        <v>24.60847919075362</v>
      </c>
      <c r="M225" s="379"/>
      <c r="N225" s="188">
        <f t="shared" si="623"/>
        <v>0.35142959925528977</v>
      </c>
      <c r="O225" s="149">
        <f t="shared" si="624"/>
        <v>174.63710187121168</v>
      </c>
      <c r="P225" s="149">
        <f t="shared" si="625"/>
        <v>12.327324837967884</v>
      </c>
      <c r="Q225" s="188">
        <f t="shared" si="626"/>
        <v>1.027277069830657</v>
      </c>
      <c r="R225" s="188">
        <f t="shared" si="627"/>
        <v>14.553091822600974</v>
      </c>
      <c r="S225" s="188">
        <f t="shared" si="628"/>
        <v>170</v>
      </c>
      <c r="T225" s="188">
        <f t="shared" si="629"/>
        <v>2.9203416372318518</v>
      </c>
      <c r="U225" s="188">
        <f t="shared" si="630"/>
        <v>0.27446250319514326</v>
      </c>
      <c r="V225" s="188">
        <f t="shared" si="631"/>
        <v>0.5065260753900227</v>
      </c>
      <c r="W225" s="172">
        <f t="shared" si="632"/>
        <v>280.44664006376934</v>
      </c>
      <c r="X225" s="379">
        <f t="shared" si="691"/>
        <v>350</v>
      </c>
      <c r="Z225" s="188">
        <f t="shared" si="633"/>
        <v>13.333333333333332</v>
      </c>
      <c r="AA225" s="150">
        <f t="shared" si="634"/>
        <v>2.3126338778643771</v>
      </c>
      <c r="AB225" s="150">
        <f t="shared" si="635"/>
        <v>0.20193583905970827</v>
      </c>
      <c r="AC225" s="150"/>
      <c r="AD225" s="150">
        <f t="shared" si="636"/>
        <v>2.3126338778643776</v>
      </c>
      <c r="AE225" s="314">
        <f t="shared" si="637"/>
        <v>62.495587022262612</v>
      </c>
      <c r="AF225" s="456">
        <f t="shared" si="638"/>
        <v>0.20193583905970836</v>
      </c>
      <c r="AH225" s="150">
        <f t="shared" si="639"/>
        <v>5.5856960175075763</v>
      </c>
      <c r="AI225" s="150">
        <f t="shared" si="640"/>
        <v>13.333333333333334</v>
      </c>
      <c r="AJ225" s="150">
        <f t="shared" si="641"/>
        <v>1.0357117640127216</v>
      </c>
      <c r="AL225" s="314">
        <f t="shared" si="642"/>
        <v>45</v>
      </c>
      <c r="AM225" s="144">
        <f t="shared" si="643"/>
        <v>62.495587022262612</v>
      </c>
      <c r="AO225">
        <f t="shared" si="644"/>
        <v>45</v>
      </c>
      <c r="AP225">
        <f t="shared" si="645"/>
        <v>62.495587022262612</v>
      </c>
      <c r="AR225" s="5">
        <f t="shared" si="616"/>
        <v>16.001129802073436</v>
      </c>
      <c r="AS225" s="5">
        <f t="shared" si="604"/>
        <v>1.2531068269364183</v>
      </c>
      <c r="AT225" s="5">
        <f t="shared" si="605"/>
        <v>14.748022975137017</v>
      </c>
      <c r="AU225" s="150">
        <f t="shared" si="606"/>
        <v>7.8313646750996294E-2</v>
      </c>
      <c r="BA225" s="150">
        <f t="shared" si="692"/>
        <v>2.154253628604426</v>
      </c>
      <c r="BB225" s="150">
        <f t="shared" si="693"/>
        <v>0.34515742918687126</v>
      </c>
      <c r="BC225" s="150">
        <f t="shared" si="694"/>
        <v>0.32834369412537839</v>
      </c>
      <c r="BD225" s="150"/>
      <c r="BE225" s="456">
        <f t="shared" si="695"/>
        <v>1.5778749567608143E-2</v>
      </c>
      <c r="BF225" s="456">
        <f t="shared" si="646"/>
        <v>0.49110955197857586</v>
      </c>
      <c r="BG225" s="456">
        <f t="shared" si="647"/>
        <v>4.5683222277502746E-2</v>
      </c>
      <c r="BH225" s="456">
        <f t="shared" si="696"/>
        <v>2.5924445340243966E-2</v>
      </c>
      <c r="BI225">
        <f t="shared" si="697"/>
        <v>7.1821490447092221E-3</v>
      </c>
      <c r="BJ225" s="144">
        <f t="shared" si="698"/>
        <v>52.865371322211963</v>
      </c>
      <c r="BK225">
        <f t="shared" si="648"/>
        <v>0.53909408966838113</v>
      </c>
      <c r="BL225" s="144">
        <f t="shared" si="699"/>
        <v>585.67811820864006</v>
      </c>
      <c r="BM225" s="150">
        <f t="shared" si="649"/>
        <v>9.9843749999999981E-2</v>
      </c>
      <c r="BN225" s="150">
        <f t="shared" si="650"/>
        <v>3.1949999999999999E-2</v>
      </c>
      <c r="BQ225" s="144">
        <f t="shared" si="700"/>
        <v>131.79374999999999</v>
      </c>
      <c r="BR225" s="456">
        <f t="shared" si="701"/>
        <v>6.9612130445330057E-3</v>
      </c>
      <c r="BS225" s="456">
        <f t="shared" si="702"/>
        <v>2.382673018457801E-2</v>
      </c>
      <c r="BT225" s="456">
        <f t="shared" si="703"/>
        <v>3.2342874441570013E-3</v>
      </c>
      <c r="BU225" s="456">
        <f t="shared" si="704"/>
        <v>1.0021672938039485</v>
      </c>
      <c r="BV225" s="456"/>
      <c r="BW225" s="538">
        <f t="shared" si="705"/>
        <v>1.1110326581735578E-2</v>
      </c>
      <c r="BX225" s="144">
        <f t="shared" si="706"/>
        <v>1047.2998510589521</v>
      </c>
      <c r="BY225" s="150">
        <f t="shared" si="707"/>
        <v>1.7647717192675922</v>
      </c>
      <c r="BZ225" s="5">
        <f t="shared" si="708"/>
        <v>8.19</v>
      </c>
      <c r="CA225" s="150">
        <f t="shared" si="709"/>
        <v>0.82272102575171524</v>
      </c>
      <c r="CB225" s="5">
        <f t="shared" si="710"/>
        <v>82.27210257517153</v>
      </c>
      <c r="CC225">
        <f t="shared" si="711"/>
        <v>9</v>
      </c>
      <c r="CE225" s="59">
        <f t="shared" si="651"/>
        <v>-50</v>
      </c>
      <c r="CG225" s="150">
        <f t="shared" si="652"/>
        <v>0.1407068014675863</v>
      </c>
      <c r="CH225" s="150">
        <f t="shared" si="653"/>
        <v>3.9297941220160913E-2</v>
      </c>
      <c r="CI225" s="147">
        <v>9</v>
      </c>
      <c r="CJ225" s="188">
        <f t="shared" si="712"/>
        <v>4.4999999999999998E-2</v>
      </c>
      <c r="CK225" s="188">
        <f t="shared" si="654"/>
        <v>4.4999999999999998E-2</v>
      </c>
      <c r="CL225" s="188">
        <f t="shared" si="655"/>
        <v>7.6499999999999995</v>
      </c>
      <c r="CM225" s="188">
        <f t="shared" si="656"/>
        <v>0.54</v>
      </c>
      <c r="CN225" s="465">
        <f t="shared" si="657"/>
        <v>16</v>
      </c>
      <c r="CO225" s="379">
        <f t="shared" si="658"/>
        <v>8.625</v>
      </c>
      <c r="CP225" s="379">
        <f t="shared" si="659"/>
        <v>24.625</v>
      </c>
      <c r="CQ225" s="379"/>
      <c r="CR225" s="188">
        <f t="shared" si="660"/>
        <v>0.34787038923986141</v>
      </c>
      <c r="CS225" s="149">
        <f t="shared" si="661"/>
        <v>173.29806936491266</v>
      </c>
      <c r="CT225" s="149">
        <f t="shared" si="662"/>
        <v>12.232804896346776</v>
      </c>
      <c r="CU225" s="188">
        <f t="shared" si="663"/>
        <v>1.0194004080288981</v>
      </c>
      <c r="CV225" s="188">
        <f t="shared" si="664"/>
        <v>14.441505780409388</v>
      </c>
      <c r="CW225" s="188">
        <f t="shared" si="665"/>
        <v>170</v>
      </c>
      <c r="CX225" s="188">
        <f t="shared" si="666"/>
        <v>2.9429064147627417</v>
      </c>
      <c r="CY225" s="188">
        <f t="shared" si="667"/>
        <v>0.27589747638400702</v>
      </c>
      <c r="CZ225" s="188">
        <f t="shared" si="668"/>
        <v>0.51180981126308545</v>
      </c>
      <c r="DA225" s="172">
        <f t="shared" si="669"/>
        <v>280.20304568527916</v>
      </c>
      <c r="DB225" s="379">
        <f t="shared" si="670"/>
        <v>350</v>
      </c>
      <c r="DD225" s="188">
        <f t="shared" si="671"/>
        <v>13.333333333333332</v>
      </c>
      <c r="DE225" s="150">
        <f t="shared" si="672"/>
        <v>2.318840579710145</v>
      </c>
      <c r="DF225" s="150">
        <f t="shared" si="673"/>
        <v>0.20230192819025303</v>
      </c>
      <c r="DG225" s="150"/>
      <c r="DH225" s="150">
        <f t="shared" si="674"/>
        <v>2.3188405797101455</v>
      </c>
      <c r="DI225" s="314">
        <f t="shared" si="675"/>
        <v>62.32830882352939</v>
      </c>
      <c r="DJ225" s="456">
        <f t="shared" si="676"/>
        <v>0.20230192819025311</v>
      </c>
      <c r="DL225" s="150">
        <f t="shared" si="677"/>
        <v>5.5856960175075763</v>
      </c>
      <c r="DM225" s="150">
        <f t="shared" si="678"/>
        <v>13.333333333333334</v>
      </c>
      <c r="DN225" s="150">
        <f t="shared" si="679"/>
        <v>1.0356161764705882</v>
      </c>
      <c r="DP225" s="314">
        <f t="shared" si="680"/>
        <v>45</v>
      </c>
      <c r="DQ225" s="144">
        <f t="shared" si="681"/>
        <v>62.32830882352939</v>
      </c>
      <c r="DS225">
        <f t="shared" si="682"/>
        <v>45</v>
      </c>
      <c r="DT225">
        <f t="shared" si="683"/>
        <v>62.32830882352939</v>
      </c>
      <c r="DV225" s="5">
        <f t="shared" si="684"/>
        <v>16.044074015088512</v>
      </c>
      <c r="DW225" s="5">
        <f t="shared" si="685"/>
        <v>1.25</v>
      </c>
      <c r="DX225" s="5">
        <f t="shared" si="686"/>
        <v>14.794074015088512</v>
      </c>
      <c r="DY225" s="150">
        <f t="shared" si="687"/>
        <v>7.7910386029411749E-2</v>
      </c>
      <c r="EA225" s="5">
        <f t="shared" si="713"/>
        <v>3.3088235294117647E-2</v>
      </c>
      <c r="EB225" s="5">
        <f t="shared" si="714"/>
        <v>0.46874999999999994</v>
      </c>
      <c r="EC225" s="5">
        <f t="shared" si="715"/>
        <v>11.789027730773656</v>
      </c>
      <c r="ED225" s="5"/>
      <c r="EE225" s="150">
        <f t="shared" si="716"/>
        <v>2.1487000173839723</v>
      </c>
      <c r="EF225" s="150">
        <f t="shared" si="717"/>
        <v>0.34523292841293235</v>
      </c>
      <c r="EG225" s="150">
        <f t="shared" si="718"/>
        <v>0.32841551553987586</v>
      </c>
      <c r="EH225" s="150"/>
      <c r="EI225" s="456">
        <f t="shared" si="719"/>
        <v>1.56975E-2</v>
      </c>
      <c r="EJ225" s="456">
        <f t="shared" si="720"/>
        <v>0.62211962647058805</v>
      </c>
      <c r="EK225" s="456">
        <f t="shared" si="721"/>
        <v>1.427318272058823E-2</v>
      </c>
      <c r="EL225" s="456">
        <f t="shared" si="722"/>
        <v>2.5889781967744704E-2</v>
      </c>
      <c r="EM225">
        <f t="shared" si="723"/>
        <v>7.1999999999999998E-3</v>
      </c>
      <c r="EN225" s="144">
        <f t="shared" si="724"/>
        <v>21.473182720588227</v>
      </c>
      <c r="EP225" s="144">
        <f t="shared" si="725"/>
        <v>685.18009115892096</v>
      </c>
      <c r="EQ225" s="150">
        <f t="shared" si="726"/>
        <v>0.11249999999999999</v>
      </c>
      <c r="ER225" s="150">
        <f t="shared" si="688"/>
        <v>3.1949999999999999E-2</v>
      </c>
      <c r="ES225" s="456"/>
      <c r="EU225" s="144">
        <f t="shared" si="727"/>
        <v>144.44999999999999</v>
      </c>
      <c r="EV225" s="456">
        <f t="shared" si="728"/>
        <v>6.925367647058824E-3</v>
      </c>
      <c r="EW225" s="456">
        <f t="shared" si="729"/>
        <v>2.3837154972113778E-2</v>
      </c>
      <c r="EX225" s="456">
        <f t="shared" si="730"/>
        <v>3.2357025254196731E-3</v>
      </c>
      <c r="EY225" s="456">
        <f t="shared" si="731"/>
        <v>0.99547464707336497</v>
      </c>
      <c r="EZ225" s="456"/>
      <c r="FA225" s="538">
        <f t="shared" si="732"/>
        <v>1.1080588235294116E-2</v>
      </c>
      <c r="FB225" s="144">
        <f t="shared" si="733"/>
        <v>1040.5534604532511</v>
      </c>
      <c r="FC225" s="150">
        <f t="shared" si="734"/>
        <v>1.8701835516121723</v>
      </c>
      <c r="FD225" s="5">
        <f t="shared" si="735"/>
        <v>8.19</v>
      </c>
      <c r="FE225" s="150">
        <f t="shared" si="736"/>
        <v>0.81410045432894018</v>
      </c>
      <c r="FF225" s="5">
        <f t="shared" si="737"/>
        <v>81.410045432894023</v>
      </c>
      <c r="FG225">
        <f t="shared" si="738"/>
        <v>9</v>
      </c>
      <c r="FI225" s="59">
        <f t="shared" si="689"/>
        <v>-50</v>
      </c>
    </row>
    <row r="226" spans="5:165">
      <c r="E226" s="147">
        <v>10</v>
      </c>
      <c r="F226" s="188">
        <f t="shared" si="690"/>
        <v>0.05</v>
      </c>
      <c r="G226" s="188">
        <f t="shared" si="617"/>
        <v>0.05</v>
      </c>
      <c r="H226" s="188">
        <f t="shared" si="618"/>
        <v>8.5</v>
      </c>
      <c r="I226" s="188">
        <f t="shared" si="619"/>
        <v>0.60000000000000009</v>
      </c>
      <c r="J226" s="465">
        <f t="shared" si="620"/>
        <v>15.960331210464938</v>
      </c>
      <c r="K226" s="379">
        <f t="shared" si="621"/>
        <v>8.648147980288682</v>
      </c>
      <c r="L226" s="149">
        <f t="shared" si="622"/>
        <v>24.60847919075362</v>
      </c>
      <c r="M226" s="379"/>
      <c r="N226" s="188">
        <f t="shared" si="623"/>
        <v>0.35142959925528977</v>
      </c>
      <c r="O226" s="149">
        <f t="shared" si="624"/>
        <v>174.63710187121168</v>
      </c>
      <c r="P226" s="149">
        <f t="shared" si="625"/>
        <v>12.327324837967884</v>
      </c>
      <c r="Q226" s="188">
        <f t="shared" si="626"/>
        <v>1.027277069830657</v>
      </c>
      <c r="R226" s="188">
        <f t="shared" si="627"/>
        <v>14.553091822600974</v>
      </c>
      <c r="S226" s="188">
        <f t="shared" si="628"/>
        <v>170</v>
      </c>
      <c r="T226" s="188">
        <f t="shared" si="629"/>
        <v>3.2448240413687239</v>
      </c>
      <c r="U226" s="188">
        <f t="shared" si="630"/>
        <v>0.3049583368834925</v>
      </c>
      <c r="V226" s="188">
        <f t="shared" si="631"/>
        <v>0.56280675043335859</v>
      </c>
      <c r="W226" s="172">
        <f t="shared" si="632"/>
        <v>280.44664006376934</v>
      </c>
      <c r="X226" s="379">
        <f t="shared" si="691"/>
        <v>350</v>
      </c>
      <c r="Z226" s="188">
        <f t="shared" si="633"/>
        <v>13.333333333333332</v>
      </c>
      <c r="AA226" s="150">
        <f t="shared" si="634"/>
        <v>2.3126338778643771</v>
      </c>
      <c r="AB226" s="150">
        <f t="shared" si="635"/>
        <v>0.20193583905970827</v>
      </c>
      <c r="AC226" s="150"/>
      <c r="AD226" s="150">
        <f t="shared" si="636"/>
        <v>2.3126338778643776</v>
      </c>
      <c r="AE226" s="314">
        <f t="shared" si="637"/>
        <v>69.43954113584735</v>
      </c>
      <c r="AF226" s="456">
        <f t="shared" si="638"/>
        <v>0.20193583905970836</v>
      </c>
      <c r="AH226" s="150">
        <f t="shared" si="639"/>
        <v>5.8878405775518976</v>
      </c>
      <c r="AI226" s="150">
        <f t="shared" si="640"/>
        <v>13.333333333333334</v>
      </c>
      <c r="AJ226" s="150">
        <f t="shared" si="641"/>
        <v>1.0396797377919127</v>
      </c>
      <c r="AL226" s="314">
        <f t="shared" si="642"/>
        <v>50</v>
      </c>
      <c r="AM226" s="144">
        <f t="shared" si="643"/>
        <v>69.43954113584735</v>
      </c>
      <c r="AO226">
        <f t="shared" si="644"/>
        <v>50</v>
      </c>
      <c r="AP226">
        <f t="shared" si="645"/>
        <v>69.43954113584735</v>
      </c>
      <c r="AR226" s="5">
        <f t="shared" si="616"/>
        <v>14.40101682186609</v>
      </c>
      <c r="AS226" s="5">
        <f t="shared" si="604"/>
        <v>1.2531068269364183</v>
      </c>
      <c r="AT226" s="5">
        <f t="shared" si="605"/>
        <v>13.147909994929671</v>
      </c>
      <c r="AU226" s="150">
        <f t="shared" si="606"/>
        <v>8.7015163056662556E-2</v>
      </c>
      <c r="BA226" s="150">
        <f t="shared" si="692"/>
        <v>2.2707827080241483</v>
      </c>
      <c r="BB226" s="150">
        <f t="shared" si="693"/>
        <v>0.34352427312211276</v>
      </c>
      <c r="BC226" s="150">
        <f t="shared" si="694"/>
        <v>0.32679009437627454</v>
      </c>
      <c r="BD226" s="150"/>
      <c r="BE226" s="456">
        <f t="shared" si="695"/>
        <v>1.7531943964009044E-2</v>
      </c>
      <c r="BF226" s="456">
        <f t="shared" si="646"/>
        <v>0.54567727997619553</v>
      </c>
      <c r="BG226" s="456">
        <f t="shared" si="647"/>
        <v>5.0759135863891941E-2</v>
      </c>
      <c r="BH226" s="456">
        <f t="shared" si="696"/>
        <v>2.8804939266937741E-2</v>
      </c>
      <c r="BI226">
        <f t="shared" si="697"/>
        <v>7.1821490447092221E-3</v>
      </c>
      <c r="BJ226" s="144">
        <f t="shared" si="698"/>
        <v>57.941284908601162</v>
      </c>
      <c r="BK226">
        <f t="shared" si="648"/>
        <v>0.5992439927929587</v>
      </c>
      <c r="BL226" s="144">
        <f t="shared" si="699"/>
        <v>649.95544811574348</v>
      </c>
      <c r="BM226" s="150">
        <f t="shared" si="649"/>
        <v>0.11093749999999999</v>
      </c>
      <c r="BN226" s="150">
        <f t="shared" si="650"/>
        <v>3.5500000000000004E-2</v>
      </c>
      <c r="BQ226" s="144">
        <f t="shared" si="700"/>
        <v>146.4375</v>
      </c>
      <c r="BR226" s="456">
        <f t="shared" si="701"/>
        <v>7.7346811605922263E-3</v>
      </c>
      <c r="BS226" s="456">
        <f t="shared" si="702"/>
        <v>2.3601785244815186E-2</v>
      </c>
      <c r="BT226" s="456">
        <f t="shared" si="703"/>
        <v>3.2037529734736322E-3</v>
      </c>
      <c r="BU226" s="456">
        <f t="shared" si="704"/>
        <v>1.3041692366039597</v>
      </c>
      <c r="BV226" s="456"/>
      <c r="BW226" s="538">
        <f t="shared" si="705"/>
        <v>1.2344807313039531E-2</v>
      </c>
      <c r="BX226" s="144">
        <f t="shared" si="706"/>
        <v>1351.0542632958802</v>
      </c>
      <c r="BY226" s="150">
        <f t="shared" si="707"/>
        <v>2.1474472114116239</v>
      </c>
      <c r="BZ226" s="5">
        <f t="shared" si="708"/>
        <v>9.1</v>
      </c>
      <c r="CA226" s="150">
        <f t="shared" si="709"/>
        <v>0.80907247919929504</v>
      </c>
      <c r="CB226" s="5">
        <f t="shared" si="710"/>
        <v>80.907247919929503</v>
      </c>
      <c r="CC226">
        <f t="shared" si="711"/>
        <v>10</v>
      </c>
      <c r="CE226" s="59">
        <f t="shared" si="651"/>
        <v>-50</v>
      </c>
      <c r="CG226" s="150">
        <f t="shared" si="652"/>
        <v>0.15634089051954034</v>
      </c>
      <c r="CH226" s="150">
        <f t="shared" si="653"/>
        <v>4.3664379133512121E-2</v>
      </c>
      <c r="CI226" s="147">
        <v>10</v>
      </c>
      <c r="CJ226" s="188">
        <f t="shared" si="712"/>
        <v>0.05</v>
      </c>
      <c r="CK226" s="188">
        <f t="shared" si="654"/>
        <v>0.05</v>
      </c>
      <c r="CL226" s="188">
        <f t="shared" si="655"/>
        <v>8.5</v>
      </c>
      <c r="CM226" s="188">
        <f t="shared" si="656"/>
        <v>0.60000000000000009</v>
      </c>
      <c r="CN226" s="465">
        <f t="shared" si="657"/>
        <v>16</v>
      </c>
      <c r="CO226" s="379">
        <f t="shared" si="658"/>
        <v>8.625</v>
      </c>
      <c r="CP226" s="379">
        <f t="shared" si="659"/>
        <v>24.625</v>
      </c>
      <c r="CQ226" s="379"/>
      <c r="CR226" s="188">
        <f t="shared" si="660"/>
        <v>0.34787038923986141</v>
      </c>
      <c r="CS226" s="149">
        <f t="shared" si="661"/>
        <v>173.29806936491266</v>
      </c>
      <c r="CT226" s="149">
        <f t="shared" si="662"/>
        <v>12.232804896346776</v>
      </c>
      <c r="CU226" s="188">
        <f t="shared" si="663"/>
        <v>1.0194004080288981</v>
      </c>
      <c r="CV226" s="188">
        <f t="shared" si="664"/>
        <v>14.441505780409388</v>
      </c>
      <c r="CW226" s="188">
        <f t="shared" si="665"/>
        <v>170</v>
      </c>
      <c r="CX226" s="188">
        <f t="shared" si="666"/>
        <v>3.2698960164030462</v>
      </c>
      <c r="CY226" s="188">
        <f t="shared" si="667"/>
        <v>0.30655275153778561</v>
      </c>
      <c r="CZ226" s="188">
        <f t="shared" si="668"/>
        <v>0.56867756807009506</v>
      </c>
      <c r="DA226" s="172">
        <f t="shared" si="669"/>
        <v>280.20304568527916</v>
      </c>
      <c r="DB226" s="379">
        <f t="shared" si="670"/>
        <v>350</v>
      </c>
      <c r="DD226" s="188">
        <f t="shared" si="671"/>
        <v>13.333333333333332</v>
      </c>
      <c r="DE226" s="150">
        <f t="shared" si="672"/>
        <v>2.318840579710145</v>
      </c>
      <c r="DF226" s="150">
        <f t="shared" si="673"/>
        <v>0.20230192819025303</v>
      </c>
      <c r="DG226" s="150"/>
      <c r="DH226" s="150">
        <f t="shared" si="674"/>
        <v>2.3188405797101455</v>
      </c>
      <c r="DI226" s="314">
        <f t="shared" si="675"/>
        <v>69.253676470588204</v>
      </c>
      <c r="DJ226" s="456">
        <f t="shared" si="676"/>
        <v>0.20230192819025311</v>
      </c>
      <c r="DL226" s="150">
        <f t="shared" si="677"/>
        <v>5.8878405775518976</v>
      </c>
      <c r="DM226" s="150">
        <f t="shared" si="678"/>
        <v>13.333333333333334</v>
      </c>
      <c r="DN226" s="150">
        <f t="shared" si="679"/>
        <v>1.0395735294117647</v>
      </c>
      <c r="DP226" s="314">
        <f t="shared" si="680"/>
        <v>50</v>
      </c>
      <c r="DQ226" s="144">
        <f t="shared" si="681"/>
        <v>69.253676470588204</v>
      </c>
      <c r="DS226">
        <f t="shared" si="682"/>
        <v>50</v>
      </c>
      <c r="DT226">
        <f t="shared" si="683"/>
        <v>69.253676470588204</v>
      </c>
      <c r="DV226" s="5">
        <f t="shared" si="684"/>
        <v>14.439666613579663</v>
      </c>
      <c r="DW226" s="5">
        <f t="shared" si="685"/>
        <v>1.25</v>
      </c>
      <c r="DX226" s="5">
        <f t="shared" si="686"/>
        <v>13.189666613579663</v>
      </c>
      <c r="DY226" s="150">
        <f t="shared" si="687"/>
        <v>8.6567095588235263E-2</v>
      </c>
      <c r="EA226" s="5">
        <f t="shared" si="713"/>
        <v>3.6764705882352935E-2</v>
      </c>
      <c r="EB226" s="5">
        <f t="shared" si="714"/>
        <v>0.52083333333333337</v>
      </c>
      <c r="EC226" s="5">
        <f t="shared" si="715"/>
        <v>11.678350647440325</v>
      </c>
      <c r="ED226" s="5"/>
      <c r="EE226" s="150">
        <f t="shared" si="716"/>
        <v>2.2649286877922474</v>
      </c>
      <c r="EF226" s="150">
        <f t="shared" si="717"/>
        <v>0.34360855884332347</v>
      </c>
      <c r="EG226" s="150">
        <f t="shared" si="718"/>
        <v>0.32687027426731596</v>
      </c>
      <c r="EH226" s="150"/>
      <c r="EI226" s="456">
        <f t="shared" si="719"/>
        <v>1.7441666666666661E-2</v>
      </c>
      <c r="EJ226" s="456">
        <f t="shared" si="720"/>
        <v>0.69124402941176444</v>
      </c>
      <c r="EK226" s="456">
        <f t="shared" si="721"/>
        <v>1.5859091911764701E-2</v>
      </c>
      <c r="EL226" s="456">
        <f t="shared" si="722"/>
        <v>2.8766424408605225E-2</v>
      </c>
      <c r="EM226">
        <f t="shared" si="723"/>
        <v>7.1999999999999998E-3</v>
      </c>
      <c r="EN226" s="144">
        <f t="shared" si="724"/>
        <v>23.059091911764703</v>
      </c>
      <c r="EP226" s="144">
        <f t="shared" si="725"/>
        <v>760.51121239880104</v>
      </c>
      <c r="EQ226" s="150">
        <f t="shared" si="726"/>
        <v>0.125</v>
      </c>
      <c r="ER226" s="150">
        <f t="shared" si="688"/>
        <v>3.5500000000000004E-2</v>
      </c>
      <c r="ES226" s="456"/>
      <c r="EU226" s="144">
        <f t="shared" si="727"/>
        <v>160.5</v>
      </c>
      <c r="EV226" s="456">
        <f t="shared" si="728"/>
        <v>7.6948529411764678E-3</v>
      </c>
      <c r="EW226" s="456">
        <f t="shared" si="729"/>
        <v>2.361336834207714E-2</v>
      </c>
      <c r="EX226" s="456">
        <f t="shared" si="730"/>
        <v>3.2053252859877107E-3</v>
      </c>
      <c r="EY226" s="456">
        <f t="shared" si="731"/>
        <v>1.2954597686025144</v>
      </c>
      <c r="EZ226" s="456"/>
      <c r="FA226" s="538">
        <f t="shared" si="732"/>
        <v>1.231176470588235E-2</v>
      </c>
      <c r="FB226" s="144">
        <f t="shared" si="733"/>
        <v>1342.2850798776381</v>
      </c>
      <c r="FC226" s="150">
        <f t="shared" si="734"/>
        <v>2.263296292276439</v>
      </c>
      <c r="FD226" s="5">
        <f t="shared" si="735"/>
        <v>9.1</v>
      </c>
      <c r="FE226" s="150">
        <f t="shared" si="736"/>
        <v>0.80082396568196623</v>
      </c>
      <c r="FF226" s="5">
        <f t="shared" si="737"/>
        <v>80.082396568196629</v>
      </c>
      <c r="FG226">
        <f t="shared" si="738"/>
        <v>10</v>
      </c>
      <c r="FI226" s="59">
        <f t="shared" si="689"/>
        <v>-50</v>
      </c>
    </row>
    <row r="227" spans="5:165">
      <c r="E227" s="147">
        <v>11</v>
      </c>
      <c r="F227" s="188">
        <f t="shared" si="690"/>
        <v>5.5E-2</v>
      </c>
      <c r="G227" s="188">
        <f t="shared" si="617"/>
        <v>5.5E-2</v>
      </c>
      <c r="H227" s="188">
        <f t="shared" si="618"/>
        <v>9.35</v>
      </c>
      <c r="I227" s="188">
        <f t="shared" si="619"/>
        <v>0.66</v>
      </c>
      <c r="J227" s="465">
        <f t="shared" si="620"/>
        <v>15.960331210464938</v>
      </c>
      <c r="K227" s="379">
        <f t="shared" si="621"/>
        <v>8.648147980288682</v>
      </c>
      <c r="L227" s="149">
        <f t="shared" si="622"/>
        <v>24.60847919075362</v>
      </c>
      <c r="M227" s="379"/>
      <c r="N227" s="188">
        <f t="shared" si="623"/>
        <v>0.35142959925528977</v>
      </c>
      <c r="O227" s="149">
        <f t="shared" si="624"/>
        <v>174.63710187121168</v>
      </c>
      <c r="P227" s="149">
        <f t="shared" si="625"/>
        <v>12.327324837967884</v>
      </c>
      <c r="Q227" s="188">
        <f t="shared" si="626"/>
        <v>1.027277069830657</v>
      </c>
      <c r="R227" s="188">
        <f t="shared" si="627"/>
        <v>14.553091822600974</v>
      </c>
      <c r="S227" s="188">
        <f t="shared" si="628"/>
        <v>170</v>
      </c>
      <c r="T227" s="188">
        <f t="shared" si="629"/>
        <v>3.5693064455055965</v>
      </c>
      <c r="U227" s="188">
        <f t="shared" si="630"/>
        <v>0.33545417057184174</v>
      </c>
      <c r="V227" s="188">
        <f t="shared" si="631"/>
        <v>0.61908742547669438</v>
      </c>
      <c r="W227" s="172">
        <f t="shared" si="632"/>
        <v>280.44664006376934</v>
      </c>
      <c r="X227" s="379">
        <f t="shared" si="691"/>
        <v>350</v>
      </c>
      <c r="Z227" s="188">
        <f t="shared" si="633"/>
        <v>13.333333333333332</v>
      </c>
      <c r="AA227" s="150">
        <f t="shared" si="634"/>
        <v>2.3126338778643771</v>
      </c>
      <c r="AB227" s="150">
        <f t="shared" si="635"/>
        <v>0.20193583905970827</v>
      </c>
      <c r="AC227" s="150"/>
      <c r="AD227" s="150">
        <f t="shared" si="636"/>
        <v>2.3126338778643776</v>
      </c>
      <c r="AE227" s="314">
        <f t="shared" si="637"/>
        <v>76.383495249432102</v>
      </c>
      <c r="AF227" s="456">
        <f t="shared" si="638"/>
        <v>0.20193583905970836</v>
      </c>
      <c r="AH227" s="150">
        <f t="shared" si="639"/>
        <v>6.1752192943516855</v>
      </c>
      <c r="AI227" s="150">
        <f t="shared" si="640"/>
        <v>13.333333333333334</v>
      </c>
      <c r="AJ227" s="150">
        <f t="shared" si="641"/>
        <v>1.043647711571104</v>
      </c>
      <c r="AL227" s="314">
        <f t="shared" si="642"/>
        <v>55</v>
      </c>
      <c r="AM227" s="144">
        <f t="shared" si="643"/>
        <v>76.383495249432102</v>
      </c>
      <c r="AO227">
        <f t="shared" si="644"/>
        <v>55</v>
      </c>
      <c r="AP227">
        <f t="shared" si="645"/>
        <v>76.383495249432102</v>
      </c>
      <c r="AR227" s="5">
        <f t="shared" si="616"/>
        <v>13.091833474423714</v>
      </c>
      <c r="AS227" s="5">
        <f t="shared" si="604"/>
        <v>1.2531068269364183</v>
      </c>
      <c r="AT227" s="5">
        <f t="shared" si="605"/>
        <v>11.838726647487295</v>
      </c>
      <c r="AU227" s="150">
        <f t="shared" si="606"/>
        <v>9.5716679362328846E-2</v>
      </c>
      <c r="BA227" s="150">
        <f t="shared" si="692"/>
        <v>2.3816169964475051</v>
      </c>
      <c r="BB227" s="150">
        <f t="shared" si="693"/>
        <v>0.3418833156579329</v>
      </c>
      <c r="BC227" s="150">
        <f t="shared" si="694"/>
        <v>0.3252290732591549</v>
      </c>
      <c r="BD227" s="150"/>
      <c r="BE227" s="456">
        <f t="shared" si="695"/>
        <v>1.9285138360409963E-2</v>
      </c>
      <c r="BF227" s="456">
        <f t="shared" si="646"/>
        <v>0.60024500797381508</v>
      </c>
      <c r="BG227" s="456">
        <f t="shared" si="647"/>
        <v>5.5835049450281143E-2</v>
      </c>
      <c r="BH227" s="456">
        <f t="shared" si="696"/>
        <v>3.1685433193631519E-2</v>
      </c>
      <c r="BI227">
        <f t="shared" si="697"/>
        <v>7.1821490447092221E-3</v>
      </c>
      <c r="BJ227" s="144">
        <f t="shared" si="698"/>
        <v>63.017198494990367</v>
      </c>
      <c r="BK227">
        <f t="shared" si="648"/>
        <v>0.6594442385606395</v>
      </c>
      <c r="BL227" s="144">
        <f t="shared" si="699"/>
        <v>714.23277802284701</v>
      </c>
      <c r="BM227" s="150">
        <f t="shared" si="649"/>
        <v>0.12203125000000001</v>
      </c>
      <c r="BN227" s="150">
        <f t="shared" si="650"/>
        <v>3.9050000000000001E-2</v>
      </c>
      <c r="BQ227" s="144">
        <f t="shared" si="700"/>
        <v>161.08125000000001</v>
      </c>
      <c r="BR227" s="456">
        <f t="shared" si="701"/>
        <v>8.5081492766514548E-3</v>
      </c>
      <c r="BS227" s="456">
        <f t="shared" si="702"/>
        <v>2.3376840305052358E-2</v>
      </c>
      <c r="BT227" s="456">
        <f t="shared" si="703"/>
        <v>3.1732185027902623E-3</v>
      </c>
      <c r="BU227" s="456">
        <f t="shared" si="704"/>
        <v>1.6550673241824756</v>
      </c>
      <c r="BV227" s="456"/>
      <c r="BW227" s="538">
        <f t="shared" si="705"/>
        <v>1.3579288044343487E-2</v>
      </c>
      <c r="BX227" s="144">
        <f t="shared" si="706"/>
        <v>1703.7048203113131</v>
      </c>
      <c r="BY227" s="150">
        <f t="shared" si="707"/>
        <v>2.5790188483341603</v>
      </c>
      <c r="BZ227" s="5">
        <f t="shared" si="708"/>
        <v>10.01</v>
      </c>
      <c r="CA227" s="150">
        <f t="shared" si="709"/>
        <v>0.7951374225898924</v>
      </c>
      <c r="CB227" s="5">
        <f t="shared" si="710"/>
        <v>79.51374225898924</v>
      </c>
      <c r="CC227">
        <f t="shared" si="711"/>
        <v>11</v>
      </c>
      <c r="CE227" s="59">
        <f t="shared" si="651"/>
        <v>-50</v>
      </c>
      <c r="CG227" s="150">
        <f t="shared" si="652"/>
        <v>0.17197497957149435</v>
      </c>
      <c r="CH227" s="150">
        <f t="shared" si="653"/>
        <v>4.8030817046863329E-2</v>
      </c>
      <c r="CI227" s="147">
        <v>11</v>
      </c>
      <c r="CJ227" s="188">
        <f t="shared" si="712"/>
        <v>5.5E-2</v>
      </c>
      <c r="CK227" s="188">
        <f t="shared" si="654"/>
        <v>5.5E-2</v>
      </c>
      <c r="CL227" s="188">
        <f t="shared" si="655"/>
        <v>9.35</v>
      </c>
      <c r="CM227" s="188">
        <f t="shared" si="656"/>
        <v>0.66</v>
      </c>
      <c r="CN227" s="465">
        <f t="shared" si="657"/>
        <v>16</v>
      </c>
      <c r="CO227" s="379">
        <f t="shared" si="658"/>
        <v>8.625</v>
      </c>
      <c r="CP227" s="379">
        <f t="shared" si="659"/>
        <v>24.625</v>
      </c>
      <c r="CQ227" s="379"/>
      <c r="CR227" s="188">
        <f t="shared" si="660"/>
        <v>0.34787038923986141</v>
      </c>
      <c r="CS227" s="149">
        <f t="shared" si="661"/>
        <v>173.29806936491266</v>
      </c>
      <c r="CT227" s="149">
        <f t="shared" si="662"/>
        <v>12.232804896346776</v>
      </c>
      <c r="CU227" s="188">
        <f t="shared" si="663"/>
        <v>1.0194004080288981</v>
      </c>
      <c r="CV227" s="188">
        <f t="shared" si="664"/>
        <v>14.441505780409388</v>
      </c>
      <c r="CW227" s="188">
        <f t="shared" si="665"/>
        <v>170</v>
      </c>
      <c r="CX227" s="188">
        <f t="shared" si="666"/>
        <v>3.5968856180433511</v>
      </c>
      <c r="CY227" s="188">
        <f t="shared" si="667"/>
        <v>0.33720802669156413</v>
      </c>
      <c r="CZ227" s="188">
        <f t="shared" si="668"/>
        <v>0.62554532487710446</v>
      </c>
      <c r="DA227" s="172">
        <f t="shared" si="669"/>
        <v>280.20304568527916</v>
      </c>
      <c r="DB227" s="379">
        <f t="shared" si="670"/>
        <v>350</v>
      </c>
      <c r="DD227" s="188">
        <f t="shared" si="671"/>
        <v>13.333333333333332</v>
      </c>
      <c r="DE227" s="150">
        <f t="shared" si="672"/>
        <v>2.318840579710145</v>
      </c>
      <c r="DF227" s="150">
        <f t="shared" si="673"/>
        <v>0.20230192819025303</v>
      </c>
      <c r="DG227" s="150"/>
      <c r="DH227" s="150">
        <f t="shared" si="674"/>
        <v>2.3188405797101455</v>
      </c>
      <c r="DI227" s="314">
        <f t="shared" si="675"/>
        <v>76.179044117647024</v>
      </c>
      <c r="DJ227" s="456">
        <f t="shared" si="676"/>
        <v>0.20230192819025311</v>
      </c>
      <c r="DL227" s="150">
        <f t="shared" si="677"/>
        <v>6.1752192943516855</v>
      </c>
      <c r="DM227" s="150">
        <f t="shared" si="678"/>
        <v>13.333333333333334</v>
      </c>
      <c r="DN227" s="150">
        <f t="shared" si="679"/>
        <v>1.0435308823529412</v>
      </c>
      <c r="DP227" s="314">
        <f t="shared" si="680"/>
        <v>55</v>
      </c>
      <c r="DQ227" s="144">
        <f t="shared" si="681"/>
        <v>76.179044117647024</v>
      </c>
      <c r="DS227">
        <f t="shared" si="682"/>
        <v>55</v>
      </c>
      <c r="DT227">
        <f t="shared" si="683"/>
        <v>76.179044117647024</v>
      </c>
      <c r="DV227" s="5">
        <f t="shared" si="684"/>
        <v>13.126969648708785</v>
      </c>
      <c r="DW227" s="5">
        <f t="shared" si="685"/>
        <v>1.25</v>
      </c>
      <c r="DX227" s="5">
        <f t="shared" si="686"/>
        <v>11.876969648708785</v>
      </c>
      <c r="DY227" s="150">
        <f t="shared" si="687"/>
        <v>9.5223805147058777E-2</v>
      </c>
      <c r="EA227" s="5">
        <f t="shared" si="713"/>
        <v>4.0441176470588237E-2</v>
      </c>
      <c r="EB227" s="5">
        <f t="shared" si="714"/>
        <v>0.57291666666666663</v>
      </c>
      <c r="EC227" s="5">
        <f t="shared" si="715"/>
        <v>11.567673564106991</v>
      </c>
      <c r="ED227" s="5"/>
      <c r="EE227" s="150">
        <f t="shared" si="716"/>
        <v>2.3754772482309194</v>
      </c>
      <c r="EF227" s="150">
        <f t="shared" si="717"/>
        <v>0.34197647369402845</v>
      </c>
      <c r="EG227" s="150">
        <f t="shared" si="718"/>
        <v>0.32531769326591864</v>
      </c>
      <c r="EH227" s="150"/>
      <c r="EI227" s="456">
        <f t="shared" si="719"/>
        <v>1.9185833333333319E-2</v>
      </c>
      <c r="EJ227" s="456">
        <f t="shared" si="720"/>
        <v>0.76036843235294094</v>
      </c>
      <c r="EK227" s="456">
        <f t="shared" si="721"/>
        <v>1.7445001102941168E-2</v>
      </c>
      <c r="EL227" s="456">
        <f t="shared" si="722"/>
        <v>3.1643066849465752E-2</v>
      </c>
      <c r="EM227">
        <f t="shared" si="723"/>
        <v>7.1999999999999998E-3</v>
      </c>
      <c r="EN227" s="144">
        <f t="shared" si="724"/>
        <v>24.645001102941169</v>
      </c>
      <c r="EP227" s="144">
        <f t="shared" si="725"/>
        <v>835.84233363868111</v>
      </c>
      <c r="EQ227" s="150">
        <f t="shared" si="726"/>
        <v>0.13750000000000001</v>
      </c>
      <c r="ER227" s="150">
        <f t="shared" si="688"/>
        <v>3.9050000000000001E-2</v>
      </c>
      <c r="ES227" s="456"/>
      <c r="EU227" s="144">
        <f t="shared" si="727"/>
        <v>176.55</v>
      </c>
      <c r="EV227" s="456">
        <f t="shared" si="728"/>
        <v>8.4643382352941124E-3</v>
      </c>
      <c r="EW227" s="456">
        <f t="shared" si="729"/>
        <v>2.3389581712040506E-2</v>
      </c>
      <c r="EX227" s="456">
        <f t="shared" si="730"/>
        <v>3.1749480465557496E-3</v>
      </c>
      <c r="EY227" s="456">
        <f t="shared" si="731"/>
        <v>1.6440144979881144</v>
      </c>
      <c r="EZ227" s="456"/>
      <c r="FA227" s="538">
        <f t="shared" si="732"/>
        <v>1.3542941176470584E-2</v>
      </c>
      <c r="FB227" s="144">
        <f t="shared" si="733"/>
        <v>1692.5863071584752</v>
      </c>
      <c r="FC227" s="150">
        <f t="shared" si="734"/>
        <v>2.7049786407971563</v>
      </c>
      <c r="FD227" s="5">
        <f t="shared" si="735"/>
        <v>10.01</v>
      </c>
      <c r="FE227" s="150">
        <f t="shared" si="736"/>
        <v>0.78726046521871551</v>
      </c>
      <c r="FF227" s="5">
        <f t="shared" si="737"/>
        <v>78.726046521871552</v>
      </c>
      <c r="FG227">
        <f t="shared" si="738"/>
        <v>11</v>
      </c>
      <c r="FI227" s="59">
        <f t="shared" si="689"/>
        <v>-50</v>
      </c>
    </row>
    <row r="228" spans="5:165">
      <c r="E228" s="147">
        <v>12</v>
      </c>
      <c r="F228" s="188">
        <f t="shared" si="690"/>
        <v>0.06</v>
      </c>
      <c r="G228" s="188">
        <f t="shared" si="617"/>
        <v>0.06</v>
      </c>
      <c r="H228" s="188">
        <f t="shared" si="618"/>
        <v>10.199999999999999</v>
      </c>
      <c r="I228" s="188">
        <f t="shared" si="619"/>
        <v>0.72</v>
      </c>
      <c r="J228" s="465">
        <f t="shared" si="620"/>
        <v>15.960331210464938</v>
      </c>
      <c r="K228" s="379">
        <f t="shared" si="621"/>
        <v>8.648147980288682</v>
      </c>
      <c r="L228" s="149">
        <f t="shared" si="622"/>
        <v>24.60847919075362</v>
      </c>
      <c r="M228" s="379"/>
      <c r="N228" s="188">
        <f t="shared" si="623"/>
        <v>0.35142959925528977</v>
      </c>
      <c r="O228" s="149">
        <f t="shared" si="624"/>
        <v>174.63710187121168</v>
      </c>
      <c r="P228" s="149">
        <f t="shared" si="625"/>
        <v>12.327324837967884</v>
      </c>
      <c r="Q228" s="188">
        <f t="shared" si="626"/>
        <v>1.027277069830657</v>
      </c>
      <c r="R228" s="188">
        <f t="shared" si="627"/>
        <v>14.553091822600974</v>
      </c>
      <c r="S228" s="188">
        <f t="shared" si="628"/>
        <v>170</v>
      </c>
      <c r="T228" s="188">
        <f t="shared" si="629"/>
        <v>3.8937888496424691</v>
      </c>
      <c r="U228" s="188">
        <f t="shared" si="630"/>
        <v>0.36595000426019103</v>
      </c>
      <c r="V228" s="188">
        <f t="shared" si="631"/>
        <v>0.67536810052003027</v>
      </c>
      <c r="W228" s="172">
        <f t="shared" si="632"/>
        <v>280.44664006376934</v>
      </c>
      <c r="X228" s="379">
        <f t="shared" si="691"/>
        <v>350</v>
      </c>
      <c r="Z228" s="188">
        <f t="shared" si="633"/>
        <v>13.333333333333332</v>
      </c>
      <c r="AA228" s="150">
        <f t="shared" si="634"/>
        <v>2.3126338778643771</v>
      </c>
      <c r="AB228" s="150">
        <f t="shared" si="635"/>
        <v>0.20193583905970827</v>
      </c>
      <c r="AC228" s="150"/>
      <c r="AD228" s="150">
        <f t="shared" si="636"/>
        <v>2.3126338778643776</v>
      </c>
      <c r="AE228" s="314">
        <f t="shared" si="637"/>
        <v>83.327449363016811</v>
      </c>
      <c r="AF228" s="456">
        <f t="shared" si="638"/>
        <v>0.20193583905970836</v>
      </c>
      <c r="AH228" s="150">
        <f t="shared" si="639"/>
        <v>6.4498061986388402</v>
      </c>
      <c r="AI228" s="150">
        <f t="shared" si="640"/>
        <v>13.333333333333334</v>
      </c>
      <c r="AJ228" s="150">
        <f t="shared" si="641"/>
        <v>1.0476156853502954</v>
      </c>
      <c r="AL228" s="314">
        <f t="shared" si="642"/>
        <v>60</v>
      </c>
      <c r="AM228" s="144">
        <f t="shared" si="643"/>
        <v>83.327449363016811</v>
      </c>
      <c r="AO228">
        <f t="shared" si="644"/>
        <v>60</v>
      </c>
      <c r="AP228">
        <f t="shared" si="645"/>
        <v>83.327449363016811</v>
      </c>
      <c r="AR228" s="5">
        <f t="shared" si="616"/>
        <v>12.000847351555075</v>
      </c>
      <c r="AS228" s="5">
        <f t="shared" si="604"/>
        <v>1.2531068269364183</v>
      </c>
      <c r="AT228" s="5">
        <f t="shared" si="605"/>
        <v>10.747740524618656</v>
      </c>
      <c r="AU228" s="150">
        <f t="shared" si="606"/>
        <v>0.10441819566799507</v>
      </c>
      <c r="BA228" s="150">
        <f t="shared" si="692"/>
        <v>2.487517824754987</v>
      </c>
      <c r="BB228" s="150">
        <f t="shared" si="693"/>
        <v>0.3402344439154385</v>
      </c>
      <c r="BC228" s="150">
        <f t="shared" si="694"/>
        <v>0.3236605233938224</v>
      </c>
      <c r="BD228" s="150"/>
      <c r="BE228" s="456">
        <f t="shared" si="695"/>
        <v>2.1038332756810857E-2</v>
      </c>
      <c r="BF228" s="456">
        <f t="shared" si="646"/>
        <v>0.65481273597143452</v>
      </c>
      <c r="BG228" s="456">
        <f t="shared" si="647"/>
        <v>6.0910963036670325E-2</v>
      </c>
      <c r="BH228" s="456">
        <f t="shared" si="696"/>
        <v>3.4565927120325281E-2</v>
      </c>
      <c r="BI228">
        <f t="shared" si="697"/>
        <v>7.1821490447092221E-3</v>
      </c>
      <c r="BJ228" s="144">
        <f t="shared" si="698"/>
        <v>68.093112081379559</v>
      </c>
      <c r="BK228">
        <f t="shared" si="648"/>
        <v>0.71969489019952404</v>
      </c>
      <c r="BL228" s="144">
        <f t="shared" si="699"/>
        <v>778.51010792995021</v>
      </c>
      <c r="BM228" s="150">
        <f t="shared" si="649"/>
        <v>0.13312499999999999</v>
      </c>
      <c r="BN228" s="150">
        <f t="shared" si="650"/>
        <v>4.2599999999999999E-2</v>
      </c>
      <c r="BQ228" s="144">
        <f t="shared" si="700"/>
        <v>175.72499999999999</v>
      </c>
      <c r="BR228" s="456">
        <f t="shared" si="701"/>
        <v>9.2816173927106737E-3</v>
      </c>
      <c r="BS228" s="456">
        <f t="shared" si="702"/>
        <v>2.3151895365289533E-2</v>
      </c>
      <c r="BT228" s="456">
        <f t="shared" si="703"/>
        <v>3.1426840321068916E-3</v>
      </c>
      <c r="BU228" s="456">
        <f t="shared" si="704"/>
        <v>2.0572499799137742</v>
      </c>
      <c r="BV228" s="456"/>
      <c r="BW228" s="538">
        <f t="shared" si="705"/>
        <v>1.4813768775647437E-2</v>
      </c>
      <c r="BX228" s="144">
        <f t="shared" si="706"/>
        <v>2107.6399454795287</v>
      </c>
      <c r="BY228" s="150">
        <f t="shared" si="707"/>
        <v>3.0618750534094787</v>
      </c>
      <c r="BZ228" s="5">
        <f t="shared" si="708"/>
        <v>10.92</v>
      </c>
      <c r="CA228" s="150">
        <f t="shared" si="709"/>
        <v>0.78101112749803603</v>
      </c>
      <c r="CB228" s="5">
        <f t="shared" si="710"/>
        <v>78.101112749803605</v>
      </c>
      <c r="CC228">
        <f t="shared" si="711"/>
        <v>12</v>
      </c>
      <c r="CE228" s="59">
        <f t="shared" si="651"/>
        <v>-50</v>
      </c>
      <c r="CG228" s="150">
        <f t="shared" si="652"/>
        <v>0.18760906862344839</v>
      </c>
      <c r="CH228" s="150">
        <f t="shared" si="653"/>
        <v>5.2397254960214544E-2</v>
      </c>
      <c r="CI228" s="147">
        <v>12</v>
      </c>
      <c r="CJ228" s="188">
        <f t="shared" si="712"/>
        <v>0.06</v>
      </c>
      <c r="CK228" s="188">
        <f t="shared" si="654"/>
        <v>0.06</v>
      </c>
      <c r="CL228" s="188">
        <f t="shared" si="655"/>
        <v>10.199999999999999</v>
      </c>
      <c r="CM228" s="188">
        <f t="shared" si="656"/>
        <v>0.72</v>
      </c>
      <c r="CN228" s="465">
        <f t="shared" si="657"/>
        <v>16</v>
      </c>
      <c r="CO228" s="379">
        <f t="shared" si="658"/>
        <v>8.625</v>
      </c>
      <c r="CP228" s="379">
        <f t="shared" si="659"/>
        <v>24.625</v>
      </c>
      <c r="CQ228" s="379"/>
      <c r="CR228" s="188">
        <f t="shared" si="660"/>
        <v>0.34787038923986141</v>
      </c>
      <c r="CS228" s="149">
        <f t="shared" si="661"/>
        <v>173.29806936491266</v>
      </c>
      <c r="CT228" s="149">
        <f t="shared" si="662"/>
        <v>12.232804896346776</v>
      </c>
      <c r="CU228" s="188">
        <f t="shared" si="663"/>
        <v>1.0194004080288981</v>
      </c>
      <c r="CV228" s="188">
        <f t="shared" si="664"/>
        <v>14.441505780409388</v>
      </c>
      <c r="CW228" s="188">
        <f t="shared" si="665"/>
        <v>170</v>
      </c>
      <c r="CX228" s="188">
        <f t="shared" si="666"/>
        <v>3.9238752196836555</v>
      </c>
      <c r="CY228" s="188">
        <f t="shared" si="667"/>
        <v>0.36786330184534272</v>
      </c>
      <c r="CZ228" s="188">
        <f t="shared" si="668"/>
        <v>0.68241308168411408</v>
      </c>
      <c r="DA228" s="172">
        <f t="shared" si="669"/>
        <v>280.20304568527916</v>
      </c>
      <c r="DB228" s="379">
        <f t="shared" si="670"/>
        <v>350</v>
      </c>
      <c r="DD228" s="188">
        <f t="shared" si="671"/>
        <v>13.333333333333332</v>
      </c>
      <c r="DE228" s="150">
        <f t="shared" si="672"/>
        <v>2.318840579710145</v>
      </c>
      <c r="DF228" s="150">
        <f t="shared" si="673"/>
        <v>0.20230192819025303</v>
      </c>
      <c r="DG228" s="150"/>
      <c r="DH228" s="150">
        <f t="shared" si="674"/>
        <v>2.3188405797101455</v>
      </c>
      <c r="DI228" s="314">
        <f t="shared" si="675"/>
        <v>83.104411764705844</v>
      </c>
      <c r="DJ228" s="456">
        <f t="shared" si="676"/>
        <v>0.20230192819025311</v>
      </c>
      <c r="DL228" s="150">
        <f t="shared" si="677"/>
        <v>6.4498061986388402</v>
      </c>
      <c r="DM228" s="150">
        <f t="shared" si="678"/>
        <v>13.333333333333334</v>
      </c>
      <c r="DN228" s="150">
        <f t="shared" si="679"/>
        <v>1.0474882352941177</v>
      </c>
      <c r="DP228" s="314">
        <f t="shared" si="680"/>
        <v>60</v>
      </c>
      <c r="DQ228" s="144">
        <f t="shared" si="681"/>
        <v>83.104411764705844</v>
      </c>
      <c r="DS228">
        <f t="shared" si="682"/>
        <v>60</v>
      </c>
      <c r="DT228">
        <f t="shared" si="683"/>
        <v>83.104411764705844</v>
      </c>
      <c r="DV228" s="5">
        <f t="shared" si="684"/>
        <v>12.033055511316386</v>
      </c>
      <c r="DW228" s="5">
        <f t="shared" si="685"/>
        <v>1.25</v>
      </c>
      <c r="DX228" s="5">
        <f t="shared" si="686"/>
        <v>10.783055511316386</v>
      </c>
      <c r="DY228" s="150">
        <f t="shared" si="687"/>
        <v>0.1038805147058823</v>
      </c>
      <c r="EA228" s="5">
        <f t="shared" si="713"/>
        <v>4.4117647058823525E-2</v>
      </c>
      <c r="EB228" s="5">
        <f t="shared" si="714"/>
        <v>0.625</v>
      </c>
      <c r="EC228" s="5">
        <f t="shared" si="715"/>
        <v>11.456996480773658</v>
      </c>
      <c r="ED228" s="5"/>
      <c r="EE228" s="150">
        <f t="shared" si="716"/>
        <v>2.4811050668887797</v>
      </c>
      <c r="EF228" s="150">
        <f t="shared" si="717"/>
        <v>0.34033656196479883</v>
      </c>
      <c r="EG228" s="150">
        <f t="shared" si="718"/>
        <v>0.32375766694261654</v>
      </c>
      <c r="EH228" s="150"/>
      <c r="EI228" s="456">
        <f t="shared" si="719"/>
        <v>2.0929999999999997E-2</v>
      </c>
      <c r="EJ228" s="456">
        <f t="shared" si="720"/>
        <v>0.82949283529411744</v>
      </c>
      <c r="EK228" s="456">
        <f t="shared" si="721"/>
        <v>1.9030910294117638E-2</v>
      </c>
      <c r="EL228" s="456">
        <f t="shared" si="722"/>
        <v>3.4519709290326266E-2</v>
      </c>
      <c r="EM228">
        <f t="shared" si="723"/>
        <v>7.1999999999999998E-3</v>
      </c>
      <c r="EN228" s="144">
        <f t="shared" si="724"/>
        <v>26.230910294117635</v>
      </c>
      <c r="EP228" s="144">
        <f t="shared" si="725"/>
        <v>911.1734548785613</v>
      </c>
      <c r="EQ228" s="150">
        <f t="shared" si="726"/>
        <v>0.15</v>
      </c>
      <c r="ER228" s="150">
        <f t="shared" si="688"/>
        <v>4.2599999999999999E-2</v>
      </c>
      <c r="ES228" s="456"/>
      <c r="EU228" s="144">
        <f t="shared" si="727"/>
        <v>192.6</v>
      </c>
      <c r="EV228" s="456">
        <f t="shared" si="728"/>
        <v>9.2338235294117648E-3</v>
      </c>
      <c r="EW228" s="456">
        <f t="shared" si="729"/>
        <v>2.3165795082003872E-2</v>
      </c>
      <c r="EX228" s="456">
        <f t="shared" si="730"/>
        <v>3.1445708071237864E-3</v>
      </c>
      <c r="EY228" s="456">
        <f t="shared" si="731"/>
        <v>2.0435113082995717</v>
      </c>
      <c r="EZ228" s="456"/>
      <c r="FA228" s="538">
        <f t="shared" si="732"/>
        <v>1.477411764705882E-2</v>
      </c>
      <c r="FB228" s="144">
        <f t="shared" si="733"/>
        <v>2093.82961536517</v>
      </c>
      <c r="FC228" s="150">
        <f t="shared" si="734"/>
        <v>3.1976030702437312</v>
      </c>
      <c r="FD228" s="5">
        <f t="shared" si="735"/>
        <v>10.92</v>
      </c>
      <c r="FE228" s="150">
        <f t="shared" si="736"/>
        <v>0.7735024101234681</v>
      </c>
      <c r="FF228" s="5">
        <f t="shared" si="737"/>
        <v>77.350241012346814</v>
      </c>
      <c r="FG228">
        <f t="shared" si="738"/>
        <v>12</v>
      </c>
      <c r="FI228" s="59">
        <f t="shared" si="689"/>
        <v>-50</v>
      </c>
    </row>
    <row r="229" spans="5:165">
      <c r="E229" s="147">
        <v>13</v>
      </c>
      <c r="F229" s="188">
        <f t="shared" si="690"/>
        <v>6.5000000000000002E-2</v>
      </c>
      <c r="G229" s="188">
        <f t="shared" si="617"/>
        <v>6.5000000000000002E-2</v>
      </c>
      <c r="H229" s="188">
        <f t="shared" si="618"/>
        <v>11.05</v>
      </c>
      <c r="I229" s="188">
        <f t="shared" si="619"/>
        <v>0.78</v>
      </c>
      <c r="J229" s="465">
        <f t="shared" si="620"/>
        <v>15.960331210464938</v>
      </c>
      <c r="K229" s="379">
        <f t="shared" si="621"/>
        <v>8.648147980288682</v>
      </c>
      <c r="L229" s="149">
        <f t="shared" si="622"/>
        <v>24.60847919075362</v>
      </c>
      <c r="M229" s="379"/>
      <c r="N229" s="188">
        <f t="shared" si="623"/>
        <v>0.35142959925528977</v>
      </c>
      <c r="O229" s="149">
        <f t="shared" si="624"/>
        <v>174.63710187121168</v>
      </c>
      <c r="P229" s="149">
        <f t="shared" si="625"/>
        <v>12.327324837967884</v>
      </c>
      <c r="Q229" s="188">
        <f t="shared" si="626"/>
        <v>1.027277069830657</v>
      </c>
      <c r="R229" s="188">
        <f t="shared" si="627"/>
        <v>14.553091822600974</v>
      </c>
      <c r="S229" s="188">
        <f t="shared" si="628"/>
        <v>170</v>
      </c>
      <c r="T229" s="188">
        <f t="shared" si="629"/>
        <v>4.2182712537793412</v>
      </c>
      <c r="U229" s="188">
        <f t="shared" si="630"/>
        <v>0.39644583794854027</v>
      </c>
      <c r="V229" s="188">
        <f t="shared" si="631"/>
        <v>0.73164877556336616</v>
      </c>
      <c r="W229" s="172">
        <f t="shared" si="632"/>
        <v>280.44664006376934</v>
      </c>
      <c r="X229" s="379">
        <f t="shared" si="691"/>
        <v>350</v>
      </c>
      <c r="Z229" s="188">
        <f t="shared" si="633"/>
        <v>13.333333333333332</v>
      </c>
      <c r="AA229" s="150">
        <f t="shared" si="634"/>
        <v>2.3126338778643771</v>
      </c>
      <c r="AB229" s="150">
        <f t="shared" si="635"/>
        <v>0.20193583905970827</v>
      </c>
      <c r="AC229" s="150"/>
      <c r="AD229" s="150">
        <f t="shared" si="636"/>
        <v>2.3126338778643776</v>
      </c>
      <c r="AE229" s="314">
        <f t="shared" si="637"/>
        <v>90.271403476601549</v>
      </c>
      <c r="AF229" s="456">
        <f t="shared" si="638"/>
        <v>0.20193583905970836</v>
      </c>
      <c r="AH229" s="150">
        <f t="shared" si="639"/>
        <v>6.7131711334261892</v>
      </c>
      <c r="AI229" s="150">
        <f t="shared" si="640"/>
        <v>13.333333333333334</v>
      </c>
      <c r="AJ229" s="150">
        <f t="shared" si="641"/>
        <v>1.0515836591294867</v>
      </c>
      <c r="AL229" s="314">
        <f t="shared" si="642"/>
        <v>65</v>
      </c>
      <c r="AM229" s="144">
        <f t="shared" si="643"/>
        <v>90.271403476601549</v>
      </c>
      <c r="AO229">
        <f t="shared" si="644"/>
        <v>65</v>
      </c>
      <c r="AP229">
        <f t="shared" si="645"/>
        <v>90.271403476601549</v>
      </c>
      <c r="AR229" s="5">
        <f t="shared" si="616"/>
        <v>11.0777052475893</v>
      </c>
      <c r="AS229" s="5">
        <f t="shared" si="604"/>
        <v>1.2531068269364183</v>
      </c>
      <c r="AT229" s="5">
        <f t="shared" si="605"/>
        <v>9.8245984206528814</v>
      </c>
      <c r="AU229" s="150">
        <f t="shared" si="606"/>
        <v>0.11311971197366133</v>
      </c>
      <c r="BA229" s="150">
        <f t="shared" si="692"/>
        <v>2.5890906394292053</v>
      </c>
      <c r="BB229" s="150">
        <f t="shared" si="693"/>
        <v>0.33857754226710535</v>
      </c>
      <c r="BC229" s="150">
        <f t="shared" si="694"/>
        <v>0.32208433478534376</v>
      </c>
      <c r="BD229" s="150"/>
      <c r="BE229" s="456">
        <f t="shared" si="695"/>
        <v>2.2791527153211765E-2</v>
      </c>
      <c r="BF229" s="456">
        <f t="shared" si="646"/>
        <v>0.70938046396905408</v>
      </c>
      <c r="BG229" s="456">
        <f t="shared" si="647"/>
        <v>6.5986876623059521E-2</v>
      </c>
      <c r="BH229" s="456">
        <f t="shared" si="696"/>
        <v>3.7446421047019056E-2</v>
      </c>
      <c r="BI229">
        <f t="shared" si="697"/>
        <v>7.1821490447092221E-3</v>
      </c>
      <c r="BJ229" s="144">
        <f t="shared" si="698"/>
        <v>73.169025667768736</v>
      </c>
      <c r="BK229">
        <f t="shared" si="648"/>
        <v>0.77999601104363925</v>
      </c>
      <c r="BL229" s="144">
        <f t="shared" si="699"/>
        <v>842.78743783705352</v>
      </c>
      <c r="BM229" s="150">
        <f t="shared" si="649"/>
        <v>0.14421875000000001</v>
      </c>
      <c r="BN229" s="150">
        <f t="shared" si="650"/>
        <v>4.6150000000000004E-2</v>
      </c>
      <c r="BQ229" s="144">
        <f t="shared" si="700"/>
        <v>190.36875000000001</v>
      </c>
      <c r="BR229" s="456">
        <f t="shared" si="701"/>
        <v>1.0055085508769896E-2</v>
      </c>
      <c r="BS229" s="456">
        <f t="shared" si="702"/>
        <v>2.2926950425526702E-2</v>
      </c>
      <c r="BT229" s="456">
        <f t="shared" si="703"/>
        <v>3.1121495614235221E-3</v>
      </c>
      <c r="BU229" s="456">
        <f t="shared" si="704"/>
        <v>2.5129990962309772</v>
      </c>
      <c r="BV229" s="456"/>
      <c r="BW229" s="538">
        <f t="shared" si="705"/>
        <v>1.6048249506951391E-2</v>
      </c>
      <c r="BX229" s="144">
        <f t="shared" si="706"/>
        <v>2565.1415312336489</v>
      </c>
      <c r="BY229" s="150">
        <f t="shared" si="707"/>
        <v>3.5982977190707022</v>
      </c>
      <c r="BZ229" s="5">
        <f t="shared" si="708"/>
        <v>11.83</v>
      </c>
      <c r="CA229" s="150">
        <f t="shared" si="709"/>
        <v>0.76677286214000806</v>
      </c>
      <c r="CB229" s="5">
        <f t="shared" si="710"/>
        <v>76.677286214000802</v>
      </c>
      <c r="CC229">
        <f t="shared" si="711"/>
        <v>13</v>
      </c>
      <c r="CE229" s="59">
        <f t="shared" si="651"/>
        <v>-50</v>
      </c>
      <c r="CG229" s="150">
        <f t="shared" si="652"/>
        <v>0.20324315767540246</v>
      </c>
      <c r="CH229" s="150">
        <f t="shared" si="653"/>
        <v>5.6763692873565759E-2</v>
      </c>
      <c r="CI229" s="147">
        <v>13</v>
      </c>
      <c r="CJ229" s="188">
        <f t="shared" si="712"/>
        <v>6.5000000000000002E-2</v>
      </c>
      <c r="CK229" s="188">
        <f t="shared" si="654"/>
        <v>6.5000000000000002E-2</v>
      </c>
      <c r="CL229" s="188">
        <f t="shared" si="655"/>
        <v>11.05</v>
      </c>
      <c r="CM229" s="188">
        <f t="shared" si="656"/>
        <v>0.78</v>
      </c>
      <c r="CN229" s="465">
        <f t="shared" si="657"/>
        <v>16</v>
      </c>
      <c r="CO229" s="379">
        <f t="shared" si="658"/>
        <v>8.625</v>
      </c>
      <c r="CP229" s="379">
        <f t="shared" si="659"/>
        <v>24.625</v>
      </c>
      <c r="CQ229" s="379"/>
      <c r="CR229" s="188">
        <f t="shared" si="660"/>
        <v>0.34787038923986141</v>
      </c>
      <c r="CS229" s="149">
        <f t="shared" si="661"/>
        <v>173.29806936491266</v>
      </c>
      <c r="CT229" s="149">
        <f t="shared" si="662"/>
        <v>12.232804896346776</v>
      </c>
      <c r="CU229" s="188">
        <f t="shared" si="663"/>
        <v>1.0194004080288981</v>
      </c>
      <c r="CV229" s="188">
        <f t="shared" si="664"/>
        <v>14.441505780409388</v>
      </c>
      <c r="CW229" s="188">
        <f t="shared" si="665"/>
        <v>170</v>
      </c>
      <c r="CX229" s="188">
        <f t="shared" si="666"/>
        <v>4.2508648213239599</v>
      </c>
      <c r="CY229" s="188">
        <f t="shared" si="667"/>
        <v>0.39851857699912124</v>
      </c>
      <c r="CZ229" s="188">
        <f t="shared" si="668"/>
        <v>0.73928083849112347</v>
      </c>
      <c r="DA229" s="172">
        <f t="shared" si="669"/>
        <v>280.20304568527916</v>
      </c>
      <c r="DB229" s="379">
        <f t="shared" si="670"/>
        <v>350</v>
      </c>
      <c r="DD229" s="188">
        <f t="shared" si="671"/>
        <v>13.333333333333332</v>
      </c>
      <c r="DE229" s="150">
        <f t="shared" si="672"/>
        <v>2.318840579710145</v>
      </c>
      <c r="DF229" s="150">
        <f t="shared" si="673"/>
        <v>0.20230192819025303</v>
      </c>
      <c r="DG229" s="150"/>
      <c r="DH229" s="150">
        <f t="shared" si="674"/>
        <v>2.3188405797101455</v>
      </c>
      <c r="DI229" s="314">
        <f t="shared" si="675"/>
        <v>90.029779411764679</v>
      </c>
      <c r="DJ229" s="456">
        <f t="shared" si="676"/>
        <v>0.20230192819025311</v>
      </c>
      <c r="DL229" s="150">
        <f t="shared" si="677"/>
        <v>6.7131711334261892</v>
      </c>
      <c r="DM229" s="150">
        <f t="shared" si="678"/>
        <v>13.333333333333334</v>
      </c>
      <c r="DN229" s="150">
        <f t="shared" si="679"/>
        <v>1.051445588235294</v>
      </c>
      <c r="DP229" s="314">
        <f t="shared" si="680"/>
        <v>65</v>
      </c>
      <c r="DQ229" s="144">
        <f t="shared" si="681"/>
        <v>90.029779411764679</v>
      </c>
      <c r="DS229">
        <f t="shared" si="682"/>
        <v>65</v>
      </c>
      <c r="DT229">
        <f t="shared" si="683"/>
        <v>90.029779411764679</v>
      </c>
      <c r="DV229" s="5">
        <f t="shared" si="684"/>
        <v>11.107435856599739</v>
      </c>
      <c r="DW229" s="5">
        <f t="shared" si="685"/>
        <v>1.25</v>
      </c>
      <c r="DX229" s="5">
        <f t="shared" si="686"/>
        <v>9.8574358565997393</v>
      </c>
      <c r="DY229" s="150">
        <f t="shared" si="687"/>
        <v>0.11253722426470585</v>
      </c>
      <c r="EA229" s="5">
        <f t="shared" si="713"/>
        <v>4.7794117647058827E-2</v>
      </c>
      <c r="EB229" s="5">
        <f t="shared" si="714"/>
        <v>0.67708333333333337</v>
      </c>
      <c r="EC229" s="5">
        <f t="shared" si="715"/>
        <v>11.346319397440324</v>
      </c>
      <c r="ED229" s="5"/>
      <c r="EE229" s="150">
        <f t="shared" si="716"/>
        <v>2.5824160294227587</v>
      </c>
      <c r="EF229" s="150">
        <f t="shared" si="717"/>
        <v>0.33868870996807121</v>
      </c>
      <c r="EG229" s="150">
        <f t="shared" si="718"/>
        <v>0.32219008714793534</v>
      </c>
      <c r="EH229" s="150"/>
      <c r="EI229" s="456">
        <f t="shared" si="719"/>
        <v>2.2674166666666662E-2</v>
      </c>
      <c r="EJ229" s="456">
        <f t="shared" si="720"/>
        <v>0.89861723823529394</v>
      </c>
      <c r="EK229" s="456">
        <f t="shared" si="721"/>
        <v>2.0616819485294112E-2</v>
      </c>
      <c r="EL229" s="456">
        <f t="shared" si="722"/>
        <v>3.73963517311868E-2</v>
      </c>
      <c r="EM229">
        <f t="shared" si="723"/>
        <v>7.1999999999999998E-3</v>
      </c>
      <c r="EN229" s="144">
        <f t="shared" si="724"/>
        <v>27.816819485294111</v>
      </c>
      <c r="EP229" s="144">
        <f t="shared" si="725"/>
        <v>986.50457611844161</v>
      </c>
      <c r="EQ229" s="150">
        <f t="shared" si="726"/>
        <v>0.16250000000000001</v>
      </c>
      <c r="ER229" s="150">
        <f t="shared" si="688"/>
        <v>4.6150000000000004E-2</v>
      </c>
      <c r="ES229" s="456"/>
      <c r="EU229" s="144">
        <f t="shared" si="727"/>
        <v>208.65</v>
      </c>
      <c r="EV229" s="456">
        <f t="shared" si="728"/>
        <v>1.000330882352941E-2</v>
      </c>
      <c r="EW229" s="456">
        <f t="shared" si="729"/>
        <v>2.2942008451967255E-2</v>
      </c>
      <c r="EX229" s="456">
        <f t="shared" si="730"/>
        <v>3.1141935676918253E-3</v>
      </c>
      <c r="EY229" s="456">
        <f t="shared" si="731"/>
        <v>2.496216853097192</v>
      </c>
      <c r="EZ229" s="456"/>
      <c r="FA229" s="538">
        <f t="shared" si="732"/>
        <v>1.6005294117647055E-2</v>
      </c>
      <c r="FB229" s="144">
        <f t="shared" si="733"/>
        <v>2548.2816580580275</v>
      </c>
      <c r="FC229" s="150">
        <f t="shared" si="734"/>
        <v>3.7434362341764689</v>
      </c>
      <c r="FD229" s="5">
        <f t="shared" si="735"/>
        <v>11.83</v>
      </c>
      <c r="FE229" s="150">
        <f t="shared" si="736"/>
        <v>0.7596268300786847</v>
      </c>
      <c r="FF229" s="5">
        <f t="shared" si="737"/>
        <v>75.962683007868463</v>
      </c>
      <c r="FG229">
        <f t="shared" si="738"/>
        <v>13</v>
      </c>
      <c r="FI229" s="59">
        <f t="shared" si="689"/>
        <v>-50</v>
      </c>
    </row>
    <row r="230" spans="5:165">
      <c r="E230" s="147">
        <v>14</v>
      </c>
      <c r="F230" s="188">
        <f t="shared" si="690"/>
        <v>7.0000000000000007E-2</v>
      </c>
      <c r="G230" s="188">
        <f t="shared" si="617"/>
        <v>7.0000000000000007E-2</v>
      </c>
      <c r="H230" s="188">
        <f t="shared" si="618"/>
        <v>11.9</v>
      </c>
      <c r="I230" s="188">
        <f t="shared" si="619"/>
        <v>0.84000000000000008</v>
      </c>
      <c r="J230" s="465">
        <f t="shared" si="620"/>
        <v>15.960331210464938</v>
      </c>
      <c r="K230" s="379">
        <f t="shared" si="621"/>
        <v>8.648147980288682</v>
      </c>
      <c r="L230" s="149">
        <f t="shared" si="622"/>
        <v>24.60847919075362</v>
      </c>
      <c r="M230" s="379"/>
      <c r="N230" s="188">
        <f t="shared" si="623"/>
        <v>0.35142959925528977</v>
      </c>
      <c r="O230" s="149">
        <f t="shared" si="624"/>
        <v>174.63710187121168</v>
      </c>
      <c r="P230" s="149">
        <f t="shared" si="625"/>
        <v>12.327324837967884</v>
      </c>
      <c r="Q230" s="188">
        <f t="shared" si="626"/>
        <v>1.027277069830657</v>
      </c>
      <c r="R230" s="188">
        <f t="shared" si="627"/>
        <v>14.553091822600974</v>
      </c>
      <c r="S230" s="188">
        <f t="shared" si="628"/>
        <v>170</v>
      </c>
      <c r="T230" s="188">
        <f t="shared" si="629"/>
        <v>4.5427536579162142</v>
      </c>
      <c r="U230" s="188">
        <f t="shared" si="630"/>
        <v>0.42694167163688951</v>
      </c>
      <c r="V230" s="188">
        <f t="shared" si="631"/>
        <v>0.78792945060670205</v>
      </c>
      <c r="W230" s="172">
        <f t="shared" si="632"/>
        <v>280.44664006376934</v>
      </c>
      <c r="X230" s="379">
        <f t="shared" si="691"/>
        <v>350</v>
      </c>
      <c r="Z230" s="188">
        <f t="shared" si="633"/>
        <v>13.333333333333332</v>
      </c>
      <c r="AA230" s="150">
        <f t="shared" si="634"/>
        <v>2.3126338778643771</v>
      </c>
      <c r="AB230" s="150">
        <f t="shared" si="635"/>
        <v>0.20193583905970827</v>
      </c>
      <c r="AC230" s="150"/>
      <c r="AD230" s="150">
        <f t="shared" si="636"/>
        <v>2.3126338778643776</v>
      </c>
      <c r="AE230" s="314">
        <f t="shared" si="637"/>
        <v>97.215357590186287</v>
      </c>
      <c r="AF230" s="456">
        <f t="shared" si="638"/>
        <v>0.20193583905970836</v>
      </c>
      <c r="AH230" s="150">
        <f t="shared" si="639"/>
        <v>6.9665869213936702</v>
      </c>
      <c r="AI230" s="150">
        <f t="shared" si="640"/>
        <v>13.333333333333334</v>
      </c>
      <c r="AJ230" s="150">
        <f t="shared" si="641"/>
        <v>1.0555516329086778</v>
      </c>
      <c r="AL230" s="314">
        <f t="shared" si="642"/>
        <v>70</v>
      </c>
      <c r="AM230" s="144">
        <f t="shared" si="643"/>
        <v>97.215357590186287</v>
      </c>
      <c r="AO230">
        <f t="shared" si="644"/>
        <v>70</v>
      </c>
      <c r="AP230">
        <f t="shared" si="645"/>
        <v>97.215357590186287</v>
      </c>
      <c r="AR230" s="5">
        <f t="shared" si="616"/>
        <v>10.286440587047206</v>
      </c>
      <c r="AS230" s="5">
        <f t="shared" si="604"/>
        <v>1.2531068269364183</v>
      </c>
      <c r="AT230" s="5">
        <f t="shared" si="605"/>
        <v>9.0333337601107875</v>
      </c>
      <c r="AU230" s="150">
        <f t="shared" si="606"/>
        <v>0.12182122827932759</v>
      </c>
      <c r="BA230" s="150">
        <f t="shared" si="692"/>
        <v>2.6868263341507732</v>
      </c>
      <c r="BB230" s="150">
        <f t="shared" si="693"/>
        <v>0.33691249224215386</v>
      </c>
      <c r="BC230" s="150">
        <f t="shared" si="694"/>
        <v>0.32050039473403419</v>
      </c>
      <c r="BD230" s="150"/>
      <c r="BE230" s="456">
        <f t="shared" si="695"/>
        <v>2.4544721549612677E-2</v>
      </c>
      <c r="BF230" s="456">
        <f t="shared" si="646"/>
        <v>0.76394819196667374</v>
      </c>
      <c r="BG230" s="456">
        <f t="shared" si="647"/>
        <v>7.1062790209448723E-2</v>
      </c>
      <c r="BH230" s="456">
        <f t="shared" si="696"/>
        <v>4.0326914973712831E-2</v>
      </c>
      <c r="BI230">
        <f t="shared" si="697"/>
        <v>7.1821490447092221E-3</v>
      </c>
      <c r="BJ230" s="144">
        <f t="shared" si="698"/>
        <v>78.244939254157941</v>
      </c>
      <c r="BK230">
        <f t="shared" si="648"/>
        <v>0.84034766453316079</v>
      </c>
      <c r="BL230" s="144">
        <f t="shared" si="699"/>
        <v>907.06476774415728</v>
      </c>
      <c r="BM230" s="150">
        <f t="shared" si="649"/>
        <v>0.15531250000000002</v>
      </c>
      <c r="BN230" s="150">
        <f t="shared" si="650"/>
        <v>4.9700000000000008E-2</v>
      </c>
      <c r="BQ230" s="144">
        <f t="shared" si="700"/>
        <v>205.01250000000005</v>
      </c>
      <c r="BR230" s="456">
        <f t="shared" si="701"/>
        <v>1.0828553624829124E-2</v>
      </c>
      <c r="BS230" s="456">
        <f t="shared" si="702"/>
        <v>2.2702005485763878E-2</v>
      </c>
      <c r="BT230" s="456">
        <f t="shared" si="703"/>
        <v>3.0816150907401517E-3</v>
      </c>
      <c r="BU230" s="456">
        <f t="shared" si="704"/>
        <v>3.0245031477299578</v>
      </c>
      <c r="BV230" s="456"/>
      <c r="BW230" s="538">
        <f t="shared" si="705"/>
        <v>1.7282730238255342E-2</v>
      </c>
      <c r="BX230" s="144">
        <f t="shared" si="706"/>
        <v>3078.3980521695466</v>
      </c>
      <c r="BY230" s="150">
        <f t="shared" si="707"/>
        <v>4.1904753199137037</v>
      </c>
      <c r="BZ230" s="5">
        <f t="shared" si="708"/>
        <v>12.74</v>
      </c>
      <c r="CA230" s="150">
        <f t="shared" si="709"/>
        <v>0.7524892100941285</v>
      </c>
      <c r="CB230" s="5">
        <f t="shared" si="710"/>
        <v>75.248921009412854</v>
      </c>
      <c r="CC230">
        <f t="shared" si="711"/>
        <v>14.000000000000002</v>
      </c>
      <c r="CE230" s="59">
        <f t="shared" si="651"/>
        <v>-50</v>
      </c>
      <c r="CG230" s="150">
        <f t="shared" si="652"/>
        <v>0.21887724672735651</v>
      </c>
      <c r="CH230" s="150">
        <f t="shared" si="653"/>
        <v>6.1130130786916981E-2</v>
      </c>
      <c r="CI230" s="147">
        <v>14</v>
      </c>
      <c r="CJ230" s="188">
        <f t="shared" si="712"/>
        <v>7.0000000000000007E-2</v>
      </c>
      <c r="CK230" s="188">
        <f t="shared" si="654"/>
        <v>7.0000000000000007E-2</v>
      </c>
      <c r="CL230" s="188">
        <f t="shared" si="655"/>
        <v>11.9</v>
      </c>
      <c r="CM230" s="188">
        <f t="shared" si="656"/>
        <v>0.84000000000000008</v>
      </c>
      <c r="CN230" s="465">
        <f t="shared" si="657"/>
        <v>16</v>
      </c>
      <c r="CO230" s="379">
        <f t="shared" si="658"/>
        <v>8.625</v>
      </c>
      <c r="CP230" s="379">
        <f t="shared" si="659"/>
        <v>24.625</v>
      </c>
      <c r="CQ230" s="379"/>
      <c r="CR230" s="188">
        <f t="shared" si="660"/>
        <v>0.34787038923986141</v>
      </c>
      <c r="CS230" s="149">
        <f t="shared" si="661"/>
        <v>173.29806936491266</v>
      </c>
      <c r="CT230" s="149">
        <f t="shared" si="662"/>
        <v>12.232804896346776</v>
      </c>
      <c r="CU230" s="188">
        <f t="shared" si="663"/>
        <v>1.0194004080288981</v>
      </c>
      <c r="CV230" s="188">
        <f t="shared" si="664"/>
        <v>14.441505780409388</v>
      </c>
      <c r="CW230" s="188">
        <f t="shared" si="665"/>
        <v>170</v>
      </c>
      <c r="CX230" s="188">
        <f t="shared" si="666"/>
        <v>4.5778544229642648</v>
      </c>
      <c r="CY230" s="188">
        <f t="shared" si="667"/>
        <v>0.42917385215289983</v>
      </c>
      <c r="CZ230" s="188">
        <f t="shared" si="668"/>
        <v>0.79614859529813298</v>
      </c>
      <c r="DA230" s="172">
        <f t="shared" si="669"/>
        <v>280.20304568527916</v>
      </c>
      <c r="DB230" s="379">
        <f t="shared" si="670"/>
        <v>350</v>
      </c>
      <c r="DD230" s="188">
        <f t="shared" si="671"/>
        <v>13.333333333333332</v>
      </c>
      <c r="DE230" s="150">
        <f t="shared" si="672"/>
        <v>2.318840579710145</v>
      </c>
      <c r="DF230" s="150">
        <f t="shared" si="673"/>
        <v>0.20230192819025303</v>
      </c>
      <c r="DG230" s="150"/>
      <c r="DH230" s="150">
        <f t="shared" si="674"/>
        <v>2.3188405797101455</v>
      </c>
      <c r="DI230" s="314">
        <f t="shared" si="675"/>
        <v>96.955147058823513</v>
      </c>
      <c r="DJ230" s="456">
        <f t="shared" si="676"/>
        <v>0.20230192819025311</v>
      </c>
      <c r="DL230" s="150">
        <f t="shared" si="677"/>
        <v>6.9665869213936702</v>
      </c>
      <c r="DM230" s="150">
        <f t="shared" si="678"/>
        <v>13.333333333333334</v>
      </c>
      <c r="DN230" s="150">
        <f t="shared" si="679"/>
        <v>1.0554029411764705</v>
      </c>
      <c r="DP230" s="314">
        <f t="shared" si="680"/>
        <v>70</v>
      </c>
      <c r="DQ230" s="144">
        <f t="shared" si="681"/>
        <v>96.955147058823513</v>
      </c>
      <c r="DS230">
        <f t="shared" si="682"/>
        <v>70</v>
      </c>
      <c r="DT230">
        <f t="shared" si="683"/>
        <v>96.955147058823513</v>
      </c>
      <c r="DV230" s="5">
        <f t="shared" si="684"/>
        <v>10.314047581128328</v>
      </c>
      <c r="DW230" s="5">
        <f t="shared" si="685"/>
        <v>1.25</v>
      </c>
      <c r="DX230" s="5">
        <f t="shared" si="686"/>
        <v>9.0640475811283281</v>
      </c>
      <c r="DY230" s="150">
        <f t="shared" si="687"/>
        <v>0.12119393382352939</v>
      </c>
      <c r="EA230" s="5">
        <f t="shared" si="713"/>
        <v>5.1470588235294122E-2</v>
      </c>
      <c r="EB230" s="5">
        <f t="shared" si="714"/>
        <v>0.72916666666666674</v>
      </c>
      <c r="EC230" s="5">
        <f t="shared" si="715"/>
        <v>11.23564231410699</v>
      </c>
      <c r="ED230" s="5"/>
      <c r="EE230" s="150">
        <f t="shared" si="716"/>
        <v>2.6798997640020117</v>
      </c>
      <c r="EF230" s="150">
        <f t="shared" si="717"/>
        <v>0.33703280123699103</v>
      </c>
      <c r="EG230" s="150">
        <f t="shared" si="718"/>
        <v>0.32061484308849786</v>
      </c>
      <c r="EH230" s="150"/>
      <c r="EI230" s="456">
        <f t="shared" si="719"/>
        <v>2.4418333333333327E-2</v>
      </c>
      <c r="EJ230" s="456">
        <f t="shared" si="720"/>
        <v>0.96774164117647055</v>
      </c>
      <c r="EK230" s="456">
        <f t="shared" si="721"/>
        <v>2.2202728676470586E-2</v>
      </c>
      <c r="EL230" s="456">
        <f t="shared" si="722"/>
        <v>4.0272994172047327E-2</v>
      </c>
      <c r="EM230">
        <f t="shared" si="723"/>
        <v>7.1999999999999998E-3</v>
      </c>
      <c r="EN230" s="144">
        <f t="shared" si="724"/>
        <v>29.402728676470584</v>
      </c>
      <c r="EP230" s="144">
        <f t="shared" si="725"/>
        <v>1061.835697358322</v>
      </c>
      <c r="EQ230" s="150">
        <f t="shared" si="726"/>
        <v>0.17500000000000002</v>
      </c>
      <c r="ER230" s="150">
        <f t="shared" si="688"/>
        <v>4.9700000000000008E-2</v>
      </c>
      <c r="ES230" s="456"/>
      <c r="EU230" s="144">
        <f t="shared" si="727"/>
        <v>224.70000000000002</v>
      </c>
      <c r="EV230" s="456">
        <f t="shared" si="728"/>
        <v>1.0772794117647057E-2</v>
      </c>
      <c r="EW230" s="456">
        <f t="shared" si="729"/>
        <v>2.2718221821930621E-2</v>
      </c>
      <c r="EX230" s="456">
        <f t="shared" si="730"/>
        <v>3.0838163282598629E-3</v>
      </c>
      <c r="EY230" s="456">
        <f t="shared" si="731"/>
        <v>3.0043049919645104</v>
      </c>
      <c r="EZ230" s="456"/>
      <c r="FA230" s="538">
        <f t="shared" si="732"/>
        <v>1.7236470588235298E-2</v>
      </c>
      <c r="FB230" s="144">
        <f t="shared" si="733"/>
        <v>3058.1162948205833</v>
      </c>
      <c r="FC230" s="150">
        <f t="shared" si="734"/>
        <v>4.3446519921789051</v>
      </c>
      <c r="FD230" s="5">
        <f t="shared" si="735"/>
        <v>12.74</v>
      </c>
      <c r="FE230" s="150">
        <f t="shared" si="736"/>
        <v>0.74569853725040336</v>
      </c>
      <c r="FF230" s="5">
        <f t="shared" si="737"/>
        <v>74.569853725040332</v>
      </c>
      <c r="FG230">
        <f t="shared" si="738"/>
        <v>14.000000000000002</v>
      </c>
      <c r="FI230" s="59">
        <f t="shared" si="689"/>
        <v>-50</v>
      </c>
    </row>
    <row r="231" spans="5:165">
      <c r="E231" s="147">
        <v>15</v>
      </c>
      <c r="F231" s="188">
        <f t="shared" si="690"/>
        <v>7.4999999999999997E-2</v>
      </c>
      <c r="G231" s="188">
        <f t="shared" si="617"/>
        <v>7.4999999999999997E-2</v>
      </c>
      <c r="H231" s="188">
        <f t="shared" si="618"/>
        <v>12.75</v>
      </c>
      <c r="I231" s="188">
        <f t="shared" si="619"/>
        <v>0.89999999999999991</v>
      </c>
      <c r="J231" s="465">
        <f t="shared" si="620"/>
        <v>15.960331210464938</v>
      </c>
      <c r="K231" s="379">
        <f t="shared" si="621"/>
        <v>8.648147980288682</v>
      </c>
      <c r="L231" s="149">
        <f t="shared" si="622"/>
        <v>24.60847919075362</v>
      </c>
      <c r="M231" s="379"/>
      <c r="N231" s="188">
        <f t="shared" si="623"/>
        <v>0.35142959925528977</v>
      </c>
      <c r="O231" s="149">
        <f t="shared" si="624"/>
        <v>174.63710187121168</v>
      </c>
      <c r="P231" s="149">
        <f t="shared" si="625"/>
        <v>12.327324837967884</v>
      </c>
      <c r="Q231" s="188">
        <f t="shared" si="626"/>
        <v>1.027277069830657</v>
      </c>
      <c r="R231" s="188">
        <f t="shared" si="627"/>
        <v>14.553091822600974</v>
      </c>
      <c r="S231" s="188">
        <f t="shared" si="628"/>
        <v>170</v>
      </c>
      <c r="T231" s="188">
        <f t="shared" si="629"/>
        <v>4.8672360620530863</v>
      </c>
      <c r="U231" s="188">
        <f t="shared" si="630"/>
        <v>0.4574375053252388</v>
      </c>
      <c r="V231" s="188">
        <f t="shared" si="631"/>
        <v>0.84421012565003783</v>
      </c>
      <c r="W231" s="172">
        <f t="shared" si="632"/>
        <v>280.44664006376934</v>
      </c>
      <c r="X231" s="379">
        <f t="shared" si="691"/>
        <v>350</v>
      </c>
      <c r="Z231" s="188">
        <f t="shared" si="633"/>
        <v>13.333333333333332</v>
      </c>
      <c r="AA231" s="150">
        <f t="shared" si="634"/>
        <v>2.3126338778643771</v>
      </c>
      <c r="AB231" s="150">
        <f t="shared" si="635"/>
        <v>0.20193583905970827</v>
      </c>
      <c r="AC231" s="150"/>
      <c r="AD231" s="150">
        <f t="shared" si="636"/>
        <v>2.3126338778643776</v>
      </c>
      <c r="AE231" s="314">
        <f t="shared" si="637"/>
        <v>104.15931170377101</v>
      </c>
      <c r="AF231" s="456">
        <f t="shared" si="638"/>
        <v>0.20193583905970836</v>
      </c>
      <c r="AH231" s="150">
        <f t="shared" si="639"/>
        <v>7.2111025509279782</v>
      </c>
      <c r="AI231" s="150">
        <f t="shared" si="640"/>
        <v>13.333333333333334</v>
      </c>
      <c r="AJ231" s="150">
        <f t="shared" si="641"/>
        <v>1.0595196066878692</v>
      </c>
      <c r="AL231" s="314">
        <f t="shared" si="642"/>
        <v>75</v>
      </c>
      <c r="AM231" s="144">
        <f t="shared" si="643"/>
        <v>104.15931170377101</v>
      </c>
      <c r="AO231">
        <f t="shared" si="644"/>
        <v>75</v>
      </c>
      <c r="AP231">
        <f t="shared" si="645"/>
        <v>104.15931170377101</v>
      </c>
      <c r="AR231" s="5">
        <f t="shared" si="616"/>
        <v>9.6006778812440601</v>
      </c>
      <c r="AS231" s="5">
        <f t="shared" si="604"/>
        <v>1.2531068269364183</v>
      </c>
      <c r="AT231" s="5">
        <f t="shared" si="605"/>
        <v>8.3475710543076413</v>
      </c>
      <c r="AU231" s="150">
        <f t="shared" si="606"/>
        <v>0.13052274458499383</v>
      </c>
      <c r="BA231" s="150">
        <f t="shared" si="692"/>
        <v>2.7811294756972802</v>
      </c>
      <c r="BB231" s="150">
        <f t="shared" si="693"/>
        <v>0.33523917242769419</v>
      </c>
      <c r="BC231" s="150">
        <f t="shared" si="694"/>
        <v>0.31890858774141861</v>
      </c>
      <c r="BD231" s="150"/>
      <c r="BE231" s="456">
        <f t="shared" si="695"/>
        <v>2.6297915946013575E-2</v>
      </c>
      <c r="BF231" s="456">
        <f t="shared" si="646"/>
        <v>0.81851591996429296</v>
      </c>
      <c r="BG231" s="456">
        <f t="shared" si="647"/>
        <v>7.6138703795837898E-2</v>
      </c>
      <c r="BH231" s="456">
        <f t="shared" si="696"/>
        <v>4.3207408900406606E-2</v>
      </c>
      <c r="BI231">
        <f t="shared" si="697"/>
        <v>7.1821490447092221E-3</v>
      </c>
      <c r="BJ231" s="144">
        <f t="shared" si="698"/>
        <v>83.320852840547118</v>
      </c>
      <c r="BK231">
        <f t="shared" si="648"/>
        <v>0.90074991421463402</v>
      </c>
      <c r="BL231" s="144">
        <f t="shared" si="699"/>
        <v>971.34209765126036</v>
      </c>
      <c r="BM231" s="150">
        <f t="shared" si="649"/>
        <v>0.16640624999999998</v>
      </c>
      <c r="BN231" s="150">
        <f t="shared" si="650"/>
        <v>5.3249999999999999E-2</v>
      </c>
      <c r="BQ231" s="144">
        <f t="shared" si="700"/>
        <v>219.65624999999997</v>
      </c>
      <c r="BR231" s="456">
        <f t="shared" si="701"/>
        <v>1.1602021740888343E-2</v>
      </c>
      <c r="BS231" s="456">
        <f t="shared" si="702"/>
        <v>2.2477060546001057E-2</v>
      </c>
      <c r="BT231" s="456">
        <f t="shared" si="703"/>
        <v>3.0510806200567827E-3</v>
      </c>
      <c r="BU231" s="456">
        <f t="shared" si="704"/>
        <v>3.59386781390412</v>
      </c>
      <c r="BV231" s="456"/>
      <c r="BW231" s="538">
        <f t="shared" si="705"/>
        <v>1.8517210969559297E-2</v>
      </c>
      <c r="BX231" s="144">
        <f t="shared" si="706"/>
        <v>3649.5151877806252</v>
      </c>
      <c r="BY231" s="150">
        <f t="shared" si="707"/>
        <v>4.840513535431886</v>
      </c>
      <c r="BZ231" s="5">
        <f t="shared" si="708"/>
        <v>13.65</v>
      </c>
      <c r="CA231" s="150">
        <f t="shared" si="709"/>
        <v>0.73821638181349591</v>
      </c>
      <c r="CB231" s="5">
        <f t="shared" si="710"/>
        <v>73.821638181349584</v>
      </c>
      <c r="CC231">
        <f t="shared" si="711"/>
        <v>15</v>
      </c>
      <c r="CE231" s="59">
        <f t="shared" si="651"/>
        <v>-50</v>
      </c>
      <c r="CG231" s="150">
        <f t="shared" si="652"/>
        <v>0.23451133577931049</v>
      </c>
      <c r="CH231" s="150">
        <f t="shared" si="653"/>
        <v>6.5496568700268168E-2</v>
      </c>
      <c r="CI231" s="147">
        <v>15</v>
      </c>
      <c r="CJ231" s="188">
        <f t="shared" si="712"/>
        <v>7.4999999999999997E-2</v>
      </c>
      <c r="CK231" s="188">
        <f t="shared" si="654"/>
        <v>7.4999999999999997E-2</v>
      </c>
      <c r="CL231" s="188">
        <f t="shared" si="655"/>
        <v>12.75</v>
      </c>
      <c r="CM231" s="188">
        <f t="shared" si="656"/>
        <v>0.89999999999999991</v>
      </c>
      <c r="CN231" s="465">
        <f t="shared" si="657"/>
        <v>16</v>
      </c>
      <c r="CO231" s="379">
        <f t="shared" si="658"/>
        <v>8.625</v>
      </c>
      <c r="CP231" s="379">
        <f t="shared" si="659"/>
        <v>24.625</v>
      </c>
      <c r="CQ231" s="379"/>
      <c r="CR231" s="188">
        <f t="shared" si="660"/>
        <v>0.34787038923986141</v>
      </c>
      <c r="CS231" s="149">
        <f t="shared" si="661"/>
        <v>173.29806936491266</v>
      </c>
      <c r="CT231" s="149">
        <f t="shared" si="662"/>
        <v>12.232804896346776</v>
      </c>
      <c r="CU231" s="188">
        <f t="shared" si="663"/>
        <v>1.0194004080288981</v>
      </c>
      <c r="CV231" s="188">
        <f t="shared" si="664"/>
        <v>14.441505780409388</v>
      </c>
      <c r="CW231" s="188">
        <f t="shared" si="665"/>
        <v>170</v>
      </c>
      <c r="CX231" s="188">
        <f t="shared" si="666"/>
        <v>4.9048440246045697</v>
      </c>
      <c r="CY231" s="188">
        <f t="shared" si="667"/>
        <v>0.45982912730667841</v>
      </c>
      <c r="CZ231" s="188">
        <f t="shared" si="668"/>
        <v>0.85301635210514259</v>
      </c>
      <c r="DA231" s="172">
        <f t="shared" si="669"/>
        <v>280.20304568527916</v>
      </c>
      <c r="DB231" s="379">
        <f t="shared" si="670"/>
        <v>350</v>
      </c>
      <c r="DD231" s="188">
        <f t="shared" si="671"/>
        <v>13.333333333333332</v>
      </c>
      <c r="DE231" s="150">
        <f t="shared" si="672"/>
        <v>2.318840579710145</v>
      </c>
      <c r="DF231" s="150">
        <f t="shared" si="673"/>
        <v>0.20230192819025303</v>
      </c>
      <c r="DG231" s="150"/>
      <c r="DH231" s="150">
        <f t="shared" si="674"/>
        <v>2.3188405797101455</v>
      </c>
      <c r="DI231" s="314">
        <f t="shared" si="675"/>
        <v>103.88051470588231</v>
      </c>
      <c r="DJ231" s="456">
        <f t="shared" si="676"/>
        <v>0.20230192819025311</v>
      </c>
      <c r="DL231" s="150">
        <f t="shared" si="677"/>
        <v>7.2111025509279782</v>
      </c>
      <c r="DM231" s="150">
        <f t="shared" si="678"/>
        <v>13.333333333333334</v>
      </c>
      <c r="DN231" s="150">
        <f t="shared" si="679"/>
        <v>1.059360294117647</v>
      </c>
      <c r="DP231" s="314">
        <f t="shared" si="680"/>
        <v>75</v>
      </c>
      <c r="DQ231" s="144">
        <f t="shared" si="681"/>
        <v>103.88051470588231</v>
      </c>
      <c r="DS231">
        <f t="shared" si="682"/>
        <v>75</v>
      </c>
      <c r="DT231">
        <f t="shared" si="683"/>
        <v>103.88051470588231</v>
      </c>
      <c r="DV231" s="5">
        <f t="shared" si="684"/>
        <v>9.6264444090531089</v>
      </c>
      <c r="DW231" s="5">
        <f t="shared" si="685"/>
        <v>1.25</v>
      </c>
      <c r="DX231" s="5">
        <f t="shared" si="686"/>
        <v>8.3764444090531089</v>
      </c>
      <c r="DY231" s="150">
        <f t="shared" si="687"/>
        <v>0.12985064338235289</v>
      </c>
      <c r="EA231" s="5">
        <f t="shared" si="713"/>
        <v>5.5147058823529417E-2</v>
      </c>
      <c r="EB231" s="5">
        <f t="shared" si="714"/>
        <v>0.78125</v>
      </c>
      <c r="EC231" s="5">
        <f t="shared" si="715"/>
        <v>11.124965230773659</v>
      </c>
      <c r="ED231" s="5"/>
      <c r="EE231" s="150">
        <f t="shared" si="716"/>
        <v>2.7739597944412369</v>
      </c>
      <c r="EF231" s="150">
        <f t="shared" si="717"/>
        <v>0.33536871642935029</v>
      </c>
      <c r="EG231" s="150">
        <f t="shared" si="718"/>
        <v>0.31903182123564111</v>
      </c>
      <c r="EH231" s="150"/>
      <c r="EI231" s="456">
        <f t="shared" si="719"/>
        <v>2.6162499999999995E-2</v>
      </c>
      <c r="EJ231" s="456">
        <f t="shared" si="720"/>
        <v>1.0368660441176465</v>
      </c>
      <c r="EK231" s="456">
        <f t="shared" si="721"/>
        <v>2.3788637867647049E-2</v>
      </c>
      <c r="EL231" s="456">
        <f t="shared" si="722"/>
        <v>4.3149636612907841E-2</v>
      </c>
      <c r="EM231">
        <f t="shared" si="723"/>
        <v>7.1999999999999998E-3</v>
      </c>
      <c r="EN231" s="144">
        <f t="shared" si="724"/>
        <v>30.98863786764705</v>
      </c>
      <c r="EP231" s="144">
        <f t="shared" si="725"/>
        <v>1137.1668185982016</v>
      </c>
      <c r="EQ231" s="150">
        <f t="shared" si="726"/>
        <v>0.1875</v>
      </c>
      <c r="ER231" s="150">
        <f t="shared" si="688"/>
        <v>5.3249999999999999E-2</v>
      </c>
      <c r="ES231" s="456"/>
      <c r="EU231" s="144">
        <f t="shared" si="727"/>
        <v>240.75</v>
      </c>
      <c r="EV231" s="456">
        <f t="shared" si="728"/>
        <v>1.1542279411764705E-2</v>
      </c>
      <c r="EW231" s="456">
        <f t="shared" si="729"/>
        <v>2.2494435191893994E-2</v>
      </c>
      <c r="EX231" s="456">
        <f t="shared" si="730"/>
        <v>3.0534390888279019E-3</v>
      </c>
      <c r="EY231" s="456">
        <f t="shared" si="731"/>
        <v>3.569867342302639</v>
      </c>
      <c r="EZ231" s="456"/>
      <c r="FA231" s="538">
        <f t="shared" si="732"/>
        <v>1.8467647058823526E-2</v>
      </c>
      <c r="FB231" s="144">
        <f t="shared" si="733"/>
        <v>3625.4251430539493</v>
      </c>
      <c r="FC231" s="150">
        <f t="shared" si="734"/>
        <v>5.0033419616521506</v>
      </c>
      <c r="FD231" s="5">
        <f t="shared" si="735"/>
        <v>13.65</v>
      </c>
      <c r="FE231" s="150">
        <f t="shared" si="736"/>
        <v>0.73177235629207327</v>
      </c>
      <c r="FF231" s="5">
        <f t="shared" si="737"/>
        <v>73.177235629207331</v>
      </c>
      <c r="FG231">
        <f t="shared" si="738"/>
        <v>15</v>
      </c>
      <c r="FI231" s="59">
        <f t="shared" si="689"/>
        <v>-50</v>
      </c>
    </row>
    <row r="232" spans="5:165">
      <c r="E232" s="147">
        <v>16</v>
      </c>
      <c r="F232" s="188">
        <f t="shared" si="690"/>
        <v>0.08</v>
      </c>
      <c r="G232" s="188">
        <f t="shared" si="617"/>
        <v>0.08</v>
      </c>
      <c r="H232" s="188">
        <f t="shared" si="618"/>
        <v>13.6</v>
      </c>
      <c r="I232" s="188">
        <f t="shared" si="619"/>
        <v>0.96</v>
      </c>
      <c r="J232" s="465">
        <f t="shared" si="620"/>
        <v>15.960331210464938</v>
      </c>
      <c r="K232" s="379">
        <f t="shared" si="621"/>
        <v>8.648147980288682</v>
      </c>
      <c r="L232" s="149">
        <f t="shared" si="622"/>
        <v>24.60847919075362</v>
      </c>
      <c r="M232" s="379"/>
      <c r="N232" s="188">
        <f t="shared" si="623"/>
        <v>0.35142959925528977</v>
      </c>
      <c r="O232" s="149">
        <f t="shared" si="624"/>
        <v>174.63710187121168</v>
      </c>
      <c r="P232" s="149">
        <f t="shared" si="625"/>
        <v>12.327324837967884</v>
      </c>
      <c r="Q232" s="188">
        <f t="shared" si="626"/>
        <v>1.027277069830657</v>
      </c>
      <c r="R232" s="188">
        <f t="shared" si="627"/>
        <v>14.553091822600974</v>
      </c>
      <c r="S232" s="188">
        <f t="shared" si="628"/>
        <v>170</v>
      </c>
      <c r="T232" s="188">
        <f t="shared" si="629"/>
        <v>5.1917184661899585</v>
      </c>
      <c r="U232" s="188">
        <f t="shared" si="630"/>
        <v>0.48793333901358804</v>
      </c>
      <c r="V232" s="188">
        <f t="shared" si="631"/>
        <v>0.90049080069337373</v>
      </c>
      <c r="W232" s="172">
        <f t="shared" si="632"/>
        <v>280.44664006376934</v>
      </c>
      <c r="X232" s="379">
        <f t="shared" si="691"/>
        <v>350</v>
      </c>
      <c r="Z232" s="188">
        <f t="shared" si="633"/>
        <v>13.333333333333332</v>
      </c>
      <c r="AA232" s="150">
        <f t="shared" si="634"/>
        <v>2.3126338778643771</v>
      </c>
      <c r="AB232" s="150">
        <f t="shared" si="635"/>
        <v>0.20193583905970827</v>
      </c>
      <c r="AC232" s="150"/>
      <c r="AD232" s="150">
        <f t="shared" si="636"/>
        <v>2.3126338778643776</v>
      </c>
      <c r="AE232" s="314">
        <f t="shared" si="637"/>
        <v>111.10326581735576</v>
      </c>
      <c r="AF232" s="456">
        <f t="shared" si="638"/>
        <v>0.20193583905970836</v>
      </c>
      <c r="AH232" s="150">
        <f t="shared" si="639"/>
        <v>7.447594690010102</v>
      </c>
      <c r="AI232" s="150">
        <f t="shared" si="640"/>
        <v>13.333333333333334</v>
      </c>
      <c r="AJ232" s="150">
        <f t="shared" si="641"/>
        <v>1.0634875804670605</v>
      </c>
      <c r="AL232" s="314">
        <f t="shared" si="642"/>
        <v>80</v>
      </c>
      <c r="AM232" s="144">
        <f t="shared" si="643"/>
        <v>111.10326581735576</v>
      </c>
      <c r="AO232">
        <f t="shared" si="644"/>
        <v>80</v>
      </c>
      <c r="AP232">
        <f t="shared" si="645"/>
        <v>111.10326581735576</v>
      </c>
      <c r="AR232" s="5">
        <f t="shared" si="616"/>
        <v>9.000635513666305</v>
      </c>
      <c r="AS232" s="5">
        <f t="shared" si="604"/>
        <v>1.2531068269364183</v>
      </c>
      <c r="AT232" s="5">
        <f t="shared" si="605"/>
        <v>7.7475286867298863</v>
      </c>
      <c r="AU232" s="150">
        <f t="shared" si="606"/>
        <v>0.13922426089066012</v>
      </c>
      <c r="BA232" s="150">
        <f t="shared" si="692"/>
        <v>2.8723381714725682</v>
      </c>
      <c r="BB232" s="150">
        <f t="shared" si="693"/>
        <v>0.33355745836540829</v>
      </c>
      <c r="BC232" s="150">
        <f t="shared" si="694"/>
        <v>0.31730879541194629</v>
      </c>
      <c r="BD232" s="150"/>
      <c r="BE232" s="456">
        <f t="shared" si="695"/>
        <v>2.8051110342414479E-2</v>
      </c>
      <c r="BF232" s="456">
        <f t="shared" si="646"/>
        <v>0.87308364796191273</v>
      </c>
      <c r="BG232" s="456">
        <f t="shared" si="647"/>
        <v>8.12146173822271E-2</v>
      </c>
      <c r="BH232" s="456">
        <f t="shared" si="696"/>
        <v>4.6087902827100381E-2</v>
      </c>
      <c r="BI232">
        <f t="shared" si="697"/>
        <v>7.1821490447092221E-3</v>
      </c>
      <c r="BJ232" s="144">
        <f t="shared" si="698"/>
        <v>88.396766426936324</v>
      </c>
      <c r="BK232">
        <f t="shared" si="648"/>
        <v>0.96120282374120014</v>
      </c>
      <c r="BL232" s="144">
        <f t="shared" si="699"/>
        <v>1035.6194275583639</v>
      </c>
      <c r="BM232" s="150">
        <f t="shared" si="649"/>
        <v>0.17749999999999999</v>
      </c>
      <c r="BN232" s="150">
        <f t="shared" si="650"/>
        <v>5.6799999999999996E-2</v>
      </c>
      <c r="BQ232" s="144">
        <f t="shared" si="700"/>
        <v>234.29999999999998</v>
      </c>
      <c r="BR232" s="456">
        <f t="shared" si="701"/>
        <v>1.2375489856947565E-2</v>
      </c>
      <c r="BS232" s="456">
        <f t="shared" si="702"/>
        <v>2.2252115606238219E-2</v>
      </c>
      <c r="BT232" s="456">
        <f t="shared" si="703"/>
        <v>3.0205461493734115E-3</v>
      </c>
      <c r="BU232" s="456">
        <f t="shared" si="704"/>
        <v>4.2231247277993562</v>
      </c>
      <c r="BV232" s="456"/>
      <c r="BW232" s="538">
        <f t="shared" si="705"/>
        <v>1.9751691700863251E-2</v>
      </c>
      <c r="BX232" s="144">
        <f t="shared" si="706"/>
        <v>4280.5245711127782</v>
      </c>
      <c r="BY232" s="150">
        <f t="shared" si="707"/>
        <v>5.5504439986711418</v>
      </c>
      <c r="BZ232" s="5">
        <f t="shared" si="708"/>
        <v>14.559999999999999</v>
      </c>
      <c r="CA232" s="150">
        <f t="shared" si="709"/>
        <v>0.72400191666390334</v>
      </c>
      <c r="CB232" s="5">
        <f t="shared" si="710"/>
        <v>72.400191666390327</v>
      </c>
      <c r="CC232">
        <f t="shared" si="711"/>
        <v>16</v>
      </c>
      <c r="CE232" s="59">
        <f t="shared" si="651"/>
        <v>-50</v>
      </c>
      <c r="CG232" s="150">
        <f t="shared" si="652"/>
        <v>0.25014542483126456</v>
      </c>
      <c r="CH232" s="150">
        <f t="shared" si="653"/>
        <v>6.9863006613619397E-2</v>
      </c>
      <c r="CI232" s="147">
        <v>16</v>
      </c>
      <c r="CJ232" s="188">
        <f t="shared" si="712"/>
        <v>0.08</v>
      </c>
      <c r="CK232" s="188">
        <f t="shared" si="654"/>
        <v>0.08</v>
      </c>
      <c r="CL232" s="188">
        <f t="shared" si="655"/>
        <v>13.6</v>
      </c>
      <c r="CM232" s="188">
        <f t="shared" si="656"/>
        <v>0.96</v>
      </c>
      <c r="CN232" s="465">
        <f t="shared" si="657"/>
        <v>16</v>
      </c>
      <c r="CO232" s="379">
        <f t="shared" si="658"/>
        <v>8.625</v>
      </c>
      <c r="CP232" s="379">
        <f t="shared" si="659"/>
        <v>24.625</v>
      </c>
      <c r="CQ232" s="379"/>
      <c r="CR232" s="188">
        <f t="shared" si="660"/>
        <v>0.34787038923986141</v>
      </c>
      <c r="CS232" s="149">
        <f t="shared" si="661"/>
        <v>173.29806936491266</v>
      </c>
      <c r="CT232" s="149">
        <f t="shared" si="662"/>
        <v>12.232804896346776</v>
      </c>
      <c r="CU232" s="188">
        <f t="shared" si="663"/>
        <v>1.0194004080288981</v>
      </c>
      <c r="CV232" s="188">
        <f t="shared" si="664"/>
        <v>14.441505780409388</v>
      </c>
      <c r="CW232" s="188">
        <f t="shared" si="665"/>
        <v>170</v>
      </c>
      <c r="CX232" s="188">
        <f t="shared" si="666"/>
        <v>5.2318336262448737</v>
      </c>
      <c r="CY232" s="188">
        <f t="shared" si="667"/>
        <v>0.49048440246045694</v>
      </c>
      <c r="CZ232" s="188">
        <f t="shared" si="668"/>
        <v>0.90988410891215199</v>
      </c>
      <c r="DA232" s="172">
        <f t="shared" si="669"/>
        <v>280.20304568527916</v>
      </c>
      <c r="DB232" s="379">
        <f t="shared" si="670"/>
        <v>350</v>
      </c>
      <c r="DD232" s="188">
        <f t="shared" si="671"/>
        <v>13.333333333333332</v>
      </c>
      <c r="DE232" s="150">
        <f t="shared" si="672"/>
        <v>2.318840579710145</v>
      </c>
      <c r="DF232" s="150">
        <f t="shared" si="673"/>
        <v>0.20230192819025303</v>
      </c>
      <c r="DG232" s="150"/>
      <c r="DH232" s="150">
        <f t="shared" si="674"/>
        <v>2.3188405797101455</v>
      </c>
      <c r="DI232" s="314">
        <f t="shared" si="675"/>
        <v>110.80588235294115</v>
      </c>
      <c r="DJ232" s="456">
        <f t="shared" si="676"/>
        <v>0.20230192819025311</v>
      </c>
      <c r="DL232" s="150">
        <f t="shared" si="677"/>
        <v>7.447594690010102</v>
      </c>
      <c r="DM232" s="150">
        <f t="shared" si="678"/>
        <v>13.333333333333334</v>
      </c>
      <c r="DN232" s="150">
        <f t="shared" si="679"/>
        <v>1.0633176470588235</v>
      </c>
      <c r="DP232" s="314">
        <f t="shared" si="680"/>
        <v>80</v>
      </c>
      <c r="DQ232" s="144">
        <f t="shared" si="681"/>
        <v>110.80588235294115</v>
      </c>
      <c r="DS232">
        <f t="shared" si="682"/>
        <v>80</v>
      </c>
      <c r="DT232">
        <f t="shared" si="683"/>
        <v>110.80588235294115</v>
      </c>
      <c r="DV232" s="5">
        <f t="shared" si="684"/>
        <v>9.024791633487288</v>
      </c>
      <c r="DW232" s="5">
        <f t="shared" si="685"/>
        <v>1.25</v>
      </c>
      <c r="DX232" s="5">
        <f t="shared" si="686"/>
        <v>7.774791633487288</v>
      </c>
      <c r="DY232" s="150">
        <f t="shared" si="687"/>
        <v>0.13850735294117644</v>
      </c>
      <c r="EA232" s="5">
        <f t="shared" si="713"/>
        <v>5.8823529411764705E-2</v>
      </c>
      <c r="EB232" s="5">
        <f t="shared" si="714"/>
        <v>0.83333333333333337</v>
      </c>
      <c r="EC232" s="5">
        <f t="shared" si="715"/>
        <v>11.014288147440322</v>
      </c>
      <c r="ED232" s="5"/>
      <c r="EE232" s="150">
        <f t="shared" si="716"/>
        <v>2.8649333565119623</v>
      </c>
      <c r="EF232" s="150">
        <f t="shared" si="717"/>
        <v>0.33369633322721237</v>
      </c>
      <c r="EG232" s="150">
        <f t="shared" si="718"/>
        <v>0.3174409052299309</v>
      </c>
      <c r="EH232" s="150"/>
      <c r="EI232" s="456">
        <f t="shared" si="719"/>
        <v>2.7906666666666656E-2</v>
      </c>
      <c r="EJ232" s="456">
        <f t="shared" si="720"/>
        <v>1.1059904470588233</v>
      </c>
      <c r="EK232" s="456">
        <f t="shared" si="721"/>
        <v>2.5374547058823527E-2</v>
      </c>
      <c r="EL232" s="456">
        <f t="shared" si="722"/>
        <v>4.6026279053768368E-2</v>
      </c>
      <c r="EM232">
        <f t="shared" si="723"/>
        <v>7.1999999999999998E-3</v>
      </c>
      <c r="EN232" s="144">
        <f t="shared" si="724"/>
        <v>32.574547058823526</v>
      </c>
      <c r="EP232" s="144">
        <f t="shared" si="725"/>
        <v>1212.4979398380822</v>
      </c>
      <c r="EQ232" s="150">
        <f t="shared" si="726"/>
        <v>0.2</v>
      </c>
      <c r="ER232" s="150">
        <f t="shared" si="688"/>
        <v>5.6799999999999996E-2</v>
      </c>
      <c r="ES232" s="456"/>
      <c r="EU232" s="144">
        <f t="shared" si="727"/>
        <v>256.8</v>
      </c>
      <c r="EV232" s="456">
        <f t="shared" si="728"/>
        <v>1.231176470588235E-2</v>
      </c>
      <c r="EW232" s="456">
        <f t="shared" si="729"/>
        <v>2.2270648561857353E-2</v>
      </c>
      <c r="EX232" s="456">
        <f t="shared" si="730"/>
        <v>3.0230618493959391E-3</v>
      </c>
      <c r="EY232" s="456">
        <f t="shared" si="731"/>
        <v>4.1949219695601965</v>
      </c>
      <c r="EZ232" s="456"/>
      <c r="FA232" s="538">
        <f t="shared" si="732"/>
        <v>1.9698823529411765E-2</v>
      </c>
      <c r="FB232" s="144">
        <f t="shared" si="733"/>
        <v>4252.226268206744</v>
      </c>
      <c r="FC232" s="150">
        <f t="shared" si="734"/>
        <v>5.7215242080448263</v>
      </c>
      <c r="FD232" s="5">
        <f t="shared" si="735"/>
        <v>14.559999999999999</v>
      </c>
      <c r="FE232" s="150">
        <f t="shared" si="736"/>
        <v>0.7178947622794869</v>
      </c>
      <c r="FF232" s="5">
        <f t="shared" si="737"/>
        <v>71.789476227948683</v>
      </c>
      <c r="FG232">
        <f t="shared" si="738"/>
        <v>16</v>
      </c>
      <c r="FI232" s="59">
        <f t="shared" si="689"/>
        <v>-50</v>
      </c>
    </row>
    <row r="233" spans="5:165">
      <c r="E233" s="147">
        <v>17</v>
      </c>
      <c r="F233" s="188">
        <f t="shared" si="690"/>
        <v>8.5000000000000006E-2</v>
      </c>
      <c r="G233" s="188">
        <f t="shared" si="617"/>
        <v>8.5000000000000006E-2</v>
      </c>
      <c r="H233" s="188">
        <f t="shared" si="618"/>
        <v>14.450000000000001</v>
      </c>
      <c r="I233" s="188">
        <f t="shared" si="619"/>
        <v>1.02</v>
      </c>
      <c r="J233" s="465">
        <f t="shared" si="620"/>
        <v>15.960331210464938</v>
      </c>
      <c r="K233" s="379">
        <f t="shared" si="621"/>
        <v>8.648147980288682</v>
      </c>
      <c r="L233" s="149">
        <f t="shared" si="622"/>
        <v>24.60847919075362</v>
      </c>
      <c r="M233" s="379"/>
      <c r="N233" s="188">
        <f t="shared" si="623"/>
        <v>0.35142959925528977</v>
      </c>
      <c r="O233" s="149">
        <f t="shared" si="624"/>
        <v>174.63710187121168</v>
      </c>
      <c r="P233" s="149">
        <f t="shared" si="625"/>
        <v>12.327324837967884</v>
      </c>
      <c r="Q233" s="188">
        <f t="shared" si="626"/>
        <v>1.027277069830657</v>
      </c>
      <c r="R233" s="188">
        <f t="shared" si="627"/>
        <v>14.553091822600974</v>
      </c>
      <c r="S233" s="188">
        <f t="shared" si="628"/>
        <v>170</v>
      </c>
      <c r="T233" s="188">
        <f t="shared" si="629"/>
        <v>5.5162008703268315</v>
      </c>
      <c r="U233" s="188">
        <f t="shared" si="630"/>
        <v>0.51842917270193734</v>
      </c>
      <c r="V233" s="188">
        <f t="shared" si="631"/>
        <v>0.95677147573670973</v>
      </c>
      <c r="W233" s="172">
        <f t="shared" si="632"/>
        <v>280.44664006376934</v>
      </c>
      <c r="X233" s="379">
        <f t="shared" si="691"/>
        <v>350</v>
      </c>
      <c r="Z233" s="188">
        <f t="shared" si="633"/>
        <v>13.333333333333332</v>
      </c>
      <c r="AA233" s="150">
        <f t="shared" si="634"/>
        <v>2.3126338778643771</v>
      </c>
      <c r="AB233" s="150">
        <f t="shared" si="635"/>
        <v>0.20193583905970827</v>
      </c>
      <c r="AC233" s="150"/>
      <c r="AD233" s="150">
        <f t="shared" si="636"/>
        <v>2.3126338778643776</v>
      </c>
      <c r="AE233" s="314">
        <f t="shared" si="637"/>
        <v>118.0472199309405</v>
      </c>
      <c r="AF233" s="456">
        <f t="shared" si="638"/>
        <v>0.20193583905970836</v>
      </c>
      <c r="AH233" s="150">
        <f t="shared" si="639"/>
        <v>7.6768048909252169</v>
      </c>
      <c r="AI233" s="150">
        <f t="shared" si="640"/>
        <v>13.333333333333334</v>
      </c>
      <c r="AJ233" s="150">
        <f t="shared" si="641"/>
        <v>1.0674555542462518</v>
      </c>
      <c r="AL233" s="314">
        <f t="shared" si="642"/>
        <v>85</v>
      </c>
      <c r="AM233" s="144">
        <f t="shared" si="643"/>
        <v>118.0472199309405</v>
      </c>
      <c r="AO233">
        <f t="shared" si="644"/>
        <v>85</v>
      </c>
      <c r="AP233">
        <f t="shared" si="645"/>
        <v>118.0472199309405</v>
      </c>
      <c r="AR233" s="5">
        <f t="shared" si="616"/>
        <v>8.4711863658035824</v>
      </c>
      <c r="AS233" s="5">
        <f t="shared" si="604"/>
        <v>1.2531068269364183</v>
      </c>
      <c r="AT233" s="5">
        <f t="shared" si="605"/>
        <v>7.2180795388671637</v>
      </c>
      <c r="AU233" s="150">
        <f t="shared" si="606"/>
        <v>0.14792577719632635</v>
      </c>
      <c r="BA233" s="150">
        <f t="shared" si="692"/>
        <v>2.9607384183687224</v>
      </c>
      <c r="BB233" s="150">
        <f t="shared" si="693"/>
        <v>0.33186722244352029</v>
      </c>
      <c r="BC233" s="150">
        <f t="shared" si="694"/>
        <v>0.3157008963502238</v>
      </c>
      <c r="BD233" s="150"/>
      <c r="BE233" s="456">
        <f t="shared" si="695"/>
        <v>2.9804304738815381E-2</v>
      </c>
      <c r="BF233" s="456">
        <f t="shared" si="646"/>
        <v>0.9276513759595324</v>
      </c>
      <c r="BG233" s="456">
        <f t="shared" si="647"/>
        <v>8.6290530968616302E-2</v>
      </c>
      <c r="BH233" s="456">
        <f t="shared" si="696"/>
        <v>4.8968396753794156E-2</v>
      </c>
      <c r="BI233">
        <f t="shared" si="697"/>
        <v>7.1821490447092221E-3</v>
      </c>
      <c r="BJ233" s="144">
        <f t="shared" si="698"/>
        <v>93.47268001332553</v>
      </c>
      <c r="BK233">
        <f t="shared" si="648"/>
        <v>1.0217064568728165</v>
      </c>
      <c r="BL233" s="144">
        <f t="shared" si="699"/>
        <v>1099.8967574654675</v>
      </c>
      <c r="BM233" s="150">
        <f t="shared" si="649"/>
        <v>0.18859375</v>
      </c>
      <c r="BN233" s="150">
        <f t="shared" si="650"/>
        <v>6.0350000000000001E-2</v>
      </c>
      <c r="BQ233" s="144">
        <f t="shared" si="700"/>
        <v>248.94375000000002</v>
      </c>
      <c r="BR233" s="456">
        <f t="shared" si="701"/>
        <v>1.3148957973006787E-2</v>
      </c>
      <c r="BS233" s="456">
        <f t="shared" si="702"/>
        <v>2.2027170666475398E-2</v>
      </c>
      <c r="BT233" s="456">
        <f t="shared" si="703"/>
        <v>2.9900116786900424E-3</v>
      </c>
      <c r="BU233" s="456">
        <f t="shared" si="704"/>
        <v>4.9142387835065975</v>
      </c>
      <c r="BV233" s="456"/>
      <c r="BW233" s="538">
        <f t="shared" si="705"/>
        <v>2.0986172432167202E-2</v>
      </c>
      <c r="BX233" s="144">
        <f t="shared" si="706"/>
        <v>4973.3910962569371</v>
      </c>
      <c r="BY233" s="150">
        <f t="shared" si="707"/>
        <v>6.322231603722404</v>
      </c>
      <c r="BZ233" s="5">
        <f t="shared" si="708"/>
        <v>15.47</v>
      </c>
      <c r="CA233" s="150">
        <f t="shared" si="709"/>
        <v>0.70988599429888199</v>
      </c>
      <c r="CB233" s="5">
        <f t="shared" si="710"/>
        <v>70.988599429888197</v>
      </c>
      <c r="CC233">
        <f t="shared" si="711"/>
        <v>17</v>
      </c>
      <c r="CE233" s="59">
        <f t="shared" si="651"/>
        <v>-50</v>
      </c>
      <c r="CG233" s="150">
        <f t="shared" si="652"/>
        <v>0.26577951388321858</v>
      </c>
      <c r="CH233" s="150">
        <f t="shared" si="653"/>
        <v>7.4229444526970612E-2</v>
      </c>
      <c r="CI233" s="147">
        <v>17</v>
      </c>
      <c r="CJ233" s="188">
        <f t="shared" si="712"/>
        <v>8.5000000000000006E-2</v>
      </c>
      <c r="CK233" s="188">
        <f t="shared" si="654"/>
        <v>8.5000000000000006E-2</v>
      </c>
      <c r="CL233" s="188">
        <f t="shared" si="655"/>
        <v>14.450000000000001</v>
      </c>
      <c r="CM233" s="188">
        <f t="shared" si="656"/>
        <v>1.02</v>
      </c>
      <c r="CN233" s="465">
        <f t="shared" si="657"/>
        <v>16</v>
      </c>
      <c r="CO233" s="379">
        <f t="shared" si="658"/>
        <v>8.625</v>
      </c>
      <c r="CP233" s="379">
        <f t="shared" si="659"/>
        <v>24.625</v>
      </c>
      <c r="CQ233" s="379"/>
      <c r="CR233" s="188">
        <f t="shared" si="660"/>
        <v>0.34787038923986141</v>
      </c>
      <c r="CS233" s="149">
        <f t="shared" si="661"/>
        <v>173.29806936491266</v>
      </c>
      <c r="CT233" s="149">
        <f t="shared" si="662"/>
        <v>12.232804896346776</v>
      </c>
      <c r="CU233" s="188">
        <f t="shared" si="663"/>
        <v>1.0194004080288981</v>
      </c>
      <c r="CV233" s="188">
        <f t="shared" si="664"/>
        <v>14.441505780409388</v>
      </c>
      <c r="CW233" s="188">
        <f t="shared" si="665"/>
        <v>170</v>
      </c>
      <c r="CX233" s="188">
        <f t="shared" si="666"/>
        <v>5.5588232278851795</v>
      </c>
      <c r="CY233" s="188">
        <f t="shared" si="667"/>
        <v>0.52113967761423563</v>
      </c>
      <c r="CZ233" s="188">
        <f t="shared" si="668"/>
        <v>0.96675186571916172</v>
      </c>
      <c r="DA233" s="172">
        <f t="shared" si="669"/>
        <v>280.20304568527916</v>
      </c>
      <c r="DB233" s="379">
        <f t="shared" si="670"/>
        <v>350</v>
      </c>
      <c r="DD233" s="188">
        <f t="shared" si="671"/>
        <v>13.333333333333332</v>
      </c>
      <c r="DE233" s="150">
        <f t="shared" si="672"/>
        <v>2.318840579710145</v>
      </c>
      <c r="DF233" s="150">
        <f t="shared" si="673"/>
        <v>0.20230192819025303</v>
      </c>
      <c r="DG233" s="150"/>
      <c r="DH233" s="150">
        <f t="shared" si="674"/>
        <v>2.3188405797101455</v>
      </c>
      <c r="DI233" s="314">
        <f t="shared" si="675"/>
        <v>117.73124999999997</v>
      </c>
      <c r="DJ233" s="456">
        <f t="shared" si="676"/>
        <v>0.20230192819025311</v>
      </c>
      <c r="DL233" s="150">
        <f t="shared" si="677"/>
        <v>7.6768048909252169</v>
      </c>
      <c r="DM233" s="150">
        <f t="shared" si="678"/>
        <v>13.333333333333334</v>
      </c>
      <c r="DN233" s="150">
        <f t="shared" si="679"/>
        <v>1.067275</v>
      </c>
      <c r="DP233" s="314">
        <f t="shared" si="680"/>
        <v>85</v>
      </c>
      <c r="DQ233" s="144">
        <f t="shared" si="681"/>
        <v>117.73124999999997</v>
      </c>
      <c r="DS233">
        <f t="shared" si="682"/>
        <v>85</v>
      </c>
      <c r="DT233">
        <f t="shared" si="683"/>
        <v>117.73124999999997</v>
      </c>
      <c r="DV233" s="5">
        <f t="shared" si="684"/>
        <v>8.4939215373997996</v>
      </c>
      <c r="DW233" s="5">
        <f t="shared" si="685"/>
        <v>1.25</v>
      </c>
      <c r="DX233" s="5">
        <f t="shared" si="686"/>
        <v>7.2439215373997996</v>
      </c>
      <c r="DY233" s="150">
        <f t="shared" si="687"/>
        <v>0.14716406249999997</v>
      </c>
      <c r="EA233" s="5">
        <f t="shared" si="713"/>
        <v>6.25E-2</v>
      </c>
      <c r="EB233" s="5">
        <f t="shared" si="714"/>
        <v>0.88541666666666674</v>
      </c>
      <c r="EC233" s="5">
        <f t="shared" si="715"/>
        <v>10.90361106410699</v>
      </c>
      <c r="ED233" s="5"/>
      <c r="EE233" s="150">
        <f t="shared" si="716"/>
        <v>2.9531057098135403</v>
      </c>
      <c r="EF233" s="150">
        <f t="shared" si="717"/>
        <v>0.3320155262319876</v>
      </c>
      <c r="EG233" s="150">
        <f t="shared" si="718"/>
        <v>0.31584197578134854</v>
      </c>
      <c r="EH233" s="150"/>
      <c r="EI233" s="456">
        <f t="shared" si="719"/>
        <v>2.9650833333333331E-2</v>
      </c>
      <c r="EJ233" s="456">
        <f t="shared" si="720"/>
        <v>1.1751148499999997</v>
      </c>
      <c r="EK233" s="456">
        <f t="shared" si="721"/>
        <v>2.6960456249999997E-2</v>
      </c>
      <c r="EL233" s="456">
        <f t="shared" si="722"/>
        <v>4.8902921494628895E-2</v>
      </c>
      <c r="EM233">
        <f t="shared" si="723"/>
        <v>7.1999999999999998E-3</v>
      </c>
      <c r="EN233" s="144">
        <f t="shared" si="724"/>
        <v>34.160456249999996</v>
      </c>
      <c r="EP233" s="144">
        <f t="shared" si="725"/>
        <v>1287.829061077962</v>
      </c>
      <c r="EQ233" s="150">
        <f t="shared" si="726"/>
        <v>0.21250000000000002</v>
      </c>
      <c r="ER233" s="150">
        <f t="shared" si="688"/>
        <v>6.0350000000000001E-2</v>
      </c>
      <c r="ES233" s="456"/>
      <c r="EU233" s="144">
        <f t="shared" si="727"/>
        <v>272.85000000000002</v>
      </c>
      <c r="EV233" s="456">
        <f t="shared" si="728"/>
        <v>1.3081250000000001E-2</v>
      </c>
      <c r="EW233" s="456">
        <f t="shared" si="729"/>
        <v>2.2046861931820733E-2</v>
      </c>
      <c r="EX233" s="456">
        <f t="shared" si="730"/>
        <v>2.9926846099639789E-3</v>
      </c>
      <c r="EY233" s="456">
        <f t="shared" si="731"/>
        <v>4.8814206459250924</v>
      </c>
      <c r="EZ233" s="456"/>
      <c r="FA233" s="538">
        <f t="shared" si="732"/>
        <v>2.0930000000000001E-2</v>
      </c>
      <c r="FB233" s="144">
        <f t="shared" si="733"/>
        <v>4940.4714424668773</v>
      </c>
      <c r="FC233" s="150">
        <f t="shared" si="734"/>
        <v>6.5011505035448387</v>
      </c>
      <c r="FD233" s="5">
        <f t="shared" si="735"/>
        <v>15.47</v>
      </c>
      <c r="FE233" s="150">
        <f t="shared" si="736"/>
        <v>0.70410513994267432</v>
      </c>
      <c r="FF233" s="5">
        <f t="shared" si="737"/>
        <v>70.410513994267433</v>
      </c>
      <c r="FG233">
        <f t="shared" si="738"/>
        <v>17</v>
      </c>
      <c r="FI233" s="59">
        <f t="shared" si="689"/>
        <v>-50</v>
      </c>
    </row>
    <row r="234" spans="5:165">
      <c r="E234" s="147">
        <v>18</v>
      </c>
      <c r="F234" s="188">
        <f t="shared" si="690"/>
        <v>0.09</v>
      </c>
      <c r="G234" s="188">
        <f t="shared" si="617"/>
        <v>0.09</v>
      </c>
      <c r="H234" s="188">
        <f t="shared" si="618"/>
        <v>15.299999999999999</v>
      </c>
      <c r="I234" s="188">
        <f t="shared" si="619"/>
        <v>1.08</v>
      </c>
      <c r="J234" s="465">
        <f t="shared" si="620"/>
        <v>15.960331210464938</v>
      </c>
      <c r="K234" s="379">
        <f t="shared" si="621"/>
        <v>8.648147980288682</v>
      </c>
      <c r="L234" s="149">
        <f t="shared" si="622"/>
        <v>24.60847919075362</v>
      </c>
      <c r="M234" s="379"/>
      <c r="N234" s="188">
        <f t="shared" si="623"/>
        <v>0.35142959925528977</v>
      </c>
      <c r="O234" s="149">
        <f t="shared" si="624"/>
        <v>174.63710187121168</v>
      </c>
      <c r="P234" s="149">
        <f t="shared" si="625"/>
        <v>12.327324837967884</v>
      </c>
      <c r="Q234" s="188">
        <f t="shared" si="626"/>
        <v>1.027277069830657</v>
      </c>
      <c r="R234" s="188">
        <f t="shared" si="627"/>
        <v>14.553091822600974</v>
      </c>
      <c r="S234" s="188">
        <f t="shared" si="628"/>
        <v>170</v>
      </c>
      <c r="T234" s="188">
        <f t="shared" si="629"/>
        <v>5.8406832744637036</v>
      </c>
      <c r="U234" s="188">
        <f t="shared" si="630"/>
        <v>0.54892500639028652</v>
      </c>
      <c r="V234" s="188">
        <f t="shared" si="631"/>
        <v>1.0130521507800454</v>
      </c>
      <c r="W234" s="172">
        <f t="shared" si="632"/>
        <v>280.44664006376934</v>
      </c>
      <c r="X234" s="379">
        <f t="shared" si="691"/>
        <v>350</v>
      </c>
      <c r="Z234" s="188">
        <f t="shared" si="633"/>
        <v>13.333333333333332</v>
      </c>
      <c r="AA234" s="150">
        <f t="shared" si="634"/>
        <v>2.3126338778643771</v>
      </c>
      <c r="AB234" s="150">
        <f t="shared" si="635"/>
        <v>0.20193583905970827</v>
      </c>
      <c r="AC234" s="150"/>
      <c r="AD234" s="150">
        <f t="shared" si="636"/>
        <v>2.3126338778643776</v>
      </c>
      <c r="AE234" s="314">
        <f t="shared" si="637"/>
        <v>124.99117404452522</v>
      </c>
      <c r="AF234" s="456">
        <f t="shared" si="638"/>
        <v>0.20193583905970836</v>
      </c>
      <c r="AH234" s="150">
        <f t="shared" si="639"/>
        <v>7.8993670632525994</v>
      </c>
      <c r="AI234" s="150">
        <f t="shared" si="640"/>
        <v>13.333333333333334</v>
      </c>
      <c r="AJ234" s="150">
        <f t="shared" si="641"/>
        <v>1.0714235280254429</v>
      </c>
      <c r="AL234" s="314">
        <f t="shared" si="642"/>
        <v>90</v>
      </c>
      <c r="AM234" s="144">
        <f t="shared" si="643"/>
        <v>124.99117404452522</v>
      </c>
      <c r="AO234">
        <f t="shared" si="644"/>
        <v>90</v>
      </c>
      <c r="AP234">
        <f t="shared" si="645"/>
        <v>124.99117404452522</v>
      </c>
      <c r="AR234" s="5">
        <f t="shared" si="616"/>
        <v>8.0005649010367179</v>
      </c>
      <c r="AS234" s="5">
        <f t="shared" si="604"/>
        <v>1.2531068269364183</v>
      </c>
      <c r="AT234" s="5">
        <f t="shared" si="605"/>
        <v>6.7474580741002992</v>
      </c>
      <c r="AU234" s="150">
        <f t="shared" si="606"/>
        <v>0.15662729350199259</v>
      </c>
      <c r="BA234" s="150">
        <f t="shared" si="692"/>
        <v>3.0465746983638318</v>
      </c>
      <c r="BB234" s="150">
        <f t="shared" si="693"/>
        <v>0.33016833378378807</v>
      </c>
      <c r="BC234" s="150">
        <f t="shared" si="694"/>
        <v>0.3140847660535116</v>
      </c>
      <c r="BD234" s="150"/>
      <c r="BE234" s="456">
        <f t="shared" si="695"/>
        <v>3.1557499135216285E-2</v>
      </c>
      <c r="BF234" s="456">
        <f t="shared" si="646"/>
        <v>0.98221910395715173</v>
      </c>
      <c r="BG234" s="456">
        <f t="shared" si="647"/>
        <v>9.1366444555005491E-2</v>
      </c>
      <c r="BH234" s="456">
        <f t="shared" si="696"/>
        <v>5.1848890680487932E-2</v>
      </c>
      <c r="BI234">
        <f t="shared" si="697"/>
        <v>7.1821490447092221E-3</v>
      </c>
      <c r="BJ234" s="144">
        <f t="shared" si="698"/>
        <v>98.548593599714707</v>
      </c>
      <c r="BK234">
        <f t="shared" si="648"/>
        <v>1.0822608774764824</v>
      </c>
      <c r="BL234" s="144">
        <f t="shared" si="699"/>
        <v>1164.1740873725707</v>
      </c>
      <c r="BM234" s="150">
        <f t="shared" si="649"/>
        <v>0.19968749999999996</v>
      </c>
      <c r="BN234" s="150">
        <f t="shared" si="650"/>
        <v>6.3899999999999998E-2</v>
      </c>
      <c r="BQ234" s="144">
        <f t="shared" si="700"/>
        <v>263.58749999999998</v>
      </c>
      <c r="BR234" s="456">
        <f t="shared" si="701"/>
        <v>1.3922426089066008E-2</v>
      </c>
      <c r="BS234" s="456">
        <f t="shared" si="702"/>
        <v>2.180222572671258E-2</v>
      </c>
      <c r="BT234" s="456">
        <f t="shared" si="703"/>
        <v>2.9594772080066729E-3</v>
      </c>
      <c r="BU234" s="456">
        <f t="shared" si="704"/>
        <v>5.6691143146571505</v>
      </c>
      <c r="BV234" s="456"/>
      <c r="BW234" s="538">
        <f t="shared" si="705"/>
        <v>2.2220653163471157E-2</v>
      </c>
      <c r="BX234" s="144">
        <f t="shared" si="706"/>
        <v>5730.0190968444067</v>
      </c>
      <c r="BY234" s="150">
        <f t="shared" si="707"/>
        <v>7.1577806842169771</v>
      </c>
      <c r="BZ234" s="5">
        <f t="shared" si="708"/>
        <v>16.38</v>
      </c>
      <c r="CA234" s="150">
        <f t="shared" si="709"/>
        <v>0.69590248204595795</v>
      </c>
      <c r="CB234" s="5">
        <f t="shared" si="710"/>
        <v>69.590248204595795</v>
      </c>
      <c r="CC234">
        <f t="shared" si="711"/>
        <v>18</v>
      </c>
      <c r="CE234" s="59">
        <f t="shared" si="651"/>
        <v>-50</v>
      </c>
      <c r="CG234" s="150">
        <f t="shared" si="652"/>
        <v>0.28141360293517259</v>
      </c>
      <c r="CH234" s="150">
        <f t="shared" si="653"/>
        <v>7.8595882440321826E-2</v>
      </c>
      <c r="CI234" s="147">
        <v>18</v>
      </c>
      <c r="CJ234" s="188">
        <f t="shared" si="712"/>
        <v>0.09</v>
      </c>
      <c r="CK234" s="188">
        <f t="shared" si="654"/>
        <v>0.09</v>
      </c>
      <c r="CL234" s="188">
        <f t="shared" si="655"/>
        <v>15.299999999999999</v>
      </c>
      <c r="CM234" s="188">
        <f t="shared" si="656"/>
        <v>1.08</v>
      </c>
      <c r="CN234" s="465">
        <f t="shared" si="657"/>
        <v>16</v>
      </c>
      <c r="CO234" s="379">
        <f t="shared" si="658"/>
        <v>8.625</v>
      </c>
      <c r="CP234" s="379">
        <f t="shared" si="659"/>
        <v>24.625</v>
      </c>
      <c r="CQ234" s="379"/>
      <c r="CR234" s="188">
        <f t="shared" si="660"/>
        <v>0.34787038923986141</v>
      </c>
      <c r="CS234" s="149">
        <f t="shared" si="661"/>
        <v>173.29806936491266</v>
      </c>
      <c r="CT234" s="149">
        <f t="shared" si="662"/>
        <v>12.232804896346776</v>
      </c>
      <c r="CU234" s="188">
        <f t="shared" si="663"/>
        <v>1.0194004080288981</v>
      </c>
      <c r="CV234" s="188">
        <f t="shared" si="664"/>
        <v>14.441505780409388</v>
      </c>
      <c r="CW234" s="188">
        <f t="shared" si="665"/>
        <v>170</v>
      </c>
      <c r="CX234" s="188">
        <f t="shared" si="666"/>
        <v>5.8858128295254835</v>
      </c>
      <c r="CY234" s="188">
        <f t="shared" si="667"/>
        <v>0.55179495276801405</v>
      </c>
      <c r="CZ234" s="188">
        <f t="shared" si="668"/>
        <v>1.0236196225261709</v>
      </c>
      <c r="DA234" s="172">
        <f t="shared" si="669"/>
        <v>280.20304568527916</v>
      </c>
      <c r="DB234" s="379">
        <f t="shared" si="670"/>
        <v>350</v>
      </c>
      <c r="DD234" s="188">
        <f t="shared" si="671"/>
        <v>13.333333333333332</v>
      </c>
      <c r="DE234" s="150">
        <f t="shared" si="672"/>
        <v>2.318840579710145</v>
      </c>
      <c r="DF234" s="150">
        <f t="shared" si="673"/>
        <v>0.20230192819025303</v>
      </c>
      <c r="DG234" s="150"/>
      <c r="DH234" s="150">
        <f t="shared" si="674"/>
        <v>2.3188405797101455</v>
      </c>
      <c r="DI234" s="314">
        <f t="shared" si="675"/>
        <v>124.65661764705878</v>
      </c>
      <c r="DJ234" s="456">
        <f t="shared" si="676"/>
        <v>0.20230192819025311</v>
      </c>
      <c r="DL234" s="150">
        <f t="shared" si="677"/>
        <v>7.8993670632525994</v>
      </c>
      <c r="DM234" s="150">
        <f t="shared" si="678"/>
        <v>13.333333333333334</v>
      </c>
      <c r="DN234" s="150">
        <f t="shared" si="679"/>
        <v>1.0712323529411765</v>
      </c>
      <c r="DP234" s="314">
        <f t="shared" si="680"/>
        <v>90</v>
      </c>
      <c r="DQ234" s="144">
        <f t="shared" si="681"/>
        <v>124.65661764705878</v>
      </c>
      <c r="DS234">
        <f t="shared" si="682"/>
        <v>90</v>
      </c>
      <c r="DT234">
        <f t="shared" si="683"/>
        <v>124.65661764705878</v>
      </c>
      <c r="DV234" s="5">
        <f t="shared" si="684"/>
        <v>8.022037007544256</v>
      </c>
      <c r="DW234" s="5">
        <f t="shared" si="685"/>
        <v>1.25</v>
      </c>
      <c r="DX234" s="5">
        <f t="shared" si="686"/>
        <v>6.772037007544256</v>
      </c>
      <c r="DY234" s="150">
        <f t="shared" si="687"/>
        <v>0.1558207720588235</v>
      </c>
      <c r="EA234" s="5">
        <f t="shared" si="713"/>
        <v>6.6176470588235295E-2</v>
      </c>
      <c r="EB234" s="5">
        <f t="shared" si="714"/>
        <v>0.93749999999999989</v>
      </c>
      <c r="EC234" s="5">
        <f t="shared" si="715"/>
        <v>10.792933980773656</v>
      </c>
      <c r="ED234" s="5"/>
      <c r="EE234" s="150">
        <f t="shared" si="716"/>
        <v>3.0387207060557184</v>
      </c>
      <c r="EF234" s="150">
        <f t="shared" si="717"/>
        <v>0.33032616685470212</v>
      </c>
      <c r="EG234" s="150">
        <f t="shared" si="718"/>
        <v>0.31423491056490499</v>
      </c>
      <c r="EH234" s="150"/>
      <c r="EI234" s="456">
        <f t="shared" si="719"/>
        <v>3.1394999999999992E-2</v>
      </c>
      <c r="EJ234" s="456">
        <f t="shared" si="720"/>
        <v>1.2442392529411761</v>
      </c>
      <c r="EK234" s="456">
        <f t="shared" si="721"/>
        <v>2.8546365441176461E-2</v>
      </c>
      <c r="EL234" s="456">
        <f t="shared" si="722"/>
        <v>5.1779563935489409E-2</v>
      </c>
      <c r="EM234">
        <f t="shared" si="723"/>
        <v>7.1999999999999998E-3</v>
      </c>
      <c r="EN234" s="144">
        <f t="shared" si="724"/>
        <v>35.746365441176458</v>
      </c>
      <c r="EP234" s="144">
        <f t="shared" si="725"/>
        <v>1363.1601823178421</v>
      </c>
      <c r="EQ234" s="150">
        <f t="shared" si="726"/>
        <v>0.22499999999999998</v>
      </c>
      <c r="ER234" s="150">
        <f t="shared" si="688"/>
        <v>6.3899999999999998E-2</v>
      </c>
      <c r="ES234" s="456"/>
      <c r="EU234" s="144">
        <f t="shared" si="727"/>
        <v>288.89999999999998</v>
      </c>
      <c r="EV234" s="456">
        <f t="shared" si="728"/>
        <v>1.3850735294117645E-2</v>
      </c>
      <c r="EW234" s="456">
        <f t="shared" si="729"/>
        <v>2.1823075301784102E-2</v>
      </c>
      <c r="EX234" s="456">
        <f t="shared" si="730"/>
        <v>2.9623073705320152E-3</v>
      </c>
      <c r="EY234" s="456">
        <f t="shared" si="731"/>
        <v>5.6312549875588989</v>
      </c>
      <c r="EZ234" s="456"/>
      <c r="FA234" s="538">
        <f t="shared" si="732"/>
        <v>2.2161176470588233E-2</v>
      </c>
      <c r="FB234" s="144">
        <f t="shared" si="733"/>
        <v>5692.0522819959206</v>
      </c>
      <c r="FC234" s="150">
        <f t="shared" si="734"/>
        <v>7.3441124643137625</v>
      </c>
      <c r="FD234" s="5">
        <f t="shared" si="735"/>
        <v>16.38</v>
      </c>
      <c r="FE234" s="150">
        <f t="shared" si="736"/>
        <v>0.6904367876623031</v>
      </c>
      <c r="FF234" s="5">
        <f t="shared" si="737"/>
        <v>69.043678766230315</v>
      </c>
      <c r="FG234">
        <f t="shared" si="738"/>
        <v>18</v>
      </c>
      <c r="FI234" s="59">
        <f t="shared" si="689"/>
        <v>-50</v>
      </c>
    </row>
    <row r="235" spans="5:165">
      <c r="E235" s="147">
        <v>19</v>
      </c>
      <c r="F235" s="188">
        <f t="shared" si="690"/>
        <v>9.5000000000000001E-2</v>
      </c>
      <c r="G235" s="188">
        <f t="shared" si="617"/>
        <v>9.5000000000000001E-2</v>
      </c>
      <c r="H235" s="188">
        <f t="shared" si="618"/>
        <v>16.149999999999999</v>
      </c>
      <c r="I235" s="188">
        <f t="shared" si="619"/>
        <v>1.1400000000000001</v>
      </c>
      <c r="J235" s="465">
        <f t="shared" si="620"/>
        <v>15.960331210464938</v>
      </c>
      <c r="K235" s="379">
        <f t="shared" si="621"/>
        <v>8.648147980288682</v>
      </c>
      <c r="L235" s="149">
        <f t="shared" si="622"/>
        <v>24.60847919075362</v>
      </c>
      <c r="M235" s="379"/>
      <c r="N235" s="188">
        <f t="shared" si="623"/>
        <v>0.35142959925528977</v>
      </c>
      <c r="O235" s="149">
        <f t="shared" si="624"/>
        <v>174.63710187121168</v>
      </c>
      <c r="P235" s="149">
        <f t="shared" si="625"/>
        <v>12.327324837967884</v>
      </c>
      <c r="Q235" s="188">
        <f t="shared" si="626"/>
        <v>1.027277069830657</v>
      </c>
      <c r="R235" s="188">
        <f t="shared" si="627"/>
        <v>14.553091822600974</v>
      </c>
      <c r="S235" s="188">
        <f t="shared" si="628"/>
        <v>170</v>
      </c>
      <c r="T235" s="188">
        <f t="shared" si="629"/>
        <v>6.1651656786005757</v>
      </c>
      <c r="U235" s="188">
        <f t="shared" si="630"/>
        <v>0.57942084007863581</v>
      </c>
      <c r="V235" s="188">
        <f t="shared" si="631"/>
        <v>1.0693328258233812</v>
      </c>
      <c r="W235" s="172">
        <f t="shared" si="632"/>
        <v>280.44664006376934</v>
      </c>
      <c r="X235" s="379">
        <f t="shared" si="691"/>
        <v>350</v>
      </c>
      <c r="Z235" s="188">
        <f t="shared" si="633"/>
        <v>13.333333333333332</v>
      </c>
      <c r="AA235" s="150">
        <f t="shared" si="634"/>
        <v>2.3126338778643771</v>
      </c>
      <c r="AB235" s="150">
        <f t="shared" si="635"/>
        <v>0.20193583905970827</v>
      </c>
      <c r="AC235" s="150"/>
      <c r="AD235" s="150">
        <f t="shared" si="636"/>
        <v>2.3126338778643776</v>
      </c>
      <c r="AE235" s="314">
        <f t="shared" si="637"/>
        <v>131.93512815810996</v>
      </c>
      <c r="AF235" s="456">
        <f t="shared" si="638"/>
        <v>0.20193583905970836</v>
      </c>
      <c r="AH235" s="150">
        <f t="shared" si="639"/>
        <v>8.1158281565510411</v>
      </c>
      <c r="AI235" s="150">
        <f t="shared" si="640"/>
        <v>13.333333333333334</v>
      </c>
      <c r="AJ235" s="150">
        <f t="shared" si="641"/>
        <v>1.0753915018046343</v>
      </c>
      <c r="AL235" s="314">
        <f t="shared" si="642"/>
        <v>95</v>
      </c>
      <c r="AM235" s="144">
        <f t="shared" si="643"/>
        <v>131.93512815810996</v>
      </c>
      <c r="AO235">
        <f t="shared" si="644"/>
        <v>95</v>
      </c>
      <c r="AP235">
        <f t="shared" si="645"/>
        <v>131.93512815810996</v>
      </c>
      <c r="AR235" s="5">
        <f t="shared" si="616"/>
        <v>7.5794825378242576</v>
      </c>
      <c r="AS235" s="5">
        <f t="shared" si="604"/>
        <v>1.2531068269364183</v>
      </c>
      <c r="AT235" s="5">
        <f t="shared" si="605"/>
        <v>6.3263757108878398</v>
      </c>
      <c r="AU235" s="150">
        <f t="shared" si="606"/>
        <v>0.16532880980765888</v>
      </c>
      <c r="BA235" s="150">
        <f t="shared" si="692"/>
        <v>3.1300579552808321</v>
      </c>
      <c r="BB235" s="150">
        <f t="shared" si="693"/>
        <v>0.32846065812323511</v>
      </c>
      <c r="BC235" s="150">
        <f t="shared" si="694"/>
        <v>0.31246027679921717</v>
      </c>
      <c r="BD235" s="150"/>
      <c r="BE235" s="456">
        <f t="shared" si="695"/>
        <v>3.3310693531617197E-2</v>
      </c>
      <c r="BF235" s="456">
        <f t="shared" si="646"/>
        <v>1.0367868319547713</v>
      </c>
      <c r="BG235" s="456">
        <f t="shared" si="647"/>
        <v>9.644235814139468E-2</v>
      </c>
      <c r="BH235" s="456">
        <f t="shared" si="696"/>
        <v>5.4729384607181707E-2</v>
      </c>
      <c r="BI235">
        <f t="shared" si="697"/>
        <v>7.1821490447092221E-3</v>
      </c>
      <c r="BJ235" s="144">
        <f t="shared" si="698"/>
        <v>103.6245071861039</v>
      </c>
      <c r="BK235">
        <f t="shared" si="648"/>
        <v>1.1428661495264645</v>
      </c>
      <c r="BL235" s="144">
        <f t="shared" si="699"/>
        <v>1228.4514172796742</v>
      </c>
      <c r="BM235" s="150">
        <f t="shared" si="649"/>
        <v>0.21078124999999998</v>
      </c>
      <c r="BN235" s="150">
        <f t="shared" si="650"/>
        <v>6.745000000000001E-2</v>
      </c>
      <c r="BQ235" s="144">
        <f t="shared" si="700"/>
        <v>278.23124999999999</v>
      </c>
      <c r="BR235" s="456">
        <f t="shared" si="701"/>
        <v>1.4695894205125234E-2</v>
      </c>
      <c r="BS235" s="456">
        <f t="shared" si="702"/>
        <v>2.1577280786949746E-2</v>
      </c>
      <c r="BT235" s="456">
        <f t="shared" si="703"/>
        <v>2.9289427373233026E-3</v>
      </c>
      <c r="BU235" s="456">
        <f t="shared" si="704"/>
        <v>6.489600374135442</v>
      </c>
      <c r="BV235" s="456"/>
      <c r="BW235" s="538">
        <f t="shared" si="705"/>
        <v>2.3455133894775111E-2</v>
      </c>
      <c r="BX235" s="144">
        <f t="shared" si="706"/>
        <v>6552.2576257596156</v>
      </c>
      <c r="BY235" s="150">
        <f t="shared" si="707"/>
        <v>8.0589402930392886</v>
      </c>
      <c r="BZ235" s="5">
        <f t="shared" si="708"/>
        <v>17.29</v>
      </c>
      <c r="CA235" s="150">
        <f t="shared" si="709"/>
        <v>0.68207979505745886</v>
      </c>
      <c r="CB235" s="5">
        <f t="shared" si="710"/>
        <v>68.207979505745882</v>
      </c>
      <c r="CC235">
        <f t="shared" si="711"/>
        <v>19</v>
      </c>
      <c r="CE235" s="59">
        <f t="shared" si="651"/>
        <v>-50</v>
      </c>
      <c r="CG235" s="150">
        <f t="shared" si="652"/>
        <v>0.29704769198712661</v>
      </c>
      <c r="CH235" s="150">
        <f t="shared" si="653"/>
        <v>8.2962320353673027E-2</v>
      </c>
      <c r="CI235" s="147">
        <v>19</v>
      </c>
      <c r="CJ235" s="188">
        <f t="shared" si="712"/>
        <v>9.5000000000000001E-2</v>
      </c>
      <c r="CK235" s="188">
        <f t="shared" si="654"/>
        <v>9.5000000000000001E-2</v>
      </c>
      <c r="CL235" s="188">
        <f t="shared" si="655"/>
        <v>16.149999999999999</v>
      </c>
      <c r="CM235" s="188">
        <f t="shared" si="656"/>
        <v>1.1400000000000001</v>
      </c>
      <c r="CN235" s="465">
        <f t="shared" si="657"/>
        <v>16</v>
      </c>
      <c r="CO235" s="379">
        <f t="shared" si="658"/>
        <v>8.625</v>
      </c>
      <c r="CP235" s="379">
        <f t="shared" si="659"/>
        <v>24.625</v>
      </c>
      <c r="CQ235" s="379"/>
      <c r="CR235" s="188">
        <f t="shared" si="660"/>
        <v>0.34787038923986141</v>
      </c>
      <c r="CS235" s="149">
        <f t="shared" si="661"/>
        <v>173.29806936491266</v>
      </c>
      <c r="CT235" s="149">
        <f t="shared" si="662"/>
        <v>12.232804896346776</v>
      </c>
      <c r="CU235" s="188">
        <f t="shared" si="663"/>
        <v>1.0194004080288981</v>
      </c>
      <c r="CV235" s="188">
        <f t="shared" si="664"/>
        <v>14.441505780409388</v>
      </c>
      <c r="CW235" s="188">
        <f t="shared" si="665"/>
        <v>170</v>
      </c>
      <c r="CX235" s="188">
        <f t="shared" si="666"/>
        <v>6.2128024311657875</v>
      </c>
      <c r="CY235" s="188">
        <f t="shared" si="667"/>
        <v>0.58245022792179257</v>
      </c>
      <c r="CZ235" s="188">
        <f t="shared" si="668"/>
        <v>1.0804873793331806</v>
      </c>
      <c r="DA235" s="172">
        <f t="shared" si="669"/>
        <v>280.20304568527916</v>
      </c>
      <c r="DB235" s="379">
        <f t="shared" si="670"/>
        <v>350</v>
      </c>
      <c r="DD235" s="188">
        <f t="shared" si="671"/>
        <v>13.333333333333332</v>
      </c>
      <c r="DE235" s="150">
        <f t="shared" si="672"/>
        <v>2.318840579710145</v>
      </c>
      <c r="DF235" s="150">
        <f t="shared" si="673"/>
        <v>0.20230192819025303</v>
      </c>
      <c r="DG235" s="150"/>
      <c r="DH235" s="150">
        <f t="shared" si="674"/>
        <v>2.3188405797101455</v>
      </c>
      <c r="DI235" s="314">
        <f t="shared" si="675"/>
        <v>131.5819852941176</v>
      </c>
      <c r="DJ235" s="456">
        <f t="shared" si="676"/>
        <v>0.20230192819025311</v>
      </c>
      <c r="DL235" s="150">
        <f t="shared" si="677"/>
        <v>8.1158281565510411</v>
      </c>
      <c r="DM235" s="150">
        <f t="shared" si="678"/>
        <v>13.333333333333334</v>
      </c>
      <c r="DN235" s="150">
        <f t="shared" si="679"/>
        <v>1.075189705882353</v>
      </c>
      <c r="DP235" s="314">
        <f t="shared" si="680"/>
        <v>95</v>
      </c>
      <c r="DQ235" s="144">
        <f t="shared" si="681"/>
        <v>131.5819852941176</v>
      </c>
      <c r="DS235">
        <f t="shared" si="682"/>
        <v>95</v>
      </c>
      <c r="DT235">
        <f t="shared" si="683"/>
        <v>131.5819852941176</v>
      </c>
      <c r="DV235" s="5">
        <f t="shared" si="684"/>
        <v>7.5998245334629804</v>
      </c>
      <c r="DW235" s="5">
        <f t="shared" si="685"/>
        <v>1.25</v>
      </c>
      <c r="DX235" s="5">
        <f t="shared" si="686"/>
        <v>6.3498245334629804</v>
      </c>
      <c r="DY235" s="150">
        <f t="shared" si="687"/>
        <v>0.164477481617647</v>
      </c>
      <c r="EA235" s="5">
        <f t="shared" si="713"/>
        <v>6.985294117647059E-2</v>
      </c>
      <c r="EB235" s="5">
        <f t="shared" si="714"/>
        <v>0.98958333333333315</v>
      </c>
      <c r="EC235" s="5">
        <f t="shared" si="715"/>
        <v>10.682256897440324</v>
      </c>
      <c r="ED235" s="5"/>
      <c r="EE235" s="150">
        <f t="shared" si="716"/>
        <v>3.1219887452536073</v>
      </c>
      <c r="EF235" s="150">
        <f t="shared" si="717"/>
        <v>0.32862812320119122</v>
      </c>
      <c r="EG235" s="150">
        <f t="shared" si="718"/>
        <v>0.31261958411142732</v>
      </c>
      <c r="EH235" s="150"/>
      <c r="EI235" s="456">
        <f t="shared" si="719"/>
        <v>3.3139166666666657E-2</v>
      </c>
      <c r="EJ235" s="456">
        <f t="shared" si="720"/>
        <v>1.3133636558823527</v>
      </c>
      <c r="EK235" s="456">
        <f t="shared" si="721"/>
        <v>3.0132274632352931E-2</v>
      </c>
      <c r="EL235" s="456">
        <f t="shared" si="722"/>
        <v>5.4656206376349936E-2</v>
      </c>
      <c r="EM235">
        <f t="shared" si="723"/>
        <v>7.1999999999999998E-3</v>
      </c>
      <c r="EN235" s="144">
        <f t="shared" si="724"/>
        <v>37.332274632352934</v>
      </c>
      <c r="EP235" s="144">
        <f t="shared" si="725"/>
        <v>1438.4913035577224</v>
      </c>
      <c r="EQ235" s="150">
        <f t="shared" si="726"/>
        <v>0.23749999999999999</v>
      </c>
      <c r="ER235" s="150">
        <f t="shared" si="688"/>
        <v>6.745000000000001E-2</v>
      </c>
      <c r="ES235" s="456"/>
      <c r="EU235" s="144">
        <f t="shared" si="727"/>
        <v>304.95</v>
      </c>
      <c r="EV235" s="456">
        <f t="shared" si="728"/>
        <v>1.462022058823529E-2</v>
      </c>
      <c r="EW235" s="456">
        <f t="shared" si="729"/>
        <v>2.1599288671747464E-2</v>
      </c>
      <c r="EX235" s="456">
        <f t="shared" si="730"/>
        <v>2.9319301311000532E-3</v>
      </c>
      <c r="EY235" s="456">
        <f t="shared" si="731"/>
        <v>6.4462616990506607</v>
      </c>
      <c r="EZ235" s="456"/>
      <c r="FA235" s="538">
        <f t="shared" si="732"/>
        <v>2.3392352941176468E-2</v>
      </c>
      <c r="FB235" s="144">
        <f t="shared" si="733"/>
        <v>6508.8054913829201</v>
      </c>
      <c r="FC235" s="150">
        <f t="shared" si="734"/>
        <v>8.2522467949406426</v>
      </c>
      <c r="FD235" s="5">
        <f t="shared" si="735"/>
        <v>17.29</v>
      </c>
      <c r="FE235" s="150">
        <f t="shared" si="736"/>
        <v>0.67691774098059254</v>
      </c>
      <c r="FF235" s="5">
        <f t="shared" si="737"/>
        <v>67.691774098059255</v>
      </c>
      <c r="FG235">
        <f t="shared" si="738"/>
        <v>19</v>
      </c>
      <c r="FI235" s="59">
        <f t="shared" si="689"/>
        <v>-50</v>
      </c>
    </row>
    <row r="236" spans="5:165">
      <c r="E236" s="147">
        <v>20</v>
      </c>
      <c r="F236" s="188">
        <f t="shared" si="690"/>
        <v>0.1</v>
      </c>
      <c r="G236" s="188">
        <f t="shared" si="617"/>
        <v>0.1</v>
      </c>
      <c r="H236" s="188">
        <f t="shared" si="618"/>
        <v>17</v>
      </c>
      <c r="I236" s="188">
        <f t="shared" si="619"/>
        <v>1.2000000000000002</v>
      </c>
      <c r="J236" s="465">
        <f t="shared" si="620"/>
        <v>15.960331210464938</v>
      </c>
      <c r="K236" s="379">
        <f t="shared" si="621"/>
        <v>8.648147980288682</v>
      </c>
      <c r="L236" s="149">
        <f t="shared" si="622"/>
        <v>24.60847919075362</v>
      </c>
      <c r="M236" s="379"/>
      <c r="N236" s="188">
        <f t="shared" si="623"/>
        <v>0.35142959925528977</v>
      </c>
      <c r="O236" s="149">
        <f t="shared" si="624"/>
        <v>174.63710187121168</v>
      </c>
      <c r="P236" s="149">
        <f t="shared" si="625"/>
        <v>12.327324837967884</v>
      </c>
      <c r="Q236" s="188">
        <f t="shared" si="626"/>
        <v>1.027277069830657</v>
      </c>
      <c r="R236" s="188">
        <f t="shared" si="627"/>
        <v>14.553091822600974</v>
      </c>
      <c r="S236" s="188">
        <f t="shared" si="628"/>
        <v>170</v>
      </c>
      <c r="T236" s="188">
        <f t="shared" si="629"/>
        <v>6.4896480827374479</v>
      </c>
      <c r="U236" s="188">
        <f t="shared" si="630"/>
        <v>0.609916673766985</v>
      </c>
      <c r="V236" s="188">
        <f t="shared" si="631"/>
        <v>1.1256135008667172</v>
      </c>
      <c r="W236" s="172">
        <f t="shared" si="632"/>
        <v>280.44664006376934</v>
      </c>
      <c r="X236" s="379">
        <f t="shared" si="691"/>
        <v>350</v>
      </c>
      <c r="Z236" s="188">
        <f t="shared" si="633"/>
        <v>13.333333333333332</v>
      </c>
      <c r="AA236" s="150">
        <f t="shared" si="634"/>
        <v>2.3126338778643771</v>
      </c>
      <c r="AB236" s="150">
        <f t="shared" si="635"/>
        <v>0.20193583905970827</v>
      </c>
      <c r="AC236" s="150"/>
      <c r="AD236" s="150">
        <f t="shared" si="636"/>
        <v>2.3126338778643776</v>
      </c>
      <c r="AE236" s="314">
        <f t="shared" si="637"/>
        <v>138.8790822716947</v>
      </c>
      <c r="AF236" s="456">
        <f t="shared" si="638"/>
        <v>0.20193583905970836</v>
      </c>
      <c r="AH236" s="150">
        <f t="shared" si="639"/>
        <v>8.3266639978645305</v>
      </c>
      <c r="AI236" s="150">
        <f t="shared" si="640"/>
        <v>13.333333333333334</v>
      </c>
      <c r="AJ236" s="150">
        <f t="shared" si="641"/>
        <v>1.0793594755838256</v>
      </c>
      <c r="AL236" s="314">
        <f t="shared" si="642"/>
        <v>100</v>
      </c>
      <c r="AM236" s="144">
        <f t="shared" si="643"/>
        <v>138.8790822716947</v>
      </c>
      <c r="AO236">
        <f t="shared" si="644"/>
        <v>100</v>
      </c>
      <c r="AP236">
        <f t="shared" si="645"/>
        <v>138.8790822716947</v>
      </c>
      <c r="AR236" s="5">
        <f t="shared" si="616"/>
        <v>7.2005084109330451</v>
      </c>
      <c r="AS236" s="5">
        <f t="shared" si="604"/>
        <v>1.2531068269364183</v>
      </c>
      <c r="AT236" s="5">
        <f t="shared" si="605"/>
        <v>5.9474015839966263</v>
      </c>
      <c r="AU236" s="150">
        <f t="shared" si="606"/>
        <v>0.17403032611332511</v>
      </c>
      <c r="BA236" s="150">
        <f t="shared" si="692"/>
        <v>3.2113717028900548</v>
      </c>
      <c r="BB236" s="150">
        <f t="shared" si="693"/>
        <v>0.32674405769031917</v>
      </c>
      <c r="BC236" s="150">
        <f t="shared" si="694"/>
        <v>0.31082729752709587</v>
      </c>
      <c r="BD236" s="150"/>
      <c r="BE236" s="456">
        <f t="shared" si="695"/>
        <v>3.5063887928018095E-2</v>
      </c>
      <c r="BF236" s="456">
        <f t="shared" si="646"/>
        <v>1.0913545599523911</v>
      </c>
      <c r="BG236" s="456">
        <f t="shared" si="647"/>
        <v>0.10151827172778388</v>
      </c>
      <c r="BH236" s="456">
        <f t="shared" si="696"/>
        <v>5.7609878533875482E-2</v>
      </c>
      <c r="BI236">
        <f t="shared" si="697"/>
        <v>7.1821490447092221E-3</v>
      </c>
      <c r="BJ236" s="144">
        <f t="shared" si="698"/>
        <v>108.7004207724931</v>
      </c>
      <c r="BK236">
        <f t="shared" si="648"/>
        <v>1.2035223371045203</v>
      </c>
      <c r="BL236" s="144">
        <f t="shared" si="699"/>
        <v>1292.7287471867776</v>
      </c>
      <c r="BM236" s="150">
        <f t="shared" si="649"/>
        <v>0.22187499999999999</v>
      </c>
      <c r="BN236" s="150">
        <f t="shared" si="650"/>
        <v>7.1000000000000008E-2</v>
      </c>
      <c r="BQ236" s="144">
        <f t="shared" si="700"/>
        <v>292.875</v>
      </c>
      <c r="BR236" s="456">
        <f t="shared" si="701"/>
        <v>1.5469362321184456E-2</v>
      </c>
      <c r="BS236" s="456">
        <f t="shared" si="702"/>
        <v>2.1352335847186925E-2</v>
      </c>
      <c r="BT236" s="456">
        <f t="shared" si="703"/>
        <v>2.8984082666399331E-3</v>
      </c>
      <c r="BU236" s="456">
        <f t="shared" si="704"/>
        <v>7.3774952881403522</v>
      </c>
      <c r="BV236" s="456"/>
      <c r="BW236" s="538">
        <f t="shared" si="705"/>
        <v>2.4689614626079062E-2</v>
      </c>
      <c r="BX236" s="144">
        <f t="shared" si="706"/>
        <v>7441.9050092014422</v>
      </c>
      <c r="BY236" s="150">
        <f t="shared" si="707"/>
        <v>9.0275087563882206</v>
      </c>
      <c r="BZ236" s="5">
        <f t="shared" si="708"/>
        <v>18.2</v>
      </c>
      <c r="CA236" s="150">
        <f t="shared" si="709"/>
        <v>0.66844161773448507</v>
      </c>
      <c r="CB236" s="5">
        <f t="shared" si="710"/>
        <v>66.844161773448505</v>
      </c>
      <c r="CC236">
        <f t="shared" si="711"/>
        <v>20</v>
      </c>
      <c r="CE236" s="59">
        <f t="shared" si="651"/>
        <v>-50</v>
      </c>
      <c r="CG236" s="150">
        <f t="shared" si="652"/>
        <v>0.31268178103908068</v>
      </c>
      <c r="CH236" s="150">
        <f t="shared" si="653"/>
        <v>8.7328758267024242E-2</v>
      </c>
      <c r="CI236" s="147">
        <v>20</v>
      </c>
      <c r="CJ236" s="188">
        <f t="shared" si="712"/>
        <v>0.1</v>
      </c>
      <c r="CK236" s="188">
        <f t="shared" si="654"/>
        <v>0.1</v>
      </c>
      <c r="CL236" s="188">
        <f t="shared" si="655"/>
        <v>17</v>
      </c>
      <c r="CM236" s="188">
        <f t="shared" si="656"/>
        <v>1.2000000000000002</v>
      </c>
      <c r="CN236" s="465">
        <f t="shared" si="657"/>
        <v>16</v>
      </c>
      <c r="CO236" s="379">
        <f t="shared" si="658"/>
        <v>8.625</v>
      </c>
      <c r="CP236" s="379">
        <f t="shared" si="659"/>
        <v>24.625</v>
      </c>
      <c r="CQ236" s="379"/>
      <c r="CR236" s="188">
        <f t="shared" si="660"/>
        <v>0.34787038923986141</v>
      </c>
      <c r="CS236" s="149">
        <f t="shared" si="661"/>
        <v>173.29806936491266</v>
      </c>
      <c r="CT236" s="149">
        <f t="shared" si="662"/>
        <v>12.232804896346776</v>
      </c>
      <c r="CU236" s="188">
        <f t="shared" si="663"/>
        <v>1.0194004080288981</v>
      </c>
      <c r="CV236" s="188">
        <f t="shared" si="664"/>
        <v>14.441505780409388</v>
      </c>
      <c r="CW236" s="188">
        <f t="shared" si="665"/>
        <v>170</v>
      </c>
      <c r="CX236" s="188">
        <f t="shared" si="666"/>
        <v>6.5397920328060923</v>
      </c>
      <c r="CY236" s="188">
        <f t="shared" si="667"/>
        <v>0.61310550307557121</v>
      </c>
      <c r="CZ236" s="188">
        <f t="shared" si="668"/>
        <v>1.1373551361401901</v>
      </c>
      <c r="DA236" s="172">
        <f t="shared" si="669"/>
        <v>280.20304568527916</v>
      </c>
      <c r="DB236" s="379">
        <f t="shared" si="670"/>
        <v>350</v>
      </c>
      <c r="DD236" s="188">
        <f t="shared" si="671"/>
        <v>13.333333333333332</v>
      </c>
      <c r="DE236" s="150">
        <f t="shared" si="672"/>
        <v>2.318840579710145</v>
      </c>
      <c r="DF236" s="150">
        <f t="shared" si="673"/>
        <v>0.20230192819025303</v>
      </c>
      <c r="DG236" s="150"/>
      <c r="DH236" s="150">
        <f t="shared" si="674"/>
        <v>2.3188405797101455</v>
      </c>
      <c r="DI236" s="314">
        <f t="shared" si="675"/>
        <v>138.50735294117641</v>
      </c>
      <c r="DJ236" s="456">
        <f t="shared" si="676"/>
        <v>0.20230192819025311</v>
      </c>
      <c r="DL236" s="150">
        <f t="shared" si="677"/>
        <v>8.3266639978645305</v>
      </c>
      <c r="DM236" s="150">
        <f t="shared" si="678"/>
        <v>13.333333333333334</v>
      </c>
      <c r="DN236" s="150">
        <f t="shared" si="679"/>
        <v>1.0791470588235295</v>
      </c>
      <c r="DP236" s="314">
        <f t="shared" si="680"/>
        <v>100</v>
      </c>
      <c r="DQ236" s="144">
        <f t="shared" si="681"/>
        <v>138.50735294117641</v>
      </c>
      <c r="DS236">
        <f t="shared" si="682"/>
        <v>100</v>
      </c>
      <c r="DT236">
        <f t="shared" si="683"/>
        <v>138.50735294117641</v>
      </c>
      <c r="DV236" s="5">
        <f t="shared" si="684"/>
        <v>7.2198333067898313</v>
      </c>
      <c r="DW236" s="5">
        <f t="shared" si="685"/>
        <v>1.25</v>
      </c>
      <c r="DX236" s="5">
        <f t="shared" si="686"/>
        <v>5.9698333067898313</v>
      </c>
      <c r="DY236" s="150">
        <f t="shared" si="687"/>
        <v>0.17313419117647053</v>
      </c>
      <c r="EA236" s="5">
        <f t="shared" si="713"/>
        <v>7.3529411764705871E-2</v>
      </c>
      <c r="EB236" s="5">
        <f t="shared" si="714"/>
        <v>1.0416666666666667</v>
      </c>
      <c r="EC236" s="5">
        <f t="shared" si="715"/>
        <v>10.571579814106991</v>
      </c>
      <c r="ED236" s="5"/>
      <c r="EE236" s="150">
        <f t="shared" si="716"/>
        <v>3.2030928680836941</v>
      </c>
      <c r="EF236" s="150">
        <f t="shared" si="717"/>
        <v>0.32692125995192511</v>
      </c>
      <c r="EG236" s="150">
        <f t="shared" si="718"/>
        <v>0.31099586769323756</v>
      </c>
      <c r="EH236" s="150"/>
      <c r="EI236" s="456">
        <f t="shared" si="719"/>
        <v>3.4883333333333329E-2</v>
      </c>
      <c r="EJ236" s="456">
        <f t="shared" si="720"/>
        <v>1.3824880588235289</v>
      </c>
      <c r="EK236" s="456">
        <f t="shared" si="721"/>
        <v>3.1718183823529401E-2</v>
      </c>
      <c r="EL236" s="456">
        <f t="shared" si="722"/>
        <v>5.753284881721045E-2</v>
      </c>
      <c r="EM236">
        <f t="shared" si="723"/>
        <v>7.1999999999999998E-3</v>
      </c>
      <c r="EN236" s="144">
        <f t="shared" si="724"/>
        <v>38.918183823529397</v>
      </c>
      <c r="EP236" s="144">
        <f t="shared" si="725"/>
        <v>1513.8224247976023</v>
      </c>
      <c r="EQ236" s="150">
        <f t="shared" si="726"/>
        <v>0.25</v>
      </c>
      <c r="ER236" s="150">
        <f t="shared" si="688"/>
        <v>7.1000000000000008E-2</v>
      </c>
      <c r="ES236" s="456"/>
      <c r="EU236" s="144">
        <f t="shared" si="727"/>
        <v>321</v>
      </c>
      <c r="EV236" s="456">
        <f t="shared" si="728"/>
        <v>1.5389705882352939E-2</v>
      </c>
      <c r="EW236" s="456">
        <f t="shared" si="729"/>
        <v>2.1375502041710841E-2</v>
      </c>
      <c r="EX236" s="456">
        <f t="shared" si="730"/>
        <v>2.9015528916680917E-3</v>
      </c>
      <c r="EY236" s="456">
        <f t="shared" si="731"/>
        <v>7.328227097065545</v>
      </c>
      <c r="EZ236" s="456"/>
      <c r="FA236" s="538">
        <f t="shared" si="732"/>
        <v>2.46235294117647E-2</v>
      </c>
      <c r="FB236" s="144">
        <f t="shared" si="733"/>
        <v>7392.5173872930409</v>
      </c>
      <c r="FC236" s="150">
        <f t="shared" si="734"/>
        <v>9.2273398120906425</v>
      </c>
      <c r="FD236" s="5">
        <f t="shared" si="735"/>
        <v>18.2</v>
      </c>
      <c r="FE236" s="150">
        <f t="shared" si="736"/>
        <v>0.66357146280650203</v>
      </c>
      <c r="FF236" s="5">
        <f t="shared" si="737"/>
        <v>66.357146280650198</v>
      </c>
      <c r="FG236">
        <f t="shared" si="738"/>
        <v>20</v>
      </c>
      <c r="FI236" s="59">
        <f t="shared" si="689"/>
        <v>-50</v>
      </c>
    </row>
    <row r="237" spans="5:165">
      <c r="E237" s="147">
        <v>21</v>
      </c>
      <c r="F237" s="188">
        <f t="shared" si="690"/>
        <v>0.105</v>
      </c>
      <c r="G237" s="188">
        <f t="shared" si="617"/>
        <v>0.105</v>
      </c>
      <c r="H237" s="188">
        <f t="shared" si="618"/>
        <v>17.849999999999998</v>
      </c>
      <c r="I237" s="188">
        <f t="shared" si="619"/>
        <v>1.26</v>
      </c>
      <c r="J237" s="465">
        <f t="shared" si="620"/>
        <v>15.960331210464938</v>
      </c>
      <c r="K237" s="379">
        <f t="shared" si="621"/>
        <v>8.648147980288682</v>
      </c>
      <c r="L237" s="149">
        <f t="shared" si="622"/>
        <v>24.60847919075362</v>
      </c>
      <c r="M237" s="379"/>
      <c r="N237" s="188">
        <f t="shared" si="623"/>
        <v>0.35142959925528977</v>
      </c>
      <c r="O237" s="149">
        <f t="shared" si="624"/>
        <v>174.63710187121168</v>
      </c>
      <c r="P237" s="149">
        <f t="shared" si="625"/>
        <v>12.327324837967884</v>
      </c>
      <c r="Q237" s="188">
        <f t="shared" si="626"/>
        <v>1.027277069830657</v>
      </c>
      <c r="R237" s="188">
        <f t="shared" si="627"/>
        <v>14.553091822600974</v>
      </c>
      <c r="S237" s="188">
        <f t="shared" si="628"/>
        <v>170</v>
      </c>
      <c r="T237" s="188">
        <f t="shared" si="629"/>
        <v>6.8141304868743209</v>
      </c>
      <c r="U237" s="188">
        <f t="shared" si="630"/>
        <v>0.64041250745533429</v>
      </c>
      <c r="V237" s="188">
        <f t="shared" si="631"/>
        <v>1.181894175910053</v>
      </c>
      <c r="W237" s="172">
        <f t="shared" si="632"/>
        <v>280.44664006376934</v>
      </c>
      <c r="X237" s="379">
        <f t="shared" si="691"/>
        <v>350</v>
      </c>
      <c r="Z237" s="188">
        <f t="shared" si="633"/>
        <v>13.333333333333332</v>
      </c>
      <c r="AA237" s="150">
        <f t="shared" si="634"/>
        <v>2.3126338778643771</v>
      </c>
      <c r="AB237" s="150">
        <f t="shared" si="635"/>
        <v>0.20193583905970827</v>
      </c>
      <c r="AC237" s="150"/>
      <c r="AD237" s="150">
        <f t="shared" si="636"/>
        <v>2.3126338778643776</v>
      </c>
      <c r="AE237" s="314">
        <f t="shared" si="637"/>
        <v>145.82303638527941</v>
      </c>
      <c r="AF237" s="456">
        <f t="shared" si="638"/>
        <v>0.20193583905970836</v>
      </c>
      <c r="AH237" s="150">
        <f t="shared" si="639"/>
        <v>8.5322916030806173</v>
      </c>
      <c r="AI237" s="150">
        <f t="shared" si="640"/>
        <v>13.333333333333334</v>
      </c>
      <c r="AJ237" s="150">
        <f t="shared" si="641"/>
        <v>1.0833274493630167</v>
      </c>
      <c r="AL237" s="314">
        <f t="shared" si="642"/>
        <v>105</v>
      </c>
      <c r="AM237" s="144">
        <f t="shared" si="643"/>
        <v>145.82303638527941</v>
      </c>
      <c r="AO237">
        <f t="shared" si="644"/>
        <v>105</v>
      </c>
      <c r="AP237">
        <f t="shared" si="645"/>
        <v>145.82303638527941</v>
      </c>
      <c r="AR237" s="5">
        <f t="shared" si="616"/>
        <v>6.8576270580314729</v>
      </c>
      <c r="AS237" s="5">
        <f t="shared" si="604"/>
        <v>1.2531068269364183</v>
      </c>
      <c r="AT237" s="5">
        <f t="shared" si="605"/>
        <v>5.604520231095055</v>
      </c>
      <c r="AU237" s="150">
        <f t="shared" si="606"/>
        <v>0.18273184241899135</v>
      </c>
      <c r="BA237" s="150">
        <f t="shared" si="692"/>
        <v>3.2906767730710227</v>
      </c>
      <c r="BB237" s="150">
        <f t="shared" si="693"/>
        <v>0.32501839107521358</v>
      </c>
      <c r="BC237" s="150">
        <f t="shared" si="694"/>
        <v>0.30918569371585114</v>
      </c>
      <c r="BD237" s="150"/>
      <c r="BE237" s="456">
        <f t="shared" si="695"/>
        <v>3.6817082324419007E-2</v>
      </c>
      <c r="BF237" s="456">
        <f t="shared" si="646"/>
        <v>1.1459222879500104</v>
      </c>
      <c r="BG237" s="456">
        <f t="shared" si="647"/>
        <v>0.10659418531417306</v>
      </c>
      <c r="BH237" s="456">
        <f t="shared" si="696"/>
        <v>6.0490372460569243E-2</v>
      </c>
      <c r="BI237">
        <f t="shared" si="697"/>
        <v>7.1821490447092221E-3</v>
      </c>
      <c r="BJ237" s="144">
        <f t="shared" si="698"/>
        <v>113.77633435888228</v>
      </c>
      <c r="BK237">
        <f t="shared" si="648"/>
        <v>1.2642295044001246</v>
      </c>
      <c r="BL237" s="144">
        <f t="shared" si="699"/>
        <v>1357.0060770938808</v>
      </c>
      <c r="BM237" s="150">
        <f t="shared" si="649"/>
        <v>0.23296875</v>
      </c>
      <c r="BN237" s="150">
        <f t="shared" si="650"/>
        <v>7.4550000000000005E-2</v>
      </c>
      <c r="BQ237" s="144">
        <f t="shared" si="700"/>
        <v>307.51875000000001</v>
      </c>
      <c r="BR237" s="456">
        <f t="shared" si="701"/>
        <v>1.6242830437243679E-2</v>
      </c>
      <c r="BS237" s="456">
        <f t="shared" si="702"/>
        <v>2.1127390907424097E-2</v>
      </c>
      <c r="BT237" s="456">
        <f t="shared" si="703"/>
        <v>2.8678737959565636E-3</v>
      </c>
      <c r="BU237" s="456">
        <f t="shared" si="704"/>
        <v>8.3345506170524626</v>
      </c>
      <c r="BV237" s="456"/>
      <c r="BW237" s="538">
        <f t="shared" si="705"/>
        <v>2.5924095357383013E-2</v>
      </c>
      <c r="BX237" s="144">
        <f t="shared" si="706"/>
        <v>8400.7128075504697</v>
      </c>
      <c r="BY237" s="150">
        <f t="shared" si="707"/>
        <v>10.065237634644349</v>
      </c>
      <c r="BZ237" s="5">
        <f t="shared" si="708"/>
        <v>19.11</v>
      </c>
      <c r="CA237" s="150">
        <f t="shared" si="709"/>
        <v>0.65500751833834914</v>
      </c>
      <c r="CB237" s="5">
        <f t="shared" si="710"/>
        <v>65.500751833834912</v>
      </c>
      <c r="CC237">
        <f t="shared" si="711"/>
        <v>21</v>
      </c>
      <c r="CE237" s="59">
        <f t="shared" si="651"/>
        <v>-50</v>
      </c>
      <c r="CG237" s="150">
        <f t="shared" si="652"/>
        <v>0.32831587009103469</v>
      </c>
      <c r="CH237" s="150">
        <f t="shared" si="653"/>
        <v>9.1695196180375457E-2</v>
      </c>
      <c r="CI237" s="147">
        <v>21</v>
      </c>
      <c r="CJ237" s="188">
        <f t="shared" si="712"/>
        <v>0.105</v>
      </c>
      <c r="CK237" s="188">
        <f t="shared" si="654"/>
        <v>0.105</v>
      </c>
      <c r="CL237" s="188">
        <f t="shared" si="655"/>
        <v>17.849999999999998</v>
      </c>
      <c r="CM237" s="188">
        <f t="shared" si="656"/>
        <v>1.26</v>
      </c>
      <c r="CN237" s="465">
        <f t="shared" si="657"/>
        <v>16</v>
      </c>
      <c r="CO237" s="379">
        <f t="shared" si="658"/>
        <v>8.625</v>
      </c>
      <c r="CP237" s="379">
        <f t="shared" si="659"/>
        <v>24.625</v>
      </c>
      <c r="CQ237" s="379"/>
      <c r="CR237" s="188">
        <f t="shared" si="660"/>
        <v>0.34787038923986141</v>
      </c>
      <c r="CS237" s="149">
        <f t="shared" si="661"/>
        <v>173.29806936491266</v>
      </c>
      <c r="CT237" s="149">
        <f t="shared" si="662"/>
        <v>12.232804896346776</v>
      </c>
      <c r="CU237" s="188">
        <f t="shared" si="663"/>
        <v>1.0194004080288981</v>
      </c>
      <c r="CV237" s="188">
        <f t="shared" si="664"/>
        <v>14.441505780409388</v>
      </c>
      <c r="CW237" s="188">
        <f t="shared" si="665"/>
        <v>170</v>
      </c>
      <c r="CX237" s="188">
        <f t="shared" si="666"/>
        <v>6.8667816344463972</v>
      </c>
      <c r="CY237" s="188">
        <f t="shared" si="667"/>
        <v>0.64376077822934974</v>
      </c>
      <c r="CZ237" s="188">
        <f t="shared" si="668"/>
        <v>1.1942228929471994</v>
      </c>
      <c r="DA237" s="172">
        <f t="shared" si="669"/>
        <v>280.20304568527916</v>
      </c>
      <c r="DB237" s="379">
        <f t="shared" si="670"/>
        <v>350</v>
      </c>
      <c r="DD237" s="188">
        <f t="shared" si="671"/>
        <v>13.333333333333332</v>
      </c>
      <c r="DE237" s="150">
        <f t="shared" si="672"/>
        <v>2.318840579710145</v>
      </c>
      <c r="DF237" s="150">
        <f t="shared" si="673"/>
        <v>0.20230192819025303</v>
      </c>
      <c r="DG237" s="150"/>
      <c r="DH237" s="150">
        <f t="shared" si="674"/>
        <v>2.3188405797101455</v>
      </c>
      <c r="DI237" s="314">
        <f t="shared" si="675"/>
        <v>145.43272058823524</v>
      </c>
      <c r="DJ237" s="456">
        <f t="shared" si="676"/>
        <v>0.20230192819025311</v>
      </c>
      <c r="DL237" s="150">
        <f t="shared" si="677"/>
        <v>8.5322916030806173</v>
      </c>
      <c r="DM237" s="150">
        <f t="shared" si="678"/>
        <v>13.333333333333334</v>
      </c>
      <c r="DN237" s="150">
        <f t="shared" si="679"/>
        <v>1.083104411764706</v>
      </c>
      <c r="DP237" s="314">
        <f t="shared" si="680"/>
        <v>105</v>
      </c>
      <c r="DQ237" s="144">
        <f t="shared" si="681"/>
        <v>145.43272058823524</v>
      </c>
      <c r="DS237">
        <f t="shared" si="682"/>
        <v>105</v>
      </c>
      <c r="DT237">
        <f t="shared" si="683"/>
        <v>145.43272058823524</v>
      </c>
      <c r="DV237" s="5">
        <f t="shared" si="684"/>
        <v>6.8760317207522208</v>
      </c>
      <c r="DW237" s="5">
        <f t="shared" si="685"/>
        <v>1.25</v>
      </c>
      <c r="DX237" s="5">
        <f t="shared" si="686"/>
        <v>5.6260317207522208</v>
      </c>
      <c r="DY237" s="150">
        <f t="shared" si="687"/>
        <v>0.18179090073529403</v>
      </c>
      <c r="EA237" s="5">
        <f t="shared" si="713"/>
        <v>7.720588235294118E-2</v>
      </c>
      <c r="EB237" s="5">
        <f t="shared" si="714"/>
        <v>1.09375</v>
      </c>
      <c r="EC237" s="5">
        <f t="shared" si="715"/>
        <v>10.460902730773658</v>
      </c>
      <c r="ED237" s="5"/>
      <c r="EE237" s="150">
        <f t="shared" si="716"/>
        <v>3.2821934918049931</v>
      </c>
      <c r="EF237" s="150">
        <f t="shared" si="717"/>
        <v>0.32520543823615722</v>
      </c>
      <c r="EG237" s="150">
        <f t="shared" si="718"/>
        <v>0.30936362920443261</v>
      </c>
      <c r="EH237" s="150"/>
      <c r="EI237" s="456">
        <f t="shared" si="719"/>
        <v>3.662749999999998E-2</v>
      </c>
      <c r="EJ237" s="456">
        <f t="shared" si="720"/>
        <v>1.4516124617647057</v>
      </c>
      <c r="EK237" s="456">
        <f t="shared" si="721"/>
        <v>3.3304093014705868E-2</v>
      </c>
      <c r="EL237" s="456">
        <f t="shared" si="722"/>
        <v>6.0409491258070977E-2</v>
      </c>
      <c r="EM237">
        <f t="shared" si="723"/>
        <v>7.1999999999999998E-3</v>
      </c>
      <c r="EN237" s="144">
        <f t="shared" si="724"/>
        <v>40.504093014705866</v>
      </c>
      <c r="EP237" s="144">
        <f t="shared" si="725"/>
        <v>1589.1535460374828</v>
      </c>
      <c r="EQ237" s="150">
        <f t="shared" si="726"/>
        <v>0.26250000000000001</v>
      </c>
      <c r="ER237" s="150">
        <f t="shared" si="688"/>
        <v>7.4550000000000005E-2</v>
      </c>
      <c r="ES237" s="456"/>
      <c r="EU237" s="144">
        <f t="shared" si="727"/>
        <v>337.05</v>
      </c>
      <c r="EV237" s="456">
        <f t="shared" si="728"/>
        <v>1.6159191176470581E-2</v>
      </c>
      <c r="EW237" s="456">
        <f t="shared" si="729"/>
        <v>2.1151715411674214E-2</v>
      </c>
      <c r="EX237" s="456">
        <f t="shared" si="730"/>
        <v>2.8711756522361302E-3</v>
      </c>
      <c r="EY237" s="456">
        <f t="shared" si="731"/>
        <v>8.2788910447605222</v>
      </c>
      <c r="EZ237" s="456"/>
      <c r="FA237" s="538">
        <f t="shared" si="732"/>
        <v>2.5854705882352939E-2</v>
      </c>
      <c r="FB237" s="144">
        <f t="shared" si="733"/>
        <v>8344.9278328832552</v>
      </c>
      <c r="FC237" s="150">
        <f t="shared" si="734"/>
        <v>10.271131378920739</v>
      </c>
      <c r="FD237" s="5">
        <f t="shared" si="735"/>
        <v>19.11</v>
      </c>
      <c r="FE237" s="150">
        <f t="shared" si="736"/>
        <v>0.65041743129436869</v>
      </c>
      <c r="FF237" s="5">
        <f t="shared" si="737"/>
        <v>65.041743129436867</v>
      </c>
      <c r="FG237">
        <f t="shared" si="738"/>
        <v>21</v>
      </c>
      <c r="FI237" s="59">
        <f t="shared" si="689"/>
        <v>-50</v>
      </c>
    </row>
    <row r="238" spans="5:165">
      <c r="E238" s="147">
        <v>22</v>
      </c>
      <c r="F238" s="188">
        <f t="shared" si="690"/>
        <v>0.11</v>
      </c>
      <c r="G238" s="188">
        <f t="shared" si="617"/>
        <v>0.11</v>
      </c>
      <c r="H238" s="188">
        <f t="shared" si="618"/>
        <v>18.7</v>
      </c>
      <c r="I238" s="188">
        <f t="shared" si="619"/>
        <v>1.32</v>
      </c>
      <c r="J238" s="465">
        <f t="shared" si="620"/>
        <v>15.960331210464938</v>
      </c>
      <c r="K238" s="379">
        <f t="shared" si="621"/>
        <v>8.648147980288682</v>
      </c>
      <c r="L238" s="149">
        <f t="shared" si="622"/>
        <v>24.60847919075362</v>
      </c>
      <c r="M238" s="379"/>
      <c r="N238" s="188">
        <f t="shared" si="623"/>
        <v>0.35142959925528977</v>
      </c>
      <c r="O238" s="149">
        <f t="shared" si="624"/>
        <v>174.63710187121168</v>
      </c>
      <c r="P238" s="149">
        <f t="shared" si="625"/>
        <v>12.327324837967884</v>
      </c>
      <c r="Q238" s="188">
        <f t="shared" si="626"/>
        <v>1.027277069830657</v>
      </c>
      <c r="R238" s="188">
        <f t="shared" si="627"/>
        <v>14.553091822600974</v>
      </c>
      <c r="S238" s="188">
        <f t="shared" si="628"/>
        <v>170</v>
      </c>
      <c r="T238" s="188">
        <f t="shared" si="629"/>
        <v>7.138612891011193</v>
      </c>
      <c r="U238" s="188">
        <f t="shared" si="630"/>
        <v>0.67090834114368347</v>
      </c>
      <c r="V238" s="188">
        <f t="shared" si="631"/>
        <v>1.2381748509533888</v>
      </c>
      <c r="W238" s="172">
        <f t="shared" si="632"/>
        <v>280.44664006376934</v>
      </c>
      <c r="X238" s="379">
        <f t="shared" si="691"/>
        <v>350</v>
      </c>
      <c r="Z238" s="188">
        <f t="shared" si="633"/>
        <v>13.333333333333332</v>
      </c>
      <c r="AA238" s="150">
        <f t="shared" si="634"/>
        <v>2.3126338778643771</v>
      </c>
      <c r="AB238" s="150">
        <f t="shared" si="635"/>
        <v>0.20193583905970827</v>
      </c>
      <c r="AC238" s="150"/>
      <c r="AD238" s="150">
        <f t="shared" si="636"/>
        <v>2.3126338778643776</v>
      </c>
      <c r="AE238" s="314">
        <f t="shared" si="637"/>
        <v>152.7669904988642</v>
      </c>
      <c r="AF238" s="456">
        <f t="shared" si="638"/>
        <v>0.20193583905970836</v>
      </c>
      <c r="AH238" s="150">
        <f t="shared" si="639"/>
        <v>8.7330788767001675</v>
      </c>
      <c r="AI238" s="150">
        <f t="shared" si="640"/>
        <v>13.333333333333334</v>
      </c>
      <c r="AJ238" s="150">
        <f t="shared" si="641"/>
        <v>1.0872954231422081</v>
      </c>
      <c r="AL238" s="314">
        <f t="shared" si="642"/>
        <v>110</v>
      </c>
      <c r="AM238" s="144">
        <f t="shared" si="643"/>
        <v>152.7669904988642</v>
      </c>
      <c r="AO238">
        <f t="shared" si="644"/>
        <v>110</v>
      </c>
      <c r="AP238">
        <f t="shared" si="645"/>
        <v>152.7669904988642</v>
      </c>
      <c r="AR238" s="5">
        <f t="shared" si="616"/>
        <v>6.545916737211857</v>
      </c>
      <c r="AS238" s="5">
        <f t="shared" si="604"/>
        <v>1.2531068269364183</v>
      </c>
      <c r="AT238" s="5">
        <f t="shared" si="605"/>
        <v>5.2928099102754391</v>
      </c>
      <c r="AU238" s="150">
        <f t="shared" si="606"/>
        <v>0.19143335872465769</v>
      </c>
      <c r="BA238" s="150">
        <f t="shared" si="692"/>
        <v>3.3681150567543372</v>
      </c>
      <c r="BB238" s="150">
        <f t="shared" si="693"/>
        <v>0.3232835130938575</v>
      </c>
      <c r="BC238" s="150">
        <f t="shared" si="694"/>
        <v>0.30753532725380744</v>
      </c>
      <c r="BD238" s="150"/>
      <c r="BE238" s="456">
        <f t="shared" si="695"/>
        <v>3.8570276720819925E-2</v>
      </c>
      <c r="BF238" s="456">
        <f t="shared" si="646"/>
        <v>1.2004900159476302</v>
      </c>
      <c r="BG238" s="456">
        <f t="shared" si="647"/>
        <v>0.11167009890056229</v>
      </c>
      <c r="BH238" s="456">
        <f t="shared" si="696"/>
        <v>6.3370866387263039E-2</v>
      </c>
      <c r="BI238">
        <f t="shared" si="697"/>
        <v>7.1821490447092221E-3</v>
      </c>
      <c r="BJ238" s="144">
        <f t="shared" si="698"/>
        <v>118.85224794527151</v>
      </c>
      <c r="BK238">
        <f t="shared" si="648"/>
        <v>1.3249877157106982</v>
      </c>
      <c r="BL238" s="144">
        <f t="shared" si="699"/>
        <v>1421.2834070009849</v>
      </c>
      <c r="BM238" s="150">
        <f t="shared" si="649"/>
        <v>0.24406250000000002</v>
      </c>
      <c r="BN238" s="150">
        <f t="shared" si="650"/>
        <v>7.8100000000000003E-2</v>
      </c>
      <c r="BQ238" s="144">
        <f t="shared" si="700"/>
        <v>322.16250000000002</v>
      </c>
      <c r="BR238" s="456">
        <f t="shared" si="701"/>
        <v>1.701629855330291E-2</v>
      </c>
      <c r="BS238" s="456">
        <f t="shared" si="702"/>
        <v>2.0902445967661269E-2</v>
      </c>
      <c r="BT238" s="456">
        <f t="shared" si="703"/>
        <v>2.8373393252731933E-3</v>
      </c>
      <c r="BU238" s="456">
        <f t="shared" si="704"/>
        <v>9.3624746259976153</v>
      </c>
      <c r="BV238" s="456"/>
      <c r="BW238" s="538">
        <f t="shared" si="705"/>
        <v>2.7158576088686975E-2</v>
      </c>
      <c r="BX238" s="144">
        <f t="shared" si="706"/>
        <v>9430.3892859325388</v>
      </c>
      <c r="BY238" s="150">
        <f t="shared" si="707"/>
        <v>11.173835192933524</v>
      </c>
      <c r="BZ238" s="5">
        <f t="shared" si="708"/>
        <v>20.02</v>
      </c>
      <c r="CA238" s="150">
        <f t="shared" si="709"/>
        <v>0.64179347862090452</v>
      </c>
      <c r="CB238" s="5">
        <f t="shared" si="710"/>
        <v>64.179347862090452</v>
      </c>
      <c r="CC238">
        <f t="shared" si="711"/>
        <v>22</v>
      </c>
      <c r="CE238" s="59">
        <f t="shared" si="651"/>
        <v>-50</v>
      </c>
      <c r="CG238" s="150">
        <f t="shared" si="652"/>
        <v>0.3439499591429887</v>
      </c>
      <c r="CH238" s="150">
        <f t="shared" si="653"/>
        <v>9.6061634093726658E-2</v>
      </c>
      <c r="CI238" s="147">
        <v>22</v>
      </c>
      <c r="CJ238" s="188">
        <f t="shared" si="712"/>
        <v>0.11</v>
      </c>
      <c r="CK238" s="188">
        <f t="shared" si="654"/>
        <v>0.11</v>
      </c>
      <c r="CL238" s="188">
        <f t="shared" si="655"/>
        <v>18.7</v>
      </c>
      <c r="CM238" s="188">
        <f t="shared" si="656"/>
        <v>1.32</v>
      </c>
      <c r="CN238" s="465">
        <f t="shared" si="657"/>
        <v>16</v>
      </c>
      <c r="CO238" s="379">
        <f t="shared" si="658"/>
        <v>8.625</v>
      </c>
      <c r="CP238" s="379">
        <f t="shared" si="659"/>
        <v>24.625</v>
      </c>
      <c r="CQ238" s="379"/>
      <c r="CR238" s="188">
        <f t="shared" si="660"/>
        <v>0.34787038923986141</v>
      </c>
      <c r="CS238" s="149">
        <f t="shared" si="661"/>
        <v>173.29806936491266</v>
      </c>
      <c r="CT238" s="149">
        <f t="shared" si="662"/>
        <v>12.232804896346776</v>
      </c>
      <c r="CU238" s="188">
        <f t="shared" si="663"/>
        <v>1.0194004080288981</v>
      </c>
      <c r="CV238" s="188">
        <f t="shared" si="664"/>
        <v>14.441505780409388</v>
      </c>
      <c r="CW238" s="188">
        <f t="shared" si="665"/>
        <v>170</v>
      </c>
      <c r="CX238" s="188">
        <f t="shared" si="666"/>
        <v>7.1937712360867021</v>
      </c>
      <c r="CY238" s="188">
        <f t="shared" si="667"/>
        <v>0.67441605338312827</v>
      </c>
      <c r="CZ238" s="188">
        <f t="shared" si="668"/>
        <v>1.2510906497542089</v>
      </c>
      <c r="DA238" s="172">
        <f t="shared" si="669"/>
        <v>280.20304568527916</v>
      </c>
      <c r="DB238" s="379">
        <f t="shared" si="670"/>
        <v>350</v>
      </c>
      <c r="DD238" s="188">
        <f t="shared" si="671"/>
        <v>13.333333333333332</v>
      </c>
      <c r="DE238" s="150">
        <f t="shared" si="672"/>
        <v>2.318840579710145</v>
      </c>
      <c r="DF238" s="150">
        <f t="shared" si="673"/>
        <v>0.20230192819025303</v>
      </c>
      <c r="DG238" s="150"/>
      <c r="DH238" s="150">
        <f t="shared" si="674"/>
        <v>2.3188405797101455</v>
      </c>
      <c r="DI238" s="314">
        <f t="shared" si="675"/>
        <v>152.35808823529405</v>
      </c>
      <c r="DJ238" s="456">
        <f t="shared" si="676"/>
        <v>0.20230192819025311</v>
      </c>
      <c r="DL238" s="150">
        <f t="shared" si="677"/>
        <v>8.7330788767001675</v>
      </c>
      <c r="DM238" s="150">
        <f t="shared" si="678"/>
        <v>13.333333333333334</v>
      </c>
      <c r="DN238" s="150">
        <f t="shared" si="679"/>
        <v>1.0870617647058822</v>
      </c>
      <c r="DP238" s="314">
        <f t="shared" si="680"/>
        <v>110</v>
      </c>
      <c r="DQ238" s="144">
        <f t="shared" si="681"/>
        <v>152.35808823529405</v>
      </c>
      <c r="DS238">
        <f t="shared" si="682"/>
        <v>110</v>
      </c>
      <c r="DT238">
        <f t="shared" si="683"/>
        <v>152.35808823529405</v>
      </c>
      <c r="DV238" s="5">
        <f t="shared" si="684"/>
        <v>6.5634848243543926</v>
      </c>
      <c r="DW238" s="5">
        <f t="shared" si="685"/>
        <v>1.25</v>
      </c>
      <c r="DX238" s="5">
        <f t="shared" si="686"/>
        <v>5.3134848243543926</v>
      </c>
      <c r="DY238" s="150">
        <f t="shared" si="687"/>
        <v>0.19044761029411755</v>
      </c>
      <c r="EA238" s="5">
        <f t="shared" si="713"/>
        <v>8.0882352941176475E-2</v>
      </c>
      <c r="EB238" s="5">
        <f t="shared" si="714"/>
        <v>1.1458333333333333</v>
      </c>
      <c r="EC238" s="5">
        <f t="shared" si="715"/>
        <v>10.350225647440325</v>
      </c>
      <c r="ED238" s="5"/>
      <c r="EE238" s="150">
        <f t="shared" si="716"/>
        <v>3.3594321415568857</v>
      </c>
      <c r="EF238" s="150">
        <f t="shared" si="717"/>
        <v>0.32348051550006518</v>
      </c>
      <c r="EG238" s="150">
        <f t="shared" si="718"/>
        <v>0.30772273303544806</v>
      </c>
      <c r="EH238" s="150"/>
      <c r="EI238" s="456">
        <f t="shared" si="719"/>
        <v>3.8371666666666644E-2</v>
      </c>
      <c r="EJ238" s="456">
        <f t="shared" si="720"/>
        <v>1.5207368647058819</v>
      </c>
      <c r="EK238" s="456">
        <f t="shared" si="721"/>
        <v>3.4890002205882335E-2</v>
      </c>
      <c r="EL238" s="456">
        <f t="shared" si="722"/>
        <v>6.3286133698931504E-2</v>
      </c>
      <c r="EM238">
        <f t="shared" si="723"/>
        <v>7.1999999999999998E-3</v>
      </c>
      <c r="EN238" s="144">
        <f t="shared" si="724"/>
        <v>42.090002205882335</v>
      </c>
      <c r="EP238" s="144">
        <f t="shared" si="725"/>
        <v>1664.4846672773624</v>
      </c>
      <c r="EQ238" s="150">
        <f t="shared" si="726"/>
        <v>0.27500000000000002</v>
      </c>
      <c r="ER238" s="150">
        <f t="shared" si="688"/>
        <v>7.8100000000000003E-2</v>
      </c>
      <c r="ES238" s="456"/>
      <c r="EU238" s="144">
        <f t="shared" si="727"/>
        <v>353.1</v>
      </c>
      <c r="EV238" s="456">
        <f t="shared" si="728"/>
        <v>1.6928676470588228E-2</v>
      </c>
      <c r="EW238" s="456">
        <f t="shared" si="729"/>
        <v>2.0927928781637583E-2</v>
      </c>
      <c r="EX238" s="456">
        <f t="shared" si="730"/>
        <v>2.8407984128041692E-3</v>
      </c>
      <c r="EY238" s="456">
        <f t="shared" si="731"/>
        <v>9.2999503991711574</v>
      </c>
      <c r="EZ238" s="456"/>
      <c r="FA238" s="538">
        <f t="shared" si="732"/>
        <v>2.7085882352941168E-2</v>
      </c>
      <c r="FB238" s="144">
        <f t="shared" si="733"/>
        <v>9367.7336851891287</v>
      </c>
      <c r="FC238" s="150">
        <f t="shared" si="734"/>
        <v>11.38531835246649</v>
      </c>
      <c r="FD238" s="5">
        <f t="shared" si="735"/>
        <v>20.02</v>
      </c>
      <c r="FE238" s="150">
        <f t="shared" si="736"/>
        <v>0.63747164653173094</v>
      </c>
      <c r="FF238" s="5">
        <f t="shared" si="737"/>
        <v>63.747164653173094</v>
      </c>
      <c r="FG238">
        <f t="shared" si="738"/>
        <v>22</v>
      </c>
      <c r="FI238" s="59">
        <f t="shared" si="689"/>
        <v>-50</v>
      </c>
    </row>
    <row r="239" spans="5:165">
      <c r="E239" s="147">
        <v>23</v>
      </c>
      <c r="F239" s="188">
        <f t="shared" si="690"/>
        <v>0.115</v>
      </c>
      <c r="G239" s="188">
        <f t="shared" si="617"/>
        <v>0.115</v>
      </c>
      <c r="H239" s="188">
        <f t="shared" si="618"/>
        <v>19.55</v>
      </c>
      <c r="I239" s="188">
        <f t="shared" si="619"/>
        <v>1.3800000000000001</v>
      </c>
      <c r="J239" s="465">
        <f t="shared" si="620"/>
        <v>15.960331210464938</v>
      </c>
      <c r="K239" s="379">
        <f t="shared" si="621"/>
        <v>8.648147980288682</v>
      </c>
      <c r="L239" s="149">
        <f t="shared" si="622"/>
        <v>24.60847919075362</v>
      </c>
      <c r="M239" s="379"/>
      <c r="N239" s="188">
        <f t="shared" si="623"/>
        <v>0.35142959925528977</v>
      </c>
      <c r="O239" s="149">
        <f t="shared" si="624"/>
        <v>174.63710187121168</v>
      </c>
      <c r="P239" s="149">
        <f t="shared" si="625"/>
        <v>12.327324837967884</v>
      </c>
      <c r="Q239" s="188">
        <f t="shared" si="626"/>
        <v>1.027277069830657</v>
      </c>
      <c r="R239" s="188">
        <f t="shared" si="627"/>
        <v>14.553091822600974</v>
      </c>
      <c r="S239" s="188">
        <f t="shared" si="628"/>
        <v>170</v>
      </c>
      <c r="T239" s="188">
        <f t="shared" si="629"/>
        <v>7.463095295148066</v>
      </c>
      <c r="U239" s="188">
        <f t="shared" si="630"/>
        <v>0.70140417483203277</v>
      </c>
      <c r="V239" s="188">
        <f t="shared" si="631"/>
        <v>1.2944555259967248</v>
      </c>
      <c r="W239" s="172">
        <f t="shared" si="632"/>
        <v>280.44664006376934</v>
      </c>
      <c r="X239" s="379">
        <f t="shared" si="691"/>
        <v>350</v>
      </c>
      <c r="Z239" s="188">
        <f t="shared" si="633"/>
        <v>13.333333333333332</v>
      </c>
      <c r="AA239" s="150">
        <f t="shared" si="634"/>
        <v>2.3126338778643771</v>
      </c>
      <c r="AB239" s="150">
        <f t="shared" si="635"/>
        <v>0.20193583905970827</v>
      </c>
      <c r="AC239" s="150"/>
      <c r="AD239" s="150">
        <f t="shared" si="636"/>
        <v>2.3126338778643776</v>
      </c>
      <c r="AE239" s="314">
        <f t="shared" si="637"/>
        <v>159.71094461244891</v>
      </c>
      <c r="AF239" s="456">
        <f t="shared" si="638"/>
        <v>0.20193583905970836</v>
      </c>
      <c r="AH239" s="150">
        <f t="shared" si="639"/>
        <v>8.9293523468017177</v>
      </c>
      <c r="AI239" s="150">
        <f t="shared" si="640"/>
        <v>13.333333333333334</v>
      </c>
      <c r="AJ239" s="150">
        <f t="shared" si="641"/>
        <v>1.0912633969213994</v>
      </c>
      <c r="AL239" s="314">
        <f t="shared" si="642"/>
        <v>115</v>
      </c>
      <c r="AM239" s="144">
        <f t="shared" si="643"/>
        <v>159.71094461244891</v>
      </c>
      <c r="AO239">
        <f t="shared" si="644"/>
        <v>115</v>
      </c>
      <c r="AP239">
        <f t="shared" si="645"/>
        <v>159.71094461244891</v>
      </c>
      <c r="AR239" s="5">
        <f t="shared" si="616"/>
        <v>6.2613116616809084</v>
      </c>
      <c r="AS239" s="5">
        <f t="shared" si="604"/>
        <v>1.2531068269364183</v>
      </c>
      <c r="AT239" s="5">
        <f t="shared" si="605"/>
        <v>5.0082048347444896</v>
      </c>
      <c r="AU239" s="150">
        <f t="shared" si="606"/>
        <v>0.2001348750303239</v>
      </c>
      <c r="BA239" s="150">
        <f t="shared" si="692"/>
        <v>3.4438124870906401</v>
      </c>
      <c r="BB239" s="150">
        <f t="shared" si="693"/>
        <v>0.32153927464540349</v>
      </c>
      <c r="BC239" s="150">
        <f t="shared" si="694"/>
        <v>0.305876056303302</v>
      </c>
      <c r="BD239" s="150"/>
      <c r="BE239" s="456">
        <f t="shared" si="695"/>
        <v>4.0323471117220823E-2</v>
      </c>
      <c r="BF239" s="456">
        <f t="shared" si="646"/>
        <v>1.2550577439452495</v>
      </c>
      <c r="BG239" s="456">
        <f t="shared" si="647"/>
        <v>0.11674601248695146</v>
      </c>
      <c r="BH239" s="456">
        <f t="shared" si="696"/>
        <v>6.62513603139568E-2</v>
      </c>
      <c r="BI239">
        <f t="shared" si="697"/>
        <v>7.1821490447092221E-3</v>
      </c>
      <c r="BJ239" s="144">
        <f t="shared" si="698"/>
        <v>123.92816153166068</v>
      </c>
      <c r="BK239">
        <f t="shared" si="648"/>
        <v>1.3857970354418301</v>
      </c>
      <c r="BL239" s="144">
        <f t="shared" si="699"/>
        <v>1485.5607369080878</v>
      </c>
      <c r="BM239" s="150">
        <f t="shared" si="649"/>
        <v>0.25515625000000003</v>
      </c>
      <c r="BN239" s="150">
        <f t="shared" si="650"/>
        <v>8.165E-2</v>
      </c>
      <c r="BQ239" s="144">
        <f t="shared" si="700"/>
        <v>336.80625000000003</v>
      </c>
      <c r="BR239" s="456">
        <f t="shared" si="701"/>
        <v>1.778976666936213E-2</v>
      </c>
      <c r="BS239" s="456">
        <f t="shared" si="702"/>
        <v>2.0677501027898445E-2</v>
      </c>
      <c r="BT239" s="456">
        <f t="shared" si="703"/>
        <v>2.8068048545898229E-3</v>
      </c>
      <c r="BU239" s="456">
        <f t="shared" si="704"/>
        <v>10.462935346121284</v>
      </c>
      <c r="BV239" s="456"/>
      <c r="BW239" s="538">
        <f t="shared" si="705"/>
        <v>2.8393056819990922E-2</v>
      </c>
      <c r="BX239" s="144">
        <f t="shared" si="706"/>
        <v>10532.602475493126</v>
      </c>
      <c r="BY239" s="150">
        <f t="shared" si="707"/>
        <v>12.354969462401215</v>
      </c>
      <c r="BZ239" s="5">
        <f t="shared" si="708"/>
        <v>20.93</v>
      </c>
      <c r="CA239" s="150">
        <f t="shared" si="709"/>
        <v>0.62881235398586077</v>
      </c>
      <c r="CB239" s="5">
        <f t="shared" si="710"/>
        <v>62.881235398586078</v>
      </c>
      <c r="CC239">
        <f t="shared" si="711"/>
        <v>23</v>
      </c>
      <c r="CE239" s="59">
        <f t="shared" si="651"/>
        <v>-50</v>
      </c>
      <c r="CG239" s="150">
        <f t="shared" si="652"/>
        <v>0.35958404819494277</v>
      </c>
      <c r="CH239" s="150">
        <f t="shared" si="653"/>
        <v>0.10042807200707789</v>
      </c>
      <c r="CI239" s="147">
        <v>23</v>
      </c>
      <c r="CJ239" s="188">
        <f t="shared" si="712"/>
        <v>0.115</v>
      </c>
      <c r="CK239" s="188">
        <f t="shared" si="654"/>
        <v>0.115</v>
      </c>
      <c r="CL239" s="188">
        <f t="shared" si="655"/>
        <v>19.55</v>
      </c>
      <c r="CM239" s="188">
        <f t="shared" si="656"/>
        <v>1.3800000000000001</v>
      </c>
      <c r="CN239" s="465">
        <f t="shared" si="657"/>
        <v>16</v>
      </c>
      <c r="CO239" s="379">
        <f t="shared" si="658"/>
        <v>8.625</v>
      </c>
      <c r="CP239" s="379">
        <f t="shared" si="659"/>
        <v>24.625</v>
      </c>
      <c r="CQ239" s="379"/>
      <c r="CR239" s="188">
        <f t="shared" si="660"/>
        <v>0.34787038923986141</v>
      </c>
      <c r="CS239" s="149">
        <f t="shared" si="661"/>
        <v>173.29806936491266</v>
      </c>
      <c r="CT239" s="149">
        <f t="shared" si="662"/>
        <v>12.232804896346776</v>
      </c>
      <c r="CU239" s="188">
        <f t="shared" si="663"/>
        <v>1.0194004080288981</v>
      </c>
      <c r="CV239" s="188">
        <f t="shared" si="664"/>
        <v>14.441505780409388</v>
      </c>
      <c r="CW239" s="188">
        <f t="shared" si="665"/>
        <v>170</v>
      </c>
      <c r="CX239" s="188">
        <f t="shared" si="666"/>
        <v>7.520760837727007</v>
      </c>
      <c r="CY239" s="188">
        <f t="shared" si="667"/>
        <v>0.70507132853690702</v>
      </c>
      <c r="CZ239" s="188">
        <f t="shared" si="668"/>
        <v>1.3079584065612186</v>
      </c>
      <c r="DA239" s="172">
        <f t="shared" si="669"/>
        <v>280.20304568527916</v>
      </c>
      <c r="DB239" s="379">
        <f t="shared" si="670"/>
        <v>350</v>
      </c>
      <c r="DD239" s="188">
        <f t="shared" si="671"/>
        <v>13.333333333333332</v>
      </c>
      <c r="DE239" s="150">
        <f t="shared" si="672"/>
        <v>2.318840579710145</v>
      </c>
      <c r="DF239" s="150">
        <f t="shared" si="673"/>
        <v>0.20230192819025303</v>
      </c>
      <c r="DG239" s="150"/>
      <c r="DH239" s="150">
        <f t="shared" si="674"/>
        <v>2.3188405797101455</v>
      </c>
      <c r="DI239" s="314">
        <f t="shared" si="675"/>
        <v>159.28345588235288</v>
      </c>
      <c r="DJ239" s="456">
        <f t="shared" si="676"/>
        <v>0.20230192819025311</v>
      </c>
      <c r="DL239" s="150">
        <f t="shared" si="677"/>
        <v>8.9293523468017177</v>
      </c>
      <c r="DM239" s="150">
        <f t="shared" si="678"/>
        <v>13.333333333333334</v>
      </c>
      <c r="DN239" s="150">
        <f t="shared" si="679"/>
        <v>1.0910191176470587</v>
      </c>
      <c r="DP239" s="314">
        <f t="shared" si="680"/>
        <v>115</v>
      </c>
      <c r="DQ239" s="144">
        <f t="shared" si="681"/>
        <v>159.28345588235288</v>
      </c>
      <c r="DS239">
        <f t="shared" si="682"/>
        <v>115</v>
      </c>
      <c r="DT239">
        <f t="shared" si="683"/>
        <v>159.28345588235288</v>
      </c>
      <c r="DV239" s="5">
        <f t="shared" si="684"/>
        <v>6.2781159189476794</v>
      </c>
      <c r="DW239" s="5">
        <f t="shared" si="685"/>
        <v>1.25</v>
      </c>
      <c r="DX239" s="5">
        <f t="shared" si="686"/>
        <v>5.0281159189476794</v>
      </c>
      <c r="DY239" s="150">
        <f t="shared" si="687"/>
        <v>0.19910431985294111</v>
      </c>
      <c r="EA239" s="5">
        <f t="shared" si="713"/>
        <v>8.4558823529411783E-2</v>
      </c>
      <c r="EB239" s="5">
        <f t="shared" si="714"/>
        <v>1.1979166666666667</v>
      </c>
      <c r="EC239" s="5">
        <f t="shared" si="715"/>
        <v>10.239548564106991</v>
      </c>
      <c r="ED239" s="5"/>
      <c r="EE239" s="150">
        <f t="shared" si="716"/>
        <v>3.4349344258375476</v>
      </c>
      <c r="EF239" s="150">
        <f t="shared" si="717"/>
        <v>0.32174634536852903</v>
      </c>
      <c r="EG239" s="150">
        <f t="shared" si="718"/>
        <v>0.30607303994156942</v>
      </c>
      <c r="EH239" s="150"/>
      <c r="EI239" s="456">
        <f t="shared" si="719"/>
        <v>4.0115833333333337E-2</v>
      </c>
      <c r="EJ239" s="456">
        <f t="shared" si="720"/>
        <v>1.5898612676470585</v>
      </c>
      <c r="EK239" s="456">
        <f t="shared" si="721"/>
        <v>3.6475911397058809E-2</v>
      </c>
      <c r="EL239" s="456">
        <f t="shared" si="722"/>
        <v>6.6162776139792018E-2</v>
      </c>
      <c r="EM239">
        <f t="shared" si="723"/>
        <v>7.1999999999999998E-3</v>
      </c>
      <c r="EN239" s="144">
        <f t="shared" si="724"/>
        <v>43.675911397058805</v>
      </c>
      <c r="EP239" s="144">
        <f t="shared" si="725"/>
        <v>1739.8157885172427</v>
      </c>
      <c r="EQ239" s="150">
        <f t="shared" si="726"/>
        <v>0.28750000000000003</v>
      </c>
      <c r="ER239" s="150">
        <f t="shared" si="688"/>
        <v>8.165E-2</v>
      </c>
      <c r="ES239" s="456"/>
      <c r="EU239" s="144">
        <f t="shared" si="727"/>
        <v>369.15000000000003</v>
      </c>
      <c r="EV239" s="456">
        <f t="shared" si="728"/>
        <v>1.7698161764705886E-2</v>
      </c>
      <c r="EW239" s="456">
        <f t="shared" si="729"/>
        <v>2.0704142151600952E-2</v>
      </c>
      <c r="EX239" s="456">
        <f t="shared" si="730"/>
        <v>2.8104211733722068E-3</v>
      </c>
      <c r="EY239" s="456">
        <f t="shared" si="731"/>
        <v>10.393062052042078</v>
      </c>
      <c r="EZ239" s="456"/>
      <c r="FA239" s="538">
        <f t="shared" si="732"/>
        <v>2.8317058823529407E-2</v>
      </c>
      <c r="FB239" s="144">
        <f t="shared" si="733"/>
        <v>10462.591835955285</v>
      </c>
      <c r="FC239" s="150">
        <f t="shared" si="734"/>
        <v>12.571557624472529</v>
      </c>
      <c r="FD239" s="5">
        <f t="shared" si="735"/>
        <v>20.93</v>
      </c>
      <c r="FE239" s="150">
        <f t="shared" si="736"/>
        <v>0.62474707100516613</v>
      </c>
      <c r="FF239" s="5">
        <f t="shared" si="737"/>
        <v>62.474707100516611</v>
      </c>
      <c r="FG239">
        <f t="shared" si="738"/>
        <v>23</v>
      </c>
      <c r="FI239" s="59">
        <f t="shared" si="689"/>
        <v>-50</v>
      </c>
    </row>
    <row r="240" spans="5:165">
      <c r="E240" s="147">
        <v>24</v>
      </c>
      <c r="F240" s="188">
        <f t="shared" si="690"/>
        <v>0.12</v>
      </c>
      <c r="G240" s="188">
        <f t="shared" si="617"/>
        <v>0.12</v>
      </c>
      <c r="H240" s="188">
        <f t="shared" si="618"/>
        <v>20.399999999999999</v>
      </c>
      <c r="I240" s="188">
        <f t="shared" si="619"/>
        <v>1.44</v>
      </c>
      <c r="J240" s="465">
        <f t="shared" si="620"/>
        <v>15.960331210464938</v>
      </c>
      <c r="K240" s="379">
        <f t="shared" si="621"/>
        <v>8.648147980288682</v>
      </c>
      <c r="L240" s="149">
        <f t="shared" si="622"/>
        <v>24.60847919075362</v>
      </c>
      <c r="M240" s="379"/>
      <c r="N240" s="188">
        <f t="shared" si="623"/>
        <v>0.35142959925528977</v>
      </c>
      <c r="O240" s="149">
        <f t="shared" si="624"/>
        <v>174.63710187121168</v>
      </c>
      <c r="P240" s="149">
        <f t="shared" si="625"/>
        <v>12.327324837967884</v>
      </c>
      <c r="Q240" s="188">
        <f t="shared" si="626"/>
        <v>1.027277069830657</v>
      </c>
      <c r="R240" s="188">
        <f t="shared" si="627"/>
        <v>14.553091822600974</v>
      </c>
      <c r="S240" s="188">
        <f t="shared" si="628"/>
        <v>170</v>
      </c>
      <c r="T240" s="188">
        <f t="shared" si="629"/>
        <v>7.7875776992849381</v>
      </c>
      <c r="U240" s="188">
        <f t="shared" si="630"/>
        <v>0.73190000852038206</v>
      </c>
      <c r="V240" s="188">
        <f t="shared" si="631"/>
        <v>1.3507362010400605</v>
      </c>
      <c r="W240" s="172">
        <f t="shared" si="632"/>
        <v>280.44664006376934</v>
      </c>
      <c r="X240" s="379">
        <f t="shared" si="691"/>
        <v>350</v>
      </c>
      <c r="Z240" s="188">
        <f t="shared" si="633"/>
        <v>13.333333333333332</v>
      </c>
      <c r="AA240" s="150">
        <f t="shared" si="634"/>
        <v>2.3126338778643771</v>
      </c>
      <c r="AB240" s="150">
        <f t="shared" si="635"/>
        <v>0.20193583905970827</v>
      </c>
      <c r="AC240" s="150"/>
      <c r="AD240" s="150">
        <f t="shared" si="636"/>
        <v>2.3126338778643776</v>
      </c>
      <c r="AE240" s="314">
        <f t="shared" si="637"/>
        <v>166.65489872603362</v>
      </c>
      <c r="AF240" s="456">
        <f t="shared" si="638"/>
        <v>0.20193583905970836</v>
      </c>
      <c r="AH240" s="150">
        <f t="shared" si="639"/>
        <v>9.1214034007931044</v>
      </c>
      <c r="AI240" s="150">
        <f t="shared" si="640"/>
        <v>13.333333333333334</v>
      </c>
      <c r="AJ240" s="150">
        <f t="shared" si="641"/>
        <v>1.0952313707005907</v>
      </c>
      <c r="AL240" s="314">
        <f t="shared" si="642"/>
        <v>120</v>
      </c>
      <c r="AM240" s="144">
        <f t="shared" si="643"/>
        <v>166.65489872603362</v>
      </c>
      <c r="AO240">
        <f t="shared" si="644"/>
        <v>120</v>
      </c>
      <c r="AP240">
        <f t="shared" si="645"/>
        <v>166.65489872603362</v>
      </c>
      <c r="AR240" s="5">
        <f t="shared" si="616"/>
        <v>6.0004236757775375</v>
      </c>
      <c r="AS240" s="5">
        <f t="shared" si="604"/>
        <v>1.2531068269364183</v>
      </c>
      <c r="AT240" s="5">
        <f t="shared" si="605"/>
        <v>4.7473168488411197</v>
      </c>
      <c r="AU240" s="150">
        <f t="shared" si="606"/>
        <v>0.20883639133599013</v>
      </c>
      <c r="BA240" s="150">
        <f t="shared" si="692"/>
        <v>3.5178814444133222</v>
      </c>
      <c r="BB240" s="150">
        <f t="shared" si="693"/>
        <v>0.31978552256266718</v>
      </c>
      <c r="BC240" s="150">
        <f t="shared" si="694"/>
        <v>0.30420773515841959</v>
      </c>
      <c r="BD240" s="150"/>
      <c r="BE240" s="456">
        <f t="shared" si="695"/>
        <v>4.2076665513621707E-2</v>
      </c>
      <c r="BF240" s="456">
        <f t="shared" si="646"/>
        <v>1.309625471942869</v>
      </c>
      <c r="BG240" s="456">
        <f t="shared" si="647"/>
        <v>0.12182192607334065</v>
      </c>
      <c r="BH240" s="456">
        <f t="shared" si="696"/>
        <v>6.9131854240650562E-2</v>
      </c>
      <c r="BI240">
        <f t="shared" si="697"/>
        <v>7.1821490447092221E-3</v>
      </c>
      <c r="BJ240" s="144">
        <f t="shared" si="698"/>
        <v>129.00407511804988</v>
      </c>
      <c r="BK240">
        <f t="shared" si="648"/>
        <v>1.4466575281075102</v>
      </c>
      <c r="BL240" s="144">
        <f t="shared" si="699"/>
        <v>1549.8380668151913</v>
      </c>
      <c r="BM240" s="150">
        <f t="shared" si="649"/>
        <v>0.26624999999999999</v>
      </c>
      <c r="BN240" s="150">
        <f t="shared" si="650"/>
        <v>8.5199999999999998E-2</v>
      </c>
      <c r="BQ240" s="144">
        <f t="shared" si="700"/>
        <v>351.45</v>
      </c>
      <c r="BR240" s="456">
        <f t="shared" si="701"/>
        <v>1.8563234785421344E-2</v>
      </c>
      <c r="BS240" s="456">
        <f t="shared" si="702"/>
        <v>2.0452556088135624E-2</v>
      </c>
      <c r="BT240" s="456">
        <f t="shared" si="703"/>
        <v>2.7762703839064548E-3</v>
      </c>
      <c r="BU240" s="456">
        <f t="shared" si="704"/>
        <v>11.637563291143339</v>
      </c>
      <c r="BV240" s="456"/>
      <c r="BW240" s="538">
        <f t="shared" si="705"/>
        <v>2.9627537551294873E-2</v>
      </c>
      <c r="BX240" s="144">
        <f t="shared" si="706"/>
        <v>11708.982889952098</v>
      </c>
      <c r="BY240" s="150">
        <f t="shared" si="707"/>
        <v>13.610270956767289</v>
      </c>
      <c r="BZ240" s="5">
        <f t="shared" si="708"/>
        <v>21.84</v>
      </c>
      <c r="CA240" s="150">
        <f t="shared" si="709"/>
        <v>0.61607427561370576</v>
      </c>
      <c r="CB240" s="5">
        <f t="shared" si="710"/>
        <v>61.607427561370578</v>
      </c>
      <c r="CC240">
        <f t="shared" si="711"/>
        <v>24</v>
      </c>
      <c r="CE240" s="59">
        <f t="shared" si="651"/>
        <v>-50</v>
      </c>
      <c r="CG240" s="150">
        <f t="shared" si="652"/>
        <v>0.37521813724689679</v>
      </c>
      <c r="CH240" s="150">
        <f t="shared" si="653"/>
        <v>0.10479450992042909</v>
      </c>
      <c r="CI240" s="147">
        <v>24</v>
      </c>
      <c r="CJ240" s="188">
        <f t="shared" si="712"/>
        <v>0.12</v>
      </c>
      <c r="CK240" s="188">
        <f t="shared" si="654"/>
        <v>0.12</v>
      </c>
      <c r="CL240" s="188">
        <f t="shared" si="655"/>
        <v>20.399999999999999</v>
      </c>
      <c r="CM240" s="188">
        <f t="shared" si="656"/>
        <v>1.44</v>
      </c>
      <c r="CN240" s="465">
        <f t="shared" si="657"/>
        <v>16</v>
      </c>
      <c r="CO240" s="379">
        <f t="shared" si="658"/>
        <v>8.625</v>
      </c>
      <c r="CP240" s="379">
        <f t="shared" si="659"/>
        <v>24.625</v>
      </c>
      <c r="CQ240" s="379"/>
      <c r="CR240" s="188">
        <f t="shared" si="660"/>
        <v>0.34787038923986141</v>
      </c>
      <c r="CS240" s="149">
        <f t="shared" si="661"/>
        <v>173.29806936491266</v>
      </c>
      <c r="CT240" s="149">
        <f t="shared" si="662"/>
        <v>12.232804896346776</v>
      </c>
      <c r="CU240" s="188">
        <f t="shared" si="663"/>
        <v>1.0194004080288981</v>
      </c>
      <c r="CV240" s="188">
        <f t="shared" si="664"/>
        <v>14.441505780409388</v>
      </c>
      <c r="CW240" s="188">
        <f t="shared" si="665"/>
        <v>170</v>
      </c>
      <c r="CX240" s="188">
        <f t="shared" si="666"/>
        <v>7.847750439367311</v>
      </c>
      <c r="CY240" s="188">
        <f t="shared" si="667"/>
        <v>0.73572660369068543</v>
      </c>
      <c r="CZ240" s="188">
        <f t="shared" si="668"/>
        <v>1.3648261633682282</v>
      </c>
      <c r="DA240" s="172">
        <f t="shared" si="669"/>
        <v>280.20304568527916</v>
      </c>
      <c r="DB240" s="379">
        <f t="shared" si="670"/>
        <v>350</v>
      </c>
      <c r="DD240" s="188">
        <f t="shared" si="671"/>
        <v>13.333333333333332</v>
      </c>
      <c r="DE240" s="150">
        <f t="shared" si="672"/>
        <v>2.318840579710145</v>
      </c>
      <c r="DF240" s="150">
        <f t="shared" si="673"/>
        <v>0.20230192819025303</v>
      </c>
      <c r="DG240" s="150"/>
      <c r="DH240" s="150">
        <f t="shared" si="674"/>
        <v>2.3188405797101455</v>
      </c>
      <c r="DI240" s="314">
        <f t="shared" si="675"/>
        <v>166.20882352941169</v>
      </c>
      <c r="DJ240" s="456">
        <f t="shared" si="676"/>
        <v>0.20230192819025311</v>
      </c>
      <c r="DL240" s="150">
        <f t="shared" si="677"/>
        <v>9.1214034007931044</v>
      </c>
      <c r="DM240" s="150">
        <f t="shared" si="678"/>
        <v>13.333333333333334</v>
      </c>
      <c r="DN240" s="150">
        <f t="shared" si="679"/>
        <v>1.0949764705882352</v>
      </c>
      <c r="DP240" s="314">
        <f t="shared" si="680"/>
        <v>120</v>
      </c>
      <c r="DQ240" s="144">
        <f t="shared" si="681"/>
        <v>166.20882352941169</v>
      </c>
      <c r="DS240">
        <f t="shared" si="682"/>
        <v>120</v>
      </c>
      <c r="DT240">
        <f t="shared" si="683"/>
        <v>166.20882352941169</v>
      </c>
      <c r="DV240" s="5">
        <f t="shared" si="684"/>
        <v>6.0165277556581929</v>
      </c>
      <c r="DW240" s="5">
        <f t="shared" si="685"/>
        <v>1.25</v>
      </c>
      <c r="DX240" s="5">
        <f t="shared" si="686"/>
        <v>4.7665277556581929</v>
      </c>
      <c r="DY240" s="150">
        <f t="shared" si="687"/>
        <v>0.20776102941176461</v>
      </c>
      <c r="EA240" s="5">
        <f t="shared" si="713"/>
        <v>8.8235294117647051E-2</v>
      </c>
      <c r="EB240" s="5">
        <f t="shared" si="714"/>
        <v>1.25</v>
      </c>
      <c r="EC240" s="5">
        <f t="shared" si="715"/>
        <v>10.128871480773658</v>
      </c>
      <c r="ED240" s="5"/>
      <c r="EE240" s="150">
        <f t="shared" si="716"/>
        <v>3.5088124352667172</v>
      </c>
      <c r="EF240" s="150">
        <f t="shared" si="717"/>
        <v>0.32000277750016731</v>
      </c>
      <c r="EG240" s="150">
        <f t="shared" si="718"/>
        <v>0.30441440690503041</v>
      </c>
      <c r="EH240" s="150"/>
      <c r="EI240" s="456">
        <f t="shared" si="719"/>
        <v>4.1859999999999987E-2</v>
      </c>
      <c r="EJ240" s="456">
        <f t="shared" si="720"/>
        <v>1.6589856705882349</v>
      </c>
      <c r="EK240" s="456">
        <f t="shared" si="721"/>
        <v>3.8061820588235276E-2</v>
      </c>
      <c r="EL240" s="456">
        <f t="shared" si="722"/>
        <v>6.9039418580652531E-2</v>
      </c>
      <c r="EM240">
        <f t="shared" si="723"/>
        <v>7.1999999999999998E-3</v>
      </c>
      <c r="EN240" s="144">
        <f t="shared" si="724"/>
        <v>45.261820588235274</v>
      </c>
      <c r="EP240" s="144">
        <f t="shared" si="725"/>
        <v>1815.1469097571228</v>
      </c>
      <c r="EQ240" s="150">
        <f t="shared" si="726"/>
        <v>0.3</v>
      </c>
      <c r="ER240" s="150">
        <f t="shared" si="688"/>
        <v>8.5199999999999998E-2</v>
      </c>
      <c r="ES240" s="456"/>
      <c r="EU240" s="144">
        <f t="shared" si="727"/>
        <v>385.2</v>
      </c>
      <c r="EV240" s="456">
        <f t="shared" si="728"/>
        <v>1.8467647058823526E-2</v>
      </c>
      <c r="EW240" s="456">
        <f t="shared" si="729"/>
        <v>2.0480355521564318E-2</v>
      </c>
      <c r="EX240" s="456">
        <f t="shared" si="730"/>
        <v>2.7800439339402427E-3</v>
      </c>
      <c r="EY240" s="456">
        <f t="shared" si="731"/>
        <v>11.559845628240177</v>
      </c>
      <c r="EZ240" s="456"/>
      <c r="FA240" s="538">
        <f t="shared" si="732"/>
        <v>2.9548235294117639E-2</v>
      </c>
      <c r="FB240" s="144">
        <f t="shared" si="733"/>
        <v>11631.121910048621</v>
      </c>
      <c r="FC240" s="150">
        <f t="shared" si="734"/>
        <v>13.831468819805744</v>
      </c>
      <c r="FD240" s="5">
        <f t="shared" si="735"/>
        <v>21.84</v>
      </c>
      <c r="FE240" s="150">
        <f t="shared" si="736"/>
        <v>0.61225401483534803</v>
      </c>
      <c r="FF240" s="5">
        <f t="shared" si="737"/>
        <v>61.225401483534803</v>
      </c>
      <c r="FG240">
        <f t="shared" si="738"/>
        <v>24</v>
      </c>
      <c r="FI240" s="59">
        <f t="shared" si="689"/>
        <v>-50</v>
      </c>
    </row>
    <row r="241" spans="5:165">
      <c r="E241" s="147">
        <v>25</v>
      </c>
      <c r="F241" s="188">
        <f t="shared" si="690"/>
        <v>0.125</v>
      </c>
      <c r="G241" s="188">
        <f t="shared" si="617"/>
        <v>0.125</v>
      </c>
      <c r="H241" s="188">
        <f t="shared" si="618"/>
        <v>21.25</v>
      </c>
      <c r="I241" s="188">
        <f t="shared" si="619"/>
        <v>1.5</v>
      </c>
      <c r="J241" s="465">
        <f t="shared" si="620"/>
        <v>15.960331210464938</v>
      </c>
      <c r="K241" s="379">
        <f t="shared" si="621"/>
        <v>8.648147980288682</v>
      </c>
      <c r="L241" s="149">
        <f t="shared" si="622"/>
        <v>24.60847919075362</v>
      </c>
      <c r="M241" s="379"/>
      <c r="N241" s="188">
        <f t="shared" si="623"/>
        <v>0.35142959925528977</v>
      </c>
      <c r="O241" s="149">
        <f t="shared" si="624"/>
        <v>174.63710187121168</v>
      </c>
      <c r="P241" s="149">
        <f t="shared" si="625"/>
        <v>12.327324837967884</v>
      </c>
      <c r="Q241" s="188">
        <f t="shared" si="626"/>
        <v>1.027277069830657</v>
      </c>
      <c r="R241" s="188">
        <f t="shared" si="627"/>
        <v>14.553091822600974</v>
      </c>
      <c r="S241" s="188">
        <f t="shared" si="628"/>
        <v>170</v>
      </c>
      <c r="T241" s="188">
        <f t="shared" si="629"/>
        <v>8.1120601034218112</v>
      </c>
      <c r="U241" s="188">
        <f t="shared" si="630"/>
        <v>0.76239584220873147</v>
      </c>
      <c r="V241" s="188">
        <f t="shared" si="631"/>
        <v>1.4070168760833965</v>
      </c>
      <c r="W241" s="172">
        <f t="shared" si="632"/>
        <v>280.44664006376934</v>
      </c>
      <c r="X241" s="379">
        <f t="shared" si="691"/>
        <v>350</v>
      </c>
      <c r="Z241" s="188">
        <f t="shared" si="633"/>
        <v>13.333333333333332</v>
      </c>
      <c r="AA241" s="150">
        <f t="shared" si="634"/>
        <v>2.3126338778643771</v>
      </c>
      <c r="AB241" s="150">
        <f t="shared" si="635"/>
        <v>0.20193583905970827</v>
      </c>
      <c r="AC241" s="150"/>
      <c r="AD241" s="150">
        <f t="shared" si="636"/>
        <v>2.3126338778643776</v>
      </c>
      <c r="AE241" s="314">
        <f t="shared" si="637"/>
        <v>173.59885283961839</v>
      </c>
      <c r="AF241" s="456">
        <f t="shared" si="638"/>
        <v>0.20193583905970836</v>
      </c>
      <c r="AH241" s="150">
        <f t="shared" si="639"/>
        <v>9.3094933625126277</v>
      </c>
      <c r="AI241" s="150">
        <f t="shared" si="640"/>
        <v>13.333333333333334</v>
      </c>
      <c r="AJ241" s="150">
        <f t="shared" si="641"/>
        <v>1.0991993444797818</v>
      </c>
      <c r="AL241" s="314">
        <f t="shared" si="642"/>
        <v>125</v>
      </c>
      <c r="AM241" s="144">
        <f t="shared" si="643"/>
        <v>173.59885283961839</v>
      </c>
      <c r="AO241">
        <f t="shared" si="644"/>
        <v>125</v>
      </c>
      <c r="AP241">
        <f t="shared" si="645"/>
        <v>173.59885283961839</v>
      </c>
      <c r="AR241" s="5">
        <f t="shared" si="616"/>
        <v>5.7604067287464353</v>
      </c>
      <c r="AS241" s="5">
        <f t="shared" si="604"/>
        <v>1.2531068269364183</v>
      </c>
      <c r="AT241" s="5">
        <f t="shared" si="605"/>
        <v>4.5072999018100166</v>
      </c>
      <c r="AU241" s="150">
        <f t="shared" si="606"/>
        <v>0.21753790764165643</v>
      </c>
      <c r="BA241" s="150">
        <f t="shared" si="692"/>
        <v>3.5904227143407104</v>
      </c>
      <c r="BB241" s="150">
        <f t="shared" si="693"/>
        <v>0.31802209945515414</v>
      </c>
      <c r="BC241" s="150">
        <f t="shared" si="694"/>
        <v>0.30253021409566588</v>
      </c>
      <c r="BD241" s="150"/>
      <c r="BE241" s="456">
        <f t="shared" si="695"/>
        <v>4.3829859910022625E-2</v>
      </c>
      <c r="BF241" s="456">
        <f t="shared" si="646"/>
        <v>1.3641931999404888</v>
      </c>
      <c r="BG241" s="456">
        <f t="shared" si="647"/>
        <v>0.12689783965972984</v>
      </c>
      <c r="BH241" s="456">
        <f t="shared" si="696"/>
        <v>7.2012348167344351E-2</v>
      </c>
      <c r="BI241">
        <f t="shared" si="697"/>
        <v>7.1821490447092221E-3</v>
      </c>
      <c r="BJ241" s="144">
        <f t="shared" si="698"/>
        <v>134.07998870443907</v>
      </c>
      <c r="BK241">
        <f t="shared" si="648"/>
        <v>1.5075692583303546</v>
      </c>
      <c r="BL241" s="144">
        <f t="shared" si="699"/>
        <v>1614.1153967222947</v>
      </c>
      <c r="BM241" s="150">
        <f t="shared" si="649"/>
        <v>0.27734375</v>
      </c>
      <c r="BN241" s="150">
        <f t="shared" si="650"/>
        <v>8.8749999999999996E-2</v>
      </c>
      <c r="BQ241" s="144">
        <f t="shared" si="700"/>
        <v>366.09375</v>
      </c>
      <c r="BR241" s="456">
        <f t="shared" si="701"/>
        <v>1.9336702901480571E-2</v>
      </c>
      <c r="BS241" s="456">
        <f t="shared" si="702"/>
        <v>2.0227611148372793E-2</v>
      </c>
      <c r="BT241" s="456">
        <f t="shared" si="703"/>
        <v>2.7457359132230831E-3</v>
      </c>
      <c r="BU241" s="456">
        <f t="shared" si="704"/>
        <v>12.887953881223606</v>
      </c>
      <c r="BV241" s="456"/>
      <c r="BW241" s="538">
        <f t="shared" si="705"/>
        <v>3.0862018282598835E-2</v>
      </c>
      <c r="BX241" s="144">
        <f t="shared" si="706"/>
        <v>12961.12594946928</v>
      </c>
      <c r="BY241" s="150">
        <f t="shared" si="707"/>
        <v>14.941335096191576</v>
      </c>
      <c r="BZ241" s="5">
        <f t="shared" si="708"/>
        <v>22.75</v>
      </c>
      <c r="CA241" s="150">
        <f t="shared" si="709"/>
        <v>0.60358700327117654</v>
      </c>
      <c r="CB241" s="5">
        <f t="shared" si="710"/>
        <v>60.358700327117653</v>
      </c>
      <c r="CC241">
        <f t="shared" si="711"/>
        <v>25</v>
      </c>
      <c r="CE241" s="59">
        <f t="shared" si="651"/>
        <v>-50</v>
      </c>
      <c r="CG241" s="150">
        <f t="shared" si="652"/>
        <v>0.3908522262988508</v>
      </c>
      <c r="CH241" s="150">
        <f t="shared" si="653"/>
        <v>0.10916094783378029</v>
      </c>
      <c r="CI241" s="147">
        <v>25</v>
      </c>
      <c r="CJ241" s="188">
        <f t="shared" si="712"/>
        <v>0.125</v>
      </c>
      <c r="CK241" s="188">
        <f t="shared" si="654"/>
        <v>0.125</v>
      </c>
      <c r="CL241" s="188">
        <f t="shared" si="655"/>
        <v>21.25</v>
      </c>
      <c r="CM241" s="188">
        <f t="shared" si="656"/>
        <v>1.5</v>
      </c>
      <c r="CN241" s="465">
        <f t="shared" si="657"/>
        <v>16</v>
      </c>
      <c r="CO241" s="379">
        <f t="shared" si="658"/>
        <v>8.625</v>
      </c>
      <c r="CP241" s="379">
        <f t="shared" si="659"/>
        <v>24.625</v>
      </c>
      <c r="CQ241" s="379"/>
      <c r="CR241" s="188">
        <f t="shared" si="660"/>
        <v>0.34787038923986141</v>
      </c>
      <c r="CS241" s="149">
        <f t="shared" si="661"/>
        <v>173.29806936491266</v>
      </c>
      <c r="CT241" s="149">
        <f t="shared" si="662"/>
        <v>12.232804896346776</v>
      </c>
      <c r="CU241" s="188">
        <f t="shared" si="663"/>
        <v>1.0194004080288981</v>
      </c>
      <c r="CV241" s="188">
        <f t="shared" si="664"/>
        <v>14.441505780409388</v>
      </c>
      <c r="CW241" s="188">
        <f t="shared" si="665"/>
        <v>170</v>
      </c>
      <c r="CX241" s="188">
        <f t="shared" si="666"/>
        <v>8.1747400410076168</v>
      </c>
      <c r="CY241" s="188">
        <f t="shared" si="667"/>
        <v>0.76638187884446407</v>
      </c>
      <c r="CZ241" s="188">
        <f t="shared" si="668"/>
        <v>1.4216939201752379</v>
      </c>
      <c r="DA241" s="172">
        <f t="shared" si="669"/>
        <v>280.20304568527916</v>
      </c>
      <c r="DB241" s="379">
        <f t="shared" si="670"/>
        <v>350</v>
      </c>
      <c r="DD241" s="188">
        <f t="shared" si="671"/>
        <v>13.333333333333332</v>
      </c>
      <c r="DE241" s="150">
        <f t="shared" si="672"/>
        <v>2.318840579710145</v>
      </c>
      <c r="DF241" s="150">
        <f t="shared" si="673"/>
        <v>0.20230192819025303</v>
      </c>
      <c r="DG241" s="150"/>
      <c r="DH241" s="150">
        <f t="shared" si="674"/>
        <v>2.3188405797101455</v>
      </c>
      <c r="DI241" s="314">
        <f t="shared" si="675"/>
        <v>173.13419117647052</v>
      </c>
      <c r="DJ241" s="456">
        <f t="shared" si="676"/>
        <v>0.20230192819025311</v>
      </c>
      <c r="DL241" s="150">
        <f t="shared" si="677"/>
        <v>9.3094933625126277</v>
      </c>
      <c r="DM241" s="150">
        <f t="shared" si="678"/>
        <v>13.333333333333334</v>
      </c>
      <c r="DN241" s="150">
        <f t="shared" si="679"/>
        <v>1.0989338235294117</v>
      </c>
      <c r="DP241" s="314">
        <f t="shared" si="680"/>
        <v>125</v>
      </c>
      <c r="DQ241" s="144">
        <f t="shared" si="681"/>
        <v>173.13419117647052</v>
      </c>
      <c r="DS241">
        <f t="shared" si="682"/>
        <v>125</v>
      </c>
      <c r="DT241">
        <f t="shared" si="683"/>
        <v>173.13419117647052</v>
      </c>
      <c r="DV241" s="5">
        <f t="shared" si="684"/>
        <v>5.775866645431865</v>
      </c>
      <c r="DW241" s="5">
        <f t="shared" si="685"/>
        <v>1.25</v>
      </c>
      <c r="DX241" s="5">
        <f t="shared" si="686"/>
        <v>4.525866645431865</v>
      </c>
      <c r="DY241" s="150">
        <f t="shared" si="687"/>
        <v>0.21641773897058816</v>
      </c>
      <c r="EA241" s="5">
        <f t="shared" si="713"/>
        <v>9.1911764705882346E-2</v>
      </c>
      <c r="EB241" s="5">
        <f t="shared" si="714"/>
        <v>1.3020833333333333</v>
      </c>
      <c r="EC241" s="5">
        <f t="shared" si="715"/>
        <v>10.018194397440325</v>
      </c>
      <c r="ED241" s="5"/>
      <c r="EE241" s="150">
        <f t="shared" si="716"/>
        <v>3.5811666956399533</v>
      </c>
      <c r="EF241" s="150">
        <f t="shared" si="717"/>
        <v>0.3182496574352256</v>
      </c>
      <c r="EG241" s="150">
        <f t="shared" si="718"/>
        <v>0.3027466869903111</v>
      </c>
      <c r="EH241" s="150"/>
      <c r="EI241" s="456">
        <f t="shared" si="719"/>
        <v>4.3604166666666659E-2</v>
      </c>
      <c r="EJ241" s="456">
        <f t="shared" si="720"/>
        <v>1.7281100735294115</v>
      </c>
      <c r="EK241" s="456">
        <f t="shared" si="721"/>
        <v>3.964772977941175E-2</v>
      </c>
      <c r="EL241" s="456">
        <f t="shared" si="722"/>
        <v>7.1916061021513072E-2</v>
      </c>
      <c r="EM241">
        <f t="shared" si="723"/>
        <v>7.1999999999999998E-3</v>
      </c>
      <c r="EN241" s="144">
        <f t="shared" si="724"/>
        <v>46.84772977941175</v>
      </c>
      <c r="EP241" s="144">
        <f t="shared" si="725"/>
        <v>1890.4780309970031</v>
      </c>
      <c r="EQ241" s="150">
        <f t="shared" si="726"/>
        <v>0.3125</v>
      </c>
      <c r="ER241" s="150">
        <f t="shared" si="688"/>
        <v>8.8749999999999996E-2</v>
      </c>
      <c r="ES241" s="456"/>
      <c r="EU241" s="144">
        <f t="shared" si="727"/>
        <v>401.25</v>
      </c>
      <c r="EV241" s="456">
        <f t="shared" si="728"/>
        <v>1.9237132352941173E-2</v>
      </c>
      <c r="EW241" s="456">
        <f t="shared" si="729"/>
        <v>2.0256568891527688E-2</v>
      </c>
      <c r="EX241" s="456">
        <f t="shared" si="730"/>
        <v>2.749666694508282E-3</v>
      </c>
      <c r="EY241" s="456">
        <f t="shared" si="731"/>
        <v>12.801885893433225</v>
      </c>
      <c r="EZ241" s="456"/>
      <c r="FA241" s="538">
        <f t="shared" si="732"/>
        <v>3.0779411764705882E-2</v>
      </c>
      <c r="FB241" s="144">
        <f t="shared" si="733"/>
        <v>12874.90867313691</v>
      </c>
      <c r="FC241" s="150">
        <f t="shared" si="734"/>
        <v>15.166636704133911</v>
      </c>
      <c r="FD241" s="5">
        <f t="shared" si="735"/>
        <v>22.75</v>
      </c>
      <c r="FE241" s="150">
        <f t="shared" si="736"/>
        <v>0.60000047413276114</v>
      </c>
      <c r="FF241" s="5">
        <f t="shared" si="737"/>
        <v>60.000047413276114</v>
      </c>
      <c r="FG241">
        <f t="shared" si="738"/>
        <v>25</v>
      </c>
      <c r="FI241" s="59">
        <f t="shared" si="689"/>
        <v>-50</v>
      </c>
    </row>
    <row r="242" spans="5:165">
      <c r="E242" s="147">
        <v>26</v>
      </c>
      <c r="F242" s="188">
        <f t="shared" si="690"/>
        <v>0.13</v>
      </c>
      <c r="G242" s="188">
        <f t="shared" si="617"/>
        <v>0.13</v>
      </c>
      <c r="H242" s="188">
        <f t="shared" si="618"/>
        <v>22.1</v>
      </c>
      <c r="I242" s="188">
        <f t="shared" si="619"/>
        <v>1.56</v>
      </c>
      <c r="J242" s="465">
        <f t="shared" si="620"/>
        <v>15.960331210464938</v>
      </c>
      <c r="K242" s="379">
        <f t="shared" si="621"/>
        <v>8.648147980288682</v>
      </c>
      <c r="L242" s="149">
        <f t="shared" si="622"/>
        <v>24.60847919075362</v>
      </c>
      <c r="M242" s="379"/>
      <c r="N242" s="188">
        <f t="shared" si="623"/>
        <v>0.35142959925528977</v>
      </c>
      <c r="O242" s="149">
        <f t="shared" si="624"/>
        <v>174.63710187121168</v>
      </c>
      <c r="P242" s="149">
        <f t="shared" si="625"/>
        <v>12.327324837967884</v>
      </c>
      <c r="Q242" s="188">
        <f t="shared" si="626"/>
        <v>1.027277069830657</v>
      </c>
      <c r="R242" s="188">
        <f t="shared" si="627"/>
        <v>14.553091822600974</v>
      </c>
      <c r="S242" s="188">
        <f t="shared" si="628"/>
        <v>170</v>
      </c>
      <c r="T242" s="188">
        <f t="shared" si="629"/>
        <v>8.4365425075586824</v>
      </c>
      <c r="U242" s="188">
        <f t="shared" si="630"/>
        <v>0.79289167589708054</v>
      </c>
      <c r="V242" s="188">
        <f t="shared" si="631"/>
        <v>1.4632975511267323</v>
      </c>
      <c r="W242" s="172">
        <f t="shared" si="632"/>
        <v>280.44664006376934</v>
      </c>
      <c r="X242" s="379">
        <f t="shared" si="691"/>
        <v>350</v>
      </c>
      <c r="Z242" s="188">
        <f t="shared" si="633"/>
        <v>13.333333333333332</v>
      </c>
      <c r="AA242" s="150">
        <f t="shared" si="634"/>
        <v>2.3126338778643771</v>
      </c>
      <c r="AB242" s="150">
        <f t="shared" si="635"/>
        <v>0.20193583905970827</v>
      </c>
      <c r="AC242" s="150"/>
      <c r="AD242" s="150">
        <f t="shared" si="636"/>
        <v>2.3126338778643776</v>
      </c>
      <c r="AE242" s="314">
        <f t="shared" si="637"/>
        <v>180.5428069532031</v>
      </c>
      <c r="AF242" s="456">
        <f t="shared" si="638"/>
        <v>0.20193583905970836</v>
      </c>
      <c r="AH242" s="150">
        <f t="shared" si="639"/>
        <v>9.4938576634228795</v>
      </c>
      <c r="AI242" s="150">
        <f t="shared" si="640"/>
        <v>13.333333333333334</v>
      </c>
      <c r="AJ242" s="150">
        <f t="shared" si="641"/>
        <v>1.1031673182589732</v>
      </c>
      <c r="AL242" s="314">
        <f t="shared" si="642"/>
        <v>130</v>
      </c>
      <c r="AM242" s="144">
        <f t="shared" si="643"/>
        <v>180.5428069532031</v>
      </c>
      <c r="AO242">
        <f t="shared" si="644"/>
        <v>130</v>
      </c>
      <c r="AP242">
        <f t="shared" si="645"/>
        <v>180.5428069532031</v>
      </c>
      <c r="AR242" s="5">
        <f t="shared" si="616"/>
        <v>5.53885262379465</v>
      </c>
      <c r="AS242" s="5">
        <f t="shared" si="604"/>
        <v>1.2531068269364183</v>
      </c>
      <c r="AT242" s="5">
        <f t="shared" si="605"/>
        <v>4.2857457968582313</v>
      </c>
      <c r="AU242" s="150">
        <f t="shared" si="606"/>
        <v>0.22623942394732266</v>
      </c>
      <c r="BA242" s="150">
        <f t="shared" si="692"/>
        <v>3.6615270964940105</v>
      </c>
      <c r="BB242" s="150">
        <f t="shared" si="693"/>
        <v>0.3162488435442094</v>
      </c>
      <c r="BC242" s="150">
        <f t="shared" si="694"/>
        <v>0.30084333921714768</v>
      </c>
      <c r="BD242" s="150"/>
      <c r="BE242" s="456">
        <f t="shared" si="695"/>
        <v>4.5583054306423516E-2</v>
      </c>
      <c r="BF242" s="456">
        <f t="shared" si="646"/>
        <v>1.4187609279381082</v>
      </c>
      <c r="BG242" s="456">
        <f t="shared" si="647"/>
        <v>0.13197375324611904</v>
      </c>
      <c r="BH242" s="456">
        <f t="shared" si="696"/>
        <v>7.4892842094038112E-2</v>
      </c>
      <c r="BI242">
        <f t="shared" si="697"/>
        <v>7.1821490447092221E-3</v>
      </c>
      <c r="BJ242" s="144">
        <f t="shared" si="698"/>
        <v>139.15590229082827</v>
      </c>
      <c r="BK242">
        <f t="shared" si="648"/>
        <v>1.5685322908418338</v>
      </c>
      <c r="BL242" s="144">
        <f t="shared" si="699"/>
        <v>1678.3927266293979</v>
      </c>
      <c r="BM242" s="150">
        <f t="shared" si="649"/>
        <v>0.28843750000000001</v>
      </c>
      <c r="BN242" s="150">
        <f t="shared" si="650"/>
        <v>9.2300000000000007E-2</v>
      </c>
      <c r="BQ242" s="144">
        <f t="shared" si="700"/>
        <v>380.73750000000001</v>
      </c>
      <c r="BR242" s="456">
        <f t="shared" si="701"/>
        <v>2.0110171017539789E-2</v>
      </c>
      <c r="BS242" s="456">
        <f t="shared" si="702"/>
        <v>2.0002666208609968E-2</v>
      </c>
      <c r="BT242" s="456">
        <f t="shared" si="703"/>
        <v>2.7152014425397132E-3</v>
      </c>
      <c r="BU242" s="456">
        <f t="shared" si="704"/>
        <v>14.215669616484728</v>
      </c>
      <c r="BV242" s="456"/>
      <c r="BW242" s="538">
        <f t="shared" si="705"/>
        <v>3.2096499013902782E-2</v>
      </c>
      <c r="BX242" s="144">
        <f t="shared" si="706"/>
        <v>14290.594154167322</v>
      </c>
      <c r="BY242" s="150">
        <f t="shared" si="707"/>
        <v>16.349724380796719</v>
      </c>
      <c r="BZ242" s="5">
        <f t="shared" si="708"/>
        <v>23.66</v>
      </c>
      <c r="CA242" s="150">
        <f t="shared" si="709"/>
        <v>0.59135623566944595</v>
      </c>
      <c r="CB242" s="5">
        <f t="shared" si="710"/>
        <v>59.135623566944595</v>
      </c>
      <c r="CC242">
        <f t="shared" si="711"/>
        <v>26</v>
      </c>
      <c r="CE242" s="59">
        <f t="shared" si="651"/>
        <v>-50</v>
      </c>
      <c r="CG242" s="150">
        <f t="shared" si="652"/>
        <v>0.40648631535080493</v>
      </c>
      <c r="CH242" s="150">
        <f t="shared" si="653"/>
        <v>0.11352738574713152</v>
      </c>
      <c r="CI242" s="147">
        <v>26</v>
      </c>
      <c r="CJ242" s="188">
        <f t="shared" si="712"/>
        <v>0.13</v>
      </c>
      <c r="CK242" s="188">
        <f t="shared" si="654"/>
        <v>0.13</v>
      </c>
      <c r="CL242" s="188">
        <f t="shared" si="655"/>
        <v>22.1</v>
      </c>
      <c r="CM242" s="188">
        <f t="shared" si="656"/>
        <v>1.56</v>
      </c>
      <c r="CN242" s="465">
        <f t="shared" si="657"/>
        <v>16</v>
      </c>
      <c r="CO242" s="379">
        <f t="shared" si="658"/>
        <v>8.625</v>
      </c>
      <c r="CP242" s="379">
        <f t="shared" si="659"/>
        <v>24.625</v>
      </c>
      <c r="CQ242" s="379"/>
      <c r="CR242" s="188">
        <f t="shared" si="660"/>
        <v>0.34787038923986141</v>
      </c>
      <c r="CS242" s="149">
        <f t="shared" si="661"/>
        <v>173.29806936491266</v>
      </c>
      <c r="CT242" s="149">
        <f t="shared" si="662"/>
        <v>12.232804896346776</v>
      </c>
      <c r="CU242" s="188">
        <f t="shared" si="663"/>
        <v>1.0194004080288981</v>
      </c>
      <c r="CV242" s="188">
        <f t="shared" si="664"/>
        <v>14.441505780409388</v>
      </c>
      <c r="CW242" s="188">
        <f t="shared" si="665"/>
        <v>170</v>
      </c>
      <c r="CX242" s="188">
        <f t="shared" si="666"/>
        <v>8.5017296426479199</v>
      </c>
      <c r="CY242" s="188">
        <f t="shared" si="667"/>
        <v>0.79703715399824249</v>
      </c>
      <c r="CZ242" s="188">
        <f t="shared" si="668"/>
        <v>1.4785616769822469</v>
      </c>
      <c r="DA242" s="172">
        <f t="shared" si="669"/>
        <v>280.20304568527916</v>
      </c>
      <c r="DB242" s="379">
        <f t="shared" si="670"/>
        <v>350</v>
      </c>
      <c r="DD242" s="188">
        <f t="shared" si="671"/>
        <v>13.333333333333332</v>
      </c>
      <c r="DE242" s="150">
        <f t="shared" si="672"/>
        <v>2.318840579710145</v>
      </c>
      <c r="DF242" s="150">
        <f t="shared" si="673"/>
        <v>0.20230192819025303</v>
      </c>
      <c r="DG242" s="150"/>
      <c r="DH242" s="150">
        <f t="shared" si="674"/>
        <v>2.3188405797101455</v>
      </c>
      <c r="DI242" s="314">
        <f t="shared" si="675"/>
        <v>180.05955882352936</v>
      </c>
      <c r="DJ242" s="456">
        <f t="shared" si="676"/>
        <v>0.20230192819025311</v>
      </c>
      <c r="DL242" s="150">
        <f t="shared" si="677"/>
        <v>9.4938576634228795</v>
      </c>
      <c r="DM242" s="150">
        <f t="shared" si="678"/>
        <v>13.333333333333334</v>
      </c>
      <c r="DN242" s="150">
        <f t="shared" si="679"/>
        <v>1.1028911764705882</v>
      </c>
      <c r="DP242" s="314">
        <f t="shared" si="680"/>
        <v>130</v>
      </c>
      <c r="DQ242" s="144">
        <f t="shared" si="681"/>
        <v>180.05955882352936</v>
      </c>
      <c r="DS242">
        <f t="shared" si="682"/>
        <v>130</v>
      </c>
      <c r="DT242">
        <f t="shared" si="683"/>
        <v>180.05955882352936</v>
      </c>
      <c r="DV242" s="5">
        <f t="shared" si="684"/>
        <v>5.5537179282998697</v>
      </c>
      <c r="DW242" s="5">
        <f t="shared" si="685"/>
        <v>1.25</v>
      </c>
      <c r="DX242" s="5">
        <f t="shared" si="686"/>
        <v>4.3037179282998697</v>
      </c>
      <c r="DY242" s="150">
        <f t="shared" si="687"/>
        <v>0.22507444852941169</v>
      </c>
      <c r="EA242" s="5">
        <f t="shared" si="713"/>
        <v>9.5588235294117654E-2</v>
      </c>
      <c r="EB242" s="5">
        <f t="shared" si="714"/>
        <v>1.3541666666666667</v>
      </c>
      <c r="EC242" s="5">
        <f t="shared" si="715"/>
        <v>9.9075173141069914</v>
      </c>
      <c r="ED242" s="5"/>
      <c r="EE242" s="150">
        <f t="shared" si="716"/>
        <v>3.6520877724993435</v>
      </c>
      <c r="EF242" s="150">
        <f t="shared" si="717"/>
        <v>0.31648682643588072</v>
      </c>
      <c r="EG242" s="150">
        <f t="shared" si="718"/>
        <v>0.30106972919222103</v>
      </c>
      <c r="EH242" s="150"/>
      <c r="EI242" s="456">
        <f t="shared" si="719"/>
        <v>4.5348333333333331E-2</v>
      </c>
      <c r="EJ242" s="456">
        <f t="shared" si="720"/>
        <v>1.7972344764705879</v>
      </c>
      <c r="EK242" s="456">
        <f t="shared" si="721"/>
        <v>4.1233638970588224E-2</v>
      </c>
      <c r="EL242" s="456">
        <f t="shared" si="722"/>
        <v>7.47927034623736E-2</v>
      </c>
      <c r="EM242">
        <f t="shared" si="723"/>
        <v>7.1999999999999998E-3</v>
      </c>
      <c r="EN242" s="144">
        <f t="shared" si="724"/>
        <v>48.43363897058822</v>
      </c>
      <c r="EP242" s="144">
        <f t="shared" si="725"/>
        <v>1965.8091522368832</v>
      </c>
      <c r="EQ242" s="150">
        <f t="shared" si="726"/>
        <v>0.32500000000000001</v>
      </c>
      <c r="ER242" s="150">
        <f t="shared" si="688"/>
        <v>9.2300000000000007E-2</v>
      </c>
      <c r="ES242" s="456"/>
      <c r="EU242" s="144">
        <f t="shared" si="727"/>
        <v>417.3</v>
      </c>
      <c r="EV242" s="456">
        <f t="shared" si="728"/>
        <v>2.0006617647058824E-2</v>
      </c>
      <c r="EW242" s="456">
        <f t="shared" si="729"/>
        <v>2.003278226149106E-2</v>
      </c>
      <c r="EX242" s="456">
        <f t="shared" si="730"/>
        <v>2.7192894550763192E-3</v>
      </c>
      <c r="EY242" s="456">
        <f t="shared" si="731"/>
        <v>14.120734913097312</v>
      </c>
      <c r="EZ242" s="456"/>
      <c r="FA242" s="538">
        <f t="shared" si="732"/>
        <v>3.201058823529411E-2</v>
      </c>
      <c r="FB242" s="144">
        <f t="shared" si="733"/>
        <v>14195.504190696234</v>
      </c>
      <c r="FC242" s="150">
        <f t="shared" si="734"/>
        <v>16.578613342933117</v>
      </c>
      <c r="FD242" s="5">
        <f t="shared" si="735"/>
        <v>23.66</v>
      </c>
      <c r="FE242" s="150">
        <f t="shared" si="736"/>
        <v>0.58799242902229065</v>
      </c>
      <c r="FF242" s="5">
        <f t="shared" si="737"/>
        <v>58.799242902229068</v>
      </c>
      <c r="FG242">
        <f t="shared" si="738"/>
        <v>26</v>
      </c>
      <c r="FI242" s="59">
        <f t="shared" si="689"/>
        <v>-50</v>
      </c>
    </row>
    <row r="243" spans="5:165">
      <c r="E243" s="147">
        <v>27</v>
      </c>
      <c r="F243" s="188">
        <f t="shared" si="690"/>
        <v>0.13500000000000001</v>
      </c>
      <c r="G243" s="188">
        <f t="shared" si="617"/>
        <v>0.13500000000000001</v>
      </c>
      <c r="H243" s="188">
        <f t="shared" si="618"/>
        <v>22.950000000000003</v>
      </c>
      <c r="I243" s="188">
        <f t="shared" si="619"/>
        <v>1.62</v>
      </c>
      <c r="J243" s="465">
        <f t="shared" si="620"/>
        <v>15.960331210464938</v>
      </c>
      <c r="K243" s="379">
        <f t="shared" si="621"/>
        <v>8.648147980288682</v>
      </c>
      <c r="L243" s="149">
        <f t="shared" si="622"/>
        <v>24.60847919075362</v>
      </c>
      <c r="M243" s="379"/>
      <c r="N243" s="188">
        <f t="shared" si="623"/>
        <v>0.35142959925528977</v>
      </c>
      <c r="O243" s="149">
        <f t="shared" si="624"/>
        <v>174.63710187121168</v>
      </c>
      <c r="P243" s="149">
        <f t="shared" si="625"/>
        <v>12.327324837967884</v>
      </c>
      <c r="Q243" s="188">
        <f t="shared" si="626"/>
        <v>1.027277069830657</v>
      </c>
      <c r="R243" s="188">
        <f t="shared" si="627"/>
        <v>14.553091822600974</v>
      </c>
      <c r="S243" s="188">
        <f t="shared" si="628"/>
        <v>170</v>
      </c>
      <c r="T243" s="188">
        <f t="shared" si="629"/>
        <v>8.7610249116955572</v>
      </c>
      <c r="U243" s="188">
        <f t="shared" si="630"/>
        <v>0.82338750958542994</v>
      </c>
      <c r="V243" s="188">
        <f t="shared" si="631"/>
        <v>1.5195782261700685</v>
      </c>
      <c r="W243" s="172">
        <f t="shared" si="632"/>
        <v>280.44664006376934</v>
      </c>
      <c r="X243" s="379">
        <f t="shared" si="691"/>
        <v>350</v>
      </c>
      <c r="Z243" s="188">
        <f t="shared" si="633"/>
        <v>13.333333333333332</v>
      </c>
      <c r="AA243" s="150">
        <f t="shared" si="634"/>
        <v>2.3126338778643771</v>
      </c>
      <c r="AB243" s="150">
        <f t="shared" si="635"/>
        <v>0.20193583905970827</v>
      </c>
      <c r="AC243" s="150"/>
      <c r="AD243" s="150">
        <f t="shared" si="636"/>
        <v>2.3126338778643776</v>
      </c>
      <c r="AE243" s="314">
        <f t="shared" si="637"/>
        <v>187.48676106678786</v>
      </c>
      <c r="AF243" s="456">
        <f t="shared" si="638"/>
        <v>0.20193583905970836</v>
      </c>
      <c r="AH243" s="150">
        <f t="shared" si="639"/>
        <v>9.6747092979582607</v>
      </c>
      <c r="AI243" s="150">
        <f t="shared" si="640"/>
        <v>13.333333333333334</v>
      </c>
      <c r="AJ243" s="150">
        <f t="shared" si="641"/>
        <v>1.1071352920381645</v>
      </c>
      <c r="AL243" s="314">
        <f t="shared" si="642"/>
        <v>135</v>
      </c>
      <c r="AM243" s="144">
        <f t="shared" si="643"/>
        <v>187.48676106678786</v>
      </c>
      <c r="AO243">
        <f t="shared" si="644"/>
        <v>135</v>
      </c>
      <c r="AP243">
        <f t="shared" si="645"/>
        <v>187.48676106678786</v>
      </c>
      <c r="AR243" s="5">
        <f t="shared" si="616"/>
        <v>5.3337099340244771</v>
      </c>
      <c r="AS243" s="5">
        <f t="shared" ref="AS243:AS306" si="739">L*AI243/J243*1000000</f>
        <v>1.2531068269364183</v>
      </c>
      <c r="AT243" s="5">
        <f t="shared" ref="AT243:AT306" si="740">AR243-AS243</f>
        <v>4.0806031070880593</v>
      </c>
      <c r="AU243" s="150">
        <f t="shared" ref="AU243:AU306" si="741">AS243/AR243</f>
        <v>0.23494094025298895</v>
      </c>
      <c r="BA243" s="150">
        <f t="shared" si="692"/>
        <v>3.7312767371324806</v>
      </c>
      <c r="BB243" s="150">
        <f t="shared" si="693"/>
        <v>0.31446558848979911</v>
      </c>
      <c r="BC243" s="150">
        <f t="shared" si="694"/>
        <v>0.29914695228579236</v>
      </c>
      <c r="BD243" s="150"/>
      <c r="BE243" s="456">
        <f t="shared" si="695"/>
        <v>4.7336248702824435E-2</v>
      </c>
      <c r="BF243" s="456">
        <f t="shared" si="646"/>
        <v>1.4733286559357279</v>
      </c>
      <c r="BG243" s="456">
        <f t="shared" si="647"/>
        <v>0.13704966683250824</v>
      </c>
      <c r="BH243" s="456">
        <f t="shared" si="696"/>
        <v>7.7773336020731901E-2</v>
      </c>
      <c r="BI243">
        <f t="shared" si="697"/>
        <v>7.1821490447092221E-3</v>
      </c>
      <c r="BJ243" s="144">
        <f t="shared" si="698"/>
        <v>144.23181587721749</v>
      </c>
      <c r="BK243">
        <f t="shared" si="648"/>
        <v>1.6295466904825053</v>
      </c>
      <c r="BL243" s="144">
        <f t="shared" si="699"/>
        <v>1742.6700565365018</v>
      </c>
      <c r="BM243" s="150">
        <f t="shared" si="649"/>
        <v>0.29953125000000003</v>
      </c>
      <c r="BN243" s="150">
        <f t="shared" si="650"/>
        <v>9.5850000000000005E-2</v>
      </c>
      <c r="BQ243" s="144">
        <f t="shared" si="700"/>
        <v>395.38125000000002</v>
      </c>
      <c r="BR243" s="456">
        <f t="shared" si="701"/>
        <v>2.0883639133599016E-2</v>
      </c>
      <c r="BS243" s="456">
        <f t="shared" si="702"/>
        <v>1.9777721268847137E-2</v>
      </c>
      <c r="BT243" s="456">
        <f t="shared" si="703"/>
        <v>2.6846669718563437E-3</v>
      </c>
      <c r="BU243" s="456">
        <f t="shared" si="704"/>
        <v>15.622242034970226</v>
      </c>
      <c r="BV243" s="456"/>
      <c r="BW243" s="538">
        <f t="shared" si="705"/>
        <v>3.333097974520674E-2</v>
      </c>
      <c r="BX243" s="144">
        <f t="shared" si="706"/>
        <v>15698.919042089736</v>
      </c>
      <c r="BY243" s="150">
        <f t="shared" si="707"/>
        <v>17.836970348626235</v>
      </c>
      <c r="BZ243" s="5">
        <f t="shared" si="708"/>
        <v>24.570000000000004</v>
      </c>
      <c r="CA243" s="150">
        <f t="shared" si="709"/>
        <v>0.57938588392452661</v>
      </c>
      <c r="CB243" s="5">
        <f t="shared" si="710"/>
        <v>57.938588392452658</v>
      </c>
      <c r="CC243">
        <f t="shared" si="711"/>
        <v>27</v>
      </c>
      <c r="CE243" s="59">
        <f t="shared" si="651"/>
        <v>-50</v>
      </c>
      <c r="CG243" s="150">
        <f t="shared" si="652"/>
        <v>0.42212040440275889</v>
      </c>
      <c r="CH243" s="150">
        <f t="shared" si="653"/>
        <v>0.11789382366048273</v>
      </c>
      <c r="CI243" s="147">
        <v>27</v>
      </c>
      <c r="CJ243" s="188">
        <f t="shared" si="712"/>
        <v>0.13500000000000001</v>
      </c>
      <c r="CK243" s="188">
        <f t="shared" si="654"/>
        <v>0.13500000000000001</v>
      </c>
      <c r="CL243" s="188">
        <f t="shared" si="655"/>
        <v>22.950000000000003</v>
      </c>
      <c r="CM243" s="188">
        <f t="shared" si="656"/>
        <v>1.62</v>
      </c>
      <c r="CN243" s="465">
        <f t="shared" si="657"/>
        <v>16</v>
      </c>
      <c r="CO243" s="379">
        <f t="shared" si="658"/>
        <v>8.625</v>
      </c>
      <c r="CP243" s="379">
        <f t="shared" si="659"/>
        <v>24.625</v>
      </c>
      <c r="CQ243" s="379"/>
      <c r="CR243" s="188">
        <f t="shared" si="660"/>
        <v>0.34787038923986141</v>
      </c>
      <c r="CS243" s="149">
        <f t="shared" si="661"/>
        <v>173.29806936491266</v>
      </c>
      <c r="CT243" s="149">
        <f t="shared" si="662"/>
        <v>12.232804896346776</v>
      </c>
      <c r="CU243" s="188">
        <f t="shared" si="663"/>
        <v>1.0194004080288981</v>
      </c>
      <c r="CV243" s="188">
        <f t="shared" si="664"/>
        <v>14.441505780409388</v>
      </c>
      <c r="CW243" s="188">
        <f t="shared" si="665"/>
        <v>170</v>
      </c>
      <c r="CX243" s="188">
        <f t="shared" si="666"/>
        <v>8.8287192442882265</v>
      </c>
      <c r="CY243" s="188">
        <f t="shared" si="667"/>
        <v>0.82769242915202124</v>
      </c>
      <c r="CZ243" s="188">
        <f t="shared" si="668"/>
        <v>1.5354294337892567</v>
      </c>
      <c r="DA243" s="172">
        <f t="shared" si="669"/>
        <v>280.20304568527916</v>
      </c>
      <c r="DB243" s="379">
        <f t="shared" si="670"/>
        <v>350</v>
      </c>
      <c r="DD243" s="188">
        <f t="shared" si="671"/>
        <v>13.333333333333332</v>
      </c>
      <c r="DE243" s="150">
        <f t="shared" si="672"/>
        <v>2.318840579710145</v>
      </c>
      <c r="DF243" s="150">
        <f t="shared" si="673"/>
        <v>0.20230192819025303</v>
      </c>
      <c r="DG243" s="150"/>
      <c r="DH243" s="150">
        <f t="shared" si="674"/>
        <v>2.3188405797101455</v>
      </c>
      <c r="DI243" s="314">
        <f t="shared" si="675"/>
        <v>186.98492647058816</v>
      </c>
      <c r="DJ243" s="456">
        <f t="shared" si="676"/>
        <v>0.20230192819025311</v>
      </c>
      <c r="DL243" s="150">
        <f t="shared" si="677"/>
        <v>9.6747092979582607</v>
      </c>
      <c r="DM243" s="150">
        <f t="shared" si="678"/>
        <v>13.333333333333334</v>
      </c>
      <c r="DN243" s="150">
        <f t="shared" si="679"/>
        <v>1.1068485294117647</v>
      </c>
      <c r="DP243" s="314">
        <f t="shared" si="680"/>
        <v>135</v>
      </c>
      <c r="DQ243" s="144">
        <f t="shared" si="681"/>
        <v>186.98492647058816</v>
      </c>
      <c r="DS243">
        <f t="shared" si="682"/>
        <v>135</v>
      </c>
      <c r="DT243">
        <f t="shared" si="683"/>
        <v>186.98492647058816</v>
      </c>
      <c r="DV243" s="5">
        <f t="shared" si="684"/>
        <v>5.3480246716961712</v>
      </c>
      <c r="DW243" s="5">
        <f t="shared" si="685"/>
        <v>1.25</v>
      </c>
      <c r="DX243" s="5">
        <f t="shared" si="686"/>
        <v>4.0980246716961712</v>
      </c>
      <c r="DY243" s="150">
        <f t="shared" si="687"/>
        <v>0.23373115808823522</v>
      </c>
      <c r="EA243" s="5">
        <f t="shared" si="713"/>
        <v>9.9264705882352949E-2</v>
      </c>
      <c r="EB243" s="5">
        <f t="shared" si="714"/>
        <v>1.4062500000000002</v>
      </c>
      <c r="EC243" s="5">
        <f t="shared" si="715"/>
        <v>9.7968402307736593</v>
      </c>
      <c r="ED243" s="5"/>
      <c r="EE243" s="150">
        <f t="shared" si="716"/>
        <v>3.7216576003331689</v>
      </c>
      <c r="EF243" s="150">
        <f t="shared" si="717"/>
        <v>0.31471412131849463</v>
      </c>
      <c r="EG243" s="150">
        <f t="shared" si="718"/>
        <v>0.29938337827632522</v>
      </c>
      <c r="EH243" s="150"/>
      <c r="EI243" s="456">
        <f t="shared" si="719"/>
        <v>4.7092499999999975E-2</v>
      </c>
      <c r="EJ243" s="456">
        <f t="shared" si="720"/>
        <v>1.8663588794117643</v>
      </c>
      <c r="EK243" s="456">
        <f t="shared" si="721"/>
        <v>4.2819548161764691E-2</v>
      </c>
      <c r="EL243" s="456">
        <f t="shared" si="722"/>
        <v>7.7669345903234127E-2</v>
      </c>
      <c r="EM243">
        <f t="shared" si="723"/>
        <v>7.1999999999999998E-3</v>
      </c>
      <c r="EN243" s="144">
        <f t="shared" si="724"/>
        <v>50.019548161764689</v>
      </c>
      <c r="EP243" s="144">
        <f t="shared" si="725"/>
        <v>2041.140273476763</v>
      </c>
      <c r="EQ243" s="150">
        <f t="shared" si="726"/>
        <v>0.33750000000000002</v>
      </c>
      <c r="ER243" s="150">
        <f t="shared" si="688"/>
        <v>9.5850000000000005E-2</v>
      </c>
      <c r="ES243" s="456"/>
      <c r="EU243" s="144">
        <f t="shared" si="727"/>
        <v>433.35</v>
      </c>
      <c r="EV243" s="456">
        <f t="shared" si="728"/>
        <v>2.0776102941176461E-2</v>
      </c>
      <c r="EW243" s="456">
        <f t="shared" si="729"/>
        <v>1.9808995631454433E-2</v>
      </c>
      <c r="EX243" s="456">
        <f t="shared" si="730"/>
        <v>2.6889122156443573E-3</v>
      </c>
      <c r="EY243" s="456">
        <f t="shared" si="731"/>
        <v>15.517913997399905</v>
      </c>
      <c r="EZ243" s="456"/>
      <c r="FA243" s="538">
        <f t="shared" si="732"/>
        <v>3.3241764705882346E-2</v>
      </c>
      <c r="FB243" s="144">
        <f t="shared" si="733"/>
        <v>15594.429772894064</v>
      </c>
      <c r="FC243" s="150">
        <f t="shared" si="734"/>
        <v>18.068920046370824</v>
      </c>
      <c r="FD243" s="5">
        <f t="shared" si="735"/>
        <v>24.570000000000004</v>
      </c>
      <c r="FE243" s="150">
        <f t="shared" si="736"/>
        <v>0.57623410661619834</v>
      </c>
      <c r="FF243" s="5">
        <f t="shared" si="737"/>
        <v>57.623410661619836</v>
      </c>
      <c r="FG243">
        <f t="shared" si="738"/>
        <v>27</v>
      </c>
      <c r="FI243" s="59">
        <f t="shared" si="689"/>
        <v>-50</v>
      </c>
    </row>
    <row r="244" spans="5:165">
      <c r="E244" s="147">
        <v>28</v>
      </c>
      <c r="F244" s="188">
        <f t="shared" si="690"/>
        <v>0.14000000000000001</v>
      </c>
      <c r="G244" s="188">
        <f t="shared" si="617"/>
        <v>0.14000000000000001</v>
      </c>
      <c r="H244" s="188">
        <f t="shared" si="618"/>
        <v>23.8</v>
      </c>
      <c r="I244" s="188">
        <f t="shared" si="619"/>
        <v>1.6800000000000002</v>
      </c>
      <c r="J244" s="465">
        <f t="shared" si="620"/>
        <v>15.960331210464938</v>
      </c>
      <c r="K244" s="379">
        <f t="shared" si="621"/>
        <v>8.648147980288682</v>
      </c>
      <c r="L244" s="149">
        <f t="shared" si="622"/>
        <v>24.60847919075362</v>
      </c>
      <c r="M244" s="379"/>
      <c r="N244" s="188">
        <f t="shared" si="623"/>
        <v>0.35142959925528977</v>
      </c>
      <c r="O244" s="149">
        <f t="shared" si="624"/>
        <v>174.63710187121168</v>
      </c>
      <c r="P244" s="149">
        <f t="shared" si="625"/>
        <v>12.327324837967884</v>
      </c>
      <c r="Q244" s="188">
        <f t="shared" si="626"/>
        <v>1.027277069830657</v>
      </c>
      <c r="R244" s="188">
        <f t="shared" si="627"/>
        <v>14.553091822600974</v>
      </c>
      <c r="S244" s="188">
        <f t="shared" si="628"/>
        <v>170</v>
      </c>
      <c r="T244" s="188">
        <f t="shared" si="629"/>
        <v>9.0855073158324284</v>
      </c>
      <c r="U244" s="188">
        <f t="shared" si="630"/>
        <v>0.85388334327377902</v>
      </c>
      <c r="V244" s="188">
        <f t="shared" si="631"/>
        <v>1.5758589012134041</v>
      </c>
      <c r="W244" s="172">
        <f t="shared" si="632"/>
        <v>280.44664006376934</v>
      </c>
      <c r="X244" s="379">
        <f t="shared" si="691"/>
        <v>350</v>
      </c>
      <c r="Z244" s="188">
        <f t="shared" si="633"/>
        <v>13.333333333333332</v>
      </c>
      <c r="AA244" s="150">
        <f t="shared" si="634"/>
        <v>2.3126338778643771</v>
      </c>
      <c r="AB244" s="150">
        <f t="shared" si="635"/>
        <v>0.20193583905970827</v>
      </c>
      <c r="AC244" s="150"/>
      <c r="AD244" s="150">
        <f t="shared" si="636"/>
        <v>2.3126338778643776</v>
      </c>
      <c r="AE244" s="314">
        <f t="shared" si="637"/>
        <v>194.43071518037257</v>
      </c>
      <c r="AF244" s="456">
        <f t="shared" si="638"/>
        <v>0.20193583905970836</v>
      </c>
      <c r="AH244" s="150">
        <f t="shared" si="639"/>
        <v>9.8522417076859554</v>
      </c>
      <c r="AI244" s="150">
        <f t="shared" si="640"/>
        <v>13.333333333333334</v>
      </c>
      <c r="AJ244" s="150">
        <f t="shared" si="641"/>
        <v>1.1111032658173559</v>
      </c>
      <c r="AL244" s="314">
        <f t="shared" si="642"/>
        <v>140</v>
      </c>
      <c r="AM244" s="144">
        <f t="shared" si="643"/>
        <v>194.43071518037257</v>
      </c>
      <c r="AO244">
        <f t="shared" si="644"/>
        <v>140</v>
      </c>
      <c r="AP244">
        <f t="shared" si="645"/>
        <v>194.43071518037257</v>
      </c>
      <c r="AR244" s="5">
        <f t="shared" si="616"/>
        <v>5.1432202935236031</v>
      </c>
      <c r="AS244" s="5">
        <f t="shared" si="739"/>
        <v>1.2531068269364183</v>
      </c>
      <c r="AT244" s="5">
        <f t="shared" si="740"/>
        <v>3.8901134665871848</v>
      </c>
      <c r="AU244" s="150">
        <f t="shared" si="741"/>
        <v>0.24364245655865518</v>
      </c>
      <c r="BA244" s="150">
        <f t="shared" si="692"/>
        <v>3.7997462414972083</v>
      </c>
      <c r="BB244" s="150">
        <f t="shared" si="693"/>
        <v>0.31267216320840197</v>
      </c>
      <c r="BC244" s="150">
        <f t="shared" si="694"/>
        <v>0.29744089055211032</v>
      </c>
      <c r="BD244" s="150"/>
      <c r="BE244" s="456">
        <f t="shared" si="695"/>
        <v>4.908944309922534E-2</v>
      </c>
      <c r="BF244" s="456">
        <f t="shared" si="646"/>
        <v>1.5278963839333475</v>
      </c>
      <c r="BG244" s="456">
        <f t="shared" si="647"/>
        <v>0.14212558041889745</v>
      </c>
      <c r="BH244" s="456">
        <f t="shared" si="696"/>
        <v>8.0653829947425662E-2</v>
      </c>
      <c r="BI244">
        <f t="shared" si="697"/>
        <v>7.1821490447092221E-3</v>
      </c>
      <c r="BJ244" s="144">
        <f t="shared" si="698"/>
        <v>149.30772946360668</v>
      </c>
      <c r="BK244">
        <f t="shared" si="648"/>
        <v>1.6906125222022381</v>
      </c>
      <c r="BL244" s="144">
        <f t="shared" si="699"/>
        <v>1806.9473864436052</v>
      </c>
      <c r="BM244" s="150">
        <f t="shared" si="649"/>
        <v>0.31062500000000004</v>
      </c>
      <c r="BN244" s="150">
        <f t="shared" si="650"/>
        <v>9.9400000000000016E-2</v>
      </c>
      <c r="BQ244" s="144">
        <f t="shared" si="700"/>
        <v>410.02500000000009</v>
      </c>
      <c r="BR244" s="456">
        <f t="shared" si="701"/>
        <v>2.165710724965824E-2</v>
      </c>
      <c r="BS244" s="456">
        <f t="shared" si="702"/>
        <v>1.9552776329084313E-2</v>
      </c>
      <c r="BT244" s="456">
        <f t="shared" si="703"/>
        <v>2.6541325011729738E-3</v>
      </c>
      <c r="BU244" s="456">
        <f t="shared" si="704"/>
        <v>17.109173483839275</v>
      </c>
      <c r="BV244" s="456"/>
      <c r="BW244" s="538">
        <f t="shared" si="705"/>
        <v>3.4565460476510684E-2</v>
      </c>
      <c r="BX244" s="144">
        <f t="shared" si="706"/>
        <v>17187.602960395699</v>
      </c>
      <c r="BY244" s="150">
        <f t="shared" si="707"/>
        <v>19.404575346839305</v>
      </c>
      <c r="BZ244" s="5">
        <f t="shared" si="708"/>
        <v>25.48</v>
      </c>
      <c r="CA244" s="150">
        <f t="shared" si="709"/>
        <v>0.56767831271894298</v>
      </c>
      <c r="CB244" s="5">
        <f t="shared" si="710"/>
        <v>56.767831271894295</v>
      </c>
      <c r="CC244">
        <f t="shared" si="711"/>
        <v>28.000000000000004</v>
      </c>
      <c r="CE244" s="59">
        <f t="shared" si="651"/>
        <v>-50</v>
      </c>
      <c r="CG244" s="150">
        <f t="shared" si="652"/>
        <v>0.43775449345471301</v>
      </c>
      <c r="CH244" s="150">
        <f t="shared" si="653"/>
        <v>0.12226026157383396</v>
      </c>
      <c r="CI244" s="147">
        <v>28</v>
      </c>
      <c r="CJ244" s="188">
        <f t="shared" si="712"/>
        <v>0.14000000000000001</v>
      </c>
      <c r="CK244" s="188">
        <f t="shared" si="654"/>
        <v>0.14000000000000001</v>
      </c>
      <c r="CL244" s="188">
        <f t="shared" si="655"/>
        <v>23.8</v>
      </c>
      <c r="CM244" s="188">
        <f t="shared" si="656"/>
        <v>1.6800000000000002</v>
      </c>
      <c r="CN244" s="465">
        <f t="shared" si="657"/>
        <v>16</v>
      </c>
      <c r="CO244" s="379">
        <f t="shared" si="658"/>
        <v>8.625</v>
      </c>
      <c r="CP244" s="379">
        <f t="shared" si="659"/>
        <v>24.625</v>
      </c>
      <c r="CQ244" s="379"/>
      <c r="CR244" s="188">
        <f t="shared" si="660"/>
        <v>0.34787038923986141</v>
      </c>
      <c r="CS244" s="149">
        <f t="shared" si="661"/>
        <v>173.29806936491266</v>
      </c>
      <c r="CT244" s="149">
        <f t="shared" si="662"/>
        <v>12.232804896346776</v>
      </c>
      <c r="CU244" s="188">
        <f t="shared" si="663"/>
        <v>1.0194004080288981</v>
      </c>
      <c r="CV244" s="188">
        <f t="shared" si="664"/>
        <v>14.441505780409388</v>
      </c>
      <c r="CW244" s="188">
        <f t="shared" si="665"/>
        <v>170</v>
      </c>
      <c r="CX244" s="188">
        <f t="shared" si="666"/>
        <v>9.1557088459285296</v>
      </c>
      <c r="CY244" s="188">
        <f t="shared" si="667"/>
        <v>0.85834770430579965</v>
      </c>
      <c r="CZ244" s="188">
        <f t="shared" si="668"/>
        <v>1.592297190596266</v>
      </c>
      <c r="DA244" s="172">
        <f t="shared" si="669"/>
        <v>280.20304568527916</v>
      </c>
      <c r="DB244" s="379">
        <f t="shared" si="670"/>
        <v>350</v>
      </c>
      <c r="DD244" s="188">
        <f t="shared" si="671"/>
        <v>13.333333333333332</v>
      </c>
      <c r="DE244" s="150">
        <f t="shared" si="672"/>
        <v>2.318840579710145</v>
      </c>
      <c r="DF244" s="150">
        <f t="shared" si="673"/>
        <v>0.20230192819025303</v>
      </c>
      <c r="DG244" s="150"/>
      <c r="DH244" s="150">
        <f t="shared" si="674"/>
        <v>2.3188405797101455</v>
      </c>
      <c r="DI244" s="314">
        <f t="shared" si="675"/>
        <v>193.91029411764703</v>
      </c>
      <c r="DJ244" s="456">
        <f t="shared" si="676"/>
        <v>0.20230192819025311</v>
      </c>
      <c r="DL244" s="150">
        <f t="shared" si="677"/>
        <v>9.8522417076859554</v>
      </c>
      <c r="DM244" s="150">
        <f t="shared" si="678"/>
        <v>13.333333333333334</v>
      </c>
      <c r="DN244" s="150">
        <f t="shared" si="679"/>
        <v>1.1108058823529412</v>
      </c>
      <c r="DP244" s="314">
        <f t="shared" si="680"/>
        <v>140</v>
      </c>
      <c r="DQ244" s="144">
        <f t="shared" si="681"/>
        <v>193.91029411764703</v>
      </c>
      <c r="DS244">
        <f t="shared" si="682"/>
        <v>140</v>
      </c>
      <c r="DT244">
        <f t="shared" si="683"/>
        <v>193.91029411764703</v>
      </c>
      <c r="DV244" s="5">
        <f t="shared" si="684"/>
        <v>5.157023790564164</v>
      </c>
      <c r="DW244" s="5">
        <f t="shared" si="685"/>
        <v>1.25</v>
      </c>
      <c r="DX244" s="5">
        <f t="shared" si="686"/>
        <v>3.907023790564164</v>
      </c>
      <c r="DY244" s="150">
        <f t="shared" si="687"/>
        <v>0.24238786764705877</v>
      </c>
      <c r="EA244" s="5">
        <f t="shared" si="713"/>
        <v>0.10294117647058824</v>
      </c>
      <c r="EB244" s="5">
        <f t="shared" si="714"/>
        <v>1.4583333333333335</v>
      </c>
      <c r="EC244" s="5">
        <f t="shared" si="715"/>
        <v>9.6861631474403218</v>
      </c>
      <c r="ED244" s="5"/>
      <c r="EE244" s="150">
        <f t="shared" si="716"/>
        <v>3.7899505920521022</v>
      </c>
      <c r="EF244" s="150">
        <f t="shared" si="717"/>
        <v>0.31293137427731499</v>
      </c>
      <c r="EG244" s="150">
        <f t="shared" si="718"/>
        <v>0.29768747461123252</v>
      </c>
      <c r="EH244" s="150"/>
      <c r="EI244" s="456">
        <f t="shared" si="719"/>
        <v>4.8836666666666667E-2</v>
      </c>
      <c r="EJ244" s="456">
        <f t="shared" si="720"/>
        <v>1.9354832823529411</v>
      </c>
      <c r="EK244" s="456">
        <f t="shared" si="721"/>
        <v>4.4405457352941172E-2</v>
      </c>
      <c r="EL244" s="456">
        <f t="shared" si="722"/>
        <v>8.0545988344094654E-2</v>
      </c>
      <c r="EM244">
        <f t="shared" si="723"/>
        <v>7.1999999999999998E-3</v>
      </c>
      <c r="EN244" s="144">
        <f t="shared" si="724"/>
        <v>51.605457352941173</v>
      </c>
      <c r="EP244" s="144">
        <f t="shared" si="725"/>
        <v>2116.4713947166442</v>
      </c>
      <c r="EQ244" s="150">
        <f t="shared" si="726"/>
        <v>0.35000000000000003</v>
      </c>
      <c r="ER244" s="150">
        <f t="shared" si="688"/>
        <v>9.9400000000000016E-2</v>
      </c>
      <c r="ES244" s="456"/>
      <c r="EU244" s="144">
        <f t="shared" si="727"/>
        <v>449.40000000000003</v>
      </c>
      <c r="EV244" s="456">
        <f t="shared" si="728"/>
        <v>2.1545588235294118E-2</v>
      </c>
      <c r="EW244" s="456">
        <f t="shared" si="729"/>
        <v>1.9585209001417803E-2</v>
      </c>
      <c r="EX244" s="456">
        <f t="shared" si="730"/>
        <v>2.6585349762123962E-3</v>
      </c>
      <c r="EY244" s="456">
        <f t="shared" si="731"/>
        <v>16.994915460565629</v>
      </c>
      <c r="EZ244" s="456"/>
      <c r="FA244" s="538">
        <f t="shared" si="732"/>
        <v>3.4472941176470595E-2</v>
      </c>
      <c r="FB244" s="144">
        <f t="shared" si="733"/>
        <v>17073.177733955024</v>
      </c>
      <c r="FC244" s="150">
        <f t="shared" si="734"/>
        <v>19.639049128671669</v>
      </c>
      <c r="FD244" s="5">
        <f t="shared" si="735"/>
        <v>25.48</v>
      </c>
      <c r="FE244" s="150">
        <f t="shared" si="736"/>
        <v>0.56472821329490963</v>
      </c>
      <c r="FF244" s="5">
        <f t="shared" si="737"/>
        <v>56.472821329490962</v>
      </c>
      <c r="FG244">
        <f t="shared" si="738"/>
        <v>28.000000000000004</v>
      </c>
      <c r="FI244" s="59">
        <f t="shared" si="689"/>
        <v>-50</v>
      </c>
    </row>
    <row r="245" spans="5:165">
      <c r="E245" s="147">
        <v>29</v>
      </c>
      <c r="F245" s="188">
        <f t="shared" si="690"/>
        <v>0.14499999999999999</v>
      </c>
      <c r="G245" s="188">
        <f t="shared" si="617"/>
        <v>0.14499999999999999</v>
      </c>
      <c r="H245" s="188">
        <f t="shared" si="618"/>
        <v>24.65</v>
      </c>
      <c r="I245" s="188">
        <f t="shared" si="619"/>
        <v>1.7399999999999998</v>
      </c>
      <c r="J245" s="465">
        <f t="shared" si="620"/>
        <v>15.960331210464938</v>
      </c>
      <c r="K245" s="379">
        <f t="shared" si="621"/>
        <v>8.648147980288682</v>
      </c>
      <c r="L245" s="149">
        <f t="shared" si="622"/>
        <v>24.60847919075362</v>
      </c>
      <c r="M245" s="379"/>
      <c r="N245" s="188">
        <f t="shared" si="623"/>
        <v>0.35142959925528977</v>
      </c>
      <c r="O245" s="149">
        <f t="shared" si="624"/>
        <v>174.63710187121168</v>
      </c>
      <c r="P245" s="149">
        <f t="shared" si="625"/>
        <v>12.327324837967884</v>
      </c>
      <c r="Q245" s="188">
        <f t="shared" si="626"/>
        <v>1.027277069830657</v>
      </c>
      <c r="R245" s="188">
        <f t="shared" si="627"/>
        <v>14.553091822600974</v>
      </c>
      <c r="S245" s="188">
        <f t="shared" si="628"/>
        <v>170</v>
      </c>
      <c r="T245" s="188">
        <f t="shared" si="629"/>
        <v>9.4099897199692997</v>
      </c>
      <c r="U245" s="188">
        <f t="shared" si="630"/>
        <v>0.8843791769621282</v>
      </c>
      <c r="V245" s="188">
        <f t="shared" si="631"/>
        <v>1.6321395762567397</v>
      </c>
      <c r="W245" s="172">
        <f t="shared" si="632"/>
        <v>280.44664006376934</v>
      </c>
      <c r="X245" s="379">
        <f t="shared" si="691"/>
        <v>350</v>
      </c>
      <c r="Z245" s="188">
        <f t="shared" si="633"/>
        <v>13.333333333333332</v>
      </c>
      <c r="AA245" s="150">
        <f t="shared" si="634"/>
        <v>2.3126338778643771</v>
      </c>
      <c r="AB245" s="150">
        <f t="shared" si="635"/>
        <v>0.20193583905970827</v>
      </c>
      <c r="AC245" s="150"/>
      <c r="AD245" s="150">
        <f t="shared" si="636"/>
        <v>2.3126338778643776</v>
      </c>
      <c r="AE245" s="314">
        <f t="shared" si="637"/>
        <v>201.37466929395728</v>
      </c>
      <c r="AF245" s="456">
        <f t="shared" si="638"/>
        <v>0.20193583905970836</v>
      </c>
      <c r="AH245" s="150">
        <f t="shared" si="639"/>
        <v>10.026631205611052</v>
      </c>
      <c r="AI245" s="150">
        <f t="shared" si="640"/>
        <v>13.333333333333334</v>
      </c>
      <c r="AJ245" s="150">
        <f t="shared" si="641"/>
        <v>1.115071239596547</v>
      </c>
      <c r="AL245" s="314">
        <f t="shared" si="642"/>
        <v>145</v>
      </c>
      <c r="AM245" s="144">
        <f t="shared" si="643"/>
        <v>201.37466929395728</v>
      </c>
      <c r="AO245">
        <f t="shared" si="644"/>
        <v>145</v>
      </c>
      <c r="AP245">
        <f t="shared" si="645"/>
        <v>201.37466929395728</v>
      </c>
      <c r="AR245" s="5">
        <f t="shared" si="616"/>
        <v>4.9658678696089975</v>
      </c>
      <c r="AS245" s="5">
        <f t="shared" si="739"/>
        <v>1.2531068269364183</v>
      </c>
      <c r="AT245" s="5">
        <f t="shared" si="740"/>
        <v>3.7127610426725792</v>
      </c>
      <c r="AU245" s="150">
        <f t="shared" si="741"/>
        <v>0.25234397286432136</v>
      </c>
      <c r="BA245" s="150">
        <f t="shared" si="692"/>
        <v>3.8670036088007862</v>
      </c>
      <c r="BB245" s="150">
        <f t="shared" si="693"/>
        <v>0.31086839168144365</v>
      </c>
      <c r="BC245" s="150">
        <f t="shared" si="694"/>
        <v>0.2957249865719615</v>
      </c>
      <c r="BD245" s="150"/>
      <c r="BE245" s="456">
        <f t="shared" si="695"/>
        <v>5.0842637495626231E-2</v>
      </c>
      <c r="BF245" s="456">
        <f t="shared" si="646"/>
        <v>1.5824641119309664</v>
      </c>
      <c r="BG245" s="456">
        <f t="shared" si="647"/>
        <v>0.14720149400528659</v>
      </c>
      <c r="BH245" s="456">
        <f t="shared" si="696"/>
        <v>8.3534323874119437E-2</v>
      </c>
      <c r="BI245">
        <f t="shared" si="697"/>
        <v>7.1821490447092221E-3</v>
      </c>
      <c r="BJ245" s="144">
        <f t="shared" si="698"/>
        <v>154.38364304999584</v>
      </c>
      <c r="BK245">
        <f t="shared" si="648"/>
        <v>1.7517298510604487</v>
      </c>
      <c r="BL245" s="144">
        <f t="shared" si="699"/>
        <v>1871.2247163507079</v>
      </c>
      <c r="BM245" s="150">
        <f t="shared" si="649"/>
        <v>0.32171875</v>
      </c>
      <c r="BN245" s="150">
        <f t="shared" si="650"/>
        <v>0.10294999999999999</v>
      </c>
      <c r="BQ245" s="144">
        <f t="shared" si="700"/>
        <v>424.66874999999999</v>
      </c>
      <c r="BR245" s="456">
        <f t="shared" si="701"/>
        <v>2.2430575365717458E-2</v>
      </c>
      <c r="BS245" s="456">
        <f t="shared" si="702"/>
        <v>1.9327831389321495E-2</v>
      </c>
      <c r="BT245" s="456">
        <f t="shared" si="703"/>
        <v>2.6235980304896043E-3</v>
      </c>
      <c r="BU245" s="456">
        <f t="shared" si="704"/>
        <v>18.677938727831382</v>
      </c>
      <c r="BV245" s="456"/>
      <c r="BW245" s="538">
        <f t="shared" si="705"/>
        <v>3.5799941207814635E-2</v>
      </c>
      <c r="BX245" s="144">
        <f t="shared" si="706"/>
        <v>18758.120673824724</v>
      </c>
      <c r="BY245" s="150">
        <f t="shared" si="707"/>
        <v>21.054014140175433</v>
      </c>
      <c r="BZ245" s="5">
        <f t="shared" si="708"/>
        <v>26.389999999999997</v>
      </c>
      <c r="CA245" s="150">
        <f t="shared" si="709"/>
        <v>0.55623455304666214</v>
      </c>
      <c r="CB245" s="5">
        <f t="shared" si="710"/>
        <v>55.623455304666216</v>
      </c>
      <c r="CC245">
        <f t="shared" si="711"/>
        <v>28.999999999999996</v>
      </c>
      <c r="CE245" s="59">
        <f t="shared" si="651"/>
        <v>-50</v>
      </c>
      <c r="CG245" s="150">
        <f t="shared" si="652"/>
        <v>0.45338858250666692</v>
      </c>
      <c r="CH245" s="150">
        <f t="shared" si="653"/>
        <v>0.12662669948718516</v>
      </c>
      <c r="CI245" s="147">
        <v>29</v>
      </c>
      <c r="CJ245" s="188">
        <f t="shared" si="712"/>
        <v>0.14499999999999999</v>
      </c>
      <c r="CK245" s="188">
        <f t="shared" si="654"/>
        <v>0.14499999999999999</v>
      </c>
      <c r="CL245" s="188">
        <f t="shared" si="655"/>
        <v>24.65</v>
      </c>
      <c r="CM245" s="188">
        <f t="shared" si="656"/>
        <v>1.7399999999999998</v>
      </c>
      <c r="CN245" s="465">
        <f t="shared" si="657"/>
        <v>16</v>
      </c>
      <c r="CO245" s="379">
        <f t="shared" si="658"/>
        <v>8.625</v>
      </c>
      <c r="CP245" s="379">
        <f t="shared" si="659"/>
        <v>24.625</v>
      </c>
      <c r="CQ245" s="379"/>
      <c r="CR245" s="188">
        <f t="shared" si="660"/>
        <v>0.34787038923986141</v>
      </c>
      <c r="CS245" s="149">
        <f t="shared" si="661"/>
        <v>173.29806936491266</v>
      </c>
      <c r="CT245" s="149">
        <f t="shared" si="662"/>
        <v>12.232804896346776</v>
      </c>
      <c r="CU245" s="188">
        <f t="shared" si="663"/>
        <v>1.0194004080288981</v>
      </c>
      <c r="CV245" s="188">
        <f t="shared" si="664"/>
        <v>14.441505780409388</v>
      </c>
      <c r="CW245" s="188">
        <f t="shared" si="665"/>
        <v>170</v>
      </c>
      <c r="CX245" s="188">
        <f t="shared" si="666"/>
        <v>9.4826984475688327</v>
      </c>
      <c r="CY245" s="188">
        <f t="shared" si="667"/>
        <v>0.88900297945957807</v>
      </c>
      <c r="CZ245" s="188">
        <f t="shared" si="668"/>
        <v>1.6491649474032752</v>
      </c>
      <c r="DA245" s="172">
        <f t="shared" si="669"/>
        <v>280.20304568527916</v>
      </c>
      <c r="DB245" s="379">
        <f t="shared" si="670"/>
        <v>350</v>
      </c>
      <c r="DD245" s="188">
        <f t="shared" si="671"/>
        <v>13.333333333333332</v>
      </c>
      <c r="DE245" s="150">
        <f t="shared" si="672"/>
        <v>2.318840579710145</v>
      </c>
      <c r="DF245" s="150">
        <f t="shared" si="673"/>
        <v>0.20230192819025303</v>
      </c>
      <c r="DG245" s="150"/>
      <c r="DH245" s="150">
        <f t="shared" si="674"/>
        <v>2.3188405797101455</v>
      </c>
      <c r="DI245" s="314">
        <f t="shared" si="675"/>
        <v>200.8356617647058</v>
      </c>
      <c r="DJ245" s="456">
        <f t="shared" si="676"/>
        <v>0.20230192819025311</v>
      </c>
      <c r="DL245" s="150">
        <f t="shared" si="677"/>
        <v>10.026631205611052</v>
      </c>
      <c r="DM245" s="150">
        <f t="shared" si="678"/>
        <v>13.333333333333334</v>
      </c>
      <c r="DN245" s="150">
        <f t="shared" si="679"/>
        <v>1.1147632352941177</v>
      </c>
      <c r="DP245" s="314">
        <f t="shared" si="680"/>
        <v>145</v>
      </c>
      <c r="DQ245" s="144">
        <f t="shared" si="681"/>
        <v>200.8356617647058</v>
      </c>
      <c r="DS245">
        <f t="shared" si="682"/>
        <v>145</v>
      </c>
      <c r="DT245">
        <f t="shared" si="683"/>
        <v>200.8356617647058</v>
      </c>
      <c r="DV245" s="5">
        <f t="shared" si="684"/>
        <v>4.9791953839929874</v>
      </c>
      <c r="DW245" s="5">
        <f t="shared" si="685"/>
        <v>1.25</v>
      </c>
      <c r="DX245" s="5">
        <f t="shared" si="686"/>
        <v>3.7291953839929874</v>
      </c>
      <c r="DY245" s="150">
        <f t="shared" si="687"/>
        <v>0.25104457720588225</v>
      </c>
      <c r="EA245" s="5">
        <f t="shared" si="713"/>
        <v>0.10661764705882353</v>
      </c>
      <c r="EB245" s="5">
        <f t="shared" si="714"/>
        <v>1.5104166666666667</v>
      </c>
      <c r="EC245" s="5">
        <f t="shared" si="715"/>
        <v>9.5754860641069914</v>
      </c>
      <c r="ED245" s="5"/>
      <c r="EE245" s="150">
        <f t="shared" si="716"/>
        <v>3.8570345715684873</v>
      </c>
      <c r="EF245" s="150">
        <f t="shared" si="717"/>
        <v>0.31113841269908454</v>
      </c>
      <c r="EG245" s="150">
        <f t="shared" si="718"/>
        <v>0.29598185399223575</v>
      </c>
      <c r="EH245" s="150"/>
      <c r="EI245" s="456">
        <f t="shared" si="719"/>
        <v>5.0580833333333311E-2</v>
      </c>
      <c r="EJ245" s="456">
        <f t="shared" si="720"/>
        <v>2.004607685294117</v>
      </c>
      <c r="EK245" s="456">
        <f t="shared" si="721"/>
        <v>4.5991366544117632E-2</v>
      </c>
      <c r="EL245" s="456">
        <f t="shared" si="722"/>
        <v>8.3422630784955154E-2</v>
      </c>
      <c r="EM245">
        <f t="shared" si="723"/>
        <v>7.1999999999999998E-3</v>
      </c>
      <c r="EN245" s="144">
        <f t="shared" si="724"/>
        <v>53.191366544117628</v>
      </c>
      <c r="EP245" s="144">
        <f t="shared" si="725"/>
        <v>2191.8025159565232</v>
      </c>
      <c r="EQ245" s="150">
        <f t="shared" si="726"/>
        <v>0.36249999999999999</v>
      </c>
      <c r="ER245" s="150">
        <f t="shared" si="688"/>
        <v>0.10294999999999999</v>
      </c>
      <c r="ES245" s="456"/>
      <c r="EU245" s="144">
        <f t="shared" si="727"/>
        <v>465.45</v>
      </c>
      <c r="EV245" s="456">
        <f t="shared" si="728"/>
        <v>2.2315073529411759E-2</v>
      </c>
      <c r="EW245" s="456">
        <f t="shared" si="729"/>
        <v>1.9361422371381172E-2</v>
      </c>
      <c r="EX245" s="456">
        <f t="shared" si="730"/>
        <v>2.6281577367804352E-3</v>
      </c>
      <c r="EY245" s="456">
        <f t="shared" si="731"/>
        <v>18.553204218599518</v>
      </c>
      <c r="EZ245" s="456"/>
      <c r="FA245" s="538">
        <f t="shared" si="732"/>
        <v>3.5704117647058817E-2</v>
      </c>
      <c r="FB245" s="144">
        <f t="shared" si="733"/>
        <v>18633.212989884149</v>
      </c>
      <c r="FC245" s="150">
        <f t="shared" si="734"/>
        <v>21.290465505840672</v>
      </c>
      <c r="FD245" s="5">
        <f t="shared" si="735"/>
        <v>26.389999999999997</v>
      </c>
      <c r="FE245" s="150">
        <f t="shared" si="736"/>
        <v>0.55347613996694989</v>
      </c>
      <c r="FF245" s="5">
        <f t="shared" si="737"/>
        <v>55.347613996694989</v>
      </c>
      <c r="FG245">
        <f t="shared" si="738"/>
        <v>28.999999999999996</v>
      </c>
      <c r="FI245" s="59">
        <f t="shared" si="689"/>
        <v>-50</v>
      </c>
    </row>
    <row r="246" spans="5:165">
      <c r="E246" s="147">
        <v>30</v>
      </c>
      <c r="F246" s="188">
        <f t="shared" si="690"/>
        <v>0.15</v>
      </c>
      <c r="G246" s="188">
        <f t="shared" si="617"/>
        <v>0.15</v>
      </c>
      <c r="H246" s="188">
        <f t="shared" si="618"/>
        <v>25.5</v>
      </c>
      <c r="I246" s="188">
        <f t="shared" si="619"/>
        <v>1.7999999999999998</v>
      </c>
      <c r="J246" s="465">
        <f t="shared" si="620"/>
        <v>15.960331210464938</v>
      </c>
      <c r="K246" s="379">
        <f t="shared" si="621"/>
        <v>8.648147980288682</v>
      </c>
      <c r="L246" s="149">
        <f t="shared" si="622"/>
        <v>24.60847919075362</v>
      </c>
      <c r="M246" s="379"/>
      <c r="N246" s="188">
        <f t="shared" si="623"/>
        <v>0.35142959925528977</v>
      </c>
      <c r="O246" s="149">
        <f t="shared" si="624"/>
        <v>174.63710187121168</v>
      </c>
      <c r="P246" s="149">
        <f t="shared" si="625"/>
        <v>12.327324837967884</v>
      </c>
      <c r="Q246" s="188">
        <f t="shared" si="626"/>
        <v>1.027277069830657</v>
      </c>
      <c r="R246" s="188">
        <f t="shared" si="627"/>
        <v>14.553091822600974</v>
      </c>
      <c r="S246" s="188">
        <f t="shared" si="628"/>
        <v>170</v>
      </c>
      <c r="T246" s="188">
        <f t="shared" si="629"/>
        <v>9.7344721241061727</v>
      </c>
      <c r="U246" s="188">
        <f t="shared" si="630"/>
        <v>0.9148750106504776</v>
      </c>
      <c r="V246" s="188">
        <f t="shared" si="631"/>
        <v>1.6884202513000757</v>
      </c>
      <c r="W246" s="172">
        <f t="shared" si="632"/>
        <v>280.44664006376934</v>
      </c>
      <c r="X246" s="379">
        <f t="shared" si="691"/>
        <v>350</v>
      </c>
      <c r="Z246" s="188">
        <f t="shared" si="633"/>
        <v>13.333333333333332</v>
      </c>
      <c r="AA246" s="150">
        <f t="shared" si="634"/>
        <v>2.3126338778643771</v>
      </c>
      <c r="AB246" s="150">
        <f t="shared" si="635"/>
        <v>0.20193583905970827</v>
      </c>
      <c r="AC246" s="150"/>
      <c r="AD246" s="150">
        <f t="shared" si="636"/>
        <v>2.3126338778643776</v>
      </c>
      <c r="AE246" s="314">
        <f t="shared" si="637"/>
        <v>208.31862340754202</v>
      </c>
      <c r="AF246" s="456">
        <f t="shared" si="638"/>
        <v>0.20193583905970836</v>
      </c>
      <c r="AH246" s="150">
        <f t="shared" si="639"/>
        <v>10.198039027185569</v>
      </c>
      <c r="AI246" s="150">
        <f t="shared" si="640"/>
        <v>13.333333333333334</v>
      </c>
      <c r="AJ246" s="150">
        <f t="shared" si="641"/>
        <v>1.1190392133757383</v>
      </c>
      <c r="AL246" s="314">
        <f t="shared" si="642"/>
        <v>150</v>
      </c>
      <c r="AM246" s="144">
        <f t="shared" si="643"/>
        <v>208.31862340754202</v>
      </c>
      <c r="AO246">
        <f t="shared" si="644"/>
        <v>150</v>
      </c>
      <c r="AP246">
        <f t="shared" si="645"/>
        <v>208.31862340754202</v>
      </c>
      <c r="AR246" s="5">
        <f t="shared" si="616"/>
        <v>4.80033894062203</v>
      </c>
      <c r="AS246" s="5">
        <f t="shared" si="739"/>
        <v>1.2531068269364183</v>
      </c>
      <c r="AT246" s="5">
        <f t="shared" si="740"/>
        <v>3.5472321136856118</v>
      </c>
      <c r="AU246" s="150">
        <f t="shared" si="741"/>
        <v>0.26104548916998765</v>
      </c>
      <c r="BA246" s="150">
        <f t="shared" si="692"/>
        <v>3.9331110232466688</v>
      </c>
      <c r="BB246" s="150">
        <f t="shared" si="693"/>
        <v>0.3090540927536688</v>
      </c>
      <c r="BC246" s="150">
        <f t="shared" si="694"/>
        <v>0.29399906801474923</v>
      </c>
      <c r="BD246" s="150"/>
      <c r="BE246" s="456">
        <f t="shared" si="695"/>
        <v>5.2595831892027156E-2</v>
      </c>
      <c r="BF246" s="456">
        <f t="shared" si="646"/>
        <v>1.6370318399285859</v>
      </c>
      <c r="BG246" s="456">
        <f t="shared" si="647"/>
        <v>0.1522774075916758</v>
      </c>
      <c r="BH246" s="456">
        <f t="shared" si="696"/>
        <v>8.6414817800813212E-2</v>
      </c>
      <c r="BI246">
        <f t="shared" si="697"/>
        <v>7.1821490447092221E-3</v>
      </c>
      <c r="BJ246" s="144">
        <f t="shared" si="698"/>
        <v>159.45955663638503</v>
      </c>
      <c r="BK246">
        <f t="shared" si="648"/>
        <v>1.8128987422263303</v>
      </c>
      <c r="BL246" s="144">
        <f t="shared" si="699"/>
        <v>1935.5020462578113</v>
      </c>
      <c r="BM246" s="150">
        <f t="shared" si="649"/>
        <v>0.33281249999999996</v>
      </c>
      <c r="BN246" s="150">
        <f t="shared" si="650"/>
        <v>0.1065</v>
      </c>
      <c r="BQ246" s="144">
        <f t="shared" si="700"/>
        <v>439.31249999999994</v>
      </c>
      <c r="BR246" s="456">
        <f t="shared" si="701"/>
        <v>2.3204043481776689E-2</v>
      </c>
      <c r="BS246" s="456">
        <f t="shared" si="702"/>
        <v>1.9102886449558664E-2</v>
      </c>
      <c r="BT246" s="456">
        <f t="shared" si="703"/>
        <v>2.5930635598062344E-3</v>
      </c>
      <c r="BU246" s="456">
        <f t="shared" si="704"/>
        <v>20.3299864151974</v>
      </c>
      <c r="BV246" s="456"/>
      <c r="BW246" s="538">
        <f t="shared" si="705"/>
        <v>3.7034421939118593E-2</v>
      </c>
      <c r="BX246" s="144">
        <f t="shared" si="706"/>
        <v>20411.92083062766</v>
      </c>
      <c r="BY246" s="150">
        <f t="shared" si="707"/>
        <v>22.786735376885471</v>
      </c>
      <c r="BZ246" s="5">
        <f t="shared" si="708"/>
        <v>27.3</v>
      </c>
      <c r="CA246" s="150">
        <f t="shared" si="709"/>
        <v>0.54505448986796368</v>
      </c>
      <c r="CB246" s="5">
        <f t="shared" si="710"/>
        <v>54.505448986796367</v>
      </c>
      <c r="CC246">
        <f t="shared" si="711"/>
        <v>30</v>
      </c>
      <c r="CE246" s="59">
        <f t="shared" si="651"/>
        <v>-50</v>
      </c>
      <c r="CG246" s="150">
        <f t="shared" si="652"/>
        <v>0.46902267155862098</v>
      </c>
      <c r="CH246" s="150">
        <f t="shared" si="653"/>
        <v>0.13099313740053634</v>
      </c>
      <c r="CI246" s="147">
        <v>30</v>
      </c>
      <c r="CJ246" s="188">
        <f t="shared" si="712"/>
        <v>0.15</v>
      </c>
      <c r="CK246" s="188">
        <f t="shared" si="654"/>
        <v>0.15</v>
      </c>
      <c r="CL246" s="188">
        <f t="shared" si="655"/>
        <v>25.5</v>
      </c>
      <c r="CM246" s="188">
        <f t="shared" si="656"/>
        <v>1.7999999999999998</v>
      </c>
      <c r="CN246" s="465">
        <f t="shared" si="657"/>
        <v>16</v>
      </c>
      <c r="CO246" s="379">
        <f t="shared" si="658"/>
        <v>8.625</v>
      </c>
      <c r="CP246" s="379">
        <f t="shared" si="659"/>
        <v>24.625</v>
      </c>
      <c r="CQ246" s="379"/>
      <c r="CR246" s="188">
        <f t="shared" si="660"/>
        <v>0.34787038923986141</v>
      </c>
      <c r="CS246" s="149">
        <f t="shared" si="661"/>
        <v>173.29806936491266</v>
      </c>
      <c r="CT246" s="149">
        <f t="shared" si="662"/>
        <v>12.232804896346776</v>
      </c>
      <c r="CU246" s="188">
        <f t="shared" si="663"/>
        <v>1.0194004080288981</v>
      </c>
      <c r="CV246" s="188">
        <f t="shared" si="664"/>
        <v>14.441505780409388</v>
      </c>
      <c r="CW246" s="188">
        <f t="shared" si="665"/>
        <v>170</v>
      </c>
      <c r="CX246" s="188">
        <f t="shared" si="666"/>
        <v>9.8096880492091394</v>
      </c>
      <c r="CY246" s="188">
        <f t="shared" si="667"/>
        <v>0.91965825461335682</v>
      </c>
      <c r="CZ246" s="188">
        <f t="shared" si="668"/>
        <v>1.7060327042102852</v>
      </c>
      <c r="DA246" s="172">
        <f t="shared" si="669"/>
        <v>280.20304568527916</v>
      </c>
      <c r="DB246" s="379">
        <f t="shared" si="670"/>
        <v>350</v>
      </c>
      <c r="DD246" s="188">
        <f t="shared" si="671"/>
        <v>13.333333333333332</v>
      </c>
      <c r="DE246" s="150">
        <f t="shared" si="672"/>
        <v>2.318840579710145</v>
      </c>
      <c r="DF246" s="150">
        <f t="shared" si="673"/>
        <v>0.20230192819025303</v>
      </c>
      <c r="DG246" s="150"/>
      <c r="DH246" s="150">
        <f t="shared" si="674"/>
        <v>2.3188405797101455</v>
      </c>
      <c r="DI246" s="314">
        <f t="shared" si="675"/>
        <v>207.76102941176461</v>
      </c>
      <c r="DJ246" s="456">
        <f t="shared" si="676"/>
        <v>0.20230192819025311</v>
      </c>
      <c r="DL246" s="150">
        <f t="shared" si="677"/>
        <v>10.198039027185569</v>
      </c>
      <c r="DM246" s="150">
        <f t="shared" si="678"/>
        <v>13.333333333333334</v>
      </c>
      <c r="DN246" s="150">
        <f t="shared" si="679"/>
        <v>1.118720588235294</v>
      </c>
      <c r="DP246" s="314">
        <f t="shared" si="680"/>
        <v>150</v>
      </c>
      <c r="DQ246" s="144">
        <f t="shared" si="681"/>
        <v>207.76102941176461</v>
      </c>
      <c r="DS246">
        <f t="shared" si="682"/>
        <v>150</v>
      </c>
      <c r="DT246">
        <f t="shared" si="683"/>
        <v>207.76102941176461</v>
      </c>
      <c r="DV246" s="5">
        <f t="shared" si="684"/>
        <v>4.8132222045265545</v>
      </c>
      <c r="DW246" s="5">
        <f t="shared" si="685"/>
        <v>1.25</v>
      </c>
      <c r="DX246" s="5">
        <f t="shared" si="686"/>
        <v>3.5632222045265545</v>
      </c>
      <c r="DY246" s="150">
        <f t="shared" si="687"/>
        <v>0.25970128676470577</v>
      </c>
      <c r="EA246" s="5">
        <f t="shared" si="713"/>
        <v>0.11029411764705883</v>
      </c>
      <c r="EB246" s="5">
        <f t="shared" si="714"/>
        <v>1.5625</v>
      </c>
      <c r="EC246" s="5">
        <f t="shared" si="715"/>
        <v>9.4648089807736593</v>
      </c>
      <c r="ED246" s="5"/>
      <c r="EE246" s="150">
        <f t="shared" si="716"/>
        <v>3.9229715627764801</v>
      </c>
      <c r="EF246" s="150">
        <f t="shared" si="717"/>
        <v>0.30933505896797847</v>
      </c>
      <c r="EG246" s="150">
        <f t="shared" si="718"/>
        <v>0.29426634745575153</v>
      </c>
      <c r="EH246" s="150"/>
      <c r="EI246" s="456">
        <f t="shared" si="719"/>
        <v>5.232499999999999E-2</v>
      </c>
      <c r="EJ246" s="456">
        <f t="shared" si="720"/>
        <v>2.073732088235293</v>
      </c>
      <c r="EK246" s="456">
        <f t="shared" si="721"/>
        <v>4.7577275735294099E-2</v>
      </c>
      <c r="EL246" s="456">
        <f t="shared" si="722"/>
        <v>8.6299273225815681E-2</v>
      </c>
      <c r="EM246">
        <f t="shared" si="723"/>
        <v>7.1999999999999998E-3</v>
      </c>
      <c r="EN246" s="144">
        <f t="shared" si="724"/>
        <v>54.777275735294097</v>
      </c>
      <c r="EP246" s="144">
        <f t="shared" si="725"/>
        <v>2267.133637196403</v>
      </c>
      <c r="EQ246" s="150">
        <f t="shared" si="726"/>
        <v>0.375</v>
      </c>
      <c r="ER246" s="150">
        <f t="shared" si="688"/>
        <v>0.1065</v>
      </c>
      <c r="ES246" s="456"/>
      <c r="EU246" s="144">
        <f t="shared" si="727"/>
        <v>481.5</v>
      </c>
      <c r="EV246" s="456">
        <f t="shared" si="728"/>
        <v>2.3084558823529409E-2</v>
      </c>
      <c r="EW246" s="456">
        <f t="shared" si="729"/>
        <v>1.9137635741344545E-2</v>
      </c>
      <c r="EX246" s="456">
        <f t="shared" si="730"/>
        <v>2.5977804973484728E-3</v>
      </c>
      <c r="EY246" s="456">
        <f t="shared" si="731"/>
        <v>20.194219245428737</v>
      </c>
      <c r="EZ246" s="456"/>
      <c r="FA246" s="538">
        <f t="shared" si="732"/>
        <v>3.6935294117647052E-2</v>
      </c>
      <c r="FB246" s="144">
        <f t="shared" si="733"/>
        <v>20275.974514608606</v>
      </c>
      <c r="FC246" s="150">
        <f t="shared" si="734"/>
        <v>23.024608151805012</v>
      </c>
      <c r="FD246" s="5">
        <f t="shared" si="735"/>
        <v>27.3</v>
      </c>
      <c r="FE246" s="150">
        <f t="shared" si="736"/>
        <v>0.54247814344920686</v>
      </c>
      <c r="FF246" s="5">
        <f t="shared" si="737"/>
        <v>54.247814344920684</v>
      </c>
      <c r="FG246">
        <f t="shared" si="738"/>
        <v>30</v>
      </c>
      <c r="FI246" s="59">
        <f t="shared" si="689"/>
        <v>-50</v>
      </c>
    </row>
    <row r="247" spans="5:165">
      <c r="E247" s="147">
        <v>31</v>
      </c>
      <c r="F247" s="188">
        <f t="shared" si="690"/>
        <v>0.155</v>
      </c>
      <c r="G247" s="188">
        <f t="shared" si="617"/>
        <v>0.155</v>
      </c>
      <c r="H247" s="188">
        <f t="shared" si="618"/>
        <v>26.35</v>
      </c>
      <c r="I247" s="188">
        <f t="shared" si="619"/>
        <v>1.8599999999999999</v>
      </c>
      <c r="J247" s="465">
        <f t="shared" si="620"/>
        <v>15.960331210464938</v>
      </c>
      <c r="K247" s="379">
        <f t="shared" si="621"/>
        <v>8.648147980288682</v>
      </c>
      <c r="L247" s="149">
        <f t="shared" si="622"/>
        <v>24.60847919075362</v>
      </c>
      <c r="M247" s="379"/>
      <c r="N247" s="188">
        <f t="shared" si="623"/>
        <v>0.35142959925528977</v>
      </c>
      <c r="O247" s="149">
        <f t="shared" si="624"/>
        <v>174.63710187121168</v>
      </c>
      <c r="P247" s="149">
        <f t="shared" si="625"/>
        <v>12.327324837967884</v>
      </c>
      <c r="Q247" s="188">
        <f t="shared" si="626"/>
        <v>1.027277069830657</v>
      </c>
      <c r="R247" s="188">
        <f t="shared" si="627"/>
        <v>14.553091822600974</v>
      </c>
      <c r="S247" s="188">
        <f t="shared" si="628"/>
        <v>170</v>
      </c>
      <c r="T247" s="188">
        <f t="shared" si="629"/>
        <v>10.058954528243046</v>
      </c>
      <c r="U247" s="188">
        <f t="shared" si="630"/>
        <v>0.94537084433882679</v>
      </c>
      <c r="V247" s="188">
        <f t="shared" si="631"/>
        <v>1.7447009263434117</v>
      </c>
      <c r="W247" s="172">
        <f t="shared" si="632"/>
        <v>280.44664006376934</v>
      </c>
      <c r="X247" s="379">
        <f t="shared" si="691"/>
        <v>346.01216832893289</v>
      </c>
      <c r="Z247" s="188">
        <f t="shared" si="633"/>
        <v>13.333333333333332</v>
      </c>
      <c r="AA247" s="150">
        <f t="shared" si="634"/>
        <v>2.3126338778643771</v>
      </c>
      <c r="AB247" s="150">
        <f t="shared" si="635"/>
        <v>0.20193583905970827</v>
      </c>
      <c r="AC247" s="150"/>
      <c r="AD247" s="150">
        <f t="shared" si="636"/>
        <v>2.3126338778643776</v>
      </c>
      <c r="AE247" s="314">
        <f t="shared" si="637"/>
        <v>215.26257752112676</v>
      </c>
      <c r="AF247" s="456">
        <f t="shared" si="638"/>
        <v>0.20193583905970836</v>
      </c>
      <c r="AH247" s="150">
        <f t="shared" si="639"/>
        <v>10.366613075960087</v>
      </c>
      <c r="AI247" s="150">
        <f t="shared" si="640"/>
        <v>13.333333333333334</v>
      </c>
      <c r="AJ247" s="150">
        <f t="shared" si="641"/>
        <v>1.1230071871549296</v>
      </c>
      <c r="AL247" s="314">
        <f t="shared" si="642"/>
        <v>155</v>
      </c>
      <c r="AM247" s="144">
        <f t="shared" si="643"/>
        <v>215.26257752112676</v>
      </c>
      <c r="AO247">
        <f t="shared" si="644"/>
        <v>155</v>
      </c>
      <c r="AP247">
        <f t="shared" si="645"/>
        <v>215.26257752112676</v>
      </c>
      <c r="AR247" s="5">
        <f t="shared" si="616"/>
        <v>4.6454892973761588</v>
      </c>
      <c r="AS247" s="5">
        <f t="shared" si="739"/>
        <v>1.2531068269364183</v>
      </c>
      <c r="AT247" s="5">
        <f t="shared" si="740"/>
        <v>3.3923824704397405</v>
      </c>
      <c r="AU247" s="150">
        <f t="shared" si="741"/>
        <v>0.26974700547565389</v>
      </c>
      <c r="BA247" s="150">
        <f t="shared" si="692"/>
        <v>3.9981255272803282</v>
      </c>
      <c r="BB247" s="150">
        <f t="shared" si="693"/>
        <v>0.30722907992079651</v>
      </c>
      <c r="BC247" s="150">
        <f t="shared" si="694"/>
        <v>0.29226295746141945</v>
      </c>
      <c r="BD247" s="150"/>
      <c r="BE247" s="456">
        <f t="shared" si="695"/>
        <v>5.4349026288428047E-2</v>
      </c>
      <c r="BF247" s="456">
        <f t="shared" si="646"/>
        <v>1.6915995679262059</v>
      </c>
      <c r="BG247" s="456">
        <f t="shared" si="647"/>
        <v>0.157353321178065</v>
      </c>
      <c r="BH247" s="456">
        <f t="shared" si="696"/>
        <v>8.9295311727506987E-2</v>
      </c>
      <c r="BI247">
        <f t="shared" si="697"/>
        <v>7.1821490447092221E-3</v>
      </c>
      <c r="BJ247" s="144">
        <f t="shared" si="698"/>
        <v>164.53547022277422</v>
      </c>
      <c r="BK247">
        <f t="shared" si="648"/>
        <v>1.8741192609790827</v>
      </c>
      <c r="BL247" s="144">
        <f t="shared" si="699"/>
        <v>1999.7793761649152</v>
      </c>
      <c r="BM247" s="150">
        <f t="shared" si="649"/>
        <v>0.34390624999999997</v>
      </c>
      <c r="BN247" s="150">
        <f t="shared" si="650"/>
        <v>0.11005</v>
      </c>
      <c r="BQ247" s="144">
        <f t="shared" si="700"/>
        <v>453.95624999999995</v>
      </c>
      <c r="BR247" s="456">
        <f t="shared" si="701"/>
        <v>2.3977511597835906E-2</v>
      </c>
      <c r="BS247" s="456">
        <f t="shared" si="702"/>
        <v>1.8877941509795836E-2</v>
      </c>
      <c r="BT247" s="456">
        <f t="shared" si="703"/>
        <v>2.5625290891228641E-3</v>
      </c>
      <c r="BU247" s="456">
        <f t="shared" si="704"/>
        <v>22.06674041818124</v>
      </c>
      <c r="BV247" s="456"/>
      <c r="BW247" s="538">
        <f t="shared" si="705"/>
        <v>3.8268902670422537E-2</v>
      </c>
      <c r="BX247" s="144">
        <f t="shared" si="706"/>
        <v>22150.427303048418</v>
      </c>
      <c r="BY247" s="150">
        <f t="shared" si="707"/>
        <v>24.604162929213334</v>
      </c>
      <c r="BZ247" s="5">
        <f t="shared" si="708"/>
        <v>28.21</v>
      </c>
      <c r="CA247" s="150">
        <f t="shared" si="709"/>
        <v>0.53413702755849368</v>
      </c>
      <c r="CB247" s="5">
        <f t="shared" si="710"/>
        <v>53.413702755849371</v>
      </c>
      <c r="CC247">
        <f t="shared" si="711"/>
        <v>31</v>
      </c>
      <c r="CE247" s="59">
        <f t="shared" si="651"/>
        <v>-50</v>
      </c>
      <c r="CG247" s="150">
        <f t="shared" si="652"/>
        <v>0.48465676061057505</v>
      </c>
      <c r="CH247" s="150">
        <f t="shared" si="653"/>
        <v>0.13535957531388756</v>
      </c>
      <c r="CI247" s="147">
        <v>31</v>
      </c>
      <c r="CJ247" s="188">
        <f t="shared" si="712"/>
        <v>0.155</v>
      </c>
      <c r="CK247" s="188">
        <f t="shared" si="654"/>
        <v>0.155</v>
      </c>
      <c r="CL247" s="188">
        <f t="shared" si="655"/>
        <v>26.35</v>
      </c>
      <c r="CM247" s="188">
        <f t="shared" si="656"/>
        <v>1.8599999999999999</v>
      </c>
      <c r="CN247" s="465">
        <f t="shared" si="657"/>
        <v>16</v>
      </c>
      <c r="CO247" s="379">
        <f t="shared" si="658"/>
        <v>8.625</v>
      </c>
      <c r="CP247" s="379">
        <f t="shared" si="659"/>
        <v>24.625</v>
      </c>
      <c r="CQ247" s="379"/>
      <c r="CR247" s="188">
        <f t="shared" si="660"/>
        <v>0.34787038923986141</v>
      </c>
      <c r="CS247" s="149">
        <f t="shared" si="661"/>
        <v>173.29806936491266</v>
      </c>
      <c r="CT247" s="149">
        <f t="shared" si="662"/>
        <v>12.232804896346776</v>
      </c>
      <c r="CU247" s="188">
        <f t="shared" si="663"/>
        <v>1.0194004080288981</v>
      </c>
      <c r="CV247" s="188">
        <f t="shared" si="664"/>
        <v>14.441505780409388</v>
      </c>
      <c r="CW247" s="188">
        <f t="shared" si="665"/>
        <v>170</v>
      </c>
      <c r="CX247" s="188">
        <f t="shared" si="666"/>
        <v>10.136677650849444</v>
      </c>
      <c r="CY247" s="188">
        <f t="shared" si="667"/>
        <v>0.95031352976713535</v>
      </c>
      <c r="CZ247" s="188">
        <f t="shared" si="668"/>
        <v>1.7629004610172947</v>
      </c>
      <c r="DA247" s="172">
        <f t="shared" si="669"/>
        <v>280.20304568527916</v>
      </c>
      <c r="DB247" s="379">
        <f t="shared" si="670"/>
        <v>350</v>
      </c>
      <c r="DD247" s="188">
        <f t="shared" si="671"/>
        <v>13.333333333333332</v>
      </c>
      <c r="DE247" s="150">
        <f t="shared" si="672"/>
        <v>2.318840579710145</v>
      </c>
      <c r="DF247" s="150">
        <f t="shared" si="673"/>
        <v>0.20230192819025303</v>
      </c>
      <c r="DG247" s="150"/>
      <c r="DH247" s="150">
        <f t="shared" si="674"/>
        <v>2.3188405797101455</v>
      </c>
      <c r="DI247" s="314">
        <f t="shared" si="675"/>
        <v>214.68639705882347</v>
      </c>
      <c r="DJ247" s="456">
        <f t="shared" si="676"/>
        <v>0.20230192819025311</v>
      </c>
      <c r="DL247" s="150">
        <f t="shared" si="677"/>
        <v>10.366613075960087</v>
      </c>
      <c r="DM247" s="150">
        <f t="shared" si="678"/>
        <v>13.333333333333334</v>
      </c>
      <c r="DN247" s="150">
        <f t="shared" si="679"/>
        <v>1.1226779411764705</v>
      </c>
      <c r="DP247" s="314">
        <f t="shared" si="680"/>
        <v>155</v>
      </c>
      <c r="DQ247" s="144">
        <f t="shared" si="681"/>
        <v>214.68639705882347</v>
      </c>
      <c r="DS247">
        <f t="shared" si="682"/>
        <v>155</v>
      </c>
      <c r="DT247">
        <f t="shared" si="683"/>
        <v>214.68639705882347</v>
      </c>
      <c r="DV247" s="5">
        <f t="shared" si="684"/>
        <v>4.6579569721224718</v>
      </c>
      <c r="DW247" s="5">
        <f t="shared" si="685"/>
        <v>1.25</v>
      </c>
      <c r="DX247" s="5">
        <f t="shared" si="686"/>
        <v>3.4079569721224718</v>
      </c>
      <c r="DY247" s="150">
        <f t="shared" si="687"/>
        <v>0.2683579963235293</v>
      </c>
      <c r="EA247" s="5">
        <f t="shared" si="713"/>
        <v>0.11397058823529412</v>
      </c>
      <c r="EB247" s="5">
        <f t="shared" si="714"/>
        <v>1.6145833333333333</v>
      </c>
      <c r="EC247" s="5">
        <f t="shared" si="715"/>
        <v>9.3541318974403254</v>
      </c>
      <c r="ED247" s="5"/>
      <c r="EE247" s="150">
        <f t="shared" si="716"/>
        <v>3.9878184610675755</v>
      </c>
      <c r="EF247" s="150">
        <f t="shared" si="717"/>
        <v>0.30752113026024658</v>
      </c>
      <c r="EG247" s="150">
        <f t="shared" si="718"/>
        <v>0.29254078108396614</v>
      </c>
      <c r="EH247" s="150"/>
      <c r="EI247" s="456">
        <f t="shared" si="719"/>
        <v>5.4069166666666647E-2</v>
      </c>
      <c r="EJ247" s="456">
        <f t="shared" si="720"/>
        <v>2.1428564911764703</v>
      </c>
      <c r="EK247" s="456">
        <f t="shared" si="721"/>
        <v>4.9163184926470579E-2</v>
      </c>
      <c r="EL247" s="456">
        <f t="shared" si="722"/>
        <v>8.9175915666676223E-2</v>
      </c>
      <c r="EM247">
        <f t="shared" si="723"/>
        <v>7.1999999999999998E-3</v>
      </c>
      <c r="EN247" s="144">
        <f t="shared" si="724"/>
        <v>56.363184926470581</v>
      </c>
      <c r="EP247" s="144">
        <f t="shared" si="725"/>
        <v>2342.4647584362842</v>
      </c>
      <c r="EQ247" s="150">
        <f t="shared" si="726"/>
        <v>0.38750000000000001</v>
      </c>
      <c r="ER247" s="150">
        <f t="shared" si="688"/>
        <v>0.11005</v>
      </c>
      <c r="ES247" s="456"/>
      <c r="EU247" s="144">
        <f t="shared" si="727"/>
        <v>497.55</v>
      </c>
      <c r="EV247" s="456">
        <f t="shared" si="728"/>
        <v>2.385404411764705E-2</v>
      </c>
      <c r="EW247" s="456">
        <f t="shared" si="729"/>
        <v>1.8913849111307911E-2</v>
      </c>
      <c r="EX247" s="456">
        <f t="shared" si="730"/>
        <v>2.56740325791651E-3</v>
      </c>
      <c r="EY247" s="456">
        <f t="shared" si="731"/>
        <v>21.91937490443177</v>
      </c>
      <c r="EZ247" s="456"/>
      <c r="FA247" s="538">
        <f t="shared" si="732"/>
        <v>3.8166470588235288E-2</v>
      </c>
      <c r="FB247" s="144">
        <f t="shared" si="733"/>
        <v>22002.876671506874</v>
      </c>
      <c r="FC247" s="150">
        <f t="shared" si="734"/>
        <v>24.842891429943158</v>
      </c>
      <c r="FD247" s="5">
        <f t="shared" si="735"/>
        <v>28.21</v>
      </c>
      <c r="FE247" s="150">
        <f t="shared" si="736"/>
        <v>0.53173350668835029</v>
      </c>
      <c r="FF247" s="5">
        <f t="shared" si="737"/>
        <v>53.173350668835027</v>
      </c>
      <c r="FG247">
        <f t="shared" si="738"/>
        <v>31</v>
      </c>
      <c r="FI247" s="59">
        <f t="shared" si="689"/>
        <v>-50</v>
      </c>
    </row>
    <row r="248" spans="5:165">
      <c r="E248" s="147">
        <v>32</v>
      </c>
      <c r="F248" s="188">
        <f t="shared" si="690"/>
        <v>0.16</v>
      </c>
      <c r="G248" s="188">
        <f t="shared" ref="G248:G279" si="742">IF(PLOT_TYPE=1, E248/100*Iout2, min_I*EXP(Q248*rr/100))</f>
        <v>0.16</v>
      </c>
      <c r="H248" s="188">
        <f t="shared" ref="H248:H279" si="743">F248*Vout</f>
        <v>27.2</v>
      </c>
      <c r="I248" s="188">
        <f t="shared" ref="I248:I279" si="744">Vout2*G248</f>
        <v>1.92</v>
      </c>
      <c r="J248" s="465">
        <f t="shared" ref="J248:J279" si="745">VIN_max-(F248/CG248/Nps+G248/CH248/(Nps/Nsec1sec2))*(Rdcr_pri+RON/1000)</f>
        <v>15.960331210464938</v>
      </c>
      <c r="K248" s="379">
        <f t="shared" ref="K248:K279" si="746">MAX((S248+Vfwd2+Rdcr_sec*F248/CG248)*Nps,(Vout2+Vfwd22+Rdcr_sec2*G248/CH248)*Nps/Nsec1sec2)</f>
        <v>8.648147980288682</v>
      </c>
      <c r="L248" s="149">
        <f t="shared" ref="L248:L279" si="747">MAX((Vout+Vfwd2+F248/CG248*Rdcr_sec)*Nps+J248, (Vout2+Vfwd22+G248/CH248*Rdcr_sec2)*Nps/Nsec1sec2+J248)</f>
        <v>24.60847919075362</v>
      </c>
      <c r="M248" s="379"/>
      <c r="N248" s="188">
        <f t="shared" ref="N248:N279" si="748">MAX((Vout+Vfwd2+F248/CG248*Rdcr_sec)*Nps/((Vout+Vfwd2+F248/CG248*Rdcr_sec)*Nps+J248), (Vout2+Vfwd22+G248/CH248*Rdcr_sec2)*Nps/Nsec1sec2/((Vout2+Vfwd22+G248/CH248*Rdcr_sec2)*Nps/Nsec1sec2+J248))</f>
        <v>0.35142959925528977</v>
      </c>
      <c r="O248" s="149">
        <f t="shared" ref="O248:O279" si="749">N248*J248*Isw_max*0.5*Efficiency*Pout/(Pout+Pout2)</f>
        <v>174.63710187121168</v>
      </c>
      <c r="P248" s="149">
        <f t="shared" ref="P248:P279" si="750">N248*J248*Isw_max*0.5*Efficiency*(Pout2/Pout_total)</f>
        <v>12.327324837967884</v>
      </c>
      <c r="Q248" s="188">
        <f t="shared" si="626"/>
        <v>1.027277069830657</v>
      </c>
      <c r="R248" s="188">
        <f t="shared" ref="R248:R279" si="751">O248/Vout2</f>
        <v>14.553091822600974</v>
      </c>
      <c r="S248" s="188">
        <f t="shared" ref="S248:S279" si="752">MIN(Vout,O248/F248)</f>
        <v>170</v>
      </c>
      <c r="T248" s="188">
        <f t="shared" ref="T248:T279" si="753">MIN(2*(Vout*F248+Vout2*G248)/(Efficiency*J248*N248), Isw_max)</f>
        <v>10.383436932379917</v>
      </c>
      <c r="U248" s="188">
        <f t="shared" si="630"/>
        <v>0.97586667802717608</v>
      </c>
      <c r="V248" s="188">
        <f t="shared" si="631"/>
        <v>1.8009816013867475</v>
      </c>
      <c r="W248" s="172">
        <f t="shared" si="632"/>
        <v>280.44664006376934</v>
      </c>
      <c r="X248" s="379">
        <f t="shared" si="691"/>
        <v>335.92575305748471</v>
      </c>
      <c r="Z248" s="188">
        <f t="shared" si="633"/>
        <v>13.333333333333332</v>
      </c>
      <c r="AA248" s="150">
        <f t="shared" si="634"/>
        <v>2.3126338778643771</v>
      </c>
      <c r="AB248" s="150">
        <f t="shared" ref="AB248:AB279" si="754">0.5*AA248*Z248*Nps*W248/1000*(Pout/(Pout+Pout2))</f>
        <v>0.20193583905970827</v>
      </c>
      <c r="AC248" s="150"/>
      <c r="AD248" s="150">
        <f t="shared" si="636"/>
        <v>2.3126338778643776</v>
      </c>
      <c r="AE248" s="314">
        <f t="shared" ref="AE248:AE279" si="755">MAX(10, F248/(0.5*AD248/1000000*Isw_min*Nps)/1000*Pout_total/Pout)</f>
        <v>222.20653163471152</v>
      </c>
      <c r="AF248" s="456">
        <f t="shared" ref="AF248:AF279" si="756">0.5*AD248/1000000*Isw_min*Nps*W248*1000*(Pout/Pout_total)</f>
        <v>0.20193583905970836</v>
      </c>
      <c r="AH248" s="150">
        <f t="shared" ref="AH248:AH279" si="757">SQRT((H248+I248)/(0.5*L*Fsw_DCM))</f>
        <v>10.532489417670133</v>
      </c>
      <c r="AI248" s="150">
        <f t="shared" ref="AI248:AI279" si="758">MAX(IF(F248&gt;AB248,T248,AH248),Isw_min)</f>
        <v>13.333333333333334</v>
      </c>
      <c r="AJ248" s="150">
        <f t="shared" ref="AJ248:AJ279" si="759">IF(F248&gt;AF248, (AI248-Isw_min)/1.08*0.8+1.2, AE248*0.2/350+1)</f>
        <v>1.126975160934121</v>
      </c>
      <c r="AL248" s="314">
        <f t="shared" ref="AL248:AL279" si="760">F248*1000</f>
        <v>160</v>
      </c>
      <c r="AM248" s="144">
        <f t="shared" ref="AM248:AM279" si="761">IF(F248&gt;AF248, X248, AE248)</f>
        <v>222.20653163471152</v>
      </c>
      <c r="AO248">
        <f t="shared" si="644"/>
        <v>160</v>
      </c>
      <c r="AP248">
        <f t="shared" si="645"/>
        <v>222.20653163471152</v>
      </c>
      <c r="AR248" s="5">
        <f t="shared" si="616"/>
        <v>4.5003177568331525</v>
      </c>
      <c r="AS248" s="5">
        <f t="shared" si="739"/>
        <v>1.2531068269364183</v>
      </c>
      <c r="AT248" s="5">
        <f t="shared" si="740"/>
        <v>3.2472109298967342</v>
      </c>
      <c r="AU248" s="150">
        <f t="shared" si="741"/>
        <v>0.27844852178132024</v>
      </c>
      <c r="BA248" s="150">
        <f t="shared" si="692"/>
        <v>4.0620995978184427</v>
      </c>
      <c r="BB248" s="150">
        <f t="shared" si="693"/>
        <v>0.30539316110575404</v>
      </c>
      <c r="BC248" s="150">
        <f t="shared" si="694"/>
        <v>0.29051647219159504</v>
      </c>
      <c r="BD248" s="150"/>
      <c r="BE248" s="456">
        <f t="shared" si="695"/>
        <v>5.6102220684828959E-2</v>
      </c>
      <c r="BF248" s="456">
        <f t="shared" ref="BF248:BF279" si="762">0.5*L248*AI248*AM248*1000*Tfall</f>
        <v>1.7461672959238255</v>
      </c>
      <c r="BG248" s="456">
        <f t="shared" ref="BG248:BG279" si="763">Qg*Vdd*AM248*1000*0+Qg*J248*AM248*1000</f>
        <v>0.1624292347644542</v>
      </c>
      <c r="BH248" s="456">
        <f t="shared" si="696"/>
        <v>9.2175805654200763E-2</v>
      </c>
      <c r="BI248">
        <f t="shared" si="697"/>
        <v>7.1821490447092221E-3</v>
      </c>
      <c r="BJ248" s="144">
        <f t="shared" si="698"/>
        <v>169.61138380916344</v>
      </c>
      <c r="BK248">
        <f t="shared" ref="BK248:BK279" si="764">(BF248+BG248*0+BH248+BI248*0+BE248*(1+RdsonTC*(Ta-25)))/(1-BE248*RdsonTC*ThetaJA)</f>
        <v>1.9353914727081447</v>
      </c>
      <c r="BL248" s="144">
        <f t="shared" si="699"/>
        <v>2064.0567060720186</v>
      </c>
      <c r="BM248" s="150">
        <f t="shared" ref="BM248:BM279" si="765">Vfwd2*F248*(1+Diode_TC/1000*(Ta-25))</f>
        <v>0.35499999999999998</v>
      </c>
      <c r="BN248" s="150">
        <f t="shared" ref="BN248:BN279" si="766">Vfwd22*G248*(1+Diode_TC/1000*(Ta-25))</f>
        <v>0.11359999999999999</v>
      </c>
      <c r="BQ248" s="144">
        <f t="shared" si="700"/>
        <v>468.59999999999997</v>
      </c>
      <c r="BR248" s="456">
        <f t="shared" si="701"/>
        <v>2.475097971389513E-2</v>
      </c>
      <c r="BS248" s="456">
        <f t="shared" si="702"/>
        <v>1.8652996570033008E-2</v>
      </c>
      <c r="BT248" s="456">
        <f t="shared" si="703"/>
        <v>2.5319946184394946E-3</v>
      </c>
      <c r="BU248" s="456">
        <f t="shared" si="704"/>
        <v>23.889601062588117</v>
      </c>
      <c r="BV248" s="456"/>
      <c r="BW248" s="538">
        <f t="shared" si="705"/>
        <v>3.9503383401726502E-2</v>
      </c>
      <c r="BX248" s="144">
        <f t="shared" si="706"/>
        <v>23975.04041689221</v>
      </c>
      <c r="BY248" s="150">
        <f t="shared" si="707"/>
        <v>26.507697122964228</v>
      </c>
      <c r="BZ248" s="5">
        <f t="shared" si="708"/>
        <v>29.119999999999997</v>
      </c>
      <c r="CA248" s="150">
        <f t="shared" si="709"/>
        <v>0.52348023567523672</v>
      </c>
      <c r="CB248" s="5">
        <f t="shared" si="710"/>
        <v>52.348023567523668</v>
      </c>
      <c r="CC248">
        <f t="shared" si="711"/>
        <v>32</v>
      </c>
      <c r="CE248" s="59">
        <f t="shared" ref="CE248:CE279" si="767">IF(ABS(F248-Ioutmax_Vinmax)&lt;Iout/200, AM248, -50)</f>
        <v>-50</v>
      </c>
      <c r="CG248" s="150">
        <f t="shared" ref="CG248:CG279" si="768">MIN(SQRT(2*DT248*1000*Ls1_*CL248)/CW248, 1-DY248)</f>
        <v>0.50029084966252912</v>
      </c>
      <c r="CH248" s="150">
        <f t="shared" ref="CH248:CH279" si="769">MIN(SQRT(2*DT248*1000*Ls2_*CM248)/Vout2, 1-DY248)</f>
        <v>0.13972601322723879</v>
      </c>
      <c r="CI248" s="147">
        <v>32</v>
      </c>
      <c r="CJ248" s="188">
        <f t="shared" si="712"/>
        <v>0.16</v>
      </c>
      <c r="CK248" s="188">
        <f t="shared" si="654"/>
        <v>0.16</v>
      </c>
      <c r="CL248" s="188">
        <f t="shared" si="655"/>
        <v>27.2</v>
      </c>
      <c r="CM248" s="188">
        <f t="shared" si="656"/>
        <v>1.92</v>
      </c>
      <c r="CN248" s="465">
        <f t="shared" si="657"/>
        <v>16</v>
      </c>
      <c r="CO248" s="379">
        <f t="shared" ref="CO248:CO279" si="770">(CW248+Vfwd2)*Nps</f>
        <v>8.625</v>
      </c>
      <c r="CP248" s="379">
        <f t="shared" ref="CP248:CP279" si="771">(Vout+Vfwd2)*Nps+CN248</f>
        <v>24.625</v>
      </c>
      <c r="CQ248" s="379"/>
      <c r="CR248" s="188">
        <f t="shared" si="660"/>
        <v>0.34787038923986141</v>
      </c>
      <c r="CS248" s="149">
        <f t="shared" si="661"/>
        <v>173.29806936491266</v>
      </c>
      <c r="CT248" s="149">
        <f t="shared" si="662"/>
        <v>12.232804896346776</v>
      </c>
      <c r="CU248" s="188">
        <f t="shared" si="663"/>
        <v>1.0194004080288981</v>
      </c>
      <c r="CV248" s="188">
        <f t="shared" si="664"/>
        <v>14.441505780409388</v>
      </c>
      <c r="CW248" s="188">
        <f t="shared" si="665"/>
        <v>170</v>
      </c>
      <c r="CX248" s="188">
        <f t="shared" si="666"/>
        <v>10.463667252489747</v>
      </c>
      <c r="CY248" s="188">
        <f t="shared" si="667"/>
        <v>0.98096880492091387</v>
      </c>
      <c r="CZ248" s="188">
        <f t="shared" si="668"/>
        <v>1.819768217824304</v>
      </c>
      <c r="DA248" s="172">
        <f t="shared" si="669"/>
        <v>280.20304568527916</v>
      </c>
      <c r="DB248" s="379">
        <f t="shared" si="670"/>
        <v>350</v>
      </c>
      <c r="DD248" s="188">
        <f t="shared" si="671"/>
        <v>13.333333333333332</v>
      </c>
      <c r="DE248" s="150">
        <f t="shared" si="672"/>
        <v>2.318840579710145</v>
      </c>
      <c r="DF248" s="150">
        <f t="shared" si="673"/>
        <v>0.20230192819025303</v>
      </c>
      <c r="DG248" s="150"/>
      <c r="DH248" s="150">
        <f t="shared" si="674"/>
        <v>2.3188405797101455</v>
      </c>
      <c r="DI248" s="314">
        <f t="shared" si="675"/>
        <v>221.61176470588231</v>
      </c>
      <c r="DJ248" s="456">
        <f t="shared" si="676"/>
        <v>0.20230192819025311</v>
      </c>
      <c r="DL248" s="150">
        <f t="shared" si="677"/>
        <v>10.532489417670133</v>
      </c>
      <c r="DM248" s="150">
        <f t="shared" si="678"/>
        <v>13.333333333333334</v>
      </c>
      <c r="DN248" s="150">
        <f t="shared" si="679"/>
        <v>1.126635294117647</v>
      </c>
      <c r="DP248" s="314">
        <f t="shared" si="680"/>
        <v>160</v>
      </c>
      <c r="DQ248" s="144">
        <f t="shared" si="681"/>
        <v>221.61176470588231</v>
      </c>
      <c r="DS248">
        <f t="shared" si="682"/>
        <v>160</v>
      </c>
      <c r="DT248">
        <f t="shared" si="683"/>
        <v>221.61176470588231</v>
      </c>
      <c r="DV248" s="5">
        <f t="shared" si="684"/>
        <v>4.512395816743644</v>
      </c>
      <c r="DW248" s="5">
        <f t="shared" si="685"/>
        <v>1.25</v>
      </c>
      <c r="DX248" s="5">
        <f t="shared" si="686"/>
        <v>3.262395816743644</v>
      </c>
      <c r="DY248" s="150">
        <f t="shared" si="687"/>
        <v>0.27701470588235289</v>
      </c>
      <c r="EA248" s="5">
        <f t="shared" si="713"/>
        <v>0.11764705882352941</v>
      </c>
      <c r="EB248" s="5">
        <f t="shared" si="714"/>
        <v>1.6666666666666667</v>
      </c>
      <c r="EC248" s="5">
        <f t="shared" si="715"/>
        <v>9.2434548141069897</v>
      </c>
      <c r="ED248" s="5"/>
      <c r="EE248" s="150">
        <f t="shared" si="716"/>
        <v>4.0516276080742912</v>
      </c>
      <c r="EF248" s="150">
        <f t="shared" si="717"/>
        <v>0.30569643832788823</v>
      </c>
      <c r="EG248" s="150">
        <f t="shared" si="718"/>
        <v>0.29080497579904807</v>
      </c>
      <c r="EH248" s="150"/>
      <c r="EI248" s="456">
        <f t="shared" si="719"/>
        <v>5.5813333333333326E-2</v>
      </c>
      <c r="EJ248" s="456">
        <f t="shared" si="720"/>
        <v>2.2119808941176466</v>
      </c>
      <c r="EK248" s="456">
        <f t="shared" si="721"/>
        <v>5.0749094117647053E-2</v>
      </c>
      <c r="EL248" s="456">
        <f t="shared" si="722"/>
        <v>9.2052558107536736E-2</v>
      </c>
      <c r="EM248">
        <f t="shared" si="723"/>
        <v>7.1999999999999998E-3</v>
      </c>
      <c r="EN248" s="144">
        <f t="shared" si="724"/>
        <v>57.94909411764705</v>
      </c>
      <c r="EP248" s="144">
        <f t="shared" si="725"/>
        <v>2417.7958796761641</v>
      </c>
      <c r="EQ248" s="150">
        <f t="shared" si="726"/>
        <v>0.4</v>
      </c>
      <c r="ER248" s="150">
        <f t="shared" ref="ER248:ER279" si="772">Vfwd22*CK248*(1+Diode_TC/1000*(Ta-25))</f>
        <v>0.11359999999999999</v>
      </c>
      <c r="ES248" s="456"/>
      <c r="EU248" s="144">
        <f t="shared" si="727"/>
        <v>513.6</v>
      </c>
      <c r="EV248" s="456">
        <f t="shared" si="728"/>
        <v>2.4623529411764704E-2</v>
      </c>
      <c r="EW248" s="456">
        <f t="shared" si="729"/>
        <v>1.8690062481271277E-2</v>
      </c>
      <c r="EX248" s="456">
        <f t="shared" si="730"/>
        <v>2.537026018484548E-3</v>
      </c>
      <c r="EY248" s="456">
        <f t="shared" si="731"/>
        <v>23.730062169795527</v>
      </c>
      <c r="EZ248" s="456"/>
      <c r="FA248" s="538">
        <f t="shared" si="732"/>
        <v>3.939764705882353E-2</v>
      </c>
      <c r="FB248" s="144">
        <f t="shared" si="733"/>
        <v>23815.31043476587</v>
      </c>
      <c r="FC248" s="150">
        <f t="shared" si="734"/>
        <v>26.746706314442037</v>
      </c>
      <c r="FD248" s="5">
        <f t="shared" si="735"/>
        <v>29.119999999999997</v>
      </c>
      <c r="FE248" s="150">
        <f t="shared" si="736"/>
        <v>0.52124068020226599</v>
      </c>
      <c r="FF248" s="5">
        <f t="shared" si="737"/>
        <v>52.124068020226602</v>
      </c>
      <c r="FG248">
        <f t="shared" si="738"/>
        <v>32</v>
      </c>
      <c r="FI248" s="59">
        <f t="shared" si="689"/>
        <v>-50</v>
      </c>
    </row>
    <row r="249" spans="5:165">
      <c r="E249" s="147">
        <v>33</v>
      </c>
      <c r="F249" s="188">
        <f t="shared" ref="F249:F280" si="773">IF(PLOT_TYPE=1, E249/100*Iout_max, min_I*EXP(O249*rr/100))</f>
        <v>0.16500000000000001</v>
      </c>
      <c r="G249" s="188">
        <f t="shared" si="742"/>
        <v>0.16500000000000001</v>
      </c>
      <c r="H249" s="188">
        <f t="shared" si="743"/>
        <v>28.05</v>
      </c>
      <c r="I249" s="188">
        <f t="shared" si="744"/>
        <v>1.98</v>
      </c>
      <c r="J249" s="465">
        <f t="shared" si="745"/>
        <v>15.960331210464938</v>
      </c>
      <c r="K249" s="379">
        <f t="shared" si="746"/>
        <v>8.648147980288682</v>
      </c>
      <c r="L249" s="149">
        <f t="shared" si="747"/>
        <v>24.60847919075362</v>
      </c>
      <c r="M249" s="379"/>
      <c r="N249" s="188">
        <f t="shared" si="748"/>
        <v>0.35142959925528977</v>
      </c>
      <c r="O249" s="149">
        <f t="shared" si="749"/>
        <v>174.63710187121168</v>
      </c>
      <c r="P249" s="149">
        <f t="shared" si="750"/>
        <v>12.327324837967884</v>
      </c>
      <c r="Q249" s="188">
        <f t="shared" si="626"/>
        <v>1.027277069830657</v>
      </c>
      <c r="R249" s="188">
        <f t="shared" si="751"/>
        <v>14.553091822600974</v>
      </c>
      <c r="S249" s="188">
        <f t="shared" si="752"/>
        <v>170</v>
      </c>
      <c r="T249" s="188">
        <f t="shared" si="753"/>
        <v>10.70791933651679</v>
      </c>
      <c r="U249" s="188">
        <f t="shared" si="630"/>
        <v>1.0063625117155253</v>
      </c>
      <c r="V249" s="188">
        <f t="shared" si="631"/>
        <v>1.8572622764300832</v>
      </c>
      <c r="W249" s="172">
        <f t="shared" si="632"/>
        <v>280.44664006376934</v>
      </c>
      <c r="X249" s="379">
        <f t="shared" si="691"/>
        <v>326.41072884297074</v>
      </c>
      <c r="Z249" s="188">
        <f t="shared" si="633"/>
        <v>13.333333333333332</v>
      </c>
      <c r="AA249" s="150">
        <f t="shared" si="634"/>
        <v>2.3126338778643771</v>
      </c>
      <c r="AB249" s="150">
        <f t="shared" si="754"/>
        <v>0.20193583905970827</v>
      </c>
      <c r="AC249" s="150"/>
      <c r="AD249" s="150">
        <f t="shared" si="636"/>
        <v>2.3126338778643776</v>
      </c>
      <c r="AE249" s="314">
        <f t="shared" si="755"/>
        <v>229.15048574829626</v>
      </c>
      <c r="AF249" s="456">
        <f t="shared" si="756"/>
        <v>0.20193583905970836</v>
      </c>
      <c r="AH249" s="150">
        <f t="shared" si="757"/>
        <v>10.69579356569675</v>
      </c>
      <c r="AI249" s="150">
        <f t="shared" si="758"/>
        <v>13.333333333333334</v>
      </c>
      <c r="AJ249" s="150">
        <f t="shared" si="759"/>
        <v>1.1309431347133121</v>
      </c>
      <c r="AL249" s="314">
        <f t="shared" si="760"/>
        <v>165</v>
      </c>
      <c r="AM249" s="144">
        <f t="shared" si="761"/>
        <v>229.15048574829626</v>
      </c>
      <c r="AO249">
        <f t="shared" si="644"/>
        <v>165</v>
      </c>
      <c r="AP249">
        <f t="shared" si="645"/>
        <v>229.15048574829626</v>
      </c>
      <c r="AR249" s="5">
        <f t="shared" si="616"/>
        <v>4.3639444914745731</v>
      </c>
      <c r="AS249" s="5">
        <f t="shared" si="739"/>
        <v>1.2531068269364183</v>
      </c>
      <c r="AT249" s="5">
        <f t="shared" si="740"/>
        <v>3.1108376645381548</v>
      </c>
      <c r="AU249" s="150">
        <f t="shared" si="741"/>
        <v>0.28715003808698641</v>
      </c>
      <c r="BA249" s="150">
        <f t="shared" si="692"/>
        <v>4.1250816420166645</v>
      </c>
      <c r="BB249" s="150">
        <f t="shared" si="693"/>
        <v>0.30354613842272959</v>
      </c>
      <c r="BC249" s="150">
        <f t="shared" si="694"/>
        <v>0.2887594239591223</v>
      </c>
      <c r="BD249" s="150"/>
      <c r="BE249" s="456">
        <f t="shared" si="695"/>
        <v>5.7855415081229856E-2</v>
      </c>
      <c r="BF249" s="456">
        <f t="shared" si="762"/>
        <v>1.800735023921445</v>
      </c>
      <c r="BG249" s="456">
        <f t="shared" si="763"/>
        <v>0.1675051483508434</v>
      </c>
      <c r="BH249" s="456">
        <f t="shared" si="696"/>
        <v>9.5056299580894538E-2</v>
      </c>
      <c r="BI249">
        <f t="shared" si="697"/>
        <v>7.1821490447092221E-3</v>
      </c>
      <c r="BJ249" s="144">
        <f t="shared" si="698"/>
        <v>174.68729739555263</v>
      </c>
      <c r="BK249">
        <f t="shared" si="764"/>
        <v>1.9967154429134302</v>
      </c>
      <c r="BL249" s="144">
        <f t="shared" si="699"/>
        <v>2128.3340359791223</v>
      </c>
      <c r="BM249" s="150">
        <f t="shared" si="765"/>
        <v>0.36609375</v>
      </c>
      <c r="BN249" s="150">
        <f t="shared" si="766"/>
        <v>0.11715</v>
      </c>
      <c r="BQ249" s="144">
        <f t="shared" si="700"/>
        <v>483.24374999999998</v>
      </c>
      <c r="BR249" s="456">
        <f t="shared" si="701"/>
        <v>2.552444782995435E-2</v>
      </c>
      <c r="BS249" s="456">
        <f t="shared" si="702"/>
        <v>1.8428051630270184E-2</v>
      </c>
      <c r="BT249" s="456">
        <f t="shared" si="703"/>
        <v>2.5014601477561238E-3</v>
      </c>
      <c r="BU249" s="456">
        <f t="shared" si="704"/>
        <v>25.799946258879999</v>
      </c>
      <c r="BV249" s="456"/>
      <c r="BW249" s="538">
        <f t="shared" si="705"/>
        <v>4.073786413303046E-2</v>
      </c>
      <c r="BX249" s="144">
        <f t="shared" si="706"/>
        <v>25887.138082621012</v>
      </c>
      <c r="BY249" s="150">
        <f t="shared" si="707"/>
        <v>28.498715868600133</v>
      </c>
      <c r="BZ249" s="5">
        <f t="shared" si="708"/>
        <v>30.03</v>
      </c>
      <c r="CA249" s="150">
        <f t="shared" si="709"/>
        <v>0.51308147726013398</v>
      </c>
      <c r="CB249" s="5">
        <f t="shared" si="710"/>
        <v>51.308147726013395</v>
      </c>
      <c r="CC249">
        <f t="shared" si="711"/>
        <v>33</v>
      </c>
      <c r="CE249" s="59">
        <f t="shared" si="767"/>
        <v>-50</v>
      </c>
      <c r="CG249" s="150">
        <f t="shared" si="768"/>
        <v>0.51592493871448308</v>
      </c>
      <c r="CH249" s="150">
        <f t="shared" si="769"/>
        <v>0.14409245114059002</v>
      </c>
      <c r="CI249" s="147">
        <v>33</v>
      </c>
      <c r="CJ249" s="188">
        <f t="shared" si="712"/>
        <v>0.16500000000000001</v>
      </c>
      <c r="CK249" s="188">
        <f t="shared" si="654"/>
        <v>0.16500000000000001</v>
      </c>
      <c r="CL249" s="188">
        <f t="shared" si="655"/>
        <v>28.05</v>
      </c>
      <c r="CM249" s="188">
        <f t="shared" si="656"/>
        <v>1.98</v>
      </c>
      <c r="CN249" s="465">
        <f t="shared" si="657"/>
        <v>16</v>
      </c>
      <c r="CO249" s="379">
        <f t="shared" si="770"/>
        <v>8.625</v>
      </c>
      <c r="CP249" s="379">
        <f t="shared" si="771"/>
        <v>24.625</v>
      </c>
      <c r="CQ249" s="379"/>
      <c r="CR249" s="188">
        <f t="shared" si="660"/>
        <v>0.34787038923986141</v>
      </c>
      <c r="CS249" s="149">
        <f t="shared" si="661"/>
        <v>173.29806936491266</v>
      </c>
      <c r="CT249" s="149">
        <f t="shared" si="662"/>
        <v>12.232804896346776</v>
      </c>
      <c r="CU249" s="188">
        <f t="shared" si="663"/>
        <v>1.0194004080288981</v>
      </c>
      <c r="CV249" s="188">
        <f t="shared" si="664"/>
        <v>14.441505780409388</v>
      </c>
      <c r="CW249" s="188">
        <f t="shared" si="665"/>
        <v>170</v>
      </c>
      <c r="CX249" s="188">
        <f t="shared" si="666"/>
        <v>10.790656854130054</v>
      </c>
      <c r="CY249" s="188">
        <f t="shared" si="667"/>
        <v>1.0116240800746925</v>
      </c>
      <c r="CZ249" s="188">
        <f t="shared" si="668"/>
        <v>1.8766359746313135</v>
      </c>
      <c r="DA249" s="172">
        <f t="shared" si="669"/>
        <v>280.20304568527916</v>
      </c>
      <c r="DB249" s="379">
        <f t="shared" si="670"/>
        <v>346.22921103334977</v>
      </c>
      <c r="DD249" s="188">
        <f t="shared" si="671"/>
        <v>13.333333333333332</v>
      </c>
      <c r="DE249" s="150">
        <f t="shared" si="672"/>
        <v>2.318840579710145</v>
      </c>
      <c r="DF249" s="150">
        <f t="shared" si="673"/>
        <v>0.20230192819025303</v>
      </c>
      <c r="DG249" s="150"/>
      <c r="DH249" s="150">
        <f t="shared" si="674"/>
        <v>2.3188405797101455</v>
      </c>
      <c r="DI249" s="314">
        <f t="shared" si="675"/>
        <v>228.53713235294114</v>
      </c>
      <c r="DJ249" s="456">
        <f t="shared" si="676"/>
        <v>0.20230192819025311</v>
      </c>
      <c r="DL249" s="150">
        <f t="shared" si="677"/>
        <v>10.69579356569675</v>
      </c>
      <c r="DM249" s="150">
        <f t="shared" si="678"/>
        <v>13.333333333333334</v>
      </c>
      <c r="DN249" s="150">
        <f t="shared" si="679"/>
        <v>1.1305926470588235</v>
      </c>
      <c r="DP249" s="314">
        <f t="shared" si="680"/>
        <v>165</v>
      </c>
      <c r="DQ249" s="144">
        <f t="shared" si="681"/>
        <v>228.53713235294114</v>
      </c>
      <c r="DS249">
        <f t="shared" si="682"/>
        <v>165</v>
      </c>
      <c r="DT249">
        <f t="shared" si="683"/>
        <v>228.53713235294114</v>
      </c>
      <c r="DV249" s="5">
        <f t="shared" si="684"/>
        <v>4.3756565495695936</v>
      </c>
      <c r="DW249" s="5">
        <f t="shared" si="685"/>
        <v>1.25</v>
      </c>
      <c r="DX249" s="5">
        <f t="shared" si="686"/>
        <v>3.1256565495695936</v>
      </c>
      <c r="DY249" s="150">
        <f t="shared" si="687"/>
        <v>0.28567141544117641</v>
      </c>
      <c r="EA249" s="5">
        <f t="shared" si="713"/>
        <v>0.12132352941176472</v>
      </c>
      <c r="EB249" s="5">
        <f t="shared" si="714"/>
        <v>1.7187500000000002</v>
      </c>
      <c r="EC249" s="5">
        <f t="shared" si="715"/>
        <v>9.1327777307736557</v>
      </c>
      <c r="ED249" s="5"/>
      <c r="EE249" s="150">
        <f t="shared" si="716"/>
        <v>4.1144472861598596</v>
      </c>
      <c r="EF249" s="150">
        <f t="shared" si="717"/>
        <v>0.30386078927063498</v>
      </c>
      <c r="EG249" s="150">
        <f t="shared" si="718"/>
        <v>0.28905874714623819</v>
      </c>
      <c r="EH249" s="150"/>
      <c r="EI249" s="456">
        <f t="shared" si="719"/>
        <v>5.7557499999999991E-2</v>
      </c>
      <c r="EJ249" s="456">
        <f t="shared" si="720"/>
        <v>2.2811052970588235</v>
      </c>
      <c r="EK249" s="456">
        <f t="shared" si="721"/>
        <v>5.2335003308823527E-2</v>
      </c>
      <c r="EL249" s="456">
        <f t="shared" si="722"/>
        <v>9.4929200548397277E-2</v>
      </c>
      <c r="EM249">
        <f t="shared" si="723"/>
        <v>7.1999999999999998E-3</v>
      </c>
      <c r="EN249" s="144">
        <f t="shared" si="724"/>
        <v>59.535003308823526</v>
      </c>
      <c r="EP249" s="144">
        <f t="shared" si="725"/>
        <v>2493.1270009160448</v>
      </c>
      <c r="EQ249" s="150">
        <f t="shared" si="726"/>
        <v>0.41250000000000003</v>
      </c>
      <c r="ER249" s="150">
        <f t="shared" si="772"/>
        <v>0.11715</v>
      </c>
      <c r="ES249" s="456"/>
      <c r="EU249" s="144">
        <f t="shared" si="727"/>
        <v>529.65000000000009</v>
      </c>
      <c r="EV249" s="456">
        <f t="shared" si="728"/>
        <v>2.5393014705882351E-2</v>
      </c>
      <c r="EW249" s="456">
        <f t="shared" si="729"/>
        <v>1.8466275851234649E-2</v>
      </c>
      <c r="EX249" s="456">
        <f t="shared" si="730"/>
        <v>2.5066487790525861E-3</v>
      </c>
      <c r="EY249" s="456">
        <f t="shared" si="731"/>
        <v>25.627649750057333</v>
      </c>
      <c r="EZ249" s="456"/>
      <c r="FA249" s="538">
        <f t="shared" si="732"/>
        <v>4.0628823529411773E-2</v>
      </c>
      <c r="FB249" s="144">
        <f t="shared" si="733"/>
        <v>25714.644512922918</v>
      </c>
      <c r="FC249" s="150">
        <f t="shared" si="734"/>
        <v>28.737421513838964</v>
      </c>
      <c r="FD249" s="5">
        <f t="shared" si="735"/>
        <v>30.03</v>
      </c>
      <c r="FE249" s="150">
        <f t="shared" si="736"/>
        <v>0.51099740683583206</v>
      </c>
      <c r="FF249" s="5">
        <f t="shared" si="737"/>
        <v>51.099740683583207</v>
      </c>
      <c r="FG249">
        <f t="shared" si="738"/>
        <v>33</v>
      </c>
      <c r="FI249" s="59">
        <f t="shared" si="689"/>
        <v>-50</v>
      </c>
    </row>
    <row r="250" spans="5:165">
      <c r="E250" s="147">
        <v>34</v>
      </c>
      <c r="F250" s="188">
        <f t="shared" si="773"/>
        <v>0.17</v>
      </c>
      <c r="G250" s="188">
        <f t="shared" si="742"/>
        <v>0.17</v>
      </c>
      <c r="H250" s="188">
        <f t="shared" si="743"/>
        <v>28.900000000000002</v>
      </c>
      <c r="I250" s="188">
        <f t="shared" si="744"/>
        <v>2.04</v>
      </c>
      <c r="J250" s="465">
        <f t="shared" si="745"/>
        <v>15.960331210464938</v>
      </c>
      <c r="K250" s="379">
        <f t="shared" si="746"/>
        <v>8.648147980288682</v>
      </c>
      <c r="L250" s="149">
        <f t="shared" si="747"/>
        <v>24.60847919075362</v>
      </c>
      <c r="M250" s="379"/>
      <c r="N250" s="188">
        <f t="shared" si="748"/>
        <v>0.35142959925528977</v>
      </c>
      <c r="O250" s="149">
        <f t="shared" si="749"/>
        <v>174.63710187121168</v>
      </c>
      <c r="P250" s="149">
        <f t="shared" si="750"/>
        <v>12.327324837967884</v>
      </c>
      <c r="Q250" s="188">
        <f t="shared" si="626"/>
        <v>1.027277069830657</v>
      </c>
      <c r="R250" s="188">
        <f t="shared" si="751"/>
        <v>14.553091822600974</v>
      </c>
      <c r="S250" s="188">
        <f t="shared" si="752"/>
        <v>170</v>
      </c>
      <c r="T250" s="188">
        <f t="shared" si="753"/>
        <v>11.032401740653663</v>
      </c>
      <c r="U250" s="188">
        <f t="shared" si="630"/>
        <v>1.0368583454038747</v>
      </c>
      <c r="V250" s="188">
        <f t="shared" si="631"/>
        <v>1.9135429514734195</v>
      </c>
      <c r="W250" s="172">
        <f t="shared" si="632"/>
        <v>280.44664006376934</v>
      </c>
      <c r="X250" s="379">
        <f t="shared" si="691"/>
        <v>317.41987949002208</v>
      </c>
      <c r="Z250" s="188">
        <f t="shared" si="633"/>
        <v>13.333333333333332</v>
      </c>
      <c r="AA250" s="150">
        <f t="shared" si="634"/>
        <v>2.3126338778643771</v>
      </c>
      <c r="AB250" s="150">
        <f t="shared" si="754"/>
        <v>0.20193583905970827</v>
      </c>
      <c r="AC250" s="150"/>
      <c r="AD250" s="150">
        <f t="shared" si="636"/>
        <v>2.3126338778643776</v>
      </c>
      <c r="AE250" s="314">
        <f t="shared" si="755"/>
        <v>236.094439861881</v>
      </c>
      <c r="AF250" s="456">
        <f t="shared" si="756"/>
        <v>0.20193583905970836</v>
      </c>
      <c r="AH250" s="150">
        <f t="shared" si="757"/>
        <v>10.85664159243855</v>
      </c>
      <c r="AI250" s="150">
        <f t="shared" si="758"/>
        <v>13.333333333333334</v>
      </c>
      <c r="AJ250" s="150">
        <f t="shared" si="759"/>
        <v>1.1349111084925034</v>
      </c>
      <c r="AL250" s="314">
        <f t="shared" si="760"/>
        <v>170</v>
      </c>
      <c r="AM250" s="144">
        <f t="shared" si="761"/>
        <v>236.094439861881</v>
      </c>
      <c r="AO250">
        <f t="shared" si="644"/>
        <v>170</v>
      </c>
      <c r="AP250">
        <f t="shared" si="645"/>
        <v>236.094439861881</v>
      </c>
      <c r="AR250" s="5">
        <f t="shared" si="616"/>
        <v>4.2355931829017912</v>
      </c>
      <c r="AS250" s="5">
        <f t="shared" si="739"/>
        <v>1.2531068269364183</v>
      </c>
      <c r="AT250" s="5">
        <f t="shared" si="740"/>
        <v>2.9824863559653729</v>
      </c>
      <c r="AU250" s="150">
        <f t="shared" si="741"/>
        <v>0.2958515543926527</v>
      </c>
      <c r="BA250" s="150">
        <f t="shared" si="692"/>
        <v>4.1871164258961144</v>
      </c>
      <c r="BB250" s="150">
        <f t="shared" si="693"/>
        <v>0.30168780792822369</v>
      </c>
      <c r="BC250" s="150">
        <f t="shared" si="694"/>
        <v>0.28699161875524953</v>
      </c>
      <c r="BD250" s="150"/>
      <c r="BE250" s="456">
        <f t="shared" si="695"/>
        <v>5.9608609477630775E-2</v>
      </c>
      <c r="BF250" s="456">
        <f t="shared" si="762"/>
        <v>1.8553027519190648</v>
      </c>
      <c r="BG250" s="456">
        <f t="shared" si="763"/>
        <v>0.1725810619372326</v>
      </c>
      <c r="BH250" s="456">
        <f t="shared" si="696"/>
        <v>9.7936793507588313E-2</v>
      </c>
      <c r="BI250">
        <f t="shared" si="697"/>
        <v>7.1821490447092221E-3</v>
      </c>
      <c r="BJ250" s="144">
        <f t="shared" si="698"/>
        <v>179.76321098194185</v>
      </c>
      <c r="BK250">
        <f t="shared" si="764"/>
        <v>2.058091237205558</v>
      </c>
      <c r="BL250" s="144">
        <f t="shared" si="699"/>
        <v>2192.6113658862255</v>
      </c>
      <c r="BM250" s="150">
        <f t="shared" si="765"/>
        <v>0.37718750000000001</v>
      </c>
      <c r="BN250" s="150">
        <f t="shared" si="766"/>
        <v>0.1207</v>
      </c>
      <c r="BQ250" s="144">
        <f t="shared" si="700"/>
        <v>497.88750000000005</v>
      </c>
      <c r="BR250" s="456">
        <f t="shared" si="701"/>
        <v>2.6297915946013578E-2</v>
      </c>
      <c r="BS250" s="456">
        <f t="shared" si="702"/>
        <v>1.820310669050736E-2</v>
      </c>
      <c r="BT250" s="456">
        <f t="shared" si="703"/>
        <v>2.4709256770727548E-3</v>
      </c>
      <c r="BU250" s="456">
        <f t="shared" si="704"/>
        <v>27.799132545499592</v>
      </c>
      <c r="BV250" s="456"/>
      <c r="BW250" s="538">
        <f t="shared" si="705"/>
        <v>4.1972344864334404E-2</v>
      </c>
      <c r="BX250" s="144">
        <f t="shared" si="706"/>
        <v>27888.07683867752</v>
      </c>
      <c r="BY250" s="150">
        <f t="shared" si="707"/>
        <v>30.578575704563747</v>
      </c>
      <c r="BZ250" s="5">
        <f t="shared" si="708"/>
        <v>30.94</v>
      </c>
      <c r="CA250" s="150">
        <f t="shared" si="709"/>
        <v>0.50293752164526662</v>
      </c>
      <c r="CB250" s="5">
        <f t="shared" si="710"/>
        <v>50.293752164526659</v>
      </c>
      <c r="CC250">
        <f t="shared" si="711"/>
        <v>34</v>
      </c>
      <c r="CE250" s="59">
        <f t="shared" si="767"/>
        <v>-50</v>
      </c>
      <c r="CG250" s="150">
        <f t="shared" si="768"/>
        <v>0.53155902776643715</v>
      </c>
      <c r="CH250" s="150">
        <f t="shared" si="769"/>
        <v>0.14845888905394122</v>
      </c>
      <c r="CI250" s="147">
        <v>34</v>
      </c>
      <c r="CJ250" s="188">
        <f t="shared" si="712"/>
        <v>0.17</v>
      </c>
      <c r="CK250" s="188">
        <f t="shared" si="654"/>
        <v>0.17</v>
      </c>
      <c r="CL250" s="188">
        <f t="shared" si="655"/>
        <v>28.900000000000002</v>
      </c>
      <c r="CM250" s="188">
        <f t="shared" si="656"/>
        <v>2.04</v>
      </c>
      <c r="CN250" s="465">
        <f t="shared" si="657"/>
        <v>16</v>
      </c>
      <c r="CO250" s="379">
        <f t="shared" si="770"/>
        <v>8.625</v>
      </c>
      <c r="CP250" s="379">
        <f t="shared" si="771"/>
        <v>24.625</v>
      </c>
      <c r="CQ250" s="379"/>
      <c r="CR250" s="188">
        <f t="shared" si="660"/>
        <v>0.34787038923986141</v>
      </c>
      <c r="CS250" s="149">
        <f t="shared" si="661"/>
        <v>173.29806936491266</v>
      </c>
      <c r="CT250" s="149">
        <f t="shared" si="662"/>
        <v>12.232804896346776</v>
      </c>
      <c r="CU250" s="188">
        <f t="shared" si="663"/>
        <v>1.0194004080288981</v>
      </c>
      <c r="CV250" s="188">
        <f t="shared" si="664"/>
        <v>14.441505780409388</v>
      </c>
      <c r="CW250" s="188">
        <f t="shared" si="665"/>
        <v>170</v>
      </c>
      <c r="CX250" s="188">
        <f t="shared" si="666"/>
        <v>11.117646455770359</v>
      </c>
      <c r="CY250" s="188">
        <f t="shared" si="667"/>
        <v>1.0422793552284713</v>
      </c>
      <c r="CZ250" s="188">
        <f t="shared" si="668"/>
        <v>1.9335037314383234</v>
      </c>
      <c r="DA250" s="172">
        <f t="shared" si="669"/>
        <v>280.20304568527916</v>
      </c>
      <c r="DB250" s="379">
        <f t="shared" si="670"/>
        <v>336.04599894413349</v>
      </c>
      <c r="DD250" s="188">
        <f t="shared" si="671"/>
        <v>13.333333333333332</v>
      </c>
      <c r="DE250" s="150">
        <f t="shared" si="672"/>
        <v>2.318840579710145</v>
      </c>
      <c r="DF250" s="150">
        <f t="shared" si="673"/>
        <v>0.20230192819025303</v>
      </c>
      <c r="DG250" s="150"/>
      <c r="DH250" s="150">
        <f t="shared" si="674"/>
        <v>2.3188405797101455</v>
      </c>
      <c r="DI250" s="314">
        <f t="shared" si="675"/>
        <v>235.46249999999995</v>
      </c>
      <c r="DJ250" s="456">
        <f t="shared" si="676"/>
        <v>0.20230192819025311</v>
      </c>
      <c r="DL250" s="150">
        <f t="shared" si="677"/>
        <v>10.85664159243855</v>
      </c>
      <c r="DM250" s="150">
        <f t="shared" si="678"/>
        <v>13.333333333333334</v>
      </c>
      <c r="DN250" s="150">
        <f t="shared" si="679"/>
        <v>1.1345499999999999</v>
      </c>
      <c r="DP250" s="314">
        <f t="shared" si="680"/>
        <v>170</v>
      </c>
      <c r="DQ250" s="144">
        <f t="shared" si="681"/>
        <v>235.46249999999995</v>
      </c>
      <c r="DS250">
        <f t="shared" si="682"/>
        <v>170</v>
      </c>
      <c r="DT250">
        <f t="shared" si="683"/>
        <v>235.46249999999995</v>
      </c>
      <c r="DV250" s="5">
        <f t="shared" si="684"/>
        <v>4.2469607686998998</v>
      </c>
      <c r="DW250" s="5">
        <f t="shared" si="685"/>
        <v>1.25</v>
      </c>
      <c r="DX250" s="5">
        <f t="shared" si="686"/>
        <v>2.9969607686998998</v>
      </c>
      <c r="DY250" s="150">
        <f t="shared" si="687"/>
        <v>0.29432812499999994</v>
      </c>
      <c r="EA250" s="5">
        <f t="shared" si="713"/>
        <v>0.125</v>
      </c>
      <c r="EB250" s="5">
        <f t="shared" si="714"/>
        <v>1.7708333333333335</v>
      </c>
      <c r="EC250" s="5">
        <f t="shared" si="715"/>
        <v>9.0221006474403218</v>
      </c>
      <c r="ED250" s="5"/>
      <c r="EE250" s="150">
        <f t="shared" si="716"/>
        <v>4.1763221459397339</v>
      </c>
      <c r="EF250" s="150">
        <f t="shared" si="717"/>
        <v>0.30201398329545953</v>
      </c>
      <c r="EG250" s="150">
        <f t="shared" si="718"/>
        <v>0.28730190506507408</v>
      </c>
      <c r="EH250" s="150"/>
      <c r="EI250" s="456">
        <f t="shared" si="719"/>
        <v>5.9301666666666648E-2</v>
      </c>
      <c r="EJ250" s="456">
        <f t="shared" si="720"/>
        <v>2.3502296999999994</v>
      </c>
      <c r="EK250" s="456">
        <f t="shared" si="721"/>
        <v>5.3920912499999994E-2</v>
      </c>
      <c r="EL250" s="456">
        <f t="shared" si="722"/>
        <v>9.7805842989257791E-2</v>
      </c>
      <c r="EM250">
        <f t="shared" si="723"/>
        <v>7.1999999999999998E-3</v>
      </c>
      <c r="EN250" s="144">
        <f t="shared" si="724"/>
        <v>61.120912499999996</v>
      </c>
      <c r="EP250" s="144">
        <f t="shared" si="725"/>
        <v>2568.4581221559242</v>
      </c>
      <c r="EQ250" s="150">
        <f t="shared" si="726"/>
        <v>0.42500000000000004</v>
      </c>
      <c r="ER250" s="150">
        <f t="shared" si="772"/>
        <v>0.1207</v>
      </c>
      <c r="ES250" s="456"/>
      <c r="EU250" s="144">
        <f t="shared" si="727"/>
        <v>545.70000000000005</v>
      </c>
      <c r="EV250" s="456">
        <f t="shared" si="728"/>
        <v>2.6162499999999995E-2</v>
      </c>
      <c r="EW250" s="456">
        <f t="shared" si="729"/>
        <v>1.8242489221198022E-2</v>
      </c>
      <c r="EX250" s="456">
        <f t="shared" si="730"/>
        <v>2.476271539620625E-3</v>
      </c>
      <c r="EY250" s="456">
        <f t="shared" si="731"/>
        <v>27.613485124461231</v>
      </c>
      <c r="EZ250" s="456"/>
      <c r="FA250" s="538">
        <f t="shared" si="732"/>
        <v>4.1860000000000001E-2</v>
      </c>
      <c r="FB250" s="144">
        <f t="shared" si="733"/>
        <v>27702.226385222049</v>
      </c>
      <c r="FC250" s="150">
        <f t="shared" si="734"/>
        <v>30.816384507377975</v>
      </c>
      <c r="FD250" s="5">
        <f t="shared" si="735"/>
        <v>30.94</v>
      </c>
      <c r="FE250" s="150">
        <f t="shared" si="736"/>
        <v>0.50100083168410925</v>
      </c>
      <c r="FF250" s="5">
        <f t="shared" si="737"/>
        <v>50.100083168410926</v>
      </c>
      <c r="FG250">
        <f t="shared" si="738"/>
        <v>34</v>
      </c>
      <c r="FI250" s="59">
        <f t="shared" si="689"/>
        <v>-50</v>
      </c>
    </row>
    <row r="251" spans="5:165">
      <c r="E251" s="147">
        <v>35</v>
      </c>
      <c r="F251" s="188">
        <f t="shared" si="773"/>
        <v>0.17499999999999999</v>
      </c>
      <c r="G251" s="188">
        <f t="shared" si="742"/>
        <v>0.17499999999999999</v>
      </c>
      <c r="H251" s="188">
        <f t="shared" si="743"/>
        <v>29.749999999999996</v>
      </c>
      <c r="I251" s="188">
        <f t="shared" si="744"/>
        <v>2.0999999999999996</v>
      </c>
      <c r="J251" s="465">
        <f t="shared" si="745"/>
        <v>15.960331210464938</v>
      </c>
      <c r="K251" s="379">
        <f t="shared" si="746"/>
        <v>8.648147980288682</v>
      </c>
      <c r="L251" s="149">
        <f t="shared" si="747"/>
        <v>24.60847919075362</v>
      </c>
      <c r="M251" s="379"/>
      <c r="N251" s="188">
        <f t="shared" si="748"/>
        <v>0.35142959925528977</v>
      </c>
      <c r="O251" s="149">
        <f t="shared" si="749"/>
        <v>174.63710187121168</v>
      </c>
      <c r="P251" s="149">
        <f t="shared" si="750"/>
        <v>12.327324837967884</v>
      </c>
      <c r="Q251" s="188">
        <f t="shared" si="626"/>
        <v>1.027277069830657</v>
      </c>
      <c r="R251" s="188">
        <f t="shared" si="751"/>
        <v>14.553091822600974</v>
      </c>
      <c r="S251" s="188">
        <f t="shared" si="752"/>
        <v>170</v>
      </c>
      <c r="T251" s="188">
        <f t="shared" si="753"/>
        <v>11.356884144790532</v>
      </c>
      <c r="U251" s="188">
        <f t="shared" si="630"/>
        <v>1.0673541790922236</v>
      </c>
      <c r="V251" s="188">
        <f t="shared" si="631"/>
        <v>1.9698236265167546</v>
      </c>
      <c r="W251" s="172">
        <f t="shared" si="632"/>
        <v>280.44664006376934</v>
      </c>
      <c r="X251" s="379">
        <f t="shared" si="691"/>
        <v>308.91105155463646</v>
      </c>
      <c r="Z251" s="188">
        <f t="shared" si="633"/>
        <v>13.333333333333332</v>
      </c>
      <c r="AA251" s="150">
        <f t="shared" si="634"/>
        <v>2.3126338778643771</v>
      </c>
      <c r="AB251" s="150">
        <f t="shared" si="754"/>
        <v>0.20193583905970827</v>
      </c>
      <c r="AC251" s="150"/>
      <c r="AD251" s="150">
        <f t="shared" si="636"/>
        <v>2.3126338778643776</v>
      </c>
      <c r="AE251" s="314">
        <f t="shared" si="755"/>
        <v>243.03839397546571</v>
      </c>
      <c r="AF251" s="456">
        <f t="shared" si="756"/>
        <v>0.20193583905970836</v>
      </c>
      <c r="AH251" s="150">
        <f t="shared" si="757"/>
        <v>11.015141094572202</v>
      </c>
      <c r="AI251" s="150">
        <f t="shared" si="758"/>
        <v>13.333333333333334</v>
      </c>
      <c r="AJ251" s="150">
        <f t="shared" si="759"/>
        <v>1.1388790822716948</v>
      </c>
      <c r="AL251" s="314">
        <f t="shared" si="760"/>
        <v>175</v>
      </c>
      <c r="AM251" s="144">
        <f t="shared" si="761"/>
        <v>243.03839397546571</v>
      </c>
      <c r="AO251">
        <f t="shared" si="644"/>
        <v>175</v>
      </c>
      <c r="AP251">
        <f t="shared" si="645"/>
        <v>243.03839397546571</v>
      </c>
      <c r="AR251" s="5">
        <f t="shared" si="616"/>
        <v>4.114576234818883</v>
      </c>
      <c r="AS251" s="5">
        <f t="shared" si="739"/>
        <v>1.2531068269364183</v>
      </c>
      <c r="AT251" s="5">
        <f t="shared" si="740"/>
        <v>2.8614694078824647</v>
      </c>
      <c r="AU251" s="150">
        <f t="shared" si="741"/>
        <v>0.30455307069831894</v>
      </c>
      <c r="BA251" s="150">
        <f t="shared" si="692"/>
        <v>4.2482454466185446</v>
      </c>
      <c r="BB251" s="150">
        <f t="shared" si="693"/>
        <v>0.29981795935821232</v>
      </c>
      <c r="BC251" s="150">
        <f t="shared" si="694"/>
        <v>0.28521285655859346</v>
      </c>
      <c r="BD251" s="150"/>
      <c r="BE251" s="456">
        <f t="shared" si="695"/>
        <v>6.1361803874031666E-2</v>
      </c>
      <c r="BF251" s="456">
        <f t="shared" si="762"/>
        <v>1.9098704799166839</v>
      </c>
      <c r="BG251" s="456">
        <f t="shared" si="763"/>
        <v>0.17765697552362178</v>
      </c>
      <c r="BH251" s="456">
        <f t="shared" si="696"/>
        <v>0.10081728743428209</v>
      </c>
      <c r="BI251">
        <f t="shared" si="697"/>
        <v>7.1821490447092221E-3</v>
      </c>
      <c r="BJ251" s="144">
        <f t="shared" si="698"/>
        <v>184.83912456833102</v>
      </c>
      <c r="BK251">
        <f t="shared" si="764"/>
        <v>2.1195189213060868</v>
      </c>
      <c r="BL251" s="144">
        <f t="shared" si="699"/>
        <v>2256.8886957933287</v>
      </c>
      <c r="BM251" s="150">
        <f t="shared" si="765"/>
        <v>0.38828124999999997</v>
      </c>
      <c r="BN251" s="150">
        <f t="shared" si="766"/>
        <v>0.12424999999999999</v>
      </c>
      <c r="BQ251" s="144">
        <f t="shared" si="700"/>
        <v>512.53125</v>
      </c>
      <c r="BR251" s="456">
        <f t="shared" si="701"/>
        <v>2.7071384062072799E-2</v>
      </c>
      <c r="BS251" s="456">
        <f t="shared" si="702"/>
        <v>1.7978161750744532E-2</v>
      </c>
      <c r="BT251" s="456">
        <f t="shared" si="703"/>
        <v>2.4403912063893844E-3</v>
      </c>
      <c r="BU251" s="456">
        <f t="shared" si="704"/>
        <v>29.888496053673052</v>
      </c>
      <c r="BV251" s="456"/>
      <c r="BW251" s="538">
        <f t="shared" si="705"/>
        <v>4.3206825595638355E-2</v>
      </c>
      <c r="BX251" s="144">
        <f t="shared" si="706"/>
        <v>29979.192816287898</v>
      </c>
      <c r="BY251" s="150">
        <f t="shared" si="707"/>
        <v>32.74861276208123</v>
      </c>
      <c r="BZ251" s="5">
        <f t="shared" si="708"/>
        <v>31.849999999999994</v>
      </c>
      <c r="CA251" s="150">
        <f t="shared" si="709"/>
        <v>0.49304464350193672</v>
      </c>
      <c r="CB251" s="5">
        <f t="shared" si="710"/>
        <v>49.304464350193669</v>
      </c>
      <c r="CC251">
        <f t="shared" si="711"/>
        <v>35</v>
      </c>
      <c r="CE251" s="59">
        <f t="shared" si="767"/>
        <v>-50</v>
      </c>
      <c r="CG251" s="150">
        <f t="shared" si="768"/>
        <v>0.54719311681839111</v>
      </c>
      <c r="CH251" s="150">
        <f t="shared" si="769"/>
        <v>0.15282532696729242</v>
      </c>
      <c r="CI251" s="147">
        <v>35</v>
      </c>
      <c r="CJ251" s="188">
        <f t="shared" si="712"/>
        <v>0.17499999999999999</v>
      </c>
      <c r="CK251" s="188">
        <f t="shared" si="654"/>
        <v>0.17499999999999999</v>
      </c>
      <c r="CL251" s="188">
        <f t="shared" si="655"/>
        <v>29.749999999999996</v>
      </c>
      <c r="CM251" s="188">
        <f t="shared" si="656"/>
        <v>2.0999999999999996</v>
      </c>
      <c r="CN251" s="465">
        <f t="shared" si="657"/>
        <v>16</v>
      </c>
      <c r="CO251" s="379">
        <f t="shared" si="770"/>
        <v>8.625</v>
      </c>
      <c r="CP251" s="379">
        <f t="shared" si="771"/>
        <v>24.625</v>
      </c>
      <c r="CQ251" s="379"/>
      <c r="CR251" s="188">
        <f t="shared" si="660"/>
        <v>0.34787038923986141</v>
      </c>
      <c r="CS251" s="149">
        <f t="shared" si="661"/>
        <v>173.29806936491266</v>
      </c>
      <c r="CT251" s="149">
        <f t="shared" si="662"/>
        <v>12.232804896346776</v>
      </c>
      <c r="CU251" s="188">
        <f t="shared" si="663"/>
        <v>1.0194004080288981</v>
      </c>
      <c r="CV251" s="188">
        <f t="shared" si="664"/>
        <v>14.441505780409388</v>
      </c>
      <c r="CW251" s="188">
        <f t="shared" si="665"/>
        <v>170</v>
      </c>
      <c r="CX251" s="188">
        <f t="shared" si="666"/>
        <v>11.44463605741066</v>
      </c>
      <c r="CY251" s="188">
        <f t="shared" si="667"/>
        <v>1.0729346303822493</v>
      </c>
      <c r="CZ251" s="188">
        <f t="shared" si="668"/>
        <v>1.9903714882453325</v>
      </c>
      <c r="DA251" s="172">
        <f t="shared" si="669"/>
        <v>280.20304568527916</v>
      </c>
      <c r="DB251" s="379">
        <f t="shared" si="670"/>
        <v>326.4446846885869</v>
      </c>
      <c r="DD251" s="188">
        <f t="shared" si="671"/>
        <v>13.333333333333332</v>
      </c>
      <c r="DE251" s="150">
        <f t="shared" si="672"/>
        <v>2.318840579710145</v>
      </c>
      <c r="DF251" s="150">
        <f t="shared" si="673"/>
        <v>0.20230192819025303</v>
      </c>
      <c r="DG251" s="150"/>
      <c r="DH251" s="150">
        <f t="shared" si="674"/>
        <v>2.3188405797101455</v>
      </c>
      <c r="DI251" s="314">
        <f t="shared" si="675"/>
        <v>242.38786764705873</v>
      </c>
      <c r="DJ251" s="456">
        <f t="shared" si="676"/>
        <v>0.20230192819025311</v>
      </c>
      <c r="DL251" s="150">
        <f t="shared" si="677"/>
        <v>11.015141094572202</v>
      </c>
      <c r="DM251" s="150">
        <f t="shared" si="678"/>
        <v>13.333333333333334</v>
      </c>
      <c r="DN251" s="150">
        <f t="shared" si="679"/>
        <v>1.1385073529411764</v>
      </c>
      <c r="DP251" s="314">
        <f t="shared" si="680"/>
        <v>175</v>
      </c>
      <c r="DQ251" s="144">
        <f t="shared" si="681"/>
        <v>242.38786764705873</v>
      </c>
      <c r="DS251">
        <f t="shared" si="682"/>
        <v>175</v>
      </c>
      <c r="DT251">
        <f t="shared" si="683"/>
        <v>242.38786764705873</v>
      </c>
      <c r="DV251" s="5">
        <f t="shared" si="684"/>
        <v>4.1256190324513318</v>
      </c>
      <c r="DW251" s="5">
        <f t="shared" si="685"/>
        <v>1.25</v>
      </c>
      <c r="DX251" s="5">
        <f t="shared" si="686"/>
        <v>2.8756190324513318</v>
      </c>
      <c r="DY251" s="150">
        <f t="shared" si="687"/>
        <v>0.30298483455882347</v>
      </c>
      <c r="EA251" s="5">
        <f t="shared" si="713"/>
        <v>0.12867647058823531</v>
      </c>
      <c r="EB251" s="5">
        <f t="shared" si="714"/>
        <v>1.8229166666666667</v>
      </c>
      <c r="EC251" s="5">
        <f t="shared" si="715"/>
        <v>8.9114235641069897</v>
      </c>
      <c r="ED251" s="5"/>
      <c r="EE251" s="150">
        <f t="shared" si="716"/>
        <v>4.2372935775970371</v>
      </c>
      <c r="EF251" s="150">
        <f t="shared" si="717"/>
        <v>0.3001558144627669</v>
      </c>
      <c r="EG251" s="150">
        <f t="shared" si="718"/>
        <v>0.2855342536479446</v>
      </c>
      <c r="EH251" s="150"/>
      <c r="EI251" s="456">
        <f t="shared" si="719"/>
        <v>6.1045833333333327E-2</v>
      </c>
      <c r="EJ251" s="456">
        <f t="shared" si="720"/>
        <v>2.4193541029411754</v>
      </c>
      <c r="EK251" s="456">
        <f t="shared" si="721"/>
        <v>5.5506821691176447E-2</v>
      </c>
      <c r="EL251" s="456">
        <f t="shared" si="722"/>
        <v>0.1006824854301183</v>
      </c>
      <c r="EM251">
        <f t="shared" si="723"/>
        <v>7.1999999999999998E-3</v>
      </c>
      <c r="EN251" s="144">
        <f t="shared" si="724"/>
        <v>62.706821691176444</v>
      </c>
      <c r="EP251" s="144">
        <f t="shared" si="725"/>
        <v>2643.7892433958036</v>
      </c>
      <c r="EQ251" s="150">
        <f t="shared" si="726"/>
        <v>0.4375</v>
      </c>
      <c r="ER251" s="150">
        <f t="shared" si="772"/>
        <v>0.12424999999999999</v>
      </c>
      <c r="ES251" s="456"/>
      <c r="EU251" s="144">
        <f t="shared" si="727"/>
        <v>561.75</v>
      </c>
      <c r="EV251" s="456">
        <f t="shared" si="728"/>
        <v>2.6931985294117645E-2</v>
      </c>
      <c r="EW251" s="456">
        <f t="shared" si="729"/>
        <v>1.8018702591161392E-2</v>
      </c>
      <c r="EX251" s="456">
        <f t="shared" si="730"/>
        <v>2.4458943001886631E-3</v>
      </c>
      <c r="EY251" s="456">
        <f t="shared" si="731"/>
        <v>29.688895501317869</v>
      </c>
      <c r="EZ251" s="456"/>
      <c r="FA251" s="538">
        <f t="shared" si="732"/>
        <v>4.309117647058823E-2</v>
      </c>
      <c r="FB251" s="144">
        <f t="shared" si="733"/>
        <v>29779.383259973925</v>
      </c>
      <c r="FC251" s="150">
        <f t="shared" si="734"/>
        <v>32.984922503369731</v>
      </c>
      <c r="FD251" s="5">
        <f t="shared" si="735"/>
        <v>31.849999999999994</v>
      </c>
      <c r="FE251" s="150">
        <f t="shared" si="736"/>
        <v>0.49124759882831087</v>
      </c>
      <c r="FF251" s="5">
        <f t="shared" si="737"/>
        <v>49.124759882831086</v>
      </c>
      <c r="FG251">
        <f t="shared" si="738"/>
        <v>35</v>
      </c>
      <c r="FI251" s="59">
        <f t="shared" si="689"/>
        <v>-50</v>
      </c>
    </row>
    <row r="252" spans="5:165">
      <c r="E252" s="147">
        <v>36</v>
      </c>
      <c r="F252" s="188">
        <f t="shared" si="773"/>
        <v>0.18</v>
      </c>
      <c r="G252" s="188">
        <f t="shared" si="742"/>
        <v>0.18</v>
      </c>
      <c r="H252" s="188">
        <f t="shared" si="743"/>
        <v>30.599999999999998</v>
      </c>
      <c r="I252" s="188">
        <f t="shared" si="744"/>
        <v>2.16</v>
      </c>
      <c r="J252" s="465">
        <f t="shared" si="745"/>
        <v>15.960331210464938</v>
      </c>
      <c r="K252" s="379">
        <f t="shared" si="746"/>
        <v>8.648147980288682</v>
      </c>
      <c r="L252" s="149">
        <f t="shared" si="747"/>
        <v>24.60847919075362</v>
      </c>
      <c r="M252" s="379"/>
      <c r="N252" s="188">
        <f t="shared" si="748"/>
        <v>0.35142959925528977</v>
      </c>
      <c r="O252" s="149">
        <f t="shared" si="749"/>
        <v>174.63710187121168</v>
      </c>
      <c r="P252" s="149">
        <f t="shared" si="750"/>
        <v>12.327324837967884</v>
      </c>
      <c r="Q252" s="188">
        <f t="shared" si="626"/>
        <v>1.027277069830657</v>
      </c>
      <c r="R252" s="188">
        <f t="shared" si="751"/>
        <v>14.553091822600974</v>
      </c>
      <c r="S252" s="188">
        <f t="shared" si="752"/>
        <v>170</v>
      </c>
      <c r="T252" s="188">
        <f t="shared" si="753"/>
        <v>11.681366548927407</v>
      </c>
      <c r="U252" s="188">
        <f t="shared" si="630"/>
        <v>1.097850012780573</v>
      </c>
      <c r="V252" s="188">
        <f t="shared" si="631"/>
        <v>2.0261043015600908</v>
      </c>
      <c r="W252" s="172">
        <f t="shared" si="632"/>
        <v>280.44664006376934</v>
      </c>
      <c r="X252" s="379">
        <f t="shared" si="691"/>
        <v>300.84649349290436</v>
      </c>
      <c r="Z252" s="188">
        <f t="shared" si="633"/>
        <v>13.333333333333332</v>
      </c>
      <c r="AA252" s="150">
        <f t="shared" si="634"/>
        <v>2.3126338778643771</v>
      </c>
      <c r="AB252" s="150">
        <f t="shared" si="754"/>
        <v>0.20193583905970827</v>
      </c>
      <c r="AC252" s="150"/>
      <c r="AD252" s="150">
        <f t="shared" si="636"/>
        <v>2.3126338778643776</v>
      </c>
      <c r="AE252" s="314">
        <f t="shared" si="755"/>
        <v>249.98234808905045</v>
      </c>
      <c r="AF252" s="456">
        <f t="shared" si="756"/>
        <v>0.20193583905970836</v>
      </c>
      <c r="AH252" s="150">
        <f t="shared" si="757"/>
        <v>11.171392035015153</v>
      </c>
      <c r="AI252" s="150">
        <f t="shared" si="758"/>
        <v>13.333333333333334</v>
      </c>
      <c r="AJ252" s="150">
        <f t="shared" si="759"/>
        <v>1.1428470560508859</v>
      </c>
      <c r="AL252" s="314">
        <f t="shared" si="760"/>
        <v>180</v>
      </c>
      <c r="AM252" s="144">
        <f t="shared" si="761"/>
        <v>249.98234808905045</v>
      </c>
      <c r="AO252">
        <f t="shared" si="644"/>
        <v>180</v>
      </c>
      <c r="AP252">
        <f t="shared" si="645"/>
        <v>249.98234808905045</v>
      </c>
      <c r="AR252" s="5">
        <f t="shared" si="616"/>
        <v>4.000282450518359</v>
      </c>
      <c r="AS252" s="5">
        <f t="shared" si="739"/>
        <v>1.2531068269364183</v>
      </c>
      <c r="AT252" s="5">
        <f t="shared" si="740"/>
        <v>2.7471756235819407</v>
      </c>
      <c r="AU252" s="150">
        <f t="shared" si="741"/>
        <v>0.31325458700398517</v>
      </c>
      <c r="BA252" s="150">
        <f t="shared" si="692"/>
        <v>4.3085072572088521</v>
      </c>
      <c r="BB252" s="150">
        <f t="shared" si="693"/>
        <v>0.29793637585046329</v>
      </c>
      <c r="BC252" s="150">
        <f t="shared" si="694"/>
        <v>0.28342293107098299</v>
      </c>
      <c r="BD252" s="150"/>
      <c r="BE252" s="456">
        <f t="shared" si="695"/>
        <v>6.3114998270432571E-2</v>
      </c>
      <c r="BF252" s="456">
        <f t="shared" si="762"/>
        <v>1.9644382079143035</v>
      </c>
      <c r="BG252" s="456">
        <f t="shared" si="763"/>
        <v>0.18273288911001098</v>
      </c>
      <c r="BH252" s="456">
        <f t="shared" si="696"/>
        <v>0.10369778136097586</v>
      </c>
      <c r="BI252">
        <f t="shared" si="697"/>
        <v>7.1821490447092221E-3</v>
      </c>
      <c r="BJ252" s="144">
        <f t="shared" si="698"/>
        <v>189.91503815472021</v>
      </c>
      <c r="BK252">
        <f t="shared" si="764"/>
        <v>2.1809985610477511</v>
      </c>
      <c r="BL252" s="144">
        <f t="shared" si="699"/>
        <v>2321.1660257004323</v>
      </c>
      <c r="BM252" s="150">
        <f t="shared" si="765"/>
        <v>0.39937499999999992</v>
      </c>
      <c r="BN252" s="150">
        <f t="shared" si="766"/>
        <v>0.1278</v>
      </c>
      <c r="BQ252" s="144">
        <f t="shared" si="700"/>
        <v>527.17499999999995</v>
      </c>
      <c r="BR252" s="456">
        <f t="shared" si="701"/>
        <v>2.7844852178132023E-2</v>
      </c>
      <c r="BS252" s="456">
        <f t="shared" si="702"/>
        <v>1.7753216810981704E-2</v>
      </c>
      <c r="BT252" s="456">
        <f t="shared" si="703"/>
        <v>2.4098567357060149E-3</v>
      </c>
      <c r="BU252" s="456">
        <f t="shared" si="704"/>
        <v>32.06935340172636</v>
      </c>
      <c r="BV252" s="456"/>
      <c r="BW252" s="538">
        <f t="shared" si="705"/>
        <v>4.4441306326942313E-2</v>
      </c>
      <c r="BX252" s="144">
        <f t="shared" si="706"/>
        <v>32161.802633778123</v>
      </c>
      <c r="BY252" s="150">
        <f t="shared" si="707"/>
        <v>35.010143659478558</v>
      </c>
      <c r="BZ252" s="5">
        <f t="shared" si="708"/>
        <v>32.76</v>
      </c>
      <c r="CA252" s="150">
        <f t="shared" si="709"/>
        <v>0.48339870968265358</v>
      </c>
      <c r="CB252" s="5">
        <f t="shared" si="710"/>
        <v>48.339870968265359</v>
      </c>
      <c r="CC252">
        <f t="shared" si="711"/>
        <v>36</v>
      </c>
      <c r="CE252" s="59">
        <f t="shared" si="767"/>
        <v>-50</v>
      </c>
      <c r="CG252" s="150">
        <f t="shared" si="768"/>
        <v>0.56282720587034518</v>
      </c>
      <c r="CH252" s="150">
        <f t="shared" si="769"/>
        <v>0.15719176488064365</v>
      </c>
      <c r="CI252" s="147">
        <v>36</v>
      </c>
      <c r="CJ252" s="188">
        <f t="shared" si="712"/>
        <v>0.18</v>
      </c>
      <c r="CK252" s="188">
        <f t="shared" si="654"/>
        <v>0.18</v>
      </c>
      <c r="CL252" s="188">
        <f t="shared" si="655"/>
        <v>30.599999999999998</v>
      </c>
      <c r="CM252" s="188">
        <f t="shared" si="656"/>
        <v>2.16</v>
      </c>
      <c r="CN252" s="465">
        <f t="shared" si="657"/>
        <v>16</v>
      </c>
      <c r="CO252" s="379">
        <f t="shared" si="770"/>
        <v>8.625</v>
      </c>
      <c r="CP252" s="379">
        <f t="shared" si="771"/>
        <v>24.625</v>
      </c>
      <c r="CQ252" s="379"/>
      <c r="CR252" s="188">
        <f t="shared" si="660"/>
        <v>0.34787038923986141</v>
      </c>
      <c r="CS252" s="149">
        <f t="shared" si="661"/>
        <v>173.29806936491266</v>
      </c>
      <c r="CT252" s="149">
        <f t="shared" si="662"/>
        <v>12.232804896346776</v>
      </c>
      <c r="CU252" s="188">
        <f t="shared" si="663"/>
        <v>1.0194004080288981</v>
      </c>
      <c r="CV252" s="188">
        <f t="shared" si="664"/>
        <v>14.441505780409388</v>
      </c>
      <c r="CW252" s="188">
        <f t="shared" si="665"/>
        <v>170</v>
      </c>
      <c r="CX252" s="188">
        <f t="shared" si="666"/>
        <v>11.771625659050967</v>
      </c>
      <c r="CY252" s="188">
        <f t="shared" si="667"/>
        <v>1.1035899055360281</v>
      </c>
      <c r="CZ252" s="188">
        <f t="shared" si="668"/>
        <v>2.0472392450523418</v>
      </c>
      <c r="DA252" s="172">
        <f t="shared" si="669"/>
        <v>280.20304568527916</v>
      </c>
      <c r="DB252" s="379">
        <f t="shared" si="670"/>
        <v>317.37677678057059</v>
      </c>
      <c r="DD252" s="188">
        <f t="shared" si="671"/>
        <v>13.333333333333332</v>
      </c>
      <c r="DE252" s="150">
        <f t="shared" si="672"/>
        <v>2.318840579710145</v>
      </c>
      <c r="DF252" s="150">
        <f t="shared" si="673"/>
        <v>0.20230192819025303</v>
      </c>
      <c r="DG252" s="150"/>
      <c r="DH252" s="150">
        <f t="shared" si="674"/>
        <v>2.3188405797101455</v>
      </c>
      <c r="DI252" s="314">
        <f t="shared" si="675"/>
        <v>249.31323529411756</v>
      </c>
      <c r="DJ252" s="456">
        <f t="shared" si="676"/>
        <v>0.20230192819025311</v>
      </c>
      <c r="DL252" s="150">
        <f t="shared" si="677"/>
        <v>11.171392035015153</v>
      </c>
      <c r="DM252" s="150">
        <f t="shared" si="678"/>
        <v>13.333333333333334</v>
      </c>
      <c r="DN252" s="150">
        <f t="shared" si="679"/>
        <v>1.1424647058823529</v>
      </c>
      <c r="DP252" s="314">
        <f t="shared" si="680"/>
        <v>180</v>
      </c>
      <c r="DQ252" s="144">
        <f t="shared" si="681"/>
        <v>249.31323529411756</v>
      </c>
      <c r="DS252">
        <f t="shared" si="682"/>
        <v>180</v>
      </c>
      <c r="DT252">
        <f t="shared" si="683"/>
        <v>249.31323529411756</v>
      </c>
      <c r="DV252" s="5">
        <f t="shared" si="684"/>
        <v>4.011018503772128</v>
      </c>
      <c r="DW252" s="5">
        <f t="shared" si="685"/>
        <v>1.25</v>
      </c>
      <c r="DX252" s="5">
        <f t="shared" si="686"/>
        <v>2.761018503772128</v>
      </c>
      <c r="DY252" s="150">
        <f t="shared" si="687"/>
        <v>0.311641544117647</v>
      </c>
      <c r="EA252" s="5">
        <f t="shared" si="713"/>
        <v>0.13235294117647059</v>
      </c>
      <c r="EB252" s="5">
        <f t="shared" si="714"/>
        <v>1.8749999999999998</v>
      </c>
      <c r="EC252" s="5">
        <f t="shared" si="715"/>
        <v>8.8007464807736557</v>
      </c>
      <c r="ED252" s="5"/>
      <c r="EE252" s="150">
        <f t="shared" si="716"/>
        <v>4.2974000347679446</v>
      </c>
      <c r="EF252" s="150">
        <f t="shared" si="717"/>
        <v>0.29828607041835492</v>
      </c>
      <c r="EG252" s="150">
        <f t="shared" si="718"/>
        <v>0.28375559088510782</v>
      </c>
      <c r="EH252" s="150"/>
      <c r="EI252" s="456">
        <f t="shared" si="719"/>
        <v>6.2789999999999999E-2</v>
      </c>
      <c r="EJ252" s="456">
        <f t="shared" si="720"/>
        <v>2.4884785058823522</v>
      </c>
      <c r="EK252" s="456">
        <f t="shared" si="721"/>
        <v>5.7092730882352921E-2</v>
      </c>
      <c r="EL252" s="456">
        <f t="shared" si="722"/>
        <v>0.10355912787097882</v>
      </c>
      <c r="EM252">
        <f t="shared" si="723"/>
        <v>7.1999999999999998E-3</v>
      </c>
      <c r="EN252" s="144">
        <f t="shared" si="724"/>
        <v>64.292730882352913</v>
      </c>
      <c r="EP252" s="144">
        <f t="shared" si="725"/>
        <v>2719.1203646356839</v>
      </c>
      <c r="EQ252" s="150">
        <f t="shared" si="726"/>
        <v>0.44999999999999996</v>
      </c>
      <c r="ER252" s="150">
        <f t="shared" si="772"/>
        <v>0.1278</v>
      </c>
      <c r="ES252" s="456"/>
      <c r="EU252" s="144">
        <f t="shared" si="727"/>
        <v>577.79999999999995</v>
      </c>
      <c r="EV252" s="456">
        <f t="shared" si="728"/>
        <v>2.7701470588235296E-2</v>
      </c>
      <c r="EW252" s="456">
        <f t="shared" si="729"/>
        <v>1.7794915961124758E-2</v>
      </c>
      <c r="EX252" s="456">
        <f t="shared" si="730"/>
        <v>2.4155170607567007E-3</v>
      </c>
      <c r="EY252" s="456">
        <f t="shared" si="731"/>
        <v>31.85518870634769</v>
      </c>
      <c r="EZ252" s="456"/>
      <c r="FA252" s="538">
        <f t="shared" si="732"/>
        <v>4.4322352941176466E-2</v>
      </c>
      <c r="FB252" s="144">
        <f t="shared" si="733"/>
        <v>31947.422962898981</v>
      </c>
      <c r="FC252" s="150">
        <f t="shared" si="734"/>
        <v>35.244343327534672</v>
      </c>
      <c r="FD252" s="5">
        <f t="shared" si="735"/>
        <v>32.76</v>
      </c>
      <c r="FE252" s="150">
        <f t="shared" si="736"/>
        <v>0.48173393634896866</v>
      </c>
      <c r="FF252" s="5">
        <f t="shared" si="737"/>
        <v>48.173393634896868</v>
      </c>
      <c r="FG252">
        <f t="shared" si="738"/>
        <v>36</v>
      </c>
      <c r="FI252" s="59">
        <f t="shared" si="689"/>
        <v>-50</v>
      </c>
    </row>
    <row r="253" spans="5:165">
      <c r="E253" s="147">
        <v>37</v>
      </c>
      <c r="F253" s="188">
        <f t="shared" si="773"/>
        <v>0.185</v>
      </c>
      <c r="G253" s="188">
        <f t="shared" si="742"/>
        <v>0.185</v>
      </c>
      <c r="H253" s="188">
        <f t="shared" si="743"/>
        <v>31.45</v>
      </c>
      <c r="I253" s="188">
        <f t="shared" si="744"/>
        <v>2.2199999999999998</v>
      </c>
      <c r="J253" s="465">
        <f t="shared" si="745"/>
        <v>15.960331210464938</v>
      </c>
      <c r="K253" s="379">
        <f t="shared" si="746"/>
        <v>8.648147980288682</v>
      </c>
      <c r="L253" s="149">
        <f t="shared" si="747"/>
        <v>24.60847919075362</v>
      </c>
      <c r="M253" s="379"/>
      <c r="N253" s="188">
        <f t="shared" si="748"/>
        <v>0.35142959925528977</v>
      </c>
      <c r="O253" s="149">
        <f t="shared" si="749"/>
        <v>174.63710187121168</v>
      </c>
      <c r="P253" s="149">
        <f t="shared" si="750"/>
        <v>12.327324837967884</v>
      </c>
      <c r="Q253" s="188">
        <f t="shared" si="626"/>
        <v>1.027277069830657</v>
      </c>
      <c r="R253" s="188">
        <f t="shared" si="751"/>
        <v>14.553091822600974</v>
      </c>
      <c r="S253" s="188">
        <f t="shared" si="752"/>
        <v>170</v>
      </c>
      <c r="T253" s="188">
        <f t="shared" si="753"/>
        <v>12.00584895306428</v>
      </c>
      <c r="U253" s="188">
        <f t="shared" si="630"/>
        <v>1.1283458464689224</v>
      </c>
      <c r="V253" s="188">
        <f t="shared" si="631"/>
        <v>2.0823849766034268</v>
      </c>
      <c r="W253" s="172">
        <f t="shared" si="632"/>
        <v>280.44664006376934</v>
      </c>
      <c r="X253" s="379">
        <f t="shared" si="691"/>
        <v>293.19229569081352</v>
      </c>
      <c r="Z253" s="188">
        <f t="shared" si="633"/>
        <v>13.333333333333332</v>
      </c>
      <c r="AA253" s="150">
        <f t="shared" si="634"/>
        <v>2.3126338778643771</v>
      </c>
      <c r="AB253" s="150">
        <f t="shared" si="754"/>
        <v>0.20193583905970827</v>
      </c>
      <c r="AC253" s="150"/>
      <c r="AD253" s="150">
        <f t="shared" si="636"/>
        <v>2.3126338778643776</v>
      </c>
      <c r="AE253" s="314">
        <f t="shared" si="755"/>
        <v>256.92630220263516</v>
      </c>
      <c r="AF253" s="456">
        <f t="shared" si="756"/>
        <v>0.20193583905970836</v>
      </c>
      <c r="AH253" s="150">
        <f t="shared" si="757"/>
        <v>11.325487480310359</v>
      </c>
      <c r="AI253" s="150">
        <f t="shared" si="758"/>
        <v>13.333333333333334</v>
      </c>
      <c r="AJ253" s="150">
        <f t="shared" si="759"/>
        <v>1.1468150298300772</v>
      </c>
      <c r="AL253" s="314">
        <f t="shared" si="760"/>
        <v>185</v>
      </c>
      <c r="AM253" s="144">
        <f t="shared" si="761"/>
        <v>256.92630220263516</v>
      </c>
      <c r="AO253">
        <f t="shared" si="644"/>
        <v>185</v>
      </c>
      <c r="AP253">
        <f t="shared" si="645"/>
        <v>256.92630220263516</v>
      </c>
      <c r="AR253" s="5">
        <f t="shared" si="616"/>
        <v>3.8921667086124572</v>
      </c>
      <c r="AS253" s="5">
        <f t="shared" si="739"/>
        <v>1.2531068269364183</v>
      </c>
      <c r="AT253" s="5">
        <f t="shared" si="740"/>
        <v>2.6390598816760389</v>
      </c>
      <c r="AU253" s="150">
        <f t="shared" si="741"/>
        <v>0.32195610330965146</v>
      </c>
      <c r="BA253" s="150">
        <f t="shared" si="692"/>
        <v>4.3679377509446606</v>
      </c>
      <c r="BB253" s="150">
        <f t="shared" si="693"/>
        <v>0.29604283365096751</v>
      </c>
      <c r="BC253" s="150">
        <f t="shared" si="694"/>
        <v>0.28162162943819052</v>
      </c>
      <c r="BD253" s="150"/>
      <c r="BE253" s="456">
        <f t="shared" si="695"/>
        <v>6.4868192666833496E-2</v>
      </c>
      <c r="BF253" s="456">
        <f t="shared" si="762"/>
        <v>2.019005935911923</v>
      </c>
      <c r="BG253" s="456">
        <f t="shared" si="763"/>
        <v>0.18780880269640016</v>
      </c>
      <c r="BH253" s="456">
        <f t="shared" si="696"/>
        <v>0.10657827528766962</v>
      </c>
      <c r="BI253">
        <f t="shared" si="697"/>
        <v>7.1821490447092221E-3</v>
      </c>
      <c r="BJ253" s="144">
        <f t="shared" si="698"/>
        <v>194.9909517411094</v>
      </c>
      <c r="BK253">
        <f t="shared" si="764"/>
        <v>2.2425302223746963</v>
      </c>
      <c r="BL253" s="144">
        <f t="shared" si="699"/>
        <v>2385.4433556075355</v>
      </c>
      <c r="BM253" s="150">
        <f t="shared" si="765"/>
        <v>0.41046874999999999</v>
      </c>
      <c r="BN253" s="150">
        <f t="shared" si="766"/>
        <v>0.13134999999999999</v>
      </c>
      <c r="BQ253" s="144">
        <f t="shared" si="700"/>
        <v>541.81875000000002</v>
      </c>
      <c r="BR253" s="456">
        <f t="shared" si="701"/>
        <v>2.861832029419125E-2</v>
      </c>
      <c r="BS253" s="456">
        <f t="shared" si="702"/>
        <v>1.7528271871218883E-2</v>
      </c>
      <c r="BT253" s="456">
        <f t="shared" si="703"/>
        <v>2.379322265022645E-3</v>
      </c>
      <c r="BU253" s="456">
        <f t="shared" si="704"/>
        <v>34.343002525919211</v>
      </c>
      <c r="BV253" s="456"/>
      <c r="BW253" s="538">
        <f t="shared" si="705"/>
        <v>4.5675787058246257E-2</v>
      </c>
      <c r="BX253" s="144">
        <f t="shared" si="706"/>
        <v>34437.204227407892</v>
      </c>
      <c r="BY253" s="150">
        <f t="shared" si="707"/>
        <v>37.364466333015422</v>
      </c>
      <c r="BZ253" s="5">
        <f t="shared" si="708"/>
        <v>33.67</v>
      </c>
      <c r="CA253" s="150">
        <f t="shared" si="709"/>
        <v>0.47399525523500485</v>
      </c>
      <c r="CB253" s="5">
        <f t="shared" si="710"/>
        <v>47.399525523500486</v>
      </c>
      <c r="CC253">
        <f t="shared" si="711"/>
        <v>37</v>
      </c>
      <c r="CE253" s="59">
        <f t="shared" si="767"/>
        <v>-50</v>
      </c>
      <c r="CG253" s="150">
        <f t="shared" si="768"/>
        <v>0.57846129492229925</v>
      </c>
      <c r="CH253" s="150">
        <f t="shared" si="769"/>
        <v>0.16155820279399483</v>
      </c>
      <c r="CI253" s="147">
        <v>37</v>
      </c>
      <c r="CJ253" s="188">
        <f t="shared" si="712"/>
        <v>0.185</v>
      </c>
      <c r="CK253" s="188">
        <f t="shared" si="654"/>
        <v>0.185</v>
      </c>
      <c r="CL253" s="188">
        <f t="shared" si="655"/>
        <v>31.45</v>
      </c>
      <c r="CM253" s="188">
        <f t="shared" si="656"/>
        <v>2.2199999999999998</v>
      </c>
      <c r="CN253" s="465">
        <f t="shared" si="657"/>
        <v>16</v>
      </c>
      <c r="CO253" s="379">
        <f t="shared" si="770"/>
        <v>8.625</v>
      </c>
      <c r="CP253" s="379">
        <f t="shared" si="771"/>
        <v>24.625</v>
      </c>
      <c r="CQ253" s="379"/>
      <c r="CR253" s="188">
        <f t="shared" si="660"/>
        <v>0.34787038923986141</v>
      </c>
      <c r="CS253" s="149">
        <f t="shared" si="661"/>
        <v>173.29806936491266</v>
      </c>
      <c r="CT253" s="149">
        <f t="shared" si="662"/>
        <v>12.232804896346776</v>
      </c>
      <c r="CU253" s="188">
        <f t="shared" si="663"/>
        <v>1.0194004080288981</v>
      </c>
      <c r="CV253" s="188">
        <f t="shared" si="664"/>
        <v>14.441505780409388</v>
      </c>
      <c r="CW253" s="188">
        <f t="shared" si="665"/>
        <v>170</v>
      </c>
      <c r="CX253" s="188">
        <f t="shared" si="666"/>
        <v>12.098615260691272</v>
      </c>
      <c r="CY253" s="188">
        <f t="shared" si="667"/>
        <v>1.1342451806898068</v>
      </c>
      <c r="CZ253" s="188">
        <f t="shared" si="668"/>
        <v>2.1041070018593517</v>
      </c>
      <c r="DA253" s="172">
        <f t="shared" si="669"/>
        <v>280.20304568527916</v>
      </c>
      <c r="DB253" s="379">
        <f t="shared" si="670"/>
        <v>308.79902605677137</v>
      </c>
      <c r="DD253" s="188">
        <f t="shared" si="671"/>
        <v>13.333333333333332</v>
      </c>
      <c r="DE253" s="150">
        <f t="shared" si="672"/>
        <v>2.318840579710145</v>
      </c>
      <c r="DF253" s="150">
        <f t="shared" si="673"/>
        <v>0.20230192819025303</v>
      </c>
      <c r="DG253" s="150"/>
      <c r="DH253" s="150">
        <f t="shared" si="674"/>
        <v>2.3188405797101455</v>
      </c>
      <c r="DI253" s="314">
        <f t="shared" si="675"/>
        <v>256.2386029411764</v>
      </c>
      <c r="DJ253" s="456">
        <f t="shared" si="676"/>
        <v>0.20230192819025311</v>
      </c>
      <c r="DL253" s="150">
        <f t="shared" si="677"/>
        <v>11.325487480310359</v>
      </c>
      <c r="DM253" s="150">
        <f t="shared" si="678"/>
        <v>13.333333333333334</v>
      </c>
      <c r="DN253" s="150">
        <f t="shared" si="679"/>
        <v>1.1464220588235294</v>
      </c>
      <c r="DP253" s="314">
        <f t="shared" si="680"/>
        <v>185</v>
      </c>
      <c r="DQ253" s="144">
        <f t="shared" si="681"/>
        <v>256.2386029411764</v>
      </c>
      <c r="DS253">
        <f t="shared" si="682"/>
        <v>185</v>
      </c>
      <c r="DT253">
        <f t="shared" si="683"/>
        <v>256.2386029411764</v>
      </c>
      <c r="DV253" s="5">
        <f t="shared" si="684"/>
        <v>3.9026125982647732</v>
      </c>
      <c r="DW253" s="5">
        <f t="shared" si="685"/>
        <v>1.25</v>
      </c>
      <c r="DX253" s="5">
        <f t="shared" si="686"/>
        <v>2.6526125982647732</v>
      </c>
      <c r="DY253" s="150">
        <f t="shared" si="687"/>
        <v>0.32029825367647052</v>
      </c>
      <c r="EA253" s="5">
        <f t="shared" si="713"/>
        <v>0.13602941176470587</v>
      </c>
      <c r="EB253" s="5">
        <f t="shared" si="714"/>
        <v>1.9270833333333335</v>
      </c>
      <c r="EC253" s="5">
        <f t="shared" si="715"/>
        <v>8.6900693974403236</v>
      </c>
      <c r="ED253" s="5"/>
      <c r="EE253" s="150">
        <f t="shared" si="716"/>
        <v>4.3566773181981198</v>
      </c>
      <c r="EF253" s="150">
        <f t="shared" si="717"/>
        <v>0.29640453211015627</v>
      </c>
      <c r="EG253" s="150">
        <f t="shared" si="718"/>
        <v>0.28196570839523138</v>
      </c>
      <c r="EH253" s="150"/>
      <c r="EI253" s="456">
        <f t="shared" si="719"/>
        <v>6.4534166666666656E-2</v>
      </c>
      <c r="EJ253" s="456">
        <f t="shared" si="720"/>
        <v>2.5576029088235286</v>
      </c>
      <c r="EK253" s="456">
        <f t="shared" si="721"/>
        <v>5.8678640073529395E-2</v>
      </c>
      <c r="EL253" s="456">
        <f t="shared" si="722"/>
        <v>0.10643577031183935</v>
      </c>
      <c r="EM253">
        <f t="shared" si="723"/>
        <v>7.1999999999999998E-3</v>
      </c>
      <c r="EN253" s="144">
        <f t="shared" si="724"/>
        <v>65.878640073529397</v>
      </c>
      <c r="EP253" s="144">
        <f t="shared" si="725"/>
        <v>2794.4514858755642</v>
      </c>
      <c r="EQ253" s="150">
        <f t="shared" si="726"/>
        <v>0.46250000000000002</v>
      </c>
      <c r="ER253" s="150">
        <f t="shared" si="772"/>
        <v>0.13134999999999999</v>
      </c>
      <c r="ES253" s="456"/>
      <c r="EU253" s="144">
        <f t="shared" si="727"/>
        <v>593.85</v>
      </c>
      <c r="EV253" s="456">
        <f t="shared" si="728"/>
        <v>2.847095588235294E-2</v>
      </c>
      <c r="EW253" s="456">
        <f t="shared" si="729"/>
        <v>1.757112933108813E-2</v>
      </c>
      <c r="EX253" s="456">
        <f t="shared" si="730"/>
        <v>2.3851398213247397E-3</v>
      </c>
      <c r="EY253" s="456">
        <f t="shared" si="731"/>
        <v>34.113654007967661</v>
      </c>
      <c r="EZ253" s="456"/>
      <c r="FA253" s="538">
        <f t="shared" si="732"/>
        <v>4.5553529411764701E-2</v>
      </c>
      <c r="FB253" s="144">
        <f t="shared" si="733"/>
        <v>34207.634762414185</v>
      </c>
      <c r="FC253" s="150">
        <f t="shared" si="734"/>
        <v>37.595936248289753</v>
      </c>
      <c r="FD253" s="5">
        <f t="shared" si="735"/>
        <v>33.67</v>
      </c>
      <c r="FE253" s="150">
        <f t="shared" si="736"/>
        <v>0.47245573092162968</v>
      </c>
      <c r="FF253" s="5">
        <f t="shared" si="737"/>
        <v>47.245573092162971</v>
      </c>
      <c r="FG253">
        <f t="shared" si="738"/>
        <v>37</v>
      </c>
      <c r="FI253" s="59">
        <f t="shared" si="689"/>
        <v>-50</v>
      </c>
    </row>
    <row r="254" spans="5:165">
      <c r="E254" s="147">
        <v>38</v>
      </c>
      <c r="F254" s="188">
        <f t="shared" si="773"/>
        <v>0.19</v>
      </c>
      <c r="G254" s="188">
        <f t="shared" si="742"/>
        <v>0.19</v>
      </c>
      <c r="H254" s="188">
        <f t="shared" si="743"/>
        <v>32.299999999999997</v>
      </c>
      <c r="I254" s="188">
        <f t="shared" si="744"/>
        <v>2.2800000000000002</v>
      </c>
      <c r="J254" s="465">
        <f t="shared" si="745"/>
        <v>15.960331210464938</v>
      </c>
      <c r="K254" s="379">
        <f t="shared" si="746"/>
        <v>8.648147980288682</v>
      </c>
      <c r="L254" s="149">
        <f t="shared" si="747"/>
        <v>24.60847919075362</v>
      </c>
      <c r="M254" s="379"/>
      <c r="N254" s="188">
        <f t="shared" si="748"/>
        <v>0.35142959925528977</v>
      </c>
      <c r="O254" s="149">
        <f t="shared" si="749"/>
        <v>174.63710187121168</v>
      </c>
      <c r="P254" s="149">
        <f t="shared" si="750"/>
        <v>12.327324837967884</v>
      </c>
      <c r="Q254" s="188">
        <f t="shared" si="626"/>
        <v>1.027277069830657</v>
      </c>
      <c r="R254" s="188">
        <f t="shared" si="751"/>
        <v>14.553091822600974</v>
      </c>
      <c r="S254" s="188">
        <f t="shared" si="752"/>
        <v>170</v>
      </c>
      <c r="T254" s="188">
        <f t="shared" si="753"/>
        <v>12.330331357201151</v>
      </c>
      <c r="U254" s="188">
        <f t="shared" si="630"/>
        <v>1.1588416801572716</v>
      </c>
      <c r="V254" s="188">
        <f t="shared" si="631"/>
        <v>2.1386656516467624</v>
      </c>
      <c r="W254" s="172">
        <f t="shared" si="632"/>
        <v>280.44664006376934</v>
      </c>
      <c r="X254" s="379">
        <f t="shared" si="691"/>
        <v>285.9179138544348</v>
      </c>
      <c r="Z254" s="188">
        <f t="shared" si="633"/>
        <v>13.333333333333332</v>
      </c>
      <c r="AA254" s="150">
        <f t="shared" si="634"/>
        <v>2.3126338778643771</v>
      </c>
      <c r="AB254" s="150">
        <f t="shared" si="754"/>
        <v>0.20193583905970827</v>
      </c>
      <c r="AC254" s="150"/>
      <c r="AD254" s="150">
        <f t="shared" si="636"/>
        <v>2.3126338778643776</v>
      </c>
      <c r="AE254" s="314">
        <f t="shared" si="755"/>
        <v>263.87025631621992</v>
      </c>
      <c r="AF254" s="456">
        <f t="shared" si="756"/>
        <v>0.20193583905970836</v>
      </c>
      <c r="AH254" s="150">
        <f t="shared" si="757"/>
        <v>11.477514248883915</v>
      </c>
      <c r="AI254" s="150">
        <f t="shared" si="758"/>
        <v>13.333333333333334</v>
      </c>
      <c r="AJ254" s="150">
        <f t="shared" si="759"/>
        <v>1.1507830036092686</v>
      </c>
      <c r="AL254" s="314">
        <f t="shared" si="760"/>
        <v>190</v>
      </c>
      <c r="AM254" s="144">
        <f t="shared" si="761"/>
        <v>263.87025631621992</v>
      </c>
      <c r="AO254">
        <f t="shared" si="644"/>
        <v>190</v>
      </c>
      <c r="AP254">
        <f t="shared" si="645"/>
        <v>263.87025631621992</v>
      </c>
      <c r="AR254" s="5">
        <f t="shared" si="616"/>
        <v>3.7897412689121288</v>
      </c>
      <c r="AS254" s="5">
        <f t="shared" si="739"/>
        <v>1.2531068269364183</v>
      </c>
      <c r="AT254" s="5">
        <f t="shared" si="740"/>
        <v>2.5366344419757105</v>
      </c>
      <c r="AU254" s="150">
        <f t="shared" si="741"/>
        <v>0.33065761961531775</v>
      </c>
      <c r="BA254" s="150">
        <f t="shared" si="692"/>
        <v>4.4265704113719515</v>
      </c>
      <c r="BB254" s="150">
        <f t="shared" si="693"/>
        <v>0.29413710180336017</v>
      </c>
      <c r="BC254" s="150">
        <f t="shared" si="694"/>
        <v>0.27980873195448319</v>
      </c>
      <c r="BD254" s="150"/>
      <c r="BE254" s="456">
        <f t="shared" si="695"/>
        <v>6.6621387063234408E-2</v>
      </c>
      <c r="BF254" s="456">
        <f t="shared" si="762"/>
        <v>2.0735736639095426</v>
      </c>
      <c r="BG254" s="456">
        <f t="shared" si="763"/>
        <v>0.19288471628278936</v>
      </c>
      <c r="BH254" s="456">
        <f t="shared" si="696"/>
        <v>0.10945876921436341</v>
      </c>
      <c r="BI254">
        <f t="shared" si="697"/>
        <v>7.1821490447092221E-3</v>
      </c>
      <c r="BJ254" s="144">
        <f t="shared" si="698"/>
        <v>200.06686532749859</v>
      </c>
      <c r="BK254">
        <f t="shared" si="764"/>
        <v>2.3041139713427103</v>
      </c>
      <c r="BL254" s="144">
        <f t="shared" si="699"/>
        <v>2449.7206855146392</v>
      </c>
      <c r="BM254" s="150">
        <f t="shared" si="765"/>
        <v>0.42156249999999995</v>
      </c>
      <c r="BN254" s="150">
        <f t="shared" si="766"/>
        <v>0.13490000000000002</v>
      </c>
      <c r="BQ254" s="144">
        <f t="shared" si="700"/>
        <v>556.46249999999998</v>
      </c>
      <c r="BR254" s="456">
        <f t="shared" si="701"/>
        <v>2.9391788410250475E-2</v>
      </c>
      <c r="BS254" s="456">
        <f t="shared" si="702"/>
        <v>1.7303326931456055E-2</v>
      </c>
      <c r="BT254" s="456">
        <f t="shared" si="703"/>
        <v>2.3487877943392747E-3</v>
      </c>
      <c r="BU254" s="456">
        <f t="shared" si="704"/>
        <v>36.710723453935387</v>
      </c>
      <c r="BV254" s="456"/>
      <c r="BW254" s="538">
        <f t="shared" si="705"/>
        <v>4.6910267789550222E-2</v>
      </c>
      <c r="BX254" s="144">
        <f t="shared" si="706"/>
        <v>36806.677624860982</v>
      </c>
      <c r="BY254" s="150">
        <f t="shared" si="707"/>
        <v>39.812860810375618</v>
      </c>
      <c r="BZ254" s="5">
        <f t="shared" si="708"/>
        <v>34.58</v>
      </c>
      <c r="CA254" s="150">
        <f t="shared" si="709"/>
        <v>0.46482954981584873</v>
      </c>
      <c r="CB254" s="5">
        <f t="shared" si="710"/>
        <v>46.482954981584875</v>
      </c>
      <c r="CC254">
        <f t="shared" si="711"/>
        <v>38</v>
      </c>
      <c r="CE254" s="59">
        <f t="shared" si="767"/>
        <v>-50</v>
      </c>
      <c r="CG254" s="150">
        <f t="shared" si="768"/>
        <v>0.59409538397425321</v>
      </c>
      <c r="CH254" s="150">
        <f t="shared" si="769"/>
        <v>0.16592464070734605</v>
      </c>
      <c r="CI254" s="147">
        <v>38</v>
      </c>
      <c r="CJ254" s="188">
        <f t="shared" si="712"/>
        <v>0.19</v>
      </c>
      <c r="CK254" s="188">
        <f t="shared" si="654"/>
        <v>0.19</v>
      </c>
      <c r="CL254" s="188">
        <f t="shared" si="655"/>
        <v>32.299999999999997</v>
      </c>
      <c r="CM254" s="188">
        <f t="shared" si="656"/>
        <v>2.2800000000000002</v>
      </c>
      <c r="CN254" s="465">
        <f t="shared" si="657"/>
        <v>16</v>
      </c>
      <c r="CO254" s="379">
        <f t="shared" si="770"/>
        <v>8.625</v>
      </c>
      <c r="CP254" s="379">
        <f t="shared" si="771"/>
        <v>24.625</v>
      </c>
      <c r="CQ254" s="379"/>
      <c r="CR254" s="188">
        <f t="shared" si="660"/>
        <v>0.34787038923986141</v>
      </c>
      <c r="CS254" s="149">
        <f t="shared" si="661"/>
        <v>173.29806936491266</v>
      </c>
      <c r="CT254" s="149">
        <f t="shared" si="662"/>
        <v>12.232804896346776</v>
      </c>
      <c r="CU254" s="188">
        <f t="shared" si="663"/>
        <v>1.0194004080288981</v>
      </c>
      <c r="CV254" s="188">
        <f t="shared" si="664"/>
        <v>14.441505780409388</v>
      </c>
      <c r="CW254" s="188">
        <f t="shared" si="665"/>
        <v>170</v>
      </c>
      <c r="CX254" s="188">
        <f t="shared" si="666"/>
        <v>12.425604862331575</v>
      </c>
      <c r="CY254" s="188">
        <f t="shared" si="667"/>
        <v>1.1649004558435851</v>
      </c>
      <c r="CZ254" s="188">
        <f t="shared" si="668"/>
        <v>2.1609747586663612</v>
      </c>
      <c r="DA254" s="172">
        <f t="shared" si="669"/>
        <v>280.20304568527916</v>
      </c>
      <c r="DB254" s="379">
        <f t="shared" si="670"/>
        <v>300.67273589738261</v>
      </c>
      <c r="DD254" s="188">
        <f t="shared" si="671"/>
        <v>13.333333333333332</v>
      </c>
      <c r="DE254" s="150">
        <f t="shared" si="672"/>
        <v>2.318840579710145</v>
      </c>
      <c r="DF254" s="150">
        <f t="shared" si="673"/>
        <v>0.20230192819025303</v>
      </c>
      <c r="DG254" s="150"/>
      <c r="DH254" s="150">
        <f t="shared" si="674"/>
        <v>2.3188405797101455</v>
      </c>
      <c r="DI254" s="314">
        <f t="shared" si="675"/>
        <v>263.1639705882352</v>
      </c>
      <c r="DJ254" s="456">
        <f t="shared" si="676"/>
        <v>0.20230192819025311</v>
      </c>
      <c r="DL254" s="150">
        <f t="shared" si="677"/>
        <v>11.477514248883915</v>
      </c>
      <c r="DM254" s="150">
        <f t="shared" si="678"/>
        <v>13.333333333333334</v>
      </c>
      <c r="DN254" s="150">
        <f t="shared" si="679"/>
        <v>1.1503794117647059</v>
      </c>
      <c r="DP254" s="314">
        <f t="shared" si="680"/>
        <v>190</v>
      </c>
      <c r="DQ254" s="144">
        <f t="shared" si="681"/>
        <v>263.1639705882352</v>
      </c>
      <c r="DS254">
        <f t="shared" si="682"/>
        <v>190</v>
      </c>
      <c r="DT254">
        <f t="shared" si="683"/>
        <v>263.1639705882352</v>
      </c>
      <c r="DV254" s="5">
        <f t="shared" si="684"/>
        <v>3.7999122667314902</v>
      </c>
      <c r="DW254" s="5">
        <f t="shared" si="685"/>
        <v>1.25</v>
      </c>
      <c r="DX254" s="5">
        <f t="shared" si="686"/>
        <v>2.5499122667314902</v>
      </c>
      <c r="DY254" s="150">
        <f t="shared" si="687"/>
        <v>0.328954963235294</v>
      </c>
      <c r="EA254" s="5">
        <f t="shared" si="713"/>
        <v>0.13970588235294118</v>
      </c>
      <c r="EB254" s="5">
        <f t="shared" si="714"/>
        <v>1.9791666666666663</v>
      </c>
      <c r="EC254" s="5">
        <f t="shared" si="715"/>
        <v>8.5793923141069914</v>
      </c>
      <c r="ED254" s="5"/>
      <c r="EE254" s="150">
        <f t="shared" si="716"/>
        <v>4.4151588251138127</v>
      </c>
      <c r="EF254" s="150">
        <f t="shared" si="717"/>
        <v>0.29451097348869276</v>
      </c>
      <c r="EG254" s="150">
        <f t="shared" si="718"/>
        <v>0.28016439114043845</v>
      </c>
      <c r="EH254" s="150"/>
      <c r="EI254" s="456">
        <f t="shared" si="719"/>
        <v>6.62783333333333E-2</v>
      </c>
      <c r="EJ254" s="456">
        <f t="shared" si="720"/>
        <v>2.6267273117647054</v>
      </c>
      <c r="EK254" s="456">
        <f t="shared" si="721"/>
        <v>6.0264549264705862E-2</v>
      </c>
      <c r="EL254" s="456">
        <f t="shared" si="722"/>
        <v>0.10931241275269987</v>
      </c>
      <c r="EM254">
        <f t="shared" si="723"/>
        <v>7.1999999999999998E-3</v>
      </c>
      <c r="EN254" s="144">
        <f t="shared" si="724"/>
        <v>67.464549264705866</v>
      </c>
      <c r="EP254" s="144">
        <f t="shared" si="725"/>
        <v>2869.782607115445</v>
      </c>
      <c r="EQ254" s="150">
        <f t="shared" si="726"/>
        <v>0.47499999999999998</v>
      </c>
      <c r="ER254" s="150">
        <f t="shared" si="772"/>
        <v>0.13490000000000002</v>
      </c>
      <c r="ES254" s="456"/>
      <c r="EU254" s="144">
        <f t="shared" si="727"/>
        <v>609.9</v>
      </c>
      <c r="EV254" s="456">
        <f t="shared" si="728"/>
        <v>2.9240441176470577E-2</v>
      </c>
      <c r="EW254" s="456">
        <f t="shared" si="729"/>
        <v>1.73473427010515E-2</v>
      </c>
      <c r="EX254" s="456">
        <f t="shared" si="730"/>
        <v>2.3547625818927777E-3</v>
      </c>
      <c r="EY254" s="456">
        <f t="shared" si="731"/>
        <v>36.465562885614744</v>
      </c>
      <c r="EZ254" s="456"/>
      <c r="FA254" s="538">
        <f t="shared" si="732"/>
        <v>4.6784705882352937E-2</v>
      </c>
      <c r="FB254" s="144">
        <f t="shared" si="733"/>
        <v>36561.290137956508</v>
      </c>
      <c r="FC254" s="150">
        <f t="shared" si="734"/>
        <v>40.040972745071954</v>
      </c>
      <c r="FD254" s="5">
        <f t="shared" si="735"/>
        <v>34.58</v>
      </c>
      <c r="FE254" s="150">
        <f t="shared" si="736"/>
        <v>0.4634085931596717</v>
      </c>
      <c r="FF254" s="5">
        <f t="shared" si="737"/>
        <v>46.340859315967172</v>
      </c>
      <c r="FG254">
        <f t="shared" si="738"/>
        <v>38</v>
      </c>
      <c r="FI254" s="59">
        <f t="shared" si="689"/>
        <v>-50</v>
      </c>
    </row>
    <row r="255" spans="5:165">
      <c r="E255" s="147">
        <v>39</v>
      </c>
      <c r="F255" s="188">
        <f t="shared" si="773"/>
        <v>0.19500000000000001</v>
      </c>
      <c r="G255" s="188">
        <f t="shared" si="742"/>
        <v>0.19500000000000001</v>
      </c>
      <c r="H255" s="188">
        <f t="shared" si="743"/>
        <v>33.15</v>
      </c>
      <c r="I255" s="188">
        <f t="shared" si="744"/>
        <v>2.34</v>
      </c>
      <c r="J255" s="465">
        <f t="shared" si="745"/>
        <v>15.960331210464938</v>
      </c>
      <c r="K255" s="379">
        <f t="shared" si="746"/>
        <v>8.648147980288682</v>
      </c>
      <c r="L255" s="149">
        <f t="shared" si="747"/>
        <v>24.60847919075362</v>
      </c>
      <c r="M255" s="379"/>
      <c r="N255" s="188">
        <f t="shared" si="748"/>
        <v>0.35142959925528977</v>
      </c>
      <c r="O255" s="149">
        <f t="shared" si="749"/>
        <v>174.63710187121168</v>
      </c>
      <c r="P255" s="149">
        <f t="shared" si="750"/>
        <v>12.327324837967884</v>
      </c>
      <c r="Q255" s="188">
        <f t="shared" si="626"/>
        <v>1.027277069830657</v>
      </c>
      <c r="R255" s="188">
        <f t="shared" si="751"/>
        <v>14.553091822600974</v>
      </c>
      <c r="S255" s="188">
        <f t="shared" si="752"/>
        <v>170</v>
      </c>
      <c r="T255" s="188">
        <f t="shared" si="753"/>
        <v>12.654813761338023</v>
      </c>
      <c r="U255" s="188">
        <f t="shared" si="630"/>
        <v>1.1893375138456206</v>
      </c>
      <c r="V255" s="188">
        <f t="shared" si="631"/>
        <v>2.1949463266900979</v>
      </c>
      <c r="W255" s="172">
        <f t="shared" si="632"/>
        <v>280.44664006376934</v>
      </c>
      <c r="X255" s="379">
        <f t="shared" si="691"/>
        <v>278.99576163324633</v>
      </c>
      <c r="Z255" s="188">
        <f t="shared" si="633"/>
        <v>13.333333333333332</v>
      </c>
      <c r="AA255" s="150">
        <f t="shared" si="634"/>
        <v>2.3126338778643771</v>
      </c>
      <c r="AB255" s="150">
        <f t="shared" si="754"/>
        <v>0.20193583905970827</v>
      </c>
      <c r="AC255" s="150"/>
      <c r="AD255" s="150">
        <f t="shared" si="636"/>
        <v>2.3126338778643776</v>
      </c>
      <c r="AE255" s="314">
        <f t="shared" si="755"/>
        <v>270.81421042980469</v>
      </c>
      <c r="AF255" s="456">
        <f t="shared" si="756"/>
        <v>0.20193583905970836</v>
      </c>
      <c r="AH255" s="150">
        <f t="shared" si="757"/>
        <v>11.627553482998906</v>
      </c>
      <c r="AI255" s="150">
        <f t="shared" si="758"/>
        <v>13.333333333333334</v>
      </c>
      <c r="AJ255" s="150">
        <f t="shared" si="759"/>
        <v>1.1547509773884599</v>
      </c>
      <c r="AL255" s="314">
        <f t="shared" si="760"/>
        <v>195</v>
      </c>
      <c r="AM255" s="144">
        <f t="shared" si="761"/>
        <v>270.81421042980469</v>
      </c>
      <c r="AO255">
        <f t="shared" si="644"/>
        <v>195</v>
      </c>
      <c r="AP255">
        <f t="shared" si="645"/>
        <v>270.81421042980469</v>
      </c>
      <c r="AR255" s="5">
        <f t="shared" si="616"/>
        <v>3.6925684158630996</v>
      </c>
      <c r="AS255" s="5">
        <f t="shared" si="739"/>
        <v>1.2531068269364183</v>
      </c>
      <c r="AT255" s="5">
        <f t="shared" si="740"/>
        <v>2.4394615889266813</v>
      </c>
      <c r="AU255" s="150">
        <f t="shared" si="741"/>
        <v>0.33935913592098405</v>
      </c>
      <c r="BA255" s="150">
        <f t="shared" si="692"/>
        <v>4.4844365328923761</v>
      </c>
      <c r="BB255" s="150">
        <f t="shared" si="693"/>
        <v>0.29221894182011227</v>
      </c>
      <c r="BC255" s="150">
        <f t="shared" si="694"/>
        <v>0.27798401174983106</v>
      </c>
      <c r="BD255" s="150"/>
      <c r="BE255" s="456">
        <f t="shared" si="695"/>
        <v>6.8374581459635292E-2</v>
      </c>
      <c r="BF255" s="456">
        <f t="shared" si="762"/>
        <v>2.1281413919071626</v>
      </c>
      <c r="BG255" s="456">
        <f t="shared" si="763"/>
        <v>0.19796062986917859</v>
      </c>
      <c r="BH255" s="456">
        <f t="shared" si="696"/>
        <v>0.11233926314105719</v>
      </c>
      <c r="BI255">
        <f t="shared" si="697"/>
        <v>7.1821490447092221E-3</v>
      </c>
      <c r="BJ255" s="144">
        <f t="shared" si="698"/>
        <v>205.14277891388784</v>
      </c>
      <c r="BK255">
        <f t="shared" si="764"/>
        <v>2.3657498741194671</v>
      </c>
      <c r="BL255" s="144">
        <f t="shared" si="699"/>
        <v>2513.9980154217433</v>
      </c>
      <c r="BM255" s="150">
        <f t="shared" si="765"/>
        <v>0.43265625000000002</v>
      </c>
      <c r="BN255" s="150">
        <f t="shared" si="766"/>
        <v>0.13845000000000002</v>
      </c>
      <c r="BQ255" s="144">
        <f t="shared" si="700"/>
        <v>571.10625000000005</v>
      </c>
      <c r="BR255" s="456">
        <f t="shared" si="701"/>
        <v>3.0165256526309692E-2</v>
      </c>
      <c r="BS255" s="456">
        <f t="shared" si="702"/>
        <v>1.7078381991693231E-2</v>
      </c>
      <c r="BT255" s="456">
        <f t="shared" si="703"/>
        <v>2.318253323655906E-3</v>
      </c>
      <c r="BU255" s="456">
        <f t="shared" si="704"/>
        <v>39.173779026420547</v>
      </c>
      <c r="BV255" s="456"/>
      <c r="BW255" s="538">
        <f t="shared" si="705"/>
        <v>4.814474852085418E-2</v>
      </c>
      <c r="BX255" s="144">
        <f t="shared" si="706"/>
        <v>39271.485666783061</v>
      </c>
      <c r="BY255" s="150">
        <f t="shared" si="707"/>
        <v>42.356589932204805</v>
      </c>
      <c r="BZ255" s="5">
        <f t="shared" si="708"/>
        <v>35.489999999999995</v>
      </c>
      <c r="CA255" s="150">
        <f t="shared" si="709"/>
        <v>0.45589665560055487</v>
      </c>
      <c r="CB255" s="5">
        <f t="shared" si="710"/>
        <v>45.589665560055487</v>
      </c>
      <c r="CC255">
        <f t="shared" si="711"/>
        <v>39</v>
      </c>
      <c r="CE255" s="59">
        <f t="shared" si="767"/>
        <v>-50</v>
      </c>
      <c r="CG255" s="150">
        <f t="shared" si="768"/>
        <v>0.60972947302620728</v>
      </c>
      <c r="CH255" s="150">
        <f t="shared" si="769"/>
        <v>0.17029107862069726</v>
      </c>
      <c r="CI255" s="147">
        <v>39</v>
      </c>
      <c r="CJ255" s="188">
        <f t="shared" si="712"/>
        <v>0.19500000000000001</v>
      </c>
      <c r="CK255" s="188">
        <f t="shared" si="654"/>
        <v>0.19500000000000001</v>
      </c>
      <c r="CL255" s="188">
        <f t="shared" si="655"/>
        <v>33.15</v>
      </c>
      <c r="CM255" s="188">
        <f t="shared" si="656"/>
        <v>2.34</v>
      </c>
      <c r="CN255" s="465">
        <f t="shared" si="657"/>
        <v>16</v>
      </c>
      <c r="CO255" s="379">
        <f t="shared" si="770"/>
        <v>8.625</v>
      </c>
      <c r="CP255" s="379">
        <f t="shared" si="771"/>
        <v>24.625</v>
      </c>
      <c r="CQ255" s="379"/>
      <c r="CR255" s="188">
        <f t="shared" si="660"/>
        <v>0.34787038923986141</v>
      </c>
      <c r="CS255" s="149">
        <f t="shared" si="661"/>
        <v>173.29806936491266</v>
      </c>
      <c r="CT255" s="149">
        <f t="shared" si="662"/>
        <v>12.232804896346776</v>
      </c>
      <c r="CU255" s="188">
        <f t="shared" si="663"/>
        <v>1.0194004080288981</v>
      </c>
      <c r="CV255" s="188">
        <f t="shared" si="664"/>
        <v>14.441505780409388</v>
      </c>
      <c r="CW255" s="188">
        <f t="shared" si="665"/>
        <v>170</v>
      </c>
      <c r="CX255" s="188">
        <f t="shared" si="666"/>
        <v>12.75259446397188</v>
      </c>
      <c r="CY255" s="188">
        <f t="shared" si="667"/>
        <v>1.1955557309973637</v>
      </c>
      <c r="CZ255" s="188">
        <f t="shared" si="668"/>
        <v>2.2178425154733703</v>
      </c>
      <c r="DA255" s="172">
        <f t="shared" si="669"/>
        <v>280.20304568527916</v>
      </c>
      <c r="DB255" s="379">
        <f t="shared" si="670"/>
        <v>292.9631785666806</v>
      </c>
      <c r="DD255" s="188">
        <f t="shared" si="671"/>
        <v>13.333333333333332</v>
      </c>
      <c r="DE255" s="150">
        <f t="shared" si="672"/>
        <v>2.318840579710145</v>
      </c>
      <c r="DF255" s="150">
        <f t="shared" si="673"/>
        <v>0.20230192819025303</v>
      </c>
      <c r="DG255" s="150"/>
      <c r="DH255" s="150">
        <f t="shared" si="674"/>
        <v>2.3188405797101455</v>
      </c>
      <c r="DI255" s="314">
        <f t="shared" si="675"/>
        <v>270.08933823529401</v>
      </c>
      <c r="DJ255" s="456">
        <f t="shared" si="676"/>
        <v>0.20230192819025311</v>
      </c>
      <c r="DL255" s="150">
        <f t="shared" si="677"/>
        <v>11.627553482998906</v>
      </c>
      <c r="DM255" s="150">
        <f t="shared" si="678"/>
        <v>13.333333333333334</v>
      </c>
      <c r="DN255" s="150">
        <f t="shared" si="679"/>
        <v>1.1543367647058824</v>
      </c>
      <c r="DP255" s="314">
        <f t="shared" si="680"/>
        <v>195</v>
      </c>
      <c r="DQ255" s="144">
        <f t="shared" si="681"/>
        <v>270.08933823529401</v>
      </c>
      <c r="DS255">
        <f t="shared" si="682"/>
        <v>195</v>
      </c>
      <c r="DT255">
        <f t="shared" si="683"/>
        <v>270.08933823529401</v>
      </c>
      <c r="DV255" s="5">
        <f t="shared" si="684"/>
        <v>3.7024786188665804</v>
      </c>
      <c r="DW255" s="5">
        <f t="shared" si="685"/>
        <v>1.25</v>
      </c>
      <c r="DX255" s="5">
        <f t="shared" si="686"/>
        <v>2.4524786188665804</v>
      </c>
      <c r="DY255" s="150">
        <f t="shared" si="687"/>
        <v>0.33761167279411752</v>
      </c>
      <c r="EA255" s="5">
        <f t="shared" si="713"/>
        <v>0.14338235294117649</v>
      </c>
      <c r="EB255" s="5">
        <f t="shared" si="714"/>
        <v>2.03125</v>
      </c>
      <c r="EC255" s="5">
        <f t="shared" si="715"/>
        <v>8.4687152307736593</v>
      </c>
      <c r="ED255" s="5"/>
      <c r="EE255" s="150">
        <f t="shared" si="716"/>
        <v>4.4728757692405026</v>
      </c>
      <c r="EF255" s="150">
        <f t="shared" si="717"/>
        <v>0.29260516119008284</v>
      </c>
      <c r="EG255" s="150">
        <f t="shared" si="718"/>
        <v>0.27835141712475708</v>
      </c>
      <c r="EH255" s="150"/>
      <c r="EI255" s="456">
        <f t="shared" si="719"/>
        <v>6.8022499999999972E-2</v>
      </c>
      <c r="EJ255" s="456">
        <f t="shared" si="720"/>
        <v>2.6958517147058814</v>
      </c>
      <c r="EK255" s="456">
        <f t="shared" si="721"/>
        <v>6.1850458455882336E-2</v>
      </c>
      <c r="EL255" s="456">
        <f t="shared" si="722"/>
        <v>0.11218905519356039</v>
      </c>
      <c r="EM255">
        <f t="shared" si="723"/>
        <v>7.1999999999999998E-3</v>
      </c>
      <c r="EN255" s="144">
        <f t="shared" si="724"/>
        <v>69.050458455882335</v>
      </c>
      <c r="EP255" s="144">
        <f t="shared" si="725"/>
        <v>2945.1137283553239</v>
      </c>
      <c r="EQ255" s="150">
        <f t="shared" si="726"/>
        <v>0.48750000000000004</v>
      </c>
      <c r="ER255" s="150">
        <f t="shared" si="772"/>
        <v>0.13845000000000002</v>
      </c>
      <c r="ES255" s="456"/>
      <c r="EU255" s="144">
        <f t="shared" si="727"/>
        <v>625.95000000000005</v>
      </c>
      <c r="EV255" s="456">
        <f t="shared" si="728"/>
        <v>3.0009926470588227E-2</v>
      </c>
      <c r="EW255" s="456">
        <f t="shared" si="729"/>
        <v>1.7123556071014873E-2</v>
      </c>
      <c r="EX255" s="456">
        <f t="shared" si="730"/>
        <v>2.3243853424608153E-3</v>
      </c>
      <c r="EY255" s="456">
        <f t="shared" si="731"/>
        <v>38.912169746466276</v>
      </c>
      <c r="EZ255" s="456"/>
      <c r="FA255" s="538">
        <f t="shared" si="732"/>
        <v>4.8015882352941165E-2</v>
      </c>
      <c r="FB255" s="144">
        <f t="shared" si="733"/>
        <v>39009.643496703284</v>
      </c>
      <c r="FC255" s="150">
        <f t="shared" si="734"/>
        <v>42.580707225058603</v>
      </c>
      <c r="FD255" s="5">
        <f t="shared" si="735"/>
        <v>35.489999999999995</v>
      </c>
      <c r="FE255" s="150">
        <f t="shared" si="736"/>
        <v>0.45458791474363203</v>
      </c>
      <c r="FF255" s="5">
        <f t="shared" si="737"/>
        <v>45.458791474363203</v>
      </c>
      <c r="FG255">
        <f t="shared" si="738"/>
        <v>39</v>
      </c>
      <c r="FI255" s="59">
        <f t="shared" si="689"/>
        <v>-50</v>
      </c>
    </row>
    <row r="256" spans="5:165">
      <c r="E256" s="147">
        <v>40</v>
      </c>
      <c r="F256" s="188">
        <f t="shared" si="773"/>
        <v>0.2</v>
      </c>
      <c r="G256" s="188">
        <f t="shared" si="742"/>
        <v>0.2</v>
      </c>
      <c r="H256" s="188">
        <f t="shared" si="743"/>
        <v>34</v>
      </c>
      <c r="I256" s="188">
        <f t="shared" si="744"/>
        <v>2.4000000000000004</v>
      </c>
      <c r="J256" s="465">
        <f t="shared" si="745"/>
        <v>15.960331210464938</v>
      </c>
      <c r="K256" s="379">
        <f t="shared" si="746"/>
        <v>8.648147980288682</v>
      </c>
      <c r="L256" s="149">
        <f t="shared" si="747"/>
        <v>24.60847919075362</v>
      </c>
      <c r="M256" s="379"/>
      <c r="N256" s="188">
        <f t="shared" si="748"/>
        <v>0.35142959925528977</v>
      </c>
      <c r="O256" s="149">
        <f t="shared" si="749"/>
        <v>174.63710187121168</v>
      </c>
      <c r="P256" s="149">
        <f t="shared" si="750"/>
        <v>12.327324837967884</v>
      </c>
      <c r="Q256" s="188">
        <f t="shared" si="626"/>
        <v>1.027277069830657</v>
      </c>
      <c r="R256" s="188">
        <f t="shared" si="751"/>
        <v>14.553091822600974</v>
      </c>
      <c r="S256" s="188">
        <f t="shared" si="752"/>
        <v>170</v>
      </c>
      <c r="T256" s="188">
        <f t="shared" si="753"/>
        <v>12.979296165474896</v>
      </c>
      <c r="U256" s="188">
        <f t="shared" si="630"/>
        <v>1.21983334753397</v>
      </c>
      <c r="V256" s="188">
        <f t="shared" si="631"/>
        <v>2.2512270017334344</v>
      </c>
      <c r="W256" s="172">
        <f t="shared" si="632"/>
        <v>280.44664006376934</v>
      </c>
      <c r="X256" s="379">
        <f t="shared" si="691"/>
        <v>272.40086102086542</v>
      </c>
      <c r="Z256" s="188">
        <f t="shared" si="633"/>
        <v>13.333333333333332</v>
      </c>
      <c r="AA256" s="150">
        <f t="shared" si="634"/>
        <v>2.3126338778643771</v>
      </c>
      <c r="AB256" s="150">
        <f t="shared" si="754"/>
        <v>0.20193583905970827</v>
      </c>
      <c r="AC256" s="150"/>
      <c r="AD256" s="150">
        <f t="shared" si="636"/>
        <v>2.3126338778643776</v>
      </c>
      <c r="AE256" s="314">
        <f t="shared" si="755"/>
        <v>277.7581645433894</v>
      </c>
      <c r="AF256" s="456">
        <f t="shared" si="756"/>
        <v>0.20193583905970836</v>
      </c>
      <c r="AH256" s="150">
        <f t="shared" si="757"/>
        <v>11.775681155103795</v>
      </c>
      <c r="AI256" s="150">
        <f t="shared" si="758"/>
        <v>13.333333333333334</v>
      </c>
      <c r="AJ256" s="150">
        <f t="shared" si="759"/>
        <v>1.158718951167651</v>
      </c>
      <c r="AL256" s="314">
        <f t="shared" si="760"/>
        <v>200</v>
      </c>
      <c r="AM256" s="144">
        <f t="shared" si="761"/>
        <v>277.7581645433894</v>
      </c>
      <c r="AO256">
        <f t="shared" si="644"/>
        <v>200</v>
      </c>
      <c r="AP256">
        <f t="shared" si="645"/>
        <v>277.7581645433894</v>
      </c>
      <c r="AR256" s="5">
        <f t="shared" si="616"/>
        <v>3.6002542054665225</v>
      </c>
      <c r="AS256" s="5">
        <f t="shared" si="739"/>
        <v>1.2531068269364183</v>
      </c>
      <c r="AT256" s="5">
        <f t="shared" si="740"/>
        <v>2.3471473785301042</v>
      </c>
      <c r="AU256" s="150">
        <f t="shared" si="741"/>
        <v>0.34806065222665022</v>
      </c>
      <c r="BA256" s="150">
        <f t="shared" si="692"/>
        <v>4.5415654160482966</v>
      </c>
      <c r="BB256" s="150">
        <f t="shared" si="693"/>
        <v>0.29028810733416555</v>
      </c>
      <c r="BC256" s="150">
        <f t="shared" si="694"/>
        <v>0.27614723445851225</v>
      </c>
      <c r="BD256" s="150"/>
      <c r="BE256" s="456">
        <f t="shared" si="695"/>
        <v>7.0127775856036176E-2</v>
      </c>
      <c r="BF256" s="456">
        <f t="shared" si="762"/>
        <v>2.1827091199047821</v>
      </c>
      <c r="BG256" s="456">
        <f t="shared" si="763"/>
        <v>0.20303654345556776</v>
      </c>
      <c r="BH256" s="456">
        <f t="shared" si="696"/>
        <v>0.11521975706775096</v>
      </c>
      <c r="BI256">
        <f t="shared" si="697"/>
        <v>7.1821490447092221E-3</v>
      </c>
      <c r="BJ256" s="144">
        <f t="shared" si="698"/>
        <v>210.218692500277</v>
      </c>
      <c r="BK256">
        <f t="shared" si="764"/>
        <v>2.4274379969847559</v>
      </c>
      <c r="BL256" s="144">
        <f t="shared" si="699"/>
        <v>2578.275345328846</v>
      </c>
      <c r="BM256" s="150">
        <f t="shared" si="765"/>
        <v>0.44374999999999998</v>
      </c>
      <c r="BN256" s="150">
        <f t="shared" si="766"/>
        <v>0.14200000000000002</v>
      </c>
      <c r="BQ256" s="144">
        <f t="shared" si="700"/>
        <v>585.75</v>
      </c>
      <c r="BR256" s="456">
        <f t="shared" si="701"/>
        <v>3.0938724642368905E-2</v>
      </c>
      <c r="BS256" s="456">
        <f t="shared" si="702"/>
        <v>1.6853437051930403E-2</v>
      </c>
      <c r="BT256" s="456">
        <f t="shared" si="703"/>
        <v>2.2877188529725361E-3</v>
      </c>
      <c r="BU256" s="456">
        <f t="shared" si="704"/>
        <v>41.733415571326809</v>
      </c>
      <c r="BV256" s="456"/>
      <c r="BW256" s="538">
        <f t="shared" si="705"/>
        <v>4.9379229252158124E-2</v>
      </c>
      <c r="BX256" s="144">
        <f t="shared" si="706"/>
        <v>41832.874681126239</v>
      </c>
      <c r="BY256" s="150">
        <f t="shared" si="707"/>
        <v>44.996900026455087</v>
      </c>
      <c r="BZ256" s="5">
        <f t="shared" si="708"/>
        <v>36.4</v>
      </c>
      <c r="CA256" s="150">
        <f t="shared" si="709"/>
        <v>0.44719147766277967</v>
      </c>
      <c r="CB256" s="5">
        <f t="shared" si="710"/>
        <v>44.71914776627797</v>
      </c>
      <c r="CC256">
        <f t="shared" si="711"/>
        <v>40</v>
      </c>
      <c r="CE256" s="59">
        <f t="shared" si="767"/>
        <v>-50</v>
      </c>
      <c r="CG256" s="150">
        <f t="shared" si="768"/>
        <v>0.62536356207816135</v>
      </c>
      <c r="CH256" s="150">
        <f t="shared" si="769"/>
        <v>0.17465751653404848</v>
      </c>
      <c r="CI256" s="147">
        <v>40</v>
      </c>
      <c r="CJ256" s="188">
        <f t="shared" si="712"/>
        <v>0.2</v>
      </c>
      <c r="CK256" s="188">
        <f t="shared" si="654"/>
        <v>0.2</v>
      </c>
      <c r="CL256" s="188">
        <f t="shared" si="655"/>
        <v>34</v>
      </c>
      <c r="CM256" s="188">
        <f t="shared" si="656"/>
        <v>2.4000000000000004</v>
      </c>
      <c r="CN256" s="465">
        <f t="shared" si="657"/>
        <v>16</v>
      </c>
      <c r="CO256" s="379">
        <f t="shared" si="770"/>
        <v>8.625</v>
      </c>
      <c r="CP256" s="379">
        <f t="shared" si="771"/>
        <v>24.625</v>
      </c>
      <c r="CQ256" s="379"/>
      <c r="CR256" s="188">
        <f t="shared" si="660"/>
        <v>0.34787038923986141</v>
      </c>
      <c r="CS256" s="149">
        <f t="shared" si="661"/>
        <v>173.29806936491266</v>
      </c>
      <c r="CT256" s="149">
        <f t="shared" si="662"/>
        <v>12.232804896346776</v>
      </c>
      <c r="CU256" s="188">
        <f t="shared" si="663"/>
        <v>1.0194004080288981</v>
      </c>
      <c r="CV256" s="188">
        <f t="shared" si="664"/>
        <v>14.441505780409388</v>
      </c>
      <c r="CW256" s="188">
        <f t="shared" si="665"/>
        <v>170</v>
      </c>
      <c r="CX256" s="188">
        <f t="shared" si="666"/>
        <v>13.079584065612185</v>
      </c>
      <c r="CY256" s="188">
        <f t="shared" si="667"/>
        <v>1.2262110061511424</v>
      </c>
      <c r="CZ256" s="188">
        <f t="shared" si="668"/>
        <v>2.2747102722803803</v>
      </c>
      <c r="DA256" s="172">
        <f t="shared" si="669"/>
        <v>280.20304568527916</v>
      </c>
      <c r="DB256" s="379">
        <f t="shared" si="670"/>
        <v>285.63909910251351</v>
      </c>
      <c r="DD256" s="188">
        <f t="shared" si="671"/>
        <v>13.333333333333332</v>
      </c>
      <c r="DE256" s="150">
        <f t="shared" si="672"/>
        <v>2.318840579710145</v>
      </c>
      <c r="DF256" s="150">
        <f t="shared" si="673"/>
        <v>0.20230192819025303</v>
      </c>
      <c r="DG256" s="150"/>
      <c r="DH256" s="150">
        <f t="shared" si="674"/>
        <v>2.3188405797101455</v>
      </c>
      <c r="DI256" s="314">
        <f t="shared" si="675"/>
        <v>277.01470588235281</v>
      </c>
      <c r="DJ256" s="456">
        <f t="shared" si="676"/>
        <v>0.20230192819025311</v>
      </c>
      <c r="DL256" s="150">
        <f t="shared" si="677"/>
        <v>11.775681155103795</v>
      </c>
      <c r="DM256" s="150">
        <f t="shared" si="678"/>
        <v>13.333333333333334</v>
      </c>
      <c r="DN256" s="150">
        <f t="shared" si="679"/>
        <v>1.1582941176470587</v>
      </c>
      <c r="DP256" s="314">
        <f t="shared" si="680"/>
        <v>200</v>
      </c>
      <c r="DQ256" s="144">
        <f t="shared" si="681"/>
        <v>277.01470588235281</v>
      </c>
      <c r="DS256">
        <f t="shared" si="682"/>
        <v>200</v>
      </c>
      <c r="DT256">
        <f t="shared" si="683"/>
        <v>277.01470588235281</v>
      </c>
      <c r="DV256" s="5">
        <f t="shared" si="684"/>
        <v>3.6099166533949156</v>
      </c>
      <c r="DW256" s="5">
        <f t="shared" si="685"/>
        <v>1.25</v>
      </c>
      <c r="DX256" s="5">
        <f t="shared" si="686"/>
        <v>2.3599166533949156</v>
      </c>
      <c r="DY256" s="150">
        <f t="shared" si="687"/>
        <v>0.34626838235294105</v>
      </c>
      <c r="EA256" s="5">
        <f t="shared" si="713"/>
        <v>0.14705882352941174</v>
      </c>
      <c r="EB256" s="5">
        <f t="shared" si="714"/>
        <v>2.0833333333333335</v>
      </c>
      <c r="EC256" s="5">
        <f t="shared" si="715"/>
        <v>8.3580381474403254</v>
      </c>
      <c r="ED256" s="5"/>
      <c r="EE256" s="150">
        <f t="shared" si="716"/>
        <v>4.5298573755844949</v>
      </c>
      <c r="EF256" s="150">
        <f t="shared" si="717"/>
        <v>0.29068685420034251</v>
      </c>
      <c r="EG256" s="150">
        <f t="shared" si="718"/>
        <v>0.2765265570747743</v>
      </c>
      <c r="EH256" s="150"/>
      <c r="EI256" s="456">
        <f t="shared" si="719"/>
        <v>6.9766666666666644E-2</v>
      </c>
      <c r="EJ256" s="456">
        <f t="shared" si="720"/>
        <v>2.7649761176470578</v>
      </c>
      <c r="EK256" s="456">
        <f t="shared" si="721"/>
        <v>6.3436367647058803E-2</v>
      </c>
      <c r="EL256" s="456">
        <f t="shared" si="722"/>
        <v>0.1150656976344209</v>
      </c>
      <c r="EM256">
        <f t="shared" si="723"/>
        <v>7.1999999999999998E-3</v>
      </c>
      <c r="EN256" s="144">
        <f t="shared" si="724"/>
        <v>70.636367647058805</v>
      </c>
      <c r="EP256" s="144">
        <f t="shared" si="725"/>
        <v>3020.4448495952042</v>
      </c>
      <c r="EQ256" s="150">
        <f t="shared" si="726"/>
        <v>0.5</v>
      </c>
      <c r="ER256" s="150">
        <f t="shared" si="772"/>
        <v>0.14200000000000002</v>
      </c>
      <c r="ES256" s="456"/>
      <c r="EU256" s="144">
        <f t="shared" si="727"/>
        <v>642</v>
      </c>
      <c r="EV256" s="456">
        <f t="shared" si="728"/>
        <v>3.0779411764705871E-2</v>
      </c>
      <c r="EW256" s="456">
        <f t="shared" si="729"/>
        <v>1.6899769440978239E-2</v>
      </c>
      <c r="EX256" s="456">
        <f t="shared" si="730"/>
        <v>2.2940081030288521E-3</v>
      </c>
      <c r="EY256" s="456">
        <f t="shared" si="731"/>
        <v>41.454712595280334</v>
      </c>
      <c r="EZ256" s="456"/>
      <c r="FA256" s="538">
        <f t="shared" si="732"/>
        <v>4.9247058823529401E-2</v>
      </c>
      <c r="FB256" s="144">
        <f t="shared" si="733"/>
        <v>41553.932843412585</v>
      </c>
      <c r="FC256" s="150">
        <f t="shared" si="734"/>
        <v>45.216377693007786</v>
      </c>
      <c r="FD256" s="5">
        <f t="shared" si="735"/>
        <v>36.4</v>
      </c>
      <c r="FE256" s="150">
        <f t="shared" si="736"/>
        <v>0.44598891826485026</v>
      </c>
      <c r="FF256" s="5">
        <f t="shared" si="737"/>
        <v>44.59889182648503</v>
      </c>
      <c r="FG256">
        <f t="shared" si="738"/>
        <v>40</v>
      </c>
      <c r="FI256" s="59">
        <f t="shared" si="689"/>
        <v>-50</v>
      </c>
    </row>
    <row r="257" spans="5:165">
      <c r="E257" s="147">
        <v>41</v>
      </c>
      <c r="F257" s="188">
        <f t="shared" si="773"/>
        <v>0.20499999999999999</v>
      </c>
      <c r="G257" s="188">
        <f t="shared" si="742"/>
        <v>0.20499999999999999</v>
      </c>
      <c r="H257" s="188">
        <f t="shared" si="743"/>
        <v>34.85</v>
      </c>
      <c r="I257" s="188">
        <f t="shared" si="744"/>
        <v>2.46</v>
      </c>
      <c r="J257" s="465">
        <f t="shared" si="745"/>
        <v>15.95995803339547</v>
      </c>
      <c r="K257" s="379">
        <f t="shared" si="746"/>
        <v>8.6483657407887993</v>
      </c>
      <c r="L257" s="149">
        <f t="shared" si="747"/>
        <v>24.608323774184271</v>
      </c>
      <c r="M257" s="379"/>
      <c r="N257" s="188">
        <f t="shared" si="748"/>
        <v>0.35144066780613054</v>
      </c>
      <c r="O257" s="149">
        <f t="shared" si="749"/>
        <v>174.63851879128839</v>
      </c>
      <c r="P257" s="149">
        <f t="shared" si="750"/>
        <v>12.327424855855652</v>
      </c>
      <c r="Q257" s="188">
        <f t="shared" si="626"/>
        <v>1.0272854046546376</v>
      </c>
      <c r="R257" s="188">
        <f t="shared" si="751"/>
        <v>14.553209899274032</v>
      </c>
      <c r="S257" s="188">
        <f t="shared" si="752"/>
        <v>170</v>
      </c>
      <c r="T257" s="188">
        <f t="shared" si="753"/>
        <v>13.303670630131512</v>
      </c>
      <c r="U257" s="188">
        <f t="shared" si="630"/>
        <v>1.2503482718088168</v>
      </c>
      <c r="V257" s="188">
        <f t="shared" si="631"/>
        <v>2.3074308537947155</v>
      </c>
      <c r="W257" s="172">
        <f t="shared" si="632"/>
        <v>280.44891547071609</v>
      </c>
      <c r="X257" s="379">
        <f t="shared" si="691"/>
        <v>266.11462956577873</v>
      </c>
      <c r="Z257" s="188">
        <f t="shared" si="633"/>
        <v>13.333333333333334</v>
      </c>
      <c r="AA257" s="150">
        <f t="shared" si="634"/>
        <v>2.3125756471737566</v>
      </c>
      <c r="AB257" s="150">
        <f t="shared" si="754"/>
        <v>0.20193239280761505</v>
      </c>
      <c r="AC257" s="150"/>
      <c r="AD257" s="150">
        <f t="shared" si="636"/>
        <v>2.3125756471737566</v>
      </c>
      <c r="AE257" s="314">
        <f t="shared" si="755"/>
        <v>284.70928746073236</v>
      </c>
      <c r="AF257" s="456">
        <f t="shared" si="756"/>
        <v>0.20193239280761502</v>
      </c>
      <c r="AH257" s="150">
        <f t="shared" si="757"/>
        <v>11.921968517544967</v>
      </c>
      <c r="AI257" s="150">
        <f t="shared" si="758"/>
        <v>13.333333333333334</v>
      </c>
      <c r="AJ257" s="150">
        <f t="shared" si="759"/>
        <v>1.2</v>
      </c>
      <c r="AL257" s="314">
        <f t="shared" si="760"/>
        <v>205</v>
      </c>
      <c r="AM257" s="144">
        <f t="shared" si="761"/>
        <v>266.11462956577873</v>
      </c>
      <c r="AO257">
        <f t="shared" si="644"/>
        <v>205</v>
      </c>
      <c r="AP257">
        <f t="shared" si="645"/>
        <v>266.11462956577873</v>
      </c>
      <c r="AR257" s="5">
        <f t="shared" si="616"/>
        <v>3.7577791256035327</v>
      </c>
      <c r="AS257" s="5">
        <f t="shared" si="739"/>
        <v>1.253136127184729</v>
      </c>
      <c r="AT257" s="5">
        <f t="shared" si="740"/>
        <v>2.5046429984188037</v>
      </c>
      <c r="AU257" s="150">
        <f t="shared" si="741"/>
        <v>0.33347785628125876</v>
      </c>
      <c r="BA257" s="150">
        <f t="shared" si="692"/>
        <v>4.4454078263521692</v>
      </c>
      <c r="BB257" s="150">
        <f t="shared" si="693"/>
        <v>0.29351678258370156</v>
      </c>
      <c r="BC257" s="150">
        <f t="shared" si="694"/>
        <v>0.27921863049092932</v>
      </c>
      <c r="BD257" s="150"/>
      <c r="BE257" s="456">
        <f t="shared" si="695"/>
        <v>6.7189612524816603E-2</v>
      </c>
      <c r="BF257" s="456">
        <f t="shared" si="762"/>
        <v>2.0911974322849725</v>
      </c>
      <c r="BG257" s="456">
        <f t="shared" si="763"/>
        <v>0.19452076705336238</v>
      </c>
      <c r="BH257" s="456">
        <f t="shared" si="696"/>
        <v>0.11038838671267266</v>
      </c>
      <c r="BI257">
        <f t="shared" si="697"/>
        <v>7.1819811150279616E-3</v>
      </c>
      <c r="BJ257" s="144">
        <f t="shared" si="698"/>
        <v>201.70274816839034</v>
      </c>
      <c r="BK257">
        <f t="shared" si="764"/>
        <v>2.3240178330952102</v>
      </c>
      <c r="BL257" s="144">
        <f t="shared" si="699"/>
        <v>2470.4781796908519</v>
      </c>
      <c r="BM257" s="150">
        <f t="shared" si="765"/>
        <v>0.45484374999999994</v>
      </c>
      <c r="BN257" s="150">
        <f t="shared" si="766"/>
        <v>0.14555000000000001</v>
      </c>
      <c r="BQ257" s="144">
        <f t="shared" si="700"/>
        <v>600.39374999999995</v>
      </c>
      <c r="BR257" s="456">
        <f t="shared" si="701"/>
        <v>2.964247611388968E-2</v>
      </c>
      <c r="BS257" s="456">
        <f t="shared" si="702"/>
        <v>1.7230420331657587E-2</v>
      </c>
      <c r="BT257" s="456">
        <f t="shared" si="703"/>
        <v>2.338891308396904E-3</v>
      </c>
      <c r="BU257" s="456">
        <f t="shared" si="704"/>
        <v>37.496326475537302</v>
      </c>
      <c r="BV257" s="456"/>
      <c r="BW257" s="538">
        <f t="shared" si="705"/>
        <v>4.7309267478360673E-2</v>
      </c>
      <c r="BX257" s="144">
        <f t="shared" si="706"/>
        <v>37592.847530769614</v>
      </c>
      <c r="BY257" s="150">
        <f t="shared" si="707"/>
        <v>40.663719460460456</v>
      </c>
      <c r="BZ257" s="5">
        <f t="shared" si="708"/>
        <v>37.31</v>
      </c>
      <c r="CA257" s="150">
        <f t="shared" si="709"/>
        <v>0.47849455250008249</v>
      </c>
      <c r="CB257" s="5">
        <f t="shared" si="710"/>
        <v>47.849455250008248</v>
      </c>
      <c r="CC257">
        <f t="shared" si="711"/>
        <v>41</v>
      </c>
      <c r="CE257" s="59">
        <f t="shared" si="767"/>
        <v>-50</v>
      </c>
      <c r="CG257" s="150">
        <f t="shared" si="768"/>
        <v>0.63502377808469512</v>
      </c>
      <c r="CH257" s="150">
        <f t="shared" si="769"/>
        <v>0.17735551404972849</v>
      </c>
      <c r="CI257" s="147">
        <v>41</v>
      </c>
      <c r="CJ257" s="188">
        <f t="shared" si="712"/>
        <v>0.20499999999999999</v>
      </c>
      <c r="CK257" s="188">
        <f t="shared" si="654"/>
        <v>0.20499999999999999</v>
      </c>
      <c r="CL257" s="188">
        <f t="shared" si="655"/>
        <v>34.85</v>
      </c>
      <c r="CM257" s="188">
        <f t="shared" si="656"/>
        <v>2.46</v>
      </c>
      <c r="CN257" s="465">
        <f t="shared" si="657"/>
        <v>16</v>
      </c>
      <c r="CO257" s="379">
        <f t="shared" si="770"/>
        <v>8.625</v>
      </c>
      <c r="CP257" s="379">
        <f t="shared" si="771"/>
        <v>24.625</v>
      </c>
      <c r="CQ257" s="379"/>
      <c r="CR257" s="188">
        <f t="shared" si="660"/>
        <v>0.34787038923986141</v>
      </c>
      <c r="CS257" s="149">
        <f t="shared" si="661"/>
        <v>173.29806936491266</v>
      </c>
      <c r="CT257" s="149">
        <f t="shared" si="662"/>
        <v>12.232804896346776</v>
      </c>
      <c r="CU257" s="188">
        <f t="shared" si="663"/>
        <v>1.0194004080288981</v>
      </c>
      <c r="CV257" s="188">
        <f t="shared" si="664"/>
        <v>14.441505780409388</v>
      </c>
      <c r="CW257" s="188">
        <f t="shared" si="665"/>
        <v>170</v>
      </c>
      <c r="CX257" s="188">
        <f t="shared" si="666"/>
        <v>13.406573667252491</v>
      </c>
      <c r="CY257" s="188">
        <f t="shared" si="667"/>
        <v>1.256866281304921</v>
      </c>
      <c r="CZ257" s="188">
        <f t="shared" si="668"/>
        <v>2.3315780290873898</v>
      </c>
      <c r="DA257" s="172">
        <f t="shared" si="669"/>
        <v>280.20304568527916</v>
      </c>
      <c r="DB257" s="379">
        <f t="shared" si="670"/>
        <v>278.67229180733023</v>
      </c>
      <c r="DD257" s="188">
        <f t="shared" si="671"/>
        <v>13.333333333333332</v>
      </c>
      <c r="DE257" s="150">
        <f t="shared" si="672"/>
        <v>2.318840579710145</v>
      </c>
      <c r="DF257" s="150">
        <f t="shared" si="673"/>
        <v>0.20230192819025303</v>
      </c>
      <c r="DG257" s="150"/>
      <c r="DH257" s="150">
        <f t="shared" si="674"/>
        <v>2.3188405797101455</v>
      </c>
      <c r="DI257" s="314">
        <f t="shared" si="675"/>
        <v>283.94007352941162</v>
      </c>
      <c r="DJ257" s="456">
        <f t="shared" si="676"/>
        <v>0.20230192819025311</v>
      </c>
      <c r="DL257" s="150">
        <f t="shared" si="677"/>
        <v>11.921968517544967</v>
      </c>
      <c r="DM257" s="150">
        <f t="shared" si="678"/>
        <v>13.406573667252491</v>
      </c>
      <c r="DN257" s="150">
        <f t="shared" si="679"/>
        <v>1.2542520991993757</v>
      </c>
      <c r="DP257" s="314">
        <f t="shared" si="680"/>
        <v>205</v>
      </c>
      <c r="DQ257" s="144">
        <f t="shared" si="681"/>
        <v>278.67229180733023</v>
      </c>
      <c r="DS257">
        <f t="shared" si="682"/>
        <v>205</v>
      </c>
      <c r="DT257">
        <f t="shared" si="683"/>
        <v>278.67229180733023</v>
      </c>
      <c r="DV257" s="5">
        <f t="shared" si="684"/>
        <v>3.5884443103923109</v>
      </c>
      <c r="DW257" s="5">
        <f t="shared" si="685"/>
        <v>1.256866281304921</v>
      </c>
      <c r="DX257" s="5">
        <f t="shared" si="686"/>
        <v>2.3315780290873898</v>
      </c>
      <c r="DY257" s="150">
        <f t="shared" si="687"/>
        <v>0.35025380710659892</v>
      </c>
      <c r="EA257" s="5">
        <f t="shared" si="713"/>
        <v>0.15156328686324047</v>
      </c>
      <c r="EB257" s="5">
        <f t="shared" si="714"/>
        <v>2.1471465638959066</v>
      </c>
      <c r="EC257" s="5">
        <f t="shared" si="715"/>
        <v>8.4641139910099508</v>
      </c>
      <c r="ED257" s="5"/>
      <c r="EE257" s="150">
        <f t="shared" si="716"/>
        <v>4.5808767156781727</v>
      </c>
      <c r="EF257" s="150">
        <f t="shared" si="717"/>
        <v>0.29139130001744817</v>
      </c>
      <c r="EG257" s="150">
        <f t="shared" si="718"/>
        <v>0.27719668705703937</v>
      </c>
      <c r="EH257" s="150"/>
      <c r="EI257" s="456">
        <f t="shared" si="719"/>
        <v>7.1347067046424295E-2</v>
      </c>
      <c r="EJ257" s="456">
        <f t="shared" si="720"/>
        <v>2.7968000000000002</v>
      </c>
      <c r="EK257" s="456">
        <f t="shared" si="721"/>
        <v>6.3815954823878626E-2</v>
      </c>
      <c r="EL257" s="456">
        <f t="shared" si="722"/>
        <v>0.11575422166147212</v>
      </c>
      <c r="EM257">
        <f t="shared" si="723"/>
        <v>7.1999999999999998E-3</v>
      </c>
      <c r="EN257" s="144">
        <f t="shared" si="724"/>
        <v>71.01595482387863</v>
      </c>
      <c r="EP257" s="144">
        <f t="shared" si="725"/>
        <v>3054.9172435317755</v>
      </c>
      <c r="EQ257" s="150">
        <f t="shared" si="726"/>
        <v>0.51249999999999996</v>
      </c>
      <c r="ER257" s="150">
        <f t="shared" si="772"/>
        <v>0.14555000000000001</v>
      </c>
      <c r="ES257" s="456"/>
      <c r="EU257" s="144">
        <f t="shared" si="727"/>
        <v>658.05000000000007</v>
      </c>
      <c r="EV257" s="456">
        <f t="shared" si="728"/>
        <v>3.1476647226363667E-2</v>
      </c>
      <c r="EW257" s="456">
        <f t="shared" si="729"/>
        <v>1.6981777945171698E-2</v>
      </c>
      <c r="EX257" s="456">
        <f t="shared" si="730"/>
        <v>2.3051400994619467E-3</v>
      </c>
      <c r="EY257" s="456">
        <f t="shared" si="731"/>
        <v>42.657851179101598</v>
      </c>
      <c r="EZ257" s="456"/>
      <c r="FA257" s="538">
        <f t="shared" si="732"/>
        <v>5.0087503650242809E-2</v>
      </c>
      <c r="FB257" s="144">
        <f t="shared" si="733"/>
        <v>42758.702248022833</v>
      </c>
      <c r="FC257" s="150">
        <f t="shared" si="734"/>
        <v>46.471669491554607</v>
      </c>
      <c r="FD257" s="5">
        <f t="shared" si="735"/>
        <v>37.31</v>
      </c>
      <c r="FE257" s="150">
        <f t="shared" si="736"/>
        <v>0.44532414102539386</v>
      </c>
      <c r="FF257" s="5">
        <f t="shared" si="737"/>
        <v>44.532414102539384</v>
      </c>
      <c r="FG257">
        <f t="shared" si="738"/>
        <v>41</v>
      </c>
      <c r="FI257" s="59">
        <f t="shared" si="689"/>
        <v>-50</v>
      </c>
    </row>
    <row r="258" spans="5:165">
      <c r="E258" s="147">
        <v>42</v>
      </c>
      <c r="F258" s="188">
        <f t="shared" si="773"/>
        <v>0.21</v>
      </c>
      <c r="G258" s="188">
        <f t="shared" si="742"/>
        <v>0.21</v>
      </c>
      <c r="H258" s="188">
        <f t="shared" si="743"/>
        <v>35.699999999999996</v>
      </c>
      <c r="I258" s="188">
        <f t="shared" si="744"/>
        <v>2.52</v>
      </c>
      <c r="J258" s="465">
        <f t="shared" si="745"/>
        <v>15.958981400063651</v>
      </c>
      <c r="K258" s="379">
        <f t="shared" si="746"/>
        <v>8.6489356369055983</v>
      </c>
      <c r="L258" s="149">
        <f t="shared" si="747"/>
        <v>24.607917036969248</v>
      </c>
      <c r="M258" s="379"/>
      <c r="N258" s="188">
        <f t="shared" si="748"/>
        <v>0.35146963572382134</v>
      </c>
      <c r="O258" s="149">
        <f t="shared" si="749"/>
        <v>174.64222609242017</v>
      </c>
      <c r="P258" s="149">
        <f t="shared" si="750"/>
        <v>12.327686547700248</v>
      </c>
      <c r="Q258" s="188">
        <f t="shared" si="626"/>
        <v>1.027307212308354</v>
      </c>
      <c r="R258" s="188">
        <f t="shared" si="751"/>
        <v>14.553518841035014</v>
      </c>
      <c r="S258" s="188">
        <f t="shared" si="752"/>
        <v>170</v>
      </c>
      <c r="T258" s="188">
        <f t="shared" si="753"/>
        <v>13.62786110353696</v>
      </c>
      <c r="U258" s="188">
        <f t="shared" si="630"/>
        <v>1.280895762885212</v>
      </c>
      <c r="V258" s="188">
        <f t="shared" si="631"/>
        <v>2.3635037319596788</v>
      </c>
      <c r="W258" s="172">
        <f t="shared" si="632"/>
        <v>280.45486896018053</v>
      </c>
      <c r="X258" s="379">
        <f t="shared" si="691"/>
        <v>260.11864826767874</v>
      </c>
      <c r="Z258" s="188">
        <f t="shared" si="633"/>
        <v>13.333333333333334</v>
      </c>
      <c r="AA258" s="150">
        <f t="shared" si="634"/>
        <v>2.3124232668189411</v>
      </c>
      <c r="AB258" s="150">
        <f t="shared" si="754"/>
        <v>0.20192337349258313</v>
      </c>
      <c r="AC258" s="150"/>
      <c r="AD258" s="150">
        <f t="shared" si="636"/>
        <v>2.3124232668189411</v>
      </c>
      <c r="AE258" s="314">
        <f t="shared" si="755"/>
        <v>291.67263533164584</v>
      </c>
      <c r="AF258" s="456">
        <f t="shared" si="756"/>
        <v>0.20192337349258313</v>
      </c>
      <c r="AH258" s="150">
        <f t="shared" si="757"/>
        <v>12.066482503198685</v>
      </c>
      <c r="AI258" s="150">
        <f t="shared" si="758"/>
        <v>13.62786110353696</v>
      </c>
      <c r="AJ258" s="150">
        <f t="shared" si="759"/>
        <v>1.4181687186693523</v>
      </c>
      <c r="AL258" s="314">
        <f t="shared" si="760"/>
        <v>210</v>
      </c>
      <c r="AM258" s="144">
        <f t="shared" si="761"/>
        <v>260.11864826767874</v>
      </c>
      <c r="AO258">
        <f t="shared" si="644"/>
        <v>210</v>
      </c>
      <c r="AP258">
        <f t="shared" si="645"/>
        <v>260.11864826767874</v>
      </c>
      <c r="AR258" s="5">
        <f t="shared" si="616"/>
        <v>3.844399494844891</v>
      </c>
      <c r="AS258" s="5">
        <f t="shared" si="739"/>
        <v>1.280895762885212</v>
      </c>
      <c r="AT258" s="5">
        <f t="shared" si="740"/>
        <v>2.563503731959679</v>
      </c>
      <c r="AU258" s="150">
        <f t="shared" si="741"/>
        <v>0.33318487441349848</v>
      </c>
      <c r="BA258" s="150">
        <f t="shared" si="692"/>
        <v>4.5416086664164865</v>
      </c>
      <c r="BB258" s="150">
        <f t="shared" si="693"/>
        <v>0.30006637391337088</v>
      </c>
      <c r="BC258" s="150">
        <f t="shared" si="694"/>
        <v>0.28544917003707615</v>
      </c>
      <c r="BD258" s="150"/>
      <c r="BE258" s="456">
        <f t="shared" si="695"/>
        <v>7.0129111548155737E-2</v>
      </c>
      <c r="BF258" s="456">
        <f t="shared" si="762"/>
        <v>2.0891977946753313</v>
      </c>
      <c r="BG258" s="456">
        <f t="shared" si="763"/>
        <v>0.19012627306372215</v>
      </c>
      <c r="BH258" s="456">
        <f t="shared" si="696"/>
        <v>0.10789759583300368</v>
      </c>
      <c r="BI258">
        <f t="shared" si="697"/>
        <v>7.1815416300286426E-3</v>
      </c>
      <c r="BJ258" s="144">
        <f t="shared" si="698"/>
        <v>197.3078146937508</v>
      </c>
      <c r="BK258">
        <f t="shared" si="764"/>
        <v>2.324898392930149</v>
      </c>
      <c r="BL258" s="144">
        <f t="shared" si="699"/>
        <v>2464.5323167502415</v>
      </c>
      <c r="BM258" s="150">
        <f t="shared" si="765"/>
        <v>0.4659375</v>
      </c>
      <c r="BN258" s="150">
        <f t="shared" si="766"/>
        <v>0.14910000000000001</v>
      </c>
      <c r="BQ258" s="144">
        <f t="shared" si="700"/>
        <v>615.03750000000002</v>
      </c>
      <c r="BR258" s="456">
        <f t="shared" si="701"/>
        <v>3.0939313918304005E-2</v>
      </c>
      <c r="BS258" s="456">
        <f t="shared" si="702"/>
        <v>1.8007965750703781E-2</v>
      </c>
      <c r="BT258" s="456">
        <f t="shared" si="703"/>
        <v>2.4444368602456685E-3</v>
      </c>
      <c r="BU258" s="456">
        <f t="shared" si="704"/>
        <v>37.408299961674246</v>
      </c>
      <c r="BV258" s="456"/>
      <c r="BW258" s="538">
        <f t="shared" si="705"/>
        <v>4.8308870736855816E-2</v>
      </c>
      <c r="BX258" s="144">
        <f t="shared" si="706"/>
        <v>37508.000548940348</v>
      </c>
      <c r="BY258" s="150">
        <f t="shared" si="707"/>
        <v>40.587570365690596</v>
      </c>
      <c r="BZ258" s="5">
        <f t="shared" si="708"/>
        <v>38.22</v>
      </c>
      <c r="CA258" s="150">
        <f t="shared" si="709"/>
        <v>0.48497878849262599</v>
      </c>
      <c r="CB258" s="5">
        <f t="shared" si="710"/>
        <v>48.497878849262598</v>
      </c>
      <c r="CC258">
        <f t="shared" si="711"/>
        <v>42</v>
      </c>
      <c r="CE258" s="59">
        <f t="shared" si="767"/>
        <v>-50</v>
      </c>
      <c r="CG258" s="150">
        <f t="shared" si="768"/>
        <v>0.63502377808469523</v>
      </c>
      <c r="CH258" s="150">
        <f t="shared" si="769"/>
        <v>0.17735551404972852</v>
      </c>
      <c r="CI258" s="147">
        <v>42</v>
      </c>
      <c r="CJ258" s="188">
        <f t="shared" si="712"/>
        <v>0.21</v>
      </c>
      <c r="CK258" s="188">
        <f t="shared" si="654"/>
        <v>0.21</v>
      </c>
      <c r="CL258" s="188">
        <f t="shared" si="655"/>
        <v>35.699999999999996</v>
      </c>
      <c r="CM258" s="188">
        <f t="shared" si="656"/>
        <v>2.52</v>
      </c>
      <c r="CN258" s="465">
        <f t="shared" si="657"/>
        <v>16</v>
      </c>
      <c r="CO258" s="379">
        <f t="shared" si="770"/>
        <v>8.625</v>
      </c>
      <c r="CP258" s="379">
        <f t="shared" si="771"/>
        <v>24.625</v>
      </c>
      <c r="CQ258" s="379"/>
      <c r="CR258" s="188">
        <f t="shared" si="660"/>
        <v>0.34787038923986141</v>
      </c>
      <c r="CS258" s="149">
        <f t="shared" si="661"/>
        <v>173.29806936491266</v>
      </c>
      <c r="CT258" s="149">
        <f t="shared" si="662"/>
        <v>12.232804896346776</v>
      </c>
      <c r="CU258" s="188">
        <f t="shared" si="663"/>
        <v>1.0194004080288981</v>
      </c>
      <c r="CV258" s="188">
        <f t="shared" si="664"/>
        <v>14.441505780409388</v>
      </c>
      <c r="CW258" s="188">
        <f t="shared" si="665"/>
        <v>170</v>
      </c>
      <c r="CX258" s="188">
        <f t="shared" si="666"/>
        <v>13.733563268892794</v>
      </c>
      <c r="CY258" s="188">
        <f t="shared" si="667"/>
        <v>1.2875215564586995</v>
      </c>
      <c r="CZ258" s="188">
        <f t="shared" si="668"/>
        <v>2.3884457858943988</v>
      </c>
      <c r="DA258" s="172">
        <f t="shared" si="669"/>
        <v>280.20304568527916</v>
      </c>
      <c r="DB258" s="379">
        <f t="shared" si="670"/>
        <v>272.03723724048911</v>
      </c>
      <c r="DD258" s="188">
        <f t="shared" si="671"/>
        <v>13.333333333333332</v>
      </c>
      <c r="DE258" s="150">
        <f t="shared" si="672"/>
        <v>2.318840579710145</v>
      </c>
      <c r="DF258" s="150">
        <f t="shared" si="673"/>
        <v>0.20230192819025303</v>
      </c>
      <c r="DG258" s="150"/>
      <c r="DH258" s="150">
        <f t="shared" si="674"/>
        <v>2.3188405797101455</v>
      </c>
      <c r="DI258" s="314">
        <f t="shared" si="675"/>
        <v>290.86544117647048</v>
      </c>
      <c r="DJ258" s="456">
        <f t="shared" si="676"/>
        <v>0.20230192819025311</v>
      </c>
      <c r="DL258" s="150">
        <f t="shared" si="677"/>
        <v>12.066482503198685</v>
      </c>
      <c r="DM258" s="150">
        <f t="shared" si="678"/>
        <v>13.733563268892794</v>
      </c>
      <c r="DN258" s="150">
        <f t="shared" si="679"/>
        <v>1.4964666189329336</v>
      </c>
      <c r="DP258" s="314">
        <f t="shared" si="680"/>
        <v>210</v>
      </c>
      <c r="DQ258" s="144">
        <f t="shared" si="681"/>
        <v>272.03723724048911</v>
      </c>
      <c r="DS258">
        <f t="shared" si="682"/>
        <v>210</v>
      </c>
      <c r="DT258">
        <f t="shared" si="683"/>
        <v>272.03723724048911</v>
      </c>
      <c r="DV258" s="5">
        <f t="shared" si="684"/>
        <v>3.6759673423530983</v>
      </c>
      <c r="DW258" s="5">
        <f t="shared" si="685"/>
        <v>1.2875215564586995</v>
      </c>
      <c r="DX258" s="5">
        <f t="shared" si="686"/>
        <v>2.3884457858943988</v>
      </c>
      <c r="DY258" s="150">
        <f t="shared" si="687"/>
        <v>0.35025380710659898</v>
      </c>
      <c r="EA258" s="5">
        <f t="shared" si="713"/>
        <v>0.1590467805037217</v>
      </c>
      <c r="EB258" s="5">
        <f t="shared" si="714"/>
        <v>2.2531627238027241</v>
      </c>
      <c r="EC258" s="5">
        <f t="shared" si="715"/>
        <v>8.8820327662947935</v>
      </c>
      <c r="ED258" s="5"/>
      <c r="EE258" s="150">
        <f t="shared" si="716"/>
        <v>4.6926054160605677</v>
      </c>
      <c r="EF258" s="150">
        <f t="shared" si="717"/>
        <v>0.29849840489592244</v>
      </c>
      <c r="EG258" s="150">
        <f t="shared" si="718"/>
        <v>0.28395758186330855</v>
      </c>
      <c r="EH258" s="150"/>
      <c r="EI258" s="456">
        <f t="shared" si="719"/>
        <v>7.4869855008859315E-2</v>
      </c>
      <c r="EJ258" s="456">
        <f t="shared" si="720"/>
        <v>2.7968000000000006</v>
      </c>
      <c r="EK258" s="456">
        <f t="shared" si="721"/>
        <v>6.2296527328072011E-2</v>
      </c>
      <c r="EL258" s="456">
        <f t="shared" si="722"/>
        <v>0.11299816876477042</v>
      </c>
      <c r="EM258">
        <f t="shared" si="723"/>
        <v>7.1999999999999998E-3</v>
      </c>
      <c r="EN258" s="144">
        <f t="shared" si="724"/>
        <v>69.49652732807202</v>
      </c>
      <c r="EP258" s="144">
        <f t="shared" si="725"/>
        <v>3054.1645511017027</v>
      </c>
      <c r="EQ258" s="150">
        <f t="shared" si="726"/>
        <v>0.52500000000000002</v>
      </c>
      <c r="ER258" s="150">
        <f t="shared" si="772"/>
        <v>0.14910000000000001</v>
      </c>
      <c r="ES258" s="456"/>
      <c r="EU258" s="144">
        <f t="shared" si="727"/>
        <v>674.1</v>
      </c>
      <c r="EV258" s="456">
        <f t="shared" si="728"/>
        <v>3.3030818386261464E-2</v>
      </c>
      <c r="EW258" s="456">
        <f t="shared" si="729"/>
        <v>1.7820259545082012E-2</v>
      </c>
      <c r="EX258" s="456">
        <f t="shared" si="730"/>
        <v>2.4189572489297273E-3</v>
      </c>
      <c r="EY258" s="456">
        <f t="shared" si="731"/>
        <v>42.657851179101556</v>
      </c>
      <c r="EZ258" s="456"/>
      <c r="FA258" s="538">
        <f t="shared" si="732"/>
        <v>5.130915008073654E-2</v>
      </c>
      <c r="FB258" s="144">
        <f t="shared" si="733"/>
        <v>42762.430364362568</v>
      </c>
      <c r="FC258" s="150">
        <f t="shared" si="734"/>
        <v>46.490694915464267</v>
      </c>
      <c r="FD258" s="5">
        <f t="shared" si="735"/>
        <v>38.22</v>
      </c>
      <c r="FE258" s="150">
        <f t="shared" si="736"/>
        <v>0.45118269939989342</v>
      </c>
      <c r="FF258" s="5">
        <f t="shared" si="737"/>
        <v>45.118269939989339</v>
      </c>
      <c r="FG258">
        <f t="shared" si="738"/>
        <v>42</v>
      </c>
      <c r="FI258" s="59">
        <f t="shared" si="689"/>
        <v>-50</v>
      </c>
    </row>
    <row r="259" spans="5:165">
      <c r="E259" s="147">
        <v>43</v>
      </c>
      <c r="F259" s="188">
        <f t="shared" si="773"/>
        <v>0.215</v>
      </c>
      <c r="G259" s="188">
        <f t="shared" si="742"/>
        <v>0.215</v>
      </c>
      <c r="H259" s="188">
        <f t="shared" si="743"/>
        <v>36.549999999999997</v>
      </c>
      <c r="I259" s="188">
        <f t="shared" si="744"/>
        <v>2.58</v>
      </c>
      <c r="J259" s="465">
        <f t="shared" si="745"/>
        <v>15.958004766731834</v>
      </c>
      <c r="K259" s="379">
        <f t="shared" si="746"/>
        <v>8.6495055330223991</v>
      </c>
      <c r="L259" s="149">
        <f t="shared" si="747"/>
        <v>24.607510299754232</v>
      </c>
      <c r="M259" s="379"/>
      <c r="N259" s="188">
        <f t="shared" si="748"/>
        <v>0.35149860459913274</v>
      </c>
      <c r="O259" s="149">
        <f t="shared" si="749"/>
        <v>174.64593210764343</v>
      </c>
      <c r="P259" s="149">
        <f t="shared" si="750"/>
        <v>12.327948148774832</v>
      </c>
      <c r="Q259" s="188">
        <f t="shared" si="626"/>
        <v>1.0273290123979026</v>
      </c>
      <c r="R259" s="188">
        <f t="shared" si="751"/>
        <v>14.553827675636953</v>
      </c>
      <c r="S259" s="188">
        <f t="shared" si="752"/>
        <v>170</v>
      </c>
      <c r="T259" s="188">
        <f t="shared" si="753"/>
        <v>13.952037916146946</v>
      </c>
      <c r="U259" s="188">
        <f t="shared" si="630"/>
        <v>1.3114457089178098</v>
      </c>
      <c r="V259" s="188">
        <f t="shared" si="631"/>
        <v>2.4195668520380171</v>
      </c>
      <c r="W259" s="172">
        <f t="shared" si="632"/>
        <v>280.46082038462743</v>
      </c>
      <c r="X259" s="379">
        <f t="shared" si="691"/>
        <v>254.38738352869817</v>
      </c>
      <c r="Z259" s="188">
        <f t="shared" si="633"/>
        <v>13.333333333333332</v>
      </c>
      <c r="AA259" s="150">
        <f t="shared" si="634"/>
        <v>2.3122709065441098</v>
      </c>
      <c r="AB259" s="150">
        <f t="shared" si="754"/>
        <v>0.20191435387939088</v>
      </c>
      <c r="AC259" s="150"/>
      <c r="AD259" s="150">
        <f t="shared" si="636"/>
        <v>2.3122709065441103</v>
      </c>
      <c r="AE259" s="314">
        <f t="shared" si="755"/>
        <v>298.63689838867623</v>
      </c>
      <c r="AF259" s="456">
        <f t="shared" si="756"/>
        <v>0.20191435387939091</v>
      </c>
      <c r="AH259" s="150">
        <f t="shared" si="757"/>
        <v>12.209286083414813</v>
      </c>
      <c r="AI259" s="150">
        <f t="shared" si="758"/>
        <v>13.952037916146946</v>
      </c>
      <c r="AJ259" s="150">
        <f t="shared" si="759"/>
        <v>1.6582996909730456</v>
      </c>
      <c r="AL259" s="314">
        <f t="shared" si="760"/>
        <v>215</v>
      </c>
      <c r="AM259" s="144">
        <f t="shared" si="761"/>
        <v>254.38738352869817</v>
      </c>
      <c r="AO259">
        <f t="shared" si="644"/>
        <v>215</v>
      </c>
      <c r="AP259">
        <f t="shared" si="645"/>
        <v>254.38738352869817</v>
      </c>
      <c r="AR259" s="5">
        <f t="shared" si="616"/>
        <v>3.9310125609558271</v>
      </c>
      <c r="AS259" s="5">
        <f t="shared" si="739"/>
        <v>1.3114457089178098</v>
      </c>
      <c r="AT259" s="5">
        <f t="shared" si="740"/>
        <v>2.6195668520380173</v>
      </c>
      <c r="AU259" s="150">
        <f t="shared" si="741"/>
        <v>0.33361524253154035</v>
      </c>
      <c r="BA259" s="150">
        <f t="shared" si="692"/>
        <v>4.6526454936663981</v>
      </c>
      <c r="BB259" s="150">
        <f t="shared" si="693"/>
        <v>0.3071051401994902</v>
      </c>
      <c r="BC259" s="150">
        <f t="shared" si="694"/>
        <v>0.2921450552449194</v>
      </c>
      <c r="BD259" s="150"/>
      <c r="BE259" s="456">
        <f t="shared" si="695"/>
        <v>7.3600174305096411E-2</v>
      </c>
      <c r="BF259" s="456">
        <f t="shared" si="762"/>
        <v>2.0917337780126548</v>
      </c>
      <c r="BG259" s="456">
        <f t="shared" si="763"/>
        <v>0.18592579061579112</v>
      </c>
      <c r="BH259" s="456">
        <f t="shared" si="696"/>
        <v>0.1055167706354553</v>
      </c>
      <c r="BI259">
        <f t="shared" si="697"/>
        <v>7.1811021450293253E-3</v>
      </c>
      <c r="BJ259" s="144">
        <f t="shared" si="698"/>
        <v>193.10689276082044</v>
      </c>
      <c r="BK259">
        <f t="shared" si="764"/>
        <v>2.3314945511277849</v>
      </c>
      <c r="BL259" s="144">
        <f t="shared" si="699"/>
        <v>2463.9576157140273</v>
      </c>
      <c r="BM259" s="150">
        <f t="shared" si="765"/>
        <v>0.47703124999999996</v>
      </c>
      <c r="BN259" s="150">
        <f t="shared" si="766"/>
        <v>0.15265000000000001</v>
      </c>
      <c r="BQ259" s="144">
        <f t="shared" si="700"/>
        <v>629.68124999999998</v>
      </c>
      <c r="BR259" s="456">
        <f t="shared" si="701"/>
        <v>3.2470665134601361E-2</v>
      </c>
      <c r="BS259" s="456">
        <f t="shared" si="702"/>
        <v>1.886271342738971E-2</v>
      </c>
      <c r="BT259" s="456">
        <f t="shared" si="703"/>
        <v>2.5604619991217103E-3</v>
      </c>
      <c r="BU259" s="456">
        <f t="shared" si="704"/>
        <v>37.523474484985599</v>
      </c>
      <c r="BV259" s="456"/>
      <c r="BW259" s="538">
        <f t="shared" si="705"/>
        <v>4.9518885782005875E-2</v>
      </c>
      <c r="BX259" s="144">
        <f t="shared" si="706"/>
        <v>37626.887211328722</v>
      </c>
      <c r="BY259" s="150">
        <f t="shared" si="707"/>
        <v>40.720526077042742</v>
      </c>
      <c r="BZ259" s="5">
        <f t="shared" si="708"/>
        <v>39.129999999999995</v>
      </c>
      <c r="CA259" s="150">
        <f t="shared" si="709"/>
        <v>0.49004060364293567</v>
      </c>
      <c r="CB259" s="5">
        <f t="shared" si="710"/>
        <v>49.004060364293565</v>
      </c>
      <c r="CC259">
        <f t="shared" si="711"/>
        <v>43</v>
      </c>
      <c r="CE259" s="59">
        <f t="shared" si="767"/>
        <v>-50</v>
      </c>
      <c r="CG259" s="150">
        <f t="shared" si="768"/>
        <v>0.63502377808469512</v>
      </c>
      <c r="CH259" s="150">
        <f t="shared" si="769"/>
        <v>0.17735551404972849</v>
      </c>
      <c r="CI259" s="147">
        <v>43</v>
      </c>
      <c r="CJ259" s="188">
        <f t="shared" si="712"/>
        <v>0.215</v>
      </c>
      <c r="CK259" s="188">
        <f t="shared" si="654"/>
        <v>0.215</v>
      </c>
      <c r="CL259" s="188">
        <f t="shared" si="655"/>
        <v>36.549999999999997</v>
      </c>
      <c r="CM259" s="188">
        <f t="shared" si="656"/>
        <v>2.58</v>
      </c>
      <c r="CN259" s="465">
        <f t="shared" si="657"/>
        <v>16</v>
      </c>
      <c r="CO259" s="379">
        <f t="shared" si="770"/>
        <v>8.625</v>
      </c>
      <c r="CP259" s="379">
        <f t="shared" si="771"/>
        <v>24.625</v>
      </c>
      <c r="CQ259" s="379"/>
      <c r="CR259" s="188">
        <f t="shared" si="660"/>
        <v>0.34787038923986141</v>
      </c>
      <c r="CS259" s="149">
        <f t="shared" si="661"/>
        <v>173.29806936491266</v>
      </c>
      <c r="CT259" s="149">
        <f t="shared" si="662"/>
        <v>12.232804896346776</v>
      </c>
      <c r="CU259" s="188">
        <f t="shared" si="663"/>
        <v>1.0194004080288981</v>
      </c>
      <c r="CV259" s="188">
        <f t="shared" si="664"/>
        <v>14.441505780409388</v>
      </c>
      <c r="CW259" s="188">
        <f t="shared" si="665"/>
        <v>170</v>
      </c>
      <c r="CX259" s="188">
        <f t="shared" si="666"/>
        <v>14.060552870533098</v>
      </c>
      <c r="CY259" s="188">
        <f t="shared" si="667"/>
        <v>1.318176831612478</v>
      </c>
      <c r="CZ259" s="188">
        <f t="shared" si="668"/>
        <v>2.4453135427014083</v>
      </c>
      <c r="DA259" s="172">
        <f t="shared" si="669"/>
        <v>280.20304568527916</v>
      </c>
      <c r="DB259" s="379">
        <f t="shared" si="670"/>
        <v>265.71078986280327</v>
      </c>
      <c r="DD259" s="188">
        <f t="shared" si="671"/>
        <v>13.333333333333332</v>
      </c>
      <c r="DE259" s="150">
        <f t="shared" si="672"/>
        <v>2.318840579710145</v>
      </c>
      <c r="DF259" s="150">
        <f t="shared" si="673"/>
        <v>0.20230192819025303</v>
      </c>
      <c r="DG259" s="150"/>
      <c r="DH259" s="150">
        <f t="shared" si="674"/>
        <v>2.3188405797101455</v>
      </c>
      <c r="DI259" s="314">
        <f t="shared" si="675"/>
        <v>297.79080882352929</v>
      </c>
      <c r="DJ259" s="456">
        <f t="shared" si="676"/>
        <v>0.20230192819025311</v>
      </c>
      <c r="DL259" s="150">
        <f t="shared" si="677"/>
        <v>12.209286083414813</v>
      </c>
      <c r="DM259" s="150">
        <f t="shared" si="678"/>
        <v>14.060552870533098</v>
      </c>
      <c r="DN259" s="150">
        <f t="shared" si="679"/>
        <v>1.7386811386664913</v>
      </c>
      <c r="DP259" s="314">
        <f t="shared" si="680"/>
        <v>215</v>
      </c>
      <c r="DQ259" s="144">
        <f t="shared" si="681"/>
        <v>265.71078986280327</v>
      </c>
      <c r="DS259">
        <f t="shared" si="682"/>
        <v>215</v>
      </c>
      <c r="DT259">
        <f t="shared" si="683"/>
        <v>265.71078986280327</v>
      </c>
      <c r="DV259" s="5">
        <f t="shared" si="684"/>
        <v>3.7634903743138866</v>
      </c>
      <c r="DW259" s="5">
        <f t="shared" si="685"/>
        <v>1.318176831612478</v>
      </c>
      <c r="DX259" s="5">
        <f t="shared" si="686"/>
        <v>2.4453135427014088</v>
      </c>
      <c r="DY259" s="150">
        <f t="shared" si="687"/>
        <v>0.35025380710659898</v>
      </c>
      <c r="EA259" s="5">
        <f t="shared" si="713"/>
        <v>0.16671059929216633</v>
      </c>
      <c r="EB259" s="5">
        <f t="shared" si="714"/>
        <v>2.3617334899723565</v>
      </c>
      <c r="EC259" s="5">
        <f t="shared" si="715"/>
        <v>9.3100218735142146</v>
      </c>
      <c r="ED259" s="5"/>
      <c r="EE259" s="150">
        <f t="shared" si="716"/>
        <v>4.8043341164429609</v>
      </c>
      <c r="EF259" s="150">
        <f t="shared" si="717"/>
        <v>0.30560550977439671</v>
      </c>
      <c r="EG259" s="150">
        <f t="shared" si="718"/>
        <v>0.29071847666957779</v>
      </c>
      <c r="EH259" s="150"/>
      <c r="EI259" s="456">
        <f t="shared" si="719"/>
        <v>7.8477529428220408E-2</v>
      </c>
      <c r="EJ259" s="456">
        <f t="shared" si="720"/>
        <v>2.7967999999999997</v>
      </c>
      <c r="EK259" s="456">
        <f t="shared" si="721"/>
        <v>6.0847770878581946E-2</v>
      </c>
      <c r="EL259" s="456">
        <f t="shared" si="722"/>
        <v>0.11037030437489202</v>
      </c>
      <c r="EM259">
        <f t="shared" si="723"/>
        <v>7.1999999999999998E-3</v>
      </c>
      <c r="EN259" s="144">
        <f t="shared" si="724"/>
        <v>68.047770878581957</v>
      </c>
      <c r="EP259" s="144">
        <f t="shared" si="725"/>
        <v>3053.695604681694</v>
      </c>
      <c r="EQ259" s="150">
        <f t="shared" si="726"/>
        <v>0.53749999999999998</v>
      </c>
      <c r="ER259" s="150">
        <f t="shared" si="772"/>
        <v>0.15265000000000001</v>
      </c>
      <c r="ES259" s="456"/>
      <c r="EU259" s="144">
        <f t="shared" si="727"/>
        <v>690.15000000000009</v>
      </c>
      <c r="EV259" s="456">
        <f t="shared" si="728"/>
        <v>3.4622439453626655E-2</v>
      </c>
      <c r="EW259" s="456">
        <f t="shared" si="729"/>
        <v>1.8678945520893778E-2</v>
      </c>
      <c r="EX259" s="456">
        <f t="shared" si="730"/>
        <v>2.5355169803123953E-3</v>
      </c>
      <c r="EY259" s="456">
        <f t="shared" si="731"/>
        <v>42.657851179101598</v>
      </c>
      <c r="EZ259" s="456"/>
      <c r="FA259" s="538">
        <f t="shared" si="732"/>
        <v>5.2530796511230243E-2</v>
      </c>
      <c r="FB259" s="144">
        <f t="shared" si="733"/>
        <v>42766.218877567662</v>
      </c>
      <c r="FC259" s="150">
        <f t="shared" si="734"/>
        <v>46.510064482249355</v>
      </c>
      <c r="FD259" s="5">
        <f t="shared" si="735"/>
        <v>39.129999999999995</v>
      </c>
      <c r="FE259" s="150">
        <f t="shared" si="736"/>
        <v>0.45691231360656531</v>
      </c>
      <c r="FF259" s="5">
        <f t="shared" si="737"/>
        <v>45.691231360656531</v>
      </c>
      <c r="FG259">
        <f t="shared" si="738"/>
        <v>43</v>
      </c>
      <c r="FI259" s="59">
        <f t="shared" si="689"/>
        <v>-50</v>
      </c>
    </row>
    <row r="260" spans="5:165">
      <c r="E260" s="147">
        <v>44</v>
      </c>
      <c r="F260" s="188">
        <f t="shared" si="773"/>
        <v>0.22</v>
      </c>
      <c r="G260" s="188">
        <f t="shared" si="742"/>
        <v>0.22</v>
      </c>
      <c r="H260" s="188">
        <f t="shared" si="743"/>
        <v>37.4</v>
      </c>
      <c r="I260" s="188">
        <f t="shared" si="744"/>
        <v>2.64</v>
      </c>
      <c r="J260" s="465">
        <f t="shared" si="745"/>
        <v>15.957028133400016</v>
      </c>
      <c r="K260" s="379">
        <f t="shared" si="746"/>
        <v>8.6500754291391999</v>
      </c>
      <c r="L260" s="149">
        <f t="shared" si="747"/>
        <v>24.607103562539216</v>
      </c>
      <c r="M260" s="379"/>
      <c r="N260" s="188">
        <f t="shared" si="748"/>
        <v>0.3515275744321123</v>
      </c>
      <c r="O260" s="149">
        <f t="shared" si="749"/>
        <v>174.64963683689459</v>
      </c>
      <c r="P260" s="149">
        <f t="shared" si="750"/>
        <v>12.328209659074911</v>
      </c>
      <c r="Q260" s="188">
        <f t="shared" si="626"/>
        <v>1.0273508049229094</v>
      </c>
      <c r="R260" s="188">
        <f t="shared" si="751"/>
        <v>14.554136403074549</v>
      </c>
      <c r="S260" s="188">
        <f t="shared" si="752"/>
        <v>170</v>
      </c>
      <c r="T260" s="188">
        <f t="shared" si="753"/>
        <v>14.276201075996852</v>
      </c>
      <c r="U260" s="188">
        <f t="shared" si="630"/>
        <v>1.3419981111127153</v>
      </c>
      <c r="V260" s="188">
        <f t="shared" si="631"/>
        <v>2.4756202173518265</v>
      </c>
      <c r="W260" s="172">
        <f t="shared" si="632"/>
        <v>280.46676974395422</v>
      </c>
      <c r="X260" s="379">
        <f t="shared" si="691"/>
        <v>248.90368328794969</v>
      </c>
      <c r="Z260" s="188">
        <f t="shared" si="633"/>
        <v>13.333333333333334</v>
      </c>
      <c r="AA260" s="150">
        <f t="shared" si="634"/>
        <v>2.3121185663452963</v>
      </c>
      <c r="AB260" s="150">
        <f t="shared" si="754"/>
        <v>0.20190533396802368</v>
      </c>
      <c r="AC260" s="150"/>
      <c r="AD260" s="150">
        <f t="shared" si="636"/>
        <v>2.3121185663452963</v>
      </c>
      <c r="AE260" s="314">
        <f t="shared" si="755"/>
        <v>305.60207663182359</v>
      </c>
      <c r="AF260" s="456">
        <f t="shared" si="756"/>
        <v>0.20190533396802374</v>
      </c>
      <c r="AH260" s="150">
        <f t="shared" si="757"/>
        <v>12.350438588703371</v>
      </c>
      <c r="AI260" s="150">
        <f t="shared" si="758"/>
        <v>14.276201075996852</v>
      </c>
      <c r="AJ260" s="150">
        <f t="shared" si="759"/>
        <v>1.8984205501211244</v>
      </c>
      <c r="AL260" s="314">
        <f t="shared" si="760"/>
        <v>220</v>
      </c>
      <c r="AM260" s="144">
        <f t="shared" si="761"/>
        <v>248.90368328794969</v>
      </c>
      <c r="AO260">
        <f t="shared" si="644"/>
        <v>220</v>
      </c>
      <c r="AP260">
        <f t="shared" si="645"/>
        <v>248.90368328794969</v>
      </c>
      <c r="AR260" s="5">
        <f t="shared" si="616"/>
        <v>4.0176183284645406</v>
      </c>
      <c r="AS260" s="5">
        <f t="shared" si="739"/>
        <v>1.3419981111127153</v>
      </c>
      <c r="AT260" s="5">
        <f t="shared" si="740"/>
        <v>2.6756202173518253</v>
      </c>
      <c r="AU260" s="150">
        <f t="shared" si="741"/>
        <v>0.33402827282142605</v>
      </c>
      <c r="BA260" s="150">
        <f t="shared" si="692"/>
        <v>4.7636916571639016</v>
      </c>
      <c r="BB260" s="150">
        <f t="shared" si="693"/>
        <v>0.3141430548898817</v>
      </c>
      <c r="BC260" s="150">
        <f t="shared" si="694"/>
        <v>0.29884013034101797</v>
      </c>
      <c r="BD260" s="150"/>
      <c r="BE260" s="456">
        <f t="shared" si="695"/>
        <v>7.7155377895412061E-2</v>
      </c>
      <c r="BF260" s="456">
        <f t="shared" si="762"/>
        <v>2.0941606481216399</v>
      </c>
      <c r="BG260" s="456">
        <f t="shared" si="763"/>
        <v>0.18190674891435768</v>
      </c>
      <c r="BH260" s="456">
        <f t="shared" si="696"/>
        <v>0.10323878599705788</v>
      </c>
      <c r="BI260">
        <f t="shared" si="697"/>
        <v>7.1806626600300072E-3</v>
      </c>
      <c r="BJ260" s="144">
        <f t="shared" si="698"/>
        <v>189.08741157438769</v>
      </c>
      <c r="BK260">
        <f t="shared" si="764"/>
        <v>2.3382518727958592</v>
      </c>
      <c r="BL260" s="144">
        <f t="shared" si="699"/>
        <v>2463.6422235884975</v>
      </c>
      <c r="BM260" s="150">
        <f t="shared" si="765"/>
        <v>0.48812500000000003</v>
      </c>
      <c r="BN260" s="150">
        <f t="shared" si="766"/>
        <v>0.15620000000000001</v>
      </c>
      <c r="BQ260" s="144">
        <f t="shared" si="700"/>
        <v>644.32500000000005</v>
      </c>
      <c r="BR260" s="456">
        <f t="shared" si="701"/>
        <v>3.4039137306799444E-2</v>
      </c>
      <c r="BS260" s="456">
        <f t="shared" si="702"/>
        <v>1.9737171787109445E-2</v>
      </c>
      <c r="BT260" s="456">
        <f t="shared" si="703"/>
        <v>2.6791627050670981E-3</v>
      </c>
      <c r="BU260" s="456">
        <f t="shared" si="704"/>
        <v>37.633962977397552</v>
      </c>
      <c r="BV260" s="456"/>
      <c r="BW260" s="538">
        <f t="shared" si="705"/>
        <v>5.072903907230681E-2</v>
      </c>
      <c r="BX260" s="144">
        <f t="shared" si="706"/>
        <v>37741.147488268834</v>
      </c>
      <c r="BY260" s="150">
        <f t="shared" si="707"/>
        <v>40.849114711857332</v>
      </c>
      <c r="BZ260" s="5">
        <f t="shared" si="708"/>
        <v>40.04</v>
      </c>
      <c r="CA260" s="150">
        <f t="shared" si="709"/>
        <v>0.49499861807896184</v>
      </c>
      <c r="CB260" s="5">
        <f t="shared" si="710"/>
        <v>49.499861807896181</v>
      </c>
      <c r="CC260">
        <f t="shared" si="711"/>
        <v>44</v>
      </c>
      <c r="CE260" s="59">
        <f t="shared" si="767"/>
        <v>-50</v>
      </c>
      <c r="CG260" s="150">
        <f t="shared" si="768"/>
        <v>0.63502377808469523</v>
      </c>
      <c r="CH260" s="150">
        <f t="shared" si="769"/>
        <v>0.17735551404972849</v>
      </c>
      <c r="CI260" s="147">
        <v>44</v>
      </c>
      <c r="CJ260" s="188">
        <f t="shared" si="712"/>
        <v>0.22</v>
      </c>
      <c r="CK260" s="188">
        <f t="shared" si="654"/>
        <v>0.22</v>
      </c>
      <c r="CL260" s="188">
        <f t="shared" si="655"/>
        <v>37.4</v>
      </c>
      <c r="CM260" s="188">
        <f t="shared" si="656"/>
        <v>2.64</v>
      </c>
      <c r="CN260" s="465">
        <f t="shared" si="657"/>
        <v>16</v>
      </c>
      <c r="CO260" s="379">
        <f t="shared" si="770"/>
        <v>8.625</v>
      </c>
      <c r="CP260" s="379">
        <f t="shared" si="771"/>
        <v>24.625</v>
      </c>
      <c r="CQ260" s="379"/>
      <c r="CR260" s="188">
        <f t="shared" si="660"/>
        <v>0.34787038923986141</v>
      </c>
      <c r="CS260" s="149">
        <f t="shared" si="661"/>
        <v>173.29806936491266</v>
      </c>
      <c r="CT260" s="149">
        <f t="shared" si="662"/>
        <v>12.232804896346776</v>
      </c>
      <c r="CU260" s="188">
        <f t="shared" si="663"/>
        <v>1.0194004080288981</v>
      </c>
      <c r="CV260" s="188">
        <f t="shared" si="664"/>
        <v>14.441505780409388</v>
      </c>
      <c r="CW260" s="188">
        <f t="shared" si="665"/>
        <v>170</v>
      </c>
      <c r="CX260" s="188">
        <f t="shared" si="666"/>
        <v>14.387542472173404</v>
      </c>
      <c r="CY260" s="188">
        <f t="shared" si="667"/>
        <v>1.3488321067662565</v>
      </c>
      <c r="CZ260" s="188">
        <f t="shared" si="668"/>
        <v>2.5021812995084178</v>
      </c>
      <c r="DA260" s="172">
        <f t="shared" si="669"/>
        <v>280.20304568527916</v>
      </c>
      <c r="DB260" s="379">
        <f t="shared" si="670"/>
        <v>259.6719082750123</v>
      </c>
      <c r="DD260" s="188">
        <f t="shared" si="671"/>
        <v>13.333333333333332</v>
      </c>
      <c r="DE260" s="150">
        <f t="shared" si="672"/>
        <v>2.318840579710145</v>
      </c>
      <c r="DF260" s="150">
        <f t="shared" si="673"/>
        <v>0.20230192819025303</v>
      </c>
      <c r="DG260" s="150"/>
      <c r="DH260" s="150">
        <f t="shared" si="674"/>
        <v>2.3188405797101455</v>
      </c>
      <c r="DI260" s="314">
        <f t="shared" si="675"/>
        <v>304.7161764705881</v>
      </c>
      <c r="DJ260" s="456">
        <f t="shared" si="676"/>
        <v>0.20230192819025311</v>
      </c>
      <c r="DL260" s="150">
        <f t="shared" si="677"/>
        <v>12.350438588703371</v>
      </c>
      <c r="DM260" s="150">
        <f t="shared" si="678"/>
        <v>14.387542472173404</v>
      </c>
      <c r="DN260" s="150">
        <f t="shared" si="679"/>
        <v>1.9808956584000521</v>
      </c>
      <c r="DP260" s="314">
        <f t="shared" si="680"/>
        <v>220</v>
      </c>
      <c r="DQ260" s="144">
        <f t="shared" si="681"/>
        <v>259.6719082750123</v>
      </c>
      <c r="DS260">
        <f t="shared" si="682"/>
        <v>220</v>
      </c>
      <c r="DT260">
        <f t="shared" si="683"/>
        <v>259.6719082750123</v>
      </c>
      <c r="DV260" s="5">
        <f t="shared" si="684"/>
        <v>3.8510134062746748</v>
      </c>
      <c r="DW260" s="5">
        <f t="shared" si="685"/>
        <v>1.3488321067662565</v>
      </c>
      <c r="DX260" s="5">
        <f t="shared" si="686"/>
        <v>2.5021812995084183</v>
      </c>
      <c r="DY260" s="150">
        <f t="shared" si="687"/>
        <v>0.35025380710659892</v>
      </c>
      <c r="EA260" s="5">
        <f t="shared" si="713"/>
        <v>0.17455474322857439</v>
      </c>
      <c r="EB260" s="5">
        <f t="shared" si="714"/>
        <v>2.4728588624048036</v>
      </c>
      <c r="EC260" s="5">
        <f t="shared" si="715"/>
        <v>9.7480813126682122</v>
      </c>
      <c r="ED260" s="5"/>
      <c r="EE260" s="150">
        <f t="shared" si="716"/>
        <v>4.916062816825356</v>
      </c>
      <c r="EF260" s="150">
        <f t="shared" si="717"/>
        <v>0.31271261465287115</v>
      </c>
      <c r="EG260" s="150">
        <f t="shared" si="718"/>
        <v>0.29747937147584713</v>
      </c>
      <c r="EH260" s="150"/>
      <c r="EI260" s="456">
        <f t="shared" si="719"/>
        <v>8.2170090304507698E-2</v>
      </c>
      <c r="EJ260" s="456">
        <f t="shared" si="720"/>
        <v>2.7968000000000002</v>
      </c>
      <c r="EK260" s="456">
        <f t="shared" si="721"/>
        <v>5.9464866994977814E-2</v>
      </c>
      <c r="EL260" s="456">
        <f t="shared" si="722"/>
        <v>0.10786188836637176</v>
      </c>
      <c r="EM260">
        <f t="shared" si="723"/>
        <v>7.1999999999999998E-3</v>
      </c>
      <c r="EN260" s="144">
        <f t="shared" si="724"/>
        <v>66.664866994977814</v>
      </c>
      <c r="EP260" s="144">
        <f t="shared" si="725"/>
        <v>3053.4968456658571</v>
      </c>
      <c r="EQ260" s="150">
        <f t="shared" si="726"/>
        <v>0.55000000000000004</v>
      </c>
      <c r="ER260" s="150">
        <f t="shared" si="772"/>
        <v>0.15620000000000001</v>
      </c>
      <c r="ES260" s="456"/>
      <c r="EU260" s="144">
        <f t="shared" si="727"/>
        <v>706.2</v>
      </c>
      <c r="EV260" s="456">
        <f t="shared" si="728"/>
        <v>3.6251510428459283E-2</v>
      </c>
      <c r="EW260" s="456">
        <f t="shared" si="729"/>
        <v>1.9557835872607017E-2</v>
      </c>
      <c r="EX260" s="456">
        <f t="shared" si="730"/>
        <v>2.6548192936099516E-3</v>
      </c>
      <c r="EY260" s="456">
        <f t="shared" si="731"/>
        <v>42.657851179101591</v>
      </c>
      <c r="EZ260" s="456"/>
      <c r="FA260" s="538">
        <f t="shared" si="732"/>
        <v>5.3752442941723995E-2</v>
      </c>
      <c r="FB260" s="144">
        <f t="shared" si="733"/>
        <v>42770.067787637992</v>
      </c>
      <c r="FC260" s="150">
        <f t="shared" si="734"/>
        <v>46.529764633303849</v>
      </c>
      <c r="FD260" s="5">
        <f t="shared" si="735"/>
        <v>40.04</v>
      </c>
      <c r="FE260" s="150">
        <f t="shared" si="736"/>
        <v>0.46251714059294552</v>
      </c>
      <c r="FF260" s="5">
        <f t="shared" si="737"/>
        <v>46.251714059294549</v>
      </c>
      <c r="FG260">
        <f t="shared" si="738"/>
        <v>44</v>
      </c>
      <c r="FI260" s="59">
        <f t="shared" si="689"/>
        <v>-50</v>
      </c>
    </row>
    <row r="261" spans="5:165">
      <c r="E261" s="147">
        <v>45</v>
      </c>
      <c r="F261" s="188">
        <f t="shared" si="773"/>
        <v>0.22500000000000001</v>
      </c>
      <c r="G261" s="188">
        <f t="shared" si="742"/>
        <v>0.22500000000000001</v>
      </c>
      <c r="H261" s="188">
        <f t="shared" si="743"/>
        <v>38.25</v>
      </c>
      <c r="I261" s="188">
        <f t="shared" si="744"/>
        <v>2.7</v>
      </c>
      <c r="J261" s="465">
        <f t="shared" si="745"/>
        <v>15.956051500068199</v>
      </c>
      <c r="K261" s="379">
        <f t="shared" si="746"/>
        <v>8.6506453252560007</v>
      </c>
      <c r="L261" s="149">
        <f t="shared" si="747"/>
        <v>24.6066968253242</v>
      </c>
      <c r="M261" s="379"/>
      <c r="N261" s="188">
        <f t="shared" si="748"/>
        <v>0.35155654522280749</v>
      </c>
      <c r="O261" s="149">
        <f t="shared" si="749"/>
        <v>174.65334028010972</v>
      </c>
      <c r="P261" s="149">
        <f t="shared" si="750"/>
        <v>12.32847107859598</v>
      </c>
      <c r="Q261" s="188">
        <f t="shared" si="626"/>
        <v>1.0273725898829984</v>
      </c>
      <c r="R261" s="188">
        <f t="shared" si="751"/>
        <v>14.554445023342476</v>
      </c>
      <c r="S261" s="188">
        <f t="shared" si="752"/>
        <v>170</v>
      </c>
      <c r="T261" s="188">
        <f t="shared" si="753"/>
        <v>14.600350591121247</v>
      </c>
      <c r="U261" s="188">
        <f t="shared" si="630"/>
        <v>1.3725529706762518</v>
      </c>
      <c r="V261" s="188">
        <f t="shared" si="631"/>
        <v>2.5316638312221826</v>
      </c>
      <c r="W261" s="172">
        <f t="shared" si="632"/>
        <v>280.47271703805853</v>
      </c>
      <c r="X261" s="379">
        <f t="shared" si="691"/>
        <v>243.6518459593662</v>
      </c>
      <c r="Z261" s="188">
        <f t="shared" si="633"/>
        <v>13.333333333333334</v>
      </c>
      <c r="AA261" s="150">
        <f t="shared" si="634"/>
        <v>2.3119662462185313</v>
      </c>
      <c r="AB261" s="150">
        <f t="shared" si="754"/>
        <v>0.20189631375846653</v>
      </c>
      <c r="AC261" s="150"/>
      <c r="AD261" s="150">
        <f t="shared" si="636"/>
        <v>2.3119662462185313</v>
      </c>
      <c r="AE261" s="314">
        <f t="shared" si="755"/>
        <v>312.5681700610881</v>
      </c>
      <c r="AF261" s="456">
        <f t="shared" si="756"/>
        <v>0.20189631375846653</v>
      </c>
      <c r="AH261" s="150">
        <f t="shared" si="757"/>
        <v>12.489995996796797</v>
      </c>
      <c r="AI261" s="150">
        <f t="shared" si="758"/>
        <v>14.600350591121247</v>
      </c>
      <c r="AJ261" s="150">
        <f t="shared" si="759"/>
        <v>2.1385313020651204</v>
      </c>
      <c r="AL261" s="314">
        <f t="shared" si="760"/>
        <v>225</v>
      </c>
      <c r="AM261" s="144">
        <f t="shared" si="761"/>
        <v>243.6518459593662</v>
      </c>
      <c r="AO261">
        <f t="shared" si="644"/>
        <v>225</v>
      </c>
      <c r="AP261">
        <f t="shared" si="645"/>
        <v>243.6518459593662</v>
      </c>
      <c r="AR261" s="5">
        <f t="shared" si="616"/>
        <v>4.1042168018984349</v>
      </c>
      <c r="AS261" s="5">
        <f t="shared" si="739"/>
        <v>1.3725529706762518</v>
      </c>
      <c r="AT261" s="5">
        <f t="shared" si="740"/>
        <v>2.7316638312221828</v>
      </c>
      <c r="AU261" s="150">
        <f t="shared" si="741"/>
        <v>0.33442506498228058</v>
      </c>
      <c r="BA261" s="150">
        <f t="shared" si="692"/>
        <v>4.8747468477626903</v>
      </c>
      <c r="BB261" s="150">
        <f t="shared" si="693"/>
        <v>0.32118013328834494</v>
      </c>
      <c r="BC261" s="150">
        <f t="shared" si="694"/>
        <v>0.3055344098836737</v>
      </c>
      <c r="BD261" s="150"/>
      <c r="BE261" s="456">
        <f t="shared" si="695"/>
        <v>8.0794733221225767E-2</v>
      </c>
      <c r="BF261" s="456">
        <f t="shared" si="762"/>
        <v>2.0964853242969341</v>
      </c>
      <c r="BG261" s="456">
        <f t="shared" si="763"/>
        <v>0.17805764022141635</v>
      </c>
      <c r="BH261" s="456">
        <f t="shared" si="696"/>
        <v>0.10105711933534856</v>
      </c>
      <c r="BI261">
        <f t="shared" si="697"/>
        <v>7.1802231750306891E-3</v>
      </c>
      <c r="BJ261" s="144">
        <f t="shared" si="698"/>
        <v>185.23786339644704</v>
      </c>
      <c r="BK261">
        <f t="shared" si="764"/>
        <v>2.3451716123341426</v>
      </c>
      <c r="BL261" s="144">
        <f t="shared" si="699"/>
        <v>2463.5750402499552</v>
      </c>
      <c r="BM261" s="150">
        <f t="shared" si="765"/>
        <v>0.49921874999999999</v>
      </c>
      <c r="BN261" s="150">
        <f t="shared" si="766"/>
        <v>0.15975</v>
      </c>
      <c r="BQ261" s="144">
        <f t="shared" si="700"/>
        <v>658.96875</v>
      </c>
      <c r="BR261" s="456">
        <f t="shared" si="701"/>
        <v>3.5644735244658429E-2</v>
      </c>
      <c r="BS261" s="456">
        <f t="shared" si="702"/>
        <v>2.0631335603823804E-2</v>
      </c>
      <c r="BT261" s="456">
        <f t="shared" si="703"/>
        <v>2.8005382686889413E-3</v>
      </c>
      <c r="BU261" s="456">
        <f t="shared" si="704"/>
        <v>37.740050804553306</v>
      </c>
      <c r="BV261" s="456"/>
      <c r="BW261" s="538">
        <f t="shared" si="705"/>
        <v>5.1939321842123722E-2</v>
      </c>
      <c r="BX261" s="144">
        <f t="shared" si="706"/>
        <v>37851.066735512606</v>
      </c>
      <c r="BY261" s="150">
        <f t="shared" si="707"/>
        <v>40.97361052576256</v>
      </c>
      <c r="BZ261" s="5">
        <f t="shared" si="708"/>
        <v>40.950000000000003</v>
      </c>
      <c r="CA261" s="150">
        <f t="shared" si="709"/>
        <v>0.49985589913816642</v>
      </c>
      <c r="CB261" s="5">
        <f t="shared" si="710"/>
        <v>49.985589913816639</v>
      </c>
      <c r="CC261">
        <f t="shared" si="711"/>
        <v>45</v>
      </c>
      <c r="CE261" s="59">
        <f t="shared" si="767"/>
        <v>-50</v>
      </c>
      <c r="CG261" s="150">
        <f t="shared" si="768"/>
        <v>0.63502377808469512</v>
      </c>
      <c r="CH261" s="150">
        <f t="shared" si="769"/>
        <v>0.17735551404972849</v>
      </c>
      <c r="CI261" s="147">
        <v>45</v>
      </c>
      <c r="CJ261" s="188">
        <f t="shared" si="712"/>
        <v>0.22500000000000001</v>
      </c>
      <c r="CK261" s="188">
        <f t="shared" si="654"/>
        <v>0.22500000000000001</v>
      </c>
      <c r="CL261" s="188">
        <f t="shared" si="655"/>
        <v>38.25</v>
      </c>
      <c r="CM261" s="188">
        <f t="shared" si="656"/>
        <v>2.7</v>
      </c>
      <c r="CN261" s="465">
        <f t="shared" si="657"/>
        <v>16</v>
      </c>
      <c r="CO261" s="379">
        <f t="shared" si="770"/>
        <v>8.625</v>
      </c>
      <c r="CP261" s="379">
        <f t="shared" si="771"/>
        <v>24.625</v>
      </c>
      <c r="CQ261" s="379"/>
      <c r="CR261" s="188">
        <f t="shared" si="660"/>
        <v>0.34787038923986141</v>
      </c>
      <c r="CS261" s="149">
        <f t="shared" si="661"/>
        <v>173.29806936491266</v>
      </c>
      <c r="CT261" s="149">
        <f t="shared" si="662"/>
        <v>12.232804896346776</v>
      </c>
      <c r="CU261" s="188">
        <f t="shared" si="663"/>
        <v>1.0194004080288981</v>
      </c>
      <c r="CV261" s="188">
        <f t="shared" si="664"/>
        <v>14.441505780409388</v>
      </c>
      <c r="CW261" s="188">
        <f t="shared" si="665"/>
        <v>170</v>
      </c>
      <c r="CX261" s="188">
        <f t="shared" si="666"/>
        <v>14.714532073813709</v>
      </c>
      <c r="CY261" s="188">
        <f t="shared" si="667"/>
        <v>1.3794873819200353</v>
      </c>
      <c r="CZ261" s="188">
        <f t="shared" si="668"/>
        <v>2.5590490563154278</v>
      </c>
      <c r="DA261" s="172">
        <f t="shared" si="669"/>
        <v>280.20304568527916</v>
      </c>
      <c r="DB261" s="379">
        <f t="shared" si="670"/>
        <v>253.90142142445643</v>
      </c>
      <c r="DD261" s="188">
        <f t="shared" si="671"/>
        <v>13.333333333333332</v>
      </c>
      <c r="DE261" s="150">
        <f t="shared" si="672"/>
        <v>2.318840579710145</v>
      </c>
      <c r="DF261" s="150">
        <f t="shared" si="673"/>
        <v>0.20230192819025303</v>
      </c>
      <c r="DG261" s="150"/>
      <c r="DH261" s="150">
        <f t="shared" si="674"/>
        <v>2.3188405797101455</v>
      </c>
      <c r="DI261" s="314">
        <f t="shared" si="675"/>
        <v>311.64154411764696</v>
      </c>
      <c r="DJ261" s="456">
        <f t="shared" si="676"/>
        <v>0.20230192819025311</v>
      </c>
      <c r="DL261" s="150">
        <f t="shared" si="677"/>
        <v>12.489995996796797</v>
      </c>
      <c r="DM261" s="150">
        <f t="shared" si="678"/>
        <v>14.714532073813709</v>
      </c>
      <c r="DN261" s="150">
        <f t="shared" si="679"/>
        <v>2.2231101781336111</v>
      </c>
      <c r="DP261" s="314">
        <f t="shared" si="680"/>
        <v>225</v>
      </c>
      <c r="DQ261" s="144">
        <f t="shared" si="681"/>
        <v>253.90142142445643</v>
      </c>
      <c r="DS261">
        <f t="shared" si="682"/>
        <v>225</v>
      </c>
      <c r="DT261">
        <f t="shared" si="683"/>
        <v>253.90142142445643</v>
      </c>
      <c r="DV261" s="5">
        <f t="shared" si="684"/>
        <v>3.9385364382354631</v>
      </c>
      <c r="DW261" s="5">
        <f t="shared" si="685"/>
        <v>1.3794873819200353</v>
      </c>
      <c r="DX261" s="5">
        <f t="shared" si="686"/>
        <v>2.5590490563154278</v>
      </c>
      <c r="DY261" s="150">
        <f t="shared" si="687"/>
        <v>0.35025380710659898</v>
      </c>
      <c r="EA261" s="5">
        <f t="shared" si="713"/>
        <v>0.18257921231294585</v>
      </c>
      <c r="EB261" s="5">
        <f t="shared" si="714"/>
        <v>2.586538841100066</v>
      </c>
      <c r="EC261" s="5">
        <f t="shared" si="715"/>
        <v>10.196211083756781</v>
      </c>
      <c r="ED261" s="5"/>
      <c r="EE261" s="150">
        <f t="shared" si="716"/>
        <v>5.027791517207751</v>
      </c>
      <c r="EF261" s="150">
        <f t="shared" si="717"/>
        <v>0.31981971953134553</v>
      </c>
      <c r="EG261" s="150">
        <f t="shared" si="718"/>
        <v>0.30424026628211631</v>
      </c>
      <c r="EH261" s="150"/>
      <c r="EI261" s="456">
        <f t="shared" si="719"/>
        <v>8.5947537637721144E-2</v>
      </c>
      <c r="EJ261" s="456">
        <f t="shared" si="720"/>
        <v>2.7967999999999997</v>
      </c>
      <c r="EK261" s="456">
        <f t="shared" si="721"/>
        <v>5.8143425506200525E-2</v>
      </c>
      <c r="EL261" s="456">
        <f t="shared" si="722"/>
        <v>0.10546495751378571</v>
      </c>
      <c r="EM261">
        <f t="shared" si="723"/>
        <v>7.1999999999999998E-3</v>
      </c>
      <c r="EN261" s="144">
        <f t="shared" si="724"/>
        <v>65.343425506200518</v>
      </c>
      <c r="EP261" s="144">
        <f t="shared" si="725"/>
        <v>3053.5559206577068</v>
      </c>
      <c r="EQ261" s="150">
        <f t="shared" si="726"/>
        <v>0.5625</v>
      </c>
      <c r="ER261" s="150">
        <f t="shared" si="772"/>
        <v>0.15975</v>
      </c>
      <c r="ES261" s="456"/>
      <c r="EU261" s="144">
        <f t="shared" si="727"/>
        <v>722.25000000000011</v>
      </c>
      <c r="EV261" s="456">
        <f t="shared" si="728"/>
        <v>3.7918031310759326E-2</v>
      </c>
      <c r="EW261" s="456">
        <f t="shared" si="729"/>
        <v>2.0456930600221704E-2</v>
      </c>
      <c r="EX261" s="456">
        <f t="shared" si="730"/>
        <v>2.7768641888223913E-3</v>
      </c>
      <c r="EY261" s="456">
        <f t="shared" si="731"/>
        <v>42.657851179101563</v>
      </c>
      <c r="EZ261" s="456"/>
      <c r="FA261" s="538">
        <f t="shared" si="732"/>
        <v>5.4974089372217712E-2</v>
      </c>
      <c r="FB261" s="144">
        <f t="shared" si="733"/>
        <v>42773.97709457358</v>
      </c>
      <c r="FC261" s="150">
        <f t="shared" si="734"/>
        <v>46.549783015231291</v>
      </c>
      <c r="FD261" s="5">
        <f t="shared" si="735"/>
        <v>40.950000000000003</v>
      </c>
      <c r="FE261" s="150">
        <f t="shared" si="736"/>
        <v>0.46800116056141239</v>
      </c>
      <c r="FF261" s="5">
        <f t="shared" si="737"/>
        <v>46.800116056141242</v>
      </c>
      <c r="FG261">
        <f t="shared" si="738"/>
        <v>45</v>
      </c>
      <c r="FI261" s="59">
        <f t="shared" si="689"/>
        <v>-50</v>
      </c>
    </row>
    <row r="262" spans="5:165">
      <c r="E262" s="147">
        <v>46</v>
      </c>
      <c r="F262" s="188">
        <f t="shared" si="773"/>
        <v>0.23</v>
      </c>
      <c r="G262" s="188">
        <f t="shared" si="742"/>
        <v>0.23</v>
      </c>
      <c r="H262" s="188">
        <f t="shared" si="743"/>
        <v>39.1</v>
      </c>
      <c r="I262" s="188">
        <f t="shared" si="744"/>
        <v>2.7600000000000002</v>
      </c>
      <c r="J262" s="465">
        <f t="shared" si="745"/>
        <v>15.95507486673638</v>
      </c>
      <c r="K262" s="379">
        <f t="shared" si="746"/>
        <v>8.6512152213727997</v>
      </c>
      <c r="L262" s="149">
        <f t="shared" si="747"/>
        <v>24.60629008810918</v>
      </c>
      <c r="M262" s="379"/>
      <c r="N262" s="188">
        <f t="shared" si="748"/>
        <v>0.35158551697126583</v>
      </c>
      <c r="O262" s="149">
        <f t="shared" si="749"/>
        <v>174.65704243722516</v>
      </c>
      <c r="P262" s="149">
        <f t="shared" si="750"/>
        <v>12.328732407333542</v>
      </c>
      <c r="Q262" s="188">
        <f t="shared" si="626"/>
        <v>1.027394367277795</v>
      </c>
      <c r="R262" s="188">
        <f t="shared" si="751"/>
        <v>14.554753536435429</v>
      </c>
      <c r="S262" s="188">
        <f t="shared" si="752"/>
        <v>170</v>
      </c>
      <c r="T262" s="188">
        <f t="shared" si="753"/>
        <v>14.924486469553891</v>
      </c>
      <c r="U262" s="188">
        <f t="shared" si="630"/>
        <v>1.4031102888149629</v>
      </c>
      <c r="V262" s="188">
        <f t="shared" si="631"/>
        <v>2.5876976969691485</v>
      </c>
      <c r="W262" s="172">
        <f t="shared" si="632"/>
        <v>280.478662266838</v>
      </c>
      <c r="X262" s="379">
        <f t="shared" si="691"/>
        <v>238.61747028070943</v>
      </c>
      <c r="Z262" s="188">
        <f t="shared" si="633"/>
        <v>13.333333333333334</v>
      </c>
      <c r="AA262" s="150">
        <f t="shared" si="634"/>
        <v>2.3118139461598486</v>
      </c>
      <c r="AB262" s="150">
        <f t="shared" si="754"/>
        <v>0.20188729325070481</v>
      </c>
      <c r="AC262" s="150"/>
      <c r="AD262" s="150">
        <f t="shared" si="636"/>
        <v>2.3118139461598486</v>
      </c>
      <c r="AE262" s="314">
        <f t="shared" si="755"/>
        <v>319.5351786764694</v>
      </c>
      <c r="AF262" s="456">
        <f t="shared" si="756"/>
        <v>0.20188729325070484</v>
      </c>
      <c r="AH262" s="150">
        <f t="shared" si="757"/>
        <v>12.628011192055013</v>
      </c>
      <c r="AI262" s="150">
        <f t="shared" si="758"/>
        <v>14.924486469553891</v>
      </c>
      <c r="AJ262" s="150">
        <f t="shared" si="759"/>
        <v>2.3786319527559678</v>
      </c>
      <c r="AL262" s="314">
        <f t="shared" si="760"/>
        <v>230</v>
      </c>
      <c r="AM262" s="144">
        <f t="shared" si="761"/>
        <v>238.61747028070943</v>
      </c>
      <c r="AO262">
        <f t="shared" si="644"/>
        <v>230</v>
      </c>
      <c r="AP262">
        <f t="shared" si="645"/>
        <v>238.61747028070943</v>
      </c>
      <c r="AR262" s="5">
        <f t="shared" si="616"/>
        <v>4.1908079857841116</v>
      </c>
      <c r="AS262" s="5">
        <f t="shared" si="739"/>
        <v>1.4031102888149629</v>
      </c>
      <c r="AT262" s="5">
        <f t="shared" si="740"/>
        <v>2.7876976969691487</v>
      </c>
      <c r="AU262" s="150">
        <f t="shared" si="741"/>
        <v>0.33480662764186203</v>
      </c>
      <c r="BA262" s="150">
        <f t="shared" si="692"/>
        <v>4.9858107823068663</v>
      </c>
      <c r="BB262" s="150">
        <f t="shared" si="693"/>
        <v>0.32821638945383469</v>
      </c>
      <c r="BC262" s="150">
        <f t="shared" si="694"/>
        <v>0.31222790724698429</v>
      </c>
      <c r="BD262" s="150"/>
      <c r="BE262" s="456">
        <f t="shared" si="695"/>
        <v>8.4518251133689173E-2</v>
      </c>
      <c r="BF262" s="456">
        <f t="shared" si="762"/>
        <v>2.0987141528131268</v>
      </c>
      <c r="BG262" s="456">
        <f t="shared" si="763"/>
        <v>0.17436790981007028</v>
      </c>
      <c r="BH262" s="456">
        <f t="shared" si="696"/>
        <v>9.8965788234276056E-2</v>
      </c>
      <c r="BI262">
        <f t="shared" si="697"/>
        <v>7.1797836900313709E-3</v>
      </c>
      <c r="BJ262" s="144">
        <f t="shared" si="698"/>
        <v>181.54769350010164</v>
      </c>
      <c r="BK262">
        <f t="shared" si="764"/>
        <v>2.3522550148532084</v>
      </c>
      <c r="BL262" s="144">
        <f t="shared" si="699"/>
        <v>2463.7458856811936</v>
      </c>
      <c r="BM262" s="150">
        <f t="shared" si="765"/>
        <v>0.51031250000000006</v>
      </c>
      <c r="BN262" s="150">
        <f t="shared" si="766"/>
        <v>0.1633</v>
      </c>
      <c r="BQ262" s="144">
        <f t="shared" si="700"/>
        <v>673.61250000000007</v>
      </c>
      <c r="BR262" s="456">
        <f t="shared" si="701"/>
        <v>3.728746373545111E-2</v>
      </c>
      <c r="BS262" s="456">
        <f t="shared" si="702"/>
        <v>2.1545199661222258E-2</v>
      </c>
      <c r="BT262" s="456">
        <f t="shared" si="703"/>
        <v>2.9245879819149428E-3</v>
      </c>
      <c r="BU262" s="456">
        <f t="shared" si="704"/>
        <v>37.842000648191352</v>
      </c>
      <c r="BV262" s="456"/>
      <c r="BW262" s="538">
        <f t="shared" si="705"/>
        <v>5.3149726051746525E-2</v>
      </c>
      <c r="BX262" s="144">
        <f t="shared" si="706"/>
        <v>37956.907625621687</v>
      </c>
      <c r="BY262" s="150">
        <f t="shared" si="707"/>
        <v>41.094266011302885</v>
      </c>
      <c r="BZ262" s="5">
        <f t="shared" si="708"/>
        <v>41.86</v>
      </c>
      <c r="CA262" s="150">
        <f t="shared" si="709"/>
        <v>0.50461539849314552</v>
      </c>
      <c r="CB262" s="5">
        <f t="shared" si="710"/>
        <v>50.461539849314555</v>
      </c>
      <c r="CC262">
        <f t="shared" si="711"/>
        <v>46</v>
      </c>
      <c r="CE262" s="59">
        <f t="shared" si="767"/>
        <v>-50</v>
      </c>
      <c r="CG262" s="150">
        <f t="shared" si="768"/>
        <v>0.63502377808469512</v>
      </c>
      <c r="CH262" s="150">
        <f t="shared" si="769"/>
        <v>0.17735551404972849</v>
      </c>
      <c r="CI262" s="147">
        <v>46</v>
      </c>
      <c r="CJ262" s="188">
        <f t="shared" si="712"/>
        <v>0.23</v>
      </c>
      <c r="CK262" s="188">
        <f t="shared" si="654"/>
        <v>0.23</v>
      </c>
      <c r="CL262" s="188">
        <f t="shared" si="655"/>
        <v>39.1</v>
      </c>
      <c r="CM262" s="188">
        <f t="shared" si="656"/>
        <v>2.7600000000000002</v>
      </c>
      <c r="CN262" s="465">
        <f t="shared" si="657"/>
        <v>16</v>
      </c>
      <c r="CO262" s="379">
        <f t="shared" si="770"/>
        <v>8.625</v>
      </c>
      <c r="CP262" s="379">
        <f t="shared" si="771"/>
        <v>24.625</v>
      </c>
      <c r="CQ262" s="379"/>
      <c r="CR262" s="188">
        <f t="shared" si="660"/>
        <v>0.34787038923986141</v>
      </c>
      <c r="CS262" s="149">
        <f t="shared" si="661"/>
        <v>173.29806936491266</v>
      </c>
      <c r="CT262" s="149">
        <f t="shared" si="662"/>
        <v>12.232804896346776</v>
      </c>
      <c r="CU262" s="188">
        <f t="shared" si="663"/>
        <v>1.0194004080288981</v>
      </c>
      <c r="CV262" s="188">
        <f t="shared" si="664"/>
        <v>14.441505780409388</v>
      </c>
      <c r="CW262" s="188">
        <f t="shared" si="665"/>
        <v>170</v>
      </c>
      <c r="CX262" s="188">
        <f t="shared" si="666"/>
        <v>15.041521675454014</v>
      </c>
      <c r="CY262" s="188">
        <f t="shared" si="667"/>
        <v>1.410142657073814</v>
      </c>
      <c r="CZ262" s="188">
        <f t="shared" si="668"/>
        <v>2.6159168131224373</v>
      </c>
      <c r="DA262" s="172">
        <f t="shared" si="669"/>
        <v>280.20304568527916</v>
      </c>
      <c r="DB262" s="379">
        <f t="shared" si="670"/>
        <v>248.38182530653344</v>
      </c>
      <c r="DD262" s="188">
        <f t="shared" si="671"/>
        <v>13.333333333333332</v>
      </c>
      <c r="DE262" s="150">
        <f t="shared" si="672"/>
        <v>2.318840579710145</v>
      </c>
      <c r="DF262" s="150">
        <f t="shared" si="673"/>
        <v>0.20230192819025303</v>
      </c>
      <c r="DG262" s="150"/>
      <c r="DH262" s="150">
        <f t="shared" si="674"/>
        <v>2.3188405797101455</v>
      </c>
      <c r="DI262" s="314">
        <f t="shared" si="675"/>
        <v>318.56691176470576</v>
      </c>
      <c r="DJ262" s="456">
        <f t="shared" si="676"/>
        <v>0.20230192819025311</v>
      </c>
      <c r="DL262" s="150">
        <f t="shared" si="677"/>
        <v>12.628011192055013</v>
      </c>
      <c r="DM262" s="150">
        <f t="shared" si="678"/>
        <v>15.041521675454014</v>
      </c>
      <c r="DN262" s="150">
        <f t="shared" si="679"/>
        <v>2.4653246978671701</v>
      </c>
      <c r="DP262" s="314">
        <f t="shared" si="680"/>
        <v>230</v>
      </c>
      <c r="DQ262" s="144">
        <f t="shared" si="681"/>
        <v>248.38182530653344</v>
      </c>
      <c r="DS262">
        <f t="shared" si="682"/>
        <v>230</v>
      </c>
      <c r="DT262">
        <f t="shared" si="683"/>
        <v>248.38182530653344</v>
      </c>
      <c r="DV262" s="5">
        <f t="shared" si="684"/>
        <v>4.0260594701962518</v>
      </c>
      <c r="DW262" s="5">
        <f t="shared" si="685"/>
        <v>1.410142657073814</v>
      </c>
      <c r="DX262" s="5">
        <f t="shared" si="686"/>
        <v>2.6159168131224377</v>
      </c>
      <c r="DY262" s="150">
        <f t="shared" si="687"/>
        <v>0.35025380710659898</v>
      </c>
      <c r="EA262" s="5">
        <f t="shared" si="713"/>
        <v>0.19078400654528074</v>
      </c>
      <c r="EB262" s="5">
        <f t="shared" si="714"/>
        <v>2.702773426058144</v>
      </c>
      <c r="EC262" s="5">
        <f t="shared" si="715"/>
        <v>10.654411186779928</v>
      </c>
      <c r="ED262" s="5"/>
      <c r="EE262" s="150">
        <f t="shared" si="716"/>
        <v>5.1395202175901451</v>
      </c>
      <c r="EF262" s="150">
        <f t="shared" si="717"/>
        <v>0.32692682440981979</v>
      </c>
      <c r="EG262" s="150">
        <f t="shared" si="718"/>
        <v>0.31100116108838555</v>
      </c>
      <c r="EH262" s="150"/>
      <c r="EI262" s="456">
        <f t="shared" si="719"/>
        <v>8.9809871427860691E-2</v>
      </c>
      <c r="EJ262" s="456">
        <f t="shared" si="720"/>
        <v>2.7967999999999997</v>
      </c>
      <c r="EK262" s="456">
        <f t="shared" si="721"/>
        <v>5.687943799519616E-2</v>
      </c>
      <c r="EL262" s="456">
        <f t="shared" si="722"/>
        <v>0.1031722410460947</v>
      </c>
      <c r="EM262">
        <f t="shared" si="723"/>
        <v>7.1999999999999998E-3</v>
      </c>
      <c r="EN262" s="144">
        <f t="shared" si="724"/>
        <v>64.079437995196159</v>
      </c>
      <c r="EP262" s="144">
        <f t="shared" si="725"/>
        <v>3053.8615504691516</v>
      </c>
      <c r="EQ262" s="150">
        <f t="shared" si="726"/>
        <v>0.57500000000000007</v>
      </c>
      <c r="ER262" s="150">
        <f t="shared" si="772"/>
        <v>0.1633</v>
      </c>
      <c r="ES262" s="456"/>
      <c r="EU262" s="144">
        <f t="shared" si="727"/>
        <v>738.30000000000007</v>
      </c>
      <c r="EV262" s="456">
        <f t="shared" si="728"/>
        <v>3.9622002100526778E-2</v>
      </c>
      <c r="EW262" s="456">
        <f t="shared" si="729"/>
        <v>2.1376229703737828E-2</v>
      </c>
      <c r="EX262" s="456">
        <f t="shared" si="730"/>
        <v>2.901651665949718E-3</v>
      </c>
      <c r="EY262" s="456">
        <f t="shared" si="731"/>
        <v>42.65785117910152</v>
      </c>
      <c r="EZ262" s="456"/>
      <c r="FA262" s="538">
        <f t="shared" si="732"/>
        <v>5.6195735802711436E-2</v>
      </c>
      <c r="FB262" s="144">
        <f t="shared" si="733"/>
        <v>42777.946798374447</v>
      </c>
      <c r="FC262" s="150">
        <f t="shared" si="734"/>
        <v>46.570108348843597</v>
      </c>
      <c r="FD262" s="5">
        <f t="shared" si="735"/>
        <v>41.86</v>
      </c>
      <c r="FE262" s="150">
        <f t="shared" si="736"/>
        <v>0.47336818626149979</v>
      </c>
      <c r="FF262" s="5">
        <f t="shared" si="737"/>
        <v>47.336818626149977</v>
      </c>
      <c r="FG262">
        <f t="shared" si="738"/>
        <v>46</v>
      </c>
      <c r="FI262" s="59">
        <f t="shared" si="689"/>
        <v>-50</v>
      </c>
    </row>
    <row r="263" spans="5:165">
      <c r="E263" s="147">
        <v>47</v>
      </c>
      <c r="F263" s="188">
        <f t="shared" si="773"/>
        <v>0.23499999999999999</v>
      </c>
      <c r="G263" s="188">
        <f t="shared" si="742"/>
        <v>0.23499999999999999</v>
      </c>
      <c r="H263" s="188">
        <f t="shared" si="743"/>
        <v>39.949999999999996</v>
      </c>
      <c r="I263" s="188">
        <f t="shared" si="744"/>
        <v>2.82</v>
      </c>
      <c r="J263" s="465">
        <f t="shared" si="745"/>
        <v>15.954098233404563</v>
      </c>
      <c r="K263" s="379">
        <f t="shared" si="746"/>
        <v>8.6517851174895988</v>
      </c>
      <c r="L263" s="149">
        <f t="shared" si="747"/>
        <v>24.60588335089416</v>
      </c>
      <c r="M263" s="379"/>
      <c r="N263" s="188">
        <f t="shared" si="748"/>
        <v>0.35161448967753473</v>
      </c>
      <c r="O263" s="149">
        <f t="shared" si="749"/>
        <v>174.66074330817708</v>
      </c>
      <c r="P263" s="149">
        <f t="shared" si="750"/>
        <v>12.328993645283088</v>
      </c>
      <c r="Q263" s="188">
        <f t="shared" si="626"/>
        <v>1.0274161371069239</v>
      </c>
      <c r="R263" s="188">
        <f t="shared" si="751"/>
        <v>14.55506194234809</v>
      </c>
      <c r="S263" s="188">
        <f t="shared" si="752"/>
        <v>170</v>
      </c>
      <c r="T263" s="188">
        <f t="shared" si="753"/>
        <v>15.248608719327741</v>
      </c>
      <c r="U263" s="188">
        <f t="shared" si="630"/>
        <v>1.433670066735611</v>
      </c>
      <c r="V263" s="188">
        <f t="shared" si="631"/>
        <v>2.6437218179117719</v>
      </c>
      <c r="W263" s="172">
        <f t="shared" si="632"/>
        <v>280.48460543019019</v>
      </c>
      <c r="X263" s="379">
        <f t="shared" si="691"/>
        <v>233.78732343633209</v>
      </c>
      <c r="Z263" s="188">
        <f t="shared" si="633"/>
        <v>13.333333333333334</v>
      </c>
      <c r="AA263" s="150">
        <f t="shared" si="634"/>
        <v>2.3116616661652829</v>
      </c>
      <c r="AB263" s="150">
        <f t="shared" si="754"/>
        <v>0.2018782724447237</v>
      </c>
      <c r="AC263" s="150"/>
      <c r="AD263" s="150">
        <f t="shared" si="636"/>
        <v>2.3116616661652829</v>
      </c>
      <c r="AE263" s="314">
        <f t="shared" si="755"/>
        <v>326.50310247796767</v>
      </c>
      <c r="AF263" s="456">
        <f t="shared" si="756"/>
        <v>0.20187827244472364</v>
      </c>
      <c r="AH263" s="150">
        <f t="shared" si="757"/>
        <v>12.764534199622535</v>
      </c>
      <c r="AI263" s="150">
        <f t="shared" si="758"/>
        <v>15.248608719327741</v>
      </c>
      <c r="AJ263" s="150">
        <f t="shared" si="759"/>
        <v>2.6187225081440055</v>
      </c>
      <c r="AL263" s="314">
        <f t="shared" si="760"/>
        <v>235</v>
      </c>
      <c r="AM263" s="144">
        <f t="shared" si="761"/>
        <v>233.78732343633209</v>
      </c>
      <c r="AO263">
        <f t="shared" si="644"/>
        <v>235</v>
      </c>
      <c r="AP263">
        <f t="shared" si="645"/>
        <v>233.78732343633209</v>
      </c>
      <c r="AR263" s="5">
        <f t="shared" ref="AR263:AR316" si="774">1/AM263*1000</f>
        <v>4.2773918846473844</v>
      </c>
      <c r="AS263" s="5">
        <f t="shared" si="739"/>
        <v>1.433670066735611</v>
      </c>
      <c r="AT263" s="5">
        <f t="shared" si="740"/>
        <v>2.8437218179117734</v>
      </c>
      <c r="AU263" s="150">
        <f t="shared" si="741"/>
        <v>0.33517388759290606</v>
      </c>
      <c r="BA263" s="150">
        <f t="shared" si="692"/>
        <v>5.0968832009730258</v>
      </c>
      <c r="BB263" s="150">
        <f t="shared" si="693"/>
        <v>0.33525183632585981</v>
      </c>
      <c r="BC263" s="150">
        <f t="shared" si="694"/>
        <v>0.3189206347401331</v>
      </c>
      <c r="BD263" s="150"/>
      <c r="BE263" s="456">
        <f t="shared" si="695"/>
        <v>8.832594243882752E-2</v>
      </c>
      <c r="BF263" s="456">
        <f t="shared" si="762"/>
        <v>2.1008529650397416</v>
      </c>
      <c r="BG263" s="456">
        <f t="shared" si="763"/>
        <v>0.17082785931132091</v>
      </c>
      <c r="BH263" s="456">
        <f t="shared" si="696"/>
        <v>9.6959295661189923E-2</v>
      </c>
      <c r="BI263">
        <f t="shared" si="697"/>
        <v>7.1793442050320537E-3</v>
      </c>
      <c r="BJ263" s="144">
        <f t="shared" si="698"/>
        <v>178.00720351635297</v>
      </c>
      <c r="BK263">
        <f t="shared" si="764"/>
        <v>2.3595033198059157</v>
      </c>
      <c r="BL263" s="144">
        <f t="shared" si="699"/>
        <v>2464.1454066561118</v>
      </c>
      <c r="BM263" s="150">
        <f t="shared" si="765"/>
        <v>0.52140624999999985</v>
      </c>
      <c r="BN263" s="150">
        <f t="shared" si="766"/>
        <v>0.16685</v>
      </c>
      <c r="BQ263" s="144">
        <f t="shared" si="700"/>
        <v>688.2562499999998</v>
      </c>
      <c r="BR263" s="456">
        <f t="shared" si="701"/>
        <v>3.8967327546541558E-2</v>
      </c>
      <c r="BS263" s="456">
        <f t="shared" si="702"/>
        <v>2.2478758751972222E-2</v>
      </c>
      <c r="BT263" s="456">
        <f t="shared" si="703"/>
        <v>3.0513111378914818E-3</v>
      </c>
      <c r="BU263" s="456">
        <f t="shared" si="704"/>
        <v>37.940054713259435</v>
      </c>
      <c r="BV263" s="456"/>
      <c r="BW263" s="538">
        <f t="shared" si="705"/>
        <v>5.4360244313767458E-2</v>
      </c>
      <c r="BX263" s="144">
        <f t="shared" si="706"/>
        <v>38058.912355009612</v>
      </c>
      <c r="BY263" s="150">
        <f t="shared" si="707"/>
        <v>41.211314011665721</v>
      </c>
      <c r="BZ263" s="5">
        <f t="shared" si="708"/>
        <v>42.769999999999996</v>
      </c>
      <c r="CA263" s="150">
        <f t="shared" si="709"/>
        <v>0.50927995713497509</v>
      </c>
      <c r="CB263" s="5">
        <f t="shared" si="710"/>
        <v>50.927995713497509</v>
      </c>
      <c r="CC263">
        <f t="shared" si="711"/>
        <v>47</v>
      </c>
      <c r="CE263" s="59">
        <f t="shared" si="767"/>
        <v>-50</v>
      </c>
      <c r="CG263" s="150">
        <f t="shared" si="768"/>
        <v>0.63502377808469523</v>
      </c>
      <c r="CH263" s="150">
        <f t="shared" si="769"/>
        <v>0.17735551404972849</v>
      </c>
      <c r="CI263" s="147">
        <v>47</v>
      </c>
      <c r="CJ263" s="188">
        <f t="shared" si="712"/>
        <v>0.23499999999999999</v>
      </c>
      <c r="CK263" s="188">
        <f t="shared" si="654"/>
        <v>0.23499999999999999</v>
      </c>
      <c r="CL263" s="188">
        <f t="shared" si="655"/>
        <v>39.949999999999996</v>
      </c>
      <c r="CM263" s="188">
        <f t="shared" si="656"/>
        <v>2.82</v>
      </c>
      <c r="CN263" s="465">
        <f t="shared" si="657"/>
        <v>16</v>
      </c>
      <c r="CO263" s="379">
        <f t="shared" si="770"/>
        <v>8.625</v>
      </c>
      <c r="CP263" s="379">
        <f t="shared" si="771"/>
        <v>24.625</v>
      </c>
      <c r="CQ263" s="379"/>
      <c r="CR263" s="188">
        <f t="shared" si="660"/>
        <v>0.34787038923986141</v>
      </c>
      <c r="CS263" s="149">
        <f t="shared" si="661"/>
        <v>173.29806936491266</v>
      </c>
      <c r="CT263" s="149">
        <f t="shared" si="662"/>
        <v>12.232804896346776</v>
      </c>
      <c r="CU263" s="188">
        <f t="shared" si="663"/>
        <v>1.0194004080288981</v>
      </c>
      <c r="CV263" s="188">
        <f t="shared" si="664"/>
        <v>14.441505780409388</v>
      </c>
      <c r="CW263" s="188">
        <f t="shared" si="665"/>
        <v>170</v>
      </c>
      <c r="CX263" s="188">
        <f t="shared" si="666"/>
        <v>15.368511277094317</v>
      </c>
      <c r="CY263" s="188">
        <f t="shared" si="667"/>
        <v>1.4407979322275921</v>
      </c>
      <c r="CZ263" s="188">
        <f t="shared" si="668"/>
        <v>2.6727845699294468</v>
      </c>
      <c r="DA263" s="172">
        <f t="shared" si="669"/>
        <v>280.20304568527916</v>
      </c>
      <c r="DB263" s="379">
        <f t="shared" si="670"/>
        <v>243.09710561916046</v>
      </c>
      <c r="DD263" s="188">
        <f t="shared" si="671"/>
        <v>13.333333333333332</v>
      </c>
      <c r="DE263" s="150">
        <f t="shared" si="672"/>
        <v>2.318840579710145</v>
      </c>
      <c r="DF263" s="150">
        <f t="shared" si="673"/>
        <v>0.20230192819025303</v>
      </c>
      <c r="DG263" s="150"/>
      <c r="DH263" s="150">
        <f t="shared" si="674"/>
        <v>2.3188405797101455</v>
      </c>
      <c r="DI263" s="314">
        <f t="shared" si="675"/>
        <v>325.49227941176457</v>
      </c>
      <c r="DJ263" s="456">
        <f t="shared" si="676"/>
        <v>0.20230192819025311</v>
      </c>
      <c r="DL263" s="150">
        <f t="shared" si="677"/>
        <v>12.764534199622535</v>
      </c>
      <c r="DM263" s="150">
        <f t="shared" si="678"/>
        <v>15.368511277094317</v>
      </c>
      <c r="DN263" s="150">
        <f t="shared" si="679"/>
        <v>2.7075392176007282</v>
      </c>
      <c r="DP263" s="314">
        <f t="shared" si="680"/>
        <v>235</v>
      </c>
      <c r="DQ263" s="144">
        <f t="shared" si="681"/>
        <v>243.09710561916046</v>
      </c>
      <c r="DS263">
        <f t="shared" si="682"/>
        <v>235</v>
      </c>
      <c r="DT263">
        <f t="shared" si="683"/>
        <v>243.09710561916046</v>
      </c>
      <c r="DV263" s="5">
        <f t="shared" si="684"/>
        <v>4.1135825021570387</v>
      </c>
      <c r="DW263" s="5">
        <f t="shared" si="685"/>
        <v>1.4407979322275921</v>
      </c>
      <c r="DX263" s="5">
        <f t="shared" si="686"/>
        <v>2.6727845699294468</v>
      </c>
      <c r="DY263" s="150">
        <f t="shared" si="687"/>
        <v>0.35025380710659898</v>
      </c>
      <c r="EA263" s="5">
        <f t="shared" si="713"/>
        <v>0.19916912592557889</v>
      </c>
      <c r="EB263" s="5">
        <f t="shared" si="714"/>
        <v>2.8215626172790342</v>
      </c>
      <c r="EC263" s="5">
        <f t="shared" si="715"/>
        <v>11.122681621737643</v>
      </c>
      <c r="ED263" s="5"/>
      <c r="EE263" s="150">
        <f t="shared" si="716"/>
        <v>5.2512489179725392</v>
      </c>
      <c r="EF263" s="150">
        <f t="shared" si="717"/>
        <v>0.33403392928829412</v>
      </c>
      <c r="EG263" s="150">
        <f t="shared" si="718"/>
        <v>0.31776205589465478</v>
      </c>
      <c r="EH263" s="150"/>
      <c r="EI263" s="456">
        <f t="shared" si="719"/>
        <v>9.3757091674926393E-2</v>
      </c>
      <c r="EJ263" s="456">
        <f t="shared" si="720"/>
        <v>2.7968000000000002</v>
      </c>
      <c r="EK263" s="456">
        <f t="shared" si="721"/>
        <v>5.5669237186787748E-2</v>
      </c>
      <c r="EL263" s="456">
        <f t="shared" si="722"/>
        <v>0.1009770869812842</v>
      </c>
      <c r="EM263">
        <f t="shared" si="723"/>
        <v>7.1999999999999998E-3</v>
      </c>
      <c r="EN263" s="144">
        <f t="shared" si="724"/>
        <v>62.86923718678775</v>
      </c>
      <c r="EP263" s="144">
        <f t="shared" si="725"/>
        <v>3054.403415842999</v>
      </c>
      <c r="EQ263" s="150">
        <f t="shared" si="726"/>
        <v>0.58749999999999991</v>
      </c>
      <c r="ER263" s="150">
        <f t="shared" si="772"/>
        <v>0.16685</v>
      </c>
      <c r="ES263" s="456"/>
      <c r="EU263" s="144">
        <f t="shared" si="727"/>
        <v>754.34999999999991</v>
      </c>
      <c r="EV263" s="456">
        <f t="shared" si="728"/>
        <v>4.1363422797761652E-2</v>
      </c>
      <c r="EW263" s="456">
        <f t="shared" si="729"/>
        <v>2.2315733183155415E-2</v>
      </c>
      <c r="EX263" s="456">
        <f t="shared" si="730"/>
        <v>3.0291817249919312E-3</v>
      </c>
      <c r="EY263" s="456">
        <f t="shared" si="731"/>
        <v>42.657851179101563</v>
      </c>
      <c r="EZ263" s="456"/>
      <c r="FA263" s="538">
        <f t="shared" si="732"/>
        <v>5.7417382233205166E-2</v>
      </c>
      <c r="FB263" s="144">
        <f t="shared" si="733"/>
        <v>42781.976899040681</v>
      </c>
      <c r="FC263" s="150">
        <f t="shared" si="734"/>
        <v>46.590730314883679</v>
      </c>
      <c r="FD263" s="5">
        <f t="shared" si="735"/>
        <v>42.769999999999996</v>
      </c>
      <c r="FE263" s="150">
        <f t="shared" si="736"/>
        <v>0.47862187170236614</v>
      </c>
      <c r="FF263" s="5">
        <f t="shared" si="737"/>
        <v>47.862187170236616</v>
      </c>
      <c r="FG263">
        <f t="shared" si="738"/>
        <v>47</v>
      </c>
      <c r="FI263" s="59">
        <f t="shared" si="689"/>
        <v>-50</v>
      </c>
    </row>
    <row r="264" spans="5:165">
      <c r="E264" s="147">
        <v>48</v>
      </c>
      <c r="F264" s="188">
        <f t="shared" si="773"/>
        <v>0.24</v>
      </c>
      <c r="G264" s="188">
        <f t="shared" si="742"/>
        <v>0.24</v>
      </c>
      <c r="H264" s="188">
        <f t="shared" si="743"/>
        <v>40.799999999999997</v>
      </c>
      <c r="I264" s="188">
        <f t="shared" si="744"/>
        <v>2.88</v>
      </c>
      <c r="J264" s="465">
        <f t="shared" si="745"/>
        <v>15.953121600072745</v>
      </c>
      <c r="K264" s="379">
        <f t="shared" si="746"/>
        <v>8.6523550136063978</v>
      </c>
      <c r="L264" s="149">
        <f t="shared" si="747"/>
        <v>24.605476613679144</v>
      </c>
      <c r="M264" s="379"/>
      <c r="N264" s="188">
        <f t="shared" si="748"/>
        <v>0.35164346334166174</v>
      </c>
      <c r="O264" s="149">
        <f t="shared" si="749"/>
        <v>174.66444289290163</v>
      </c>
      <c r="P264" s="149">
        <f t="shared" si="750"/>
        <v>12.329254792440118</v>
      </c>
      <c r="Q264" s="188">
        <f t="shared" si="626"/>
        <v>1.0274378993700095</v>
      </c>
      <c r="R264" s="188">
        <f t="shared" si="751"/>
        <v>14.555370241075137</v>
      </c>
      <c r="S264" s="188">
        <f t="shared" si="752"/>
        <v>170</v>
      </c>
      <c r="T264" s="188">
        <f t="shared" si="753"/>
        <v>15.572717348474942</v>
      </c>
      <c r="U264" s="188">
        <f t="shared" si="630"/>
        <v>1.4642323056451785</v>
      </c>
      <c r="V264" s="188">
        <f t="shared" si="631"/>
        <v>2.6997361973680842</v>
      </c>
      <c r="W264" s="172">
        <f t="shared" si="632"/>
        <v>280.49054652801266</v>
      </c>
      <c r="X264" s="379">
        <f t="shared" si="691"/>
        <v>229.14922491065488</v>
      </c>
      <c r="Z264" s="188">
        <f t="shared" si="633"/>
        <v>13.333333333333332</v>
      </c>
      <c r="AA264" s="150">
        <f t="shared" si="634"/>
        <v>2.3115094062308681</v>
      </c>
      <c r="AB264" s="150">
        <f t="shared" si="754"/>
        <v>0.20186925134050823</v>
      </c>
      <c r="AC264" s="150"/>
      <c r="AD264" s="150">
        <f t="shared" si="636"/>
        <v>2.3115094062308685</v>
      </c>
      <c r="AE264" s="314">
        <f t="shared" si="755"/>
        <v>333.47194146558292</v>
      </c>
      <c r="AF264" s="456">
        <f t="shared" si="756"/>
        <v>0.20186925134050832</v>
      </c>
      <c r="AH264" s="150">
        <f t="shared" si="757"/>
        <v>12.89961239727768</v>
      </c>
      <c r="AI264" s="150">
        <f t="shared" si="758"/>
        <v>15.572717348474942</v>
      </c>
      <c r="AJ264" s="150">
        <f t="shared" si="759"/>
        <v>2.8588029741789693</v>
      </c>
      <c r="AL264" s="314">
        <f t="shared" si="760"/>
        <v>240</v>
      </c>
      <c r="AM264" s="144">
        <f t="shared" si="761"/>
        <v>229.14922491065488</v>
      </c>
      <c r="AO264">
        <f t="shared" si="644"/>
        <v>240</v>
      </c>
      <c r="AP264">
        <f t="shared" si="645"/>
        <v>229.14922491065488</v>
      </c>
      <c r="AR264" s="5">
        <f t="shared" si="774"/>
        <v>4.363968503013262</v>
      </c>
      <c r="AS264" s="5">
        <f t="shared" si="739"/>
        <v>1.4642323056451785</v>
      </c>
      <c r="AT264" s="5">
        <f t="shared" si="740"/>
        <v>2.8997361973680835</v>
      </c>
      <c r="AU264" s="150">
        <f t="shared" si="741"/>
        <v>0.33552769792773379</v>
      </c>
      <c r="BA264" s="150">
        <f t="shared" si="692"/>
        <v>5.2079638649320188</v>
      </c>
      <c r="BB264" s="150">
        <f t="shared" si="693"/>
        <v>0.34228648583502286</v>
      </c>
      <c r="BC264" s="150">
        <f t="shared" si="694"/>
        <v>0.32561260371254469</v>
      </c>
      <c r="BD264" s="150"/>
      <c r="BE264" s="456">
        <f t="shared" si="695"/>
        <v>9.2217817902688015E-2</v>
      </c>
      <c r="BF264" s="456">
        <f t="shared" si="762"/>
        <v>2.1029071286240901</v>
      </c>
      <c r="BG264" s="456">
        <f t="shared" si="763"/>
        <v>0.16742856158994399</v>
      </c>
      <c r="BH264" s="456">
        <f t="shared" si="696"/>
        <v>9.5032581718512671E-2</v>
      </c>
      <c r="BI264">
        <f t="shared" si="697"/>
        <v>7.1789047200327347E-3</v>
      </c>
      <c r="BJ264" s="144">
        <f t="shared" si="698"/>
        <v>174.60746630997673</v>
      </c>
      <c r="BK264">
        <f t="shared" si="764"/>
        <v>2.3669177642290786</v>
      </c>
      <c r="BL264" s="144">
        <f t="shared" si="699"/>
        <v>2464.7649945552675</v>
      </c>
      <c r="BM264" s="150">
        <f t="shared" si="765"/>
        <v>0.53249999999999997</v>
      </c>
      <c r="BN264" s="150">
        <f t="shared" si="766"/>
        <v>0.1704</v>
      </c>
      <c r="BQ264" s="144">
        <f t="shared" si="700"/>
        <v>702.9</v>
      </c>
      <c r="BR264" s="456">
        <f t="shared" si="701"/>
        <v>4.0684331427656477E-2</v>
      </c>
      <c r="BS264" s="456">
        <f t="shared" si="702"/>
        <v>2.3432007677057862E-2</v>
      </c>
      <c r="BT264" s="456">
        <f t="shared" si="703"/>
        <v>3.1807070308938804E-3</v>
      </c>
      <c r="BU264" s="456">
        <f t="shared" si="704"/>
        <v>38.034436682591519</v>
      </c>
      <c r="BV264" s="456"/>
      <c r="BW264" s="538">
        <f t="shared" si="705"/>
        <v>5.55708698282407E-2</v>
      </c>
      <c r="BX264" s="144">
        <f t="shared" si="706"/>
        <v>38157.304598555362</v>
      </c>
      <c r="BY264" s="150">
        <f t="shared" si="707"/>
        <v>41.32496959311063</v>
      </c>
      <c r="BZ264" s="5">
        <f t="shared" si="708"/>
        <v>43.68</v>
      </c>
      <c r="CA264" s="150">
        <f t="shared" si="709"/>
        <v>0.5138523101541127</v>
      </c>
      <c r="CB264" s="5">
        <f t="shared" si="710"/>
        <v>51.385231015411271</v>
      </c>
      <c r="CC264">
        <f t="shared" si="711"/>
        <v>48</v>
      </c>
      <c r="CE264" s="59">
        <f t="shared" si="767"/>
        <v>-50</v>
      </c>
      <c r="CG264" s="150">
        <f t="shared" si="768"/>
        <v>0.63502377808469512</v>
      </c>
      <c r="CH264" s="150">
        <f t="shared" si="769"/>
        <v>0.17735551404972849</v>
      </c>
      <c r="CI264" s="147">
        <v>48</v>
      </c>
      <c r="CJ264" s="188">
        <f t="shared" si="712"/>
        <v>0.24</v>
      </c>
      <c r="CK264" s="188">
        <f t="shared" si="654"/>
        <v>0.24</v>
      </c>
      <c r="CL264" s="188">
        <f t="shared" si="655"/>
        <v>40.799999999999997</v>
      </c>
      <c r="CM264" s="188">
        <f t="shared" si="656"/>
        <v>2.88</v>
      </c>
      <c r="CN264" s="465">
        <f t="shared" si="657"/>
        <v>16</v>
      </c>
      <c r="CO264" s="379">
        <f t="shared" si="770"/>
        <v>8.625</v>
      </c>
      <c r="CP264" s="379">
        <f t="shared" si="771"/>
        <v>24.625</v>
      </c>
      <c r="CQ264" s="379"/>
      <c r="CR264" s="188">
        <f t="shared" si="660"/>
        <v>0.34787038923986141</v>
      </c>
      <c r="CS264" s="149">
        <f t="shared" si="661"/>
        <v>173.29806936491266</v>
      </c>
      <c r="CT264" s="149">
        <f t="shared" si="662"/>
        <v>12.232804896346776</v>
      </c>
      <c r="CU264" s="188">
        <f t="shared" si="663"/>
        <v>1.0194004080288981</v>
      </c>
      <c r="CV264" s="188">
        <f t="shared" si="664"/>
        <v>14.441505780409388</v>
      </c>
      <c r="CW264" s="188">
        <f t="shared" si="665"/>
        <v>170</v>
      </c>
      <c r="CX264" s="188">
        <f t="shared" si="666"/>
        <v>15.695500878734622</v>
      </c>
      <c r="CY264" s="188">
        <f t="shared" si="667"/>
        <v>1.4714532073813709</v>
      </c>
      <c r="CZ264" s="188">
        <f t="shared" si="668"/>
        <v>2.7296523267364563</v>
      </c>
      <c r="DA264" s="172">
        <f t="shared" si="669"/>
        <v>280.20304568527916</v>
      </c>
      <c r="DB264" s="379">
        <f t="shared" si="670"/>
        <v>238.03258258542792</v>
      </c>
      <c r="DD264" s="188">
        <f t="shared" si="671"/>
        <v>13.333333333333332</v>
      </c>
      <c r="DE264" s="150">
        <f t="shared" si="672"/>
        <v>2.318840579710145</v>
      </c>
      <c r="DF264" s="150">
        <f t="shared" si="673"/>
        <v>0.20230192819025303</v>
      </c>
      <c r="DG264" s="150"/>
      <c r="DH264" s="150">
        <f t="shared" si="674"/>
        <v>2.3188405797101455</v>
      </c>
      <c r="DI264" s="314">
        <f t="shared" si="675"/>
        <v>332.41764705882338</v>
      </c>
      <c r="DJ264" s="456">
        <f t="shared" si="676"/>
        <v>0.20230192819025311</v>
      </c>
      <c r="DL264" s="150">
        <f t="shared" si="677"/>
        <v>12.89961239727768</v>
      </c>
      <c r="DM264" s="150">
        <f t="shared" si="678"/>
        <v>15.695500878734622</v>
      </c>
      <c r="DN264" s="150">
        <f t="shared" si="679"/>
        <v>2.9497537373342873</v>
      </c>
      <c r="DP264" s="314">
        <f t="shared" si="680"/>
        <v>240</v>
      </c>
      <c r="DQ264" s="144">
        <f t="shared" si="681"/>
        <v>238.03258258542792</v>
      </c>
      <c r="DS264">
        <f t="shared" si="682"/>
        <v>240</v>
      </c>
      <c r="DT264">
        <f t="shared" si="683"/>
        <v>238.03258258542792</v>
      </c>
      <c r="DV264" s="5">
        <f t="shared" si="684"/>
        <v>4.2011055341178274</v>
      </c>
      <c r="DW264" s="5">
        <f t="shared" si="685"/>
        <v>1.4714532073813709</v>
      </c>
      <c r="DX264" s="5">
        <f t="shared" si="686"/>
        <v>2.7296523267364563</v>
      </c>
      <c r="DY264" s="150">
        <f t="shared" si="687"/>
        <v>0.35025380710659892</v>
      </c>
      <c r="EA264" s="5">
        <f t="shared" si="713"/>
        <v>0.20773457045384058</v>
      </c>
      <c r="EB264" s="5">
        <f t="shared" si="714"/>
        <v>2.9429064147627413</v>
      </c>
      <c r="EC264" s="5">
        <f t="shared" si="715"/>
        <v>11.601022388629938</v>
      </c>
      <c r="ED264" s="5"/>
      <c r="EE264" s="150">
        <f t="shared" si="716"/>
        <v>5.3629776183549334</v>
      </c>
      <c r="EF264" s="150">
        <f t="shared" si="717"/>
        <v>0.34114103416676855</v>
      </c>
      <c r="EG264" s="150">
        <f t="shared" si="718"/>
        <v>0.32452295070092407</v>
      </c>
      <c r="EH264" s="150"/>
      <c r="EI264" s="456">
        <f t="shared" si="719"/>
        <v>9.7789198378918238E-2</v>
      </c>
      <c r="EJ264" s="456">
        <f t="shared" si="720"/>
        <v>2.7967999999999997</v>
      </c>
      <c r="EK264" s="456">
        <f t="shared" si="721"/>
        <v>5.450946141206299E-2</v>
      </c>
      <c r="EL264" s="456">
        <f t="shared" si="722"/>
        <v>9.8873397669174093E-2</v>
      </c>
      <c r="EM264">
        <f t="shared" si="723"/>
        <v>7.1999999999999998E-3</v>
      </c>
      <c r="EN264" s="144">
        <f t="shared" si="724"/>
        <v>61.709461412062986</v>
      </c>
      <c r="EP264" s="144">
        <f t="shared" si="725"/>
        <v>3055.1720574601554</v>
      </c>
      <c r="EQ264" s="150">
        <f t="shared" si="726"/>
        <v>0.6</v>
      </c>
      <c r="ER264" s="150">
        <f t="shared" si="772"/>
        <v>0.1704</v>
      </c>
      <c r="ES264" s="456"/>
      <c r="EU264" s="144">
        <f t="shared" si="727"/>
        <v>770.4</v>
      </c>
      <c r="EV264" s="456">
        <f t="shared" si="728"/>
        <v>4.3142293402463928E-2</v>
      </c>
      <c r="EW264" s="456">
        <f t="shared" si="729"/>
        <v>2.3275441038474471E-2</v>
      </c>
      <c r="EX264" s="456">
        <f t="shared" si="730"/>
        <v>3.1594543659490318E-3</v>
      </c>
      <c r="EY264" s="456">
        <f t="shared" si="731"/>
        <v>42.657851179101556</v>
      </c>
      <c r="EZ264" s="456"/>
      <c r="FA264" s="538">
        <f t="shared" si="732"/>
        <v>5.863902866369889E-2</v>
      </c>
      <c r="FB264" s="144">
        <f t="shared" si="733"/>
        <v>42786.067396572143</v>
      </c>
      <c r="FC264" s="150">
        <f t="shared" si="734"/>
        <v>46.6116394540323</v>
      </c>
      <c r="FD264" s="5">
        <f t="shared" si="735"/>
        <v>43.68</v>
      </c>
      <c r="FE264" s="150">
        <f t="shared" si="736"/>
        <v>0.48376572032715831</v>
      </c>
      <c r="FF264" s="5">
        <f t="shared" si="737"/>
        <v>48.376572032715828</v>
      </c>
      <c r="FG264">
        <f t="shared" si="738"/>
        <v>48</v>
      </c>
      <c r="FI264" s="59">
        <f t="shared" si="689"/>
        <v>-50</v>
      </c>
    </row>
    <row r="265" spans="5:165">
      <c r="E265" s="147">
        <v>49</v>
      </c>
      <c r="F265" s="188">
        <f t="shared" si="773"/>
        <v>0.245</v>
      </c>
      <c r="G265" s="188">
        <f t="shared" si="742"/>
        <v>0.245</v>
      </c>
      <c r="H265" s="188">
        <f t="shared" si="743"/>
        <v>41.65</v>
      </c>
      <c r="I265" s="188">
        <f t="shared" si="744"/>
        <v>2.94</v>
      </c>
      <c r="J265" s="465">
        <f t="shared" si="745"/>
        <v>15.952144966740926</v>
      </c>
      <c r="K265" s="379">
        <f t="shared" si="746"/>
        <v>8.6529249097231986</v>
      </c>
      <c r="L265" s="149">
        <f t="shared" si="747"/>
        <v>24.605069876464125</v>
      </c>
      <c r="M265" s="379"/>
      <c r="N265" s="188">
        <f t="shared" si="748"/>
        <v>0.35167243796369452</v>
      </c>
      <c r="O265" s="149">
        <f t="shared" si="749"/>
        <v>174.66814119133522</v>
      </c>
      <c r="P265" s="149">
        <f t="shared" si="750"/>
        <v>12.329515848800133</v>
      </c>
      <c r="Q265" s="188">
        <f t="shared" si="626"/>
        <v>1.0274596540666778</v>
      </c>
      <c r="R265" s="188">
        <f t="shared" si="751"/>
        <v>14.555678432611268</v>
      </c>
      <c r="S265" s="188">
        <f t="shared" si="752"/>
        <v>170</v>
      </c>
      <c r="T265" s="188">
        <f t="shared" si="753"/>
        <v>15.896812365026811</v>
      </c>
      <c r="U265" s="188">
        <f t="shared" si="630"/>
        <v>1.4947970067508654</v>
      </c>
      <c r="V265" s="188">
        <f t="shared" si="631"/>
        <v>2.7557408386551003</v>
      </c>
      <c r="W265" s="172">
        <f t="shared" si="632"/>
        <v>280.49648556020298</v>
      </c>
      <c r="X265" s="379">
        <f t="shared" si="691"/>
        <v>224.6919439258881</v>
      </c>
      <c r="Z265" s="188">
        <f t="shared" si="633"/>
        <v>13.333333333333334</v>
      </c>
      <c r="AA265" s="150">
        <f t="shared" si="634"/>
        <v>2.3113571663526415</v>
      </c>
      <c r="AB265" s="150">
        <f t="shared" si="754"/>
        <v>0.20186022993804381</v>
      </c>
      <c r="AC265" s="150"/>
      <c r="AD265" s="150">
        <f t="shared" si="636"/>
        <v>2.3113571663526415</v>
      </c>
      <c r="AE265" s="314">
        <f t="shared" si="755"/>
        <v>340.4416956393153</v>
      </c>
      <c r="AF265" s="456">
        <f t="shared" si="756"/>
        <v>0.20186022993804384</v>
      </c>
      <c r="AH265" s="150">
        <f t="shared" si="757"/>
        <v>13.033290707517677</v>
      </c>
      <c r="AI265" s="150">
        <f t="shared" si="758"/>
        <v>15.896812365026811</v>
      </c>
      <c r="AJ265" s="150">
        <f t="shared" si="759"/>
        <v>3.0988733568099835</v>
      </c>
      <c r="AL265" s="314">
        <f t="shared" si="760"/>
        <v>245</v>
      </c>
      <c r="AM265" s="144">
        <f t="shared" si="761"/>
        <v>224.6919439258881</v>
      </c>
      <c r="AO265">
        <f t="shared" si="644"/>
        <v>245</v>
      </c>
      <c r="AP265">
        <f t="shared" si="645"/>
        <v>224.6919439258881</v>
      </c>
      <c r="AR265" s="5">
        <f t="shared" si="774"/>
        <v>4.4505378454059654</v>
      </c>
      <c r="AS265" s="5">
        <f t="shared" si="739"/>
        <v>1.4947970067508654</v>
      </c>
      <c r="AT265" s="5">
        <f t="shared" si="740"/>
        <v>2.9557408386551001</v>
      </c>
      <c r="AU265" s="150">
        <f t="shared" si="741"/>
        <v>0.33586884522145083</v>
      </c>
      <c r="BA265" s="150">
        <f t="shared" si="692"/>
        <v>5.3190525542863858</v>
      </c>
      <c r="BB265" s="150">
        <f t="shared" si="693"/>
        <v>0.34932034900071313</v>
      </c>
      <c r="BC265" s="150">
        <f t="shared" si="694"/>
        <v>0.33230382464681807</v>
      </c>
      <c r="BD265" s="150"/>
      <c r="BE265" s="456">
        <f t="shared" si="695"/>
        <v>9.619388825588579E-2</v>
      </c>
      <c r="BF265" s="456">
        <f t="shared" si="762"/>
        <v>2.1048815926878905</v>
      </c>
      <c r="BG265" s="456">
        <f t="shared" si="763"/>
        <v>0.16416178557629824</v>
      </c>
      <c r="BH265" s="456">
        <f t="shared" si="696"/>
        <v>9.3180981038430893E-2</v>
      </c>
      <c r="BI265">
        <f t="shared" si="697"/>
        <v>7.1784652350334165E-3</v>
      </c>
      <c r="BJ265" s="144">
        <f t="shared" si="698"/>
        <v>171.34025081133163</v>
      </c>
      <c r="BK265">
        <f t="shared" si="764"/>
        <v>2.3744995856499198</v>
      </c>
      <c r="BL265" s="144">
        <f t="shared" si="699"/>
        <v>2465.5967127935387</v>
      </c>
      <c r="BM265" s="150">
        <f t="shared" si="765"/>
        <v>0.54359374999999999</v>
      </c>
      <c r="BN265" s="150">
        <f t="shared" si="766"/>
        <v>0.17394999999999999</v>
      </c>
      <c r="BQ265" s="144">
        <f t="shared" si="700"/>
        <v>717.54374999999993</v>
      </c>
      <c r="BR265" s="456">
        <f t="shared" si="701"/>
        <v>4.2438480112890795E-2</v>
      </c>
      <c r="BS265" s="456">
        <f t="shared" si="702"/>
        <v>2.4404941245196005E-2</v>
      </c>
      <c r="BT265" s="456">
        <f t="shared" si="703"/>
        <v>3.3127749562470959E-3</v>
      </c>
      <c r="BU265" s="456">
        <f t="shared" si="704"/>
        <v>38.125353452157484</v>
      </c>
      <c r="BV265" s="456"/>
      <c r="BW265" s="538">
        <f t="shared" si="705"/>
        <v>5.6781596325425239E-2</v>
      </c>
      <c r="BX265" s="144">
        <f t="shared" si="706"/>
        <v>38252.291244797241</v>
      </c>
      <c r="BY265" s="150">
        <f t="shared" si="707"/>
        <v>41.43543170759078</v>
      </c>
      <c r="BZ265" s="5">
        <f t="shared" si="708"/>
        <v>44.589999999999996</v>
      </c>
      <c r="CA265" s="150">
        <f t="shared" si="709"/>
        <v>0.51833509132004085</v>
      </c>
      <c r="CB265" s="5">
        <f t="shared" si="710"/>
        <v>51.833509132004082</v>
      </c>
      <c r="CC265">
        <f t="shared" si="711"/>
        <v>49</v>
      </c>
      <c r="CE265" s="59">
        <f t="shared" si="767"/>
        <v>-50</v>
      </c>
      <c r="CG265" s="150">
        <f t="shared" si="768"/>
        <v>0.63502377808469523</v>
      </c>
      <c r="CH265" s="150">
        <f t="shared" si="769"/>
        <v>0.17735551404972849</v>
      </c>
      <c r="CI265" s="147">
        <v>49</v>
      </c>
      <c r="CJ265" s="188">
        <f t="shared" si="712"/>
        <v>0.245</v>
      </c>
      <c r="CK265" s="188">
        <f t="shared" si="654"/>
        <v>0.245</v>
      </c>
      <c r="CL265" s="188">
        <f t="shared" si="655"/>
        <v>41.65</v>
      </c>
      <c r="CM265" s="188">
        <f t="shared" si="656"/>
        <v>2.94</v>
      </c>
      <c r="CN265" s="465">
        <f t="shared" si="657"/>
        <v>16</v>
      </c>
      <c r="CO265" s="379">
        <f t="shared" si="770"/>
        <v>8.625</v>
      </c>
      <c r="CP265" s="379">
        <f t="shared" si="771"/>
        <v>24.625</v>
      </c>
      <c r="CQ265" s="379"/>
      <c r="CR265" s="188">
        <f t="shared" si="660"/>
        <v>0.34787038923986141</v>
      </c>
      <c r="CS265" s="149">
        <f t="shared" si="661"/>
        <v>173.29806936491266</v>
      </c>
      <c r="CT265" s="149">
        <f t="shared" si="662"/>
        <v>12.232804896346776</v>
      </c>
      <c r="CU265" s="188">
        <f t="shared" si="663"/>
        <v>1.0194004080288981</v>
      </c>
      <c r="CV265" s="188">
        <f t="shared" si="664"/>
        <v>14.441505780409388</v>
      </c>
      <c r="CW265" s="188">
        <f t="shared" si="665"/>
        <v>170</v>
      </c>
      <c r="CX265" s="188">
        <f t="shared" si="666"/>
        <v>16.022490480374927</v>
      </c>
      <c r="CY265" s="188">
        <f t="shared" si="667"/>
        <v>1.5021084825351496</v>
      </c>
      <c r="CZ265" s="188">
        <f t="shared" si="668"/>
        <v>2.7865200835434658</v>
      </c>
      <c r="DA265" s="172">
        <f t="shared" si="669"/>
        <v>280.20304568527916</v>
      </c>
      <c r="DB265" s="379">
        <f t="shared" si="670"/>
        <v>233.17477477756205</v>
      </c>
      <c r="DD265" s="188">
        <f t="shared" si="671"/>
        <v>13.333333333333332</v>
      </c>
      <c r="DE265" s="150">
        <f t="shared" si="672"/>
        <v>2.318840579710145</v>
      </c>
      <c r="DF265" s="150">
        <f t="shared" si="673"/>
        <v>0.20230192819025303</v>
      </c>
      <c r="DG265" s="150"/>
      <c r="DH265" s="150">
        <f t="shared" si="674"/>
        <v>2.3188405797101455</v>
      </c>
      <c r="DI265" s="314">
        <f t="shared" si="675"/>
        <v>339.34301470588224</v>
      </c>
      <c r="DJ265" s="456">
        <f t="shared" si="676"/>
        <v>0.20230192819025311</v>
      </c>
      <c r="DL265" s="150">
        <f t="shared" si="677"/>
        <v>13.033290707517677</v>
      </c>
      <c r="DM265" s="150">
        <f t="shared" si="678"/>
        <v>16.022490480374927</v>
      </c>
      <c r="DN265" s="150">
        <f t="shared" si="679"/>
        <v>3.1919682570678463</v>
      </c>
      <c r="DP265" s="314">
        <f t="shared" si="680"/>
        <v>245</v>
      </c>
      <c r="DQ265" s="144">
        <f t="shared" si="681"/>
        <v>233.17477477756205</v>
      </c>
      <c r="DS265">
        <f t="shared" si="682"/>
        <v>245</v>
      </c>
      <c r="DT265">
        <f t="shared" si="683"/>
        <v>233.17477477756205</v>
      </c>
      <c r="DV265" s="5">
        <f t="shared" si="684"/>
        <v>4.2886285660786152</v>
      </c>
      <c r="DW265" s="5">
        <f t="shared" si="685"/>
        <v>1.5021084825351496</v>
      </c>
      <c r="DX265" s="5">
        <f t="shared" si="686"/>
        <v>2.7865200835434658</v>
      </c>
      <c r="DY265" s="150">
        <f t="shared" si="687"/>
        <v>0.35025380710659904</v>
      </c>
      <c r="EA265" s="5">
        <f t="shared" si="713"/>
        <v>0.21648034013006567</v>
      </c>
      <c r="EB265" s="5">
        <f t="shared" si="714"/>
        <v>3.0668048185092642</v>
      </c>
      <c r="EC265" s="5">
        <f t="shared" si="715"/>
        <v>12.089433487456805</v>
      </c>
      <c r="ED265" s="5"/>
      <c r="EE265" s="150">
        <f t="shared" si="716"/>
        <v>5.4747063187373284</v>
      </c>
      <c r="EF265" s="150">
        <f t="shared" si="717"/>
        <v>0.34824813904524282</v>
      </c>
      <c r="EG265" s="150">
        <f t="shared" si="718"/>
        <v>0.33128384550719325</v>
      </c>
      <c r="EH265" s="150"/>
      <c r="EI265" s="456">
        <f t="shared" si="719"/>
        <v>0.10190619153983625</v>
      </c>
      <c r="EJ265" s="456">
        <f t="shared" si="720"/>
        <v>2.7967999999999997</v>
      </c>
      <c r="EK265" s="456">
        <f t="shared" si="721"/>
        <v>5.3397023424061711E-2</v>
      </c>
      <c r="EL265" s="456">
        <f t="shared" si="722"/>
        <v>9.685557322694606E-2</v>
      </c>
      <c r="EM265">
        <f t="shared" si="723"/>
        <v>7.1999999999999998E-3</v>
      </c>
      <c r="EN265" s="144">
        <f t="shared" si="724"/>
        <v>60.59702342406171</v>
      </c>
      <c r="EP265" s="144">
        <f t="shared" si="725"/>
        <v>3056.1587881908436</v>
      </c>
      <c r="EQ265" s="150">
        <f t="shared" si="726"/>
        <v>0.61250000000000004</v>
      </c>
      <c r="ER265" s="150">
        <f t="shared" si="772"/>
        <v>0.17394999999999999</v>
      </c>
      <c r="ES265" s="456"/>
      <c r="EU265" s="144">
        <f t="shared" si="727"/>
        <v>786.45</v>
      </c>
      <c r="EV265" s="456">
        <f t="shared" si="728"/>
        <v>4.4958613914633641E-2</v>
      </c>
      <c r="EW265" s="456">
        <f t="shared" si="729"/>
        <v>2.4255353269694954E-2</v>
      </c>
      <c r="EX265" s="456">
        <f t="shared" si="730"/>
        <v>3.2924695888210164E-3</v>
      </c>
      <c r="EY265" s="456">
        <f t="shared" si="731"/>
        <v>42.657851179101598</v>
      </c>
      <c r="EZ265" s="456"/>
      <c r="FA265" s="538">
        <f t="shared" si="732"/>
        <v>5.9860675094192621E-2</v>
      </c>
      <c r="FB265" s="144">
        <f t="shared" si="733"/>
        <v>42790.218290968936</v>
      </c>
      <c r="FC265" s="150">
        <f t="shared" si="734"/>
        <v>46.632827079159782</v>
      </c>
      <c r="FD265" s="5">
        <f t="shared" si="735"/>
        <v>44.589999999999996</v>
      </c>
      <c r="FE265" s="150">
        <f t="shared" si="736"/>
        <v>0.48880309268760608</v>
      </c>
      <c r="FF265" s="5">
        <f t="shared" si="737"/>
        <v>48.880309268760605</v>
      </c>
      <c r="FG265">
        <f t="shared" si="738"/>
        <v>49</v>
      </c>
      <c r="FI265" s="59">
        <f t="shared" si="689"/>
        <v>-50</v>
      </c>
    </row>
    <row r="266" spans="5:165">
      <c r="E266" s="147">
        <v>50</v>
      </c>
      <c r="F266" s="188">
        <f t="shared" si="773"/>
        <v>0.25</v>
      </c>
      <c r="G266" s="188">
        <f t="shared" si="742"/>
        <v>0.25</v>
      </c>
      <c r="H266" s="188">
        <f t="shared" si="743"/>
        <v>42.5</v>
      </c>
      <c r="I266" s="188">
        <f t="shared" si="744"/>
        <v>3</v>
      </c>
      <c r="J266" s="465">
        <f t="shared" si="745"/>
        <v>15.951168333409109</v>
      </c>
      <c r="K266" s="379">
        <f t="shared" si="746"/>
        <v>8.6534948058399994</v>
      </c>
      <c r="L266" s="149">
        <f t="shared" si="747"/>
        <v>24.604663139249109</v>
      </c>
      <c r="M266" s="379"/>
      <c r="N266" s="188">
        <f t="shared" si="748"/>
        <v>0.35170141354368034</v>
      </c>
      <c r="O266" s="149">
        <f t="shared" si="749"/>
        <v>174.67183820341387</v>
      </c>
      <c r="P266" s="149">
        <f t="shared" si="750"/>
        <v>12.329776814358627</v>
      </c>
      <c r="Q266" s="188">
        <f t="shared" si="626"/>
        <v>1.0274814011965521</v>
      </c>
      <c r="R266" s="188">
        <f t="shared" si="751"/>
        <v>14.555986516951156</v>
      </c>
      <c r="S266" s="188">
        <f t="shared" si="752"/>
        <v>170</v>
      </c>
      <c r="T266" s="188">
        <f t="shared" si="753"/>
        <v>16.220893777013892</v>
      </c>
      <c r="U266" s="188">
        <f t="shared" si="630"/>
        <v>1.525364171260094</v>
      </c>
      <c r="V266" s="188">
        <f t="shared" si="631"/>
        <v>2.8117357450888285</v>
      </c>
      <c r="W266" s="172">
        <f t="shared" si="632"/>
        <v>280.50242252665873</v>
      </c>
      <c r="X266" s="379">
        <f t="shared" si="691"/>
        <v>220.40510864585855</v>
      </c>
      <c r="Z266" s="188">
        <f t="shared" si="633"/>
        <v>13.333333333333334</v>
      </c>
      <c r="AA266" s="150">
        <f t="shared" si="634"/>
        <v>2.3112049465266411</v>
      </c>
      <c r="AB266" s="150">
        <f t="shared" si="754"/>
        <v>0.20185120823731567</v>
      </c>
      <c r="AC266" s="150"/>
      <c r="AD266" s="150">
        <f t="shared" si="636"/>
        <v>2.3112049465266411</v>
      </c>
      <c r="AE266" s="314">
        <f t="shared" si="755"/>
        <v>347.41236499916471</v>
      </c>
      <c r="AF266" s="456">
        <f t="shared" si="756"/>
        <v>0.20185120823731562</v>
      </c>
      <c r="AH266" s="150">
        <f t="shared" si="757"/>
        <v>13.165611772087665</v>
      </c>
      <c r="AI266" s="150">
        <f t="shared" si="758"/>
        <v>16.220893777013892</v>
      </c>
      <c r="AJ266" s="150">
        <f t="shared" si="759"/>
        <v>3.3389336619855978</v>
      </c>
      <c r="AL266" s="314">
        <f t="shared" si="760"/>
        <v>250</v>
      </c>
      <c r="AM266" s="144">
        <f t="shared" si="761"/>
        <v>220.40510864585855</v>
      </c>
      <c r="AO266">
        <f t="shared" si="644"/>
        <v>250</v>
      </c>
      <c r="AP266">
        <f t="shared" si="645"/>
        <v>220.40510864585855</v>
      </c>
      <c r="AR266" s="5">
        <f t="shared" si="774"/>
        <v>4.5370999163489225</v>
      </c>
      <c r="AS266" s="5">
        <f t="shared" si="739"/>
        <v>1.525364171260094</v>
      </c>
      <c r="AT266" s="5">
        <f t="shared" si="740"/>
        <v>3.0117357450888287</v>
      </c>
      <c r="AU266" s="150">
        <f t="shared" si="741"/>
        <v>0.33619805589108104</v>
      </c>
      <c r="BA266" s="150">
        <f t="shared" si="692"/>
        <v>5.4301490662463179</v>
      </c>
      <c r="BB266" s="150">
        <f t="shared" si="693"/>
        <v>0.35635343601766473</v>
      </c>
      <c r="BC266" s="150">
        <f t="shared" si="694"/>
        <v>0.33899430724106888</v>
      </c>
      <c r="BD266" s="150"/>
      <c r="BE266" s="456">
        <f t="shared" si="695"/>
        <v>0.10025416419762957</v>
      </c>
      <c r="BF266" s="456">
        <f t="shared" si="762"/>
        <v>2.1067809278388618</v>
      </c>
      <c r="BG266" s="456">
        <f t="shared" si="763"/>
        <v>0.16101992972154633</v>
      </c>
      <c r="BH266" s="456">
        <f t="shared" si="696"/>
        <v>9.1400185065335066E-2</v>
      </c>
      <c r="BI266">
        <f t="shared" si="697"/>
        <v>7.1780257500340993E-3</v>
      </c>
      <c r="BJ266" s="144">
        <f t="shared" si="698"/>
        <v>168.19795547158043</v>
      </c>
      <c r="BK266">
        <f t="shared" si="764"/>
        <v>2.3822500247036049</v>
      </c>
      <c r="BL266" s="144">
        <f t="shared" si="699"/>
        <v>2466.6332325734074</v>
      </c>
      <c r="BM266" s="150">
        <f t="shared" si="765"/>
        <v>0.5546875</v>
      </c>
      <c r="BN266" s="150">
        <f t="shared" si="766"/>
        <v>0.17749999999999999</v>
      </c>
      <c r="BQ266" s="144">
        <f t="shared" si="700"/>
        <v>732.1875</v>
      </c>
      <c r="BR266" s="456">
        <f t="shared" si="701"/>
        <v>4.4229778322483641E-2</v>
      </c>
      <c r="BS266" s="456">
        <f t="shared" si="702"/>
        <v>2.5397554272319173E-2</v>
      </c>
      <c r="BT266" s="456">
        <f t="shared" si="703"/>
        <v>3.447514210255566E-3</v>
      </c>
      <c r="BU266" s="456">
        <f t="shared" si="704"/>
        <v>38.212996675054903</v>
      </c>
      <c r="BV266" s="456"/>
      <c r="BW266" s="538">
        <f t="shared" si="705"/>
        <v>5.7992418015096935E-2</v>
      </c>
      <c r="BX266" s="144">
        <f t="shared" si="706"/>
        <v>38344.063939875057</v>
      </c>
      <c r="BY266" s="150">
        <f t="shared" si="707"/>
        <v>41.542884672448466</v>
      </c>
      <c r="BZ266" s="5">
        <f t="shared" si="708"/>
        <v>45.5</v>
      </c>
      <c r="CA266" s="150">
        <f t="shared" si="709"/>
        <v>0.52273083746272064</v>
      </c>
      <c r="CB266" s="5">
        <f t="shared" si="710"/>
        <v>52.273083746272064</v>
      </c>
      <c r="CC266">
        <f t="shared" si="711"/>
        <v>50</v>
      </c>
      <c r="CE266" s="59">
        <f t="shared" si="767"/>
        <v>-50</v>
      </c>
      <c r="CG266" s="150">
        <f t="shared" si="768"/>
        <v>0.63502377808469512</v>
      </c>
      <c r="CH266" s="150">
        <f t="shared" si="769"/>
        <v>0.17735551404972846</v>
      </c>
      <c r="CI266" s="147">
        <v>50</v>
      </c>
      <c r="CJ266" s="188">
        <f t="shared" si="712"/>
        <v>0.25</v>
      </c>
      <c r="CK266" s="188">
        <f t="shared" si="654"/>
        <v>0.25</v>
      </c>
      <c r="CL266" s="188">
        <f t="shared" si="655"/>
        <v>42.5</v>
      </c>
      <c r="CM266" s="188">
        <f t="shared" si="656"/>
        <v>3</v>
      </c>
      <c r="CN266" s="465">
        <f t="shared" si="657"/>
        <v>16</v>
      </c>
      <c r="CO266" s="379">
        <f t="shared" si="770"/>
        <v>8.625</v>
      </c>
      <c r="CP266" s="379">
        <f t="shared" si="771"/>
        <v>24.625</v>
      </c>
      <c r="CQ266" s="379"/>
      <c r="CR266" s="188">
        <f t="shared" si="660"/>
        <v>0.34787038923986141</v>
      </c>
      <c r="CS266" s="149">
        <f t="shared" si="661"/>
        <v>173.29806936491266</v>
      </c>
      <c r="CT266" s="149">
        <f t="shared" si="662"/>
        <v>12.232804896346776</v>
      </c>
      <c r="CU266" s="188">
        <f t="shared" si="663"/>
        <v>1.0194004080288981</v>
      </c>
      <c r="CV266" s="188">
        <f t="shared" si="664"/>
        <v>14.441505780409388</v>
      </c>
      <c r="CW266" s="188">
        <f t="shared" si="665"/>
        <v>170</v>
      </c>
      <c r="CX266" s="188">
        <f t="shared" si="666"/>
        <v>16.349480082015234</v>
      </c>
      <c r="CY266" s="188">
        <f t="shared" si="667"/>
        <v>1.5327637576889281</v>
      </c>
      <c r="CZ266" s="188">
        <f t="shared" si="668"/>
        <v>2.8433878403504758</v>
      </c>
      <c r="DA266" s="172">
        <f t="shared" si="669"/>
        <v>280.20304568527916</v>
      </c>
      <c r="DB266" s="379">
        <f t="shared" si="670"/>
        <v>228.51127928201078</v>
      </c>
      <c r="DD266" s="188">
        <f t="shared" si="671"/>
        <v>13.333333333333332</v>
      </c>
      <c r="DE266" s="150">
        <f t="shared" si="672"/>
        <v>2.318840579710145</v>
      </c>
      <c r="DF266" s="150">
        <f t="shared" si="673"/>
        <v>0.20230192819025303</v>
      </c>
      <c r="DG266" s="150"/>
      <c r="DH266" s="150">
        <f t="shared" si="674"/>
        <v>2.3188405797101455</v>
      </c>
      <c r="DI266" s="314">
        <f t="shared" si="675"/>
        <v>346.26838235294105</v>
      </c>
      <c r="DJ266" s="456">
        <f t="shared" si="676"/>
        <v>0.20230192819025311</v>
      </c>
      <c r="DL266" s="150">
        <f t="shared" si="677"/>
        <v>13.165611772087665</v>
      </c>
      <c r="DM266" s="150">
        <f t="shared" si="678"/>
        <v>16.349480082015234</v>
      </c>
      <c r="DN266" s="150">
        <f t="shared" si="679"/>
        <v>3.434182776801407</v>
      </c>
      <c r="DP266" s="314">
        <f t="shared" si="680"/>
        <v>250</v>
      </c>
      <c r="DQ266" s="144">
        <f t="shared" si="681"/>
        <v>228.51127928201078</v>
      </c>
      <c r="DS266">
        <f t="shared" si="682"/>
        <v>250</v>
      </c>
      <c r="DT266">
        <f t="shared" si="683"/>
        <v>228.51127928201078</v>
      </c>
      <c r="DV266" s="5">
        <f t="shared" si="684"/>
        <v>4.3761515980394039</v>
      </c>
      <c r="DW266" s="5">
        <f t="shared" si="685"/>
        <v>1.5327637576889281</v>
      </c>
      <c r="DX266" s="5">
        <f t="shared" si="686"/>
        <v>2.8433878403504758</v>
      </c>
      <c r="DY266" s="150">
        <f t="shared" si="687"/>
        <v>0.35025380710659898</v>
      </c>
      <c r="EA266" s="5">
        <f t="shared" si="713"/>
        <v>0.22540643495425414</v>
      </c>
      <c r="EB266" s="5">
        <f t="shared" si="714"/>
        <v>3.1932578285186004</v>
      </c>
      <c r="EC266" s="5">
        <f t="shared" si="715"/>
        <v>12.587914918218249</v>
      </c>
      <c r="ED266" s="5"/>
      <c r="EE266" s="150">
        <f t="shared" si="716"/>
        <v>5.5864350191197234</v>
      </c>
      <c r="EF266" s="150">
        <f t="shared" si="717"/>
        <v>0.3553552439237172</v>
      </c>
      <c r="EG266" s="150">
        <f t="shared" si="718"/>
        <v>0.3380447403134626</v>
      </c>
      <c r="EH266" s="150"/>
      <c r="EI266" s="456">
        <f t="shared" si="719"/>
        <v>0.10610807115768042</v>
      </c>
      <c r="EJ266" s="456">
        <f t="shared" si="720"/>
        <v>2.7968000000000002</v>
      </c>
      <c r="EK266" s="456">
        <f t="shared" si="721"/>
        <v>5.2329082955580468E-2</v>
      </c>
      <c r="EL266" s="456">
        <f t="shared" si="722"/>
        <v>9.4918461762407119E-2</v>
      </c>
      <c r="EM266">
        <f t="shared" si="723"/>
        <v>7.1999999999999998E-3</v>
      </c>
      <c r="EN266" s="144">
        <f t="shared" si="724"/>
        <v>59.529082955580463</v>
      </c>
      <c r="EP266" s="144">
        <f t="shared" si="725"/>
        <v>3057.3556158756687</v>
      </c>
      <c r="EQ266" s="150">
        <f t="shared" si="726"/>
        <v>0.625</v>
      </c>
      <c r="ER266" s="150">
        <f t="shared" si="772"/>
        <v>0.17749999999999999</v>
      </c>
      <c r="ES266" s="456"/>
      <c r="EU266" s="144">
        <f t="shared" si="727"/>
        <v>802.5</v>
      </c>
      <c r="EV266" s="456">
        <f t="shared" si="728"/>
        <v>4.6812384334270776E-2</v>
      </c>
      <c r="EW266" s="456">
        <f t="shared" si="729"/>
        <v>2.5255469876816913E-2</v>
      </c>
      <c r="EX266" s="456">
        <f t="shared" si="730"/>
        <v>3.4282273936078909E-3</v>
      </c>
      <c r="EY266" s="456">
        <f t="shared" si="731"/>
        <v>42.657851179101606</v>
      </c>
      <c r="EZ266" s="456"/>
      <c r="FA266" s="538">
        <f t="shared" si="732"/>
        <v>6.1082321524686359E-2</v>
      </c>
      <c r="FB266" s="144">
        <f t="shared" si="733"/>
        <v>42794.429582230987</v>
      </c>
      <c r="FC266" s="150">
        <f t="shared" si="734"/>
        <v>46.654285198106656</v>
      </c>
      <c r="FD266" s="5">
        <f t="shared" si="735"/>
        <v>45.5</v>
      </c>
      <c r="FE266" s="150">
        <f t="shared" si="736"/>
        <v>0.49373721365411677</v>
      </c>
      <c r="FF266" s="5">
        <f t="shared" si="737"/>
        <v>49.373721365411676</v>
      </c>
      <c r="FG266">
        <f t="shared" si="738"/>
        <v>50</v>
      </c>
      <c r="FI266" s="59">
        <f t="shared" si="689"/>
        <v>-50</v>
      </c>
    </row>
    <row r="267" spans="5:165">
      <c r="E267" s="147">
        <v>51</v>
      </c>
      <c r="F267" s="188">
        <f t="shared" si="773"/>
        <v>0.255</v>
      </c>
      <c r="G267" s="188">
        <f t="shared" si="742"/>
        <v>0.255</v>
      </c>
      <c r="H267" s="188">
        <f t="shared" si="743"/>
        <v>43.35</v>
      </c>
      <c r="I267" s="188">
        <f t="shared" si="744"/>
        <v>3.06</v>
      </c>
      <c r="J267" s="465">
        <f t="shared" si="745"/>
        <v>15.950191700077291</v>
      </c>
      <c r="K267" s="379">
        <f t="shared" si="746"/>
        <v>8.6540647019567984</v>
      </c>
      <c r="L267" s="149">
        <f t="shared" si="747"/>
        <v>24.604256402034089</v>
      </c>
      <c r="M267" s="379"/>
      <c r="N267" s="188">
        <f t="shared" si="748"/>
        <v>0.35173039008166684</v>
      </c>
      <c r="O267" s="149">
        <f t="shared" si="749"/>
        <v>174.67553392907394</v>
      </c>
      <c r="P267" s="149">
        <f t="shared" si="750"/>
        <v>12.330037689111101</v>
      </c>
      <c r="Q267" s="188">
        <f t="shared" si="626"/>
        <v>1.0275031407592585</v>
      </c>
      <c r="R267" s="188">
        <f t="shared" si="751"/>
        <v>14.556294494089494</v>
      </c>
      <c r="S267" s="188">
        <f t="shared" si="752"/>
        <v>170</v>
      </c>
      <c r="T267" s="188">
        <f t="shared" si="753"/>
        <v>16.544961592465889</v>
      </c>
      <c r="U267" s="188">
        <f t="shared" si="630"/>
        <v>1.5559338003805041</v>
      </c>
      <c r="V267" s="188">
        <f t="shared" si="631"/>
        <v>2.8677209199842566</v>
      </c>
      <c r="W267" s="172">
        <f t="shared" si="632"/>
        <v>280.50835742727747</v>
      </c>
      <c r="X267" s="379">
        <f t="shared" si="691"/>
        <v>216.27912560069146</v>
      </c>
      <c r="Z267" s="188">
        <f t="shared" si="633"/>
        <v>13.333333333333332</v>
      </c>
      <c r="AA267" s="150">
        <f t="shared" si="634"/>
        <v>2.3110527467489042</v>
      </c>
      <c r="AB267" s="150">
        <f t="shared" si="754"/>
        <v>0.20184218623830882</v>
      </c>
      <c r="AC267" s="150"/>
      <c r="AD267" s="150">
        <f t="shared" si="636"/>
        <v>2.3110527467489046</v>
      </c>
      <c r="AE267" s="314">
        <f t="shared" si="755"/>
        <v>354.38394954513086</v>
      </c>
      <c r="AF267" s="456">
        <f t="shared" si="756"/>
        <v>0.20184218623830885</v>
      </c>
      <c r="AH267" s="150">
        <f t="shared" si="757"/>
        <v>13.29661611087573</v>
      </c>
      <c r="AI267" s="150">
        <f t="shared" si="758"/>
        <v>16.544961592465889</v>
      </c>
      <c r="AJ267" s="150">
        <f t="shared" si="759"/>
        <v>3.5789838956537441</v>
      </c>
      <c r="AL267" s="314">
        <f t="shared" si="760"/>
        <v>255</v>
      </c>
      <c r="AM267" s="144">
        <f t="shared" si="761"/>
        <v>216.27912560069146</v>
      </c>
      <c r="AO267">
        <f t="shared" si="644"/>
        <v>255</v>
      </c>
      <c r="AP267">
        <f t="shared" si="645"/>
        <v>216.27912560069146</v>
      </c>
      <c r="AR267" s="5">
        <f t="shared" si="774"/>
        <v>4.6236547203647609</v>
      </c>
      <c r="AS267" s="5">
        <f t="shared" si="739"/>
        <v>1.5559338003805041</v>
      </c>
      <c r="AT267" s="5">
        <f t="shared" si="740"/>
        <v>3.0677209199842568</v>
      </c>
      <c r="AU267" s="150">
        <f t="shared" si="741"/>
        <v>0.33651600183885622</v>
      </c>
      <c r="BA267" s="150">
        <f t="shared" si="692"/>
        <v>5.5412532135125021</v>
      </c>
      <c r="BB267" s="150">
        <f t="shared" si="693"/>
        <v>0.36338575633282827</v>
      </c>
      <c r="BC267" s="150">
        <f t="shared" si="694"/>
        <v>0.3456840604820563</v>
      </c>
      <c r="BD267" s="150"/>
      <c r="BE267" s="456">
        <f t="shared" si="695"/>
        <v>0.10439865639929294</v>
      </c>
      <c r="BF267" s="456">
        <f t="shared" si="762"/>
        <v>2.1086093616782455</v>
      </c>
      <c r="BG267" s="456">
        <f t="shared" si="763"/>
        <v>0.15799596294377041</v>
      </c>
      <c r="BH267" s="456">
        <f t="shared" si="696"/>
        <v>8.9686208584094984E-2</v>
      </c>
      <c r="BI267">
        <f t="shared" si="697"/>
        <v>7.1775862650347803E-3</v>
      </c>
      <c r="BJ267" s="144">
        <f t="shared" si="698"/>
        <v>165.17354920880518</v>
      </c>
      <c r="BK267">
        <f t="shared" si="764"/>
        <v>2.3901703275012069</v>
      </c>
      <c r="BL267" s="144">
        <f t="shared" si="699"/>
        <v>2467.8677758704384</v>
      </c>
      <c r="BM267" s="150">
        <f t="shared" si="765"/>
        <v>0.5657812499999999</v>
      </c>
      <c r="BN267" s="150">
        <f t="shared" si="766"/>
        <v>0.18105000000000002</v>
      </c>
      <c r="BQ267" s="144">
        <f t="shared" si="700"/>
        <v>746.83124999999995</v>
      </c>
      <c r="BR267" s="456">
        <f t="shared" si="701"/>
        <v>4.605823076439395E-2</v>
      </c>
      <c r="BS267" s="456">
        <f t="shared" si="702"/>
        <v>2.6409841581116329E-2</v>
      </c>
      <c r="BT267" s="456">
        <f t="shared" si="703"/>
        <v>3.5849240901408585E-3</v>
      </c>
      <c r="BU267" s="456">
        <f t="shared" si="704"/>
        <v>38.297544138365403</v>
      </c>
      <c r="BV267" s="456"/>
      <c r="BW267" s="538">
        <f t="shared" si="705"/>
        <v>5.9203329541565847E-2</v>
      </c>
      <c r="BX267" s="144">
        <f t="shared" si="706"/>
        <v>38432.800464342617</v>
      </c>
      <c r="BY267" s="150">
        <f t="shared" si="707"/>
        <v>41.647499490213058</v>
      </c>
      <c r="BZ267" s="5">
        <f t="shared" si="708"/>
        <v>46.410000000000004</v>
      </c>
      <c r="CA267" s="150">
        <f t="shared" si="709"/>
        <v>0.52704199266024054</v>
      </c>
      <c r="CB267" s="5">
        <f t="shared" si="710"/>
        <v>52.704199266024055</v>
      </c>
      <c r="CC267">
        <f t="shared" si="711"/>
        <v>51</v>
      </c>
      <c r="CE267" s="59">
        <f t="shared" si="767"/>
        <v>-50</v>
      </c>
      <c r="CG267" s="150">
        <f t="shared" si="768"/>
        <v>0.63502377808469512</v>
      </c>
      <c r="CH267" s="150">
        <f t="shared" si="769"/>
        <v>0.17735551404972849</v>
      </c>
      <c r="CI267" s="147">
        <v>51</v>
      </c>
      <c r="CJ267" s="188">
        <f t="shared" si="712"/>
        <v>0.255</v>
      </c>
      <c r="CK267" s="188">
        <f t="shared" si="654"/>
        <v>0.255</v>
      </c>
      <c r="CL267" s="188">
        <f t="shared" si="655"/>
        <v>43.35</v>
      </c>
      <c r="CM267" s="188">
        <f t="shared" si="656"/>
        <v>3.06</v>
      </c>
      <c r="CN267" s="465">
        <f t="shared" si="657"/>
        <v>16</v>
      </c>
      <c r="CO267" s="379">
        <f t="shared" si="770"/>
        <v>8.625</v>
      </c>
      <c r="CP267" s="379">
        <f t="shared" si="771"/>
        <v>24.625</v>
      </c>
      <c r="CQ267" s="379"/>
      <c r="CR267" s="188">
        <f t="shared" si="660"/>
        <v>0.34787038923986141</v>
      </c>
      <c r="CS267" s="149">
        <f t="shared" si="661"/>
        <v>173.29806936491266</v>
      </c>
      <c r="CT267" s="149">
        <f t="shared" si="662"/>
        <v>12.232804896346776</v>
      </c>
      <c r="CU267" s="188">
        <f t="shared" si="663"/>
        <v>1.0194004080288981</v>
      </c>
      <c r="CV267" s="188">
        <f t="shared" si="664"/>
        <v>14.441505780409388</v>
      </c>
      <c r="CW267" s="188">
        <f t="shared" si="665"/>
        <v>170</v>
      </c>
      <c r="CX267" s="188">
        <f t="shared" si="666"/>
        <v>16.676469683655537</v>
      </c>
      <c r="CY267" s="188">
        <f t="shared" si="667"/>
        <v>1.5634190328427067</v>
      </c>
      <c r="CZ267" s="188">
        <f t="shared" si="668"/>
        <v>2.9002555971574848</v>
      </c>
      <c r="DA267" s="172">
        <f t="shared" si="669"/>
        <v>280.20304568527916</v>
      </c>
      <c r="DB267" s="379">
        <f t="shared" si="670"/>
        <v>224.03066596275568</v>
      </c>
      <c r="DD267" s="188">
        <f t="shared" si="671"/>
        <v>13.333333333333332</v>
      </c>
      <c r="DE267" s="150">
        <f t="shared" si="672"/>
        <v>2.318840579710145</v>
      </c>
      <c r="DF267" s="150">
        <f t="shared" si="673"/>
        <v>0.20230192819025303</v>
      </c>
      <c r="DG267" s="150"/>
      <c r="DH267" s="150">
        <f t="shared" si="674"/>
        <v>2.3188405797101455</v>
      </c>
      <c r="DI267" s="314">
        <f t="shared" si="675"/>
        <v>353.19374999999985</v>
      </c>
      <c r="DJ267" s="456">
        <f t="shared" si="676"/>
        <v>0.20230192819025311</v>
      </c>
      <c r="DL267" s="150">
        <f t="shared" si="677"/>
        <v>13.29661611087573</v>
      </c>
      <c r="DM267" s="150">
        <f t="shared" si="678"/>
        <v>16.676469683655537</v>
      </c>
      <c r="DN267" s="150">
        <f t="shared" si="679"/>
        <v>3.6763972965349652</v>
      </c>
      <c r="DP267" s="314">
        <f t="shared" si="680"/>
        <v>255</v>
      </c>
      <c r="DQ267" s="144">
        <f t="shared" si="681"/>
        <v>224.03066596275568</v>
      </c>
      <c r="DS267">
        <f t="shared" si="682"/>
        <v>255</v>
      </c>
      <c r="DT267">
        <f t="shared" si="683"/>
        <v>224.03066596275568</v>
      </c>
      <c r="DV267" s="5">
        <f t="shared" si="684"/>
        <v>4.4636746300001917</v>
      </c>
      <c r="DW267" s="5">
        <f t="shared" si="685"/>
        <v>1.5634190328427067</v>
      </c>
      <c r="DX267" s="5">
        <f t="shared" si="686"/>
        <v>2.9002555971574848</v>
      </c>
      <c r="DY267" s="150">
        <f t="shared" si="687"/>
        <v>0.35025380710659898</v>
      </c>
      <c r="EA267" s="5">
        <f t="shared" si="713"/>
        <v>0.234512854926406</v>
      </c>
      <c r="EB267" s="5">
        <f t="shared" si="714"/>
        <v>3.3222654447907516</v>
      </c>
      <c r="EC267" s="5">
        <f t="shared" si="715"/>
        <v>13.096466680914267</v>
      </c>
      <c r="ED267" s="5"/>
      <c r="EE267" s="150">
        <f t="shared" si="716"/>
        <v>5.6981637195021175</v>
      </c>
      <c r="EF267" s="150">
        <f t="shared" si="717"/>
        <v>0.36246234880219153</v>
      </c>
      <c r="EG267" s="150">
        <f t="shared" si="718"/>
        <v>0.34480563511973183</v>
      </c>
      <c r="EH267" s="150"/>
      <c r="EI267" s="456">
        <f t="shared" si="719"/>
        <v>0.11039483723245071</v>
      </c>
      <c r="EJ267" s="456">
        <f t="shared" si="720"/>
        <v>2.7967999999999997</v>
      </c>
      <c r="EK267" s="456">
        <f t="shared" si="721"/>
        <v>5.1303022505471051E-2</v>
      </c>
      <c r="EL267" s="456">
        <f t="shared" si="722"/>
        <v>9.3057315453340325E-2</v>
      </c>
      <c r="EM267">
        <f t="shared" si="723"/>
        <v>7.1999999999999998E-3</v>
      </c>
      <c r="EN267" s="144">
        <f t="shared" si="724"/>
        <v>58.503022505471051</v>
      </c>
      <c r="EP267" s="144">
        <f t="shared" si="725"/>
        <v>3058.755175191262</v>
      </c>
      <c r="EQ267" s="150">
        <f t="shared" si="726"/>
        <v>0.63749999999999996</v>
      </c>
      <c r="ER267" s="150">
        <f t="shared" si="772"/>
        <v>0.18105000000000002</v>
      </c>
      <c r="ES267" s="456"/>
      <c r="EU267" s="144">
        <f t="shared" si="727"/>
        <v>818.55</v>
      </c>
      <c r="EV267" s="456">
        <f t="shared" si="728"/>
        <v>4.8703604661375313E-2</v>
      </c>
      <c r="EW267" s="456">
        <f t="shared" si="729"/>
        <v>2.627579085984031E-2</v>
      </c>
      <c r="EX267" s="456">
        <f t="shared" si="730"/>
        <v>3.5667277803096494E-3</v>
      </c>
      <c r="EY267" s="456">
        <f t="shared" si="731"/>
        <v>42.657851179101598</v>
      </c>
      <c r="EZ267" s="456"/>
      <c r="FA267" s="538">
        <f t="shared" si="732"/>
        <v>6.2303967955180083E-2</v>
      </c>
      <c r="FB267" s="144">
        <f t="shared" si="733"/>
        <v>42798.70127035831</v>
      </c>
      <c r="FC267" s="150">
        <f t="shared" si="734"/>
        <v>46.676006445549568</v>
      </c>
      <c r="FD267" s="5">
        <f t="shared" si="735"/>
        <v>46.410000000000004</v>
      </c>
      <c r="FE267" s="150">
        <f t="shared" si="736"/>
        <v>0.49857117919380739</v>
      </c>
      <c r="FF267" s="5">
        <f t="shared" si="737"/>
        <v>49.857117919380741</v>
      </c>
      <c r="FG267">
        <f t="shared" si="738"/>
        <v>51</v>
      </c>
      <c r="FI267" s="59">
        <f t="shared" si="689"/>
        <v>-50</v>
      </c>
    </row>
    <row r="268" spans="5:165">
      <c r="E268" s="147">
        <v>52</v>
      </c>
      <c r="F268" s="188">
        <f t="shared" si="773"/>
        <v>0.26</v>
      </c>
      <c r="G268" s="188">
        <f t="shared" si="742"/>
        <v>0.26</v>
      </c>
      <c r="H268" s="188">
        <f t="shared" si="743"/>
        <v>44.2</v>
      </c>
      <c r="I268" s="188">
        <f t="shared" si="744"/>
        <v>3.12</v>
      </c>
      <c r="J268" s="465">
        <f t="shared" si="745"/>
        <v>15.949215066745474</v>
      </c>
      <c r="K268" s="379">
        <f t="shared" si="746"/>
        <v>8.6546345980735992</v>
      </c>
      <c r="L268" s="149">
        <f t="shared" si="747"/>
        <v>24.603849664819073</v>
      </c>
      <c r="M268" s="379"/>
      <c r="N268" s="188">
        <f t="shared" si="748"/>
        <v>0.35175936757770149</v>
      </c>
      <c r="O268" s="149">
        <f t="shared" si="749"/>
        <v>174.67922836825147</v>
      </c>
      <c r="P268" s="149">
        <f t="shared" si="750"/>
        <v>12.330298473053046</v>
      </c>
      <c r="Q268" s="188">
        <f t="shared" si="626"/>
        <v>1.0275248727544204</v>
      </c>
      <c r="R268" s="188">
        <f t="shared" si="751"/>
        <v>14.556602364020955</v>
      </c>
      <c r="S268" s="188">
        <f t="shared" si="752"/>
        <v>170</v>
      </c>
      <c r="T268" s="188">
        <f t="shared" si="753"/>
        <v>16.869015819411718</v>
      </c>
      <c r="U268" s="188">
        <f t="shared" si="630"/>
        <v>1.5865058953199571</v>
      </c>
      <c r="V268" s="188">
        <f t="shared" si="631"/>
        <v>2.9236963666553626</v>
      </c>
      <c r="W268" s="172">
        <f t="shared" si="632"/>
        <v>280.51429026195677</v>
      </c>
      <c r="X268" s="379">
        <f t="shared" si="691"/>
        <v>212.30510801475214</v>
      </c>
      <c r="Z268" s="188">
        <f t="shared" si="633"/>
        <v>13.333333333333334</v>
      </c>
      <c r="AA268" s="150">
        <f t="shared" si="634"/>
        <v>2.3109005670154721</v>
      </c>
      <c r="AB268" s="150">
        <f t="shared" si="754"/>
        <v>0.20183316394100875</v>
      </c>
      <c r="AC268" s="150"/>
      <c r="AD268" s="150">
        <f t="shared" si="636"/>
        <v>2.3109005670154721</v>
      </c>
      <c r="AE268" s="314">
        <f t="shared" si="755"/>
        <v>361.3564492772141</v>
      </c>
      <c r="AF268" s="456">
        <f t="shared" si="756"/>
        <v>0.20183316394100873</v>
      </c>
      <c r="AH268" s="150">
        <f t="shared" si="757"/>
        <v>13.426342266852378</v>
      </c>
      <c r="AI268" s="150">
        <f t="shared" si="758"/>
        <v>16.869015819411718</v>
      </c>
      <c r="AJ268" s="150">
        <f t="shared" si="759"/>
        <v>3.8190240637617663</v>
      </c>
      <c r="AL268" s="314">
        <f t="shared" si="760"/>
        <v>260</v>
      </c>
      <c r="AM268" s="144">
        <f t="shared" si="761"/>
        <v>212.30510801475214</v>
      </c>
      <c r="AO268">
        <f t="shared" si="644"/>
        <v>260</v>
      </c>
      <c r="AP268">
        <f t="shared" si="645"/>
        <v>212.30510801475214</v>
      </c>
      <c r="AR268" s="5">
        <f t="shared" si="774"/>
        <v>4.7102022619753194</v>
      </c>
      <c r="AS268" s="5">
        <f t="shared" si="739"/>
        <v>1.5865058953199571</v>
      </c>
      <c r="AT268" s="5">
        <f t="shared" si="740"/>
        <v>3.1236963666553623</v>
      </c>
      <c r="AU268" s="150">
        <f t="shared" si="741"/>
        <v>0.33682330547194456</v>
      </c>
      <c r="BA268" s="150">
        <f t="shared" si="692"/>
        <v>5.6523648228390559</v>
      </c>
      <c r="BB268" s="150">
        <f t="shared" si="693"/>
        <v>0.37041731871380357</v>
      </c>
      <c r="BC268" s="150">
        <f t="shared" si="694"/>
        <v>0.35237309271028189</v>
      </c>
      <c r="BD268" s="150"/>
      <c r="BE268" s="456">
        <f t="shared" si="695"/>
        <v>0.10862737550759252</v>
      </c>
      <c r="BF268" s="456">
        <f t="shared" si="762"/>
        <v>2.1103708103848784</v>
      </c>
      <c r="BG268" s="456">
        <f t="shared" si="763"/>
        <v>0.15508337209931267</v>
      </c>
      <c r="BH268" s="456">
        <f t="shared" si="696"/>
        <v>8.8035359946831482E-2</v>
      </c>
      <c r="BI268">
        <f t="shared" si="697"/>
        <v>7.177146780035463E-3</v>
      </c>
      <c r="BJ268" s="144">
        <f t="shared" si="698"/>
        <v>162.26051887934815</v>
      </c>
      <c r="BK268">
        <f t="shared" si="764"/>
        <v>2.3982617477817194</v>
      </c>
      <c r="BL268" s="144">
        <f t="shared" si="699"/>
        <v>2469.2940647186506</v>
      </c>
      <c r="BM268" s="150">
        <f t="shared" si="765"/>
        <v>0.57687500000000003</v>
      </c>
      <c r="BN268" s="150">
        <f t="shared" si="766"/>
        <v>0.18460000000000001</v>
      </c>
      <c r="BQ268" s="144">
        <f t="shared" si="700"/>
        <v>761.47500000000002</v>
      </c>
      <c r="BR268" s="456">
        <f t="shared" si="701"/>
        <v>4.7923842135702589E-2</v>
      </c>
      <c r="BS268" s="456">
        <f t="shared" si="702"/>
        <v>2.7441798000624709E-2</v>
      </c>
      <c r="BT268" s="456">
        <f t="shared" si="703"/>
        <v>3.7250038939862671E-3</v>
      </c>
      <c r="BU268" s="456">
        <f t="shared" si="704"/>
        <v>38.379160993581046</v>
      </c>
      <c r="BV268" s="456"/>
      <c r="BW268" s="538">
        <f t="shared" si="705"/>
        <v>6.0414325943664512E-2</v>
      </c>
      <c r="BX268" s="144">
        <f t="shared" si="706"/>
        <v>38518.665963555024</v>
      </c>
      <c r="BY268" s="150">
        <f t="shared" si="707"/>
        <v>41.749435028273673</v>
      </c>
      <c r="BZ268" s="5">
        <f t="shared" si="708"/>
        <v>47.32</v>
      </c>
      <c r="CA268" s="150">
        <f t="shared" si="709"/>
        <v>0.53127091223806489</v>
      </c>
      <c r="CB268" s="5">
        <f t="shared" si="710"/>
        <v>53.127091223806488</v>
      </c>
      <c r="CC268">
        <f t="shared" si="711"/>
        <v>52</v>
      </c>
      <c r="CE268" s="59">
        <f t="shared" si="767"/>
        <v>-50</v>
      </c>
      <c r="CG268" s="150">
        <f t="shared" si="768"/>
        <v>0.63502377808469523</v>
      </c>
      <c r="CH268" s="150">
        <f t="shared" si="769"/>
        <v>0.17735551404972849</v>
      </c>
      <c r="CI268" s="147">
        <v>52</v>
      </c>
      <c r="CJ268" s="188">
        <f t="shared" si="712"/>
        <v>0.26</v>
      </c>
      <c r="CK268" s="188">
        <f t="shared" si="654"/>
        <v>0.26</v>
      </c>
      <c r="CL268" s="188">
        <f t="shared" si="655"/>
        <v>44.2</v>
      </c>
      <c r="CM268" s="188">
        <f t="shared" si="656"/>
        <v>3.12</v>
      </c>
      <c r="CN268" s="465">
        <f t="shared" si="657"/>
        <v>16</v>
      </c>
      <c r="CO268" s="379">
        <f t="shared" si="770"/>
        <v>8.625</v>
      </c>
      <c r="CP268" s="379">
        <f t="shared" si="771"/>
        <v>24.625</v>
      </c>
      <c r="CQ268" s="379"/>
      <c r="CR268" s="188">
        <f t="shared" si="660"/>
        <v>0.34787038923986141</v>
      </c>
      <c r="CS268" s="149">
        <f t="shared" si="661"/>
        <v>173.29806936491266</v>
      </c>
      <c r="CT268" s="149">
        <f t="shared" si="662"/>
        <v>12.232804896346776</v>
      </c>
      <c r="CU268" s="188">
        <f t="shared" si="663"/>
        <v>1.0194004080288981</v>
      </c>
      <c r="CV268" s="188">
        <f t="shared" si="664"/>
        <v>14.441505780409388</v>
      </c>
      <c r="CW268" s="188">
        <f t="shared" si="665"/>
        <v>170</v>
      </c>
      <c r="CX268" s="188">
        <f t="shared" si="666"/>
        <v>17.00345928529584</v>
      </c>
      <c r="CY268" s="188">
        <f t="shared" si="667"/>
        <v>1.594074307996485</v>
      </c>
      <c r="CZ268" s="188">
        <f t="shared" si="668"/>
        <v>2.9571233539644939</v>
      </c>
      <c r="DA268" s="172">
        <f t="shared" si="669"/>
        <v>280.20304568527916</v>
      </c>
      <c r="DB268" s="379">
        <f t="shared" si="670"/>
        <v>219.72238392501043</v>
      </c>
      <c r="DD268" s="188">
        <f t="shared" si="671"/>
        <v>13.333333333333332</v>
      </c>
      <c r="DE268" s="150">
        <f t="shared" si="672"/>
        <v>2.318840579710145</v>
      </c>
      <c r="DF268" s="150">
        <f t="shared" si="673"/>
        <v>0.20230192819025303</v>
      </c>
      <c r="DG268" s="150"/>
      <c r="DH268" s="150">
        <f t="shared" si="674"/>
        <v>2.3188405797101455</v>
      </c>
      <c r="DI268" s="314">
        <f t="shared" si="675"/>
        <v>360.11911764705872</v>
      </c>
      <c r="DJ268" s="456">
        <f t="shared" si="676"/>
        <v>0.20230192819025311</v>
      </c>
      <c r="DL268" s="150">
        <f t="shared" si="677"/>
        <v>13.426342266852378</v>
      </c>
      <c r="DM268" s="150">
        <f t="shared" si="678"/>
        <v>17.00345928529584</v>
      </c>
      <c r="DN268" s="150">
        <f t="shared" si="679"/>
        <v>3.9186118162685224</v>
      </c>
      <c r="DP268" s="314">
        <f t="shared" si="680"/>
        <v>260</v>
      </c>
      <c r="DQ268" s="144">
        <f t="shared" si="681"/>
        <v>219.72238392501043</v>
      </c>
      <c r="DS268">
        <f t="shared" si="682"/>
        <v>260</v>
      </c>
      <c r="DT268">
        <f t="shared" si="683"/>
        <v>219.72238392501043</v>
      </c>
      <c r="DV268" s="5">
        <f t="shared" si="684"/>
        <v>4.5511976619609786</v>
      </c>
      <c r="DW268" s="5">
        <f t="shared" si="685"/>
        <v>1.594074307996485</v>
      </c>
      <c r="DX268" s="5">
        <f t="shared" si="686"/>
        <v>2.9571233539644934</v>
      </c>
      <c r="DY268" s="150">
        <f t="shared" si="687"/>
        <v>0.35025380710659898</v>
      </c>
      <c r="EA268" s="5">
        <f t="shared" si="713"/>
        <v>0.24379960004652124</v>
      </c>
      <c r="EB268" s="5">
        <f t="shared" si="714"/>
        <v>3.4538276673257173</v>
      </c>
      <c r="EC268" s="5">
        <f t="shared" si="715"/>
        <v>13.615088775544855</v>
      </c>
      <c r="ED268" s="5"/>
      <c r="EE268" s="150">
        <f t="shared" si="716"/>
        <v>5.8098924198845117</v>
      </c>
      <c r="EF268" s="150">
        <f t="shared" si="717"/>
        <v>0.36956945368066585</v>
      </c>
      <c r="EG268" s="150">
        <f t="shared" si="718"/>
        <v>0.35156652992600107</v>
      </c>
      <c r="EH268" s="150"/>
      <c r="EI268" s="456">
        <f t="shared" si="719"/>
        <v>0.11476648976414712</v>
      </c>
      <c r="EJ268" s="456">
        <f t="shared" si="720"/>
        <v>2.7968000000000006</v>
      </c>
      <c r="EK268" s="456">
        <f t="shared" si="721"/>
        <v>5.0316425918827394E-2</v>
      </c>
      <c r="EL268" s="456">
        <f t="shared" si="722"/>
        <v>9.1267751694622271E-2</v>
      </c>
      <c r="EM268">
        <f t="shared" si="723"/>
        <v>7.1999999999999998E-3</v>
      </c>
      <c r="EN268" s="144">
        <f t="shared" si="724"/>
        <v>57.516425918827395</v>
      </c>
      <c r="EP268" s="144">
        <f t="shared" si="725"/>
        <v>3060.3506673775973</v>
      </c>
      <c r="EQ268" s="150">
        <f t="shared" si="726"/>
        <v>0.65</v>
      </c>
      <c r="ER268" s="150">
        <f t="shared" si="772"/>
        <v>0.18460000000000001</v>
      </c>
      <c r="ES268" s="456"/>
      <c r="EU268" s="144">
        <f t="shared" si="727"/>
        <v>834.6</v>
      </c>
      <c r="EV268" s="456">
        <f t="shared" si="728"/>
        <v>5.0632274895947266E-2</v>
      </c>
      <c r="EW268" s="456">
        <f t="shared" si="729"/>
        <v>2.7316316218765166E-2</v>
      </c>
      <c r="EX268" s="456">
        <f t="shared" si="730"/>
        <v>3.7079707489262943E-3</v>
      </c>
      <c r="EY268" s="456">
        <f t="shared" si="731"/>
        <v>42.657851179101598</v>
      </c>
      <c r="EZ268" s="456"/>
      <c r="FA268" s="538">
        <f t="shared" si="732"/>
        <v>6.3525614385673793E-2</v>
      </c>
      <c r="FB268" s="144">
        <f t="shared" si="733"/>
        <v>42803.033355350912</v>
      </c>
      <c r="FC268" s="150">
        <f t="shared" si="734"/>
        <v>46.697984022728512</v>
      </c>
      <c r="FD268" s="5">
        <f t="shared" si="735"/>
        <v>47.32</v>
      </c>
      <c r="FE268" s="150">
        <f t="shared" si="736"/>
        <v>0.50330796274636735</v>
      </c>
      <c r="FF268" s="5">
        <f t="shared" si="737"/>
        <v>50.330796274636732</v>
      </c>
      <c r="FG268">
        <f t="shared" si="738"/>
        <v>52</v>
      </c>
      <c r="FI268" s="59">
        <f t="shared" si="689"/>
        <v>-50</v>
      </c>
    </row>
    <row r="269" spans="5:165">
      <c r="E269" s="147">
        <v>53</v>
      </c>
      <c r="F269" s="188">
        <f t="shared" si="773"/>
        <v>0.26500000000000001</v>
      </c>
      <c r="G269" s="188">
        <f t="shared" si="742"/>
        <v>0.26500000000000001</v>
      </c>
      <c r="H269" s="188">
        <f t="shared" si="743"/>
        <v>45.050000000000004</v>
      </c>
      <c r="I269" s="188">
        <f t="shared" si="744"/>
        <v>3.18</v>
      </c>
      <c r="J269" s="465">
        <f t="shared" si="745"/>
        <v>15.948238433413655</v>
      </c>
      <c r="K269" s="379">
        <f t="shared" si="746"/>
        <v>8.6552044941903983</v>
      </c>
      <c r="L269" s="149">
        <f t="shared" si="747"/>
        <v>24.603442927604053</v>
      </c>
      <c r="M269" s="379"/>
      <c r="N269" s="188">
        <f t="shared" si="748"/>
        <v>0.35178834603183173</v>
      </c>
      <c r="O269" s="149">
        <f t="shared" si="749"/>
        <v>174.68292152088276</v>
      </c>
      <c r="P269" s="149">
        <f t="shared" si="750"/>
        <v>12.33055916617996</v>
      </c>
      <c r="Q269" s="188">
        <f t="shared" si="626"/>
        <v>1.0275465971816633</v>
      </c>
      <c r="R269" s="188">
        <f t="shared" si="751"/>
        <v>14.556910126740229</v>
      </c>
      <c r="S269" s="188">
        <f t="shared" si="752"/>
        <v>170</v>
      </c>
      <c r="T269" s="188">
        <f t="shared" si="753"/>
        <v>17.193056465879494</v>
      </c>
      <c r="U269" s="188">
        <f t="shared" si="630"/>
        <v>1.6170804572865349</v>
      </c>
      <c r="V269" s="188">
        <f t="shared" si="631"/>
        <v>2.9796620884151142</v>
      </c>
      <c r="W269" s="172">
        <f t="shared" si="632"/>
        <v>280.52022103059403</v>
      </c>
      <c r="X269" s="379">
        <f t="shared" si="691"/>
        <v>208.47481191086604</v>
      </c>
      <c r="Z269" s="188">
        <f t="shared" si="633"/>
        <v>13.333333333333334</v>
      </c>
      <c r="AA269" s="150">
        <f t="shared" si="634"/>
        <v>2.3107484073223836</v>
      </c>
      <c r="AB269" s="150">
        <f t="shared" si="754"/>
        <v>0.20182414134540036</v>
      </c>
      <c r="AC269" s="150"/>
      <c r="AD269" s="150">
        <f t="shared" si="636"/>
        <v>2.3107484073223836</v>
      </c>
      <c r="AE269" s="314">
        <f t="shared" si="755"/>
        <v>368.3298641954143</v>
      </c>
      <c r="AF269" s="456">
        <f t="shared" si="756"/>
        <v>0.20182414134540042</v>
      </c>
      <c r="AH269" s="150">
        <f t="shared" si="757"/>
        <v>13.554826938523906</v>
      </c>
      <c r="AI269" s="150">
        <f t="shared" si="758"/>
        <v>17.193056465879494</v>
      </c>
      <c r="AJ269" s="150">
        <f t="shared" si="759"/>
        <v>4.0590541722564142</v>
      </c>
      <c r="AL269" s="314">
        <f t="shared" si="760"/>
        <v>265</v>
      </c>
      <c r="AM269" s="144">
        <f t="shared" si="761"/>
        <v>208.47481191086604</v>
      </c>
      <c r="AO269">
        <f t="shared" si="644"/>
        <v>265</v>
      </c>
      <c r="AP269">
        <f t="shared" si="645"/>
        <v>208.47481191086604</v>
      </c>
      <c r="AR269" s="5">
        <f t="shared" si="774"/>
        <v>4.7967425457016493</v>
      </c>
      <c r="AS269" s="5">
        <f t="shared" si="739"/>
        <v>1.6170804572865349</v>
      </c>
      <c r="AT269" s="5">
        <f t="shared" si="740"/>
        <v>3.1796620884151143</v>
      </c>
      <c r="AU269" s="150">
        <f t="shared" si="741"/>
        <v>0.33712054417754761</v>
      </c>
      <c r="BA269" s="150">
        <f t="shared" si="692"/>
        <v>5.7634837337535103</v>
      </c>
      <c r="BB269" s="150">
        <f t="shared" si="693"/>
        <v>0.37744813130988986</v>
      </c>
      <c r="BC269" s="150">
        <f t="shared" si="694"/>
        <v>0.35906141167806616</v>
      </c>
      <c r="BD269" s="150"/>
      <c r="BE269" s="456">
        <f t="shared" si="695"/>
        <v>0.11294033214742043</v>
      </c>
      <c r="BF269" s="456">
        <f t="shared" si="762"/>
        <v>2.1120689068724579</v>
      </c>
      <c r="BG269" s="456">
        <f t="shared" si="763"/>
        <v>0.1522761151533725</v>
      </c>
      <c r="BH269" s="456">
        <f t="shared" si="696"/>
        <v>8.6444214530024849E-2</v>
      </c>
      <c r="BI269">
        <f t="shared" si="697"/>
        <v>7.1767072950361449E-3</v>
      </c>
      <c r="BJ269" s="144">
        <f t="shared" si="698"/>
        <v>159.45282244840863</v>
      </c>
      <c r="BK269">
        <f t="shared" si="764"/>
        <v>2.406525548876898</v>
      </c>
      <c r="BL269" s="144">
        <f t="shared" si="699"/>
        <v>2470.9062759983121</v>
      </c>
      <c r="BM269" s="150">
        <f t="shared" si="765"/>
        <v>0.58796875000000004</v>
      </c>
      <c r="BN269" s="150">
        <f t="shared" si="766"/>
        <v>0.18815000000000001</v>
      </c>
      <c r="BQ269" s="144">
        <f t="shared" si="700"/>
        <v>776.11875000000009</v>
      </c>
      <c r="BR269" s="456">
        <f t="shared" si="701"/>
        <v>4.9826617123861959E-2</v>
      </c>
      <c r="BS269" s="456">
        <f t="shared" si="702"/>
        <v>2.849341836586557E-2</v>
      </c>
      <c r="BT269" s="456">
        <f t="shared" si="703"/>
        <v>3.8677529206873713E-3</v>
      </c>
      <c r="BU269" s="456">
        <f t="shared" si="704"/>
        <v>38.458000858434119</v>
      </c>
      <c r="BV269" s="456"/>
      <c r="BW269" s="538">
        <f t="shared" si="705"/>
        <v>6.1625402619077056E-2</v>
      </c>
      <c r="BX269" s="144">
        <f t="shared" si="706"/>
        <v>38601.81404946361</v>
      </c>
      <c r="BY269" s="150">
        <f t="shared" si="707"/>
        <v>41.848839075461925</v>
      </c>
      <c r="BZ269" s="5">
        <f t="shared" si="708"/>
        <v>48.230000000000004</v>
      </c>
      <c r="CA269" s="150">
        <f t="shared" si="709"/>
        <v>0.53541986658593799</v>
      </c>
      <c r="CB269" s="5">
        <f t="shared" si="710"/>
        <v>53.5419866585938</v>
      </c>
      <c r="CC269">
        <f t="shared" si="711"/>
        <v>53</v>
      </c>
      <c r="CE269" s="59">
        <f t="shared" si="767"/>
        <v>-50</v>
      </c>
      <c r="CG269" s="150">
        <f t="shared" si="768"/>
        <v>0.63502377808469523</v>
      </c>
      <c r="CH269" s="150">
        <f t="shared" si="769"/>
        <v>0.17735551404972849</v>
      </c>
      <c r="CI269" s="147">
        <v>53</v>
      </c>
      <c r="CJ269" s="188">
        <f t="shared" si="712"/>
        <v>0.26500000000000001</v>
      </c>
      <c r="CK269" s="188">
        <f t="shared" si="654"/>
        <v>0.26500000000000001</v>
      </c>
      <c r="CL269" s="188">
        <f t="shared" si="655"/>
        <v>45.050000000000004</v>
      </c>
      <c r="CM269" s="188">
        <f t="shared" si="656"/>
        <v>3.18</v>
      </c>
      <c r="CN269" s="465">
        <f t="shared" si="657"/>
        <v>16</v>
      </c>
      <c r="CO269" s="379">
        <f t="shared" si="770"/>
        <v>8.625</v>
      </c>
      <c r="CP269" s="379">
        <f t="shared" si="771"/>
        <v>24.625</v>
      </c>
      <c r="CQ269" s="379"/>
      <c r="CR269" s="188">
        <f t="shared" si="660"/>
        <v>0.34787038923986141</v>
      </c>
      <c r="CS269" s="149">
        <f t="shared" si="661"/>
        <v>173.29806936491266</v>
      </c>
      <c r="CT269" s="149">
        <f t="shared" si="662"/>
        <v>12.232804896346776</v>
      </c>
      <c r="CU269" s="188">
        <f t="shared" si="663"/>
        <v>1.0194004080288981</v>
      </c>
      <c r="CV269" s="188">
        <f t="shared" si="664"/>
        <v>14.441505780409388</v>
      </c>
      <c r="CW269" s="188">
        <f t="shared" si="665"/>
        <v>170</v>
      </c>
      <c r="CX269" s="188">
        <f t="shared" si="666"/>
        <v>17.330448886936146</v>
      </c>
      <c r="CY269" s="188">
        <f t="shared" si="667"/>
        <v>1.6247295831502637</v>
      </c>
      <c r="CZ269" s="188">
        <f t="shared" si="668"/>
        <v>3.0139911107715038</v>
      </c>
      <c r="DA269" s="172">
        <f t="shared" si="669"/>
        <v>280.20304568527916</v>
      </c>
      <c r="DB269" s="379">
        <f t="shared" si="670"/>
        <v>215.57667856793472</v>
      </c>
      <c r="DD269" s="188">
        <f t="shared" si="671"/>
        <v>13.333333333333332</v>
      </c>
      <c r="DE269" s="150">
        <f t="shared" si="672"/>
        <v>2.318840579710145</v>
      </c>
      <c r="DF269" s="150">
        <f t="shared" si="673"/>
        <v>0.20230192819025303</v>
      </c>
      <c r="DG269" s="150"/>
      <c r="DH269" s="150">
        <f t="shared" si="674"/>
        <v>2.3188405797101455</v>
      </c>
      <c r="DI269" s="314">
        <f t="shared" si="675"/>
        <v>367.04448529411752</v>
      </c>
      <c r="DJ269" s="456">
        <f t="shared" si="676"/>
        <v>0.20230192819025311</v>
      </c>
      <c r="DL269" s="150">
        <f t="shared" si="677"/>
        <v>13.554826938523906</v>
      </c>
      <c r="DM269" s="150">
        <f t="shared" si="678"/>
        <v>17.330448886936146</v>
      </c>
      <c r="DN269" s="150">
        <f t="shared" si="679"/>
        <v>4.1608263360020832</v>
      </c>
      <c r="DP269" s="314">
        <f t="shared" si="680"/>
        <v>265</v>
      </c>
      <c r="DQ269" s="144">
        <f t="shared" si="681"/>
        <v>215.57667856793472</v>
      </c>
      <c r="DS269">
        <f t="shared" si="682"/>
        <v>265</v>
      </c>
      <c r="DT269">
        <f t="shared" si="683"/>
        <v>215.57667856793472</v>
      </c>
      <c r="DV269" s="5">
        <f t="shared" si="684"/>
        <v>4.6387206939217682</v>
      </c>
      <c r="DW269" s="5">
        <f t="shared" si="685"/>
        <v>1.6247295831502637</v>
      </c>
      <c r="DX269" s="5">
        <f t="shared" si="686"/>
        <v>3.0139911107715047</v>
      </c>
      <c r="DY269" s="150">
        <f t="shared" si="687"/>
        <v>0.35025380710659892</v>
      </c>
      <c r="EA269" s="5">
        <f t="shared" si="713"/>
        <v>0.25326667031459993</v>
      </c>
      <c r="EB269" s="5">
        <f t="shared" si="714"/>
        <v>3.587944496123499</v>
      </c>
      <c r="EC269" s="5">
        <f t="shared" si="715"/>
        <v>14.143781202110029</v>
      </c>
      <c r="ED269" s="5"/>
      <c r="EE269" s="150">
        <f t="shared" si="716"/>
        <v>5.9216211202669058</v>
      </c>
      <c r="EF269" s="150">
        <f t="shared" si="717"/>
        <v>0.37667655855914028</v>
      </c>
      <c r="EG269" s="150">
        <f t="shared" si="718"/>
        <v>0.35832742473227036</v>
      </c>
      <c r="EH269" s="150"/>
      <c r="EI269" s="456">
        <f t="shared" si="719"/>
        <v>0.11922302875276967</v>
      </c>
      <c r="EJ269" s="456">
        <f t="shared" si="720"/>
        <v>2.7967999999999997</v>
      </c>
      <c r="EK269" s="456">
        <f t="shared" si="721"/>
        <v>4.9367059392057051E-2</v>
      </c>
      <c r="EL269" s="456">
        <f t="shared" si="722"/>
        <v>8.9545718643780317E-2</v>
      </c>
      <c r="EM269">
        <f t="shared" si="723"/>
        <v>7.1999999999999998E-3</v>
      </c>
      <c r="EN269" s="144">
        <f t="shared" si="724"/>
        <v>56.567059392057047</v>
      </c>
      <c r="EP269" s="144">
        <f t="shared" si="725"/>
        <v>3062.1358067886072</v>
      </c>
      <c r="EQ269" s="150">
        <f t="shared" si="726"/>
        <v>0.66250000000000009</v>
      </c>
      <c r="ER269" s="150">
        <f t="shared" si="772"/>
        <v>0.18815000000000001</v>
      </c>
      <c r="ES269" s="456"/>
      <c r="EU269" s="144">
        <f t="shared" si="727"/>
        <v>850.65000000000009</v>
      </c>
      <c r="EV269" s="456">
        <f t="shared" si="728"/>
        <v>5.2598395037986627E-2</v>
      </c>
      <c r="EW269" s="456">
        <f t="shared" si="729"/>
        <v>2.8377045953591491E-2</v>
      </c>
      <c r="EX269" s="456">
        <f t="shared" si="730"/>
        <v>3.8519562994578263E-3</v>
      </c>
      <c r="EY269" s="456">
        <f t="shared" si="731"/>
        <v>42.657851179101606</v>
      </c>
      <c r="EZ269" s="456"/>
      <c r="FA269" s="538">
        <f t="shared" si="732"/>
        <v>6.4747260816167537E-2</v>
      </c>
      <c r="FB269" s="144">
        <f t="shared" si="733"/>
        <v>42807.425837208808</v>
      </c>
      <c r="FC269" s="150">
        <f t="shared" si="734"/>
        <v>46.720211643997416</v>
      </c>
      <c r="FD269" s="5">
        <f t="shared" si="735"/>
        <v>48.230000000000004</v>
      </c>
      <c r="FE269" s="150">
        <f t="shared" si="736"/>
        <v>0.50795042122530132</v>
      </c>
      <c r="FF269" s="5">
        <f t="shared" si="737"/>
        <v>50.795042122530134</v>
      </c>
      <c r="FG269">
        <f t="shared" si="738"/>
        <v>53</v>
      </c>
      <c r="FI269" s="59">
        <f t="shared" si="689"/>
        <v>-50</v>
      </c>
    </row>
    <row r="270" spans="5:165">
      <c r="E270" s="147">
        <v>54</v>
      </c>
      <c r="F270" s="188">
        <f t="shared" si="773"/>
        <v>0.27</v>
      </c>
      <c r="G270" s="188">
        <f t="shared" si="742"/>
        <v>0.27</v>
      </c>
      <c r="H270" s="188">
        <f t="shared" si="743"/>
        <v>45.900000000000006</v>
      </c>
      <c r="I270" s="188">
        <f t="shared" si="744"/>
        <v>3.24</v>
      </c>
      <c r="J270" s="465">
        <f t="shared" si="745"/>
        <v>15.947261800081838</v>
      </c>
      <c r="K270" s="379">
        <f t="shared" si="746"/>
        <v>8.6557743903071991</v>
      </c>
      <c r="L270" s="149">
        <f t="shared" si="747"/>
        <v>24.603036190389037</v>
      </c>
      <c r="M270" s="379"/>
      <c r="N270" s="188">
        <f t="shared" si="748"/>
        <v>0.35181732544410521</v>
      </c>
      <c r="O270" s="149">
        <f t="shared" si="749"/>
        <v>174.68661338690399</v>
      </c>
      <c r="P270" s="149">
        <f t="shared" si="750"/>
        <v>12.330819768487341</v>
      </c>
      <c r="Q270" s="188">
        <f t="shared" si="626"/>
        <v>1.0275683140406118</v>
      </c>
      <c r="R270" s="188">
        <f t="shared" si="751"/>
        <v>14.557217782241999</v>
      </c>
      <c r="S270" s="188">
        <f t="shared" si="752"/>
        <v>170</v>
      </c>
      <c r="T270" s="188">
        <f t="shared" si="753"/>
        <v>17.517083539896507</v>
      </c>
      <c r="U270" s="188">
        <f t="shared" si="630"/>
        <v>1.6476574874885368</v>
      </c>
      <c r="V270" s="188">
        <f t="shared" si="631"/>
        <v>3.0356180885754602</v>
      </c>
      <c r="W270" s="172">
        <f t="shared" si="632"/>
        <v>280.52614973308698</v>
      </c>
      <c r="X270" s="379">
        <f t="shared" si="691"/>
        <v>204.78057902397083</v>
      </c>
      <c r="Z270" s="188">
        <f t="shared" si="633"/>
        <v>13.333333333333334</v>
      </c>
      <c r="AA270" s="150">
        <f t="shared" si="634"/>
        <v>2.310596267665681</v>
      </c>
      <c r="AB270" s="150">
        <f t="shared" si="754"/>
        <v>0.20181511845146907</v>
      </c>
      <c r="AC270" s="150"/>
      <c r="AD270" s="150">
        <f t="shared" si="636"/>
        <v>2.310596267665681</v>
      </c>
      <c r="AE270" s="314">
        <f t="shared" si="755"/>
        <v>375.30419429973153</v>
      </c>
      <c r="AF270" s="456">
        <f t="shared" si="756"/>
        <v>0.20181511845146913</v>
      </c>
      <c r="AH270" s="150">
        <f t="shared" si="757"/>
        <v>13.682105101189656</v>
      </c>
      <c r="AI270" s="150">
        <f t="shared" si="758"/>
        <v>17.517083539896507</v>
      </c>
      <c r="AJ270" s="150">
        <f t="shared" si="759"/>
        <v>4.2990742270838327</v>
      </c>
      <c r="AL270" s="314">
        <f t="shared" si="760"/>
        <v>270</v>
      </c>
      <c r="AM270" s="144">
        <f t="shared" si="761"/>
        <v>204.78057902397083</v>
      </c>
      <c r="AO270">
        <f t="shared" si="644"/>
        <v>270</v>
      </c>
      <c r="AP270">
        <f t="shared" si="645"/>
        <v>204.78057902397083</v>
      </c>
      <c r="AR270" s="5">
        <f t="shared" si="774"/>
        <v>4.8832755760639968</v>
      </c>
      <c r="AS270" s="5">
        <f t="shared" si="739"/>
        <v>1.6476574874885368</v>
      </c>
      <c r="AT270" s="5">
        <f t="shared" si="740"/>
        <v>3.23561808857546</v>
      </c>
      <c r="AU270" s="150">
        <f t="shared" si="741"/>
        <v>0.33740825432108357</v>
      </c>
      <c r="BA270" s="150">
        <f t="shared" si="692"/>
        <v>5.8746097974142222</v>
      </c>
      <c r="BB270" s="150">
        <f t="shared" si="693"/>
        <v>0.38447820170666819</v>
      </c>
      <c r="BC270" s="150">
        <f t="shared" si="694"/>
        <v>0.36574902460147202</v>
      </c>
      <c r="BD270" s="150"/>
      <c r="BE270" s="456">
        <f t="shared" si="695"/>
        <v>0.11733753692437557</v>
      </c>
      <c r="BF270" s="456">
        <f t="shared" si="762"/>
        <v>2.1137070259460669</v>
      </c>
      <c r="BG270" s="456">
        <f t="shared" si="763"/>
        <v>0.14956857934125653</v>
      </c>
      <c r="BH270" s="456">
        <f t="shared" si="696"/>
        <v>8.4909591020323999E-2</v>
      </c>
      <c r="BI270">
        <f t="shared" si="697"/>
        <v>7.1762678100368267E-3</v>
      </c>
      <c r="BJ270" s="144">
        <f t="shared" si="698"/>
        <v>156.74484715129336</v>
      </c>
      <c r="BK270">
        <f t="shared" si="764"/>
        <v>2.4149630055136648</v>
      </c>
      <c r="BL270" s="144">
        <f t="shared" si="699"/>
        <v>2472.6990010420595</v>
      </c>
      <c r="BM270" s="150">
        <f t="shared" si="765"/>
        <v>0.59906250000000005</v>
      </c>
      <c r="BN270" s="150">
        <f t="shared" si="766"/>
        <v>0.19170000000000001</v>
      </c>
      <c r="BQ270" s="144">
        <f t="shared" si="700"/>
        <v>790.76250000000005</v>
      </c>
      <c r="BR270" s="456">
        <f t="shared" si="701"/>
        <v>5.1766560407812752E-2</v>
      </c>
      <c r="BS270" s="456">
        <f t="shared" si="702"/>
        <v>2.9564697517518685E-2</v>
      </c>
      <c r="BT270" s="456">
        <f t="shared" si="703"/>
        <v>4.0131704699078452E-3</v>
      </c>
      <c r="BU270" s="456">
        <f t="shared" si="704"/>
        <v>38.534206805523908</v>
      </c>
      <c r="BV270" s="456"/>
      <c r="BW270" s="538">
        <f t="shared" si="705"/>
        <v>6.2836555292469912E-2</v>
      </c>
      <c r="BX270" s="144">
        <f t="shared" si="706"/>
        <v>38682.387789211614</v>
      </c>
      <c r="BY270" s="150">
        <f t="shared" si="707"/>
        <v>41.945849290253676</v>
      </c>
      <c r="BZ270" s="5">
        <f t="shared" si="708"/>
        <v>49.140000000000008</v>
      </c>
      <c r="CA270" s="150">
        <f t="shared" si="709"/>
        <v>0.53949104479896481</v>
      </c>
      <c r="CB270" s="5">
        <f t="shared" si="710"/>
        <v>53.949104479896484</v>
      </c>
      <c r="CC270">
        <f t="shared" si="711"/>
        <v>54</v>
      </c>
      <c r="CE270" s="59">
        <f t="shared" si="767"/>
        <v>-50</v>
      </c>
      <c r="CG270" s="150">
        <f t="shared" si="768"/>
        <v>0.63502377808469523</v>
      </c>
      <c r="CH270" s="150">
        <f t="shared" si="769"/>
        <v>0.17735551404972849</v>
      </c>
      <c r="CI270" s="147">
        <v>54</v>
      </c>
      <c r="CJ270" s="188">
        <f t="shared" si="712"/>
        <v>0.27</v>
      </c>
      <c r="CK270" s="188">
        <f t="shared" si="654"/>
        <v>0.27</v>
      </c>
      <c r="CL270" s="188">
        <f t="shared" si="655"/>
        <v>45.900000000000006</v>
      </c>
      <c r="CM270" s="188">
        <f t="shared" si="656"/>
        <v>3.24</v>
      </c>
      <c r="CN270" s="465">
        <f t="shared" si="657"/>
        <v>16</v>
      </c>
      <c r="CO270" s="379">
        <f t="shared" si="770"/>
        <v>8.625</v>
      </c>
      <c r="CP270" s="379">
        <f t="shared" si="771"/>
        <v>24.625</v>
      </c>
      <c r="CQ270" s="379"/>
      <c r="CR270" s="188">
        <f t="shared" si="660"/>
        <v>0.34787038923986141</v>
      </c>
      <c r="CS270" s="149">
        <f t="shared" si="661"/>
        <v>173.29806936491266</v>
      </c>
      <c r="CT270" s="149">
        <f t="shared" si="662"/>
        <v>12.232804896346776</v>
      </c>
      <c r="CU270" s="188">
        <f t="shared" si="663"/>
        <v>1.0194004080288981</v>
      </c>
      <c r="CV270" s="188">
        <f t="shared" si="664"/>
        <v>14.441505780409388</v>
      </c>
      <c r="CW270" s="188">
        <f t="shared" si="665"/>
        <v>170</v>
      </c>
      <c r="CX270" s="188">
        <f t="shared" si="666"/>
        <v>17.657438488576453</v>
      </c>
      <c r="CY270" s="188">
        <f t="shared" si="667"/>
        <v>1.6553848583040425</v>
      </c>
      <c r="CZ270" s="188">
        <f t="shared" si="668"/>
        <v>3.0708588675785133</v>
      </c>
      <c r="DA270" s="172">
        <f t="shared" si="669"/>
        <v>280.20304568527916</v>
      </c>
      <c r="DB270" s="379">
        <f t="shared" si="670"/>
        <v>211.58451785371369</v>
      </c>
      <c r="DD270" s="188">
        <f t="shared" si="671"/>
        <v>13.333333333333332</v>
      </c>
      <c r="DE270" s="150">
        <f t="shared" si="672"/>
        <v>2.318840579710145</v>
      </c>
      <c r="DF270" s="150">
        <f t="shared" si="673"/>
        <v>0.20230192819025303</v>
      </c>
      <c r="DG270" s="150"/>
      <c r="DH270" s="150">
        <f t="shared" si="674"/>
        <v>2.3188405797101455</v>
      </c>
      <c r="DI270" s="314">
        <f t="shared" si="675"/>
        <v>373.96985294117633</v>
      </c>
      <c r="DJ270" s="456">
        <f t="shared" si="676"/>
        <v>0.20230192819025311</v>
      </c>
      <c r="DL270" s="150">
        <f t="shared" si="677"/>
        <v>13.682105101189656</v>
      </c>
      <c r="DM270" s="150">
        <f t="shared" si="678"/>
        <v>17.657438488576453</v>
      </c>
      <c r="DN270" s="150">
        <f t="shared" si="679"/>
        <v>4.403040855735644</v>
      </c>
      <c r="DP270" s="314">
        <f t="shared" si="680"/>
        <v>270</v>
      </c>
      <c r="DQ270" s="144">
        <f t="shared" si="681"/>
        <v>211.58451785371369</v>
      </c>
      <c r="DS270">
        <f t="shared" si="682"/>
        <v>270</v>
      </c>
      <c r="DT270">
        <f t="shared" si="683"/>
        <v>211.58451785371369</v>
      </c>
      <c r="DV270" s="5">
        <f t="shared" si="684"/>
        <v>4.726243725882556</v>
      </c>
      <c r="DW270" s="5">
        <f t="shared" si="685"/>
        <v>1.6553848583040425</v>
      </c>
      <c r="DX270" s="5">
        <f t="shared" si="686"/>
        <v>3.0708588675785133</v>
      </c>
      <c r="DY270" s="150">
        <f t="shared" si="687"/>
        <v>0.35025380710659898</v>
      </c>
      <c r="EA270" s="5">
        <f t="shared" si="713"/>
        <v>0.26291406573064208</v>
      </c>
      <c r="EB270" s="5">
        <f t="shared" si="714"/>
        <v>3.7246159311840956</v>
      </c>
      <c r="EC270" s="5">
        <f t="shared" si="715"/>
        <v>14.682543960609767</v>
      </c>
      <c r="ED270" s="5"/>
      <c r="EE270" s="150">
        <f t="shared" si="716"/>
        <v>6.0333498206493017</v>
      </c>
      <c r="EF270" s="150">
        <f t="shared" si="717"/>
        <v>0.38378366343761461</v>
      </c>
      <c r="EG270" s="150">
        <f t="shared" si="718"/>
        <v>0.36508831953853965</v>
      </c>
      <c r="EH270" s="150"/>
      <c r="EI270" s="456">
        <f t="shared" si="719"/>
        <v>0.12376445419831845</v>
      </c>
      <c r="EJ270" s="456">
        <f t="shared" si="720"/>
        <v>2.7968000000000002</v>
      </c>
      <c r="EK270" s="456">
        <f t="shared" si="721"/>
        <v>4.8452854588500432E-2</v>
      </c>
      <c r="EL270" s="456">
        <f t="shared" si="722"/>
        <v>8.7887464594821413E-2</v>
      </c>
      <c r="EM270">
        <f t="shared" si="723"/>
        <v>7.1999999999999998E-3</v>
      </c>
      <c r="EN270" s="144">
        <f t="shared" si="724"/>
        <v>55.652854588500432</v>
      </c>
      <c r="EP270" s="144">
        <f t="shared" si="725"/>
        <v>3064.1047733816408</v>
      </c>
      <c r="EQ270" s="150">
        <f t="shared" si="726"/>
        <v>0.67500000000000004</v>
      </c>
      <c r="ER270" s="150">
        <f t="shared" si="772"/>
        <v>0.19170000000000001</v>
      </c>
      <c r="ES270" s="456"/>
      <c r="EU270" s="144">
        <f t="shared" si="727"/>
        <v>866.7</v>
      </c>
      <c r="EV270" s="456">
        <f t="shared" si="728"/>
        <v>5.4601965087493438E-2</v>
      </c>
      <c r="EW270" s="456">
        <f t="shared" si="729"/>
        <v>2.9457980064319253E-2</v>
      </c>
      <c r="EX270" s="456">
        <f t="shared" si="730"/>
        <v>3.9986844319042448E-3</v>
      </c>
      <c r="EY270" s="456">
        <f t="shared" si="731"/>
        <v>42.657851179101705</v>
      </c>
      <c r="EZ270" s="456"/>
      <c r="FA270" s="538">
        <f t="shared" si="732"/>
        <v>6.5968907246661282E-2</v>
      </c>
      <c r="FB270" s="144">
        <f t="shared" si="733"/>
        <v>42811.878715932085</v>
      </c>
      <c r="FC270" s="150">
        <f t="shared" si="734"/>
        <v>46.742683489313727</v>
      </c>
      <c r="FD270" s="5">
        <f t="shared" si="735"/>
        <v>49.140000000000008</v>
      </c>
      <c r="FE270" s="150">
        <f t="shared" si="736"/>
        <v>0.51250130066996646</v>
      </c>
      <c r="FF270" s="5">
        <f t="shared" si="737"/>
        <v>51.250130066996647</v>
      </c>
      <c r="FG270">
        <f t="shared" si="738"/>
        <v>54</v>
      </c>
      <c r="FI270" s="59">
        <f t="shared" si="689"/>
        <v>-50</v>
      </c>
    </row>
    <row r="271" spans="5:165">
      <c r="E271" s="147">
        <v>55</v>
      </c>
      <c r="F271" s="188">
        <f t="shared" si="773"/>
        <v>0.27500000000000002</v>
      </c>
      <c r="G271" s="188">
        <f t="shared" si="742"/>
        <v>0.27500000000000002</v>
      </c>
      <c r="H271" s="188">
        <f t="shared" si="743"/>
        <v>46.750000000000007</v>
      </c>
      <c r="I271" s="188">
        <f t="shared" si="744"/>
        <v>3.3000000000000003</v>
      </c>
      <c r="J271" s="465">
        <f t="shared" si="745"/>
        <v>15.94628516675002</v>
      </c>
      <c r="K271" s="379">
        <f t="shared" si="746"/>
        <v>8.6563442864239981</v>
      </c>
      <c r="L271" s="149">
        <f t="shared" si="747"/>
        <v>24.602629453174018</v>
      </c>
      <c r="M271" s="379"/>
      <c r="N271" s="188">
        <f t="shared" si="748"/>
        <v>0.35184630581456944</v>
      </c>
      <c r="O271" s="149">
        <f t="shared" si="749"/>
        <v>174.69030396625132</v>
      </c>
      <c r="P271" s="149">
        <f t="shared" si="750"/>
        <v>12.331080279970681</v>
      </c>
      <c r="Q271" s="188">
        <f t="shared" si="626"/>
        <v>1.0275900233308901</v>
      </c>
      <c r="R271" s="188">
        <f t="shared" si="751"/>
        <v>14.557525330520944</v>
      </c>
      <c r="S271" s="188">
        <f t="shared" si="752"/>
        <v>170</v>
      </c>
      <c r="T271" s="188">
        <f t="shared" si="753"/>
        <v>17.841097049489253</v>
      </c>
      <c r="U271" s="188">
        <f t="shared" si="630"/>
        <v>1.6782369871344851</v>
      </c>
      <c r="V271" s="188">
        <f t="shared" si="631"/>
        <v>3.0915643704473452</v>
      </c>
      <c r="W271" s="172">
        <f t="shared" si="632"/>
        <v>280.53207636933297</v>
      </c>
      <c r="X271" s="379">
        <f t="shared" si="691"/>
        <v>201.21528569233857</v>
      </c>
      <c r="Z271" s="188">
        <f t="shared" si="633"/>
        <v>13.333333333333334</v>
      </c>
      <c r="AA271" s="150">
        <f t="shared" si="634"/>
        <v>2.3104441480414075</v>
      </c>
      <c r="AB271" s="150">
        <f t="shared" si="754"/>
        <v>0.20180609525920004</v>
      </c>
      <c r="AC271" s="150"/>
      <c r="AD271" s="150">
        <f t="shared" si="636"/>
        <v>2.3104441480414075</v>
      </c>
      <c r="AE271" s="314">
        <f t="shared" si="755"/>
        <v>382.27943959016568</v>
      </c>
      <c r="AF271" s="456">
        <f t="shared" si="756"/>
        <v>0.20180609525920001</v>
      </c>
      <c r="AH271" s="150">
        <f t="shared" si="757"/>
        <v>13.808210118138653</v>
      </c>
      <c r="AI271" s="150">
        <f t="shared" si="758"/>
        <v>17.841097049489253</v>
      </c>
      <c r="AJ271" s="150">
        <f t="shared" si="759"/>
        <v>4.5390842341895699</v>
      </c>
      <c r="AL271" s="314">
        <f t="shared" si="760"/>
        <v>275</v>
      </c>
      <c r="AM271" s="144">
        <f t="shared" si="761"/>
        <v>201.21528569233857</v>
      </c>
      <c r="AO271">
        <f t="shared" si="644"/>
        <v>275</v>
      </c>
      <c r="AP271">
        <f t="shared" si="645"/>
        <v>201.21528569233857</v>
      </c>
      <c r="AR271" s="5">
        <f t="shared" si="774"/>
        <v>4.9698013575818303</v>
      </c>
      <c r="AS271" s="5">
        <f t="shared" si="739"/>
        <v>1.6782369871344851</v>
      </c>
      <c r="AT271" s="5">
        <f t="shared" si="740"/>
        <v>3.291564370447345</v>
      </c>
      <c r="AU271" s="150">
        <f t="shared" si="741"/>
        <v>0.33768693482571494</v>
      </c>
      <c r="BA271" s="150">
        <f t="shared" si="692"/>
        <v>5.9857428755882758</v>
      </c>
      <c r="BB271" s="150">
        <f t="shared" si="693"/>
        <v>0.39150753697490259</v>
      </c>
      <c r="BC271" s="150">
        <f t="shared" si="694"/>
        <v>0.37243593820682375</v>
      </c>
      <c r="BD271" s="150"/>
      <c r="BE271" s="456">
        <f t="shared" si="695"/>
        <v>0.12181900042702971</v>
      </c>
      <c r="BF271" s="456">
        <f t="shared" si="762"/>
        <v>2.1152883068245205</v>
      </c>
      <c r="BG271" s="456">
        <f t="shared" si="763"/>
        <v>0.14695554371060704</v>
      </c>
      <c r="BH271" s="456">
        <f t="shared" si="696"/>
        <v>8.3428530183492389E-2</v>
      </c>
      <c r="BI271">
        <f t="shared" si="697"/>
        <v>7.1758283250375086E-3</v>
      </c>
      <c r="BJ271" s="144">
        <f t="shared" si="698"/>
        <v>154.13137203564455</v>
      </c>
      <c r="BK271">
        <f t="shared" si="764"/>
        <v>2.42357540547538</v>
      </c>
      <c r="BL271" s="144">
        <f t="shared" si="699"/>
        <v>2474.6672094706873</v>
      </c>
      <c r="BM271" s="150">
        <f t="shared" si="765"/>
        <v>0.61015624999999996</v>
      </c>
      <c r="BN271" s="150">
        <f t="shared" si="766"/>
        <v>0.19525000000000001</v>
      </c>
      <c r="BQ271" s="144">
        <f t="shared" si="700"/>
        <v>805.40625</v>
      </c>
      <c r="BR271" s="456">
        <f t="shared" si="701"/>
        <v>5.3743676658983698E-2</v>
      </c>
      <c r="BS271" s="456">
        <f t="shared" si="702"/>
        <v>3.0655630301630946E-2</v>
      </c>
      <c r="BT271" s="456">
        <f t="shared" si="703"/>
        <v>4.1612558420399117E-3</v>
      </c>
      <c r="BU271" s="456">
        <f t="shared" si="704"/>
        <v>38.60791225106702</v>
      </c>
      <c r="BV271" s="456"/>
      <c r="BW271" s="538">
        <f t="shared" si="705"/>
        <v>6.4047779986959597E-2</v>
      </c>
      <c r="BX271" s="144">
        <f t="shared" si="706"/>
        <v>38760.520593856636</v>
      </c>
      <c r="BY271" s="150">
        <f t="shared" si="707"/>
        <v>42.040594053327318</v>
      </c>
      <c r="BZ271" s="5">
        <f t="shared" si="708"/>
        <v>50.050000000000004</v>
      </c>
      <c r="CA271" s="150">
        <f t="shared" si="709"/>
        <v>0.54348655814965552</v>
      </c>
      <c r="CB271" s="5">
        <f t="shared" si="710"/>
        <v>54.348655814965554</v>
      </c>
      <c r="CC271">
        <f t="shared" si="711"/>
        <v>55.000000000000007</v>
      </c>
      <c r="CE271" s="59">
        <f t="shared" si="767"/>
        <v>-50</v>
      </c>
      <c r="CG271" s="150">
        <f t="shared" si="768"/>
        <v>0.63502377808469523</v>
      </c>
      <c r="CH271" s="150">
        <f t="shared" si="769"/>
        <v>0.17735551404972849</v>
      </c>
      <c r="CI271" s="147">
        <v>55</v>
      </c>
      <c r="CJ271" s="188">
        <f t="shared" si="712"/>
        <v>0.27500000000000002</v>
      </c>
      <c r="CK271" s="188">
        <f t="shared" si="654"/>
        <v>0.27500000000000002</v>
      </c>
      <c r="CL271" s="188">
        <f t="shared" si="655"/>
        <v>46.750000000000007</v>
      </c>
      <c r="CM271" s="188">
        <f t="shared" si="656"/>
        <v>3.3000000000000003</v>
      </c>
      <c r="CN271" s="465">
        <f t="shared" si="657"/>
        <v>16</v>
      </c>
      <c r="CO271" s="379">
        <f t="shared" si="770"/>
        <v>8.625</v>
      </c>
      <c r="CP271" s="379">
        <f t="shared" si="771"/>
        <v>24.625</v>
      </c>
      <c r="CQ271" s="379"/>
      <c r="CR271" s="188">
        <f t="shared" si="660"/>
        <v>0.34787038923986141</v>
      </c>
      <c r="CS271" s="149">
        <f t="shared" si="661"/>
        <v>173.29806936491266</v>
      </c>
      <c r="CT271" s="149">
        <f t="shared" si="662"/>
        <v>12.232804896346776</v>
      </c>
      <c r="CU271" s="188">
        <f t="shared" si="663"/>
        <v>1.0194004080288981</v>
      </c>
      <c r="CV271" s="188">
        <f t="shared" si="664"/>
        <v>14.441505780409388</v>
      </c>
      <c r="CW271" s="188">
        <f t="shared" si="665"/>
        <v>170</v>
      </c>
      <c r="CX271" s="188">
        <f t="shared" si="666"/>
        <v>17.984428090216756</v>
      </c>
      <c r="CY271" s="188">
        <f t="shared" si="667"/>
        <v>1.686040133457821</v>
      </c>
      <c r="CZ271" s="188">
        <f t="shared" si="668"/>
        <v>3.1277266243855228</v>
      </c>
      <c r="DA271" s="172">
        <f t="shared" si="669"/>
        <v>280.20304568527916</v>
      </c>
      <c r="DB271" s="379">
        <f t="shared" si="670"/>
        <v>207.73752662000982</v>
      </c>
      <c r="DD271" s="188">
        <f t="shared" si="671"/>
        <v>13.333333333333332</v>
      </c>
      <c r="DE271" s="150">
        <f t="shared" si="672"/>
        <v>2.318840579710145</v>
      </c>
      <c r="DF271" s="150">
        <f t="shared" si="673"/>
        <v>0.20230192819025303</v>
      </c>
      <c r="DG271" s="150"/>
      <c r="DH271" s="150">
        <f t="shared" si="674"/>
        <v>2.3188405797101455</v>
      </c>
      <c r="DI271" s="314">
        <f t="shared" si="675"/>
        <v>380.89522058823519</v>
      </c>
      <c r="DJ271" s="456">
        <f t="shared" si="676"/>
        <v>0.20230192819025311</v>
      </c>
      <c r="DL271" s="150">
        <f t="shared" si="677"/>
        <v>13.808210118138653</v>
      </c>
      <c r="DM271" s="150">
        <f t="shared" si="678"/>
        <v>17.984428090216756</v>
      </c>
      <c r="DN271" s="150">
        <f t="shared" si="679"/>
        <v>4.6452553754692012</v>
      </c>
      <c r="DP271" s="314">
        <f t="shared" si="680"/>
        <v>275</v>
      </c>
      <c r="DQ271" s="144">
        <f t="shared" si="681"/>
        <v>207.73752662000982</v>
      </c>
      <c r="DS271">
        <f t="shared" si="682"/>
        <v>275</v>
      </c>
      <c r="DT271">
        <f t="shared" si="683"/>
        <v>207.73752662000982</v>
      </c>
      <c r="DV271" s="5">
        <f t="shared" si="684"/>
        <v>4.8137667578433438</v>
      </c>
      <c r="DW271" s="5">
        <f t="shared" si="685"/>
        <v>1.686040133457821</v>
      </c>
      <c r="DX271" s="5">
        <f t="shared" si="686"/>
        <v>3.1277266243855228</v>
      </c>
      <c r="DY271" s="150">
        <f t="shared" si="687"/>
        <v>0.35025380710659898</v>
      </c>
      <c r="EA271" s="5">
        <f t="shared" si="713"/>
        <v>0.27274178629464751</v>
      </c>
      <c r="EB271" s="5">
        <f t="shared" si="714"/>
        <v>3.8638419725075068</v>
      </c>
      <c r="EC271" s="5">
        <f t="shared" si="715"/>
        <v>15.231377051044083</v>
      </c>
      <c r="ED271" s="5"/>
      <c r="EE271" s="150">
        <f t="shared" si="716"/>
        <v>6.1450785210316958</v>
      </c>
      <c r="EF271" s="150">
        <f t="shared" si="717"/>
        <v>0.39089076831608893</v>
      </c>
      <c r="EG271" s="150">
        <f t="shared" si="718"/>
        <v>0.37184921434480883</v>
      </c>
      <c r="EH271" s="150"/>
      <c r="EI271" s="456">
        <f t="shared" si="719"/>
        <v>0.12839076610079331</v>
      </c>
      <c r="EJ271" s="456">
        <f t="shared" si="720"/>
        <v>2.7968000000000002</v>
      </c>
      <c r="EK271" s="456">
        <f t="shared" si="721"/>
        <v>4.7571893595982247E-2</v>
      </c>
      <c r="EL271" s="456">
        <f t="shared" si="722"/>
        <v>8.6289510693097385E-2</v>
      </c>
      <c r="EM271">
        <f t="shared" si="723"/>
        <v>7.1999999999999998E-3</v>
      </c>
      <c r="EN271" s="144">
        <f t="shared" si="724"/>
        <v>54.771893595982242</v>
      </c>
      <c r="EP271" s="144">
        <f t="shared" si="725"/>
        <v>3066.2521703898733</v>
      </c>
      <c r="EQ271" s="150">
        <f t="shared" si="726"/>
        <v>0.6875</v>
      </c>
      <c r="ER271" s="150">
        <f t="shared" si="772"/>
        <v>0.19525000000000001</v>
      </c>
      <c r="ES271" s="456"/>
      <c r="EU271" s="144">
        <f t="shared" si="727"/>
        <v>882.75</v>
      </c>
      <c r="EV271" s="456">
        <f t="shared" si="728"/>
        <v>5.6642985044467638E-2</v>
      </c>
      <c r="EW271" s="456">
        <f t="shared" si="729"/>
        <v>3.0559118550948464E-2</v>
      </c>
      <c r="EX271" s="456">
        <f t="shared" si="730"/>
        <v>4.1481551462655471E-3</v>
      </c>
      <c r="EY271" s="456">
        <f t="shared" si="731"/>
        <v>42.657851179101606</v>
      </c>
      <c r="EZ271" s="456"/>
      <c r="FA271" s="538">
        <f t="shared" si="732"/>
        <v>6.7190553677154999E-2</v>
      </c>
      <c r="FB271" s="144">
        <f t="shared" si="733"/>
        <v>42816.391991520446</v>
      </c>
      <c r="FC271" s="150">
        <f t="shared" si="734"/>
        <v>46.765394161910315</v>
      </c>
      <c r="FD271" s="5">
        <f t="shared" si="735"/>
        <v>50.050000000000004</v>
      </c>
      <c r="FE271" s="150">
        <f t="shared" si="736"/>
        <v>0.51696324157187568</v>
      </c>
      <c r="FF271" s="5">
        <f t="shared" si="737"/>
        <v>51.696324157187568</v>
      </c>
      <c r="FG271">
        <f t="shared" si="738"/>
        <v>55.000000000000007</v>
      </c>
      <c r="FI271" s="59">
        <f t="shared" si="689"/>
        <v>-50</v>
      </c>
    </row>
    <row r="272" spans="5:165">
      <c r="E272" s="147">
        <v>56</v>
      </c>
      <c r="F272" s="188">
        <f t="shared" si="773"/>
        <v>0.28000000000000003</v>
      </c>
      <c r="G272" s="188">
        <f t="shared" si="742"/>
        <v>0.28000000000000003</v>
      </c>
      <c r="H272" s="188">
        <f t="shared" si="743"/>
        <v>47.6</v>
      </c>
      <c r="I272" s="188">
        <f t="shared" si="744"/>
        <v>3.3600000000000003</v>
      </c>
      <c r="J272" s="465">
        <f t="shared" si="745"/>
        <v>15.945308533418203</v>
      </c>
      <c r="K272" s="379">
        <f t="shared" si="746"/>
        <v>8.6569141825407989</v>
      </c>
      <c r="L272" s="149">
        <f t="shared" si="747"/>
        <v>24.602222715959002</v>
      </c>
      <c r="M272" s="379"/>
      <c r="N272" s="188">
        <f t="shared" si="748"/>
        <v>0.35187528714327182</v>
      </c>
      <c r="O272" s="149">
        <f t="shared" si="749"/>
        <v>174.69399325886096</v>
      </c>
      <c r="P272" s="149">
        <f t="shared" si="750"/>
        <v>12.331340700625478</v>
      </c>
      <c r="Q272" s="188">
        <f t="shared" si="626"/>
        <v>1.0276117250521233</v>
      </c>
      <c r="R272" s="188">
        <f t="shared" si="751"/>
        <v>14.557832771571746</v>
      </c>
      <c r="S272" s="188">
        <f t="shared" si="752"/>
        <v>170</v>
      </c>
      <c r="T272" s="188">
        <f t="shared" si="753"/>
        <v>18.165097002683424</v>
      </c>
      <c r="U272" s="188">
        <f t="shared" si="630"/>
        <v>1.708818957433121</v>
      </c>
      <c r="V272" s="188">
        <f t="shared" si="631"/>
        <v>3.147500937340697</v>
      </c>
      <c r="W272" s="172">
        <f t="shared" si="632"/>
        <v>280.53800093922968</v>
      </c>
      <c r="X272" s="379">
        <f t="shared" si="691"/>
        <v>197.77229700865919</v>
      </c>
      <c r="Z272" s="188">
        <f t="shared" si="633"/>
        <v>13.333333333333332</v>
      </c>
      <c r="AA272" s="150">
        <f t="shared" si="634"/>
        <v>2.3102920484456053</v>
      </c>
      <c r="AB272" s="150">
        <f t="shared" si="754"/>
        <v>0.20179707176857833</v>
      </c>
      <c r="AC272" s="150"/>
      <c r="AD272" s="150">
        <f t="shared" si="636"/>
        <v>2.3102920484456058</v>
      </c>
      <c r="AE272" s="314">
        <f t="shared" si="755"/>
        <v>389.25560006671697</v>
      </c>
      <c r="AF272" s="456">
        <f t="shared" si="756"/>
        <v>0.20179707176857839</v>
      </c>
      <c r="AH272" s="150">
        <f t="shared" si="757"/>
        <v>13.93317384278734</v>
      </c>
      <c r="AI272" s="150">
        <f t="shared" si="758"/>
        <v>18.165097002683424</v>
      </c>
      <c r="AJ272" s="150">
        <f t="shared" si="759"/>
        <v>4.7790841995185849</v>
      </c>
      <c r="AL272" s="314">
        <f t="shared" si="760"/>
        <v>280</v>
      </c>
      <c r="AM272" s="144">
        <f t="shared" si="761"/>
        <v>197.77229700865919</v>
      </c>
      <c r="AO272">
        <f t="shared" si="644"/>
        <v>280</v>
      </c>
      <c r="AP272">
        <f t="shared" si="645"/>
        <v>197.77229700865919</v>
      </c>
      <c r="AR272" s="5">
        <f t="shared" si="774"/>
        <v>5.0563198947738188</v>
      </c>
      <c r="AS272" s="5">
        <f t="shared" si="739"/>
        <v>1.708818957433121</v>
      </c>
      <c r="AT272" s="5">
        <f t="shared" si="740"/>
        <v>3.3475009373406976</v>
      </c>
      <c r="AU272" s="150">
        <f t="shared" si="741"/>
        <v>0.3379570503834905</v>
      </c>
      <c r="BA272" s="150">
        <f t="shared" si="692"/>
        <v>6.0968828397353381</v>
      </c>
      <c r="BB272" s="150">
        <f t="shared" si="693"/>
        <v>0.39853614371443641</v>
      </c>
      <c r="BC272" s="150">
        <f t="shared" si="694"/>
        <v>0.37912215877246475</v>
      </c>
      <c r="BD272" s="150"/>
      <c r="BE272" s="456">
        <f t="shared" si="695"/>
        <v>0.1263847332289614</v>
      </c>
      <c r="BF272" s="456">
        <f t="shared" si="762"/>
        <v>2.1168156733448407</v>
      </c>
      <c r="BG272" s="456">
        <f t="shared" si="763"/>
        <v>0.14443214551859787</v>
      </c>
      <c r="BH272" s="456">
        <f t="shared" si="696"/>
        <v>8.1998275818349134E-2</v>
      </c>
      <c r="BI272">
        <f t="shared" si="697"/>
        <v>7.1753888400381913E-3</v>
      </c>
      <c r="BJ272" s="144">
        <f t="shared" si="698"/>
        <v>151.60753435863606</v>
      </c>
      <c r="BK272">
        <f t="shared" si="764"/>
        <v>2.4323640511404285</v>
      </c>
      <c r="BL272" s="144">
        <f t="shared" si="699"/>
        <v>2476.8062167507869</v>
      </c>
      <c r="BM272" s="150">
        <f t="shared" si="765"/>
        <v>0.62125000000000008</v>
      </c>
      <c r="BN272" s="150">
        <f t="shared" si="766"/>
        <v>0.19880000000000003</v>
      </c>
      <c r="BQ272" s="144">
        <f t="shared" si="700"/>
        <v>820.05000000000018</v>
      </c>
      <c r="BR272" s="456">
        <f t="shared" si="701"/>
        <v>5.575797054218886E-2</v>
      </c>
      <c r="BS272" s="456">
        <f t="shared" si="702"/>
        <v>3.1766211569354781E-2</v>
      </c>
      <c r="BT272" s="456">
        <f t="shared" si="703"/>
        <v>4.3120083381688193E-3</v>
      </c>
      <c r="BU272" s="456">
        <f t="shared" si="704"/>
        <v>38.679241755336506</v>
      </c>
      <c r="BV272" s="456"/>
      <c r="BW272" s="538">
        <f t="shared" si="705"/>
        <v>6.5259072998516993E-2</v>
      </c>
      <c r="BX272" s="144">
        <f t="shared" si="706"/>
        <v>38836.337018784732</v>
      </c>
      <c r="BY272" s="150">
        <f t="shared" si="707"/>
        <v>42.133193235535522</v>
      </c>
      <c r="BZ272" s="5">
        <f t="shared" si="708"/>
        <v>50.96</v>
      </c>
      <c r="CA272" s="150">
        <f t="shared" si="709"/>
        <v>0.54740844339785255</v>
      </c>
      <c r="CB272" s="5">
        <f t="shared" si="710"/>
        <v>54.740844339785255</v>
      </c>
      <c r="CC272">
        <f t="shared" si="711"/>
        <v>56.000000000000007</v>
      </c>
      <c r="CE272" s="59">
        <f t="shared" si="767"/>
        <v>-50</v>
      </c>
      <c r="CG272" s="150">
        <f t="shared" si="768"/>
        <v>0.63502377808469523</v>
      </c>
      <c r="CH272" s="150">
        <f t="shared" si="769"/>
        <v>0.17735551404972849</v>
      </c>
      <c r="CI272" s="147">
        <v>56</v>
      </c>
      <c r="CJ272" s="188">
        <f t="shared" si="712"/>
        <v>0.28000000000000003</v>
      </c>
      <c r="CK272" s="188">
        <f t="shared" si="654"/>
        <v>0.28000000000000003</v>
      </c>
      <c r="CL272" s="188">
        <f t="shared" si="655"/>
        <v>47.6</v>
      </c>
      <c r="CM272" s="188">
        <f t="shared" si="656"/>
        <v>3.3600000000000003</v>
      </c>
      <c r="CN272" s="465">
        <f t="shared" si="657"/>
        <v>16</v>
      </c>
      <c r="CO272" s="379">
        <f t="shared" si="770"/>
        <v>8.625</v>
      </c>
      <c r="CP272" s="379">
        <f t="shared" si="771"/>
        <v>24.625</v>
      </c>
      <c r="CQ272" s="379"/>
      <c r="CR272" s="188">
        <f t="shared" si="660"/>
        <v>0.34787038923986141</v>
      </c>
      <c r="CS272" s="149">
        <f t="shared" si="661"/>
        <v>173.29806936491266</v>
      </c>
      <c r="CT272" s="149">
        <f t="shared" si="662"/>
        <v>12.232804896346776</v>
      </c>
      <c r="CU272" s="188">
        <f t="shared" si="663"/>
        <v>1.0194004080288981</v>
      </c>
      <c r="CV272" s="188">
        <f t="shared" si="664"/>
        <v>14.441505780409388</v>
      </c>
      <c r="CW272" s="188">
        <f t="shared" si="665"/>
        <v>170</v>
      </c>
      <c r="CX272" s="188">
        <f t="shared" si="666"/>
        <v>18.311417691857059</v>
      </c>
      <c r="CY272" s="188">
        <f t="shared" si="667"/>
        <v>1.7166954086115993</v>
      </c>
      <c r="CZ272" s="188">
        <f t="shared" si="668"/>
        <v>3.1845943811925319</v>
      </c>
      <c r="DA272" s="172">
        <f t="shared" si="669"/>
        <v>280.20304568527916</v>
      </c>
      <c r="DB272" s="379">
        <f t="shared" si="670"/>
        <v>204.02792793036681</v>
      </c>
      <c r="DD272" s="188">
        <f t="shared" si="671"/>
        <v>13.333333333333332</v>
      </c>
      <c r="DE272" s="150">
        <f t="shared" si="672"/>
        <v>2.318840579710145</v>
      </c>
      <c r="DF272" s="150">
        <f t="shared" si="673"/>
        <v>0.20230192819025303</v>
      </c>
      <c r="DG272" s="150"/>
      <c r="DH272" s="150">
        <f t="shared" si="674"/>
        <v>2.3188405797101455</v>
      </c>
      <c r="DI272" s="314">
        <f t="shared" si="675"/>
        <v>387.82058823529405</v>
      </c>
      <c r="DJ272" s="456">
        <f t="shared" si="676"/>
        <v>0.20230192819025311</v>
      </c>
      <c r="DL272" s="150">
        <f t="shared" si="677"/>
        <v>13.93317384278734</v>
      </c>
      <c r="DM272" s="150">
        <f t="shared" si="678"/>
        <v>18.311417691857059</v>
      </c>
      <c r="DN272" s="150">
        <f t="shared" si="679"/>
        <v>4.8874698952027593</v>
      </c>
      <c r="DP272" s="314">
        <f t="shared" si="680"/>
        <v>280</v>
      </c>
      <c r="DQ272" s="144">
        <f t="shared" si="681"/>
        <v>204.02792793036681</v>
      </c>
      <c r="DS272">
        <f t="shared" si="682"/>
        <v>280</v>
      </c>
      <c r="DT272">
        <f t="shared" si="683"/>
        <v>204.02792793036681</v>
      </c>
      <c r="DV272" s="5">
        <f t="shared" si="684"/>
        <v>4.9012897898041317</v>
      </c>
      <c r="DW272" s="5">
        <f t="shared" si="685"/>
        <v>1.7166954086115993</v>
      </c>
      <c r="DX272" s="5">
        <f t="shared" si="686"/>
        <v>3.1845943811925324</v>
      </c>
      <c r="DY272" s="150">
        <f t="shared" si="687"/>
        <v>0.35025380710659898</v>
      </c>
      <c r="EA272" s="5">
        <f t="shared" si="713"/>
        <v>0.28274983200661635</v>
      </c>
      <c r="EB272" s="5">
        <f t="shared" si="714"/>
        <v>4.0056226200937317</v>
      </c>
      <c r="EC272" s="5">
        <f t="shared" si="715"/>
        <v>15.79028047341297</v>
      </c>
      <c r="ED272" s="5"/>
      <c r="EE272" s="150">
        <f t="shared" si="716"/>
        <v>6.25680722141409</v>
      </c>
      <c r="EF272" s="150">
        <f t="shared" si="717"/>
        <v>0.3979978731945632</v>
      </c>
      <c r="EG272" s="150">
        <f t="shared" si="718"/>
        <v>0.37861010915107807</v>
      </c>
      <c r="EH272" s="150"/>
      <c r="EI272" s="456">
        <f t="shared" si="719"/>
        <v>0.13310196446019432</v>
      </c>
      <c r="EJ272" s="456">
        <f t="shared" si="720"/>
        <v>2.7968000000000002</v>
      </c>
      <c r="EK272" s="456">
        <f t="shared" si="721"/>
        <v>4.6722395496054003E-2</v>
      </c>
      <c r="EL272" s="456">
        <f t="shared" si="722"/>
        <v>8.4748626573577804E-2</v>
      </c>
      <c r="EM272">
        <f t="shared" si="723"/>
        <v>7.1999999999999998E-3</v>
      </c>
      <c r="EN272" s="144">
        <f t="shared" si="724"/>
        <v>53.922395496054001</v>
      </c>
      <c r="EP272" s="144">
        <f t="shared" si="725"/>
        <v>3068.5729865298263</v>
      </c>
      <c r="EQ272" s="150">
        <f t="shared" si="726"/>
        <v>0.70000000000000007</v>
      </c>
      <c r="ER272" s="150">
        <f t="shared" si="772"/>
        <v>0.19880000000000003</v>
      </c>
      <c r="ES272" s="456"/>
      <c r="EU272" s="144">
        <f t="shared" si="727"/>
        <v>898.80000000000007</v>
      </c>
      <c r="EV272" s="456">
        <f t="shared" si="728"/>
        <v>5.872145490890926E-2</v>
      </c>
      <c r="EW272" s="456">
        <f t="shared" si="729"/>
        <v>3.1680461413479126E-2</v>
      </c>
      <c r="EX272" s="456">
        <f t="shared" si="730"/>
        <v>4.3003684425417374E-3</v>
      </c>
      <c r="EY272" s="456">
        <f t="shared" si="731"/>
        <v>42.657851179101598</v>
      </c>
      <c r="EZ272" s="456"/>
      <c r="FA272" s="538">
        <f t="shared" si="732"/>
        <v>6.8412200107648716E-2</v>
      </c>
      <c r="FB272" s="144">
        <f t="shared" si="733"/>
        <v>42820.965663974181</v>
      </c>
      <c r="FC272" s="150">
        <f t="shared" si="734"/>
        <v>46.788338650504009</v>
      </c>
      <c r="FD272" s="5">
        <f t="shared" si="735"/>
        <v>50.96</v>
      </c>
      <c r="FE272" s="150">
        <f t="shared" si="736"/>
        <v>0.52133878389693977</v>
      </c>
      <c r="FF272" s="5">
        <f t="shared" si="737"/>
        <v>52.133878389693976</v>
      </c>
      <c r="FG272">
        <f t="shared" si="738"/>
        <v>56.000000000000007</v>
      </c>
      <c r="FI272" s="59">
        <f t="shared" si="689"/>
        <v>-50</v>
      </c>
    </row>
    <row r="273" spans="5:165">
      <c r="E273" s="147">
        <v>57</v>
      </c>
      <c r="F273" s="188">
        <f t="shared" si="773"/>
        <v>0.28499999999999998</v>
      </c>
      <c r="G273" s="188">
        <f t="shared" si="742"/>
        <v>0.28499999999999998</v>
      </c>
      <c r="H273" s="188">
        <f t="shared" si="743"/>
        <v>48.449999999999996</v>
      </c>
      <c r="I273" s="188">
        <f t="shared" si="744"/>
        <v>3.42</v>
      </c>
      <c r="J273" s="465">
        <f t="shared" si="745"/>
        <v>15.944331900086384</v>
      </c>
      <c r="K273" s="379">
        <f t="shared" si="746"/>
        <v>8.6574840786575997</v>
      </c>
      <c r="L273" s="149">
        <f t="shared" si="747"/>
        <v>24.601815978743986</v>
      </c>
      <c r="M273" s="379"/>
      <c r="N273" s="188">
        <f t="shared" si="748"/>
        <v>0.35190426943026004</v>
      </c>
      <c r="O273" s="149">
        <f t="shared" si="749"/>
        <v>174.69768126466909</v>
      </c>
      <c r="P273" s="149">
        <f t="shared" si="750"/>
        <v>12.33160103044723</v>
      </c>
      <c r="Q273" s="188">
        <f t="shared" si="626"/>
        <v>1.0276334192039358</v>
      </c>
      <c r="R273" s="188">
        <f t="shared" si="751"/>
        <v>14.558140105389091</v>
      </c>
      <c r="S273" s="188">
        <f t="shared" si="752"/>
        <v>170</v>
      </c>
      <c r="T273" s="188">
        <f t="shared" si="753"/>
        <v>18.489083407503912</v>
      </c>
      <c r="U273" s="188">
        <f t="shared" si="630"/>
        <v>1.7394033995934075</v>
      </c>
      <c r="V273" s="188">
        <f t="shared" si="631"/>
        <v>3.2034277925644368</v>
      </c>
      <c r="W273" s="172">
        <f t="shared" si="632"/>
        <v>280.54392344267444</v>
      </c>
      <c r="X273" s="379">
        <f t="shared" si="691"/>
        <v>194.44542561009413</v>
      </c>
      <c r="Z273" s="188">
        <f t="shared" si="633"/>
        <v>13.333333333333334</v>
      </c>
      <c r="AA273" s="150">
        <f t="shared" si="634"/>
        <v>2.3101399688743216</v>
      </c>
      <c r="AB273" s="150">
        <f t="shared" si="754"/>
        <v>0.20178804797958938</v>
      </c>
      <c r="AC273" s="150"/>
      <c r="AD273" s="150">
        <f t="shared" si="636"/>
        <v>2.3101399688743216</v>
      </c>
      <c r="AE273" s="314">
        <f t="shared" si="755"/>
        <v>396.23267572938494</v>
      </c>
      <c r="AF273" s="456">
        <f t="shared" si="756"/>
        <v>0.20178804797958941</v>
      </c>
      <c r="AH273" s="150">
        <f t="shared" si="757"/>
        <v>14.057026712644463</v>
      </c>
      <c r="AI273" s="150">
        <f t="shared" si="758"/>
        <v>18.489083407503912</v>
      </c>
      <c r="AJ273" s="150">
        <f t="shared" si="759"/>
        <v>5.0190741290152436</v>
      </c>
      <c r="AL273" s="314">
        <f t="shared" si="760"/>
        <v>285</v>
      </c>
      <c r="AM273" s="144">
        <f t="shared" si="761"/>
        <v>194.44542561009413</v>
      </c>
      <c r="AO273">
        <f t="shared" si="644"/>
        <v>285</v>
      </c>
      <c r="AP273">
        <f t="shared" si="645"/>
        <v>194.44542561009413</v>
      </c>
      <c r="AR273" s="5">
        <f t="shared" si="774"/>
        <v>5.1428311921578445</v>
      </c>
      <c r="AS273" s="5">
        <f t="shared" si="739"/>
        <v>1.7394033995934075</v>
      </c>
      <c r="AT273" s="5">
        <f t="shared" si="740"/>
        <v>3.4034277925644369</v>
      </c>
      <c r="AU273" s="150">
        <f t="shared" si="741"/>
        <v>0.33821903434158479</v>
      </c>
      <c r="BA273" s="150">
        <f t="shared" si="692"/>
        <v>6.2080295701848165</v>
      </c>
      <c r="BB273" s="150">
        <f t="shared" si="693"/>
        <v>0.40556402809367176</v>
      </c>
      <c r="BC273" s="150">
        <f t="shared" si="694"/>
        <v>0.38580769216631455</v>
      </c>
      <c r="BD273" s="150"/>
      <c r="BE273" s="456">
        <f t="shared" si="695"/>
        <v>0.13103474589058284</v>
      </c>
      <c r="BF273" s="456">
        <f t="shared" si="762"/>
        <v>2.1182918521224376</v>
      </c>
      <c r="BG273" s="456">
        <f t="shared" si="763"/>
        <v>0.14199385002904513</v>
      </c>
      <c r="BH273" s="456">
        <f t="shared" si="696"/>
        <v>8.0616257637780034E-2</v>
      </c>
      <c r="BI273">
        <f t="shared" si="697"/>
        <v>7.1749493550388723E-3</v>
      </c>
      <c r="BJ273" s="144">
        <f t="shared" si="698"/>
        <v>149.168799384084</v>
      </c>
      <c r="BK273">
        <f t="shared" si="764"/>
        <v>2.4413302609140888</v>
      </c>
      <c r="BL273" s="144">
        <f t="shared" si="699"/>
        <v>2479.1116550348847</v>
      </c>
      <c r="BM273" s="150">
        <f t="shared" si="765"/>
        <v>0.63234374999999987</v>
      </c>
      <c r="BN273" s="150">
        <f t="shared" si="766"/>
        <v>0.20234999999999997</v>
      </c>
      <c r="BQ273" s="144">
        <f t="shared" si="700"/>
        <v>834.6937499999998</v>
      </c>
      <c r="BR273" s="456">
        <f t="shared" si="701"/>
        <v>5.7809446716433614E-2</v>
      </c>
      <c r="BS273" s="456">
        <f t="shared" si="702"/>
        <v>3.2896436176712916E-2</v>
      </c>
      <c r="BT273" s="456">
        <f t="shared" si="703"/>
        <v>4.4654272600409316E-3</v>
      </c>
      <c r="BU273" s="456">
        <f t="shared" si="704"/>
        <v>38.748311744850653</v>
      </c>
      <c r="BV273" s="456"/>
      <c r="BW273" s="538">
        <f t="shared" si="705"/>
        <v>6.6470430872961159E-2</v>
      </c>
      <c r="BX273" s="144">
        <f t="shared" si="706"/>
        <v>38909.953485876802</v>
      </c>
      <c r="BY273" s="150">
        <f t="shared" si="707"/>
        <v>42.223758890911689</v>
      </c>
      <c r="BZ273" s="5">
        <f t="shared" si="708"/>
        <v>51.87</v>
      </c>
      <c r="CA273" s="150">
        <f t="shared" si="709"/>
        <v>0.55125866594548401</v>
      </c>
      <c r="CB273" s="5">
        <f t="shared" si="710"/>
        <v>55.125866594548398</v>
      </c>
      <c r="CC273">
        <f t="shared" si="711"/>
        <v>56.999999999999993</v>
      </c>
      <c r="CE273" s="59">
        <f t="shared" si="767"/>
        <v>-50</v>
      </c>
      <c r="CG273" s="150">
        <f t="shared" si="768"/>
        <v>0.63502377808469523</v>
      </c>
      <c r="CH273" s="150">
        <f t="shared" si="769"/>
        <v>0.17735551404972849</v>
      </c>
      <c r="CI273" s="147">
        <v>57</v>
      </c>
      <c r="CJ273" s="188">
        <f t="shared" si="712"/>
        <v>0.28499999999999998</v>
      </c>
      <c r="CK273" s="188">
        <f t="shared" si="654"/>
        <v>0.28499999999999998</v>
      </c>
      <c r="CL273" s="188">
        <f t="shared" si="655"/>
        <v>48.449999999999996</v>
      </c>
      <c r="CM273" s="188">
        <f t="shared" si="656"/>
        <v>3.42</v>
      </c>
      <c r="CN273" s="465">
        <f t="shared" si="657"/>
        <v>16</v>
      </c>
      <c r="CO273" s="379">
        <f t="shared" si="770"/>
        <v>8.625</v>
      </c>
      <c r="CP273" s="379">
        <f t="shared" si="771"/>
        <v>24.625</v>
      </c>
      <c r="CQ273" s="379"/>
      <c r="CR273" s="188">
        <f t="shared" si="660"/>
        <v>0.34787038923986141</v>
      </c>
      <c r="CS273" s="149">
        <f t="shared" si="661"/>
        <v>173.29806936491266</v>
      </c>
      <c r="CT273" s="149">
        <f t="shared" si="662"/>
        <v>12.232804896346776</v>
      </c>
      <c r="CU273" s="188">
        <f t="shared" si="663"/>
        <v>1.0194004080288981</v>
      </c>
      <c r="CV273" s="188">
        <f t="shared" si="664"/>
        <v>14.441505780409388</v>
      </c>
      <c r="CW273" s="188">
        <f t="shared" si="665"/>
        <v>170</v>
      </c>
      <c r="CX273" s="188">
        <f t="shared" si="666"/>
        <v>18.638407293497362</v>
      </c>
      <c r="CY273" s="188">
        <f t="shared" si="667"/>
        <v>1.7473506837653778</v>
      </c>
      <c r="CZ273" s="188">
        <f t="shared" si="668"/>
        <v>3.2414621379995419</v>
      </c>
      <c r="DA273" s="172">
        <f t="shared" si="669"/>
        <v>280.20304568527916</v>
      </c>
      <c r="DB273" s="379">
        <f t="shared" si="670"/>
        <v>200.44849059825512</v>
      </c>
      <c r="DD273" s="188">
        <f t="shared" si="671"/>
        <v>13.333333333333332</v>
      </c>
      <c r="DE273" s="150">
        <f t="shared" si="672"/>
        <v>2.318840579710145</v>
      </c>
      <c r="DF273" s="150">
        <f t="shared" si="673"/>
        <v>0.20230192819025303</v>
      </c>
      <c r="DG273" s="150"/>
      <c r="DH273" s="150">
        <f t="shared" si="674"/>
        <v>2.3188405797101455</v>
      </c>
      <c r="DI273" s="314">
        <f t="shared" si="675"/>
        <v>394.74595588235275</v>
      </c>
      <c r="DJ273" s="456">
        <f t="shared" si="676"/>
        <v>0.20230192819025311</v>
      </c>
      <c r="DL273" s="150">
        <f t="shared" si="677"/>
        <v>14.057026712644463</v>
      </c>
      <c r="DM273" s="150">
        <f t="shared" si="678"/>
        <v>18.638407293497362</v>
      </c>
      <c r="DN273" s="150">
        <f t="shared" si="679"/>
        <v>5.1296844149363174</v>
      </c>
      <c r="DP273" s="314">
        <f t="shared" si="680"/>
        <v>285</v>
      </c>
      <c r="DQ273" s="144">
        <f t="shared" si="681"/>
        <v>200.44849059825512</v>
      </c>
      <c r="DS273">
        <f t="shared" si="682"/>
        <v>285</v>
      </c>
      <c r="DT273">
        <f t="shared" si="683"/>
        <v>200.44849059825512</v>
      </c>
      <c r="DV273" s="5">
        <f t="shared" si="684"/>
        <v>4.9888128217649195</v>
      </c>
      <c r="DW273" s="5">
        <f t="shared" si="685"/>
        <v>1.7473506837653778</v>
      </c>
      <c r="DX273" s="5">
        <f t="shared" si="686"/>
        <v>3.2414621379995419</v>
      </c>
      <c r="DY273" s="150">
        <f t="shared" si="687"/>
        <v>0.35025380710659898</v>
      </c>
      <c r="EA273" s="5">
        <f t="shared" si="713"/>
        <v>0.29293820286654859</v>
      </c>
      <c r="EB273" s="5">
        <f t="shared" si="714"/>
        <v>4.1499578739427712</v>
      </c>
      <c r="EC273" s="5">
        <f t="shared" si="715"/>
        <v>16.359254227716434</v>
      </c>
      <c r="ED273" s="5"/>
      <c r="EE273" s="150">
        <f t="shared" si="716"/>
        <v>6.3685359217964841</v>
      </c>
      <c r="EF273" s="150">
        <f t="shared" si="717"/>
        <v>0.40510497807303752</v>
      </c>
      <c r="EG273" s="150">
        <f t="shared" si="718"/>
        <v>0.3853710039573473</v>
      </c>
      <c r="EH273" s="150"/>
      <c r="EI273" s="456">
        <f t="shared" si="719"/>
        <v>0.13789804927652144</v>
      </c>
      <c r="EJ273" s="456">
        <f t="shared" si="720"/>
        <v>2.7968000000000002</v>
      </c>
      <c r="EK273" s="456">
        <f t="shared" si="721"/>
        <v>4.5902704347000424E-2</v>
      </c>
      <c r="EL273" s="456">
        <f t="shared" si="722"/>
        <v>8.3261808563515033E-2</v>
      </c>
      <c r="EM273">
        <f t="shared" si="723"/>
        <v>7.1999999999999998E-3</v>
      </c>
      <c r="EN273" s="144">
        <f t="shared" si="724"/>
        <v>53.102704347000419</v>
      </c>
      <c r="EP273" s="144">
        <f t="shared" si="725"/>
        <v>3071.0625621870372</v>
      </c>
      <c r="EQ273" s="150">
        <f t="shared" si="726"/>
        <v>0.71249999999999991</v>
      </c>
      <c r="ER273" s="150">
        <f t="shared" si="772"/>
        <v>0.20234999999999997</v>
      </c>
      <c r="ES273" s="456"/>
      <c r="EU273" s="144">
        <f t="shared" si="727"/>
        <v>914.84999999999991</v>
      </c>
      <c r="EV273" s="456">
        <f t="shared" si="728"/>
        <v>6.083737468081829E-2</v>
      </c>
      <c r="EW273" s="456">
        <f t="shared" si="729"/>
        <v>3.2822008651911247E-2</v>
      </c>
      <c r="EX273" s="456">
        <f t="shared" si="730"/>
        <v>4.4553243207328137E-3</v>
      </c>
      <c r="EY273" s="456">
        <f t="shared" si="731"/>
        <v>42.657851179101634</v>
      </c>
      <c r="EZ273" s="456"/>
      <c r="FA273" s="538">
        <f t="shared" si="732"/>
        <v>6.9633846538142433E-2</v>
      </c>
      <c r="FB273" s="144">
        <f t="shared" si="733"/>
        <v>42825.599733293246</v>
      </c>
      <c r="FC273" s="150">
        <f t="shared" si="734"/>
        <v>46.811512295480277</v>
      </c>
      <c r="FD273" s="5">
        <f t="shared" si="735"/>
        <v>51.87</v>
      </c>
      <c r="FE273" s="150">
        <f t="shared" si="736"/>
        <v>0.52563037182371697</v>
      </c>
      <c r="FF273" s="5">
        <f t="shared" si="737"/>
        <v>52.563037182371694</v>
      </c>
      <c r="FG273">
        <f t="shared" si="738"/>
        <v>56.999999999999993</v>
      </c>
      <c r="FI273" s="59">
        <f t="shared" si="689"/>
        <v>-50</v>
      </c>
    </row>
    <row r="274" spans="5:165">
      <c r="E274" s="147">
        <v>58</v>
      </c>
      <c r="F274" s="188">
        <f t="shared" si="773"/>
        <v>0.28999999999999998</v>
      </c>
      <c r="G274" s="188">
        <f t="shared" si="742"/>
        <v>0.28999999999999998</v>
      </c>
      <c r="H274" s="188">
        <f t="shared" si="743"/>
        <v>49.3</v>
      </c>
      <c r="I274" s="188">
        <f t="shared" si="744"/>
        <v>3.4799999999999995</v>
      </c>
      <c r="J274" s="465">
        <f t="shared" si="745"/>
        <v>15.943355266754567</v>
      </c>
      <c r="K274" s="379">
        <f t="shared" si="746"/>
        <v>8.6580539747743988</v>
      </c>
      <c r="L274" s="149">
        <f t="shared" si="747"/>
        <v>24.601409241528966</v>
      </c>
      <c r="M274" s="379"/>
      <c r="N274" s="188">
        <f t="shared" si="748"/>
        <v>0.35193325267558145</v>
      </c>
      <c r="O274" s="149">
        <f t="shared" si="749"/>
        <v>174.70136798361182</v>
      </c>
      <c r="P274" s="149">
        <f t="shared" si="750"/>
        <v>12.331861269431425</v>
      </c>
      <c r="Q274" s="188">
        <f t="shared" si="626"/>
        <v>1.0276551057859518</v>
      </c>
      <c r="R274" s="188">
        <f t="shared" si="751"/>
        <v>14.558447331967651</v>
      </c>
      <c r="S274" s="188">
        <f t="shared" si="752"/>
        <v>170</v>
      </c>
      <c r="T274" s="188">
        <f t="shared" si="753"/>
        <v>18.813056271974801</v>
      </c>
      <c r="U274" s="188">
        <f t="shared" si="630"/>
        <v>1.7699903148245275</v>
      </c>
      <c r="V274" s="188">
        <f t="shared" si="631"/>
        <v>3.259344939426474</v>
      </c>
      <c r="W274" s="172">
        <f t="shared" si="632"/>
        <v>280.54984387956483</v>
      </c>
      <c r="X274" s="379">
        <f t="shared" si="691"/>
        <v>191.2288945687859</v>
      </c>
      <c r="Z274" s="188">
        <f t="shared" si="633"/>
        <v>13.333333333333336</v>
      </c>
      <c r="AA274" s="150">
        <f t="shared" si="634"/>
        <v>2.3099879093236009</v>
      </c>
      <c r="AB274" s="150">
        <f t="shared" si="754"/>
        <v>0.20177902389221827</v>
      </c>
      <c r="AC274" s="150"/>
      <c r="AD274" s="150">
        <f t="shared" si="636"/>
        <v>2.3099879093236004</v>
      </c>
      <c r="AE274" s="314">
        <f t="shared" si="755"/>
        <v>403.21066657816993</v>
      </c>
      <c r="AF274" s="456">
        <f t="shared" si="756"/>
        <v>0.20177902389221825</v>
      </c>
      <c r="AH274" s="150">
        <f t="shared" si="757"/>
        <v>14.179797835888445</v>
      </c>
      <c r="AI274" s="150">
        <f t="shared" si="758"/>
        <v>18.813056271974801</v>
      </c>
      <c r="AJ274" s="150">
        <f t="shared" si="759"/>
        <v>5.259054028623309</v>
      </c>
      <c r="AL274" s="314">
        <f t="shared" si="760"/>
        <v>290</v>
      </c>
      <c r="AM274" s="144">
        <f t="shared" si="761"/>
        <v>191.2288945687859</v>
      </c>
      <c r="AO274">
        <f t="shared" si="644"/>
        <v>290</v>
      </c>
      <c r="AP274">
        <f t="shared" si="645"/>
        <v>191.2288945687859</v>
      </c>
      <c r="AR274" s="5">
        <f t="shared" si="774"/>
        <v>5.2293352542510014</v>
      </c>
      <c r="AS274" s="5">
        <f t="shared" si="739"/>
        <v>1.7699903148245275</v>
      </c>
      <c r="AT274" s="5">
        <f t="shared" si="740"/>
        <v>3.4593449394264741</v>
      </c>
      <c r="AU274" s="150">
        <f t="shared" si="741"/>
        <v>0.33847329130135173</v>
      </c>
      <c r="BA274" s="150">
        <f t="shared" si="692"/>
        <v>6.3191829553954717</v>
      </c>
      <c r="BB274" s="150">
        <f t="shared" si="693"/>
        <v>0.41259119588514348</v>
      </c>
      <c r="BC274" s="150">
        <f t="shared" si="694"/>
        <v>0.39249254387970911</v>
      </c>
      <c r="BD274" s="150"/>
      <c r="BE274" s="456">
        <f t="shared" si="695"/>
        <v>0.1357690489607862</v>
      </c>
      <c r="BF274" s="456">
        <f t="shared" si="762"/>
        <v>2.1197193889043353</v>
      </c>
      <c r="BG274" s="456">
        <f t="shared" si="763"/>
        <v>0.1396364233147539</v>
      </c>
      <c r="BH274" s="456">
        <f t="shared" si="696"/>
        <v>7.9280075853116E-2</v>
      </c>
      <c r="BI274">
        <f t="shared" si="697"/>
        <v>7.1745098700395551E-3</v>
      </c>
      <c r="BJ274" s="144">
        <f t="shared" si="698"/>
        <v>146.81093318479347</v>
      </c>
      <c r="BK274">
        <f t="shared" si="764"/>
        <v>2.4504753705676077</v>
      </c>
      <c r="BL274" s="144">
        <f t="shared" si="699"/>
        <v>2481.5794469030311</v>
      </c>
      <c r="BM274" s="150">
        <f t="shared" si="765"/>
        <v>0.6434375</v>
      </c>
      <c r="BN274" s="150">
        <f t="shared" si="766"/>
        <v>0.20589999999999997</v>
      </c>
      <c r="BQ274" s="144">
        <f t="shared" si="700"/>
        <v>849.33749999999998</v>
      </c>
      <c r="BR274" s="456">
        <f t="shared" si="701"/>
        <v>5.9898109835640971E-2</v>
      </c>
      <c r="BS274" s="456">
        <f t="shared" si="702"/>
        <v>3.4046298984386568E-2</v>
      </c>
      <c r="BT274" s="456">
        <f t="shared" si="703"/>
        <v>4.6215119100349615E-3</v>
      </c>
      <c r="BU274" s="456">
        <f t="shared" si="704"/>
        <v>38.815231165084889</v>
      </c>
      <c r="BV274" s="456"/>
      <c r="BW274" s="538">
        <f t="shared" si="705"/>
        <v>6.768185038524252E-2</v>
      </c>
      <c r="BX274" s="144">
        <f t="shared" si="706"/>
        <v>38981.47893620019</v>
      </c>
      <c r="BY274" s="150">
        <f t="shared" si="707"/>
        <v>42.312395883103221</v>
      </c>
      <c r="BZ274" s="5">
        <f t="shared" si="708"/>
        <v>52.779999999999994</v>
      </c>
      <c r="CA274" s="150">
        <f t="shared" si="709"/>
        <v>0.55503912284303236</v>
      </c>
      <c r="CB274" s="5">
        <f t="shared" si="710"/>
        <v>55.503912284303233</v>
      </c>
      <c r="CC274">
        <f t="shared" si="711"/>
        <v>57.999999999999993</v>
      </c>
      <c r="CE274" s="59">
        <f t="shared" si="767"/>
        <v>-50</v>
      </c>
      <c r="CG274" s="150">
        <f t="shared" si="768"/>
        <v>0.63502377808469523</v>
      </c>
      <c r="CH274" s="150">
        <f t="shared" si="769"/>
        <v>0.17735551404972849</v>
      </c>
      <c r="CI274" s="147">
        <v>58</v>
      </c>
      <c r="CJ274" s="188">
        <f t="shared" si="712"/>
        <v>0.28999999999999998</v>
      </c>
      <c r="CK274" s="188">
        <f t="shared" si="654"/>
        <v>0.28999999999999998</v>
      </c>
      <c r="CL274" s="188">
        <f t="shared" si="655"/>
        <v>49.3</v>
      </c>
      <c r="CM274" s="188">
        <f t="shared" si="656"/>
        <v>3.4799999999999995</v>
      </c>
      <c r="CN274" s="465">
        <f t="shared" si="657"/>
        <v>16</v>
      </c>
      <c r="CO274" s="379">
        <f t="shared" si="770"/>
        <v>8.625</v>
      </c>
      <c r="CP274" s="379">
        <f t="shared" si="771"/>
        <v>24.625</v>
      </c>
      <c r="CQ274" s="379"/>
      <c r="CR274" s="188">
        <f t="shared" si="660"/>
        <v>0.34787038923986141</v>
      </c>
      <c r="CS274" s="149">
        <f t="shared" si="661"/>
        <v>173.29806936491266</v>
      </c>
      <c r="CT274" s="149">
        <f t="shared" si="662"/>
        <v>12.232804896346776</v>
      </c>
      <c r="CU274" s="188">
        <f t="shared" si="663"/>
        <v>1.0194004080288981</v>
      </c>
      <c r="CV274" s="188">
        <f t="shared" si="664"/>
        <v>14.441505780409388</v>
      </c>
      <c r="CW274" s="188">
        <f t="shared" si="665"/>
        <v>170</v>
      </c>
      <c r="CX274" s="188">
        <f t="shared" si="666"/>
        <v>18.965396895137665</v>
      </c>
      <c r="CY274" s="188">
        <f t="shared" si="667"/>
        <v>1.7780059589191561</v>
      </c>
      <c r="CZ274" s="188">
        <f t="shared" si="668"/>
        <v>3.2983298948065505</v>
      </c>
      <c r="DA274" s="172">
        <f t="shared" si="669"/>
        <v>280.20304568527916</v>
      </c>
      <c r="DB274" s="379">
        <f t="shared" si="670"/>
        <v>196.99248213966456</v>
      </c>
      <c r="DD274" s="188">
        <f t="shared" si="671"/>
        <v>13.333333333333332</v>
      </c>
      <c r="DE274" s="150">
        <f t="shared" si="672"/>
        <v>2.318840579710145</v>
      </c>
      <c r="DF274" s="150">
        <f t="shared" si="673"/>
        <v>0.20230192819025303</v>
      </c>
      <c r="DG274" s="150"/>
      <c r="DH274" s="150">
        <f t="shared" si="674"/>
        <v>2.3188405797101455</v>
      </c>
      <c r="DI274" s="314">
        <f t="shared" si="675"/>
        <v>401.67132352941161</v>
      </c>
      <c r="DJ274" s="456">
        <f t="shared" si="676"/>
        <v>0.20230192819025311</v>
      </c>
      <c r="DL274" s="150">
        <f t="shared" si="677"/>
        <v>14.179797835888445</v>
      </c>
      <c r="DM274" s="150">
        <f t="shared" si="678"/>
        <v>18.965396895137665</v>
      </c>
      <c r="DN274" s="150">
        <f t="shared" si="679"/>
        <v>5.3718989346698756</v>
      </c>
      <c r="DP274" s="314">
        <f t="shared" si="680"/>
        <v>290</v>
      </c>
      <c r="DQ274" s="144">
        <f t="shared" si="681"/>
        <v>196.99248213966456</v>
      </c>
      <c r="DS274">
        <f t="shared" si="682"/>
        <v>290</v>
      </c>
      <c r="DT274">
        <f t="shared" si="683"/>
        <v>196.99248213966456</v>
      </c>
      <c r="DV274" s="5">
        <f t="shared" si="684"/>
        <v>5.0763358537257064</v>
      </c>
      <c r="DW274" s="5">
        <f t="shared" si="685"/>
        <v>1.7780059589191561</v>
      </c>
      <c r="DX274" s="5">
        <f t="shared" si="686"/>
        <v>3.2983298948065505</v>
      </c>
      <c r="DY274" s="150">
        <f t="shared" si="687"/>
        <v>0.35025380710659898</v>
      </c>
      <c r="EA274" s="5">
        <f t="shared" si="713"/>
        <v>0.30330689887444429</v>
      </c>
      <c r="EB274" s="5">
        <f t="shared" si="714"/>
        <v>4.2968477340546274</v>
      </c>
      <c r="EC274" s="5">
        <f t="shared" si="715"/>
        <v>16.938298313954469</v>
      </c>
      <c r="ED274" s="5"/>
      <c r="EE274" s="150">
        <f t="shared" si="716"/>
        <v>6.4802646221788773</v>
      </c>
      <c r="EF274" s="150">
        <f t="shared" si="717"/>
        <v>0.4122120829515119</v>
      </c>
      <c r="EG274" s="150">
        <f t="shared" si="718"/>
        <v>0.39213189876361648</v>
      </c>
      <c r="EH274" s="150"/>
      <c r="EI274" s="456">
        <f t="shared" si="719"/>
        <v>0.14277902054977468</v>
      </c>
      <c r="EJ274" s="456">
        <f t="shared" si="720"/>
        <v>2.7968000000000006</v>
      </c>
      <c r="EK274" s="456">
        <f t="shared" si="721"/>
        <v>4.5111278409983184E-2</v>
      </c>
      <c r="EL274" s="456">
        <f t="shared" si="722"/>
        <v>8.1826260140006185E-2</v>
      </c>
      <c r="EM274">
        <f t="shared" si="723"/>
        <v>7.1999999999999998E-3</v>
      </c>
      <c r="EN274" s="144">
        <f t="shared" si="724"/>
        <v>52.311278409983181</v>
      </c>
      <c r="EP274" s="144">
        <f t="shared" si="725"/>
        <v>3073.7165590997647</v>
      </c>
      <c r="EQ274" s="150">
        <f t="shared" si="726"/>
        <v>0.72499999999999998</v>
      </c>
      <c r="ER274" s="150">
        <f t="shared" si="772"/>
        <v>0.20589999999999997</v>
      </c>
      <c r="ES274" s="456"/>
      <c r="EU274" s="144">
        <f t="shared" si="727"/>
        <v>930.9</v>
      </c>
      <c r="EV274" s="456">
        <f t="shared" si="728"/>
        <v>6.2990744360194723E-2</v>
      </c>
      <c r="EW274" s="456">
        <f t="shared" si="729"/>
        <v>3.3983760266244827E-2</v>
      </c>
      <c r="EX274" s="456">
        <f t="shared" si="730"/>
        <v>4.6130227808387752E-3</v>
      </c>
      <c r="EY274" s="456">
        <f t="shared" si="731"/>
        <v>42.657851179101677</v>
      </c>
      <c r="EZ274" s="456"/>
      <c r="FA274" s="538">
        <f t="shared" si="732"/>
        <v>7.0855492968636163E-2</v>
      </c>
      <c r="FB274" s="144">
        <f t="shared" si="733"/>
        <v>42830.294199477583</v>
      </c>
      <c r="FC274" s="150">
        <f t="shared" si="734"/>
        <v>46.834910758577351</v>
      </c>
      <c r="FD274" s="5">
        <f t="shared" si="735"/>
        <v>52.779999999999994</v>
      </c>
      <c r="FE274" s="150">
        <f t="shared" si="736"/>
        <v>0.5298403582162059</v>
      </c>
      <c r="FF274" s="5">
        <f t="shared" si="737"/>
        <v>52.984035821620587</v>
      </c>
      <c r="FG274">
        <f t="shared" si="738"/>
        <v>57.999999999999993</v>
      </c>
      <c r="FI274" s="59">
        <f t="shared" si="689"/>
        <v>-50</v>
      </c>
    </row>
    <row r="275" spans="5:165">
      <c r="E275" s="147">
        <v>59</v>
      </c>
      <c r="F275" s="188">
        <f t="shared" si="773"/>
        <v>0.29499999999999998</v>
      </c>
      <c r="G275" s="188">
        <f t="shared" si="742"/>
        <v>0.29499999999999998</v>
      </c>
      <c r="H275" s="188">
        <f t="shared" si="743"/>
        <v>50.15</v>
      </c>
      <c r="I275" s="188">
        <f t="shared" si="744"/>
        <v>3.54</v>
      </c>
      <c r="J275" s="465">
        <f t="shared" si="745"/>
        <v>15.942378633422749</v>
      </c>
      <c r="K275" s="379">
        <f t="shared" si="746"/>
        <v>8.6586238708911996</v>
      </c>
      <c r="L275" s="149">
        <f t="shared" si="747"/>
        <v>24.601002504313946</v>
      </c>
      <c r="M275" s="379"/>
      <c r="N275" s="188">
        <f t="shared" si="748"/>
        <v>0.3519622368792838</v>
      </c>
      <c r="O275" s="149">
        <f t="shared" si="749"/>
        <v>174.70505341562546</v>
      </c>
      <c r="P275" s="149">
        <f t="shared" si="750"/>
        <v>12.332121417573561</v>
      </c>
      <c r="Q275" s="188">
        <f t="shared" si="626"/>
        <v>1.0276767847977968</v>
      </c>
      <c r="R275" s="188">
        <f t="shared" si="751"/>
        <v>14.558754451302121</v>
      </c>
      <c r="S275" s="188">
        <f t="shared" si="752"/>
        <v>170</v>
      </c>
      <c r="T275" s="188">
        <f t="shared" si="753"/>
        <v>19.137015604119377</v>
      </c>
      <c r="U275" s="188">
        <f t="shared" si="630"/>
        <v>1.8005797043358853</v>
      </c>
      <c r="V275" s="188">
        <f t="shared" si="631"/>
        <v>3.3152523812337069</v>
      </c>
      <c r="W275" s="172">
        <f t="shared" si="632"/>
        <v>280.55576224979848</v>
      </c>
      <c r="X275" s="379">
        <f t="shared" si="691"/>
        <v>188.11730391458551</v>
      </c>
      <c r="Z275" s="188">
        <f t="shared" si="633"/>
        <v>13.333333333333334</v>
      </c>
      <c r="AA275" s="150">
        <f t="shared" si="634"/>
        <v>2.3098358697894885</v>
      </c>
      <c r="AB275" s="150">
        <f t="shared" si="754"/>
        <v>0.20176999950645014</v>
      </c>
      <c r="AC275" s="150"/>
      <c r="AD275" s="150">
        <f t="shared" si="636"/>
        <v>2.3098358697894885</v>
      </c>
      <c r="AE275" s="314">
        <f t="shared" si="755"/>
        <v>410.18957261307213</v>
      </c>
      <c r="AF275" s="456">
        <f t="shared" si="756"/>
        <v>0.20176999950645014</v>
      </c>
      <c r="AH275" s="150">
        <f t="shared" si="757"/>
        <v>14.301515071254979</v>
      </c>
      <c r="AI275" s="150">
        <f t="shared" si="758"/>
        <v>19.137015604119377</v>
      </c>
      <c r="AJ275" s="150">
        <f t="shared" si="759"/>
        <v>5.4990239042859574</v>
      </c>
      <c r="AL275" s="314">
        <f t="shared" si="760"/>
        <v>295</v>
      </c>
      <c r="AM275" s="144">
        <f t="shared" si="761"/>
        <v>188.11730391458551</v>
      </c>
      <c r="AO275">
        <f t="shared" si="644"/>
        <v>295</v>
      </c>
      <c r="AP275">
        <f t="shared" si="645"/>
        <v>188.11730391458551</v>
      </c>
      <c r="AR275" s="5">
        <f t="shared" si="774"/>
        <v>5.3158320855695926</v>
      </c>
      <c r="AS275" s="5">
        <f t="shared" si="739"/>
        <v>1.8005797043358853</v>
      </c>
      <c r="AT275" s="5">
        <f t="shared" si="740"/>
        <v>3.5152523812337071</v>
      </c>
      <c r="AU275" s="150">
        <f t="shared" si="741"/>
        <v>0.33872019946298826</v>
      </c>
      <c r="BA275" s="150">
        <f t="shared" si="692"/>
        <v>6.4303428912879772</v>
      </c>
      <c r="BB275" s="150">
        <f t="shared" si="693"/>
        <v>0.41961765249762906</v>
      </c>
      <c r="BC275" s="150">
        <f t="shared" si="694"/>
        <v>0.39917671905794677</v>
      </c>
      <c r="BD275" s="150"/>
      <c r="BE275" s="456">
        <f t="shared" si="695"/>
        <v>0.14058765297842857</v>
      </c>
      <c r="BF275" s="456">
        <f t="shared" si="762"/>
        <v>2.1211006633217599</v>
      </c>
      <c r="BG275" s="456">
        <f t="shared" si="763"/>
        <v>0.13735590772192816</v>
      </c>
      <c r="BH275" s="456">
        <f t="shared" si="696"/>
        <v>7.7987487267367789E-2</v>
      </c>
      <c r="BI275">
        <f t="shared" si="697"/>
        <v>7.1740703850402369E-3</v>
      </c>
      <c r="BJ275" s="144">
        <f t="shared" si="698"/>
        <v>144.52997810696837</v>
      </c>
      <c r="BK275">
        <f t="shared" si="764"/>
        <v>2.4598007344965915</v>
      </c>
      <c r="BL275" s="144">
        <f t="shared" si="699"/>
        <v>2484.2057816745246</v>
      </c>
      <c r="BM275" s="150">
        <f t="shared" si="765"/>
        <v>0.6545312499999999</v>
      </c>
      <c r="BN275" s="150">
        <f t="shared" si="766"/>
        <v>0.20944999999999997</v>
      </c>
      <c r="BQ275" s="144">
        <f t="shared" si="700"/>
        <v>863.98124999999993</v>
      </c>
      <c r="BR275" s="456">
        <f t="shared" si="701"/>
        <v>6.2023964549306733E-2</v>
      </c>
      <c r="BS275" s="456">
        <f t="shared" si="702"/>
        <v>3.5215794857524199E-2</v>
      </c>
      <c r="BT275" s="456">
        <f t="shared" si="703"/>
        <v>4.7802615911360091E-3</v>
      </c>
      <c r="BU275" s="456">
        <f t="shared" si="704"/>
        <v>38.880102071374203</v>
      </c>
      <c r="BV275" s="456"/>
      <c r="BW275" s="538">
        <f t="shared" si="705"/>
        <v>6.8893328520753555E-2</v>
      </c>
      <c r="BX275" s="144">
        <f t="shared" si="706"/>
        <v>39051.015420892923</v>
      </c>
      <c r="BY275" s="150">
        <f t="shared" si="707"/>
        <v>42.399202452567444</v>
      </c>
      <c r="BZ275" s="5">
        <f t="shared" si="708"/>
        <v>53.69</v>
      </c>
      <c r="CA275" s="150">
        <f t="shared" si="709"/>
        <v>0.55875164565449509</v>
      </c>
      <c r="CB275" s="5">
        <f t="shared" si="710"/>
        <v>55.875164565449509</v>
      </c>
      <c r="CC275">
        <f t="shared" si="711"/>
        <v>59</v>
      </c>
      <c r="CE275" s="59">
        <f t="shared" si="767"/>
        <v>-50</v>
      </c>
      <c r="CG275" s="150">
        <f t="shared" si="768"/>
        <v>0.63502377808469523</v>
      </c>
      <c r="CH275" s="150">
        <f t="shared" si="769"/>
        <v>0.17735551404972849</v>
      </c>
      <c r="CI275" s="147">
        <v>59</v>
      </c>
      <c r="CJ275" s="188">
        <f t="shared" si="712"/>
        <v>0.29499999999999998</v>
      </c>
      <c r="CK275" s="188">
        <f t="shared" si="654"/>
        <v>0.29499999999999998</v>
      </c>
      <c r="CL275" s="188">
        <f t="shared" si="655"/>
        <v>50.15</v>
      </c>
      <c r="CM275" s="188">
        <f t="shared" si="656"/>
        <v>3.54</v>
      </c>
      <c r="CN275" s="465">
        <f t="shared" si="657"/>
        <v>16</v>
      </c>
      <c r="CO275" s="379">
        <f t="shared" si="770"/>
        <v>8.625</v>
      </c>
      <c r="CP275" s="379">
        <f t="shared" si="771"/>
        <v>24.625</v>
      </c>
      <c r="CQ275" s="379"/>
      <c r="CR275" s="188">
        <f t="shared" si="660"/>
        <v>0.34787038923986141</v>
      </c>
      <c r="CS275" s="149">
        <f t="shared" si="661"/>
        <v>173.29806936491266</v>
      </c>
      <c r="CT275" s="149">
        <f t="shared" si="662"/>
        <v>12.232804896346776</v>
      </c>
      <c r="CU275" s="188">
        <f t="shared" si="663"/>
        <v>1.0194004080288981</v>
      </c>
      <c r="CV275" s="188">
        <f t="shared" si="664"/>
        <v>14.441505780409388</v>
      </c>
      <c r="CW275" s="188">
        <f t="shared" si="665"/>
        <v>170</v>
      </c>
      <c r="CX275" s="188">
        <f t="shared" si="666"/>
        <v>19.292386496777972</v>
      </c>
      <c r="CY275" s="188">
        <f t="shared" si="667"/>
        <v>1.8086612340729349</v>
      </c>
      <c r="CZ275" s="188">
        <f t="shared" si="668"/>
        <v>3.3551976516135604</v>
      </c>
      <c r="DA275" s="172">
        <f t="shared" si="669"/>
        <v>280.20304568527916</v>
      </c>
      <c r="DB275" s="379">
        <f t="shared" si="670"/>
        <v>193.65362651017867</v>
      </c>
      <c r="DD275" s="188">
        <f t="shared" si="671"/>
        <v>13.333333333333332</v>
      </c>
      <c r="DE275" s="150">
        <f t="shared" si="672"/>
        <v>2.318840579710145</v>
      </c>
      <c r="DF275" s="150">
        <f t="shared" si="673"/>
        <v>0.20230192819025303</v>
      </c>
      <c r="DG275" s="150"/>
      <c r="DH275" s="150">
        <f t="shared" si="674"/>
        <v>2.3188405797101455</v>
      </c>
      <c r="DI275" s="314">
        <f t="shared" si="675"/>
        <v>408.59669117647042</v>
      </c>
      <c r="DJ275" s="456">
        <f t="shared" si="676"/>
        <v>0.20230192819025311</v>
      </c>
      <c r="DL275" s="150">
        <f t="shared" si="677"/>
        <v>14.301515071254979</v>
      </c>
      <c r="DM275" s="150">
        <f t="shared" si="678"/>
        <v>19.292386496777972</v>
      </c>
      <c r="DN275" s="150">
        <f t="shared" si="679"/>
        <v>5.6141134544034355</v>
      </c>
      <c r="DP275" s="314">
        <f t="shared" si="680"/>
        <v>295</v>
      </c>
      <c r="DQ275" s="144">
        <f t="shared" si="681"/>
        <v>193.65362651017867</v>
      </c>
      <c r="DS275">
        <f t="shared" si="682"/>
        <v>295</v>
      </c>
      <c r="DT275">
        <f t="shared" si="683"/>
        <v>193.65362651017867</v>
      </c>
      <c r="DV275" s="5">
        <f t="shared" si="684"/>
        <v>5.163858885686496</v>
      </c>
      <c r="DW275" s="5">
        <f t="shared" si="685"/>
        <v>1.8086612340729349</v>
      </c>
      <c r="DX275" s="5">
        <f t="shared" si="686"/>
        <v>3.3551976516135609</v>
      </c>
      <c r="DY275" s="150">
        <f t="shared" si="687"/>
        <v>0.35025380710659892</v>
      </c>
      <c r="EA275" s="5">
        <f t="shared" si="713"/>
        <v>0.31385592003030338</v>
      </c>
      <c r="EB275" s="5">
        <f t="shared" si="714"/>
        <v>4.4462922004292986</v>
      </c>
      <c r="EC275" s="5">
        <f t="shared" si="715"/>
        <v>17.52741273212709</v>
      </c>
      <c r="ED275" s="5"/>
      <c r="EE275" s="150">
        <f t="shared" si="716"/>
        <v>6.5919933225612715</v>
      </c>
      <c r="EF275" s="150">
        <f t="shared" si="717"/>
        <v>0.41931918782998628</v>
      </c>
      <c r="EG275" s="150">
        <f t="shared" si="718"/>
        <v>0.39889279356988583</v>
      </c>
      <c r="EH275" s="150"/>
      <c r="EI275" s="456">
        <f t="shared" si="719"/>
        <v>0.14774487827995411</v>
      </c>
      <c r="EJ275" s="456">
        <f t="shared" si="720"/>
        <v>2.7968000000000002</v>
      </c>
      <c r="EK275" s="456">
        <f t="shared" si="721"/>
        <v>4.4346680470830915E-2</v>
      </c>
      <c r="EL275" s="456">
        <f t="shared" si="722"/>
        <v>8.043937437492131E-2</v>
      </c>
      <c r="EM275">
        <f t="shared" si="723"/>
        <v>7.1999999999999998E-3</v>
      </c>
      <c r="EN275" s="144">
        <f t="shared" si="724"/>
        <v>51.546680470830914</v>
      </c>
      <c r="EP275" s="144">
        <f t="shared" si="725"/>
        <v>3076.5309331257063</v>
      </c>
      <c r="EQ275" s="150">
        <f t="shared" si="726"/>
        <v>0.73749999999999993</v>
      </c>
      <c r="ER275" s="150">
        <f t="shared" si="772"/>
        <v>0.20944999999999997</v>
      </c>
      <c r="ES275" s="456"/>
      <c r="EU275" s="144">
        <f t="shared" si="727"/>
        <v>946.94999999999993</v>
      </c>
      <c r="EV275" s="456">
        <f t="shared" si="728"/>
        <v>6.5181563947038584E-2</v>
      </c>
      <c r="EW275" s="456">
        <f t="shared" si="729"/>
        <v>3.5165716256479865E-2</v>
      </c>
      <c r="EX275" s="456">
        <f t="shared" si="730"/>
        <v>4.7734638228596263E-3</v>
      </c>
      <c r="EY275" s="456">
        <f t="shared" si="731"/>
        <v>42.657851179101641</v>
      </c>
      <c r="EZ275" s="456"/>
      <c r="FA275" s="538">
        <f t="shared" si="732"/>
        <v>7.2077139399129894E-2</v>
      </c>
      <c r="FB275" s="144">
        <f t="shared" si="733"/>
        <v>42835.049062527149</v>
      </c>
      <c r="FC275" s="150">
        <f t="shared" si="734"/>
        <v>46.858529995652852</v>
      </c>
      <c r="FD275" s="5">
        <f t="shared" si="735"/>
        <v>53.69</v>
      </c>
      <c r="FE275" s="150">
        <f t="shared" si="736"/>
        <v>0.53397100884837656</v>
      </c>
      <c r="FF275" s="5">
        <f t="shared" si="737"/>
        <v>53.397100884837656</v>
      </c>
      <c r="FG275">
        <f t="shared" si="738"/>
        <v>59</v>
      </c>
      <c r="FI275" s="59">
        <f t="shared" si="689"/>
        <v>-50</v>
      </c>
    </row>
    <row r="276" spans="5:165">
      <c r="E276" s="147">
        <v>60</v>
      </c>
      <c r="F276" s="188">
        <f t="shared" si="773"/>
        <v>0.3</v>
      </c>
      <c r="G276" s="188">
        <f t="shared" si="742"/>
        <v>0.3</v>
      </c>
      <c r="H276" s="188">
        <f t="shared" si="743"/>
        <v>51</v>
      </c>
      <c r="I276" s="188">
        <f t="shared" si="744"/>
        <v>3.5999999999999996</v>
      </c>
      <c r="J276" s="465">
        <f t="shared" si="745"/>
        <v>15.941402000090932</v>
      </c>
      <c r="K276" s="379">
        <f t="shared" si="746"/>
        <v>8.6591937670079986</v>
      </c>
      <c r="L276" s="149">
        <f t="shared" si="747"/>
        <v>24.60059576709893</v>
      </c>
      <c r="M276" s="379"/>
      <c r="N276" s="188">
        <f t="shared" si="748"/>
        <v>0.35199122204141436</v>
      </c>
      <c r="O276" s="149">
        <f t="shared" si="749"/>
        <v>174.708737560646</v>
      </c>
      <c r="P276" s="149">
        <f t="shared" si="750"/>
        <v>12.33238147486913</v>
      </c>
      <c r="Q276" s="188">
        <f t="shared" si="626"/>
        <v>1.0276984562390941</v>
      </c>
      <c r="R276" s="188">
        <f t="shared" si="751"/>
        <v>14.559061463387167</v>
      </c>
      <c r="S276" s="188">
        <f t="shared" si="752"/>
        <v>170</v>
      </c>
      <c r="T276" s="188">
        <f t="shared" si="753"/>
        <v>19.460961411960124</v>
      </c>
      <c r="U276" s="188">
        <f t="shared" si="630"/>
        <v>1.8311715693371058</v>
      </c>
      <c r="V276" s="188">
        <f t="shared" si="631"/>
        <v>3.3711501212920281</v>
      </c>
      <c r="W276" s="172">
        <f t="shared" si="632"/>
        <v>280.56167855327271</v>
      </c>
      <c r="X276" s="379">
        <f t="shared" si="691"/>
        <v>185.10560038188763</v>
      </c>
      <c r="Z276" s="188">
        <f t="shared" si="633"/>
        <v>13.333333333333332</v>
      </c>
      <c r="AA276" s="150">
        <f t="shared" si="634"/>
        <v>2.3096838502680344</v>
      </c>
      <c r="AB276" s="150">
        <f t="shared" si="754"/>
        <v>0.20176097482227023</v>
      </c>
      <c r="AC276" s="150"/>
      <c r="AD276" s="150">
        <f t="shared" si="636"/>
        <v>2.3096838502680348</v>
      </c>
      <c r="AE276" s="314">
        <f t="shared" si="755"/>
        <v>417.16939383409112</v>
      </c>
      <c r="AF276" s="456">
        <f t="shared" si="756"/>
        <v>0.20176097482227026</v>
      </c>
      <c r="AH276" s="150">
        <f t="shared" si="757"/>
        <v>14.422205101855956</v>
      </c>
      <c r="AI276" s="150">
        <f t="shared" si="758"/>
        <v>19.460961411960124</v>
      </c>
      <c r="AJ276" s="150">
        <f t="shared" si="759"/>
        <v>5.7389837619457706</v>
      </c>
      <c r="AL276" s="314">
        <f t="shared" si="760"/>
        <v>300</v>
      </c>
      <c r="AM276" s="144">
        <f t="shared" si="761"/>
        <v>185.10560038188763</v>
      </c>
      <c r="AO276">
        <f t="shared" si="644"/>
        <v>300</v>
      </c>
      <c r="AP276">
        <f t="shared" si="645"/>
        <v>185.10560038188763</v>
      </c>
      <c r="AR276" s="5">
        <f t="shared" si="774"/>
        <v>5.402321690629134</v>
      </c>
      <c r="AS276" s="5">
        <f t="shared" si="739"/>
        <v>1.8311715693371058</v>
      </c>
      <c r="AT276" s="5">
        <f t="shared" si="740"/>
        <v>3.5711501212920282</v>
      </c>
      <c r="AU276" s="150">
        <f t="shared" si="741"/>
        <v>0.33896011274438831</v>
      </c>
      <c r="BA276" s="150">
        <f t="shared" si="692"/>
        <v>6.5415092806421722</v>
      </c>
      <c r="BB276" s="150">
        <f t="shared" si="693"/>
        <v>0.42664340300518283</v>
      </c>
      <c r="BC276" s="150">
        <f t="shared" si="694"/>
        <v>0.40586022252790832</v>
      </c>
      <c r="BD276" s="150"/>
      <c r="BE276" s="456">
        <f t="shared" si="695"/>
        <v>0.14549056847367406</v>
      </c>
      <c r="BF276" s="456">
        <f t="shared" si="762"/>
        <v>2.1224379022219559</v>
      </c>
      <c r="BG276" s="456">
        <f t="shared" si="763"/>
        <v>0.1351485996975382</v>
      </c>
      <c r="BH276" s="456">
        <f t="shared" si="696"/>
        <v>7.6736392707784762E-2</v>
      </c>
      <c r="BI276">
        <f t="shared" si="697"/>
        <v>7.1736309000409188E-3</v>
      </c>
      <c r="BJ276" s="144">
        <f t="shared" si="698"/>
        <v>142.32223059757911</v>
      </c>
      <c r="BK276">
        <f t="shared" si="764"/>
        <v>2.4693077269093635</v>
      </c>
      <c r="BL276" s="144">
        <f t="shared" si="699"/>
        <v>2486.9870940009941</v>
      </c>
      <c r="BM276" s="150">
        <f t="shared" si="765"/>
        <v>0.66562499999999991</v>
      </c>
      <c r="BN276" s="150">
        <f t="shared" si="766"/>
        <v>0.21299999999999999</v>
      </c>
      <c r="BQ276" s="144">
        <f t="shared" si="700"/>
        <v>878.62499999999989</v>
      </c>
      <c r="BR276" s="456">
        <f t="shared" si="701"/>
        <v>6.4187015503091513E-2</v>
      </c>
      <c r="BS276" s="456">
        <f t="shared" si="702"/>
        <v>3.6404918665568574E-2</v>
      </c>
      <c r="BT276" s="456">
        <f t="shared" si="703"/>
        <v>4.9416756069120974E-3</v>
      </c>
      <c r="BU276" s="456">
        <f t="shared" si="704"/>
        <v>38.943020164724004</v>
      </c>
      <c r="BV276" s="456"/>
      <c r="BW276" s="538">
        <f t="shared" si="705"/>
        <v>7.0104862458439721E-2</v>
      </c>
      <c r="BX276" s="144">
        <f t="shared" si="706"/>
        <v>39118.658636958018</v>
      </c>
      <c r="BY276" s="150">
        <f t="shared" si="707"/>
        <v>42.484270730959011</v>
      </c>
      <c r="BZ276" s="5">
        <f t="shared" si="708"/>
        <v>54.6</v>
      </c>
      <c r="CA276" s="150">
        <f t="shared" si="709"/>
        <v>0.56239800318743816</v>
      </c>
      <c r="CB276" s="5">
        <f t="shared" si="710"/>
        <v>56.239800318743818</v>
      </c>
      <c r="CC276">
        <f t="shared" si="711"/>
        <v>60</v>
      </c>
      <c r="CE276" s="59">
        <f t="shared" si="767"/>
        <v>-50</v>
      </c>
      <c r="CG276" s="150">
        <f t="shared" si="768"/>
        <v>0.63502377808469512</v>
      </c>
      <c r="CH276" s="150">
        <f t="shared" si="769"/>
        <v>0.17735551404972846</v>
      </c>
      <c r="CI276" s="147">
        <v>60</v>
      </c>
      <c r="CJ276" s="188">
        <f t="shared" si="712"/>
        <v>0.3</v>
      </c>
      <c r="CK276" s="188">
        <f t="shared" si="654"/>
        <v>0.3</v>
      </c>
      <c r="CL276" s="188">
        <f t="shared" si="655"/>
        <v>51</v>
      </c>
      <c r="CM276" s="188">
        <f t="shared" si="656"/>
        <v>3.5999999999999996</v>
      </c>
      <c r="CN276" s="465">
        <f t="shared" si="657"/>
        <v>16</v>
      </c>
      <c r="CO276" s="379">
        <f t="shared" si="770"/>
        <v>8.625</v>
      </c>
      <c r="CP276" s="379">
        <f t="shared" si="771"/>
        <v>24.625</v>
      </c>
      <c r="CQ276" s="379"/>
      <c r="CR276" s="188">
        <f t="shared" si="660"/>
        <v>0.34787038923986141</v>
      </c>
      <c r="CS276" s="149">
        <f t="shared" si="661"/>
        <v>173.29806936491266</v>
      </c>
      <c r="CT276" s="149">
        <f t="shared" si="662"/>
        <v>12.232804896346776</v>
      </c>
      <c r="CU276" s="188">
        <f t="shared" si="663"/>
        <v>1.0194004080288981</v>
      </c>
      <c r="CV276" s="188">
        <f t="shared" si="664"/>
        <v>14.441505780409388</v>
      </c>
      <c r="CW276" s="188">
        <f t="shared" si="665"/>
        <v>170</v>
      </c>
      <c r="CX276" s="188">
        <f t="shared" si="666"/>
        <v>19.619376098418279</v>
      </c>
      <c r="CY276" s="188">
        <f t="shared" si="667"/>
        <v>1.8393165092267136</v>
      </c>
      <c r="CZ276" s="188">
        <f t="shared" si="668"/>
        <v>3.4120654084205704</v>
      </c>
      <c r="DA276" s="172">
        <f t="shared" si="669"/>
        <v>280.20304568527916</v>
      </c>
      <c r="DB276" s="379">
        <f t="shared" si="670"/>
        <v>190.42606606834232</v>
      </c>
      <c r="DD276" s="188">
        <f t="shared" si="671"/>
        <v>13.333333333333332</v>
      </c>
      <c r="DE276" s="150">
        <f t="shared" si="672"/>
        <v>2.318840579710145</v>
      </c>
      <c r="DF276" s="150">
        <f t="shared" si="673"/>
        <v>0.20230192819025303</v>
      </c>
      <c r="DG276" s="150"/>
      <c r="DH276" s="150">
        <f t="shared" si="674"/>
        <v>2.3188405797101455</v>
      </c>
      <c r="DI276" s="314">
        <f t="shared" si="675"/>
        <v>415.52205882352922</v>
      </c>
      <c r="DJ276" s="456">
        <f t="shared" si="676"/>
        <v>0.20230192819025311</v>
      </c>
      <c r="DL276" s="150">
        <f t="shared" si="677"/>
        <v>14.422205101855956</v>
      </c>
      <c r="DM276" s="150">
        <f t="shared" si="678"/>
        <v>19.619376098418279</v>
      </c>
      <c r="DN276" s="150">
        <f t="shared" si="679"/>
        <v>5.8563279741369962</v>
      </c>
      <c r="DP276" s="314">
        <f t="shared" si="680"/>
        <v>300</v>
      </c>
      <c r="DQ276" s="144">
        <f t="shared" si="681"/>
        <v>190.42606606834232</v>
      </c>
      <c r="DS276">
        <f t="shared" si="682"/>
        <v>300</v>
      </c>
      <c r="DT276">
        <f t="shared" si="683"/>
        <v>190.42606606834232</v>
      </c>
      <c r="DV276" s="5">
        <f t="shared" si="684"/>
        <v>5.2513819176472847</v>
      </c>
      <c r="DW276" s="5">
        <f t="shared" si="685"/>
        <v>1.8393165092267136</v>
      </c>
      <c r="DX276" s="5">
        <f t="shared" si="686"/>
        <v>3.4120654084205713</v>
      </c>
      <c r="DY276" s="150">
        <f t="shared" si="687"/>
        <v>0.35025380710659892</v>
      </c>
      <c r="EA276" s="5">
        <f t="shared" si="713"/>
        <v>0.32458526633412593</v>
      </c>
      <c r="EB276" s="5">
        <f t="shared" si="714"/>
        <v>4.598291273066784</v>
      </c>
      <c r="EC276" s="5">
        <f t="shared" si="715"/>
        <v>18.126597482234281</v>
      </c>
      <c r="ED276" s="5"/>
      <c r="EE276" s="150">
        <f t="shared" si="716"/>
        <v>6.7037220229436665</v>
      </c>
      <c r="EF276" s="150">
        <f t="shared" si="717"/>
        <v>0.42642629270846066</v>
      </c>
      <c r="EG276" s="150">
        <f t="shared" si="718"/>
        <v>0.40565368837615512</v>
      </c>
      <c r="EH276" s="150"/>
      <c r="EI276" s="456">
        <f t="shared" si="719"/>
        <v>0.15279562246705972</v>
      </c>
      <c r="EJ276" s="456">
        <f t="shared" si="720"/>
        <v>2.7967999999999997</v>
      </c>
      <c r="EK276" s="456">
        <f t="shared" si="721"/>
        <v>4.3607569129650393E-2</v>
      </c>
      <c r="EL276" s="456">
        <f t="shared" si="722"/>
        <v>7.909871813533928E-2</v>
      </c>
      <c r="EM276">
        <f t="shared" si="723"/>
        <v>7.1999999999999998E-3</v>
      </c>
      <c r="EN276" s="144">
        <f t="shared" si="724"/>
        <v>50.807569129650389</v>
      </c>
      <c r="EP276" s="144">
        <f t="shared" si="725"/>
        <v>3079.5019097320492</v>
      </c>
      <c r="EQ276" s="150">
        <f t="shared" si="726"/>
        <v>0.75</v>
      </c>
      <c r="ER276" s="150">
        <f t="shared" si="772"/>
        <v>0.21299999999999999</v>
      </c>
      <c r="ES276" s="456"/>
      <c r="EU276" s="144">
        <f t="shared" si="727"/>
        <v>963</v>
      </c>
      <c r="EV276" s="456">
        <f t="shared" si="728"/>
        <v>6.740983344134989E-2</v>
      </c>
      <c r="EW276" s="456">
        <f t="shared" si="729"/>
        <v>3.6367876622616355E-2</v>
      </c>
      <c r="EX276" s="456">
        <f t="shared" si="730"/>
        <v>4.9366474467953635E-3</v>
      </c>
      <c r="EY276" s="456">
        <f t="shared" si="731"/>
        <v>42.657851179101563</v>
      </c>
      <c r="EZ276" s="456"/>
      <c r="FA276" s="538">
        <f t="shared" si="732"/>
        <v>7.3298785829623611E-2</v>
      </c>
      <c r="FB276" s="144">
        <f t="shared" si="733"/>
        <v>42839.86432244195</v>
      </c>
      <c r="FC276" s="150">
        <f t="shared" si="734"/>
        <v>46.882366232173993</v>
      </c>
      <c r="FD276" s="5">
        <f t="shared" si="735"/>
        <v>54.6</v>
      </c>
      <c r="FE276" s="150">
        <f t="shared" si="736"/>
        <v>0.53802450639635957</v>
      </c>
      <c r="FF276" s="5">
        <f t="shared" si="737"/>
        <v>53.802450639635957</v>
      </c>
      <c r="FG276">
        <f t="shared" si="738"/>
        <v>60</v>
      </c>
      <c r="FI276" s="59">
        <f t="shared" si="689"/>
        <v>-50</v>
      </c>
    </row>
    <row r="277" spans="5:165">
      <c r="E277" s="147">
        <v>61</v>
      </c>
      <c r="F277" s="188">
        <f t="shared" si="773"/>
        <v>0.30499999999999999</v>
      </c>
      <c r="G277" s="188">
        <f t="shared" si="742"/>
        <v>0.30499999999999999</v>
      </c>
      <c r="H277" s="188">
        <f t="shared" si="743"/>
        <v>51.85</v>
      </c>
      <c r="I277" s="188">
        <f t="shared" si="744"/>
        <v>3.66</v>
      </c>
      <c r="J277" s="465">
        <f t="shared" si="745"/>
        <v>15.940425366759113</v>
      </c>
      <c r="K277" s="379">
        <f t="shared" si="746"/>
        <v>8.6597636631247976</v>
      </c>
      <c r="L277" s="149">
        <f t="shared" si="747"/>
        <v>24.600189029883911</v>
      </c>
      <c r="M277" s="379"/>
      <c r="N277" s="188">
        <f t="shared" si="748"/>
        <v>0.3520202081620209</v>
      </c>
      <c r="O277" s="149">
        <f t="shared" si="749"/>
        <v>174.71242041860975</v>
      </c>
      <c r="P277" s="149">
        <f t="shared" si="750"/>
        <v>12.33264144131363</v>
      </c>
      <c r="Q277" s="188">
        <f t="shared" si="626"/>
        <v>1.0277201201094692</v>
      </c>
      <c r="R277" s="188">
        <f t="shared" si="751"/>
        <v>14.559368368217479</v>
      </c>
      <c r="S277" s="188">
        <f t="shared" si="752"/>
        <v>170</v>
      </c>
      <c r="T277" s="188">
        <f t="shared" si="753"/>
        <v>19.784893703518719</v>
      </c>
      <c r="U277" s="188">
        <f t="shared" si="630"/>
        <v>1.8617659110380347</v>
      </c>
      <c r="V277" s="188">
        <f t="shared" si="631"/>
        <v>3.4270381629063165</v>
      </c>
      <c r="W277" s="172">
        <f t="shared" si="632"/>
        <v>280.56759278988505</v>
      </c>
      <c r="X277" s="379">
        <f t="shared" si="691"/>
        <v>182.18905002403966</v>
      </c>
      <c r="Z277" s="188">
        <f t="shared" si="633"/>
        <v>13.333333333333334</v>
      </c>
      <c r="AA277" s="150">
        <f t="shared" si="634"/>
        <v>2.3095318507552878</v>
      </c>
      <c r="AB277" s="150">
        <f t="shared" si="754"/>
        <v>0.20175194983966388</v>
      </c>
      <c r="AC277" s="150"/>
      <c r="AD277" s="150">
        <f t="shared" si="636"/>
        <v>2.3095318507552878</v>
      </c>
      <c r="AE277" s="314">
        <f t="shared" si="755"/>
        <v>424.15013024122703</v>
      </c>
      <c r="AF277" s="456">
        <f t="shared" si="756"/>
        <v>0.20175194983966385</v>
      </c>
      <c r="AH277" s="150">
        <f t="shared" si="757"/>
        <v>14.54189350348388</v>
      </c>
      <c r="AI277" s="150">
        <f t="shared" si="758"/>
        <v>19.784893703518719</v>
      </c>
      <c r="AJ277" s="150">
        <f t="shared" si="759"/>
        <v>5.9789336075447297</v>
      </c>
      <c r="AL277" s="314">
        <f t="shared" si="760"/>
        <v>305</v>
      </c>
      <c r="AM277" s="144">
        <f t="shared" si="761"/>
        <v>182.18905002403966</v>
      </c>
      <c r="AO277">
        <f t="shared" si="644"/>
        <v>305</v>
      </c>
      <c r="AP277">
        <f t="shared" si="645"/>
        <v>182.18905002403966</v>
      </c>
      <c r="AR277" s="5">
        <f t="shared" si="774"/>
        <v>5.4888040739443502</v>
      </c>
      <c r="AS277" s="5">
        <f t="shared" si="739"/>
        <v>1.8617659110380347</v>
      </c>
      <c r="AT277" s="5">
        <f t="shared" si="740"/>
        <v>3.6270381629063158</v>
      </c>
      <c r="AU277" s="150">
        <f t="shared" si="741"/>
        <v>0.33919336269916028</v>
      </c>
      <c r="BA277" s="150">
        <f t="shared" si="692"/>
        <v>6.6526820325518266</v>
      </c>
      <c r="BB277" s="150">
        <f t="shared" si="693"/>
        <v>0.43366845217343297</v>
      </c>
      <c r="BC277" s="150">
        <f t="shared" si="694"/>
        <v>0.41254305882307268</v>
      </c>
      <c r="BD277" s="150"/>
      <c r="BE277" s="456">
        <f t="shared" si="695"/>
        <v>0.15047780596920887</v>
      </c>
      <c r="BF277" s="456">
        <f t="shared" si="762"/>
        <v>2.1237331917363207</v>
      </c>
      <c r="BG277" s="456">
        <f t="shared" si="763"/>
        <v>0.13301102971834178</v>
      </c>
      <c r="BH277" s="456">
        <f t="shared" si="696"/>
        <v>7.5524825649629687E-2</v>
      </c>
      <c r="BI277">
        <f t="shared" si="697"/>
        <v>7.1731914150416007E-3</v>
      </c>
      <c r="BJ277" s="144">
        <f t="shared" si="698"/>
        <v>140.18422113338337</v>
      </c>
      <c r="BK277">
        <f t="shared" si="764"/>
        <v>2.4789977429545571</v>
      </c>
      <c r="BL277" s="144">
        <f t="shared" si="699"/>
        <v>2489.9200444885423</v>
      </c>
      <c r="BM277" s="150">
        <f t="shared" si="765"/>
        <v>0.67671874999999992</v>
      </c>
      <c r="BN277" s="150">
        <f t="shared" si="766"/>
        <v>0.21654999999999999</v>
      </c>
      <c r="BQ277" s="144">
        <f t="shared" si="700"/>
        <v>893.26874999999995</v>
      </c>
      <c r="BR277" s="456">
        <f t="shared" si="701"/>
        <v>6.6387267339356848E-2</v>
      </c>
      <c r="BS277" s="456">
        <f t="shared" si="702"/>
        <v>3.7613665282100223E-2</v>
      </c>
      <c r="BT277" s="456">
        <f t="shared" si="703"/>
        <v>5.1057532614929161E-3</v>
      </c>
      <c r="BU277" s="456">
        <f t="shared" si="704"/>
        <v>39.004075278424075</v>
      </c>
      <c r="BV277" s="456"/>
      <c r="BW277" s="538">
        <f t="shared" si="705"/>
        <v>7.1316449555510836E-2</v>
      </c>
      <c r="BX277" s="144">
        <f t="shared" si="706"/>
        <v>39184.498413862537</v>
      </c>
      <c r="BY277" s="150">
        <f t="shared" si="707"/>
        <v>42.567687208351074</v>
      </c>
      <c r="BZ277" s="5">
        <f t="shared" si="708"/>
        <v>55.510000000000005</v>
      </c>
      <c r="CA277" s="150">
        <f t="shared" si="709"/>
        <v>0.56597990409457233</v>
      </c>
      <c r="CB277" s="5">
        <f t="shared" si="710"/>
        <v>56.597990409457232</v>
      </c>
      <c r="CC277">
        <f t="shared" si="711"/>
        <v>61</v>
      </c>
      <c r="CE277" s="59">
        <f t="shared" si="767"/>
        <v>-50</v>
      </c>
      <c r="CG277" s="150">
        <f t="shared" si="768"/>
        <v>0.63502377808469512</v>
      </c>
      <c r="CH277" s="150">
        <f t="shared" si="769"/>
        <v>0.17735551404972846</v>
      </c>
      <c r="CI277" s="147">
        <v>61</v>
      </c>
      <c r="CJ277" s="188">
        <f t="shared" si="712"/>
        <v>0.30499999999999999</v>
      </c>
      <c r="CK277" s="188">
        <f t="shared" si="654"/>
        <v>0.30499999999999999</v>
      </c>
      <c r="CL277" s="188">
        <f t="shared" si="655"/>
        <v>51.85</v>
      </c>
      <c r="CM277" s="188">
        <f t="shared" si="656"/>
        <v>3.66</v>
      </c>
      <c r="CN277" s="465">
        <f t="shared" si="657"/>
        <v>16</v>
      </c>
      <c r="CO277" s="379">
        <f t="shared" si="770"/>
        <v>8.625</v>
      </c>
      <c r="CP277" s="379">
        <f t="shared" si="771"/>
        <v>24.625</v>
      </c>
      <c r="CQ277" s="379"/>
      <c r="CR277" s="188">
        <f t="shared" si="660"/>
        <v>0.34787038923986141</v>
      </c>
      <c r="CS277" s="149">
        <f t="shared" si="661"/>
        <v>173.29806936491266</v>
      </c>
      <c r="CT277" s="149">
        <f t="shared" si="662"/>
        <v>12.232804896346776</v>
      </c>
      <c r="CU277" s="188">
        <f t="shared" si="663"/>
        <v>1.0194004080288981</v>
      </c>
      <c r="CV277" s="188">
        <f t="shared" si="664"/>
        <v>14.441505780409388</v>
      </c>
      <c r="CW277" s="188">
        <f t="shared" si="665"/>
        <v>170</v>
      </c>
      <c r="CX277" s="188">
        <f t="shared" si="666"/>
        <v>19.946365700058585</v>
      </c>
      <c r="CY277" s="188">
        <f t="shared" si="667"/>
        <v>1.8699717843804926</v>
      </c>
      <c r="CZ277" s="188">
        <f t="shared" si="668"/>
        <v>3.4689331652275803</v>
      </c>
      <c r="DA277" s="172">
        <f t="shared" si="669"/>
        <v>280.20304568527916</v>
      </c>
      <c r="DB277" s="379">
        <f t="shared" si="670"/>
        <v>187.30432728033668</v>
      </c>
      <c r="DD277" s="188">
        <f t="shared" si="671"/>
        <v>13.333333333333332</v>
      </c>
      <c r="DE277" s="150">
        <f t="shared" si="672"/>
        <v>2.318840579710145</v>
      </c>
      <c r="DF277" s="150">
        <f t="shared" si="673"/>
        <v>0.20230192819025303</v>
      </c>
      <c r="DG277" s="150"/>
      <c r="DH277" s="150">
        <f t="shared" si="674"/>
        <v>2.3188405797101455</v>
      </c>
      <c r="DI277" s="314">
        <f t="shared" si="675"/>
        <v>422.44742647058814</v>
      </c>
      <c r="DJ277" s="456">
        <f t="shared" si="676"/>
        <v>0.20230192819025311</v>
      </c>
      <c r="DL277" s="150">
        <f t="shared" si="677"/>
        <v>14.54189350348388</v>
      </c>
      <c r="DM277" s="150">
        <f t="shared" si="678"/>
        <v>19.946365700058585</v>
      </c>
      <c r="DN277" s="150">
        <f t="shared" si="679"/>
        <v>6.098542493870557</v>
      </c>
      <c r="DP277" s="314">
        <f t="shared" si="680"/>
        <v>305</v>
      </c>
      <c r="DQ277" s="144">
        <f t="shared" si="681"/>
        <v>187.30432728033668</v>
      </c>
      <c r="DS277">
        <f t="shared" si="682"/>
        <v>305</v>
      </c>
      <c r="DT277">
        <f t="shared" si="683"/>
        <v>187.30432728033668</v>
      </c>
      <c r="DV277" s="5">
        <f t="shared" si="684"/>
        <v>5.3389049496080734</v>
      </c>
      <c r="DW277" s="5">
        <f t="shared" si="685"/>
        <v>1.8699717843804926</v>
      </c>
      <c r="DX277" s="5">
        <f t="shared" si="686"/>
        <v>3.4689331652275808</v>
      </c>
      <c r="DY277" s="150">
        <f t="shared" si="687"/>
        <v>0.35025380710659898</v>
      </c>
      <c r="EA277" s="5">
        <f t="shared" si="713"/>
        <v>0.33549493778591188</v>
      </c>
      <c r="EB277" s="5">
        <f t="shared" si="714"/>
        <v>4.7528449519670852</v>
      </c>
      <c r="EC277" s="5">
        <f t="shared" si="715"/>
        <v>18.735852564276044</v>
      </c>
      <c r="ED277" s="5"/>
      <c r="EE277" s="150">
        <f t="shared" si="716"/>
        <v>6.8154507233260633</v>
      </c>
      <c r="EF277" s="150">
        <f t="shared" si="717"/>
        <v>0.43353339758693504</v>
      </c>
      <c r="EG277" s="150">
        <f t="shared" si="718"/>
        <v>0.41241458318242435</v>
      </c>
      <c r="EH277" s="150"/>
      <c r="EI277" s="456">
        <f t="shared" si="719"/>
        <v>0.15793125311109157</v>
      </c>
      <c r="EJ277" s="456">
        <f t="shared" si="720"/>
        <v>2.7967999999999997</v>
      </c>
      <c r="EK277" s="456">
        <f t="shared" si="721"/>
        <v>4.2892690947197096E-2</v>
      </c>
      <c r="EL277" s="456">
        <f t="shared" si="722"/>
        <v>7.7802017838038626E-2</v>
      </c>
      <c r="EM277">
        <f t="shared" si="723"/>
        <v>7.1999999999999998E-3</v>
      </c>
      <c r="EN277" s="144">
        <f t="shared" si="724"/>
        <v>50.092690947197092</v>
      </c>
      <c r="EP277" s="144">
        <f t="shared" si="725"/>
        <v>3082.6259618963272</v>
      </c>
      <c r="EQ277" s="150">
        <f t="shared" si="726"/>
        <v>0.76249999999999996</v>
      </c>
      <c r="ER277" s="150">
        <f t="shared" si="772"/>
        <v>0.21654999999999999</v>
      </c>
      <c r="ES277" s="456"/>
      <c r="EU277" s="144">
        <f t="shared" si="727"/>
        <v>979.05</v>
      </c>
      <c r="EV277" s="456">
        <f t="shared" si="728"/>
        <v>6.9675552843128638E-2</v>
      </c>
      <c r="EW277" s="456">
        <f t="shared" si="729"/>
        <v>3.7590241364654303E-2</v>
      </c>
      <c r="EX277" s="456">
        <f t="shared" si="730"/>
        <v>5.1025736526459841E-3</v>
      </c>
      <c r="EY277" s="456">
        <f t="shared" si="731"/>
        <v>42.657851179101606</v>
      </c>
      <c r="EZ277" s="456"/>
      <c r="FA277" s="538">
        <f t="shared" si="732"/>
        <v>7.4520432260117342E-2</v>
      </c>
      <c r="FB277" s="144">
        <f t="shared" si="733"/>
        <v>42844.739979222148</v>
      </c>
      <c r="FC277" s="150">
        <f t="shared" si="734"/>
        <v>46.906415941118475</v>
      </c>
      <c r="FD277" s="5">
        <f t="shared" si="735"/>
        <v>55.510000000000005</v>
      </c>
      <c r="FE277" s="150">
        <f t="shared" si="736"/>
        <v>0.54200295421306244</v>
      </c>
      <c r="FF277" s="5">
        <f t="shared" si="737"/>
        <v>54.200295421306244</v>
      </c>
      <c r="FG277">
        <f t="shared" si="738"/>
        <v>61</v>
      </c>
      <c r="FI277" s="59">
        <f t="shared" si="689"/>
        <v>-50</v>
      </c>
    </row>
    <row r="278" spans="5:165">
      <c r="E278" s="147">
        <v>62</v>
      </c>
      <c r="F278" s="188">
        <f t="shared" si="773"/>
        <v>0.31</v>
      </c>
      <c r="G278" s="188">
        <f t="shared" si="742"/>
        <v>0.31</v>
      </c>
      <c r="H278" s="188">
        <f t="shared" si="743"/>
        <v>52.7</v>
      </c>
      <c r="I278" s="188">
        <f t="shared" si="744"/>
        <v>3.7199999999999998</v>
      </c>
      <c r="J278" s="465">
        <f t="shared" si="745"/>
        <v>15.939448733427295</v>
      </c>
      <c r="K278" s="379">
        <f t="shared" si="746"/>
        <v>8.6603335592415984</v>
      </c>
      <c r="L278" s="149">
        <f t="shared" si="747"/>
        <v>24.599782292668891</v>
      </c>
      <c r="M278" s="379"/>
      <c r="N278" s="188">
        <f t="shared" si="748"/>
        <v>0.35204919524115097</v>
      </c>
      <c r="O278" s="149">
        <f t="shared" si="749"/>
        <v>174.71610198945288</v>
      </c>
      <c r="P278" s="149">
        <f t="shared" si="750"/>
        <v>12.332901316902557</v>
      </c>
      <c r="Q278" s="188">
        <f t="shared" si="626"/>
        <v>1.0277417764085464</v>
      </c>
      <c r="R278" s="188">
        <f t="shared" si="751"/>
        <v>14.559675165787739</v>
      </c>
      <c r="S278" s="188">
        <f t="shared" si="752"/>
        <v>170</v>
      </c>
      <c r="T278" s="188">
        <f t="shared" si="753"/>
        <v>20.108812486816035</v>
      </c>
      <c r="U278" s="188">
        <f t="shared" si="630"/>
        <v>1.8923627306487387</v>
      </c>
      <c r="V278" s="188">
        <f t="shared" si="631"/>
        <v>3.4829165093804426</v>
      </c>
      <c r="W278" s="172">
        <f t="shared" si="632"/>
        <v>280.57350495953307</v>
      </c>
      <c r="X278" s="379">
        <f t="shared" si="691"/>
        <v>179.36321338314991</v>
      </c>
      <c r="Z278" s="188">
        <f t="shared" si="633"/>
        <v>13.333333333333332</v>
      </c>
      <c r="AA278" s="150">
        <f t="shared" si="634"/>
        <v>2.3093798712472959</v>
      </c>
      <c r="AB278" s="150">
        <f t="shared" si="754"/>
        <v>0.20174292455861598</v>
      </c>
      <c r="AC278" s="150"/>
      <c r="AD278" s="150">
        <f t="shared" si="636"/>
        <v>2.3093798712472959</v>
      </c>
      <c r="AE278" s="314">
        <f t="shared" si="755"/>
        <v>431.13178183448019</v>
      </c>
      <c r="AF278" s="456">
        <f t="shared" si="756"/>
        <v>0.20174292455861606</v>
      </c>
      <c r="AH278" s="150">
        <f t="shared" si="757"/>
        <v>14.660604807897023</v>
      </c>
      <c r="AI278" s="150">
        <f t="shared" si="758"/>
        <v>20.108812486816035</v>
      </c>
      <c r="AJ278" s="150">
        <f t="shared" si="759"/>
        <v>6.2188734470242233</v>
      </c>
      <c r="AL278" s="314">
        <f t="shared" si="760"/>
        <v>310</v>
      </c>
      <c r="AM278" s="144">
        <f t="shared" si="761"/>
        <v>179.36321338314991</v>
      </c>
      <c r="AO278">
        <f t="shared" si="644"/>
        <v>310</v>
      </c>
      <c r="AP278">
        <f t="shared" si="645"/>
        <v>179.36321338314991</v>
      </c>
      <c r="AR278" s="5">
        <f t="shared" si="774"/>
        <v>5.5752792400291824</v>
      </c>
      <c r="AS278" s="5">
        <f t="shared" si="739"/>
        <v>1.8923627306487387</v>
      </c>
      <c r="AT278" s="5">
        <f t="shared" si="740"/>
        <v>3.6829165093804437</v>
      </c>
      <c r="AU278" s="150">
        <f t="shared" si="741"/>
        <v>0.3394202602556699</v>
      </c>
      <c r="BA278" s="150">
        <f t="shared" si="692"/>
        <v>6.7638610619305899</v>
      </c>
      <c r="BB278" s="150">
        <f t="shared" si="693"/>
        <v>0.44069280448343695</v>
      </c>
      <c r="BC278" s="150">
        <f t="shared" si="694"/>
        <v>0.41922523220621066</v>
      </c>
      <c r="BD278" s="150"/>
      <c r="BE278" s="456">
        <f t="shared" si="695"/>
        <v>0.15554937598134275</v>
      </c>
      <c r="BF278" s="456">
        <f t="shared" si="762"/>
        <v>2.1249884882224532</v>
      </c>
      <c r="BG278" s="456">
        <f t="shared" si="763"/>
        <v>0.13093994409276422</v>
      </c>
      <c r="BH278" s="456">
        <f t="shared" si="696"/>
        <v>7.4350941901490095E-2</v>
      </c>
      <c r="BI278">
        <f t="shared" si="697"/>
        <v>7.1727519300422826E-3</v>
      </c>
      <c r="BJ278" s="144">
        <f t="shared" si="698"/>
        <v>138.11269602280649</v>
      </c>
      <c r="BK278">
        <f t="shared" si="764"/>
        <v>2.488872199796214</v>
      </c>
      <c r="BL278" s="144">
        <f t="shared" si="699"/>
        <v>2493.0015021280924</v>
      </c>
      <c r="BM278" s="150">
        <f t="shared" si="765"/>
        <v>0.68781249999999994</v>
      </c>
      <c r="BN278" s="150">
        <f t="shared" si="766"/>
        <v>0.22009999999999999</v>
      </c>
      <c r="BQ278" s="144">
        <f t="shared" si="700"/>
        <v>907.91249999999991</v>
      </c>
      <c r="BR278" s="456">
        <f t="shared" si="701"/>
        <v>6.8624724697651213E-2</v>
      </c>
      <c r="BS278" s="456">
        <f t="shared" si="702"/>
        <v>3.8842029584695362E-2</v>
      </c>
      <c r="BT278" s="456">
        <f t="shared" si="703"/>
        <v>5.2724938595505371E-3</v>
      </c>
      <c r="BU278" s="456">
        <f t="shared" si="704"/>
        <v>39.06335182065213</v>
      </c>
      <c r="BV278" s="456"/>
      <c r="BW278" s="538">
        <f t="shared" si="705"/>
        <v>7.2528087333579364E-2</v>
      </c>
      <c r="BX278" s="144">
        <f t="shared" si="706"/>
        <v>39248.619156127614</v>
      </c>
      <c r="BY278" s="150">
        <f t="shared" si="707"/>
        <v>42.6495331582557</v>
      </c>
      <c r="BZ278" s="5">
        <f t="shared" si="708"/>
        <v>56.42</v>
      </c>
      <c r="CA278" s="150">
        <f t="shared" si="709"/>
        <v>0.56949899935304571</v>
      </c>
      <c r="CB278" s="5">
        <f t="shared" si="710"/>
        <v>56.949899935304572</v>
      </c>
      <c r="CC278">
        <f t="shared" si="711"/>
        <v>62</v>
      </c>
      <c r="CE278" s="59">
        <f t="shared" si="767"/>
        <v>-50</v>
      </c>
      <c r="CG278" s="150">
        <f t="shared" si="768"/>
        <v>0.63502377808469523</v>
      </c>
      <c r="CH278" s="150">
        <f t="shared" si="769"/>
        <v>0.17735551404972849</v>
      </c>
      <c r="CI278" s="147">
        <v>62</v>
      </c>
      <c r="CJ278" s="188">
        <f t="shared" si="712"/>
        <v>0.31</v>
      </c>
      <c r="CK278" s="188">
        <f t="shared" si="654"/>
        <v>0.31</v>
      </c>
      <c r="CL278" s="188">
        <f t="shared" si="655"/>
        <v>52.7</v>
      </c>
      <c r="CM278" s="188">
        <f t="shared" si="656"/>
        <v>3.7199999999999998</v>
      </c>
      <c r="CN278" s="465">
        <f t="shared" si="657"/>
        <v>16</v>
      </c>
      <c r="CO278" s="379">
        <f t="shared" si="770"/>
        <v>8.625</v>
      </c>
      <c r="CP278" s="379">
        <f t="shared" si="771"/>
        <v>24.625</v>
      </c>
      <c r="CQ278" s="379"/>
      <c r="CR278" s="188">
        <f t="shared" si="660"/>
        <v>0.34787038923986141</v>
      </c>
      <c r="CS278" s="149">
        <f t="shared" si="661"/>
        <v>173.29806936491266</v>
      </c>
      <c r="CT278" s="149">
        <f t="shared" si="662"/>
        <v>12.232804896346776</v>
      </c>
      <c r="CU278" s="188">
        <f t="shared" si="663"/>
        <v>1.0194004080288981</v>
      </c>
      <c r="CV278" s="188">
        <f t="shared" si="664"/>
        <v>14.441505780409388</v>
      </c>
      <c r="CW278" s="188">
        <f t="shared" si="665"/>
        <v>170</v>
      </c>
      <c r="CX278" s="188">
        <f t="shared" si="666"/>
        <v>20.273355301698889</v>
      </c>
      <c r="CY278" s="188">
        <f t="shared" si="667"/>
        <v>1.9006270595342707</v>
      </c>
      <c r="CZ278" s="188">
        <f t="shared" si="668"/>
        <v>3.5258009220345894</v>
      </c>
      <c r="DA278" s="172">
        <f t="shared" si="669"/>
        <v>280.20304568527916</v>
      </c>
      <c r="DB278" s="379">
        <f t="shared" si="670"/>
        <v>184.28328974355711</v>
      </c>
      <c r="DD278" s="188">
        <f t="shared" si="671"/>
        <v>13.333333333333332</v>
      </c>
      <c r="DE278" s="150">
        <f t="shared" si="672"/>
        <v>2.318840579710145</v>
      </c>
      <c r="DF278" s="150">
        <f t="shared" si="673"/>
        <v>0.20230192819025303</v>
      </c>
      <c r="DG278" s="150"/>
      <c r="DH278" s="150">
        <f t="shared" si="674"/>
        <v>2.3188405797101455</v>
      </c>
      <c r="DI278" s="314">
        <f t="shared" si="675"/>
        <v>429.37279411764695</v>
      </c>
      <c r="DJ278" s="456">
        <f t="shared" si="676"/>
        <v>0.20230192819025311</v>
      </c>
      <c r="DL278" s="150">
        <f t="shared" si="677"/>
        <v>14.660604807897023</v>
      </c>
      <c r="DM278" s="150">
        <f t="shared" si="678"/>
        <v>20.273355301698889</v>
      </c>
      <c r="DN278" s="150">
        <f t="shared" si="679"/>
        <v>6.3407570136041151</v>
      </c>
      <c r="DP278" s="314">
        <f t="shared" si="680"/>
        <v>310</v>
      </c>
      <c r="DQ278" s="144">
        <f t="shared" si="681"/>
        <v>184.28328974355711</v>
      </c>
      <c r="DS278">
        <f t="shared" si="682"/>
        <v>310</v>
      </c>
      <c r="DT278">
        <f t="shared" si="683"/>
        <v>184.28328974355711</v>
      </c>
      <c r="DV278" s="5">
        <f t="shared" si="684"/>
        <v>5.4264279815688603</v>
      </c>
      <c r="DW278" s="5">
        <f t="shared" si="685"/>
        <v>1.9006270595342707</v>
      </c>
      <c r="DX278" s="5">
        <f t="shared" si="686"/>
        <v>3.5258009220345894</v>
      </c>
      <c r="DY278" s="150">
        <f t="shared" si="687"/>
        <v>0.35025380710659892</v>
      </c>
      <c r="EA278" s="5">
        <f t="shared" si="713"/>
        <v>0.34658493438566113</v>
      </c>
      <c r="EB278" s="5">
        <f t="shared" si="714"/>
        <v>4.9099532371301988</v>
      </c>
      <c r="EC278" s="5">
        <f t="shared" si="715"/>
        <v>19.355177978252378</v>
      </c>
      <c r="ED278" s="5"/>
      <c r="EE278" s="150">
        <f t="shared" si="716"/>
        <v>6.9271794237084556</v>
      </c>
      <c r="EF278" s="150">
        <f t="shared" si="717"/>
        <v>0.44064050246540931</v>
      </c>
      <c r="EG278" s="150">
        <f t="shared" si="718"/>
        <v>0.41917547798869365</v>
      </c>
      <c r="EH278" s="150"/>
      <c r="EI278" s="456">
        <f t="shared" si="719"/>
        <v>0.16315177021204935</v>
      </c>
      <c r="EJ278" s="456">
        <f t="shared" si="720"/>
        <v>2.7968000000000002</v>
      </c>
      <c r="EK278" s="456">
        <f t="shared" si="721"/>
        <v>4.2200873351274579E-2</v>
      </c>
      <c r="EL278" s="456">
        <f t="shared" si="722"/>
        <v>7.6547146582586392E-2</v>
      </c>
      <c r="EM278">
        <f t="shared" si="723"/>
        <v>7.1999999999999998E-3</v>
      </c>
      <c r="EN278" s="144">
        <f t="shared" si="724"/>
        <v>49.400873351274576</v>
      </c>
      <c r="EP278" s="144">
        <f t="shared" si="725"/>
        <v>3085.8997901459106</v>
      </c>
      <c r="EQ278" s="150">
        <f t="shared" si="726"/>
        <v>0.77500000000000002</v>
      </c>
      <c r="ER278" s="150">
        <f t="shared" si="772"/>
        <v>0.22009999999999999</v>
      </c>
      <c r="ES278" s="456"/>
      <c r="EU278" s="144">
        <f t="shared" si="727"/>
        <v>995.1</v>
      </c>
      <c r="EV278" s="456">
        <f t="shared" si="728"/>
        <v>7.1978722152374719E-2</v>
      </c>
      <c r="EW278" s="456">
        <f t="shared" si="729"/>
        <v>3.8832810482593683E-2</v>
      </c>
      <c r="EX278" s="456">
        <f t="shared" si="730"/>
        <v>5.2712424404114935E-3</v>
      </c>
      <c r="EY278" s="456">
        <f t="shared" si="731"/>
        <v>42.657851179101598</v>
      </c>
      <c r="EZ278" s="456"/>
      <c r="FA278" s="538">
        <f t="shared" si="732"/>
        <v>7.5742078690611073E-2</v>
      </c>
      <c r="FB278" s="144">
        <f t="shared" si="733"/>
        <v>42849.676032867588</v>
      </c>
      <c r="FC278" s="150">
        <f t="shared" si="734"/>
        <v>46.930675823013502</v>
      </c>
      <c r="FD278" s="5">
        <f t="shared" si="735"/>
        <v>56.42</v>
      </c>
      <c r="FE278" s="150">
        <f t="shared" si="736"/>
        <v>0.54590837989892216</v>
      </c>
      <c r="FF278" s="5">
        <f t="shared" si="737"/>
        <v>54.590837989892215</v>
      </c>
      <c r="FG278">
        <f t="shared" si="738"/>
        <v>62</v>
      </c>
      <c r="FI278" s="59">
        <f t="shared" si="689"/>
        <v>-50</v>
      </c>
    </row>
    <row r="279" spans="5:165">
      <c r="E279" s="147">
        <v>63</v>
      </c>
      <c r="F279" s="188">
        <f t="shared" si="773"/>
        <v>0.315</v>
      </c>
      <c r="G279" s="188">
        <f t="shared" si="742"/>
        <v>0.315</v>
      </c>
      <c r="H279" s="188">
        <f t="shared" si="743"/>
        <v>53.55</v>
      </c>
      <c r="I279" s="188">
        <f t="shared" si="744"/>
        <v>3.7800000000000002</v>
      </c>
      <c r="J279" s="465">
        <f t="shared" si="745"/>
        <v>15.938472100095478</v>
      </c>
      <c r="K279" s="379">
        <f t="shared" si="746"/>
        <v>8.6609034553583992</v>
      </c>
      <c r="L279" s="149">
        <f t="shared" si="747"/>
        <v>24.599375555453875</v>
      </c>
      <c r="M279" s="379"/>
      <c r="N279" s="188">
        <f t="shared" si="748"/>
        <v>0.35207818327885193</v>
      </c>
      <c r="O279" s="149">
        <f t="shared" si="749"/>
        <v>174.71978227311141</v>
      </c>
      <c r="P279" s="149">
        <f t="shared" si="750"/>
        <v>12.333161101631394</v>
      </c>
      <c r="Q279" s="188">
        <f t="shared" si="626"/>
        <v>1.0277634251359495</v>
      </c>
      <c r="R279" s="188">
        <f t="shared" si="751"/>
        <v>14.559981856092618</v>
      </c>
      <c r="S279" s="188">
        <f t="shared" si="752"/>
        <v>170</v>
      </c>
      <c r="T279" s="188">
        <f t="shared" si="753"/>
        <v>20.43271776987217</v>
      </c>
      <c r="U279" s="188">
        <f t="shared" si="630"/>
        <v>1.9229620293795076</v>
      </c>
      <c r="V279" s="188">
        <f t="shared" si="631"/>
        <v>3.5387851640172752</v>
      </c>
      <c r="W279" s="172">
        <f t="shared" si="632"/>
        <v>280.57941506211415</v>
      </c>
      <c r="X279" s="379">
        <f t="shared" si="691"/>
        <v>176.62392294136447</v>
      </c>
      <c r="Z279" s="188">
        <f t="shared" si="633"/>
        <v>13.333333333333334</v>
      </c>
      <c r="AA279" s="150">
        <f t="shared" si="634"/>
        <v>2.3092279117401122</v>
      </c>
      <c r="AB279" s="150">
        <f t="shared" si="754"/>
        <v>0.20173389897911206</v>
      </c>
      <c r="AC279" s="150"/>
      <c r="AD279" s="150">
        <f t="shared" si="636"/>
        <v>2.3092279117401122</v>
      </c>
      <c r="AE279" s="314">
        <f t="shared" si="755"/>
        <v>438.11434861385032</v>
      </c>
      <c r="AF279" s="456">
        <f t="shared" si="756"/>
        <v>0.20173389897911206</v>
      </c>
      <c r="AH279" s="150">
        <f t="shared" si="757"/>
        <v>14.778362561528931</v>
      </c>
      <c r="AI279" s="150">
        <f t="shared" si="758"/>
        <v>20.43271776987217</v>
      </c>
      <c r="AJ279" s="150">
        <f t="shared" si="759"/>
        <v>6.4588032863250637</v>
      </c>
      <c r="AL279" s="314">
        <f t="shared" si="760"/>
        <v>315</v>
      </c>
      <c r="AM279" s="144">
        <f t="shared" si="761"/>
        <v>176.62392294136447</v>
      </c>
      <c r="AO279">
        <f t="shared" si="644"/>
        <v>315</v>
      </c>
      <c r="AP279">
        <f t="shared" si="645"/>
        <v>176.62392294136447</v>
      </c>
      <c r="AR279" s="5">
        <f t="shared" si="774"/>
        <v>5.6617471933967831</v>
      </c>
      <c r="AS279" s="5">
        <f t="shared" si="739"/>
        <v>1.9229620293795076</v>
      </c>
      <c r="AT279" s="5">
        <f t="shared" si="740"/>
        <v>3.7387851640172753</v>
      </c>
      <c r="AU279" s="150">
        <f t="shared" si="741"/>
        <v>0.33964109729629599</v>
      </c>
      <c r="BA279" s="150">
        <f t="shared" si="692"/>
        <v>6.8750462890636532</v>
      </c>
      <c r="BB279" s="150">
        <f t="shared" si="693"/>
        <v>0.44771646415335709</v>
      </c>
      <c r="BC279" s="150">
        <f t="shared" si="694"/>
        <v>0.42590674669000422</v>
      </c>
      <c r="BD279" s="150"/>
      <c r="BE279" s="456">
        <f t="shared" si="695"/>
        <v>0.16070528902101089</v>
      </c>
      <c r="BF279" s="456">
        <f t="shared" si="762"/>
        <v>2.1262056282008084</v>
      </c>
      <c r="BG279" s="456">
        <f t="shared" si="763"/>
        <v>0.12893228843487409</v>
      </c>
      <c r="BH279" s="456">
        <f t="shared" si="696"/>
        <v>7.3213010238332543E-2</v>
      </c>
      <c r="BI279">
        <f t="shared" si="697"/>
        <v>7.1723124450429644E-3</v>
      </c>
      <c r="BJ279" s="144">
        <f t="shared" si="698"/>
        <v>136.10460087991706</v>
      </c>
      <c r="BK279">
        <f t="shared" si="764"/>
        <v>2.4989325376435749</v>
      </c>
      <c r="BL279" s="144">
        <f t="shared" si="699"/>
        <v>2496.2285283400684</v>
      </c>
      <c r="BM279" s="150">
        <f t="shared" si="765"/>
        <v>0.69890624999999995</v>
      </c>
      <c r="BN279" s="150">
        <f t="shared" si="766"/>
        <v>0.22364999999999999</v>
      </c>
      <c r="BQ279" s="144">
        <f t="shared" si="700"/>
        <v>922.55624999999998</v>
      </c>
      <c r="BR279" s="456">
        <f t="shared" si="701"/>
        <v>7.089939221515186E-2</v>
      </c>
      <c r="BS279" s="456">
        <f t="shared" si="702"/>
        <v>4.0090006454796857E-2</v>
      </c>
      <c r="BT279" s="456">
        <f t="shared" si="703"/>
        <v>5.4418967062819026E-3</v>
      </c>
      <c r="BU279" s="456">
        <f t="shared" si="704"/>
        <v>39.120929177639546</v>
      </c>
      <c r="BV279" s="456"/>
      <c r="BW279" s="538">
        <f t="shared" si="705"/>
        <v>7.3739773466072397E-2</v>
      </c>
      <c r="BX279" s="144">
        <f t="shared" si="706"/>
        <v>39311.100246481852</v>
      </c>
      <c r="BY279" s="150">
        <f t="shared" si="707"/>
        <v>42.729885024821918</v>
      </c>
      <c r="BZ279" s="5">
        <f t="shared" si="708"/>
        <v>57.33</v>
      </c>
      <c r="CA279" s="150">
        <f t="shared" si="709"/>
        <v>0.572956884627422</v>
      </c>
      <c r="CB279" s="5">
        <f t="shared" si="710"/>
        <v>57.295688462742199</v>
      </c>
      <c r="CC279">
        <f t="shared" si="711"/>
        <v>63</v>
      </c>
      <c r="CE279" s="59">
        <f t="shared" si="767"/>
        <v>-50</v>
      </c>
      <c r="CG279" s="150">
        <f t="shared" si="768"/>
        <v>0.63502377808469523</v>
      </c>
      <c r="CH279" s="150">
        <f t="shared" si="769"/>
        <v>0.17735551404972849</v>
      </c>
      <c r="CI279" s="147">
        <v>63</v>
      </c>
      <c r="CJ279" s="188">
        <f t="shared" si="712"/>
        <v>0.315</v>
      </c>
      <c r="CK279" s="188">
        <f t="shared" si="654"/>
        <v>0.315</v>
      </c>
      <c r="CL279" s="188">
        <f t="shared" si="655"/>
        <v>53.55</v>
      </c>
      <c r="CM279" s="188">
        <f t="shared" si="656"/>
        <v>3.7800000000000002</v>
      </c>
      <c r="CN279" s="465">
        <f t="shared" si="657"/>
        <v>16</v>
      </c>
      <c r="CO279" s="379">
        <f t="shared" si="770"/>
        <v>8.625</v>
      </c>
      <c r="CP279" s="379">
        <f t="shared" si="771"/>
        <v>24.625</v>
      </c>
      <c r="CQ279" s="379"/>
      <c r="CR279" s="188">
        <f t="shared" si="660"/>
        <v>0.34787038923986141</v>
      </c>
      <c r="CS279" s="149">
        <f t="shared" si="661"/>
        <v>173.29806936491266</v>
      </c>
      <c r="CT279" s="149">
        <f t="shared" si="662"/>
        <v>12.232804896346776</v>
      </c>
      <c r="CU279" s="188">
        <f t="shared" si="663"/>
        <v>1.0194004080288981</v>
      </c>
      <c r="CV279" s="188">
        <f t="shared" si="664"/>
        <v>14.441505780409388</v>
      </c>
      <c r="CW279" s="188">
        <f t="shared" si="665"/>
        <v>170</v>
      </c>
      <c r="CX279" s="188">
        <f t="shared" si="666"/>
        <v>20.600344903339192</v>
      </c>
      <c r="CY279" s="188">
        <f t="shared" si="667"/>
        <v>1.9312823346880492</v>
      </c>
      <c r="CZ279" s="188">
        <f t="shared" si="668"/>
        <v>3.5826686788415985</v>
      </c>
      <c r="DA279" s="172">
        <f t="shared" si="669"/>
        <v>280.20304568527916</v>
      </c>
      <c r="DB279" s="379">
        <f t="shared" si="670"/>
        <v>181.35815816032607</v>
      </c>
      <c r="DD279" s="188">
        <f t="shared" si="671"/>
        <v>13.333333333333332</v>
      </c>
      <c r="DE279" s="150">
        <f t="shared" si="672"/>
        <v>2.318840579710145</v>
      </c>
      <c r="DF279" s="150">
        <f t="shared" si="673"/>
        <v>0.20230192819025303</v>
      </c>
      <c r="DG279" s="150"/>
      <c r="DH279" s="150">
        <f t="shared" si="674"/>
        <v>2.3188405797101455</v>
      </c>
      <c r="DI279" s="314">
        <f t="shared" si="675"/>
        <v>436.29816176470581</v>
      </c>
      <c r="DJ279" s="456">
        <f t="shared" si="676"/>
        <v>0.20230192819025311</v>
      </c>
      <c r="DL279" s="150">
        <f t="shared" si="677"/>
        <v>14.778362561528931</v>
      </c>
      <c r="DM279" s="150">
        <f t="shared" si="678"/>
        <v>20.600344903339192</v>
      </c>
      <c r="DN279" s="150">
        <f t="shared" si="679"/>
        <v>6.5829715333376724</v>
      </c>
      <c r="DP279" s="314">
        <f t="shared" si="680"/>
        <v>315</v>
      </c>
      <c r="DQ279" s="144">
        <f t="shared" si="681"/>
        <v>181.35815816032607</v>
      </c>
      <c r="DS279">
        <f t="shared" si="682"/>
        <v>315</v>
      </c>
      <c r="DT279">
        <f t="shared" si="683"/>
        <v>181.35815816032607</v>
      </c>
      <c r="DV279" s="5">
        <f t="shared" si="684"/>
        <v>5.5139510135296472</v>
      </c>
      <c r="DW279" s="5">
        <f t="shared" si="685"/>
        <v>1.9312823346880492</v>
      </c>
      <c r="DX279" s="5">
        <f t="shared" si="686"/>
        <v>3.582668678841598</v>
      </c>
      <c r="DY279" s="150">
        <f t="shared" si="687"/>
        <v>0.35025380710659904</v>
      </c>
      <c r="EA279" s="5">
        <f t="shared" si="713"/>
        <v>0.35785525613337388</v>
      </c>
      <c r="EB279" s="5">
        <f t="shared" si="714"/>
        <v>5.0696161285561292</v>
      </c>
      <c r="EC279" s="5">
        <f t="shared" si="715"/>
        <v>19.984573724163283</v>
      </c>
      <c r="ED279" s="5"/>
      <c r="EE279" s="150">
        <f t="shared" si="716"/>
        <v>7.0389081240908506</v>
      </c>
      <c r="EF279" s="150">
        <f t="shared" si="717"/>
        <v>0.44774760734388358</v>
      </c>
      <c r="EG279" s="150">
        <f t="shared" si="718"/>
        <v>0.42593637279496283</v>
      </c>
      <c r="EH279" s="150"/>
      <c r="EI279" s="456">
        <f t="shared" si="719"/>
        <v>0.16845717376993341</v>
      </c>
      <c r="EJ279" s="456">
        <f t="shared" si="720"/>
        <v>2.7968000000000006</v>
      </c>
      <c r="EK279" s="456">
        <f t="shared" si="721"/>
        <v>4.1531018218714667E-2</v>
      </c>
      <c r="EL279" s="456">
        <f t="shared" si="722"/>
        <v>7.5332112509846935E-2</v>
      </c>
      <c r="EM279">
        <f t="shared" si="723"/>
        <v>7.1999999999999998E-3</v>
      </c>
      <c r="EN279" s="144">
        <f t="shared" si="724"/>
        <v>48.731018218714667</v>
      </c>
      <c r="EP279" s="144">
        <f t="shared" si="725"/>
        <v>3089.3203044984953</v>
      </c>
      <c r="EQ279" s="150">
        <f t="shared" si="726"/>
        <v>0.78749999999999998</v>
      </c>
      <c r="ER279" s="150">
        <f t="shared" si="772"/>
        <v>0.22364999999999999</v>
      </c>
      <c r="ES279" s="456"/>
      <c r="EU279" s="144">
        <f t="shared" si="727"/>
        <v>1011.15</v>
      </c>
      <c r="EV279" s="456">
        <f t="shared" si="728"/>
        <v>7.4319341369088271E-2</v>
      </c>
      <c r="EW279" s="456">
        <f t="shared" si="729"/>
        <v>4.0095583976434514E-2</v>
      </c>
      <c r="EX279" s="456">
        <f t="shared" si="730"/>
        <v>5.4426538100918864E-3</v>
      </c>
      <c r="EY279" s="456">
        <f t="shared" si="731"/>
        <v>42.657851179101641</v>
      </c>
      <c r="EZ279" s="456"/>
      <c r="FA279" s="538">
        <f t="shared" si="732"/>
        <v>7.6963725121104803E-2</v>
      </c>
      <c r="FB279" s="144">
        <f t="shared" si="733"/>
        <v>42854.672483378359</v>
      </c>
      <c r="FC279" s="150">
        <f t="shared" si="734"/>
        <v>46.955142787876852</v>
      </c>
      <c r="FD279" s="5">
        <f t="shared" si="735"/>
        <v>57.33</v>
      </c>
      <c r="FE279" s="150">
        <f t="shared" si="736"/>
        <v>0.54974273868151247</v>
      </c>
      <c r="FF279" s="5">
        <f t="shared" si="737"/>
        <v>54.974273868151244</v>
      </c>
      <c r="FG279">
        <f t="shared" si="738"/>
        <v>63</v>
      </c>
      <c r="FI279" s="59">
        <f t="shared" si="689"/>
        <v>-50</v>
      </c>
    </row>
    <row r="280" spans="5:165">
      <c r="E280" s="147">
        <v>64</v>
      </c>
      <c r="F280" s="188">
        <f t="shared" si="773"/>
        <v>0.32</v>
      </c>
      <c r="G280" s="188">
        <f t="shared" ref="G280:G316" si="775">IF(PLOT_TYPE=1, E280/100*Iout2, min_I*EXP(Q280*rr/100))</f>
        <v>0.32</v>
      </c>
      <c r="H280" s="188">
        <f t="shared" ref="H280:H316" si="776">F280*Vout</f>
        <v>54.4</v>
      </c>
      <c r="I280" s="188">
        <f t="shared" ref="I280:I316" si="777">Vout2*G280</f>
        <v>3.84</v>
      </c>
      <c r="J280" s="465">
        <f t="shared" ref="J280:J316" si="778">VIN_max-(F280/CG280/Nps+G280/CH280/(Nps/Nsec1sec2))*(Rdcr_pri+RON/1000)</f>
        <v>15.937495466763659</v>
      </c>
      <c r="K280" s="379">
        <f t="shared" ref="K280:K316" si="779">MAX((S280+Vfwd2+Rdcr_sec*F280/CG280)*Nps,(Vout2+Vfwd22+Rdcr_sec2*G280/CH280)*Nps/Nsec1sec2)</f>
        <v>8.6614733514752</v>
      </c>
      <c r="L280" s="149">
        <f t="shared" ref="L280:L316" si="780">MAX((Vout+Vfwd2+F280/CG280*Rdcr_sec)*Nps+J280, (Vout2+Vfwd22+G280/CH280*Rdcr_sec2)*Nps/Nsec1sec2+J280)</f>
        <v>24.598968818238859</v>
      </c>
      <c r="M280" s="379"/>
      <c r="N280" s="188">
        <f t="shared" ref="N280:N316" si="781">MAX((Vout+Vfwd2+F280/CG280*Rdcr_sec)*Nps/((Vout+Vfwd2+F280/CG280*Rdcr_sec)*Nps+J280), (Vout2+Vfwd22+G280/CH280*Rdcr_sec2)*Nps/Nsec1sec2/((Vout2+Vfwd22+G280/CH280*Rdcr_sec2)*Nps/Nsec1sec2+J280))</f>
        <v>0.35210717227517141</v>
      </c>
      <c r="O280" s="149">
        <f t="shared" ref="O280:O311" si="782">N280*J280*Isw_max*0.5*Efficiency*Pout/(Pout+Pout2)</f>
        <v>174.72346126952155</v>
      </c>
      <c r="P280" s="149">
        <f t="shared" ref="P280:P316" si="783">N280*J280*Isw_max*0.5*Efficiency*(Pout2/Pout_total)</f>
        <v>12.333420795495639</v>
      </c>
      <c r="Q280" s="188">
        <f t="shared" ref="Q280:Q316" si="784">O280/Vout</f>
        <v>1.0277850662913033</v>
      </c>
      <c r="R280" s="188">
        <f t="shared" ref="R280:R316" si="785">O280/Vout2</f>
        <v>14.560288439126795</v>
      </c>
      <c r="S280" s="188">
        <f t="shared" ref="S280:S316" si="786">MIN(Vout,O280/F280)</f>
        <v>170</v>
      </c>
      <c r="T280" s="188">
        <f t="shared" ref="T280:T316" si="787">MIN(2*(Vout*F280+Vout2*G280)/(Efficiency*J280*N280), Isw_max)</f>
        <v>20.756609560706409</v>
      </c>
      <c r="U280" s="188">
        <f t="shared" ref="U280:U316" si="788">L*T280/J280*1000000</f>
        <v>1.9535638084408513</v>
      </c>
      <c r="V280" s="188">
        <f t="shared" ref="V280:V316" si="789">L*T280/K280*1000000</f>
        <v>3.5946441301186707</v>
      </c>
      <c r="W280" s="172">
        <f t="shared" ref="W280:W316" si="790">IF(1/((350000*L)*(1/J280+1/K280))&gt;Isw_min, 350, 0.001/((Isw_min*L)*(1/J280+1/K280)))</f>
        <v>280.58532309752576</v>
      </c>
      <c r="X280" s="379">
        <f t="shared" si="691"/>
        <v>173.96726261273628</v>
      </c>
      <c r="Z280" s="188">
        <f t="shared" ref="Z280:Z316" si="791">1/((W280*1000*L)*(1/J280+1/K280))</f>
        <v>13.333333333333334</v>
      </c>
      <c r="AA280" s="150">
        <f t="shared" ref="AA280:AA316" si="792">L*Z280/K280*1000000</f>
        <v>2.3090759722297882</v>
      </c>
      <c r="AB280" s="150">
        <f t="shared" ref="AB280:AB311" si="793">0.5*AA280*Z280*Nps*W280/1000*(Pout/(Pout+Pout2))</f>
        <v>0.20172487310113713</v>
      </c>
      <c r="AC280" s="150"/>
      <c r="AD280" s="150">
        <f t="shared" ref="AD280:AD316" si="794">L*Isw_min/K280*1000000</f>
        <v>2.3090759722297882</v>
      </c>
      <c r="AE280" s="314">
        <f t="shared" ref="AE280:AE311" si="795">MAX(10, F280/(0.5*AD280/1000000*Isw_min*Nps)/1000*Pout_total/Pout)</f>
        <v>445.09783057933726</v>
      </c>
      <c r="AF280" s="456">
        <f t="shared" ref="AF280:AF316" si="796">0.5*AD280/1000000*Isw_min*Nps*W280*1000*(Pout/Pout_total)</f>
        <v>0.20172487310113713</v>
      </c>
      <c r="AH280" s="150">
        <f t="shared" ref="AH280:AH315" si="797">SQRT((H280+I280)/(0.5*L*Fsw_DCM))</f>
        <v>14.895189380020204</v>
      </c>
      <c r="AI280" s="150">
        <f t="shared" ref="AI280:AI311" si="798">MAX(IF(F280&gt;AB280,T280,AH280),Isw_min)</f>
        <v>20.756609560706409</v>
      </c>
      <c r="AJ280" s="150">
        <f t="shared" ref="AJ280:AJ311" si="799">IF(F280&gt;AF280, (AI280-Isw_min)/1.08*0.8+1.2, AE280*0.2/350+1)</f>
        <v>6.6987231313874629</v>
      </c>
      <c r="AL280" s="314">
        <f t="shared" ref="AL280:AL316" si="800">F280*1000</f>
        <v>320</v>
      </c>
      <c r="AM280" s="144">
        <f t="shared" ref="AM280:AM316" si="801">IF(F280&gt;AF280, X280, AE280)</f>
        <v>173.96726261273628</v>
      </c>
      <c r="AO280">
        <f t="shared" ref="AO280:AO316" si="802">IF(H280&gt;O280, "",AL280)</f>
        <v>320</v>
      </c>
      <c r="AP280">
        <f t="shared" ref="AP280:AP316" si="803">IF(H280&gt;O280, "",AM280)</f>
        <v>173.96726261273628</v>
      </c>
      <c r="AR280" s="5">
        <f t="shared" si="774"/>
        <v>5.7482079385595233</v>
      </c>
      <c r="AS280" s="5">
        <f t="shared" si="739"/>
        <v>1.9535638084408513</v>
      </c>
      <c r="AT280" s="5">
        <f t="shared" si="740"/>
        <v>3.7946441301186722</v>
      </c>
      <c r="AU280" s="150">
        <f t="shared" si="741"/>
        <v>0.3398561480937668</v>
      </c>
      <c r="BA280" s="150">
        <f t="shared" si="692"/>
        <v>6.9862376392001799</v>
      </c>
      <c r="BB280" s="150">
        <f t="shared" si="693"/>
        <v>0.45473943515818327</v>
      </c>
      <c r="BC280" s="150">
        <f t="shared" si="694"/>
        <v>0.43258760605580854</v>
      </c>
      <c r="BD280" s="150"/>
      <c r="BE280" s="456">
        <f t="shared" si="695"/>
        <v>0.16594555559468283</v>
      </c>
      <c r="BF280" s="456">
        <f t="shared" ref="BF280:BF316" si="804">0.5*L280*AI280*AM280*1000*Tfall</f>
        <v>2.1273863373921116</v>
      </c>
      <c r="BG280" s="456">
        <f t="shared" ref="BG280:BG316" si="805">Qg*Vdd*AM280*1000*0+Qg*J280*AM280*1000</f>
        <v>0.12698519263391414</v>
      </c>
      <c r="BH280" s="456">
        <f t="shared" si="696"/>
        <v>7.2109403882237244E-2</v>
      </c>
      <c r="BI280">
        <f t="shared" si="697"/>
        <v>7.1718729600436463E-3</v>
      </c>
      <c r="BJ280" s="144">
        <f t="shared" si="698"/>
        <v>134.15706559395778</v>
      </c>
      <c r="BK280">
        <f t="shared" ref="BK280:BK316" si="806">(BF280+BG280*0+BH280+BI280*0+BE280*(1+RdsonTC*(Ta-25)))/(1-BE280*RdsonTC*ThetaJA)</f>
        <v>2.5091802207420053</v>
      </c>
      <c r="BL280" s="144">
        <f t="shared" si="699"/>
        <v>2499.5983624629898</v>
      </c>
      <c r="BM280" s="150">
        <f t="shared" ref="BM280:BM316" si="807">Vfwd2*F280*(1+Diode_TC/1000*(Ta-25))</f>
        <v>0.71</v>
      </c>
      <c r="BN280" s="150">
        <f t="shared" ref="BN280:BN316" si="808">Vfwd22*G280*(1+Diode_TC/1000*(Ta-25))</f>
        <v>0.22719999999999999</v>
      </c>
      <c r="BQ280" s="144">
        <f t="shared" si="700"/>
        <v>937.19999999999993</v>
      </c>
      <c r="BR280" s="456">
        <f t="shared" si="701"/>
        <v>7.3211274527065953E-2</v>
      </c>
      <c r="BS280" s="456">
        <f t="shared" si="702"/>
        <v>4.1357590777596716E-2</v>
      </c>
      <c r="BT280" s="456">
        <f t="shared" si="703"/>
        <v>5.6139611073928617E-3</v>
      </c>
      <c r="BU280" s="456">
        <f t="shared" si="704"/>
        <v>39.176882081434336</v>
      </c>
      <c r="BV280" s="456"/>
      <c r="BW280" s="538">
        <f t="shared" si="705"/>
        <v>7.4951505766782445E-2</v>
      </c>
      <c r="BX280" s="144">
        <f t="shared" si="706"/>
        <v>39372.016413613172</v>
      </c>
      <c r="BY280" s="150">
        <f t="shared" si="707"/>
        <v>42.808814776076161</v>
      </c>
      <c r="BZ280" s="5">
        <f t="shared" si="708"/>
        <v>58.239999999999995</v>
      </c>
      <c r="CA280" s="150">
        <f t="shared" si="709"/>
        <v>0.57635510252207955</v>
      </c>
      <c r="CB280" s="5">
        <f t="shared" si="710"/>
        <v>57.635510252207958</v>
      </c>
      <c r="CC280">
        <f t="shared" si="711"/>
        <v>64</v>
      </c>
      <c r="CE280" s="59">
        <f t="shared" ref="CE280:CE316" si="809">IF(ABS(F280-Ioutmax_Vinmax)&lt;Iout/200, AM280, -50)</f>
        <v>-50</v>
      </c>
      <c r="CG280" s="150">
        <f t="shared" ref="CG280:CG316" si="810">MIN(SQRT(2*DT280*1000*Ls1_*CL280)/CW280, 1-DY280)</f>
        <v>0.63502377808469523</v>
      </c>
      <c r="CH280" s="150">
        <f t="shared" ref="CH280:CH316" si="811">MIN(SQRT(2*DT280*1000*Ls2_*CM280)/Vout2, 1-DY280)</f>
        <v>0.17735551404972849</v>
      </c>
      <c r="CI280" s="147">
        <v>64</v>
      </c>
      <c r="CJ280" s="188">
        <f t="shared" si="712"/>
        <v>0.32</v>
      </c>
      <c r="CK280" s="188">
        <f t="shared" ref="CK280:CK316" si="812">IF(PLOT_TYPE=1, CI280/100*Iout2, min_I*EXP(CU280*rr/100))</f>
        <v>0.32</v>
      </c>
      <c r="CL280" s="188">
        <f t="shared" ref="CL280:CL316" si="813">CJ280*Vout</f>
        <v>54.4</v>
      </c>
      <c r="CM280" s="188">
        <f t="shared" ref="CM280:CM316" si="814">Vout2*CK280</f>
        <v>3.84</v>
      </c>
      <c r="CN280" s="465">
        <f t="shared" ref="CN280:CN316" si="815">VIN_max</f>
        <v>16</v>
      </c>
      <c r="CO280" s="379">
        <f t="shared" ref="CO280:CO316" si="816">(CW280+Vfwd2)*Nps</f>
        <v>8.625</v>
      </c>
      <c r="CP280" s="379">
        <f t="shared" ref="CP280:CP316" si="817">(Vout+Vfwd2)*Nps+CN280</f>
        <v>24.625</v>
      </c>
      <c r="CQ280" s="379"/>
      <c r="CR280" s="188">
        <f t="shared" ref="CR280:CR316" si="818">(Vout+Vfwd1)*Nps/((Vout+Vfwd1)*Nps+CN280)</f>
        <v>0.34787038923986141</v>
      </c>
      <c r="CS280" s="149">
        <f t="shared" ref="CS280:CS316" si="819">CR280*CN280*Isw_max*0.5*Efficiency*Pout/(Pout+Pout2)</f>
        <v>173.29806936491266</v>
      </c>
      <c r="CT280" s="149">
        <f t="shared" ref="CT280:CT316" si="820">CR280*CN280*Isw_max*0.5*Efficiency*(Pout2/Pout_total)</f>
        <v>12.232804896346776</v>
      </c>
      <c r="CU280" s="188">
        <f t="shared" ref="CU280:CU316" si="821">CS280/Vout</f>
        <v>1.0194004080288981</v>
      </c>
      <c r="CV280" s="188">
        <f t="shared" ref="CV280:CV316" si="822">CS280/Vout2</f>
        <v>14.441505780409388</v>
      </c>
      <c r="CW280" s="188">
        <f t="shared" ref="CW280:CW316" si="823">MIN(Vout,CS280/CJ280)</f>
        <v>170</v>
      </c>
      <c r="CX280" s="188">
        <f t="shared" ref="CX280:CX316" si="824">MIN(2*(Vout*CJ280+Vout2*CK280)/(Efficiency*CN280*CR280), Isw_max)</f>
        <v>20.927334504979495</v>
      </c>
      <c r="CY280" s="188">
        <f t="shared" ref="CY280:CY316" si="825">L*CX280/CN280*1000000</f>
        <v>1.9619376098418277</v>
      </c>
      <c r="CZ280" s="188">
        <f t="shared" ref="CZ280:CZ316" si="826">L*CX280/CO280*1000000</f>
        <v>3.639536435648608</v>
      </c>
      <c r="DA280" s="172">
        <f t="shared" ref="DA280:DA316" si="827">IF(1/((350000*L)*(1/CN280+1/CO280))&gt;Isw_min, 350, 0.001/((Isw_min*L)*(1/CN280+1/CO280)))</f>
        <v>280.20304568527916</v>
      </c>
      <c r="DB280" s="379">
        <f t="shared" ref="DB280:DB316" si="828">MIN(1/(CY280+CZ280)*1000, 350)</f>
        <v>178.52443693907097</v>
      </c>
      <c r="DD280" s="188">
        <f t="shared" ref="DD280:DD316" si="829">1/((DA280*1000*L)*(1/CN280+1/CO280))</f>
        <v>13.333333333333332</v>
      </c>
      <c r="DE280" s="150">
        <f t="shared" ref="DE280:DE316" si="830">L*DD280/CO280*1000000</f>
        <v>2.318840579710145</v>
      </c>
      <c r="DF280" s="150">
        <f t="shared" ref="DF280:DF316" si="831">0.5*DE280*DD280*Nps*DA280/1000*(Pout/(Pout+Pout2))</f>
        <v>0.20230192819025303</v>
      </c>
      <c r="DG280" s="150"/>
      <c r="DH280" s="150">
        <f t="shared" ref="DH280:DH316" si="832">L*Isw_min/CO280*1000000</f>
        <v>2.3188405797101455</v>
      </c>
      <c r="DI280" s="314">
        <f t="shared" ref="DI280:DI316" si="833">MAX(10, CJ280/(0.5*DH280/1000000*Isw_min*Nps)/1000*Pout_total/Pout)</f>
        <v>443.22352941176462</v>
      </c>
      <c r="DJ280" s="456">
        <f t="shared" ref="DJ280:DJ316" si="834">0.5*DH280/1000000*Isw_min*Nps*DA280*1000*(Pout/Pout_total)</f>
        <v>0.20230192819025311</v>
      </c>
      <c r="DL280" s="150">
        <f t="shared" ref="DL280:DL316" si="835">SQRT((CL280+CM280)/(0.5*L*Fsw_DCM))</f>
        <v>14.895189380020204</v>
      </c>
      <c r="DM280" s="150">
        <f t="shared" ref="DM280:DM316" si="836">MAX(IF(CJ280&gt;DF280,CX280,DL280),Isw_min)</f>
        <v>20.927334504979495</v>
      </c>
      <c r="DN280" s="150">
        <f t="shared" ref="DN280:DN316" si="837">IF(CJ280&gt;DJ280, (DM280-Isw_min)/1.08*0.8+1.2, DI280*0.2/350+1)</f>
        <v>6.8251860530712305</v>
      </c>
      <c r="DP280" s="314">
        <f t="shared" ref="DP280:DP316" si="838">CJ280*1000</f>
        <v>320</v>
      </c>
      <c r="DQ280" s="144">
        <f t="shared" ref="DQ280:DQ316" si="839">IF(CJ280&gt;DJ280, DB280, DI280)</f>
        <v>178.52443693907097</v>
      </c>
      <c r="DS280">
        <f t="shared" ref="DS280:DS316" si="840">IF(CL280&gt;CS280, "",DP280)</f>
        <v>320</v>
      </c>
      <c r="DT280">
        <f t="shared" ref="DT280:DT316" si="841">IF(CL280&gt;CS280, "",DQ280)</f>
        <v>178.52443693907097</v>
      </c>
      <c r="DV280" s="5">
        <f t="shared" si="684"/>
        <v>5.6014740454904359</v>
      </c>
      <c r="DW280" s="5">
        <f t="shared" ref="DW280:DW316" si="842">L*DM280/CN280*1000000</f>
        <v>1.9619376098418277</v>
      </c>
      <c r="DX280" s="5">
        <f t="shared" ref="DX280:DX316" si="843">DV280-DW280</f>
        <v>3.6395364356486084</v>
      </c>
      <c r="DY280" s="150">
        <f t="shared" ref="DY280:DY316" si="844">DW280/DV280</f>
        <v>0.35025380710659898</v>
      </c>
      <c r="EA280" s="5">
        <f t="shared" si="713"/>
        <v>0.36930590302904992</v>
      </c>
      <c r="EB280" s="5">
        <f t="shared" si="714"/>
        <v>5.2318336262448746</v>
      </c>
      <c r="EC280" s="5">
        <f t="shared" si="715"/>
        <v>20.624039802008777</v>
      </c>
      <c r="ED280" s="5"/>
      <c r="EE280" s="150">
        <f t="shared" si="716"/>
        <v>7.1506368244732448</v>
      </c>
      <c r="EF280" s="150">
        <f t="shared" si="717"/>
        <v>0.45485471222235796</v>
      </c>
      <c r="EG280" s="150">
        <f t="shared" si="718"/>
        <v>0.43269726760123201</v>
      </c>
      <c r="EH280" s="150"/>
      <c r="EI280" s="456">
        <f t="shared" si="719"/>
        <v>0.17384746378474356</v>
      </c>
      <c r="EJ280" s="456">
        <f t="shared" si="720"/>
        <v>2.7968000000000002</v>
      </c>
      <c r="EK280" s="456">
        <f t="shared" si="721"/>
        <v>4.0882096059047253E-2</v>
      </c>
      <c r="EL280" s="456">
        <f t="shared" si="722"/>
        <v>7.4155048251880587E-2</v>
      </c>
      <c r="EM280">
        <f t="shared" si="723"/>
        <v>7.1999999999999998E-3</v>
      </c>
      <c r="EN280" s="144">
        <f t="shared" si="724"/>
        <v>48.082096059047252</v>
      </c>
      <c r="EP280" s="144">
        <f t="shared" si="725"/>
        <v>3092.8846080956714</v>
      </c>
      <c r="EQ280" s="150">
        <f t="shared" si="726"/>
        <v>0.8</v>
      </c>
      <c r="ER280" s="150">
        <f t="shared" ref="ER280:ER316" si="845">Vfwd22*CK280*(1+Diode_TC/1000*(Ta-25))</f>
        <v>0.22719999999999999</v>
      </c>
      <c r="ES280" s="456"/>
      <c r="EU280" s="144">
        <f t="shared" si="727"/>
        <v>1027.2</v>
      </c>
      <c r="EV280" s="456">
        <f t="shared" si="728"/>
        <v>7.6697410493269225E-2</v>
      </c>
      <c r="EW280" s="456">
        <f t="shared" si="729"/>
        <v>4.1378561846176817E-2</v>
      </c>
      <c r="EX280" s="456">
        <f t="shared" si="730"/>
        <v>5.6168077616871644E-3</v>
      </c>
      <c r="EY280" s="456">
        <f t="shared" si="731"/>
        <v>42.657851179101563</v>
      </c>
      <c r="EZ280" s="456"/>
      <c r="FA280" s="538">
        <f t="shared" si="732"/>
        <v>7.818537155159852E-2</v>
      </c>
      <c r="FB280" s="144">
        <f t="shared" si="733"/>
        <v>42859.729330754293</v>
      </c>
      <c r="FC280" s="150">
        <f t="shared" si="734"/>
        <v>46.979813938849965</v>
      </c>
      <c r="FD280" s="5">
        <f t="shared" si="735"/>
        <v>58.239999999999995</v>
      </c>
      <c r="FE280" s="150">
        <f t="shared" si="736"/>
        <v>0.55350791661584786</v>
      </c>
      <c r="FF280" s="5">
        <f t="shared" si="737"/>
        <v>55.350791661584786</v>
      </c>
      <c r="FG280">
        <f t="shared" si="738"/>
        <v>64</v>
      </c>
      <c r="FI280" s="59">
        <f t="shared" ref="FI280:FI316" si="846">IF(ABS(CJ280-Ioutmax_Vinmax)&lt;Iout/200, DQ280, -50)</f>
        <v>-50</v>
      </c>
    </row>
    <row r="281" spans="5:165">
      <c r="E281" s="147">
        <v>65</v>
      </c>
      <c r="F281" s="188">
        <f t="shared" ref="F281:F312" si="847">IF(PLOT_TYPE=1, E281/100*Iout_max, min_I*EXP(O281*rr/100))</f>
        <v>0.32500000000000001</v>
      </c>
      <c r="G281" s="188">
        <f t="shared" si="775"/>
        <v>0.32500000000000001</v>
      </c>
      <c r="H281" s="188">
        <f t="shared" si="776"/>
        <v>55.25</v>
      </c>
      <c r="I281" s="188">
        <f t="shared" si="777"/>
        <v>3.9000000000000004</v>
      </c>
      <c r="J281" s="465">
        <f t="shared" si="778"/>
        <v>15.936518833431842</v>
      </c>
      <c r="K281" s="379">
        <f t="shared" si="779"/>
        <v>8.6620432475919991</v>
      </c>
      <c r="L281" s="149">
        <f t="shared" si="780"/>
        <v>24.598562081023843</v>
      </c>
      <c r="M281" s="379"/>
      <c r="N281" s="188">
        <f t="shared" si="781"/>
        <v>0.35213616223015692</v>
      </c>
      <c r="O281" s="149">
        <f t="shared" si="782"/>
        <v>174.72713897861942</v>
      </c>
      <c r="P281" s="149">
        <f t="shared" si="783"/>
        <v>12.333680398490785</v>
      </c>
      <c r="Q281" s="188">
        <f t="shared" si="784"/>
        <v>1.0278066998742319</v>
      </c>
      <c r="R281" s="188">
        <f t="shared" si="785"/>
        <v>14.560594914884952</v>
      </c>
      <c r="S281" s="188">
        <f t="shared" si="786"/>
        <v>170</v>
      </c>
      <c r="T281" s="188">
        <f t="shared" si="787"/>
        <v>21.080487867337233</v>
      </c>
      <c r="U281" s="188">
        <f t="shared" si="788"/>
        <v>1.9841680690435015</v>
      </c>
      <c r="V281" s="188">
        <f t="shared" si="789"/>
        <v>3.650493410985479</v>
      </c>
      <c r="W281" s="172">
        <f t="shared" si="790"/>
        <v>280.59122906566535</v>
      </c>
      <c r="X281" s="379">
        <f t="shared" ref="X281:X316" si="848">MIN(1/(U281+V281+0.2)*1000, 350)</f>
        <v>171.38954906344165</v>
      </c>
      <c r="Z281" s="188">
        <f t="shared" si="791"/>
        <v>13.333333333333334</v>
      </c>
      <c r="AA281" s="150">
        <f t="shared" si="792"/>
        <v>2.3089240527123778</v>
      </c>
      <c r="AB281" s="150">
        <f t="shared" si="793"/>
        <v>0.20171584692467648</v>
      </c>
      <c r="AC281" s="150"/>
      <c r="AD281" s="150">
        <f t="shared" si="794"/>
        <v>2.3089240527123778</v>
      </c>
      <c r="AE281" s="314">
        <f t="shared" si="795"/>
        <v>452.08222773094116</v>
      </c>
      <c r="AF281" s="456">
        <f t="shared" si="796"/>
        <v>0.20171584692467645</v>
      </c>
      <c r="AH281" s="150">
        <f t="shared" si="797"/>
        <v>15.01110699893027</v>
      </c>
      <c r="AI281" s="150">
        <f t="shared" si="798"/>
        <v>21.080487867337233</v>
      </c>
      <c r="AJ281" s="150">
        <f t="shared" si="799"/>
        <v>6.9386329881510358</v>
      </c>
      <c r="AL281" s="314">
        <f t="shared" si="800"/>
        <v>325</v>
      </c>
      <c r="AM281" s="144">
        <f t="shared" si="801"/>
        <v>171.38954906344165</v>
      </c>
      <c r="AO281">
        <f t="shared" si="802"/>
        <v>325</v>
      </c>
      <c r="AP281">
        <f t="shared" si="803"/>
        <v>171.38954906344165</v>
      </c>
      <c r="AR281" s="5">
        <f t="shared" si="774"/>
        <v>5.8346614800289807</v>
      </c>
      <c r="AS281" s="5">
        <f t="shared" si="739"/>
        <v>1.9841680690435015</v>
      </c>
      <c r="AT281" s="5">
        <f t="shared" si="740"/>
        <v>3.8504934109854791</v>
      </c>
      <c r="AU281" s="150">
        <f t="shared" si="741"/>
        <v>0.34006567061944548</v>
      </c>
      <c r="BA281" s="150">
        <f t="shared" ref="BA281:BA316" si="849">AI281*SQRT(AU281/3)</f>
        <v>7.0974350421823384</v>
      </c>
      <c r="BB281" s="150">
        <f t="shared" ref="BB281:BB316" si="850">AI281*Npri_sec1*SQRT((1-AU281)/3)*(Pout/Pout_total)</f>
        <v>0.46176172124770615</v>
      </c>
      <c r="BC281" s="150">
        <f t="shared" ref="BC281:BC316" si="851">AI281*Npri_sec2*SQRT((1-AU281)/3)*(Pout2/Pout_total)</f>
        <v>0.43926781387074992</v>
      </c>
      <c r="BD281" s="150"/>
      <c r="BE281" s="456">
        <f t="shared" ref="BE281:BE315" si="852">Rdson*BA281^2</f>
        <v>0.17127018620519255</v>
      </c>
      <c r="BF281" s="456">
        <f t="shared" si="804"/>
        <v>2.1285322389490751</v>
      </c>
      <c r="BG281" s="456">
        <f t="shared" si="805"/>
        <v>0.12509595716383412</v>
      </c>
      <c r="BH281" s="456">
        <f t="shared" ref="BH281:BH316" si="853">0.5*(Coss+Csw)*L281^2*AM281*1000</f>
        <v>7.1038592742645346E-2</v>
      </c>
      <c r="BI281">
        <f t="shared" ref="BI281:BI316" si="854">J281*IQ</f>
        <v>7.171433475044329E-3</v>
      </c>
      <c r="BJ281" s="144">
        <f t="shared" ref="BJ281:BJ316" si="855">(BG281+BI281)*1000</f>
        <v>132.26739063887845</v>
      </c>
      <c r="BK281">
        <f t="shared" si="806"/>
        <v>2.5196167383307713</v>
      </c>
      <c r="BL281" s="144">
        <f t="shared" ref="BL281:BL316" si="856">SUM(BE281:BI281)*1000</f>
        <v>2503.1084085357911</v>
      </c>
      <c r="BM281" s="150">
        <f t="shared" si="807"/>
        <v>0.72109374999999998</v>
      </c>
      <c r="BN281" s="150">
        <f t="shared" si="808"/>
        <v>0.23074999999999998</v>
      </c>
      <c r="BQ281" s="144">
        <f t="shared" ref="BQ281:BQ316" si="857">SUM(BM281:BP281)*1000</f>
        <v>951.84375</v>
      </c>
      <c r="BR281" s="456">
        <f t="shared" ref="BR281:BR316" si="858">Rdcr_pri*BA281^2</f>
        <v>7.5560376266996715E-2</v>
      </c>
      <c r="BS281" s="456">
        <f t="shared" ref="BS281:BS316" si="859">Rdcr_sec*BB281^2</f>
        <v>4.2644777441928856E-2</v>
      </c>
      <c r="BT281" s="456">
        <f t="shared" ref="BT281:BT316" si="860">Rdcr_sec2*BC281^2</f>
        <v>5.7886863690836338E-3</v>
      </c>
      <c r="BU281" s="456">
        <f t="shared" ref="BU281:BU316" si="861">AI281^2.5*AM281^2.5*k_core</f>
        <v>39.231280945834371</v>
      </c>
      <c r="BV281" s="456"/>
      <c r="BW281" s="538">
        <f t="shared" ref="BW281:BW316" si="862">0.5*Lleak*0.000000001*AI281^2*AM281*1000</f>
        <v>7.6163282179439309E-2</v>
      </c>
      <c r="BX281" s="144">
        <f t="shared" ref="BX281:BX316" si="863">SUM(BR281:BW281)*1000</f>
        <v>39431.438068091818</v>
      </c>
      <c r="BY281" s="150">
        <f t="shared" ref="BY281:BY315" si="864">SUM(BE281:BI281,BM281:BP281,BR281:BW281)</f>
        <v>42.886390226627604</v>
      </c>
      <c r="BZ281" s="5">
        <f t="shared" ref="BZ281:BZ316" si="865">MIN(H281+I281,O281+P281)</f>
        <v>59.15</v>
      </c>
      <c r="CA281" s="150">
        <f t="shared" ref="CA281:CA316" si="866">BZ281/(BZ281+BY281)</f>
        <v>0.5796951447285138</v>
      </c>
      <c r="CB281" s="5">
        <f t="shared" ref="CB281:CB316" si="867">CA281*100</f>
        <v>57.96951447285138</v>
      </c>
      <c r="CC281">
        <f t="shared" ref="CC281:CC316" si="868">F281/Iout*100</f>
        <v>65</v>
      </c>
      <c r="CE281" s="59">
        <f t="shared" si="809"/>
        <v>-50</v>
      </c>
      <c r="CG281" s="150">
        <f t="shared" si="810"/>
        <v>0.63502377808469512</v>
      </c>
      <c r="CH281" s="150">
        <f t="shared" si="811"/>
        <v>0.17735551404972849</v>
      </c>
      <c r="CI281" s="147">
        <v>65</v>
      </c>
      <c r="CJ281" s="188">
        <f t="shared" ref="CJ281:CJ316" si="869">IF(PLOT_TYPE=1, CI281/100*Iout_max, min_I*EXP(CS281*rr/100))</f>
        <v>0.32500000000000001</v>
      </c>
      <c r="CK281" s="188">
        <f t="shared" si="812"/>
        <v>0.32500000000000001</v>
      </c>
      <c r="CL281" s="188">
        <f t="shared" si="813"/>
        <v>55.25</v>
      </c>
      <c r="CM281" s="188">
        <f t="shared" si="814"/>
        <v>3.9000000000000004</v>
      </c>
      <c r="CN281" s="465">
        <f t="shared" si="815"/>
        <v>16</v>
      </c>
      <c r="CO281" s="379">
        <f t="shared" si="816"/>
        <v>8.625</v>
      </c>
      <c r="CP281" s="379">
        <f t="shared" si="817"/>
        <v>24.625</v>
      </c>
      <c r="CQ281" s="379"/>
      <c r="CR281" s="188">
        <f t="shared" si="818"/>
        <v>0.34787038923986141</v>
      </c>
      <c r="CS281" s="149">
        <f t="shared" si="819"/>
        <v>173.29806936491266</v>
      </c>
      <c r="CT281" s="149">
        <f t="shared" si="820"/>
        <v>12.232804896346776</v>
      </c>
      <c r="CU281" s="188">
        <f t="shared" si="821"/>
        <v>1.0194004080288981</v>
      </c>
      <c r="CV281" s="188">
        <f t="shared" si="822"/>
        <v>14.441505780409388</v>
      </c>
      <c r="CW281" s="188">
        <f t="shared" si="823"/>
        <v>170</v>
      </c>
      <c r="CX281" s="188">
        <f t="shared" si="824"/>
        <v>21.254324106619801</v>
      </c>
      <c r="CY281" s="188">
        <f t="shared" si="825"/>
        <v>1.9925928849956065</v>
      </c>
      <c r="CZ281" s="188">
        <f t="shared" si="826"/>
        <v>3.6964041924556179</v>
      </c>
      <c r="DA281" s="172">
        <f t="shared" si="827"/>
        <v>280.20304568527916</v>
      </c>
      <c r="DB281" s="379">
        <f t="shared" si="828"/>
        <v>175.7779071400083</v>
      </c>
      <c r="DD281" s="188">
        <f t="shared" si="829"/>
        <v>13.333333333333332</v>
      </c>
      <c r="DE281" s="150">
        <f t="shared" si="830"/>
        <v>2.318840579710145</v>
      </c>
      <c r="DF281" s="150">
        <f t="shared" si="831"/>
        <v>0.20230192819025303</v>
      </c>
      <c r="DG281" s="150"/>
      <c r="DH281" s="150">
        <f t="shared" si="832"/>
        <v>2.3188405797101455</v>
      </c>
      <c r="DI281" s="314">
        <f t="shared" si="833"/>
        <v>450.14889705882342</v>
      </c>
      <c r="DJ281" s="456">
        <f t="shared" si="834"/>
        <v>0.20230192819025311</v>
      </c>
      <c r="DL281" s="150">
        <f t="shared" si="835"/>
        <v>15.01110699893027</v>
      </c>
      <c r="DM281" s="150">
        <f t="shared" si="836"/>
        <v>21.254324106619801</v>
      </c>
      <c r="DN281" s="150">
        <f t="shared" si="837"/>
        <v>7.0674005728047904</v>
      </c>
      <c r="DP281" s="314">
        <f t="shared" si="838"/>
        <v>325</v>
      </c>
      <c r="DQ281" s="144">
        <f t="shared" si="839"/>
        <v>175.7779071400083</v>
      </c>
      <c r="DS281">
        <f t="shared" si="840"/>
        <v>325</v>
      </c>
      <c r="DT281">
        <f t="shared" si="841"/>
        <v>175.7779071400083</v>
      </c>
      <c r="DV281" s="5">
        <f t="shared" ref="DV281:DV316" si="870">1/DQ281*1000</f>
        <v>5.6889970774512246</v>
      </c>
      <c r="DW281" s="5">
        <f t="shared" si="842"/>
        <v>1.9925928849956065</v>
      </c>
      <c r="DX281" s="5">
        <f t="shared" si="843"/>
        <v>3.6964041924556179</v>
      </c>
      <c r="DY281" s="150">
        <f t="shared" si="844"/>
        <v>0.35025380710659898</v>
      </c>
      <c r="EA281" s="5">
        <f t="shared" ref="EA281:EA316" si="871">CJ281*DW281/Vout_ripple*1000</f>
        <v>0.38093687507268953</v>
      </c>
      <c r="EB281" s="5">
        <f t="shared" ref="EB281:EB316" si="872">CK281*DW281/Vout_ripple2*1000</f>
        <v>5.3966057301964341</v>
      </c>
      <c r="EC281" s="5">
        <f t="shared" ref="EC281:EC316" si="873">CL281/Efficiency/CN281*DX281/Vinripple1</f>
        <v>21.273576211788839</v>
      </c>
      <c r="ED281" s="5"/>
      <c r="EE281" s="150">
        <f t="shared" ref="EE281:EE316" si="874">DM281*SQRT(DY281/3)</f>
        <v>7.2623655248556398</v>
      </c>
      <c r="EF281" s="150">
        <f t="shared" ref="EF281:EF316" si="875">DM281*Npri_sec1*SQRT((1-DY281)/3)*(Pout/Pout_total)</f>
        <v>0.46196181710083234</v>
      </c>
      <c r="EG281" s="150">
        <f t="shared" ref="EG281:EG316" si="876">DM281*Npri_sec2*SQRT((1-DY281)/3)*(Pout2/Pout_total)</f>
        <v>0.4394581624075013</v>
      </c>
      <c r="EH281" s="150"/>
      <c r="EI281" s="456">
        <f t="shared" ref="EI281:EI316" si="877">Rdson*EE281^2</f>
        <v>0.17932264025647987</v>
      </c>
      <c r="EJ281" s="456">
        <f t="shared" ref="EJ281:EJ316" si="878">0.5*CP281*DM281*DQ281*1000*Trise</f>
        <v>2.7967999999999997</v>
      </c>
      <c r="EK281" s="456">
        <f t="shared" ref="EK281:EK316" si="879">Qg*Vdd*DQ281*1000</f>
        <v>4.02531407350619E-2</v>
      </c>
      <c r="EL281" s="456">
        <f t="shared" ref="EL281:EL316" si="880">0.5*(Coss+Csw)*CP281^2*DQ281*1000</f>
        <v>7.3014201355697778E-2</v>
      </c>
      <c r="EM281">
        <f t="shared" ref="EM281:EM316" si="881">CN281*IQ</f>
        <v>7.1999999999999998E-3</v>
      </c>
      <c r="EN281" s="144">
        <f t="shared" ref="EN281:EN316" si="882">(EK281+EM281)*1000</f>
        <v>47.453140735061901</v>
      </c>
      <c r="EP281" s="144">
        <f t="shared" ref="EP281:EP316" si="883">SUM(EI281:EM281)*1000</f>
        <v>3096.5899823472391</v>
      </c>
      <c r="EQ281" s="150">
        <f t="shared" ref="EQ281:EQ316" si="884">Vfwd2*CJ281</f>
        <v>0.8125</v>
      </c>
      <c r="ER281" s="150">
        <f t="shared" si="845"/>
        <v>0.23074999999999998</v>
      </c>
      <c r="ES281" s="456"/>
      <c r="EU281" s="144">
        <f t="shared" ref="EU281:EU316" si="885">SUM(EQ281:ET281)*1000</f>
        <v>1043.25</v>
      </c>
      <c r="EV281" s="456">
        <f t="shared" ref="EV281:EV316" si="886">Rdcr_pri*EE281^2</f>
        <v>7.9112929524917594E-2</v>
      </c>
      <c r="EW281" s="456">
        <f t="shared" ref="EW281:EW316" si="887">Rdcr_sec*EF281^2</f>
        <v>4.2681744091820573E-2</v>
      </c>
      <c r="EX281" s="456">
        <f t="shared" ref="EX281:EX316" si="888">Rdcr_sec2*EG281^2</f>
        <v>5.7937042951973338E-3</v>
      </c>
      <c r="EY281" s="456">
        <f t="shared" ref="EY281:EY316" si="889">DM281^2.5*DQ281^2.5*k_core</f>
        <v>42.657851179101598</v>
      </c>
      <c r="EZ281" s="456"/>
      <c r="FA281" s="538">
        <f t="shared" ref="FA281:FA316" si="890">0.5*Lleak*0.000000001*DM281^2*DQ281*1000</f>
        <v>7.9407017982092237E-2</v>
      </c>
      <c r="FB281" s="144">
        <f t="shared" ref="FB281:FB316" si="891">SUM(EV281:FA281)*1000</f>
        <v>42864.846574995623</v>
      </c>
      <c r="FC281" s="150">
        <f t="shared" ref="FC281:FC316" si="892">SUM(EI281:EM281,EQ281:ET281,EV281:FA281)</f>
        <v>47.004686557342865</v>
      </c>
      <c r="FD281" s="5">
        <f t="shared" ref="FD281:FD316" si="893">MIN(CL281+CM281,CS281+CT281)</f>
        <v>59.15</v>
      </c>
      <c r="FE281" s="150">
        <f t="shared" ref="FE281:FE316" si="894">FD281/(FD281+FC281)</f>
        <v>0.5572057336163696</v>
      </c>
      <c r="FF281" s="5">
        <f t="shared" ref="FF281:FF316" si="895">FE281*100</f>
        <v>55.720573361636959</v>
      </c>
      <c r="FG281">
        <f t="shared" ref="FG281:FG316" si="896">CJ281/Iout*100</f>
        <v>65</v>
      </c>
      <c r="FI281" s="59">
        <f t="shared" si="846"/>
        <v>-50</v>
      </c>
    </row>
    <row r="282" spans="5:165">
      <c r="E282" s="147">
        <v>66</v>
      </c>
      <c r="F282" s="188">
        <f t="shared" si="847"/>
        <v>0.33</v>
      </c>
      <c r="G282" s="188">
        <f t="shared" si="775"/>
        <v>0.33</v>
      </c>
      <c r="H282" s="188">
        <f t="shared" si="776"/>
        <v>56.1</v>
      </c>
      <c r="I282" s="188">
        <f t="shared" si="777"/>
        <v>3.96</v>
      </c>
      <c r="J282" s="465">
        <f t="shared" si="778"/>
        <v>15.935542200100024</v>
      </c>
      <c r="K282" s="379">
        <f t="shared" si="779"/>
        <v>8.6626131437087981</v>
      </c>
      <c r="L282" s="149">
        <f t="shared" si="780"/>
        <v>24.59815534380882</v>
      </c>
      <c r="M282" s="379"/>
      <c r="N282" s="188">
        <f t="shared" si="781"/>
        <v>0.35216515314385621</v>
      </c>
      <c r="O282" s="149">
        <f t="shared" si="782"/>
        <v>174.73081540034133</v>
      </c>
      <c r="P282" s="149">
        <f t="shared" si="783"/>
        <v>12.333939910612328</v>
      </c>
      <c r="Q282" s="188">
        <f t="shared" si="784"/>
        <v>1.0278283258843608</v>
      </c>
      <c r="R282" s="188">
        <f t="shared" si="785"/>
        <v>14.560901283361778</v>
      </c>
      <c r="S282" s="188">
        <f t="shared" si="786"/>
        <v>170</v>
      </c>
      <c r="T282" s="188">
        <f t="shared" si="787"/>
        <v>21.404352697782322</v>
      </c>
      <c r="U282" s="188">
        <f t="shared" si="788"/>
        <v>2.0147748123984108</v>
      </c>
      <c r="V282" s="188">
        <f t="shared" si="789"/>
        <v>3.7063330099175409</v>
      </c>
      <c r="W282" s="172">
        <f t="shared" si="790"/>
        <v>280.59713296643037</v>
      </c>
      <c r="X282" s="379">
        <f t="shared" si="848"/>
        <v>168.88731467296014</v>
      </c>
      <c r="Z282" s="188">
        <f t="shared" si="791"/>
        <v>13.333333333333334</v>
      </c>
      <c r="AA282" s="150">
        <f t="shared" si="792"/>
        <v>2.3087721531839329</v>
      </c>
      <c r="AB282" s="150">
        <f t="shared" si="793"/>
        <v>0.20170682044971511</v>
      </c>
      <c r="AC282" s="150"/>
      <c r="AD282" s="150">
        <f t="shared" si="794"/>
        <v>2.3087721531839329</v>
      </c>
      <c r="AE282" s="314">
        <f t="shared" si="795"/>
        <v>459.06754006866214</v>
      </c>
      <c r="AF282" s="456">
        <f t="shared" si="796"/>
        <v>0.20170682044971511</v>
      </c>
      <c r="AH282" s="150">
        <f t="shared" si="797"/>
        <v>15.126136320951231</v>
      </c>
      <c r="AI282" s="150">
        <f t="shared" si="798"/>
        <v>21.404352697782322</v>
      </c>
      <c r="AJ282" s="150">
        <f t="shared" si="799"/>
        <v>7.1785328625548059</v>
      </c>
      <c r="AL282" s="314">
        <f t="shared" si="800"/>
        <v>330</v>
      </c>
      <c r="AM282" s="144">
        <f t="shared" si="801"/>
        <v>168.88731467296014</v>
      </c>
      <c r="AO282">
        <f t="shared" si="802"/>
        <v>330</v>
      </c>
      <c r="AP282">
        <f t="shared" si="803"/>
        <v>168.88731467296014</v>
      </c>
      <c r="AR282" s="5">
        <f t="shared" si="774"/>
        <v>5.9211078223159523</v>
      </c>
      <c r="AS282" s="5">
        <f t="shared" si="739"/>
        <v>2.0147748123984108</v>
      </c>
      <c r="AT282" s="5">
        <f t="shared" si="740"/>
        <v>3.9063330099175415</v>
      </c>
      <c r="AU282" s="150">
        <f t="shared" si="741"/>
        <v>0.34026990773668464</v>
      </c>
      <c r="BA282" s="150">
        <f t="shared" si="849"/>
        <v>7.2086384321070867</v>
      </c>
      <c r="BB282" s="150">
        <f t="shared" si="850"/>
        <v>0.46878332596292072</v>
      </c>
      <c r="BC282" s="150">
        <f t="shared" si="851"/>
        <v>0.44594737350332997</v>
      </c>
      <c r="BD282" s="150"/>
      <c r="BE282" s="456">
        <f t="shared" si="852"/>
        <v>0.17667919135249446</v>
      </c>
      <c r="BF282" s="456">
        <f t="shared" si="804"/>
        <v>2.1296448609649721</v>
      </c>
      <c r="BG282" s="456">
        <f t="shared" si="805"/>
        <v>0.12326204059548979</v>
      </c>
      <c r="BH282" s="456">
        <f t="shared" si="853"/>
        <v>6.9999136338277035E-2</v>
      </c>
      <c r="BI282">
        <f t="shared" si="854"/>
        <v>7.17099399004501E-3</v>
      </c>
      <c r="BJ282" s="144">
        <f t="shared" si="855"/>
        <v>130.43303458553478</v>
      </c>
      <c r="BK282">
        <f t="shared" si="806"/>
        <v>2.5302436055727169</v>
      </c>
      <c r="BL282" s="144">
        <f t="shared" si="856"/>
        <v>2506.7562232412779</v>
      </c>
      <c r="BM282" s="150">
        <f t="shared" si="807"/>
        <v>0.73218749999999999</v>
      </c>
      <c r="BN282" s="150">
        <f t="shared" si="808"/>
        <v>0.23430000000000001</v>
      </c>
      <c r="BQ282" s="144">
        <f t="shared" si="857"/>
        <v>966.48749999999995</v>
      </c>
      <c r="BR282" s="456">
        <f t="shared" si="858"/>
        <v>7.7946702067276968E-2</v>
      </c>
      <c r="BS282" s="456">
        <f t="shared" si="859"/>
        <v>4.3951561340171599E-2</v>
      </c>
      <c r="BT282" s="456">
        <f t="shared" si="860"/>
        <v>5.9660717980355542E-3</v>
      </c>
      <c r="BU282" s="456">
        <f t="shared" si="861"/>
        <v>39.284192173656535</v>
      </c>
      <c r="BV282" s="456"/>
      <c r="BW282" s="538">
        <f t="shared" si="862"/>
        <v>7.7375100768197855E-2</v>
      </c>
      <c r="BX282" s="144">
        <f t="shared" si="863"/>
        <v>39489.431609630221</v>
      </c>
      <c r="BY282" s="150">
        <f t="shared" si="864"/>
        <v>42.962675332871498</v>
      </c>
      <c r="BZ282" s="5">
        <f t="shared" si="865"/>
        <v>60.06</v>
      </c>
      <c r="CA282" s="150">
        <f t="shared" si="866"/>
        <v>0.58297845407278626</v>
      </c>
      <c r="CB282" s="5">
        <f t="shared" si="867"/>
        <v>58.297845407278629</v>
      </c>
      <c r="CC282">
        <f t="shared" si="868"/>
        <v>66</v>
      </c>
      <c r="CE282" s="59">
        <f t="shared" si="809"/>
        <v>-50</v>
      </c>
      <c r="CG282" s="150">
        <f t="shared" si="810"/>
        <v>0.63502377808469535</v>
      </c>
      <c r="CH282" s="150">
        <f t="shared" si="811"/>
        <v>0.17735551404972852</v>
      </c>
      <c r="CI282" s="147">
        <v>66</v>
      </c>
      <c r="CJ282" s="188">
        <f t="shared" si="869"/>
        <v>0.33</v>
      </c>
      <c r="CK282" s="188">
        <f t="shared" si="812"/>
        <v>0.33</v>
      </c>
      <c r="CL282" s="188">
        <f t="shared" si="813"/>
        <v>56.1</v>
      </c>
      <c r="CM282" s="188">
        <f t="shared" si="814"/>
        <v>3.96</v>
      </c>
      <c r="CN282" s="465">
        <f t="shared" si="815"/>
        <v>16</v>
      </c>
      <c r="CO282" s="379">
        <f t="shared" si="816"/>
        <v>8.625</v>
      </c>
      <c r="CP282" s="379">
        <f t="shared" si="817"/>
        <v>24.625</v>
      </c>
      <c r="CQ282" s="379"/>
      <c r="CR282" s="188">
        <f t="shared" si="818"/>
        <v>0.34787038923986141</v>
      </c>
      <c r="CS282" s="149">
        <f t="shared" si="819"/>
        <v>173.29806936491266</v>
      </c>
      <c r="CT282" s="149">
        <f t="shared" si="820"/>
        <v>12.232804896346776</v>
      </c>
      <c r="CU282" s="188">
        <f t="shared" si="821"/>
        <v>1.0194004080288981</v>
      </c>
      <c r="CV282" s="188">
        <f t="shared" si="822"/>
        <v>14.441505780409388</v>
      </c>
      <c r="CW282" s="188">
        <f t="shared" si="823"/>
        <v>170</v>
      </c>
      <c r="CX282" s="188">
        <f t="shared" si="824"/>
        <v>21.581313708260108</v>
      </c>
      <c r="CY282" s="188">
        <f t="shared" si="825"/>
        <v>2.023248160149385</v>
      </c>
      <c r="CZ282" s="188">
        <f t="shared" si="826"/>
        <v>3.753271949262627</v>
      </c>
      <c r="DA282" s="172">
        <f t="shared" si="827"/>
        <v>280.20304568527916</v>
      </c>
      <c r="DB282" s="379">
        <f t="shared" si="828"/>
        <v>173.11460551667489</v>
      </c>
      <c r="DD282" s="188">
        <f t="shared" si="829"/>
        <v>13.333333333333332</v>
      </c>
      <c r="DE282" s="150">
        <f t="shared" si="830"/>
        <v>2.318840579710145</v>
      </c>
      <c r="DF282" s="150">
        <f t="shared" si="831"/>
        <v>0.20230192819025303</v>
      </c>
      <c r="DG282" s="150"/>
      <c r="DH282" s="150">
        <f t="shared" si="832"/>
        <v>2.3188405797101455</v>
      </c>
      <c r="DI282" s="314">
        <f t="shared" si="833"/>
        <v>457.07426470588229</v>
      </c>
      <c r="DJ282" s="456">
        <f t="shared" si="834"/>
        <v>0.20230192819025311</v>
      </c>
      <c r="DL282" s="150">
        <f t="shared" si="835"/>
        <v>15.126136320951231</v>
      </c>
      <c r="DM282" s="150">
        <f t="shared" si="836"/>
        <v>21.581313708260108</v>
      </c>
      <c r="DN282" s="150">
        <f t="shared" si="837"/>
        <v>7.3096150925383521</v>
      </c>
      <c r="DP282" s="314">
        <f t="shared" si="838"/>
        <v>330</v>
      </c>
      <c r="DQ282" s="144">
        <f t="shared" si="839"/>
        <v>173.11460551667489</v>
      </c>
      <c r="DS282">
        <f t="shared" si="840"/>
        <v>330</v>
      </c>
      <c r="DT282">
        <f t="shared" si="841"/>
        <v>173.11460551667489</v>
      </c>
      <c r="DV282" s="5">
        <f t="shared" si="870"/>
        <v>5.7765201094120107</v>
      </c>
      <c r="DW282" s="5">
        <f t="shared" si="842"/>
        <v>2.023248160149385</v>
      </c>
      <c r="DX282" s="5">
        <f t="shared" si="843"/>
        <v>3.7532719492626256</v>
      </c>
      <c r="DY282" s="150">
        <f t="shared" si="844"/>
        <v>0.35025380710659909</v>
      </c>
      <c r="EA282" s="5">
        <f t="shared" si="871"/>
        <v>0.39274817226429243</v>
      </c>
      <c r="EB282" s="5">
        <f t="shared" si="872"/>
        <v>5.5639324404108095</v>
      </c>
      <c r="EC282" s="5">
        <f t="shared" si="873"/>
        <v>21.933182953503465</v>
      </c>
      <c r="ED282" s="5"/>
      <c r="EE282" s="150">
        <f t="shared" si="874"/>
        <v>7.3740942252380366</v>
      </c>
      <c r="EF282" s="150">
        <f t="shared" si="875"/>
        <v>0.46906892197930666</v>
      </c>
      <c r="EG282" s="150">
        <f t="shared" si="876"/>
        <v>0.44621905721377059</v>
      </c>
      <c r="EH282" s="150"/>
      <c r="EI282" s="456">
        <f t="shared" si="877"/>
        <v>0.18488270318514247</v>
      </c>
      <c r="EJ282" s="456">
        <f t="shared" si="878"/>
        <v>2.7968000000000006</v>
      </c>
      <c r="EK282" s="456">
        <f t="shared" si="879"/>
        <v>3.9643244663318547E-2</v>
      </c>
      <c r="EL282" s="456">
        <f t="shared" si="880"/>
        <v>7.1907925577581175E-2</v>
      </c>
      <c r="EM282">
        <f t="shared" si="881"/>
        <v>7.1999999999999998E-3</v>
      </c>
      <c r="EN282" s="144">
        <f t="shared" si="882"/>
        <v>46.843244663318544</v>
      </c>
      <c r="EP282" s="144">
        <f t="shared" si="883"/>
        <v>3100.4338734260427</v>
      </c>
      <c r="EQ282" s="150">
        <f t="shared" si="884"/>
        <v>0.82500000000000007</v>
      </c>
      <c r="ER282" s="150">
        <f t="shared" si="845"/>
        <v>0.23430000000000001</v>
      </c>
      <c r="ES282" s="456"/>
      <c r="EU282" s="144">
        <f t="shared" si="885"/>
        <v>1059.3000000000002</v>
      </c>
      <c r="EV282" s="456">
        <f t="shared" si="886"/>
        <v>8.1565898464033448E-2</v>
      </c>
      <c r="EW282" s="456">
        <f t="shared" si="887"/>
        <v>4.400513071336578E-2</v>
      </c>
      <c r="EX282" s="456">
        <f t="shared" si="888"/>
        <v>5.9733434106223875E-3</v>
      </c>
      <c r="EY282" s="456">
        <f t="shared" si="889"/>
        <v>42.657851179101591</v>
      </c>
      <c r="EZ282" s="456"/>
      <c r="FA282" s="538">
        <f t="shared" si="890"/>
        <v>8.0628664412585996E-2</v>
      </c>
      <c r="FB282" s="144">
        <f t="shared" si="891"/>
        <v>42870.024216102203</v>
      </c>
      <c r="FC282" s="150">
        <f t="shared" si="892"/>
        <v>47.029758089528244</v>
      </c>
      <c r="FD282" s="5">
        <f t="shared" si="893"/>
        <v>60.06</v>
      </c>
      <c r="FE282" s="150">
        <f t="shared" si="894"/>
        <v>0.56083794633086359</v>
      </c>
      <c r="FF282" s="5">
        <f t="shared" si="895"/>
        <v>56.083794633086356</v>
      </c>
      <c r="FG282">
        <f t="shared" si="896"/>
        <v>66</v>
      </c>
      <c r="FI282" s="59">
        <f t="shared" si="846"/>
        <v>-50</v>
      </c>
    </row>
    <row r="283" spans="5:165">
      <c r="E283" s="147">
        <v>67</v>
      </c>
      <c r="F283" s="188">
        <f t="shared" si="847"/>
        <v>0.33500000000000002</v>
      </c>
      <c r="G283" s="188">
        <f t="shared" si="775"/>
        <v>0.33500000000000002</v>
      </c>
      <c r="H283" s="188">
        <f t="shared" si="776"/>
        <v>56.95</v>
      </c>
      <c r="I283" s="188">
        <f t="shared" si="777"/>
        <v>4.0200000000000005</v>
      </c>
      <c r="J283" s="465">
        <f t="shared" si="778"/>
        <v>15.934565566768207</v>
      </c>
      <c r="K283" s="379">
        <f t="shared" si="779"/>
        <v>8.6631830398255971</v>
      </c>
      <c r="L283" s="149">
        <f t="shared" si="780"/>
        <v>24.597748606593804</v>
      </c>
      <c r="M283" s="379"/>
      <c r="N283" s="188">
        <f t="shared" si="781"/>
        <v>0.35219414501631657</v>
      </c>
      <c r="O283" s="149">
        <f t="shared" si="782"/>
        <v>174.73449053462315</v>
      </c>
      <c r="P283" s="149">
        <f t="shared" si="783"/>
        <v>12.334199331855752</v>
      </c>
      <c r="Q283" s="188">
        <f t="shared" si="784"/>
        <v>1.0278499443213127</v>
      </c>
      <c r="R283" s="188">
        <f t="shared" si="785"/>
        <v>14.561207544551928</v>
      </c>
      <c r="S283" s="188">
        <f t="shared" si="786"/>
        <v>170</v>
      </c>
      <c r="T283" s="188">
        <f t="shared" si="787"/>
        <v>21.728204060058587</v>
      </c>
      <c r="U283" s="188">
        <f t="shared" si="788"/>
        <v>2.0453840397167564</v>
      </c>
      <c r="V283" s="188">
        <f t="shared" si="789"/>
        <v>3.7621629302136981</v>
      </c>
      <c r="W283" s="172">
        <f t="shared" si="790"/>
        <v>280.60303479971833</v>
      </c>
      <c r="X283" s="379">
        <f t="shared" si="848"/>
        <v>166.45729197046566</v>
      </c>
      <c r="Z283" s="188">
        <f t="shared" si="791"/>
        <v>13.333333333333332</v>
      </c>
      <c r="AA283" s="150">
        <f t="shared" si="792"/>
        <v>2.3086202736405101</v>
      </c>
      <c r="AB283" s="150">
        <f t="shared" si="793"/>
        <v>0.20169779367623841</v>
      </c>
      <c r="AC283" s="150"/>
      <c r="AD283" s="150">
        <f t="shared" si="794"/>
        <v>2.3086202736405106</v>
      </c>
      <c r="AE283" s="314">
        <f t="shared" si="795"/>
        <v>466.05376759249987</v>
      </c>
      <c r="AF283" s="456">
        <f t="shared" si="796"/>
        <v>0.2016977936762385</v>
      </c>
      <c r="AH283" s="150">
        <f t="shared" si="797"/>
        <v>15.240297459914183</v>
      </c>
      <c r="AI283" s="150">
        <f t="shared" si="798"/>
        <v>21.728204060058587</v>
      </c>
      <c r="AJ283" s="150">
        <f t="shared" si="799"/>
        <v>7.4184227605372248</v>
      </c>
      <c r="AL283" s="314">
        <f t="shared" si="800"/>
        <v>335</v>
      </c>
      <c r="AM283" s="144">
        <f t="shared" si="801"/>
        <v>166.45729197046566</v>
      </c>
      <c r="AO283">
        <f t="shared" si="802"/>
        <v>335</v>
      </c>
      <c r="AP283">
        <f t="shared" si="803"/>
        <v>166.45729197046566</v>
      </c>
      <c r="AR283" s="5">
        <f t="shared" si="774"/>
        <v>6.0075469699304547</v>
      </c>
      <c r="AS283" s="5">
        <f t="shared" si="739"/>
        <v>2.0453840397167564</v>
      </c>
      <c r="AT283" s="5">
        <f t="shared" si="740"/>
        <v>3.9621629302136983</v>
      </c>
      <c r="AU283" s="150">
        <f t="shared" si="741"/>
        <v>0.34046908829086264</v>
      </c>
      <c r="BA283" s="150">
        <f t="shared" si="849"/>
        <v>7.3198477470174463</v>
      </c>
      <c r="BB283" s="150">
        <f t="shared" si="850"/>
        <v>0.47580425265101489</v>
      </c>
      <c r="BC283" s="150">
        <f t="shared" si="851"/>
        <v>0.45262628813768413</v>
      </c>
      <c r="BD283" s="150"/>
      <c r="BE283" s="456">
        <f t="shared" si="852"/>
        <v>0.1821725815343557</v>
      </c>
      <c r="BF283" s="456">
        <f t="shared" si="804"/>
        <v>2.1307256433321373</v>
      </c>
      <c r="BG283" s="456">
        <f t="shared" si="805"/>
        <v>0.12148104819002893</v>
      </c>
      <c r="BH283" s="456">
        <f t="shared" si="853"/>
        <v>6.8989677331866353E-2</v>
      </c>
      <c r="BI283">
        <f t="shared" si="854"/>
        <v>7.1705545050456928E-3</v>
      </c>
      <c r="BJ283" s="144">
        <f t="shared" si="855"/>
        <v>128.65160269507462</v>
      </c>
      <c r="BK283">
        <f t="shared" si="806"/>
        <v>2.5410623644604313</v>
      </c>
      <c r="BL283" s="144">
        <f t="shared" si="856"/>
        <v>2510.5395048934342</v>
      </c>
      <c r="BM283" s="150">
        <f t="shared" si="807"/>
        <v>0.74328125</v>
      </c>
      <c r="BN283" s="150">
        <f t="shared" si="808"/>
        <v>0.23785000000000001</v>
      </c>
      <c r="BQ283" s="144">
        <f t="shared" si="857"/>
        <v>981.13125000000002</v>
      </c>
      <c r="BR283" s="456">
        <f t="shared" si="858"/>
        <v>8.0370256559274586E-2</v>
      </c>
      <c r="BS283" s="456">
        <f t="shared" si="859"/>
        <v>4.5277937368158161E-2</v>
      </c>
      <c r="BT283" s="456">
        <f t="shared" si="860"/>
        <v>6.1461167013989355E-3</v>
      </c>
      <c r="BU283" s="456">
        <f t="shared" si="861"/>
        <v>39.335678438154595</v>
      </c>
      <c r="BV283" s="456"/>
      <c r="BW283" s="538">
        <f t="shared" si="862"/>
        <v>7.8586959708949536E-2</v>
      </c>
      <c r="BX283" s="144">
        <f t="shared" si="863"/>
        <v>39546.059708492379</v>
      </c>
      <c r="BY283" s="150">
        <f t="shared" si="864"/>
        <v>43.037730463385813</v>
      </c>
      <c r="BZ283" s="5">
        <f t="shared" si="865"/>
        <v>60.970000000000006</v>
      </c>
      <c r="CA283" s="150">
        <f t="shared" si="866"/>
        <v>0.58620642646811205</v>
      </c>
      <c r="CB283" s="5">
        <f t="shared" si="867"/>
        <v>58.620642646811206</v>
      </c>
      <c r="CC283">
        <f t="shared" si="868"/>
        <v>67</v>
      </c>
      <c r="CE283" s="59">
        <f t="shared" si="809"/>
        <v>-50</v>
      </c>
      <c r="CG283" s="150">
        <f t="shared" si="810"/>
        <v>0.63502377808469512</v>
      </c>
      <c r="CH283" s="150">
        <f t="shared" si="811"/>
        <v>0.17735551404972849</v>
      </c>
      <c r="CI283" s="147">
        <v>67</v>
      </c>
      <c r="CJ283" s="188">
        <f t="shared" si="869"/>
        <v>0.33500000000000002</v>
      </c>
      <c r="CK283" s="188">
        <f t="shared" si="812"/>
        <v>0.33500000000000002</v>
      </c>
      <c r="CL283" s="188">
        <f t="shared" si="813"/>
        <v>56.95</v>
      </c>
      <c r="CM283" s="188">
        <f t="shared" si="814"/>
        <v>4.0200000000000005</v>
      </c>
      <c r="CN283" s="465">
        <f t="shared" si="815"/>
        <v>16</v>
      </c>
      <c r="CO283" s="379">
        <f t="shared" si="816"/>
        <v>8.625</v>
      </c>
      <c r="CP283" s="379">
        <f t="shared" si="817"/>
        <v>24.625</v>
      </c>
      <c r="CQ283" s="379"/>
      <c r="CR283" s="188">
        <f t="shared" si="818"/>
        <v>0.34787038923986141</v>
      </c>
      <c r="CS283" s="149">
        <f t="shared" si="819"/>
        <v>173.29806936491266</v>
      </c>
      <c r="CT283" s="149">
        <f t="shared" si="820"/>
        <v>12.232804896346776</v>
      </c>
      <c r="CU283" s="188">
        <f t="shared" si="821"/>
        <v>1.0194004080288981</v>
      </c>
      <c r="CV283" s="188">
        <f t="shared" si="822"/>
        <v>14.441505780409388</v>
      </c>
      <c r="CW283" s="188">
        <f t="shared" si="823"/>
        <v>170</v>
      </c>
      <c r="CX283" s="188">
        <f t="shared" si="824"/>
        <v>21.908303309900411</v>
      </c>
      <c r="CY283" s="188">
        <f t="shared" si="825"/>
        <v>2.0539034353031633</v>
      </c>
      <c r="CZ283" s="188">
        <f t="shared" si="826"/>
        <v>3.8101397060696365</v>
      </c>
      <c r="DA283" s="172">
        <f t="shared" si="827"/>
        <v>280.20304568527916</v>
      </c>
      <c r="DB283" s="379">
        <f t="shared" si="828"/>
        <v>170.53080543433643</v>
      </c>
      <c r="DD283" s="188">
        <f t="shared" si="829"/>
        <v>13.333333333333332</v>
      </c>
      <c r="DE283" s="150">
        <f t="shared" si="830"/>
        <v>2.318840579710145</v>
      </c>
      <c r="DF283" s="150">
        <f t="shared" si="831"/>
        <v>0.20230192819025303</v>
      </c>
      <c r="DG283" s="150"/>
      <c r="DH283" s="150">
        <f t="shared" si="832"/>
        <v>2.3188405797101455</v>
      </c>
      <c r="DI283" s="314">
        <f t="shared" si="833"/>
        <v>463.99963235294109</v>
      </c>
      <c r="DJ283" s="456">
        <f t="shared" si="834"/>
        <v>0.20230192819025311</v>
      </c>
      <c r="DL283" s="150">
        <f t="shared" si="835"/>
        <v>15.240297459914183</v>
      </c>
      <c r="DM283" s="150">
        <f t="shared" si="836"/>
        <v>21.908303309900411</v>
      </c>
      <c r="DN283" s="150">
        <f t="shared" si="837"/>
        <v>7.5518296122719093</v>
      </c>
      <c r="DP283" s="314">
        <f t="shared" si="838"/>
        <v>335</v>
      </c>
      <c r="DQ283" s="144">
        <f t="shared" si="839"/>
        <v>170.53080543433643</v>
      </c>
      <c r="DS283">
        <f t="shared" si="840"/>
        <v>335</v>
      </c>
      <c r="DT283">
        <f t="shared" si="841"/>
        <v>170.53080543433643</v>
      </c>
      <c r="DV283" s="5">
        <f t="shared" si="870"/>
        <v>5.8640431413728002</v>
      </c>
      <c r="DW283" s="5">
        <f t="shared" si="842"/>
        <v>2.0539034353031633</v>
      </c>
      <c r="DX283" s="5">
        <f t="shared" si="843"/>
        <v>3.8101397060696369</v>
      </c>
      <c r="DY283" s="150">
        <f t="shared" si="844"/>
        <v>0.35025380710659892</v>
      </c>
      <c r="EA283" s="5">
        <f t="shared" si="871"/>
        <v>0.40473979460385873</v>
      </c>
      <c r="EB283" s="5">
        <f t="shared" si="872"/>
        <v>5.7338137568879981</v>
      </c>
      <c r="EC283" s="5">
        <f t="shared" si="873"/>
        <v>22.602860027152687</v>
      </c>
      <c r="ED283" s="5"/>
      <c r="EE283" s="150">
        <f t="shared" si="874"/>
        <v>7.4858229256204281</v>
      </c>
      <c r="EF283" s="150">
        <f t="shared" si="875"/>
        <v>0.47617602685778104</v>
      </c>
      <c r="EG283" s="150">
        <f t="shared" si="876"/>
        <v>0.45297995202003993</v>
      </c>
      <c r="EH283" s="150"/>
      <c r="EI283" s="456">
        <f t="shared" si="877"/>
        <v>0.1905276525707309</v>
      </c>
      <c r="EJ283" s="456">
        <f t="shared" si="878"/>
        <v>2.7968000000000002</v>
      </c>
      <c r="EK283" s="456">
        <f t="shared" si="879"/>
        <v>3.9051554444463038E-2</v>
      </c>
      <c r="EL283" s="456">
        <f t="shared" si="880"/>
        <v>7.0834672957020242E-2</v>
      </c>
      <c r="EM283">
        <f t="shared" si="881"/>
        <v>7.1999999999999998E-3</v>
      </c>
      <c r="EN283" s="144">
        <f t="shared" si="882"/>
        <v>46.251554444463039</v>
      </c>
      <c r="EP283" s="144">
        <f t="shared" si="883"/>
        <v>3104.4138799722145</v>
      </c>
      <c r="EQ283" s="150">
        <f t="shared" si="884"/>
        <v>0.83750000000000002</v>
      </c>
      <c r="ER283" s="150">
        <f t="shared" si="845"/>
        <v>0.23785000000000001</v>
      </c>
      <c r="ES283" s="456"/>
      <c r="EU283" s="144">
        <f t="shared" si="885"/>
        <v>1075.3500000000001</v>
      </c>
      <c r="EV283" s="456">
        <f t="shared" si="886"/>
        <v>8.405631731061658E-2</v>
      </c>
      <c r="EW283" s="456">
        <f t="shared" si="887"/>
        <v>4.5348721710812445E-2</v>
      </c>
      <c r="EX283" s="456">
        <f t="shared" si="888"/>
        <v>6.15572510796233E-3</v>
      </c>
      <c r="EY283" s="456">
        <f t="shared" si="889"/>
        <v>42.657851179101606</v>
      </c>
      <c r="EZ283" s="456"/>
      <c r="FA283" s="538">
        <f t="shared" si="890"/>
        <v>8.1850310843079727E-2</v>
      </c>
      <c r="FB283" s="144">
        <f t="shared" si="891"/>
        <v>42875.262254074078</v>
      </c>
      <c r="FC283" s="150">
        <f t="shared" si="892"/>
        <v>47.055026134046294</v>
      </c>
      <c r="FD283" s="5">
        <f t="shared" si="893"/>
        <v>60.970000000000006</v>
      </c>
      <c r="FE283" s="150">
        <f t="shared" si="894"/>
        <v>0.56440625086582652</v>
      </c>
      <c r="FF283" s="5">
        <f t="shared" si="895"/>
        <v>56.440625086582649</v>
      </c>
      <c r="FG283">
        <f t="shared" si="896"/>
        <v>67</v>
      </c>
      <c r="FI283" s="59">
        <f t="shared" si="846"/>
        <v>-50</v>
      </c>
    </row>
    <row r="284" spans="5:165">
      <c r="E284" s="147">
        <v>68</v>
      </c>
      <c r="F284" s="188">
        <f t="shared" si="847"/>
        <v>0.34</v>
      </c>
      <c r="G284" s="188">
        <f t="shared" si="775"/>
        <v>0.34</v>
      </c>
      <c r="H284" s="188">
        <f t="shared" si="776"/>
        <v>57.800000000000004</v>
      </c>
      <c r="I284" s="188">
        <f t="shared" si="777"/>
        <v>4.08</v>
      </c>
      <c r="J284" s="465">
        <f t="shared" si="778"/>
        <v>15.933588933436388</v>
      </c>
      <c r="K284" s="379">
        <f t="shared" si="779"/>
        <v>8.6637529359423979</v>
      </c>
      <c r="L284" s="149">
        <f t="shared" si="780"/>
        <v>24.597341869378788</v>
      </c>
      <c r="M284" s="379"/>
      <c r="N284" s="188">
        <f t="shared" si="781"/>
        <v>0.3522231378475858</v>
      </c>
      <c r="O284" s="149">
        <f t="shared" si="782"/>
        <v>174.73816438140122</v>
      </c>
      <c r="P284" s="149">
        <f t="shared" si="783"/>
        <v>12.334458662216557</v>
      </c>
      <c r="Q284" s="188">
        <f t="shared" si="784"/>
        <v>1.0278715551847131</v>
      </c>
      <c r="R284" s="188">
        <f t="shared" si="785"/>
        <v>14.561513698450101</v>
      </c>
      <c r="S284" s="188">
        <f t="shared" si="786"/>
        <v>170</v>
      </c>
      <c r="T284" s="188">
        <f t="shared" si="787"/>
        <v>22.052041962182106</v>
      </c>
      <c r="U284" s="188">
        <f t="shared" si="788"/>
        <v>2.0759957522099342</v>
      </c>
      <c r="V284" s="188">
        <f t="shared" si="789"/>
        <v>3.817983175171777</v>
      </c>
      <c r="W284" s="172">
        <f t="shared" si="790"/>
        <v>280.60893456542664</v>
      </c>
      <c r="X284" s="379">
        <f t="shared" si="848"/>
        <v>164.0963993995384</v>
      </c>
      <c r="Z284" s="188">
        <f t="shared" si="791"/>
        <v>13.333333333333332</v>
      </c>
      <c r="AA284" s="150">
        <f t="shared" si="792"/>
        <v>2.3084684140781655</v>
      </c>
      <c r="AB284" s="150">
        <f t="shared" si="793"/>
        <v>0.20168876660423152</v>
      </c>
      <c r="AC284" s="150"/>
      <c r="AD284" s="150">
        <f t="shared" si="794"/>
        <v>2.3084684140781659</v>
      </c>
      <c r="AE284" s="314">
        <f t="shared" si="795"/>
        <v>473.04091030245479</v>
      </c>
      <c r="AF284" s="456">
        <f t="shared" si="796"/>
        <v>0.20168876660423157</v>
      </c>
      <c r="AH284" s="150">
        <f t="shared" si="797"/>
        <v>15.353609781850434</v>
      </c>
      <c r="AI284" s="150">
        <f t="shared" si="798"/>
        <v>22.052041962182106</v>
      </c>
      <c r="AJ284" s="150">
        <f t="shared" si="799"/>
        <v>7.6583026880361276</v>
      </c>
      <c r="AL284" s="314">
        <f t="shared" si="800"/>
        <v>340</v>
      </c>
      <c r="AM284" s="144">
        <f t="shared" si="801"/>
        <v>164.0963993995384</v>
      </c>
      <c r="AO284">
        <f t="shared" si="802"/>
        <v>340</v>
      </c>
      <c r="AP284">
        <f t="shared" si="803"/>
        <v>164.0963993995384</v>
      </c>
      <c r="AR284" s="5">
        <f t="shared" si="774"/>
        <v>6.0939789273817118</v>
      </c>
      <c r="AS284" s="5">
        <f t="shared" si="739"/>
        <v>2.0759957522099342</v>
      </c>
      <c r="AT284" s="5">
        <f t="shared" si="740"/>
        <v>4.0179831751717776</v>
      </c>
      <c r="AU284" s="150">
        <f t="shared" si="741"/>
        <v>0.3406634281063865</v>
      </c>
      <c r="BA284" s="150">
        <f t="shared" si="849"/>
        <v>7.4310629286202259</v>
      </c>
      <c r="BB284" s="150">
        <f t="shared" si="850"/>
        <v>0.48282450447908448</v>
      </c>
      <c r="BC284" s="150">
        <f t="shared" si="851"/>
        <v>0.45930456078662907</v>
      </c>
      <c r="BD284" s="150"/>
      <c r="BE284" s="456">
        <f t="shared" si="852"/>
        <v>0.18775036724698693</v>
      </c>
      <c r="BF284" s="456">
        <f t="shared" si="804"/>
        <v>2.131775944015093</v>
      </c>
      <c r="BG284" s="456">
        <f t="shared" si="805"/>
        <v>0.11975072146580731</v>
      </c>
      <c r="BH284" s="456">
        <f t="shared" si="853"/>
        <v>6.8008935616691885E-2</v>
      </c>
      <c r="BI284">
        <f t="shared" si="854"/>
        <v>7.1701150200463746E-3</v>
      </c>
      <c r="BJ284" s="144">
        <f t="shared" si="855"/>
        <v>126.9208364858537</v>
      </c>
      <c r="BK284">
        <f t="shared" si="806"/>
        <v>2.5520745847029338</v>
      </c>
      <c r="BL284" s="144">
        <f t="shared" si="856"/>
        <v>2514.4560833646256</v>
      </c>
      <c r="BM284" s="150">
        <f t="shared" si="807"/>
        <v>0.75437500000000002</v>
      </c>
      <c r="BN284" s="150">
        <f t="shared" si="808"/>
        <v>0.2414</v>
      </c>
      <c r="BQ284" s="144">
        <f t="shared" si="857"/>
        <v>995.77500000000009</v>
      </c>
      <c r="BR284" s="456">
        <f t="shared" si="858"/>
        <v>8.2831044373670712E-2</v>
      </c>
      <c r="BS284" s="456">
        <f t="shared" si="859"/>
        <v>4.6623900425094698E-2</v>
      </c>
      <c r="BT284" s="456">
        <f t="shared" si="860"/>
        <v>6.3288203867819465E-3</v>
      </c>
      <c r="BU284" s="456">
        <f t="shared" si="861"/>
        <v>39.385798941083884</v>
      </c>
      <c r="BV284" s="456"/>
      <c r="BW284" s="538">
        <f t="shared" si="862"/>
        <v>7.9798857281375091E-2</v>
      </c>
      <c r="BX284" s="144">
        <f t="shared" si="863"/>
        <v>39601.381563550807</v>
      </c>
      <c r="BY284" s="150">
        <f t="shared" si="864"/>
        <v>43.111612646915432</v>
      </c>
      <c r="BZ284" s="5">
        <f t="shared" si="865"/>
        <v>61.88</v>
      </c>
      <c r="CA284" s="150">
        <f t="shared" si="866"/>
        <v>0.58938041277736286</v>
      </c>
      <c r="CB284" s="5">
        <f t="shared" si="867"/>
        <v>58.938041277736289</v>
      </c>
      <c r="CC284">
        <f t="shared" si="868"/>
        <v>68</v>
      </c>
      <c r="CE284" s="59">
        <f t="shared" si="809"/>
        <v>-50</v>
      </c>
      <c r="CG284" s="150">
        <f t="shared" si="810"/>
        <v>0.63502377808469512</v>
      </c>
      <c r="CH284" s="150">
        <f t="shared" si="811"/>
        <v>0.17735551404972846</v>
      </c>
      <c r="CI284" s="147">
        <v>68</v>
      </c>
      <c r="CJ284" s="188">
        <f t="shared" si="869"/>
        <v>0.34</v>
      </c>
      <c r="CK284" s="188">
        <f t="shared" si="812"/>
        <v>0.34</v>
      </c>
      <c r="CL284" s="188">
        <f t="shared" si="813"/>
        <v>57.800000000000004</v>
      </c>
      <c r="CM284" s="188">
        <f t="shared" si="814"/>
        <v>4.08</v>
      </c>
      <c r="CN284" s="465">
        <f t="shared" si="815"/>
        <v>16</v>
      </c>
      <c r="CO284" s="379">
        <f t="shared" si="816"/>
        <v>8.625</v>
      </c>
      <c r="CP284" s="379">
        <f t="shared" si="817"/>
        <v>24.625</v>
      </c>
      <c r="CQ284" s="379"/>
      <c r="CR284" s="188">
        <f t="shared" si="818"/>
        <v>0.34787038923986141</v>
      </c>
      <c r="CS284" s="149">
        <f t="shared" si="819"/>
        <v>173.29806936491266</v>
      </c>
      <c r="CT284" s="149">
        <f t="shared" si="820"/>
        <v>12.232804896346776</v>
      </c>
      <c r="CU284" s="188">
        <f t="shared" si="821"/>
        <v>1.0194004080288981</v>
      </c>
      <c r="CV284" s="188">
        <f t="shared" si="822"/>
        <v>14.441505780409388</v>
      </c>
      <c r="CW284" s="188">
        <f t="shared" si="823"/>
        <v>170</v>
      </c>
      <c r="CX284" s="188">
        <f t="shared" si="824"/>
        <v>22.235292911540718</v>
      </c>
      <c r="CY284" s="188">
        <f t="shared" si="825"/>
        <v>2.0845587104569425</v>
      </c>
      <c r="CZ284" s="188">
        <f t="shared" si="826"/>
        <v>3.8670074628766469</v>
      </c>
      <c r="DA284" s="172">
        <f t="shared" si="827"/>
        <v>280.20304568527916</v>
      </c>
      <c r="DB284" s="379">
        <f t="shared" si="828"/>
        <v>168.02299947206674</v>
      </c>
      <c r="DD284" s="188">
        <f t="shared" si="829"/>
        <v>13.333333333333332</v>
      </c>
      <c r="DE284" s="150">
        <f t="shared" si="830"/>
        <v>2.318840579710145</v>
      </c>
      <c r="DF284" s="150">
        <f t="shared" si="831"/>
        <v>0.20230192819025303</v>
      </c>
      <c r="DG284" s="150"/>
      <c r="DH284" s="150">
        <f t="shared" si="832"/>
        <v>2.3188405797101455</v>
      </c>
      <c r="DI284" s="314">
        <f t="shared" si="833"/>
        <v>470.9249999999999</v>
      </c>
      <c r="DJ284" s="456">
        <f t="shared" si="834"/>
        <v>0.20230192819025311</v>
      </c>
      <c r="DL284" s="150">
        <f t="shared" si="835"/>
        <v>15.353609781850434</v>
      </c>
      <c r="DM284" s="150">
        <f t="shared" si="836"/>
        <v>22.235292911540718</v>
      </c>
      <c r="DN284" s="150">
        <f t="shared" si="837"/>
        <v>7.7940441320054692</v>
      </c>
      <c r="DP284" s="314">
        <f t="shared" si="838"/>
        <v>340</v>
      </c>
      <c r="DQ284" s="144">
        <f t="shared" si="839"/>
        <v>168.02299947206674</v>
      </c>
      <c r="DS284">
        <f t="shared" si="840"/>
        <v>340</v>
      </c>
      <c r="DT284">
        <f t="shared" si="841"/>
        <v>168.02299947206674</v>
      </c>
      <c r="DV284" s="5">
        <f t="shared" si="870"/>
        <v>5.9515661733335898</v>
      </c>
      <c r="DW284" s="5">
        <f t="shared" si="842"/>
        <v>2.0845587104569425</v>
      </c>
      <c r="DX284" s="5">
        <f t="shared" si="843"/>
        <v>3.8670074628766473</v>
      </c>
      <c r="DY284" s="150">
        <f t="shared" si="844"/>
        <v>0.35025380710659898</v>
      </c>
      <c r="EA284" s="5">
        <f t="shared" si="871"/>
        <v>0.41691174209138854</v>
      </c>
      <c r="EB284" s="5">
        <f t="shared" si="872"/>
        <v>5.9062496796280044</v>
      </c>
      <c r="EC284" s="5">
        <f t="shared" si="873"/>
        <v>23.28260743273648</v>
      </c>
      <c r="ED284" s="5"/>
      <c r="EE284" s="150">
        <f t="shared" si="874"/>
        <v>7.597551626002824</v>
      </c>
      <c r="EF284" s="150">
        <f t="shared" si="875"/>
        <v>0.48328313173625548</v>
      </c>
      <c r="EG284" s="150">
        <f t="shared" si="876"/>
        <v>0.45974084682630917</v>
      </c>
      <c r="EH284" s="150"/>
      <c r="EI284" s="456">
        <f t="shared" si="877"/>
        <v>0.1962574884132457</v>
      </c>
      <c r="EJ284" s="456">
        <f t="shared" si="878"/>
        <v>2.7967999999999997</v>
      </c>
      <c r="EK284" s="456">
        <f t="shared" si="879"/>
        <v>3.8477266879103286E-2</v>
      </c>
      <c r="EL284" s="456">
        <f t="shared" si="880"/>
        <v>6.979298659000524E-2</v>
      </c>
      <c r="EM284">
        <f t="shared" si="881"/>
        <v>7.1999999999999998E-3</v>
      </c>
      <c r="EN284" s="144">
        <f t="shared" si="882"/>
        <v>45.677266879103286</v>
      </c>
      <c r="EP284" s="144">
        <f t="shared" si="883"/>
        <v>3108.5277418823539</v>
      </c>
      <c r="EQ284" s="150">
        <f t="shared" si="884"/>
        <v>0.85000000000000009</v>
      </c>
      <c r="ER284" s="150">
        <f t="shared" si="845"/>
        <v>0.2414</v>
      </c>
      <c r="ES284" s="456"/>
      <c r="EU284" s="144">
        <f t="shared" si="885"/>
        <v>1091.4000000000001</v>
      </c>
      <c r="EV284" s="456">
        <f t="shared" si="886"/>
        <v>8.6584186064667237E-2</v>
      </c>
      <c r="EW284" s="456">
        <f t="shared" si="887"/>
        <v>4.6712517084160576E-2</v>
      </c>
      <c r="EX284" s="456">
        <f t="shared" si="888"/>
        <v>6.3408493872171559E-3</v>
      </c>
      <c r="EY284" s="456">
        <f t="shared" si="889"/>
        <v>42.657851179101634</v>
      </c>
      <c r="EZ284" s="456"/>
      <c r="FA284" s="538">
        <f t="shared" si="890"/>
        <v>8.307195727357343E-2</v>
      </c>
      <c r="FB284" s="144">
        <f t="shared" si="891"/>
        <v>42880.560688911253</v>
      </c>
      <c r="FC284" s="150">
        <f t="shared" si="892"/>
        <v>47.080488430793608</v>
      </c>
      <c r="FD284" s="5">
        <f t="shared" si="893"/>
        <v>61.88</v>
      </c>
      <c r="FE284" s="150">
        <f t="shared" si="894"/>
        <v>0.56791228537217098</v>
      </c>
      <c r="FF284" s="5">
        <f t="shared" si="895"/>
        <v>56.791228537217094</v>
      </c>
      <c r="FG284">
        <f t="shared" si="896"/>
        <v>68</v>
      </c>
      <c r="FI284" s="59">
        <f t="shared" si="846"/>
        <v>-50</v>
      </c>
    </row>
    <row r="285" spans="5:165">
      <c r="E285" s="147">
        <v>69</v>
      </c>
      <c r="F285" s="188">
        <f t="shared" si="847"/>
        <v>0.34499999999999997</v>
      </c>
      <c r="G285" s="188">
        <f t="shared" si="775"/>
        <v>0.34499999999999997</v>
      </c>
      <c r="H285" s="188">
        <f t="shared" si="776"/>
        <v>58.65</v>
      </c>
      <c r="I285" s="188">
        <f t="shared" si="777"/>
        <v>4.1399999999999997</v>
      </c>
      <c r="J285" s="465">
        <f t="shared" si="778"/>
        <v>15.932612300104571</v>
      </c>
      <c r="K285" s="379">
        <f t="shared" si="779"/>
        <v>8.6643228320591987</v>
      </c>
      <c r="L285" s="149">
        <f t="shared" si="780"/>
        <v>24.596935132163772</v>
      </c>
      <c r="M285" s="379"/>
      <c r="N285" s="188">
        <f t="shared" si="781"/>
        <v>0.3522521316377113</v>
      </c>
      <c r="O285" s="149">
        <f t="shared" si="782"/>
        <v>174.74183694061159</v>
      </c>
      <c r="P285" s="149">
        <f t="shared" si="783"/>
        <v>12.33471790169023</v>
      </c>
      <c r="Q285" s="188">
        <f t="shared" si="784"/>
        <v>1.0278931584741859</v>
      </c>
      <c r="R285" s="188">
        <f t="shared" si="785"/>
        <v>14.561819745050967</v>
      </c>
      <c r="S285" s="188">
        <f t="shared" si="786"/>
        <v>170</v>
      </c>
      <c r="T285" s="188">
        <f t="shared" si="787"/>
        <v>22.375866412168183</v>
      </c>
      <c r="U285" s="188">
        <f t="shared" si="788"/>
        <v>2.1066099510895637</v>
      </c>
      <c r="V285" s="188">
        <f t="shared" si="789"/>
        <v>3.8737937480886036</v>
      </c>
      <c r="W285" s="172">
        <f t="shared" si="790"/>
        <v>280.61483226345268</v>
      </c>
      <c r="X285" s="379">
        <f t="shared" si="848"/>
        <v>161.80172828078753</v>
      </c>
      <c r="Z285" s="188">
        <f t="shared" si="791"/>
        <v>13.333333333333334</v>
      </c>
      <c r="AA285" s="150">
        <f t="shared" si="792"/>
        <v>2.3083165744929564</v>
      </c>
      <c r="AB285" s="150">
        <f t="shared" si="793"/>
        <v>0.2016797392336796</v>
      </c>
      <c r="AC285" s="150"/>
      <c r="AD285" s="150">
        <f t="shared" si="794"/>
        <v>2.3083165744929564</v>
      </c>
      <c r="AE285" s="314">
        <f t="shared" si="795"/>
        <v>480.02896819852674</v>
      </c>
      <c r="AF285" s="456">
        <f t="shared" si="796"/>
        <v>0.20167973923367966</v>
      </c>
      <c r="AH285" s="150">
        <f t="shared" si="797"/>
        <v>15.466091943344964</v>
      </c>
      <c r="AI285" s="150">
        <f t="shared" si="798"/>
        <v>22.375866412168183</v>
      </c>
      <c r="AJ285" s="150">
        <f t="shared" si="799"/>
        <v>7.8981726509887773</v>
      </c>
      <c r="AL285" s="314">
        <f t="shared" si="800"/>
        <v>345</v>
      </c>
      <c r="AM285" s="144">
        <f t="shared" si="801"/>
        <v>161.80172828078753</v>
      </c>
      <c r="AO285">
        <f t="shared" si="802"/>
        <v>345</v>
      </c>
      <c r="AP285">
        <f t="shared" si="803"/>
        <v>161.80172828078753</v>
      </c>
      <c r="AR285" s="5">
        <f t="shared" si="774"/>
        <v>6.1804036991781679</v>
      </c>
      <c r="AS285" s="5">
        <f t="shared" si="739"/>
        <v>2.1066099510895637</v>
      </c>
      <c r="AT285" s="5">
        <f t="shared" si="740"/>
        <v>4.0737937480886046</v>
      </c>
      <c r="AU285" s="150">
        <f t="shared" si="741"/>
        <v>0.34085313089979669</v>
      </c>
      <c r="BA285" s="150">
        <f t="shared" si="849"/>
        <v>7.5422839220276874</v>
      </c>
      <c r="BB285" s="150">
        <f t="shared" si="850"/>
        <v>0.48984408444670224</v>
      </c>
      <c r="BC285" s="150">
        <f t="shared" si="851"/>
        <v>0.46598219430361842</v>
      </c>
      <c r="BD285" s="150"/>
      <c r="BE285" s="456">
        <f t="shared" si="852"/>
        <v>0.19341255898562301</v>
      </c>
      <c r="BF285" s="456">
        <f t="shared" si="804"/>
        <v>2.1327970447957965</v>
      </c>
      <c r="BG285" s="456">
        <f t="shared" si="805"/>
        <v>0.1180689286432571</v>
      </c>
      <c r="BH285" s="456">
        <f t="shared" si="853"/>
        <v>6.7055702900731415E-2</v>
      </c>
      <c r="BI285">
        <f t="shared" si="854"/>
        <v>7.1696755350470565E-3</v>
      </c>
      <c r="BJ285" s="144">
        <f t="shared" si="855"/>
        <v>125.23860417830416</v>
      </c>
      <c r="BK285">
        <f t="shared" si="806"/>
        <v>2.5632818645966062</v>
      </c>
      <c r="BL285" s="144">
        <f t="shared" si="856"/>
        <v>2518.5039108604551</v>
      </c>
      <c r="BM285" s="150">
        <f t="shared" si="807"/>
        <v>0.76546874999999992</v>
      </c>
      <c r="BN285" s="150">
        <f t="shared" si="808"/>
        <v>0.24494999999999995</v>
      </c>
      <c r="BQ285" s="144">
        <f t="shared" si="857"/>
        <v>1010.4187499999999</v>
      </c>
      <c r="BR285" s="456">
        <f t="shared" si="858"/>
        <v>8.5329070140716029E-2</v>
      </c>
      <c r="BS285" s="456">
        <f t="shared" si="859"/>
        <v>4.7989445413485599E-2</v>
      </c>
      <c r="BT285" s="456">
        <f t="shared" si="860"/>
        <v>6.5141821622404549E-3</v>
      </c>
      <c r="BU285" s="456">
        <f t="shared" si="861"/>
        <v>39.434609649644358</v>
      </c>
      <c r="BV285" s="456"/>
      <c r="BW285" s="538">
        <f t="shared" si="862"/>
        <v>8.1010791861666487E-2</v>
      </c>
      <c r="BX285" s="144">
        <f t="shared" si="863"/>
        <v>39655.453139222467</v>
      </c>
      <c r="BY285" s="150">
        <f t="shared" si="864"/>
        <v>43.184375800082918</v>
      </c>
      <c r="BZ285" s="5">
        <f t="shared" si="865"/>
        <v>62.79</v>
      </c>
      <c r="CA285" s="150">
        <f t="shared" si="866"/>
        <v>0.59250172058999628</v>
      </c>
      <c r="CB285" s="5">
        <f t="shared" si="867"/>
        <v>59.250172058999631</v>
      </c>
      <c r="CC285">
        <f t="shared" si="868"/>
        <v>69</v>
      </c>
      <c r="CE285" s="59">
        <f t="shared" si="809"/>
        <v>-50</v>
      </c>
      <c r="CG285" s="150">
        <f t="shared" si="810"/>
        <v>0.63502377808469512</v>
      </c>
      <c r="CH285" s="150">
        <f t="shared" si="811"/>
        <v>0.17735551404972849</v>
      </c>
      <c r="CI285" s="147">
        <v>69</v>
      </c>
      <c r="CJ285" s="188">
        <f t="shared" si="869"/>
        <v>0.34499999999999997</v>
      </c>
      <c r="CK285" s="188">
        <f t="shared" si="812"/>
        <v>0.34499999999999997</v>
      </c>
      <c r="CL285" s="188">
        <f t="shared" si="813"/>
        <v>58.65</v>
      </c>
      <c r="CM285" s="188">
        <f t="shared" si="814"/>
        <v>4.1399999999999997</v>
      </c>
      <c r="CN285" s="465">
        <f t="shared" si="815"/>
        <v>16</v>
      </c>
      <c r="CO285" s="379">
        <f t="shared" si="816"/>
        <v>8.625</v>
      </c>
      <c r="CP285" s="379">
        <f t="shared" si="817"/>
        <v>24.625</v>
      </c>
      <c r="CQ285" s="379"/>
      <c r="CR285" s="188">
        <f t="shared" si="818"/>
        <v>0.34787038923986141</v>
      </c>
      <c r="CS285" s="149">
        <f t="shared" si="819"/>
        <v>173.29806936491266</v>
      </c>
      <c r="CT285" s="149">
        <f t="shared" si="820"/>
        <v>12.232804896346776</v>
      </c>
      <c r="CU285" s="188">
        <f t="shared" si="821"/>
        <v>1.0194004080288981</v>
      </c>
      <c r="CV285" s="188">
        <f t="shared" si="822"/>
        <v>14.441505780409388</v>
      </c>
      <c r="CW285" s="188">
        <f t="shared" si="823"/>
        <v>170</v>
      </c>
      <c r="CX285" s="188">
        <f t="shared" si="824"/>
        <v>22.562282513181021</v>
      </c>
      <c r="CY285" s="188">
        <f t="shared" si="825"/>
        <v>2.1152139856107208</v>
      </c>
      <c r="CZ285" s="188">
        <f t="shared" si="826"/>
        <v>3.9238752196836564</v>
      </c>
      <c r="DA285" s="172">
        <f t="shared" si="827"/>
        <v>280.20304568527916</v>
      </c>
      <c r="DB285" s="379">
        <f t="shared" si="828"/>
        <v>165.58788353768898</v>
      </c>
      <c r="DD285" s="188">
        <f t="shared" si="829"/>
        <v>13.333333333333332</v>
      </c>
      <c r="DE285" s="150">
        <f t="shared" si="830"/>
        <v>2.318840579710145</v>
      </c>
      <c r="DF285" s="150">
        <f t="shared" si="831"/>
        <v>0.20230192819025303</v>
      </c>
      <c r="DG285" s="150"/>
      <c r="DH285" s="150">
        <f t="shared" si="832"/>
        <v>2.3188405797101455</v>
      </c>
      <c r="DI285" s="314">
        <f t="shared" si="833"/>
        <v>477.85036764705865</v>
      </c>
      <c r="DJ285" s="456">
        <f t="shared" si="834"/>
        <v>0.20230192819025311</v>
      </c>
      <c r="DL285" s="150">
        <f t="shared" si="835"/>
        <v>15.466091943344964</v>
      </c>
      <c r="DM285" s="150">
        <f t="shared" si="836"/>
        <v>22.562282513181021</v>
      </c>
      <c r="DN285" s="150">
        <f t="shared" si="837"/>
        <v>8.0362586517390273</v>
      </c>
      <c r="DP285" s="314">
        <f t="shared" si="838"/>
        <v>345</v>
      </c>
      <c r="DQ285" s="144">
        <f t="shared" si="839"/>
        <v>165.58788353768898</v>
      </c>
      <c r="DS285">
        <f t="shared" si="840"/>
        <v>345</v>
      </c>
      <c r="DT285">
        <f t="shared" si="841"/>
        <v>165.58788353768898</v>
      </c>
      <c r="DV285" s="5">
        <f t="shared" si="870"/>
        <v>6.0390892052943768</v>
      </c>
      <c r="DW285" s="5">
        <f t="shared" si="842"/>
        <v>2.1152139856107208</v>
      </c>
      <c r="DX285" s="5">
        <f t="shared" si="843"/>
        <v>3.9238752196836559</v>
      </c>
      <c r="DY285" s="150">
        <f t="shared" si="844"/>
        <v>0.35025380710659898</v>
      </c>
      <c r="EA285" s="5">
        <f t="shared" si="871"/>
        <v>0.42926401472688158</v>
      </c>
      <c r="EB285" s="5">
        <f t="shared" si="872"/>
        <v>6.0812402086308222</v>
      </c>
      <c r="EC285" s="5">
        <f t="shared" si="873"/>
        <v>23.97242517025483</v>
      </c>
      <c r="ED285" s="5"/>
      <c r="EE285" s="150">
        <f t="shared" si="874"/>
        <v>7.7092803263852181</v>
      </c>
      <c r="EF285" s="150">
        <f t="shared" si="875"/>
        <v>0.49039023661472964</v>
      </c>
      <c r="EG285" s="150">
        <f t="shared" si="876"/>
        <v>0.46650174163257835</v>
      </c>
      <c r="EH285" s="150"/>
      <c r="EI285" s="456">
        <f t="shared" si="877"/>
        <v>0.20207221071268661</v>
      </c>
      <c r="EJ285" s="456">
        <f t="shared" si="878"/>
        <v>2.7968000000000002</v>
      </c>
      <c r="EK285" s="456">
        <f t="shared" si="879"/>
        <v>3.7919625330130775E-2</v>
      </c>
      <c r="EL285" s="456">
        <f t="shared" si="880"/>
        <v>6.8781494030729806E-2</v>
      </c>
      <c r="EM285">
        <f t="shared" si="881"/>
        <v>7.1999999999999998E-3</v>
      </c>
      <c r="EN285" s="144">
        <f t="shared" si="882"/>
        <v>45.119625330130773</v>
      </c>
      <c r="EP285" s="144">
        <f t="shared" si="883"/>
        <v>3112.7733300735472</v>
      </c>
      <c r="EQ285" s="150">
        <f t="shared" si="884"/>
        <v>0.86249999999999993</v>
      </c>
      <c r="ER285" s="150">
        <f t="shared" si="845"/>
        <v>0.24494999999999995</v>
      </c>
      <c r="ES285" s="456"/>
      <c r="EU285" s="144">
        <f t="shared" si="885"/>
        <v>1107.4499999999998</v>
      </c>
      <c r="EV285" s="456">
        <f t="shared" si="886"/>
        <v>8.9149504726185269E-2</v>
      </c>
      <c r="EW285" s="456">
        <f t="shared" si="887"/>
        <v>4.8096516833410104E-2</v>
      </c>
      <c r="EX285" s="456">
        <f t="shared" si="888"/>
        <v>6.528716248386867E-3</v>
      </c>
      <c r="EY285" s="456">
        <f t="shared" si="889"/>
        <v>42.657851179101598</v>
      </c>
      <c r="EZ285" s="456"/>
      <c r="FA285" s="538">
        <f t="shared" si="890"/>
        <v>8.429360370406716E-2</v>
      </c>
      <c r="FB285" s="144">
        <f t="shared" si="891"/>
        <v>42885.91952061365</v>
      </c>
      <c r="FC285" s="150">
        <f t="shared" si="892"/>
        <v>47.106142850687199</v>
      </c>
      <c r="FD285" s="5">
        <f t="shared" si="893"/>
        <v>62.79</v>
      </c>
      <c r="FE285" s="150">
        <f t="shared" si="894"/>
        <v>0.57135763249954108</v>
      </c>
      <c r="FF285" s="5">
        <f t="shared" si="895"/>
        <v>57.13576324995411</v>
      </c>
      <c r="FG285">
        <f t="shared" si="896"/>
        <v>69</v>
      </c>
      <c r="FI285" s="59">
        <f t="shared" si="846"/>
        <v>-50</v>
      </c>
    </row>
    <row r="286" spans="5:165">
      <c r="E286" s="147">
        <v>70</v>
      </c>
      <c r="F286" s="188">
        <f t="shared" si="847"/>
        <v>0.35</v>
      </c>
      <c r="G286" s="188">
        <f t="shared" si="775"/>
        <v>0.35</v>
      </c>
      <c r="H286" s="188">
        <f t="shared" si="776"/>
        <v>59.499999999999993</v>
      </c>
      <c r="I286" s="188">
        <f t="shared" si="777"/>
        <v>4.1999999999999993</v>
      </c>
      <c r="J286" s="465">
        <f t="shared" si="778"/>
        <v>15.931635666772753</v>
      </c>
      <c r="K286" s="379">
        <f t="shared" si="779"/>
        <v>8.6648927281759978</v>
      </c>
      <c r="L286" s="149">
        <f t="shared" si="780"/>
        <v>24.596528394948749</v>
      </c>
      <c r="M286" s="379"/>
      <c r="N286" s="188">
        <f t="shared" si="781"/>
        <v>0.35228112638674075</v>
      </c>
      <c r="O286" s="149">
        <f t="shared" si="782"/>
        <v>174.74550821219037</v>
      </c>
      <c r="P286" s="149">
        <f t="shared" si="783"/>
        <v>12.334977050272263</v>
      </c>
      <c r="Q286" s="188">
        <f t="shared" si="784"/>
        <v>1.0279147541893552</v>
      </c>
      <c r="R286" s="188">
        <f t="shared" si="785"/>
        <v>14.562125684349198</v>
      </c>
      <c r="S286" s="188">
        <f t="shared" si="786"/>
        <v>170</v>
      </c>
      <c r="T286" s="188">
        <f t="shared" si="787"/>
        <v>22.699677418031328</v>
      </c>
      <c r="U286" s="188">
        <f t="shared" si="788"/>
        <v>2.1372266375674878</v>
      </c>
      <c r="V286" s="188">
        <f t="shared" si="789"/>
        <v>3.9295946522600027</v>
      </c>
      <c r="W286" s="172">
        <f t="shared" si="790"/>
        <v>280.62072789369392</v>
      </c>
      <c r="X286" s="379">
        <f t="shared" si="848"/>
        <v>159.57053085640604</v>
      </c>
      <c r="Z286" s="188">
        <f t="shared" si="791"/>
        <v>13.333333333333336</v>
      </c>
      <c r="AA286" s="150">
        <f t="shared" si="792"/>
        <v>2.3081647548809414</v>
      </c>
      <c r="AB286" s="150">
        <f t="shared" si="793"/>
        <v>0.20167071156456801</v>
      </c>
      <c r="AC286" s="150"/>
      <c r="AD286" s="150">
        <f t="shared" si="794"/>
        <v>2.3081647548809414</v>
      </c>
      <c r="AE286" s="314">
        <f t="shared" si="795"/>
        <v>487.01794128071549</v>
      </c>
      <c r="AF286" s="456">
        <f t="shared" si="796"/>
        <v>0.20167071156456798</v>
      </c>
      <c r="AH286" s="150">
        <f t="shared" si="797"/>
        <v>15.577761927397228</v>
      </c>
      <c r="AI286" s="150">
        <f t="shared" si="798"/>
        <v>22.699677418031328</v>
      </c>
      <c r="AJ286" s="150">
        <f t="shared" si="799"/>
        <v>8.1380326553318465</v>
      </c>
      <c r="AL286" s="314">
        <f t="shared" si="800"/>
        <v>350</v>
      </c>
      <c r="AM286" s="144">
        <f t="shared" si="801"/>
        <v>159.57053085640604</v>
      </c>
      <c r="AO286">
        <f t="shared" si="802"/>
        <v>350</v>
      </c>
      <c r="AP286">
        <f t="shared" si="803"/>
        <v>159.57053085640604</v>
      </c>
      <c r="AR286" s="5">
        <f t="shared" si="774"/>
        <v>6.266821289827492</v>
      </c>
      <c r="AS286" s="5">
        <f t="shared" si="739"/>
        <v>2.1372266375674878</v>
      </c>
      <c r="AT286" s="5">
        <f t="shared" si="740"/>
        <v>4.1295946522600042</v>
      </c>
      <c r="AU286" s="150">
        <f t="shared" si="741"/>
        <v>0.34103838911709572</v>
      </c>
      <c r="BA286" s="150">
        <f t="shared" si="849"/>
        <v>7.6535106755207334</v>
      </c>
      <c r="BB286" s="150">
        <f t="shared" si="850"/>
        <v>0.49686299539744594</v>
      </c>
      <c r="BC286" s="150">
        <f t="shared" si="851"/>
        <v>0.47265919139371004</v>
      </c>
      <c r="BD286" s="150"/>
      <c r="BE286" s="456">
        <f t="shared" si="852"/>
        <v>0.19915916724505342</v>
      </c>
      <c r="BF286" s="456">
        <f t="shared" si="804"/>
        <v>2.1337901565421031</v>
      </c>
      <c r="BG286" s="456">
        <f t="shared" si="805"/>
        <v>0.11643365588270635</v>
      </c>
      <c r="BH286" s="456">
        <f t="shared" si="853"/>
        <v>6.6128837740260349E-2</v>
      </c>
      <c r="BI286">
        <f t="shared" si="854"/>
        <v>7.1692360500477384E-3</v>
      </c>
      <c r="BJ286" s="144">
        <f t="shared" si="855"/>
        <v>123.60289193275409</v>
      </c>
      <c r="BK286">
        <f t="shared" si="806"/>
        <v>2.5746858318836523</v>
      </c>
      <c r="BL286" s="144">
        <f t="shared" si="856"/>
        <v>2522.6810534601705</v>
      </c>
      <c r="BM286" s="150">
        <f t="shared" si="807"/>
        <v>0.77656249999999993</v>
      </c>
      <c r="BN286" s="150">
        <f t="shared" si="808"/>
        <v>0.24849999999999997</v>
      </c>
      <c r="BQ286" s="144">
        <f t="shared" si="857"/>
        <v>1025.0625</v>
      </c>
      <c r="BR286" s="456">
        <f t="shared" si="858"/>
        <v>8.7864338490464752E-2</v>
      </c>
      <c r="BS286" s="456">
        <f t="shared" si="859"/>
        <v>4.9374567239064478E-2</v>
      </c>
      <c r="BT286" s="456">
        <f t="shared" si="860"/>
        <v>6.7022013362686749E-3</v>
      </c>
      <c r="BU286" s="456">
        <f t="shared" si="861"/>
        <v>39.482163514288658</v>
      </c>
      <c r="BV286" s="456"/>
      <c r="BW286" s="538">
        <f t="shared" si="862"/>
        <v>8.2222761915852483E-2</v>
      </c>
      <c r="BX286" s="144">
        <f t="shared" si="863"/>
        <v>39708.327383270305</v>
      </c>
      <c r="BY286" s="150">
        <f t="shared" si="864"/>
        <v>43.256070936730474</v>
      </c>
      <c r="BZ286" s="5">
        <f t="shared" si="865"/>
        <v>63.699999999999989</v>
      </c>
      <c r="CA286" s="150">
        <f t="shared" si="866"/>
        <v>0.59557161591773056</v>
      </c>
      <c r="CB286" s="5">
        <f t="shared" si="867"/>
        <v>59.557161591773053</v>
      </c>
      <c r="CC286">
        <f t="shared" si="868"/>
        <v>70</v>
      </c>
      <c r="CE286" s="59">
        <f t="shared" si="809"/>
        <v>-50</v>
      </c>
      <c r="CG286" s="150">
        <f t="shared" si="810"/>
        <v>0.63502377808469523</v>
      </c>
      <c r="CH286" s="150">
        <f t="shared" si="811"/>
        <v>0.17735551404972849</v>
      </c>
      <c r="CI286" s="147">
        <v>70</v>
      </c>
      <c r="CJ286" s="188">
        <f t="shared" si="869"/>
        <v>0.35</v>
      </c>
      <c r="CK286" s="188">
        <f t="shared" si="812"/>
        <v>0.35</v>
      </c>
      <c r="CL286" s="188">
        <f t="shared" si="813"/>
        <v>59.499999999999993</v>
      </c>
      <c r="CM286" s="188">
        <f t="shared" si="814"/>
        <v>4.1999999999999993</v>
      </c>
      <c r="CN286" s="465">
        <f t="shared" si="815"/>
        <v>16</v>
      </c>
      <c r="CO286" s="379">
        <f t="shared" si="816"/>
        <v>8.625</v>
      </c>
      <c r="CP286" s="379">
        <f t="shared" si="817"/>
        <v>24.625</v>
      </c>
      <c r="CQ286" s="379"/>
      <c r="CR286" s="188">
        <f t="shared" si="818"/>
        <v>0.34787038923986141</v>
      </c>
      <c r="CS286" s="149">
        <f t="shared" si="819"/>
        <v>173.29806936491266</v>
      </c>
      <c r="CT286" s="149">
        <f t="shared" si="820"/>
        <v>12.232804896346776</v>
      </c>
      <c r="CU286" s="188">
        <f t="shared" si="821"/>
        <v>1.0194004080288981</v>
      </c>
      <c r="CV286" s="188">
        <f t="shared" si="822"/>
        <v>14.441505780409388</v>
      </c>
      <c r="CW286" s="188">
        <f t="shared" si="823"/>
        <v>170</v>
      </c>
      <c r="CX286" s="188">
        <f t="shared" si="824"/>
        <v>22.889272114821321</v>
      </c>
      <c r="CY286" s="188">
        <f t="shared" si="825"/>
        <v>2.1458692607644987</v>
      </c>
      <c r="CZ286" s="188">
        <f t="shared" si="826"/>
        <v>3.980742976490665</v>
      </c>
      <c r="DA286" s="172">
        <f t="shared" si="827"/>
        <v>280.20304568527916</v>
      </c>
      <c r="DB286" s="379">
        <f t="shared" si="828"/>
        <v>163.22234234429345</v>
      </c>
      <c r="DD286" s="188">
        <f t="shared" si="829"/>
        <v>13.333333333333332</v>
      </c>
      <c r="DE286" s="150">
        <f t="shared" si="830"/>
        <v>2.318840579710145</v>
      </c>
      <c r="DF286" s="150">
        <f t="shared" si="831"/>
        <v>0.20230192819025303</v>
      </c>
      <c r="DG286" s="150"/>
      <c r="DH286" s="150">
        <f t="shared" si="832"/>
        <v>2.3188405797101455</v>
      </c>
      <c r="DI286" s="314">
        <f t="shared" si="833"/>
        <v>484.77573529411745</v>
      </c>
      <c r="DJ286" s="456">
        <f t="shared" si="834"/>
        <v>0.20230192819025311</v>
      </c>
      <c r="DL286" s="150">
        <f t="shared" si="835"/>
        <v>15.577761927397228</v>
      </c>
      <c r="DM286" s="150">
        <f t="shared" si="836"/>
        <v>22.889272114821321</v>
      </c>
      <c r="DN286" s="150">
        <f t="shared" si="837"/>
        <v>8.2784731714725819</v>
      </c>
      <c r="DP286" s="314">
        <f t="shared" si="838"/>
        <v>350</v>
      </c>
      <c r="DQ286" s="144">
        <f t="shared" si="839"/>
        <v>163.22234234429345</v>
      </c>
      <c r="DS286">
        <f t="shared" si="840"/>
        <v>350</v>
      </c>
      <c r="DT286">
        <f t="shared" si="841"/>
        <v>163.22234234429345</v>
      </c>
      <c r="DV286" s="5">
        <f t="shared" si="870"/>
        <v>6.1266122372551646</v>
      </c>
      <c r="DW286" s="5">
        <f t="shared" si="842"/>
        <v>2.1458692607644987</v>
      </c>
      <c r="DX286" s="5">
        <f t="shared" si="843"/>
        <v>3.9807429764906659</v>
      </c>
      <c r="DY286" s="150">
        <f t="shared" si="844"/>
        <v>0.35025380710659887</v>
      </c>
      <c r="EA286" s="5">
        <f t="shared" si="871"/>
        <v>0.44179661251033792</v>
      </c>
      <c r="EB286" s="5">
        <f t="shared" si="872"/>
        <v>6.258785343896454</v>
      </c>
      <c r="EC286" s="5">
        <f t="shared" si="873"/>
        <v>24.672313239707766</v>
      </c>
      <c r="ED286" s="5"/>
      <c r="EE286" s="150">
        <f t="shared" si="874"/>
        <v>7.8210090267676096</v>
      </c>
      <c r="EF286" s="150">
        <f t="shared" si="875"/>
        <v>0.49749734149320401</v>
      </c>
      <c r="EG286" s="150">
        <f t="shared" si="876"/>
        <v>0.47326263643884764</v>
      </c>
      <c r="EH286" s="150"/>
      <c r="EI286" s="456">
        <f t="shared" si="877"/>
        <v>0.20797181946905344</v>
      </c>
      <c r="EJ286" s="456">
        <f t="shared" si="878"/>
        <v>2.7967999999999997</v>
      </c>
      <c r="EK286" s="456">
        <f t="shared" si="879"/>
        <v>3.7377916396843201E-2</v>
      </c>
      <c r="EL286" s="456">
        <f t="shared" si="880"/>
        <v>6.7798901258862246E-2</v>
      </c>
      <c r="EM286">
        <f t="shared" si="881"/>
        <v>7.1999999999999998E-3</v>
      </c>
      <c r="EN286" s="144">
        <f t="shared" si="882"/>
        <v>44.5779163968432</v>
      </c>
      <c r="EP286" s="144">
        <f t="shared" si="883"/>
        <v>3117.1486371247588</v>
      </c>
      <c r="EQ286" s="150">
        <f t="shared" si="884"/>
        <v>0.875</v>
      </c>
      <c r="ER286" s="150">
        <f t="shared" si="845"/>
        <v>0.24849999999999997</v>
      </c>
      <c r="ES286" s="456"/>
      <c r="EU286" s="144">
        <f t="shared" si="885"/>
        <v>1123.5</v>
      </c>
      <c r="EV286" s="456">
        <f t="shared" si="886"/>
        <v>9.1752273295170647E-2</v>
      </c>
      <c r="EW286" s="456">
        <f t="shared" si="887"/>
        <v>4.9500720958561131E-2</v>
      </c>
      <c r="EX286" s="456">
        <f t="shared" si="888"/>
        <v>6.719325691471466E-3</v>
      </c>
      <c r="EY286" s="456">
        <f t="shared" si="889"/>
        <v>42.657851179101598</v>
      </c>
      <c r="EZ286" s="456"/>
      <c r="FA286" s="538">
        <f t="shared" si="890"/>
        <v>8.5515250134560863E-2</v>
      </c>
      <c r="FB286" s="144">
        <f t="shared" si="891"/>
        <v>42891.338749181363</v>
      </c>
      <c r="FC286" s="150">
        <f t="shared" si="892"/>
        <v>47.131987386306122</v>
      </c>
      <c r="FD286" s="5">
        <f t="shared" si="893"/>
        <v>63.699999999999989</v>
      </c>
      <c r="FE286" s="150">
        <f t="shared" si="894"/>
        <v>0.5747438217269617</v>
      </c>
      <c r="FF286" s="5">
        <f t="shared" si="895"/>
        <v>57.474382172696167</v>
      </c>
      <c r="FG286">
        <f t="shared" si="896"/>
        <v>70</v>
      </c>
      <c r="FI286" s="59">
        <f t="shared" si="846"/>
        <v>-50</v>
      </c>
    </row>
    <row r="287" spans="5:165">
      <c r="E287" s="147">
        <v>71</v>
      </c>
      <c r="F287" s="188">
        <f t="shared" si="847"/>
        <v>0.35499999999999998</v>
      </c>
      <c r="G287" s="188">
        <f t="shared" si="775"/>
        <v>0.35499999999999998</v>
      </c>
      <c r="H287" s="188">
        <f t="shared" si="776"/>
        <v>60.349999999999994</v>
      </c>
      <c r="I287" s="188">
        <f t="shared" si="777"/>
        <v>4.26</v>
      </c>
      <c r="J287" s="465">
        <f t="shared" si="778"/>
        <v>15.930659033440936</v>
      </c>
      <c r="K287" s="379">
        <f t="shared" si="779"/>
        <v>8.6654626242927986</v>
      </c>
      <c r="L287" s="149">
        <f t="shared" si="780"/>
        <v>24.596121657733732</v>
      </c>
      <c r="M287" s="379"/>
      <c r="N287" s="188">
        <f t="shared" si="781"/>
        <v>0.35231012209472162</v>
      </c>
      <c r="O287" s="149">
        <f t="shared" si="782"/>
        <v>174.74917819607376</v>
      </c>
      <c r="P287" s="149">
        <f t="shared" si="783"/>
        <v>12.335236107958147</v>
      </c>
      <c r="Q287" s="188">
        <f t="shared" si="784"/>
        <v>1.0279363423298455</v>
      </c>
      <c r="R287" s="188">
        <f t="shared" si="785"/>
        <v>14.56243151633948</v>
      </c>
      <c r="S287" s="188">
        <f t="shared" si="786"/>
        <v>170</v>
      </c>
      <c r="T287" s="188">
        <f t="shared" si="787"/>
        <v>23.023474987785264</v>
      </c>
      <c r="U287" s="188">
        <f t="shared" si="788"/>
        <v>2.1678458128557709</v>
      </c>
      <c r="V287" s="188">
        <f t="shared" si="789"/>
        <v>3.9853858909807909</v>
      </c>
      <c r="W287" s="172">
        <f t="shared" si="790"/>
        <v>280.62662145604776</v>
      </c>
      <c r="X287" s="379">
        <f t="shared" si="848"/>
        <v>157.40020931333643</v>
      </c>
      <c r="Z287" s="188">
        <f t="shared" si="791"/>
        <v>13.333333333333334</v>
      </c>
      <c r="AA287" s="150">
        <f t="shared" si="792"/>
        <v>2.3080129552381785</v>
      </c>
      <c r="AB287" s="150">
        <f t="shared" si="793"/>
        <v>0.20166168359688158</v>
      </c>
      <c r="AC287" s="150"/>
      <c r="AD287" s="150">
        <f t="shared" si="794"/>
        <v>2.3080129552381785</v>
      </c>
      <c r="AE287" s="314">
        <f t="shared" si="795"/>
        <v>494.00782954902132</v>
      </c>
      <c r="AF287" s="456">
        <f t="shared" si="796"/>
        <v>0.20166168359688158</v>
      </c>
      <c r="AH287" s="150">
        <f t="shared" si="797"/>
        <v>15.688637076984518</v>
      </c>
      <c r="AI287" s="150">
        <f t="shared" si="798"/>
        <v>23.023474987785264</v>
      </c>
      <c r="AJ287" s="150">
        <f t="shared" si="799"/>
        <v>8.3778827070014295</v>
      </c>
      <c r="AL287" s="314">
        <f t="shared" si="800"/>
        <v>355</v>
      </c>
      <c r="AM287" s="144">
        <f t="shared" si="801"/>
        <v>157.40020931333643</v>
      </c>
      <c r="AO287">
        <f t="shared" si="802"/>
        <v>355</v>
      </c>
      <c r="AP287">
        <f t="shared" si="803"/>
        <v>157.40020931333643</v>
      </c>
      <c r="AR287" s="5">
        <f t="shared" si="774"/>
        <v>6.3532317038365624</v>
      </c>
      <c r="AS287" s="5">
        <f t="shared" si="739"/>
        <v>2.1678458128557709</v>
      </c>
      <c r="AT287" s="5">
        <f t="shared" si="740"/>
        <v>4.1853858909807915</v>
      </c>
      <c r="AU287" s="150">
        <f t="shared" si="741"/>
        <v>0.34121938470253832</v>
      </c>
      <c r="BA287" s="150">
        <f t="shared" si="849"/>
        <v>7.764743140331607</v>
      </c>
      <c r="BB287" s="150">
        <f t="shared" si="850"/>
        <v>0.50388124002948786</v>
      </c>
      <c r="BC287" s="150">
        <f t="shared" si="851"/>
        <v>0.47933555462363953</v>
      </c>
      <c r="BD287" s="150"/>
      <c r="BE287" s="456">
        <f t="shared" si="852"/>
        <v>0.20499020252011094</v>
      </c>
      <c r="BF287" s="456">
        <f t="shared" si="804"/>
        <v>2.1347564240449861</v>
      </c>
      <c r="BG287" s="456">
        <f t="shared" si="805"/>
        <v>0.11484299923942527</v>
      </c>
      <c r="BH287" s="456">
        <f t="shared" si="853"/>
        <v>6.5227260979974624E-2</v>
      </c>
      <c r="BI287">
        <f t="shared" si="854"/>
        <v>7.1687965650484211E-3</v>
      </c>
      <c r="BJ287" s="144">
        <f t="shared" si="855"/>
        <v>122.01179580447369</v>
      </c>
      <c r="BK287">
        <f t="shared" si="806"/>
        <v>2.5862881446011281</v>
      </c>
      <c r="BL287" s="144">
        <f t="shared" si="856"/>
        <v>2526.9856833495451</v>
      </c>
      <c r="BM287" s="150">
        <f t="shared" si="807"/>
        <v>0.78765624999999995</v>
      </c>
      <c r="BN287" s="150">
        <f t="shared" si="808"/>
        <v>0.25204999999999994</v>
      </c>
      <c r="BQ287" s="144">
        <f t="shared" si="857"/>
        <v>1039.7062499999997</v>
      </c>
      <c r="BR287" s="456">
        <f t="shared" si="858"/>
        <v>9.0436854052990123E-2</v>
      </c>
      <c r="BS287" s="456">
        <f t="shared" si="859"/>
        <v>5.0779260810730878E-2</v>
      </c>
      <c r="BT287" s="456">
        <f t="shared" si="860"/>
        <v>6.8928772177905629E-3</v>
      </c>
      <c r="BU287" s="456">
        <f t="shared" si="861"/>
        <v>39.528510669174089</v>
      </c>
      <c r="BV287" s="456"/>
      <c r="BW287" s="538">
        <f t="shared" si="862"/>
        <v>8.3434765993670751E-2</v>
      </c>
      <c r="BX287" s="144">
        <f t="shared" si="863"/>
        <v>39760.05442724927</v>
      </c>
      <c r="BY287" s="150">
        <f t="shared" si="864"/>
        <v>43.326746360598818</v>
      </c>
      <c r="BZ287" s="5">
        <f t="shared" si="865"/>
        <v>64.61</v>
      </c>
      <c r="CA287" s="150">
        <f t="shared" si="866"/>
        <v>0.59859132481304078</v>
      </c>
      <c r="CB287" s="5">
        <f t="shared" si="867"/>
        <v>59.85913248130408</v>
      </c>
      <c r="CC287">
        <f t="shared" si="868"/>
        <v>71</v>
      </c>
      <c r="CE287" s="59">
        <f t="shared" si="809"/>
        <v>-50</v>
      </c>
      <c r="CG287" s="150">
        <f t="shared" si="810"/>
        <v>0.63502377808469535</v>
      </c>
      <c r="CH287" s="150">
        <f t="shared" si="811"/>
        <v>0.17735551404972852</v>
      </c>
      <c r="CI287" s="147">
        <v>71</v>
      </c>
      <c r="CJ287" s="188">
        <f t="shared" si="869"/>
        <v>0.35499999999999998</v>
      </c>
      <c r="CK287" s="188">
        <f t="shared" si="812"/>
        <v>0.35499999999999998</v>
      </c>
      <c r="CL287" s="188">
        <f t="shared" si="813"/>
        <v>60.349999999999994</v>
      </c>
      <c r="CM287" s="188">
        <f t="shared" si="814"/>
        <v>4.26</v>
      </c>
      <c r="CN287" s="465">
        <f t="shared" si="815"/>
        <v>16</v>
      </c>
      <c r="CO287" s="379">
        <f t="shared" si="816"/>
        <v>8.625</v>
      </c>
      <c r="CP287" s="379">
        <f t="shared" si="817"/>
        <v>24.625</v>
      </c>
      <c r="CQ287" s="379"/>
      <c r="CR287" s="188">
        <f t="shared" si="818"/>
        <v>0.34787038923986141</v>
      </c>
      <c r="CS287" s="149">
        <f t="shared" si="819"/>
        <v>173.29806936491266</v>
      </c>
      <c r="CT287" s="149">
        <f t="shared" si="820"/>
        <v>12.232804896346776</v>
      </c>
      <c r="CU287" s="188">
        <f t="shared" si="821"/>
        <v>1.0194004080288981</v>
      </c>
      <c r="CV287" s="188">
        <f t="shared" si="822"/>
        <v>14.441505780409388</v>
      </c>
      <c r="CW287" s="188">
        <f t="shared" si="823"/>
        <v>170</v>
      </c>
      <c r="CX287" s="188">
        <f t="shared" si="824"/>
        <v>23.216261716461631</v>
      </c>
      <c r="CY287" s="188">
        <f t="shared" si="825"/>
        <v>2.1765245359182779</v>
      </c>
      <c r="CZ287" s="188">
        <f t="shared" si="826"/>
        <v>4.0376107332976741</v>
      </c>
      <c r="DA287" s="172">
        <f t="shared" si="827"/>
        <v>280.20304568527916</v>
      </c>
      <c r="DB287" s="379">
        <f t="shared" si="828"/>
        <v>160.92343611409217</v>
      </c>
      <c r="DD287" s="188">
        <f t="shared" si="829"/>
        <v>13.333333333333332</v>
      </c>
      <c r="DE287" s="150">
        <f t="shared" si="830"/>
        <v>2.318840579710145</v>
      </c>
      <c r="DF287" s="150">
        <f t="shared" si="831"/>
        <v>0.20230192819025303</v>
      </c>
      <c r="DG287" s="150"/>
      <c r="DH287" s="150">
        <f t="shared" si="832"/>
        <v>2.3188405797101455</v>
      </c>
      <c r="DI287" s="314">
        <f t="shared" si="833"/>
        <v>491.70110294117632</v>
      </c>
      <c r="DJ287" s="456">
        <f t="shared" si="834"/>
        <v>0.20230192819025311</v>
      </c>
      <c r="DL287" s="150">
        <f t="shared" si="835"/>
        <v>15.688637076984518</v>
      </c>
      <c r="DM287" s="150">
        <f t="shared" si="836"/>
        <v>23.216261716461631</v>
      </c>
      <c r="DN287" s="150">
        <f t="shared" si="837"/>
        <v>8.5206876912061453</v>
      </c>
      <c r="DP287" s="314">
        <f t="shared" si="838"/>
        <v>355</v>
      </c>
      <c r="DQ287" s="144">
        <f t="shared" si="839"/>
        <v>160.92343611409217</v>
      </c>
      <c r="DS287">
        <f t="shared" si="840"/>
        <v>355</v>
      </c>
      <c r="DT287">
        <f t="shared" si="841"/>
        <v>160.92343611409217</v>
      </c>
      <c r="DV287" s="5">
        <f t="shared" si="870"/>
        <v>6.2141352692159506</v>
      </c>
      <c r="DW287" s="5">
        <f t="shared" si="842"/>
        <v>2.1765245359182779</v>
      </c>
      <c r="DX287" s="5">
        <f t="shared" si="843"/>
        <v>4.0376107332976723</v>
      </c>
      <c r="DY287" s="150">
        <f t="shared" si="844"/>
        <v>0.35025380710659909</v>
      </c>
      <c r="EA287" s="5">
        <f t="shared" si="871"/>
        <v>0.45450953544175798</v>
      </c>
      <c r="EB287" s="5">
        <f t="shared" si="872"/>
        <v>6.4388850854249053</v>
      </c>
      <c r="EC287" s="5">
        <f t="shared" si="873"/>
        <v>25.382271641095254</v>
      </c>
      <c r="ED287" s="5"/>
      <c r="EE287" s="150">
        <f t="shared" si="874"/>
        <v>7.932737727150009</v>
      </c>
      <c r="EF287" s="150">
        <f t="shared" si="875"/>
        <v>0.50460444637167845</v>
      </c>
      <c r="EG287" s="150">
        <f t="shared" si="876"/>
        <v>0.48002353124511687</v>
      </c>
      <c r="EH287" s="150"/>
      <c r="EI287" s="456">
        <f t="shared" si="877"/>
        <v>0.21395631468234688</v>
      </c>
      <c r="EJ287" s="456">
        <f t="shared" si="878"/>
        <v>2.7968000000000011</v>
      </c>
      <c r="EK287" s="456">
        <f t="shared" si="879"/>
        <v>3.6851466870127109E-2</v>
      </c>
      <c r="EL287" s="456">
        <f t="shared" si="880"/>
        <v>6.6843987156624762E-2</v>
      </c>
      <c r="EM287">
        <f t="shared" si="881"/>
        <v>7.1999999999999998E-3</v>
      </c>
      <c r="EN287" s="144">
        <f t="shared" si="882"/>
        <v>44.051466870127108</v>
      </c>
      <c r="EP287" s="144">
        <f t="shared" si="883"/>
        <v>3121.6517687091</v>
      </c>
      <c r="EQ287" s="150">
        <f t="shared" si="884"/>
        <v>0.88749999999999996</v>
      </c>
      <c r="ER287" s="150">
        <f t="shared" si="845"/>
        <v>0.25204999999999994</v>
      </c>
      <c r="ES287" s="456"/>
      <c r="EU287" s="144">
        <f t="shared" si="885"/>
        <v>1139.5499999999997</v>
      </c>
      <c r="EV287" s="456">
        <f t="shared" si="886"/>
        <v>9.4392491771623635E-2</v>
      </c>
      <c r="EW287" s="456">
        <f t="shared" si="887"/>
        <v>5.0925129459613631E-2</v>
      </c>
      <c r="EX287" s="456">
        <f t="shared" si="888"/>
        <v>6.9126777164709502E-3</v>
      </c>
      <c r="EY287" s="456">
        <f t="shared" si="889"/>
        <v>42.657851179101669</v>
      </c>
      <c r="EZ287" s="456"/>
      <c r="FA287" s="538">
        <f t="shared" si="890"/>
        <v>8.6736896565054664E-2</v>
      </c>
      <c r="FB287" s="144">
        <f t="shared" si="891"/>
        <v>42896.818374614435</v>
      </c>
      <c r="FC287" s="150">
        <f t="shared" si="892"/>
        <v>47.158020143323533</v>
      </c>
      <c r="FD287" s="5">
        <f t="shared" si="893"/>
        <v>64.61</v>
      </c>
      <c r="FE287" s="150">
        <f t="shared" si="894"/>
        <v>0.57807233157703464</v>
      </c>
      <c r="FF287" s="5">
        <f t="shared" si="895"/>
        <v>57.807233157703465</v>
      </c>
      <c r="FG287">
        <f t="shared" si="896"/>
        <v>71</v>
      </c>
      <c r="FI287" s="59">
        <f t="shared" si="846"/>
        <v>-50</v>
      </c>
    </row>
    <row r="288" spans="5:165">
      <c r="E288" s="147">
        <v>72</v>
      </c>
      <c r="F288" s="188">
        <f t="shared" si="847"/>
        <v>0.36</v>
      </c>
      <c r="G288" s="188">
        <f t="shared" si="775"/>
        <v>0.36</v>
      </c>
      <c r="H288" s="188">
        <f t="shared" si="776"/>
        <v>61.199999999999996</v>
      </c>
      <c r="I288" s="188">
        <f t="shared" si="777"/>
        <v>4.32</v>
      </c>
      <c r="J288" s="465">
        <f t="shared" si="778"/>
        <v>15.929682400109117</v>
      </c>
      <c r="K288" s="379">
        <f t="shared" si="779"/>
        <v>8.6660325204095976</v>
      </c>
      <c r="L288" s="149">
        <f t="shared" si="780"/>
        <v>24.595714920518716</v>
      </c>
      <c r="M288" s="379"/>
      <c r="N288" s="188">
        <f t="shared" si="781"/>
        <v>0.35233911876170149</v>
      </c>
      <c r="O288" s="149">
        <f t="shared" si="782"/>
        <v>174.75284689219771</v>
      </c>
      <c r="P288" s="149">
        <f t="shared" si="783"/>
        <v>12.335495074743367</v>
      </c>
      <c r="Q288" s="188">
        <f t="shared" si="784"/>
        <v>1.0279579228952807</v>
      </c>
      <c r="R288" s="188">
        <f t="shared" si="785"/>
        <v>14.562737241016476</v>
      </c>
      <c r="S288" s="188">
        <f t="shared" si="786"/>
        <v>170</v>
      </c>
      <c r="T288" s="188">
        <f t="shared" si="787"/>
        <v>23.347259129442897</v>
      </c>
      <c r="U288" s="188">
        <f t="shared" si="788"/>
        <v>2.1984674781666991</v>
      </c>
      <c r="V288" s="188">
        <f t="shared" si="789"/>
        <v>4.0411674675447786</v>
      </c>
      <c r="W288" s="172">
        <f t="shared" si="790"/>
        <v>280.63251295041158</v>
      </c>
      <c r="X288" s="379">
        <f t="shared" si="848"/>
        <v>155.28830569284946</v>
      </c>
      <c r="Z288" s="188">
        <f t="shared" si="791"/>
        <v>13.333333333333336</v>
      </c>
      <c r="AA288" s="150">
        <f t="shared" si="792"/>
        <v>2.3078611755607294</v>
      </c>
      <c r="AB288" s="150">
        <f t="shared" si="793"/>
        <v>0.20165265533060581</v>
      </c>
      <c r="AC288" s="150"/>
      <c r="AD288" s="150">
        <f t="shared" si="794"/>
        <v>2.307861175560729</v>
      </c>
      <c r="AE288" s="314">
        <f t="shared" si="795"/>
        <v>500.99863300344407</v>
      </c>
      <c r="AF288" s="456">
        <f t="shared" si="796"/>
        <v>0.20165265533060578</v>
      </c>
      <c r="AH288" s="150">
        <f t="shared" si="797"/>
        <v>15.798734126505199</v>
      </c>
      <c r="AI288" s="150">
        <f t="shared" si="798"/>
        <v>23.347259129442897</v>
      </c>
      <c r="AJ288" s="150">
        <f t="shared" si="799"/>
        <v>8.6177228119330103</v>
      </c>
      <c r="AL288" s="314">
        <f t="shared" si="800"/>
        <v>360</v>
      </c>
      <c r="AM288" s="144">
        <f t="shared" si="801"/>
        <v>155.28830569284946</v>
      </c>
      <c r="AO288">
        <f t="shared" si="802"/>
        <v>360</v>
      </c>
      <c r="AP288">
        <f t="shared" si="803"/>
        <v>155.28830569284946</v>
      </c>
      <c r="AR288" s="5">
        <f t="shared" si="774"/>
        <v>6.4396349457114779</v>
      </c>
      <c r="AS288" s="5">
        <f t="shared" si="739"/>
        <v>2.1984674781666991</v>
      </c>
      <c r="AT288" s="5">
        <f t="shared" si="740"/>
        <v>4.2411674675447788</v>
      </c>
      <c r="AU288" s="150">
        <f t="shared" si="741"/>
        <v>0.3413962898053382</v>
      </c>
      <c r="BA288" s="150">
        <f t="shared" si="849"/>
        <v>7.8759812704442096</v>
      </c>
      <c r="BB288" s="150">
        <f t="shared" si="850"/>
        <v>0.51089882090533267</v>
      </c>
      <c r="BC288" s="150">
        <f t="shared" si="851"/>
        <v>0.48601128643108393</v>
      </c>
      <c r="BD288" s="150"/>
      <c r="BE288" s="456">
        <f t="shared" si="852"/>
        <v>0.21090567530611912</v>
      </c>
      <c r="BF288" s="456">
        <f t="shared" si="804"/>
        <v>2.135696930465127</v>
      </c>
      <c r="BG288" s="456">
        <f t="shared" si="805"/>
        <v>0.11329515726832719</v>
      </c>
      <c r="BH288" s="456">
        <f t="shared" si="853"/>
        <v>6.4349951561337146E-2</v>
      </c>
      <c r="BI288">
        <f t="shared" si="854"/>
        <v>7.1683570800491021E-3</v>
      </c>
      <c r="BJ288" s="144">
        <f t="shared" si="855"/>
        <v>120.46351434837629</v>
      </c>
      <c r="BK288">
        <f t="shared" si="806"/>
        <v>2.5980904919232577</v>
      </c>
      <c r="BL288" s="144">
        <f t="shared" si="856"/>
        <v>2531.4160716809597</v>
      </c>
      <c r="BM288" s="150">
        <f t="shared" si="807"/>
        <v>0.79874999999999985</v>
      </c>
      <c r="BN288" s="150">
        <f t="shared" si="808"/>
        <v>0.25559999999999999</v>
      </c>
      <c r="BQ288" s="144">
        <f t="shared" si="857"/>
        <v>1054.3499999999999</v>
      </c>
      <c r="BR288" s="456">
        <f t="shared" si="858"/>
        <v>9.3046621458581974E-2</v>
      </c>
      <c r="BS288" s="456">
        <f t="shared" si="859"/>
        <v>5.2203521040491842E-2</v>
      </c>
      <c r="BT288" s="456">
        <f t="shared" si="860"/>
        <v>7.0862091161519132E-3</v>
      </c>
      <c r="BU288" s="456">
        <f t="shared" si="861"/>
        <v>39.573698616848915</v>
      </c>
      <c r="BV288" s="456"/>
      <c r="BW288" s="538">
        <f t="shared" si="862"/>
        <v>8.4646802722934525E-2</v>
      </c>
      <c r="BX288" s="144">
        <f t="shared" si="863"/>
        <v>39810.681771187075</v>
      </c>
      <c r="BY288" s="150">
        <f t="shared" si="864"/>
        <v>43.396447842868035</v>
      </c>
      <c r="BZ288" s="5">
        <f t="shared" si="865"/>
        <v>65.52</v>
      </c>
      <c r="CA288" s="150">
        <f t="shared" si="866"/>
        <v>0.60156203491436511</v>
      </c>
      <c r="CB288" s="5">
        <f t="shared" si="867"/>
        <v>60.156203491436514</v>
      </c>
      <c r="CC288">
        <f t="shared" si="868"/>
        <v>72</v>
      </c>
      <c r="CE288" s="59">
        <f t="shared" si="809"/>
        <v>-50</v>
      </c>
      <c r="CG288" s="150">
        <f t="shared" si="810"/>
        <v>0.63502377808469512</v>
      </c>
      <c r="CH288" s="150">
        <f t="shared" si="811"/>
        <v>0.17735551404972849</v>
      </c>
      <c r="CI288" s="147">
        <v>72</v>
      </c>
      <c r="CJ288" s="188">
        <f t="shared" si="869"/>
        <v>0.36</v>
      </c>
      <c r="CK288" s="188">
        <f t="shared" si="812"/>
        <v>0.36</v>
      </c>
      <c r="CL288" s="188">
        <f t="shared" si="813"/>
        <v>61.199999999999996</v>
      </c>
      <c r="CM288" s="188">
        <f t="shared" si="814"/>
        <v>4.32</v>
      </c>
      <c r="CN288" s="465">
        <f t="shared" si="815"/>
        <v>16</v>
      </c>
      <c r="CO288" s="379">
        <f t="shared" si="816"/>
        <v>8.625</v>
      </c>
      <c r="CP288" s="379">
        <f t="shared" si="817"/>
        <v>24.625</v>
      </c>
      <c r="CQ288" s="379"/>
      <c r="CR288" s="188">
        <f t="shared" si="818"/>
        <v>0.34787038923986141</v>
      </c>
      <c r="CS288" s="149">
        <f t="shared" si="819"/>
        <v>173.29806936491266</v>
      </c>
      <c r="CT288" s="149">
        <f t="shared" si="820"/>
        <v>12.232804896346776</v>
      </c>
      <c r="CU288" s="188">
        <f t="shared" si="821"/>
        <v>1.0194004080288981</v>
      </c>
      <c r="CV288" s="188">
        <f t="shared" si="822"/>
        <v>14.441505780409388</v>
      </c>
      <c r="CW288" s="188">
        <f t="shared" si="823"/>
        <v>170</v>
      </c>
      <c r="CX288" s="188">
        <f t="shared" si="824"/>
        <v>23.543251318101934</v>
      </c>
      <c r="CY288" s="188">
        <f t="shared" si="825"/>
        <v>2.2071798110720562</v>
      </c>
      <c r="CZ288" s="188">
        <f t="shared" si="826"/>
        <v>4.0944784901046836</v>
      </c>
      <c r="DA288" s="172">
        <f t="shared" si="827"/>
        <v>280.20304568527916</v>
      </c>
      <c r="DB288" s="379">
        <f t="shared" si="828"/>
        <v>158.6883883902853</v>
      </c>
      <c r="DD288" s="188">
        <f t="shared" si="829"/>
        <v>13.333333333333332</v>
      </c>
      <c r="DE288" s="150">
        <f t="shared" si="830"/>
        <v>2.318840579710145</v>
      </c>
      <c r="DF288" s="150">
        <f t="shared" si="831"/>
        <v>0.20230192819025303</v>
      </c>
      <c r="DG288" s="150"/>
      <c r="DH288" s="150">
        <f t="shared" si="832"/>
        <v>2.3188405797101455</v>
      </c>
      <c r="DI288" s="314">
        <f t="shared" si="833"/>
        <v>498.62647058823512</v>
      </c>
      <c r="DJ288" s="456">
        <f t="shared" si="834"/>
        <v>0.20230192819025311</v>
      </c>
      <c r="DL288" s="150">
        <f t="shared" si="835"/>
        <v>15.798734126505199</v>
      </c>
      <c r="DM288" s="150">
        <f t="shared" si="836"/>
        <v>23.543251318101934</v>
      </c>
      <c r="DN288" s="150">
        <f t="shared" si="837"/>
        <v>8.7629022109397035</v>
      </c>
      <c r="DP288" s="314">
        <f t="shared" si="838"/>
        <v>360</v>
      </c>
      <c r="DQ288" s="144">
        <f t="shared" si="839"/>
        <v>158.6883883902853</v>
      </c>
      <c r="DS288">
        <f t="shared" si="840"/>
        <v>360</v>
      </c>
      <c r="DT288">
        <f t="shared" si="841"/>
        <v>158.6883883902853</v>
      </c>
      <c r="DV288" s="5">
        <f t="shared" si="870"/>
        <v>6.3016583011767402</v>
      </c>
      <c r="DW288" s="5">
        <f t="shared" si="842"/>
        <v>2.2071798110720562</v>
      </c>
      <c r="DX288" s="5">
        <f t="shared" si="843"/>
        <v>4.0944784901046845</v>
      </c>
      <c r="DY288" s="150">
        <f t="shared" si="844"/>
        <v>0.35025380710659898</v>
      </c>
      <c r="EA288" s="5">
        <f t="shared" si="871"/>
        <v>0.46740278352114129</v>
      </c>
      <c r="EB288" s="5">
        <f t="shared" si="872"/>
        <v>6.6215394332161681</v>
      </c>
      <c r="EC288" s="5">
        <f t="shared" si="873"/>
        <v>26.102300374417357</v>
      </c>
      <c r="ED288" s="5"/>
      <c r="EE288" s="150">
        <f t="shared" si="874"/>
        <v>8.0444664275324005</v>
      </c>
      <c r="EF288" s="150">
        <f t="shared" si="875"/>
        <v>0.51171155125015277</v>
      </c>
      <c r="EG288" s="150">
        <f t="shared" si="876"/>
        <v>0.48678442605138611</v>
      </c>
      <c r="EH288" s="150"/>
      <c r="EI288" s="456">
        <f t="shared" si="877"/>
        <v>0.22002569635256605</v>
      </c>
      <c r="EJ288" s="456">
        <f t="shared" si="878"/>
        <v>2.7968000000000002</v>
      </c>
      <c r="EK288" s="456">
        <f t="shared" si="879"/>
        <v>3.6339640941375331E-2</v>
      </c>
      <c r="EL288" s="456">
        <f t="shared" si="880"/>
        <v>6.591559844611608E-2</v>
      </c>
      <c r="EM288">
        <f t="shared" si="881"/>
        <v>7.1999999999999998E-3</v>
      </c>
      <c r="EN288" s="144">
        <f t="shared" si="882"/>
        <v>43.539640941375332</v>
      </c>
      <c r="EP288" s="144">
        <f t="shared" si="883"/>
        <v>3126.2809357400579</v>
      </c>
      <c r="EQ288" s="150">
        <f t="shared" si="884"/>
        <v>0.89999999999999991</v>
      </c>
      <c r="ER288" s="150">
        <f t="shared" si="845"/>
        <v>0.25559999999999999</v>
      </c>
      <c r="ES288" s="456"/>
      <c r="EU288" s="144">
        <f t="shared" si="885"/>
        <v>1155.5999999999999</v>
      </c>
      <c r="EV288" s="456">
        <f t="shared" si="886"/>
        <v>9.7070160155543858E-2</v>
      </c>
      <c r="EW288" s="456">
        <f t="shared" si="887"/>
        <v>5.2369742336567549E-2</v>
      </c>
      <c r="EX288" s="456">
        <f t="shared" si="888"/>
        <v>7.1087723233853213E-3</v>
      </c>
      <c r="EY288" s="456">
        <f t="shared" si="889"/>
        <v>42.657851179101641</v>
      </c>
      <c r="EZ288" s="456"/>
      <c r="FA288" s="538">
        <f t="shared" si="890"/>
        <v>8.7958542995548367E-2</v>
      </c>
      <c r="FB288" s="144">
        <f t="shared" si="891"/>
        <v>42902.358396912692</v>
      </c>
      <c r="FC288" s="150">
        <f t="shared" si="892"/>
        <v>47.184239332652744</v>
      </c>
      <c r="FD288" s="5">
        <f t="shared" si="893"/>
        <v>65.52</v>
      </c>
      <c r="FE288" s="150">
        <f t="shared" si="894"/>
        <v>0.58134459172040653</v>
      </c>
      <c r="FF288" s="5">
        <f t="shared" si="895"/>
        <v>58.13445917204065</v>
      </c>
      <c r="FG288">
        <f t="shared" si="896"/>
        <v>72</v>
      </c>
      <c r="FI288" s="59">
        <f t="shared" si="846"/>
        <v>-50</v>
      </c>
    </row>
    <row r="289" spans="5:165">
      <c r="E289" s="147">
        <v>73</v>
      </c>
      <c r="F289" s="188">
        <f t="shared" si="847"/>
        <v>0.36499999999999999</v>
      </c>
      <c r="G289" s="188">
        <f t="shared" si="775"/>
        <v>0.36499999999999999</v>
      </c>
      <c r="H289" s="188">
        <f t="shared" si="776"/>
        <v>62.05</v>
      </c>
      <c r="I289" s="188">
        <f t="shared" si="777"/>
        <v>4.38</v>
      </c>
      <c r="J289" s="465">
        <f t="shared" si="778"/>
        <v>15.9287057667773</v>
      </c>
      <c r="K289" s="379">
        <f t="shared" si="779"/>
        <v>8.6666024165263984</v>
      </c>
      <c r="L289" s="149">
        <f t="shared" si="780"/>
        <v>24.5953081833037</v>
      </c>
      <c r="M289" s="379"/>
      <c r="N289" s="188">
        <f t="shared" si="781"/>
        <v>0.35236811638772803</v>
      </c>
      <c r="O289" s="149">
        <f t="shared" si="782"/>
        <v>174.75651430049851</v>
      </c>
      <c r="P289" s="149">
        <f t="shared" si="783"/>
        <v>12.335753950623424</v>
      </c>
      <c r="Q289" s="188">
        <f t="shared" si="784"/>
        <v>1.0279794958852853</v>
      </c>
      <c r="R289" s="188">
        <f t="shared" si="785"/>
        <v>14.563042858374876</v>
      </c>
      <c r="S289" s="188">
        <f t="shared" si="786"/>
        <v>170</v>
      </c>
      <c r="T289" s="188">
        <f t="shared" si="787"/>
        <v>23.671029851016353</v>
      </c>
      <c r="U289" s="188">
        <f t="shared" si="788"/>
        <v>2.2290916347127818</v>
      </c>
      <c r="V289" s="188">
        <f t="shared" si="789"/>
        <v>4.0969393852447737</v>
      </c>
      <c r="W289" s="172">
        <f t="shared" si="790"/>
        <v>280.63840237668296</v>
      </c>
      <c r="X289" s="379">
        <f t="shared" si="848"/>
        <v>153.23249260413471</v>
      </c>
      <c r="Z289" s="188">
        <f t="shared" si="791"/>
        <v>13.333333333333334</v>
      </c>
      <c r="AA289" s="150">
        <f t="shared" si="792"/>
        <v>2.3077094158446538</v>
      </c>
      <c r="AB289" s="150">
        <f t="shared" si="793"/>
        <v>0.20164362676572575</v>
      </c>
      <c r="AC289" s="150"/>
      <c r="AD289" s="150">
        <f t="shared" si="794"/>
        <v>2.3077094158446538</v>
      </c>
      <c r="AE289" s="314">
        <f t="shared" si="795"/>
        <v>507.99035164398401</v>
      </c>
      <c r="AF289" s="456">
        <f t="shared" si="796"/>
        <v>0.20164362676572573</v>
      </c>
      <c r="AH289" s="150">
        <f t="shared" si="797"/>
        <v>15.908069231263315</v>
      </c>
      <c r="AI289" s="150">
        <f t="shared" si="798"/>
        <v>23.671029851016353</v>
      </c>
      <c r="AJ289" s="150">
        <f t="shared" si="799"/>
        <v>8.8575529760614948</v>
      </c>
      <c r="AL289" s="314">
        <f t="shared" si="800"/>
        <v>365</v>
      </c>
      <c r="AM289" s="144">
        <f t="shared" si="801"/>
        <v>153.23249260413471</v>
      </c>
      <c r="AO289">
        <f t="shared" si="802"/>
        <v>365</v>
      </c>
      <c r="AP289">
        <f t="shared" si="803"/>
        <v>153.23249260413471</v>
      </c>
      <c r="AR289" s="5">
        <f t="shared" si="774"/>
        <v>6.5260310199575571</v>
      </c>
      <c r="AS289" s="5">
        <f t="shared" si="739"/>
        <v>2.2290916347127818</v>
      </c>
      <c r="AT289" s="5">
        <f t="shared" si="740"/>
        <v>4.2969393852447748</v>
      </c>
      <c r="AU289" s="150">
        <f t="shared" si="741"/>
        <v>0.34156926743006488</v>
      </c>
      <c r="BA289" s="150">
        <f t="shared" si="849"/>
        <v>7.9872250224104535</v>
      </c>
      <c r="BB289" s="150">
        <f t="shared" si="850"/>
        <v>0.51791574046078526</v>
      </c>
      <c r="BC289" s="150">
        <f t="shared" si="851"/>
        <v>0.49268638913319185</v>
      </c>
      <c r="BD289" s="150"/>
      <c r="BE289" s="456">
        <f t="shared" si="852"/>
        <v>0.21690559609930687</v>
      </c>
      <c r="BF289" s="456">
        <f t="shared" si="804"/>
        <v>2.1366127014252037</v>
      </c>
      <c r="BG289" s="456">
        <f t="shared" si="805"/>
        <v>0.11178842421793224</v>
      </c>
      <c r="BH289" s="456">
        <f t="shared" si="853"/>
        <v>6.3495942664918537E-2</v>
      </c>
      <c r="BI289">
        <f t="shared" si="854"/>
        <v>7.1679175950497848E-3</v>
      </c>
      <c r="BJ289" s="144">
        <f t="shared" si="855"/>
        <v>118.95634181298202</v>
      </c>
      <c r="BK289">
        <f t="shared" si="806"/>
        <v>2.610094594999584</v>
      </c>
      <c r="BL289" s="144">
        <f t="shared" si="856"/>
        <v>2535.970582002411</v>
      </c>
      <c r="BM289" s="150">
        <f t="shared" si="807"/>
        <v>0.80984374999999997</v>
      </c>
      <c r="BN289" s="150">
        <f t="shared" si="808"/>
        <v>0.25914999999999999</v>
      </c>
      <c r="BQ289" s="144">
        <f t="shared" si="857"/>
        <v>1068.9937499999999</v>
      </c>
      <c r="BR289" s="456">
        <f t="shared" si="858"/>
        <v>9.5693645337929512E-2</v>
      </c>
      <c r="BS289" s="456">
        <f t="shared" si="859"/>
        <v>5.3647342843408698E-2</v>
      </c>
      <c r="BT289" s="456">
        <f t="shared" si="860"/>
        <v>7.2821963411130886E-3</v>
      </c>
      <c r="BU289" s="456">
        <f t="shared" si="861"/>
        <v>39.617772398601424</v>
      </c>
      <c r="BV289" s="456"/>
      <c r="BW289" s="538">
        <f t="shared" si="862"/>
        <v>8.5858870804348619E-2</v>
      </c>
      <c r="BX289" s="144">
        <f t="shared" si="863"/>
        <v>39860.254453928224</v>
      </c>
      <c r="BY289" s="150">
        <f t="shared" si="864"/>
        <v>43.465218785930638</v>
      </c>
      <c r="BZ289" s="5">
        <f t="shared" si="865"/>
        <v>66.429999999999993</v>
      </c>
      <c r="CA289" s="150">
        <f t="shared" si="866"/>
        <v>0.60448489692169127</v>
      </c>
      <c r="CB289" s="5">
        <f t="shared" si="867"/>
        <v>60.448489692169126</v>
      </c>
      <c r="CC289">
        <f t="shared" si="868"/>
        <v>73</v>
      </c>
      <c r="CE289" s="59">
        <f t="shared" si="809"/>
        <v>-50</v>
      </c>
      <c r="CG289" s="150">
        <f t="shared" si="810"/>
        <v>0.63502377808469512</v>
      </c>
      <c r="CH289" s="150">
        <f t="shared" si="811"/>
        <v>0.17735551404972849</v>
      </c>
      <c r="CI289" s="147">
        <v>73</v>
      </c>
      <c r="CJ289" s="188">
        <f t="shared" si="869"/>
        <v>0.36499999999999999</v>
      </c>
      <c r="CK289" s="188">
        <f t="shared" si="812"/>
        <v>0.36499999999999999</v>
      </c>
      <c r="CL289" s="188">
        <f t="shared" si="813"/>
        <v>62.05</v>
      </c>
      <c r="CM289" s="188">
        <f t="shared" si="814"/>
        <v>4.38</v>
      </c>
      <c r="CN289" s="465">
        <f t="shared" si="815"/>
        <v>16</v>
      </c>
      <c r="CO289" s="379">
        <f t="shared" si="816"/>
        <v>8.625</v>
      </c>
      <c r="CP289" s="379">
        <f t="shared" si="817"/>
        <v>24.625</v>
      </c>
      <c r="CQ289" s="379"/>
      <c r="CR289" s="188">
        <f t="shared" si="818"/>
        <v>0.34787038923986141</v>
      </c>
      <c r="CS289" s="149">
        <f t="shared" si="819"/>
        <v>173.29806936491266</v>
      </c>
      <c r="CT289" s="149">
        <f t="shared" si="820"/>
        <v>12.232804896346776</v>
      </c>
      <c r="CU289" s="188">
        <f t="shared" si="821"/>
        <v>1.0194004080288981</v>
      </c>
      <c r="CV289" s="188">
        <f t="shared" si="822"/>
        <v>14.441505780409388</v>
      </c>
      <c r="CW289" s="188">
        <f t="shared" si="823"/>
        <v>170</v>
      </c>
      <c r="CX289" s="188">
        <f t="shared" si="824"/>
        <v>23.870240919742237</v>
      </c>
      <c r="CY289" s="188">
        <f t="shared" si="825"/>
        <v>2.2378350862258345</v>
      </c>
      <c r="CZ289" s="188">
        <f t="shared" si="826"/>
        <v>4.151346246911694</v>
      </c>
      <c r="DA289" s="172">
        <f t="shared" si="827"/>
        <v>280.20304568527916</v>
      </c>
      <c r="DB289" s="379">
        <f t="shared" si="828"/>
        <v>156.51457485069233</v>
      </c>
      <c r="DD289" s="188">
        <f t="shared" si="829"/>
        <v>13.333333333333332</v>
      </c>
      <c r="DE289" s="150">
        <f t="shared" si="830"/>
        <v>2.318840579710145</v>
      </c>
      <c r="DF289" s="150">
        <f t="shared" si="831"/>
        <v>0.20230192819025303</v>
      </c>
      <c r="DG289" s="150"/>
      <c r="DH289" s="150">
        <f t="shared" si="832"/>
        <v>2.3188405797101455</v>
      </c>
      <c r="DI289" s="314">
        <f t="shared" si="833"/>
        <v>505.55183823529393</v>
      </c>
      <c r="DJ289" s="456">
        <f t="shared" si="834"/>
        <v>0.20230192819025311</v>
      </c>
      <c r="DL289" s="150">
        <f t="shared" si="835"/>
        <v>15.908069231263315</v>
      </c>
      <c r="DM289" s="150">
        <f t="shared" si="836"/>
        <v>23.870240919742237</v>
      </c>
      <c r="DN289" s="150">
        <f t="shared" si="837"/>
        <v>9.0051167306732616</v>
      </c>
      <c r="DP289" s="314">
        <f t="shared" si="838"/>
        <v>365</v>
      </c>
      <c r="DQ289" s="144">
        <f t="shared" si="839"/>
        <v>156.51457485069233</v>
      </c>
      <c r="DS289">
        <f t="shared" si="840"/>
        <v>365</v>
      </c>
      <c r="DT289">
        <f t="shared" si="841"/>
        <v>156.51457485069233</v>
      </c>
      <c r="DV289" s="5">
        <f t="shared" si="870"/>
        <v>6.3891813331375298</v>
      </c>
      <c r="DW289" s="5">
        <f t="shared" si="842"/>
        <v>2.2378350862258345</v>
      </c>
      <c r="DX289" s="5">
        <f t="shared" si="843"/>
        <v>4.1513462469116948</v>
      </c>
      <c r="DY289" s="150">
        <f t="shared" si="844"/>
        <v>0.35025380710659887</v>
      </c>
      <c r="EA289" s="5">
        <f t="shared" si="871"/>
        <v>0.48047635674848804</v>
      </c>
      <c r="EB289" s="5">
        <f t="shared" si="872"/>
        <v>6.8067483872702468</v>
      </c>
      <c r="EC289" s="5">
        <f t="shared" si="873"/>
        <v>26.83239943967402</v>
      </c>
      <c r="ED289" s="5"/>
      <c r="EE289" s="150">
        <f t="shared" si="874"/>
        <v>8.1561951279147937</v>
      </c>
      <c r="EF289" s="150">
        <f t="shared" si="875"/>
        <v>0.5188186561286271</v>
      </c>
      <c r="EG289" s="150">
        <f t="shared" si="876"/>
        <v>0.49354532085765546</v>
      </c>
      <c r="EH289" s="150"/>
      <c r="EI289" s="456">
        <f t="shared" si="877"/>
        <v>0.22617996447971145</v>
      </c>
      <c r="EJ289" s="456">
        <f t="shared" si="878"/>
        <v>2.7967999999999997</v>
      </c>
      <c r="EK289" s="456">
        <f t="shared" si="879"/>
        <v>3.584183764080854E-2</v>
      </c>
      <c r="EL289" s="456">
        <f t="shared" si="880"/>
        <v>6.5012645042744607E-2</v>
      </c>
      <c r="EM289">
        <f t="shared" si="881"/>
        <v>7.1999999999999998E-3</v>
      </c>
      <c r="EN289" s="144">
        <f t="shared" si="882"/>
        <v>43.041837640808538</v>
      </c>
      <c r="EP289" s="144">
        <f t="shared" si="883"/>
        <v>3131.0344471632643</v>
      </c>
      <c r="EQ289" s="150">
        <f t="shared" si="884"/>
        <v>0.91249999999999998</v>
      </c>
      <c r="ER289" s="150">
        <f t="shared" si="845"/>
        <v>0.25914999999999999</v>
      </c>
      <c r="ES289" s="456"/>
      <c r="EU289" s="144">
        <f t="shared" si="885"/>
        <v>1171.6500000000001</v>
      </c>
      <c r="EV289" s="456">
        <f t="shared" si="886"/>
        <v>9.9785278446931525E-2</v>
      </c>
      <c r="EW289" s="456">
        <f t="shared" si="887"/>
        <v>5.3834559589422931E-2</v>
      </c>
      <c r="EX289" s="456">
        <f t="shared" si="888"/>
        <v>7.307609512214582E-3</v>
      </c>
      <c r="EY289" s="456">
        <f t="shared" si="889"/>
        <v>42.657851179101549</v>
      </c>
      <c r="EZ289" s="456"/>
      <c r="FA289" s="538">
        <f t="shared" si="890"/>
        <v>8.9180189426042042E-2</v>
      </c>
      <c r="FB289" s="144">
        <f t="shared" si="891"/>
        <v>42907.958816076163</v>
      </c>
      <c r="FC289" s="150">
        <f t="shared" si="892"/>
        <v>47.210643263239426</v>
      </c>
      <c r="FD289" s="5">
        <f t="shared" si="893"/>
        <v>66.429999999999993</v>
      </c>
      <c r="FE289" s="150">
        <f t="shared" si="894"/>
        <v>0.58456198497680301</v>
      </c>
      <c r="FF289" s="5">
        <f t="shared" si="895"/>
        <v>58.456198497680298</v>
      </c>
      <c r="FG289">
        <f t="shared" si="896"/>
        <v>73</v>
      </c>
      <c r="FI289" s="59">
        <f t="shared" si="846"/>
        <v>-50</v>
      </c>
    </row>
    <row r="290" spans="5:165">
      <c r="E290" s="147">
        <v>74</v>
      </c>
      <c r="F290" s="188">
        <f t="shared" si="847"/>
        <v>0.37</v>
      </c>
      <c r="G290" s="188">
        <f t="shared" si="775"/>
        <v>0.37</v>
      </c>
      <c r="H290" s="188">
        <f t="shared" si="776"/>
        <v>62.9</v>
      </c>
      <c r="I290" s="188">
        <f t="shared" si="777"/>
        <v>4.4399999999999995</v>
      </c>
      <c r="J290" s="465">
        <f t="shared" si="778"/>
        <v>15.927729133445482</v>
      </c>
      <c r="K290" s="379">
        <f t="shared" si="779"/>
        <v>8.6671723126431974</v>
      </c>
      <c r="L290" s="149">
        <f t="shared" si="780"/>
        <v>24.594901446088677</v>
      </c>
      <c r="M290" s="379"/>
      <c r="N290" s="188">
        <f t="shared" si="781"/>
        <v>0.35239711497284881</v>
      </c>
      <c r="O290" s="149">
        <f t="shared" si="782"/>
        <v>174.76018042091223</v>
      </c>
      <c r="P290" s="149">
        <f t="shared" si="783"/>
        <v>12.336012735593805</v>
      </c>
      <c r="Q290" s="188">
        <f t="shared" si="784"/>
        <v>1.0280010612994837</v>
      </c>
      <c r="R290" s="188">
        <f t="shared" si="785"/>
        <v>14.563348368409352</v>
      </c>
      <c r="S290" s="188">
        <f t="shared" si="786"/>
        <v>170</v>
      </c>
      <c r="T290" s="188">
        <f t="shared" si="787"/>
        <v>23.994787160516967</v>
      </c>
      <c r="U290" s="188">
        <f t="shared" si="788"/>
        <v>2.2597182837067518</v>
      </c>
      <c r="V290" s="188">
        <f t="shared" si="789"/>
        <v>4.1527016473725835</v>
      </c>
      <c r="W290" s="172">
        <f t="shared" si="790"/>
        <v>280.64428973475901</v>
      </c>
      <c r="X290" s="379">
        <f t="shared" si="848"/>
        <v>151.23056466814134</v>
      </c>
      <c r="Z290" s="188">
        <f t="shared" si="791"/>
        <v>13.333333333333332</v>
      </c>
      <c r="AA290" s="150">
        <f t="shared" si="792"/>
        <v>2.3075576760860161</v>
      </c>
      <c r="AB290" s="150">
        <f t="shared" si="793"/>
        <v>0.20163459790222654</v>
      </c>
      <c r="AC290" s="150"/>
      <c r="AD290" s="150">
        <f t="shared" si="794"/>
        <v>2.3075576760860166</v>
      </c>
      <c r="AE290" s="314">
        <f t="shared" si="795"/>
        <v>514.98298547064064</v>
      </c>
      <c r="AF290" s="456">
        <f t="shared" si="796"/>
        <v>0.20163459790222657</v>
      </c>
      <c r="AH290" s="150">
        <f t="shared" si="797"/>
        <v>16.0166579951416</v>
      </c>
      <c r="AI290" s="150">
        <f t="shared" si="798"/>
        <v>23.994787160516967</v>
      </c>
      <c r="AJ290" s="150">
        <f t="shared" si="799"/>
        <v>9.0973732053212082</v>
      </c>
      <c r="AL290" s="314">
        <f t="shared" si="800"/>
        <v>370</v>
      </c>
      <c r="AM290" s="144">
        <f t="shared" si="801"/>
        <v>151.23056466814134</v>
      </c>
      <c r="AO290">
        <f t="shared" si="802"/>
        <v>370</v>
      </c>
      <c r="AP290">
        <f t="shared" si="803"/>
        <v>151.23056466814134</v>
      </c>
      <c r="AR290" s="5">
        <f t="shared" si="774"/>
        <v>6.6124199310793346</v>
      </c>
      <c r="AS290" s="5">
        <f t="shared" si="739"/>
        <v>2.2597182837067518</v>
      </c>
      <c r="AT290" s="5">
        <f t="shared" si="740"/>
        <v>4.3527016473725828</v>
      </c>
      <c r="AU290" s="150">
        <f t="shared" si="741"/>
        <v>0.3417384720358953</v>
      </c>
      <c r="BA290" s="150">
        <f t="shared" si="849"/>
        <v>8.0984743551810965</v>
      </c>
      <c r="BB290" s="150">
        <f t="shared" si="850"/>
        <v>0.52493200101321225</v>
      </c>
      <c r="BC290" s="150">
        <f t="shared" si="851"/>
        <v>0.49936086493444365</v>
      </c>
      <c r="BD290" s="150"/>
      <c r="BE290" s="456">
        <f t="shared" si="852"/>
        <v>0.22298997539718796</v>
      </c>
      <c r="BF290" s="456">
        <f t="shared" si="804"/>
        <v>2.1375047087803769</v>
      </c>
      <c r="BG290" s="456">
        <f t="shared" si="805"/>
        <v>0.1103211837595332</v>
      </c>
      <c r="BH290" s="456">
        <f t="shared" si="853"/>
        <v>6.2664318156090318E-2</v>
      </c>
      <c r="BI290">
        <f t="shared" si="854"/>
        <v>7.1674781100504667E-3</v>
      </c>
      <c r="BJ290" s="144">
        <f t="shared" si="855"/>
        <v>117.48866186958368</v>
      </c>
      <c r="BK290">
        <f t="shared" si="806"/>
        <v>2.6223022077912232</v>
      </c>
      <c r="BL290" s="144">
        <f t="shared" si="856"/>
        <v>2540.6476642032389</v>
      </c>
      <c r="BM290" s="150">
        <f t="shared" si="807"/>
        <v>0.82093749999999999</v>
      </c>
      <c r="BN290" s="150">
        <f t="shared" si="808"/>
        <v>0.26269999999999999</v>
      </c>
      <c r="BQ290" s="144">
        <f t="shared" si="857"/>
        <v>1083.6375</v>
      </c>
      <c r="BR290" s="456">
        <f t="shared" si="858"/>
        <v>9.8377930322288809E-2</v>
      </c>
      <c r="BS290" s="456">
        <f t="shared" si="859"/>
        <v>5.5110721137547017E-2</v>
      </c>
      <c r="BT290" s="456">
        <f t="shared" si="860"/>
        <v>7.48083820284227E-3</v>
      </c>
      <c r="BU290" s="456">
        <f t="shared" si="861"/>
        <v>39.660774751751674</v>
      </c>
      <c r="BV290" s="456"/>
      <c r="BW290" s="538">
        <f t="shared" si="862"/>
        <v>8.707096900673264E-2</v>
      </c>
      <c r="BX290" s="144">
        <f t="shared" si="863"/>
        <v>39908.815210421082</v>
      </c>
      <c r="BY290" s="150">
        <f t="shared" si="864"/>
        <v>43.533100374624325</v>
      </c>
      <c r="BZ290" s="5">
        <f t="shared" si="865"/>
        <v>67.34</v>
      </c>
      <c r="CA290" s="150">
        <f t="shared" si="866"/>
        <v>0.6073610260060176</v>
      </c>
      <c r="CB290" s="5">
        <f t="shared" si="867"/>
        <v>60.736102600601761</v>
      </c>
      <c r="CC290">
        <f t="shared" si="868"/>
        <v>74</v>
      </c>
      <c r="CE290" s="59">
        <f t="shared" si="809"/>
        <v>-50</v>
      </c>
      <c r="CG290" s="150">
        <f t="shared" si="810"/>
        <v>0.63502377808469512</v>
      </c>
      <c r="CH290" s="150">
        <f t="shared" si="811"/>
        <v>0.17735551404972846</v>
      </c>
      <c r="CI290" s="147">
        <v>74</v>
      </c>
      <c r="CJ290" s="188">
        <f t="shared" si="869"/>
        <v>0.37</v>
      </c>
      <c r="CK290" s="188">
        <f t="shared" si="812"/>
        <v>0.37</v>
      </c>
      <c r="CL290" s="188">
        <f t="shared" si="813"/>
        <v>62.9</v>
      </c>
      <c r="CM290" s="188">
        <f t="shared" si="814"/>
        <v>4.4399999999999995</v>
      </c>
      <c r="CN290" s="465">
        <f t="shared" si="815"/>
        <v>16</v>
      </c>
      <c r="CO290" s="379">
        <f t="shared" si="816"/>
        <v>8.625</v>
      </c>
      <c r="CP290" s="379">
        <f t="shared" si="817"/>
        <v>24.625</v>
      </c>
      <c r="CQ290" s="379"/>
      <c r="CR290" s="188">
        <f t="shared" si="818"/>
        <v>0.34787038923986141</v>
      </c>
      <c r="CS290" s="149">
        <f t="shared" si="819"/>
        <v>173.29806936491266</v>
      </c>
      <c r="CT290" s="149">
        <f t="shared" si="820"/>
        <v>12.232804896346776</v>
      </c>
      <c r="CU290" s="188">
        <f t="shared" si="821"/>
        <v>1.0194004080288981</v>
      </c>
      <c r="CV290" s="188">
        <f t="shared" si="822"/>
        <v>14.441505780409388</v>
      </c>
      <c r="CW290" s="188">
        <f t="shared" si="823"/>
        <v>170</v>
      </c>
      <c r="CX290" s="188">
        <f t="shared" si="824"/>
        <v>24.197230521382544</v>
      </c>
      <c r="CY290" s="188">
        <f t="shared" si="825"/>
        <v>2.2684903613796137</v>
      </c>
      <c r="CZ290" s="188">
        <f t="shared" si="826"/>
        <v>4.2082140037187035</v>
      </c>
      <c r="DA290" s="172">
        <f t="shared" si="827"/>
        <v>280.20304568527916</v>
      </c>
      <c r="DB290" s="379">
        <f t="shared" si="828"/>
        <v>154.39951302838568</v>
      </c>
      <c r="DD290" s="188">
        <f t="shared" si="829"/>
        <v>13.333333333333332</v>
      </c>
      <c r="DE290" s="150">
        <f t="shared" si="830"/>
        <v>2.318840579710145</v>
      </c>
      <c r="DF290" s="150">
        <f t="shared" si="831"/>
        <v>0.20230192819025303</v>
      </c>
      <c r="DG290" s="150"/>
      <c r="DH290" s="150">
        <f t="shared" si="832"/>
        <v>2.3188405797101455</v>
      </c>
      <c r="DI290" s="314">
        <f t="shared" si="833"/>
        <v>512.47720588235279</v>
      </c>
      <c r="DJ290" s="456">
        <f t="shared" si="834"/>
        <v>0.20230192819025311</v>
      </c>
      <c r="DL290" s="150">
        <f t="shared" si="835"/>
        <v>16.0166579951416</v>
      </c>
      <c r="DM290" s="150">
        <f t="shared" si="836"/>
        <v>24.197230521382544</v>
      </c>
      <c r="DN290" s="150">
        <f t="shared" si="837"/>
        <v>9.2473312504068215</v>
      </c>
      <c r="DP290" s="314">
        <f t="shared" si="838"/>
        <v>370</v>
      </c>
      <c r="DQ290" s="144">
        <f t="shared" si="839"/>
        <v>154.39951302838568</v>
      </c>
      <c r="DS290">
        <f t="shared" si="840"/>
        <v>370</v>
      </c>
      <c r="DT290">
        <f t="shared" si="841"/>
        <v>154.39951302838568</v>
      </c>
      <c r="DV290" s="5">
        <f t="shared" si="870"/>
        <v>6.4767043650983167</v>
      </c>
      <c r="DW290" s="5">
        <f t="shared" si="842"/>
        <v>2.2684903613796137</v>
      </c>
      <c r="DX290" s="5">
        <f t="shared" si="843"/>
        <v>4.2082140037187035</v>
      </c>
      <c r="DY290" s="150">
        <f t="shared" si="844"/>
        <v>0.35025380710659904</v>
      </c>
      <c r="EA290" s="5">
        <f t="shared" si="871"/>
        <v>0.49373025512379831</v>
      </c>
      <c r="EB290" s="5">
        <f t="shared" si="872"/>
        <v>6.9945119475871422</v>
      </c>
      <c r="EC290" s="5">
        <f t="shared" si="873"/>
        <v>27.572568836865251</v>
      </c>
      <c r="ED290" s="5"/>
      <c r="EE290" s="150">
        <f t="shared" si="874"/>
        <v>8.2679238282971905</v>
      </c>
      <c r="EF290" s="150">
        <f t="shared" si="875"/>
        <v>0.52592576100710142</v>
      </c>
      <c r="EG290" s="150">
        <f t="shared" si="876"/>
        <v>0.50030621566392464</v>
      </c>
      <c r="EH290" s="150"/>
      <c r="EI290" s="456">
        <f t="shared" si="877"/>
        <v>0.23241911906378318</v>
      </c>
      <c r="EJ290" s="456">
        <f t="shared" si="878"/>
        <v>2.7968000000000002</v>
      </c>
      <c r="EK290" s="456">
        <f t="shared" si="879"/>
        <v>3.5357488483500323E-2</v>
      </c>
      <c r="EL290" s="456">
        <f t="shared" si="880"/>
        <v>6.4134095785410225E-2</v>
      </c>
      <c r="EM290">
        <f t="shared" si="881"/>
        <v>7.1999999999999998E-3</v>
      </c>
      <c r="EN290" s="144">
        <f t="shared" si="882"/>
        <v>42.557488483500322</v>
      </c>
      <c r="EP290" s="144">
        <f t="shared" si="883"/>
        <v>3135.9107033326936</v>
      </c>
      <c r="EQ290" s="150">
        <f t="shared" si="884"/>
        <v>0.92500000000000004</v>
      </c>
      <c r="ER290" s="150">
        <f t="shared" si="845"/>
        <v>0.26269999999999999</v>
      </c>
      <c r="ES290" s="456"/>
      <c r="EU290" s="144">
        <f t="shared" si="885"/>
        <v>1187.7</v>
      </c>
      <c r="EV290" s="456">
        <f t="shared" si="886"/>
        <v>0.1025378466457867</v>
      </c>
      <c r="EW290" s="456">
        <f t="shared" si="887"/>
        <v>5.5319581218179752E-2</v>
      </c>
      <c r="EX290" s="456">
        <f t="shared" si="888"/>
        <v>7.5091892829587236E-3</v>
      </c>
      <c r="EY290" s="456">
        <f t="shared" si="889"/>
        <v>42.657851179101627</v>
      </c>
      <c r="EZ290" s="456"/>
      <c r="FA290" s="538">
        <f t="shared" si="890"/>
        <v>9.04018358565358E-2</v>
      </c>
      <c r="FB290" s="144">
        <f t="shared" si="891"/>
        <v>42913.619632105081</v>
      </c>
      <c r="FC290" s="150">
        <f t="shared" si="892"/>
        <v>47.237230335437779</v>
      </c>
      <c r="FD290" s="5">
        <f t="shared" si="893"/>
        <v>67.34</v>
      </c>
      <c r="FE290" s="150">
        <f t="shared" si="894"/>
        <v>0.58772584921851012</v>
      </c>
      <c r="FF290" s="5">
        <f t="shared" si="895"/>
        <v>58.772584921851013</v>
      </c>
      <c r="FG290">
        <f t="shared" si="896"/>
        <v>74</v>
      </c>
      <c r="FI290" s="59">
        <f t="shared" si="846"/>
        <v>-50</v>
      </c>
    </row>
    <row r="291" spans="5:165">
      <c r="E291" s="147">
        <v>75</v>
      </c>
      <c r="F291" s="188">
        <f t="shared" si="847"/>
        <v>0.375</v>
      </c>
      <c r="G291" s="188">
        <f t="shared" si="775"/>
        <v>0.375</v>
      </c>
      <c r="H291" s="188">
        <f t="shared" si="776"/>
        <v>63.75</v>
      </c>
      <c r="I291" s="188">
        <f t="shared" si="777"/>
        <v>4.5</v>
      </c>
      <c r="J291" s="465">
        <f t="shared" si="778"/>
        <v>15.926752500113663</v>
      </c>
      <c r="K291" s="379">
        <f t="shared" si="779"/>
        <v>8.6677422087599982</v>
      </c>
      <c r="L291" s="149">
        <f t="shared" si="780"/>
        <v>24.594494708873661</v>
      </c>
      <c r="M291" s="379"/>
      <c r="N291" s="188">
        <f t="shared" si="781"/>
        <v>0.35242611451711137</v>
      </c>
      <c r="O291" s="149">
        <f t="shared" si="782"/>
        <v>174.76384525337494</v>
      </c>
      <c r="P291" s="149">
        <f t="shared" si="783"/>
        <v>12.336271429649996</v>
      </c>
      <c r="Q291" s="188">
        <f t="shared" si="784"/>
        <v>1.0280226191374997</v>
      </c>
      <c r="R291" s="188">
        <f t="shared" si="785"/>
        <v>14.563653771114579</v>
      </c>
      <c r="S291" s="188">
        <f t="shared" si="786"/>
        <v>170</v>
      </c>
      <c r="T291" s="188">
        <f t="shared" si="787"/>
        <v>24.318531065955284</v>
      </c>
      <c r="U291" s="188">
        <f t="shared" si="788"/>
        <v>2.2903474263615635</v>
      </c>
      <c r="V291" s="188">
        <f t="shared" si="789"/>
        <v>4.2084542572190102</v>
      </c>
      <c r="W291" s="172">
        <f t="shared" si="790"/>
        <v>280.65017502453736</v>
      </c>
      <c r="X291" s="379">
        <f t="shared" si="848"/>
        <v>149.28043062553994</v>
      </c>
      <c r="Z291" s="188">
        <f t="shared" si="791"/>
        <v>13.333333333333332</v>
      </c>
      <c r="AA291" s="150">
        <f t="shared" si="792"/>
        <v>2.3074059562808782</v>
      </c>
      <c r="AB291" s="150">
        <f t="shared" si="793"/>
        <v>0.20162556874009346</v>
      </c>
      <c r="AC291" s="150"/>
      <c r="AD291" s="150">
        <f t="shared" si="794"/>
        <v>2.3074059562808786</v>
      </c>
      <c r="AE291" s="314">
        <f t="shared" si="795"/>
        <v>521.97653448341464</v>
      </c>
      <c r="AF291" s="456">
        <f t="shared" si="796"/>
        <v>0.20162556874009355</v>
      </c>
      <c r="AH291" s="150">
        <f t="shared" si="797"/>
        <v>16.124515496597098</v>
      </c>
      <c r="AI291" s="150">
        <f t="shared" si="798"/>
        <v>24.318531065955284</v>
      </c>
      <c r="AJ291" s="150">
        <f t="shared" si="799"/>
        <v>9.3371835056458874</v>
      </c>
      <c r="AL291" s="314">
        <f t="shared" si="800"/>
        <v>375</v>
      </c>
      <c r="AM291" s="144">
        <f t="shared" si="801"/>
        <v>149.28043062553994</v>
      </c>
      <c r="AO291">
        <f t="shared" si="802"/>
        <v>375</v>
      </c>
      <c r="AP291">
        <f t="shared" si="803"/>
        <v>149.28043062553994</v>
      </c>
      <c r="AR291" s="5">
        <f t="shared" si="774"/>
        <v>6.6988016835805739</v>
      </c>
      <c r="AS291" s="5">
        <f t="shared" si="739"/>
        <v>2.2903474263615635</v>
      </c>
      <c r="AT291" s="5">
        <f t="shared" si="740"/>
        <v>4.4084542572190104</v>
      </c>
      <c r="AU291" s="150">
        <f t="shared" si="741"/>
        <v>0.34190405008935132</v>
      </c>
      <c r="BA291" s="150">
        <f t="shared" si="849"/>
        <v>8.2097292299497937</v>
      </c>
      <c r="BB291" s="150">
        <f t="shared" si="850"/>
        <v>0.53194760476916925</v>
      </c>
      <c r="BC291" s="150">
        <f t="shared" si="851"/>
        <v>0.50603471593390625</v>
      </c>
      <c r="BD291" s="150"/>
      <c r="BE291" s="456">
        <f t="shared" si="852"/>
        <v>0.22915882369891291</v>
      </c>
      <c r="BF291" s="456">
        <f t="shared" si="804"/>
        <v>2.1383738740961116</v>
      </c>
      <c r="BG291" s="456">
        <f t="shared" si="805"/>
        <v>0.10889190320309799</v>
      </c>
      <c r="BH291" s="456">
        <f t="shared" si="853"/>
        <v>6.1854209306600107E-2</v>
      </c>
      <c r="BI291">
        <f t="shared" si="854"/>
        <v>7.1670386250511477E-3</v>
      </c>
      <c r="BJ291" s="144">
        <f t="shared" si="855"/>
        <v>116.05894182814914</v>
      </c>
      <c r="BK291">
        <f t="shared" si="806"/>
        <v>2.6347151179073829</v>
      </c>
      <c r="BL291" s="144">
        <f t="shared" si="856"/>
        <v>2545.4458489297735</v>
      </c>
      <c r="BM291" s="150">
        <f t="shared" si="807"/>
        <v>0.83203125</v>
      </c>
      <c r="BN291" s="150">
        <f t="shared" si="808"/>
        <v>0.26625000000000004</v>
      </c>
      <c r="BQ291" s="144">
        <f t="shared" si="857"/>
        <v>1098.28125</v>
      </c>
      <c r="BR291" s="456">
        <f t="shared" si="858"/>
        <v>0.10109948104363806</v>
      </c>
      <c r="BS291" s="456">
        <f t="shared" si="859"/>
        <v>5.6593650843931254E-2</v>
      </c>
      <c r="BT291" s="456">
        <f t="shared" si="860"/>
        <v>7.6821340119092758E-3</v>
      </c>
      <c r="BU291" s="456">
        <f t="shared" si="861"/>
        <v>39.702746255039848</v>
      </c>
      <c r="BV291" s="456"/>
      <c r="BW291" s="538">
        <f t="shared" si="862"/>
        <v>8.8283096162615177E-2</v>
      </c>
      <c r="BX291" s="144">
        <f t="shared" si="863"/>
        <v>39956.404617101936</v>
      </c>
      <c r="BY291" s="150">
        <f t="shared" si="864"/>
        <v>43.600131716031711</v>
      </c>
      <c r="BZ291" s="5">
        <f t="shared" si="865"/>
        <v>68.25</v>
      </c>
      <c r="CA291" s="150">
        <f t="shared" si="866"/>
        <v>0.61019150315598225</v>
      </c>
      <c r="CB291" s="5">
        <f t="shared" si="867"/>
        <v>61.019150315598225</v>
      </c>
      <c r="CC291">
        <f t="shared" si="868"/>
        <v>75</v>
      </c>
      <c r="CE291" s="59">
        <f t="shared" si="809"/>
        <v>-50</v>
      </c>
      <c r="CG291" s="150">
        <f t="shared" si="810"/>
        <v>0.63502377808469523</v>
      </c>
      <c r="CH291" s="150">
        <f t="shared" si="811"/>
        <v>0.17735551404972849</v>
      </c>
      <c r="CI291" s="147">
        <v>75</v>
      </c>
      <c r="CJ291" s="188">
        <f t="shared" si="869"/>
        <v>0.375</v>
      </c>
      <c r="CK291" s="188">
        <f t="shared" si="812"/>
        <v>0.375</v>
      </c>
      <c r="CL291" s="188">
        <f t="shared" si="813"/>
        <v>63.75</v>
      </c>
      <c r="CM291" s="188">
        <f t="shared" si="814"/>
        <v>4.5</v>
      </c>
      <c r="CN291" s="465">
        <f t="shared" si="815"/>
        <v>16</v>
      </c>
      <c r="CO291" s="379">
        <f t="shared" si="816"/>
        <v>8.625</v>
      </c>
      <c r="CP291" s="379">
        <f t="shared" si="817"/>
        <v>24.625</v>
      </c>
      <c r="CQ291" s="379"/>
      <c r="CR291" s="188">
        <f t="shared" si="818"/>
        <v>0.34787038923986141</v>
      </c>
      <c r="CS291" s="149">
        <f t="shared" si="819"/>
        <v>173.29806936491266</v>
      </c>
      <c r="CT291" s="149">
        <f t="shared" si="820"/>
        <v>12.232804896346776</v>
      </c>
      <c r="CU291" s="188">
        <f t="shared" si="821"/>
        <v>1.0194004080288981</v>
      </c>
      <c r="CV291" s="188">
        <f t="shared" si="822"/>
        <v>14.441505780409388</v>
      </c>
      <c r="CW291" s="188">
        <f t="shared" si="823"/>
        <v>170</v>
      </c>
      <c r="CX291" s="188">
        <f t="shared" si="824"/>
        <v>24.524220123022847</v>
      </c>
      <c r="CY291" s="188">
        <f t="shared" si="825"/>
        <v>2.299145636533392</v>
      </c>
      <c r="CZ291" s="188">
        <f t="shared" si="826"/>
        <v>4.265081760525713</v>
      </c>
      <c r="DA291" s="172">
        <f t="shared" si="827"/>
        <v>280.20304568527916</v>
      </c>
      <c r="DB291" s="379">
        <f t="shared" si="828"/>
        <v>152.3408528546739</v>
      </c>
      <c r="DD291" s="188">
        <f t="shared" si="829"/>
        <v>13.333333333333332</v>
      </c>
      <c r="DE291" s="150">
        <f t="shared" si="830"/>
        <v>2.318840579710145</v>
      </c>
      <c r="DF291" s="150">
        <f t="shared" si="831"/>
        <v>0.20230192819025303</v>
      </c>
      <c r="DG291" s="150"/>
      <c r="DH291" s="150">
        <f t="shared" si="832"/>
        <v>2.3188405797101455</v>
      </c>
      <c r="DI291" s="314">
        <f t="shared" si="833"/>
        <v>519.4025735294116</v>
      </c>
      <c r="DJ291" s="456">
        <f t="shared" si="834"/>
        <v>0.20230192819025311</v>
      </c>
      <c r="DL291" s="150">
        <f t="shared" si="835"/>
        <v>16.124515496597098</v>
      </c>
      <c r="DM291" s="150">
        <f t="shared" si="836"/>
        <v>24.524220123022847</v>
      </c>
      <c r="DN291" s="150">
        <f t="shared" si="837"/>
        <v>9.4895457701403796</v>
      </c>
      <c r="DP291" s="314">
        <f t="shared" si="838"/>
        <v>375</v>
      </c>
      <c r="DQ291" s="144">
        <f t="shared" si="839"/>
        <v>152.3408528546739</v>
      </c>
      <c r="DS291">
        <f t="shared" si="840"/>
        <v>375</v>
      </c>
      <c r="DT291">
        <f t="shared" si="841"/>
        <v>152.3408528546739</v>
      </c>
      <c r="DV291" s="5">
        <f t="shared" si="870"/>
        <v>6.5642273970591045</v>
      </c>
      <c r="DW291" s="5">
        <f t="shared" si="842"/>
        <v>2.299145636533392</v>
      </c>
      <c r="DX291" s="5">
        <f t="shared" si="843"/>
        <v>4.2650817605257121</v>
      </c>
      <c r="DY291" s="150">
        <f t="shared" si="844"/>
        <v>0.35025380710659898</v>
      </c>
      <c r="EA291" s="5">
        <f t="shared" si="871"/>
        <v>0.5071644786470717</v>
      </c>
      <c r="EB291" s="5">
        <f t="shared" si="872"/>
        <v>7.1848301141668491</v>
      </c>
      <c r="EC291" s="5">
        <f t="shared" si="873"/>
        <v>28.322808565991053</v>
      </c>
      <c r="ED291" s="5"/>
      <c r="EE291" s="150">
        <f t="shared" si="874"/>
        <v>8.3796525286795838</v>
      </c>
      <c r="EF291" s="150">
        <f t="shared" si="875"/>
        <v>0.53303286588557575</v>
      </c>
      <c r="EG291" s="150">
        <f t="shared" si="876"/>
        <v>0.50706711047019382</v>
      </c>
      <c r="EH291" s="150"/>
      <c r="EI291" s="456">
        <f t="shared" si="877"/>
        <v>0.23874316010478089</v>
      </c>
      <c r="EJ291" s="456">
        <f t="shared" si="878"/>
        <v>2.7968000000000006</v>
      </c>
      <c r="EK291" s="456">
        <f t="shared" si="879"/>
        <v>3.4886055303720319E-2</v>
      </c>
      <c r="EL291" s="456">
        <f t="shared" si="880"/>
        <v>6.3278974508271441E-2</v>
      </c>
      <c r="EM291">
        <f t="shared" si="881"/>
        <v>7.1999999999999998E-3</v>
      </c>
      <c r="EN291" s="144">
        <f t="shared" si="882"/>
        <v>42.086055303720315</v>
      </c>
      <c r="EP291" s="144">
        <f t="shared" si="883"/>
        <v>3140.9081899167736</v>
      </c>
      <c r="EQ291" s="150">
        <f t="shared" si="884"/>
        <v>0.9375</v>
      </c>
      <c r="ER291" s="150">
        <f t="shared" si="845"/>
        <v>0.26625000000000004</v>
      </c>
      <c r="ES291" s="456"/>
      <c r="EU291" s="144">
        <f t="shared" si="885"/>
        <v>1203.75</v>
      </c>
      <c r="EV291" s="456">
        <f t="shared" si="886"/>
        <v>0.10532786475210923</v>
      </c>
      <c r="EW291" s="456">
        <f t="shared" si="887"/>
        <v>5.6824807222838038E-2</v>
      </c>
      <c r="EX291" s="456">
        <f t="shared" si="888"/>
        <v>7.7135116356177522E-3</v>
      </c>
      <c r="EY291" s="456">
        <f t="shared" si="889"/>
        <v>42.657851179101598</v>
      </c>
      <c r="EZ291" s="456"/>
      <c r="FA291" s="538">
        <f t="shared" si="890"/>
        <v>9.1623482287029531E-2</v>
      </c>
      <c r="FB291" s="144">
        <f t="shared" si="891"/>
        <v>42919.340844999191</v>
      </c>
      <c r="FC291" s="150">
        <f t="shared" si="892"/>
        <v>47.263999034915962</v>
      </c>
      <c r="FD291" s="5">
        <f t="shared" si="893"/>
        <v>68.25</v>
      </c>
      <c r="FE291" s="150">
        <f t="shared" si="894"/>
        <v>0.59083747918181184</v>
      </c>
      <c r="FF291" s="5">
        <f t="shared" si="895"/>
        <v>59.083747918181182</v>
      </c>
      <c r="FG291">
        <f t="shared" si="896"/>
        <v>75</v>
      </c>
      <c r="FI291" s="59">
        <f t="shared" si="846"/>
        <v>-50</v>
      </c>
    </row>
    <row r="292" spans="5:165">
      <c r="E292" s="147">
        <v>76</v>
      </c>
      <c r="F292" s="188">
        <f t="shared" si="847"/>
        <v>0.38</v>
      </c>
      <c r="G292" s="188">
        <f t="shared" si="775"/>
        <v>0.38</v>
      </c>
      <c r="H292" s="188">
        <f t="shared" si="776"/>
        <v>64.599999999999994</v>
      </c>
      <c r="I292" s="188">
        <f t="shared" si="777"/>
        <v>4.5600000000000005</v>
      </c>
      <c r="J292" s="465">
        <f t="shared" si="778"/>
        <v>15.925775866781846</v>
      </c>
      <c r="K292" s="379">
        <f t="shared" si="779"/>
        <v>8.668312104876799</v>
      </c>
      <c r="L292" s="149">
        <f t="shared" si="780"/>
        <v>24.594087971658645</v>
      </c>
      <c r="M292" s="379"/>
      <c r="N292" s="188">
        <f t="shared" si="781"/>
        <v>0.35245511502056326</v>
      </c>
      <c r="O292" s="149">
        <f t="shared" si="782"/>
        <v>174.76750879782273</v>
      </c>
      <c r="P292" s="149">
        <f t="shared" si="783"/>
        <v>12.336530032787488</v>
      </c>
      <c r="Q292" s="188">
        <f t="shared" si="784"/>
        <v>1.0280441693989573</v>
      </c>
      <c r="R292" s="188">
        <f t="shared" si="785"/>
        <v>14.563959066485227</v>
      </c>
      <c r="S292" s="188">
        <f t="shared" si="786"/>
        <v>170</v>
      </c>
      <c r="T292" s="188">
        <f t="shared" si="787"/>
        <v>24.642261575341056</v>
      </c>
      <c r="U292" s="188">
        <f t="shared" si="788"/>
        <v>2.320979063890396</v>
      </c>
      <c r="V292" s="188">
        <f t="shared" si="789"/>
        <v>4.264197218073857</v>
      </c>
      <c r="W292" s="172">
        <f t="shared" si="790"/>
        <v>280.65605824591529</v>
      </c>
      <c r="X292" s="379">
        <f t="shared" si="848"/>
        <v>147.38010604943457</v>
      </c>
      <c r="Z292" s="188">
        <f t="shared" si="791"/>
        <v>13.333333333333334</v>
      </c>
      <c r="AA292" s="150">
        <f t="shared" si="792"/>
        <v>2.3072542564253062</v>
      </c>
      <c r="AB292" s="150">
        <f t="shared" si="793"/>
        <v>0.20161653927931178</v>
      </c>
      <c r="AC292" s="150"/>
      <c r="AD292" s="150">
        <f t="shared" si="794"/>
        <v>2.3072542564253062</v>
      </c>
      <c r="AE292" s="314">
        <f t="shared" si="795"/>
        <v>528.97099868230532</v>
      </c>
      <c r="AF292" s="456">
        <f t="shared" si="796"/>
        <v>0.20161653927931183</v>
      </c>
      <c r="AH292" s="150">
        <f t="shared" si="797"/>
        <v>16.231656313102082</v>
      </c>
      <c r="AI292" s="150">
        <f t="shared" si="798"/>
        <v>24.642261575341056</v>
      </c>
      <c r="AJ292" s="150">
        <f t="shared" si="799"/>
        <v>9.5769838829686815</v>
      </c>
      <c r="AL292" s="314">
        <f t="shared" si="800"/>
        <v>380</v>
      </c>
      <c r="AM292" s="144">
        <f t="shared" si="801"/>
        <v>147.38010604943457</v>
      </c>
      <c r="AO292">
        <f t="shared" si="802"/>
        <v>380</v>
      </c>
      <c r="AP292">
        <f t="shared" si="803"/>
        <v>147.38010604943457</v>
      </c>
      <c r="AR292" s="5">
        <f t="shared" si="774"/>
        <v>6.7851762819642545</v>
      </c>
      <c r="AS292" s="5">
        <f t="shared" si="739"/>
        <v>2.320979063890396</v>
      </c>
      <c r="AT292" s="5">
        <f t="shared" si="740"/>
        <v>4.4641972180738581</v>
      </c>
      <c r="AU292" s="150">
        <f t="shared" si="741"/>
        <v>0.34206614057468393</v>
      </c>
      <c r="BA292" s="150">
        <f t="shared" si="849"/>
        <v>8.3209896100091552</v>
      </c>
      <c r="BB292" s="150">
        <f t="shared" si="850"/>
        <v>0.53896255383144309</v>
      </c>
      <c r="BC292" s="150">
        <f t="shared" si="851"/>
        <v>0.51270794413193355</v>
      </c>
      <c r="BD292" s="150"/>
      <c r="BE292" s="456">
        <f t="shared" si="852"/>
        <v>0.23541215150559305</v>
      </c>
      <c r="BF292" s="456">
        <f t="shared" si="804"/>
        <v>2.1392210718595028</v>
      </c>
      <c r="BG292" s="456">
        <f t="shared" si="805"/>
        <v>0.1074991281563952</v>
      </c>
      <c r="BH292" s="456">
        <f t="shared" si="853"/>
        <v>6.1064791767365414E-2</v>
      </c>
      <c r="BI292">
        <f t="shared" si="854"/>
        <v>7.1665991400518304E-3</v>
      </c>
      <c r="BJ292" s="144">
        <f t="shared" si="855"/>
        <v>114.66572729644703</v>
      </c>
      <c r="BK292">
        <f t="shared" si="806"/>
        <v>2.6473351474440987</v>
      </c>
      <c r="BL292" s="144">
        <f t="shared" si="856"/>
        <v>2550.3637424289086</v>
      </c>
      <c r="BM292" s="150">
        <f t="shared" si="807"/>
        <v>0.8431249999999999</v>
      </c>
      <c r="BN292" s="150">
        <f t="shared" si="808"/>
        <v>0.26980000000000004</v>
      </c>
      <c r="BQ292" s="144">
        <f t="shared" si="857"/>
        <v>1112.925</v>
      </c>
      <c r="BR292" s="456">
        <f t="shared" si="858"/>
        <v>0.10385830213482047</v>
      </c>
      <c r="BS292" s="456">
        <f t="shared" si="859"/>
        <v>5.8096126886502245E-2</v>
      </c>
      <c r="BT292" s="456">
        <f t="shared" si="860"/>
        <v>7.8860830792798157E-3</v>
      </c>
      <c r="BU292" s="456">
        <f t="shared" si="861"/>
        <v>39.743725463146241</v>
      </c>
      <c r="BV292" s="456"/>
      <c r="BW292" s="538">
        <f t="shared" si="862"/>
        <v>8.9495251164165623E-2</v>
      </c>
      <c r="BX292" s="144">
        <f t="shared" si="863"/>
        <v>40003.06122641101</v>
      </c>
      <c r="BY292" s="150">
        <f t="shared" si="864"/>
        <v>43.666349968839917</v>
      </c>
      <c r="BZ292" s="5">
        <f t="shared" si="865"/>
        <v>69.16</v>
      </c>
      <c r="CA292" s="150">
        <f t="shared" si="866"/>
        <v>0.6129773764648101</v>
      </c>
      <c r="CB292" s="5">
        <f t="shared" si="867"/>
        <v>61.297737646481011</v>
      </c>
      <c r="CC292">
        <f t="shared" si="868"/>
        <v>76</v>
      </c>
      <c r="CE292" s="59">
        <f t="shared" si="809"/>
        <v>-50</v>
      </c>
      <c r="CG292" s="150">
        <f t="shared" si="810"/>
        <v>0.63502377808469512</v>
      </c>
      <c r="CH292" s="150">
        <f t="shared" si="811"/>
        <v>0.17735551404972849</v>
      </c>
      <c r="CI292" s="147">
        <v>76</v>
      </c>
      <c r="CJ292" s="188">
        <f t="shared" si="869"/>
        <v>0.38</v>
      </c>
      <c r="CK292" s="188">
        <f t="shared" si="812"/>
        <v>0.38</v>
      </c>
      <c r="CL292" s="188">
        <f t="shared" si="813"/>
        <v>64.599999999999994</v>
      </c>
      <c r="CM292" s="188">
        <f t="shared" si="814"/>
        <v>4.5600000000000005</v>
      </c>
      <c r="CN292" s="465">
        <f t="shared" si="815"/>
        <v>16</v>
      </c>
      <c r="CO292" s="379">
        <f t="shared" si="816"/>
        <v>8.625</v>
      </c>
      <c r="CP292" s="379">
        <f t="shared" si="817"/>
        <v>24.625</v>
      </c>
      <c r="CQ292" s="379"/>
      <c r="CR292" s="188">
        <f t="shared" si="818"/>
        <v>0.34787038923986141</v>
      </c>
      <c r="CS292" s="149">
        <f t="shared" si="819"/>
        <v>173.29806936491266</v>
      </c>
      <c r="CT292" s="149">
        <f t="shared" si="820"/>
        <v>12.232804896346776</v>
      </c>
      <c r="CU292" s="188">
        <f t="shared" si="821"/>
        <v>1.0194004080288981</v>
      </c>
      <c r="CV292" s="188">
        <f t="shared" si="822"/>
        <v>14.441505780409388</v>
      </c>
      <c r="CW292" s="188">
        <f t="shared" si="823"/>
        <v>170</v>
      </c>
      <c r="CX292" s="188">
        <f t="shared" si="824"/>
        <v>24.85120972466315</v>
      </c>
      <c r="CY292" s="188">
        <f t="shared" si="825"/>
        <v>2.3298009116871703</v>
      </c>
      <c r="CZ292" s="188">
        <f t="shared" si="826"/>
        <v>4.3219495173327225</v>
      </c>
      <c r="DA292" s="172">
        <f t="shared" si="827"/>
        <v>280.20304568527916</v>
      </c>
      <c r="DB292" s="379">
        <f t="shared" si="828"/>
        <v>150.3363679486913</v>
      </c>
      <c r="DD292" s="188">
        <f t="shared" si="829"/>
        <v>13.333333333333332</v>
      </c>
      <c r="DE292" s="150">
        <f t="shared" si="830"/>
        <v>2.318840579710145</v>
      </c>
      <c r="DF292" s="150">
        <f t="shared" si="831"/>
        <v>0.20230192819025303</v>
      </c>
      <c r="DG292" s="150"/>
      <c r="DH292" s="150">
        <f t="shared" si="832"/>
        <v>2.3188405797101455</v>
      </c>
      <c r="DI292" s="314">
        <f t="shared" si="833"/>
        <v>526.3279411764704</v>
      </c>
      <c r="DJ292" s="456">
        <f t="shared" si="834"/>
        <v>0.20230192819025311</v>
      </c>
      <c r="DL292" s="150">
        <f t="shared" si="835"/>
        <v>16.231656313102082</v>
      </c>
      <c r="DM292" s="150">
        <f t="shared" si="836"/>
        <v>24.85120972466315</v>
      </c>
      <c r="DN292" s="150">
        <f t="shared" si="837"/>
        <v>9.7317602898739359</v>
      </c>
      <c r="DP292" s="314">
        <f t="shared" si="838"/>
        <v>380</v>
      </c>
      <c r="DQ292" s="144">
        <f t="shared" si="839"/>
        <v>150.3363679486913</v>
      </c>
      <c r="DS292">
        <f t="shared" si="840"/>
        <v>380</v>
      </c>
      <c r="DT292">
        <f t="shared" si="841"/>
        <v>150.3363679486913</v>
      </c>
      <c r="DV292" s="5">
        <f t="shared" si="870"/>
        <v>6.6517504290198941</v>
      </c>
      <c r="DW292" s="5">
        <f t="shared" si="842"/>
        <v>2.3298009116871703</v>
      </c>
      <c r="DX292" s="5">
        <f t="shared" si="843"/>
        <v>4.3219495173327243</v>
      </c>
      <c r="DY292" s="150">
        <f t="shared" si="844"/>
        <v>0.35025380710659887</v>
      </c>
      <c r="EA292" s="5">
        <f t="shared" si="871"/>
        <v>0.52077902731830861</v>
      </c>
      <c r="EB292" s="5">
        <f t="shared" si="872"/>
        <v>7.3777028870093719</v>
      </c>
      <c r="EC292" s="5">
        <f t="shared" si="873"/>
        <v>29.083118627051448</v>
      </c>
      <c r="ED292" s="5"/>
      <c r="EE292" s="150">
        <f t="shared" si="874"/>
        <v>8.491381229061977</v>
      </c>
      <c r="EF292" s="150">
        <f t="shared" si="875"/>
        <v>0.54013997076405018</v>
      </c>
      <c r="EG292" s="150">
        <f t="shared" si="876"/>
        <v>0.51382800527646322</v>
      </c>
      <c r="EH292" s="150"/>
      <c r="EI292" s="456">
        <f t="shared" si="877"/>
        <v>0.24515208760270468</v>
      </c>
      <c r="EJ292" s="456">
        <f t="shared" si="878"/>
        <v>2.7967999999999997</v>
      </c>
      <c r="EK292" s="456">
        <f t="shared" si="879"/>
        <v>3.4427028260250306E-2</v>
      </c>
      <c r="EL292" s="456">
        <f t="shared" si="880"/>
        <v>6.2446356422636268E-2</v>
      </c>
      <c r="EM292">
        <f t="shared" si="881"/>
        <v>7.1999999999999998E-3</v>
      </c>
      <c r="EN292" s="144">
        <f t="shared" si="882"/>
        <v>41.627028260250306</v>
      </c>
      <c r="EP292" s="144">
        <f t="shared" si="883"/>
        <v>3146.0254722855911</v>
      </c>
      <c r="EQ292" s="150">
        <f t="shared" si="884"/>
        <v>0.95</v>
      </c>
      <c r="ER292" s="150">
        <f t="shared" si="845"/>
        <v>0.26980000000000004</v>
      </c>
      <c r="ES292" s="456"/>
      <c r="EU292" s="144">
        <f t="shared" si="885"/>
        <v>1219.8</v>
      </c>
      <c r="EV292" s="456">
        <f t="shared" si="886"/>
        <v>0.10815533276589913</v>
      </c>
      <c r="EW292" s="456">
        <f t="shared" si="887"/>
        <v>5.8350237603397796E-2</v>
      </c>
      <c r="EX292" s="456">
        <f t="shared" si="888"/>
        <v>7.9205765701916737E-3</v>
      </c>
      <c r="EY292" s="456">
        <f t="shared" si="889"/>
        <v>42.657851179101513</v>
      </c>
      <c r="EZ292" s="456"/>
      <c r="FA292" s="538">
        <f t="shared" si="890"/>
        <v>9.284512871752322E-2</v>
      </c>
      <c r="FB292" s="144">
        <f t="shared" si="891"/>
        <v>42925.122454758523</v>
      </c>
      <c r="FC292" s="150">
        <f t="shared" si="892"/>
        <v>47.290947927044115</v>
      </c>
      <c r="FD292" s="5">
        <f t="shared" si="893"/>
        <v>69.16</v>
      </c>
      <c r="FE292" s="150">
        <f t="shared" si="894"/>
        <v>0.59389812819152288</v>
      </c>
      <c r="FF292" s="5">
        <f t="shared" si="895"/>
        <v>59.38981281915229</v>
      </c>
      <c r="FG292">
        <f t="shared" si="896"/>
        <v>76</v>
      </c>
      <c r="FI292" s="59">
        <f t="shared" si="846"/>
        <v>-50</v>
      </c>
    </row>
    <row r="293" spans="5:165">
      <c r="E293" s="147">
        <v>77</v>
      </c>
      <c r="F293" s="188">
        <f t="shared" si="847"/>
        <v>0.38500000000000001</v>
      </c>
      <c r="G293" s="188">
        <f t="shared" si="775"/>
        <v>0.38500000000000001</v>
      </c>
      <c r="H293" s="188">
        <f t="shared" si="776"/>
        <v>65.45</v>
      </c>
      <c r="I293" s="188">
        <f t="shared" si="777"/>
        <v>4.62</v>
      </c>
      <c r="J293" s="465">
        <f t="shared" si="778"/>
        <v>15.924799233450027</v>
      </c>
      <c r="K293" s="379">
        <f t="shared" si="779"/>
        <v>8.6688820009935981</v>
      </c>
      <c r="L293" s="149">
        <f t="shared" si="780"/>
        <v>24.593681234443626</v>
      </c>
      <c r="M293" s="379"/>
      <c r="N293" s="188">
        <f t="shared" si="781"/>
        <v>0.35248411648325212</v>
      </c>
      <c r="O293" s="149">
        <f t="shared" si="782"/>
        <v>174.77117105419168</v>
      </c>
      <c r="P293" s="149">
        <f t="shared" si="783"/>
        <v>12.336788545001767</v>
      </c>
      <c r="Q293" s="188">
        <f t="shared" si="784"/>
        <v>1.0280657120834804</v>
      </c>
      <c r="R293" s="188">
        <f t="shared" si="785"/>
        <v>14.564264254515974</v>
      </c>
      <c r="S293" s="188">
        <f t="shared" si="786"/>
        <v>170</v>
      </c>
      <c r="T293" s="188">
        <f t="shared" si="787"/>
        <v>24.965978696683248</v>
      </c>
      <c r="U293" s="188">
        <f t="shared" si="788"/>
        <v>2.3516131975066505</v>
      </c>
      <c r="V293" s="188">
        <f t="shared" si="789"/>
        <v>4.3199305332259224</v>
      </c>
      <c r="W293" s="172">
        <f t="shared" si="790"/>
        <v>280.6619393987902</v>
      </c>
      <c r="X293" s="379">
        <f t="shared" si="848"/>
        <v>145.52770660944194</v>
      </c>
      <c r="Z293" s="188">
        <f t="shared" si="791"/>
        <v>13.333333333333334</v>
      </c>
      <c r="AA293" s="150">
        <f t="shared" si="792"/>
        <v>2.3071025765153648</v>
      </c>
      <c r="AB293" s="150">
        <f t="shared" si="793"/>
        <v>0.20160750951986658</v>
      </c>
      <c r="AC293" s="150"/>
      <c r="AD293" s="150">
        <f t="shared" si="794"/>
        <v>2.3071025765153648</v>
      </c>
      <c r="AE293" s="314">
        <f t="shared" si="795"/>
        <v>535.96637806731292</v>
      </c>
      <c r="AF293" s="456">
        <f t="shared" si="796"/>
        <v>0.20160750951986667</v>
      </c>
      <c r="AH293" s="150">
        <f t="shared" si="797"/>
        <v>16.338094544142329</v>
      </c>
      <c r="AI293" s="150">
        <f t="shared" si="798"/>
        <v>24.965978696683248</v>
      </c>
      <c r="AJ293" s="150">
        <f t="shared" si="799"/>
        <v>9.8167743432221588</v>
      </c>
      <c r="AL293" s="314">
        <f t="shared" si="800"/>
        <v>385</v>
      </c>
      <c r="AM293" s="144">
        <f t="shared" si="801"/>
        <v>145.52770660944194</v>
      </c>
      <c r="AO293">
        <f t="shared" si="802"/>
        <v>385</v>
      </c>
      <c r="AP293">
        <f t="shared" si="803"/>
        <v>145.52770660944194</v>
      </c>
      <c r="AR293" s="5">
        <f t="shared" si="774"/>
        <v>6.8715437307325731</v>
      </c>
      <c r="AS293" s="5">
        <f t="shared" si="739"/>
        <v>2.3516131975066505</v>
      </c>
      <c r="AT293" s="5">
        <f t="shared" si="740"/>
        <v>4.5199305332259225</v>
      </c>
      <c r="AU293" s="150">
        <f t="shared" si="741"/>
        <v>0.34222487546563946</v>
      </c>
      <c r="BA293" s="150">
        <f t="shared" si="849"/>
        <v>8.4322554606177587</v>
      </c>
      <c r="BB293" s="150">
        <f t="shared" si="850"/>
        <v>0.54597685020556519</v>
      </c>
      <c r="BC293" s="150">
        <f t="shared" si="851"/>
        <v>0.5193805514363603</v>
      </c>
      <c r="BD293" s="150"/>
      <c r="BE293" s="456">
        <f t="shared" si="852"/>
        <v>0.24174996932060119</v>
      </c>
      <c r="BF293" s="456">
        <f t="shared" si="804"/>
        <v>2.1400471324476262</v>
      </c>
      <c r="BG293" s="456">
        <f t="shared" si="805"/>
        <v>0.106141477588218</v>
      </c>
      <c r="BH293" s="456">
        <f t="shared" si="853"/>
        <v>6.0295282770310633E-2</v>
      </c>
      <c r="BI293">
        <f t="shared" si="854"/>
        <v>7.1661596550525123E-3</v>
      </c>
      <c r="BJ293" s="144">
        <f t="shared" si="855"/>
        <v>113.30763724327052</v>
      </c>
      <c r="BK293">
        <f t="shared" si="806"/>
        <v>2.6601641538270266</v>
      </c>
      <c r="BL293" s="144">
        <f t="shared" si="856"/>
        <v>2555.4000217818084</v>
      </c>
      <c r="BM293" s="150">
        <f t="shared" si="807"/>
        <v>0.85421875000000003</v>
      </c>
      <c r="BN293" s="150">
        <f t="shared" si="808"/>
        <v>0.27335000000000004</v>
      </c>
      <c r="BQ293" s="144">
        <f t="shared" si="857"/>
        <v>1127.5687499999999</v>
      </c>
      <c r="BR293" s="456">
        <f t="shared" si="858"/>
        <v>0.10665439822967701</v>
      </c>
      <c r="BS293" s="456">
        <f t="shared" si="859"/>
        <v>5.9618144192078039E-2</v>
      </c>
      <c r="BT293" s="456">
        <f t="shared" si="860"/>
        <v>8.0926847163101303E-3</v>
      </c>
      <c r="BU293" s="456">
        <f t="shared" si="861"/>
        <v>39.783749031281253</v>
      </c>
      <c r="BV293" s="456"/>
      <c r="BW293" s="538">
        <f t="shared" si="862"/>
        <v>9.070743295943369E-2</v>
      </c>
      <c r="BX293" s="144">
        <f t="shared" si="863"/>
        <v>40048.821691378755</v>
      </c>
      <c r="BY293" s="150">
        <f t="shared" si="864"/>
        <v>43.731790463160564</v>
      </c>
      <c r="BZ293" s="5">
        <f t="shared" si="865"/>
        <v>70.070000000000007</v>
      </c>
      <c r="CA293" s="150">
        <f t="shared" si="866"/>
        <v>0.61571966236052122</v>
      </c>
      <c r="CB293" s="5">
        <f t="shared" si="867"/>
        <v>61.57196623605212</v>
      </c>
      <c r="CC293">
        <f t="shared" si="868"/>
        <v>77</v>
      </c>
      <c r="CE293" s="59">
        <f t="shared" si="809"/>
        <v>-50</v>
      </c>
      <c r="CG293" s="150">
        <f t="shared" si="810"/>
        <v>0.63502377808469523</v>
      </c>
      <c r="CH293" s="150">
        <f t="shared" si="811"/>
        <v>0.17735551404972849</v>
      </c>
      <c r="CI293" s="147">
        <v>77</v>
      </c>
      <c r="CJ293" s="188">
        <f t="shared" si="869"/>
        <v>0.38500000000000001</v>
      </c>
      <c r="CK293" s="188">
        <f t="shared" si="812"/>
        <v>0.38500000000000001</v>
      </c>
      <c r="CL293" s="188">
        <f t="shared" si="813"/>
        <v>65.45</v>
      </c>
      <c r="CM293" s="188">
        <f t="shared" si="814"/>
        <v>4.62</v>
      </c>
      <c r="CN293" s="465">
        <f t="shared" si="815"/>
        <v>16</v>
      </c>
      <c r="CO293" s="379">
        <f t="shared" si="816"/>
        <v>8.625</v>
      </c>
      <c r="CP293" s="379">
        <f t="shared" si="817"/>
        <v>24.625</v>
      </c>
      <c r="CQ293" s="379"/>
      <c r="CR293" s="188">
        <f t="shared" si="818"/>
        <v>0.34787038923986141</v>
      </c>
      <c r="CS293" s="149">
        <f t="shared" si="819"/>
        <v>173.29806936491266</v>
      </c>
      <c r="CT293" s="149">
        <f t="shared" si="820"/>
        <v>12.232804896346776</v>
      </c>
      <c r="CU293" s="188">
        <f t="shared" si="821"/>
        <v>1.0194004080288981</v>
      </c>
      <c r="CV293" s="188">
        <f t="shared" si="822"/>
        <v>14.441505780409388</v>
      </c>
      <c r="CW293" s="188">
        <f t="shared" si="823"/>
        <v>170</v>
      </c>
      <c r="CX293" s="188">
        <f t="shared" si="824"/>
        <v>25.17819932630346</v>
      </c>
      <c r="CY293" s="188">
        <f t="shared" si="825"/>
        <v>2.3604561868409495</v>
      </c>
      <c r="CZ293" s="188">
        <f t="shared" si="826"/>
        <v>4.378817274139732</v>
      </c>
      <c r="DA293" s="172">
        <f t="shared" si="827"/>
        <v>280.20304568527916</v>
      </c>
      <c r="DB293" s="379">
        <f t="shared" si="828"/>
        <v>148.3839475857213</v>
      </c>
      <c r="DD293" s="188">
        <f t="shared" si="829"/>
        <v>13.333333333333332</v>
      </c>
      <c r="DE293" s="150">
        <f t="shared" si="830"/>
        <v>2.318840579710145</v>
      </c>
      <c r="DF293" s="150">
        <f t="shared" si="831"/>
        <v>0.20230192819025303</v>
      </c>
      <c r="DG293" s="150"/>
      <c r="DH293" s="150">
        <f t="shared" si="832"/>
        <v>2.3188405797101455</v>
      </c>
      <c r="DI293" s="314">
        <f t="shared" si="833"/>
        <v>533.25330882352921</v>
      </c>
      <c r="DJ293" s="456">
        <f t="shared" si="834"/>
        <v>0.20230192819025311</v>
      </c>
      <c r="DL293" s="150">
        <f t="shared" si="835"/>
        <v>16.338094544142329</v>
      </c>
      <c r="DM293" s="150">
        <f t="shared" si="836"/>
        <v>25.17819932630346</v>
      </c>
      <c r="DN293" s="150">
        <f t="shared" si="837"/>
        <v>9.9739748096074994</v>
      </c>
      <c r="DP293" s="314">
        <f t="shared" si="838"/>
        <v>385</v>
      </c>
      <c r="DQ293" s="144">
        <f t="shared" si="839"/>
        <v>148.3839475857213</v>
      </c>
      <c r="DS293">
        <f t="shared" si="840"/>
        <v>385</v>
      </c>
      <c r="DT293">
        <f t="shared" si="841"/>
        <v>148.3839475857213</v>
      </c>
      <c r="DV293" s="5">
        <f t="shared" si="870"/>
        <v>6.739273460980681</v>
      </c>
      <c r="DW293" s="5">
        <f t="shared" si="842"/>
        <v>2.3604561868409495</v>
      </c>
      <c r="DX293" s="5">
        <f t="shared" si="843"/>
        <v>4.3788172741397311</v>
      </c>
      <c r="DY293" s="150">
        <f t="shared" si="844"/>
        <v>0.35025380710659904</v>
      </c>
      <c r="EA293" s="5">
        <f t="shared" si="871"/>
        <v>0.53457390113750913</v>
      </c>
      <c r="EB293" s="5">
        <f t="shared" si="872"/>
        <v>7.5731302661147124</v>
      </c>
      <c r="EC293" s="5">
        <f t="shared" si="873"/>
        <v>29.853499020046392</v>
      </c>
      <c r="ED293" s="5"/>
      <c r="EE293" s="150">
        <f t="shared" si="874"/>
        <v>8.6031099294443738</v>
      </c>
      <c r="EF293" s="150">
        <f t="shared" si="875"/>
        <v>0.54724707564252451</v>
      </c>
      <c r="EG293" s="150">
        <f t="shared" si="876"/>
        <v>0.5205889000827324</v>
      </c>
      <c r="EH293" s="150"/>
      <c r="EI293" s="456">
        <f t="shared" si="877"/>
        <v>0.25164590155755484</v>
      </c>
      <c r="EJ293" s="456">
        <f t="shared" si="878"/>
        <v>2.7968000000000002</v>
      </c>
      <c r="EK293" s="456">
        <f t="shared" si="879"/>
        <v>3.3979923997130179E-2</v>
      </c>
      <c r="EL293" s="456">
        <f t="shared" si="880"/>
        <v>6.1635364780783852E-2</v>
      </c>
      <c r="EM293">
        <f t="shared" si="881"/>
        <v>7.1999999999999998E-3</v>
      </c>
      <c r="EN293" s="144">
        <f t="shared" si="882"/>
        <v>41.179923997130174</v>
      </c>
      <c r="EP293" s="144">
        <f t="shared" si="883"/>
        <v>3151.2611903354691</v>
      </c>
      <c r="EQ293" s="150">
        <f t="shared" si="884"/>
        <v>0.96250000000000002</v>
      </c>
      <c r="ER293" s="150">
        <f t="shared" si="845"/>
        <v>0.27335000000000004</v>
      </c>
      <c r="ES293" s="456"/>
      <c r="EU293" s="144">
        <f t="shared" si="885"/>
        <v>1235.8500000000001</v>
      </c>
      <c r="EV293" s="456">
        <f t="shared" si="886"/>
        <v>0.11102025068715657</v>
      </c>
      <c r="EW293" s="456">
        <f t="shared" si="887"/>
        <v>5.9895872359858993E-2</v>
      </c>
      <c r="EX293" s="456">
        <f t="shared" si="888"/>
        <v>8.1303840866804745E-3</v>
      </c>
      <c r="EY293" s="456">
        <f t="shared" si="889"/>
        <v>42.657851179101606</v>
      </c>
      <c r="EZ293" s="456"/>
      <c r="FA293" s="538">
        <f t="shared" si="890"/>
        <v>9.4066775148016979E-2</v>
      </c>
      <c r="FB293" s="144">
        <f t="shared" si="891"/>
        <v>42930.964461383315</v>
      </c>
      <c r="FC293" s="150">
        <f t="shared" si="892"/>
        <v>47.318075651718786</v>
      </c>
      <c r="FD293" s="5">
        <f t="shared" si="893"/>
        <v>70.070000000000007</v>
      </c>
      <c r="FE293" s="150">
        <f t="shared" si="894"/>
        <v>0.59690900980345052</v>
      </c>
      <c r="FF293" s="5">
        <f t="shared" si="895"/>
        <v>59.690900980345049</v>
      </c>
      <c r="FG293">
        <f t="shared" si="896"/>
        <v>77</v>
      </c>
      <c r="FI293" s="59">
        <f t="shared" si="846"/>
        <v>-50</v>
      </c>
    </row>
    <row r="294" spans="5:165">
      <c r="E294" s="147">
        <v>78</v>
      </c>
      <c r="F294" s="188">
        <f t="shared" si="847"/>
        <v>0.39</v>
      </c>
      <c r="G294" s="188">
        <f t="shared" si="775"/>
        <v>0.39</v>
      </c>
      <c r="H294" s="188">
        <f t="shared" si="776"/>
        <v>66.3</v>
      </c>
      <c r="I294" s="188">
        <f t="shared" si="777"/>
        <v>4.68</v>
      </c>
      <c r="J294" s="465">
        <f t="shared" si="778"/>
        <v>15.923822600118211</v>
      </c>
      <c r="K294" s="379">
        <f t="shared" si="779"/>
        <v>8.6694518971103971</v>
      </c>
      <c r="L294" s="149">
        <f t="shared" si="780"/>
        <v>24.593274497228606</v>
      </c>
      <c r="M294" s="379"/>
      <c r="N294" s="188">
        <f t="shared" si="781"/>
        <v>0.35251311890522546</v>
      </c>
      <c r="O294" s="149">
        <f t="shared" si="782"/>
        <v>174.77483202241794</v>
      </c>
      <c r="P294" s="149">
        <f t="shared" si="783"/>
        <v>12.337046966288325</v>
      </c>
      <c r="Q294" s="188">
        <f t="shared" si="784"/>
        <v>1.0280872471906937</v>
      </c>
      <c r="R294" s="188">
        <f t="shared" si="785"/>
        <v>14.564569335201496</v>
      </c>
      <c r="S294" s="188">
        <f t="shared" si="786"/>
        <v>170</v>
      </c>
      <c r="T294" s="188">
        <f t="shared" si="787"/>
        <v>25.289682437990027</v>
      </c>
      <c r="U294" s="188">
        <f t="shared" si="788"/>
        <v>2.3822498284239511</v>
      </c>
      <c r="V294" s="188">
        <f t="shared" si="789"/>
        <v>4.375654205963003</v>
      </c>
      <c r="W294" s="172">
        <f t="shared" si="790"/>
        <v>280.66781848305931</v>
      </c>
      <c r="X294" s="379">
        <f t="shared" si="848"/>
        <v>143.72144183907358</v>
      </c>
      <c r="Z294" s="188">
        <f t="shared" si="791"/>
        <v>13.333333333333336</v>
      </c>
      <c r="AA294" s="150">
        <f t="shared" si="792"/>
        <v>2.3069509165471205</v>
      </c>
      <c r="AB294" s="150">
        <f t="shared" si="793"/>
        <v>0.20159847946174303</v>
      </c>
      <c r="AC294" s="150"/>
      <c r="AD294" s="150">
        <f t="shared" si="794"/>
        <v>2.30695091654712</v>
      </c>
      <c r="AE294" s="314">
        <f t="shared" si="795"/>
        <v>542.96267263843743</v>
      </c>
      <c r="AF294" s="456">
        <f t="shared" si="796"/>
        <v>0.20159847946174297</v>
      </c>
      <c r="AH294" s="150">
        <f t="shared" si="797"/>
        <v>16.443843832875572</v>
      </c>
      <c r="AI294" s="150">
        <f t="shared" si="798"/>
        <v>25.289682437990027</v>
      </c>
      <c r="AJ294" s="150">
        <f t="shared" si="799"/>
        <v>10.056554892338291</v>
      </c>
      <c r="AL294" s="314">
        <f t="shared" si="800"/>
        <v>390</v>
      </c>
      <c r="AM294" s="144">
        <f t="shared" si="801"/>
        <v>143.72144183907358</v>
      </c>
      <c r="AO294">
        <f t="shared" si="802"/>
        <v>390</v>
      </c>
      <c r="AP294">
        <f t="shared" si="803"/>
        <v>143.72144183907358</v>
      </c>
      <c r="AR294" s="5">
        <f t="shared" si="774"/>
        <v>6.9579040343869538</v>
      </c>
      <c r="AS294" s="5">
        <f t="shared" si="739"/>
        <v>2.3822498284239511</v>
      </c>
      <c r="AT294" s="5">
        <f t="shared" si="740"/>
        <v>4.5756542059630032</v>
      </c>
      <c r="AU294" s="150">
        <f t="shared" si="741"/>
        <v>0.34238038016197592</v>
      </c>
      <c r="BA294" s="150">
        <f t="shared" si="849"/>
        <v>8.5435267488771256</v>
      </c>
      <c r="BB294" s="150">
        <f t="shared" si="850"/>
        <v>0.55299049580583937</v>
      </c>
      <c r="BC294" s="150">
        <f t="shared" si="851"/>
        <v>0.52605253966823873</v>
      </c>
      <c r="BD294" s="150"/>
      <c r="BE294" s="456">
        <f t="shared" si="852"/>
        <v>0.24817228764984842</v>
      </c>
      <c r="BF294" s="456">
        <f t="shared" si="804"/>
        <v>2.1408528448740967</v>
      </c>
      <c r="BG294" s="456">
        <f t="shared" si="805"/>
        <v>0.10481763926048056</v>
      </c>
      <c r="BH294" s="456">
        <f t="shared" si="853"/>
        <v>5.9544938539280626E-2</v>
      </c>
      <c r="BI294">
        <f t="shared" si="854"/>
        <v>7.1657201700531942E-3</v>
      </c>
      <c r="BJ294" s="144">
        <f t="shared" si="855"/>
        <v>111.98335943053375</v>
      </c>
      <c r="BK294">
        <f t="shared" si="806"/>
        <v>2.6732040306600267</v>
      </c>
      <c r="BL294" s="144">
        <f t="shared" si="856"/>
        <v>2560.5534304937596</v>
      </c>
      <c r="BM294" s="150">
        <f t="shared" si="807"/>
        <v>0.86531250000000004</v>
      </c>
      <c r="BN294" s="150">
        <f t="shared" si="808"/>
        <v>0.27690000000000003</v>
      </c>
      <c r="BQ294" s="144">
        <f t="shared" si="857"/>
        <v>1142.2125000000001</v>
      </c>
      <c r="BR294" s="456">
        <f t="shared" si="858"/>
        <v>0.10948777396316843</v>
      </c>
      <c r="BS294" s="456">
        <f t="shared" si="859"/>
        <v>6.1159697690317608E-2</v>
      </c>
      <c r="BT294" s="456">
        <f t="shared" si="860"/>
        <v>8.3019382347421164E-3</v>
      </c>
      <c r="BU294" s="456">
        <f t="shared" si="861"/>
        <v>39.822851830687853</v>
      </c>
      <c r="BV294" s="456"/>
      <c r="BW294" s="538">
        <f t="shared" si="862"/>
        <v>9.1919640548870002E-2</v>
      </c>
      <c r="BX294" s="144">
        <f t="shared" si="863"/>
        <v>40093.720881124951</v>
      </c>
      <c r="BY294" s="150">
        <f t="shared" si="864"/>
        <v>43.796486811618713</v>
      </c>
      <c r="BZ294" s="5">
        <f t="shared" si="865"/>
        <v>70.97999999999999</v>
      </c>
      <c r="CA294" s="150">
        <f t="shared" si="866"/>
        <v>0.61841934678222577</v>
      </c>
      <c r="CB294" s="5">
        <f t="shared" si="867"/>
        <v>61.841934678222579</v>
      </c>
      <c r="CC294">
        <f t="shared" si="868"/>
        <v>78</v>
      </c>
      <c r="CE294" s="59">
        <f t="shared" si="809"/>
        <v>-50</v>
      </c>
      <c r="CG294" s="150">
        <f t="shared" si="810"/>
        <v>0.63502377808469523</v>
      </c>
      <c r="CH294" s="150">
        <f t="shared" si="811"/>
        <v>0.17735551404972849</v>
      </c>
      <c r="CI294" s="147">
        <v>78</v>
      </c>
      <c r="CJ294" s="188">
        <f t="shared" si="869"/>
        <v>0.39</v>
      </c>
      <c r="CK294" s="188">
        <f t="shared" si="812"/>
        <v>0.39</v>
      </c>
      <c r="CL294" s="188">
        <f t="shared" si="813"/>
        <v>66.3</v>
      </c>
      <c r="CM294" s="188">
        <f t="shared" si="814"/>
        <v>4.68</v>
      </c>
      <c r="CN294" s="465">
        <f t="shared" si="815"/>
        <v>16</v>
      </c>
      <c r="CO294" s="379">
        <f t="shared" si="816"/>
        <v>8.625</v>
      </c>
      <c r="CP294" s="379">
        <f t="shared" si="817"/>
        <v>24.625</v>
      </c>
      <c r="CQ294" s="379"/>
      <c r="CR294" s="188">
        <f t="shared" si="818"/>
        <v>0.34787038923986141</v>
      </c>
      <c r="CS294" s="149">
        <f t="shared" si="819"/>
        <v>173.29806936491266</v>
      </c>
      <c r="CT294" s="149">
        <f t="shared" si="820"/>
        <v>12.232804896346776</v>
      </c>
      <c r="CU294" s="188">
        <f t="shared" si="821"/>
        <v>1.0194004080288981</v>
      </c>
      <c r="CV294" s="188">
        <f t="shared" si="822"/>
        <v>14.441505780409388</v>
      </c>
      <c r="CW294" s="188">
        <f t="shared" si="823"/>
        <v>170</v>
      </c>
      <c r="CX294" s="188">
        <f t="shared" si="824"/>
        <v>25.50518892794376</v>
      </c>
      <c r="CY294" s="188">
        <f t="shared" si="825"/>
        <v>2.3911114619947273</v>
      </c>
      <c r="CZ294" s="188">
        <f t="shared" si="826"/>
        <v>4.4356850309467406</v>
      </c>
      <c r="DA294" s="172">
        <f t="shared" si="827"/>
        <v>280.20304568527916</v>
      </c>
      <c r="DB294" s="379">
        <f t="shared" si="828"/>
        <v>146.4815892833403</v>
      </c>
      <c r="DD294" s="188">
        <f t="shared" si="829"/>
        <v>13.333333333333332</v>
      </c>
      <c r="DE294" s="150">
        <f t="shared" si="830"/>
        <v>2.318840579710145</v>
      </c>
      <c r="DF294" s="150">
        <f t="shared" si="831"/>
        <v>0.20230192819025303</v>
      </c>
      <c r="DG294" s="150"/>
      <c r="DH294" s="150">
        <f t="shared" si="832"/>
        <v>2.3188405797101455</v>
      </c>
      <c r="DI294" s="314">
        <f t="shared" si="833"/>
        <v>540.17867647058802</v>
      </c>
      <c r="DJ294" s="456">
        <f t="shared" si="834"/>
        <v>0.20230192819025311</v>
      </c>
      <c r="DL294" s="150">
        <f t="shared" si="835"/>
        <v>16.443843832875572</v>
      </c>
      <c r="DM294" s="150">
        <f t="shared" si="836"/>
        <v>25.50518892794376</v>
      </c>
      <c r="DN294" s="150">
        <f t="shared" si="837"/>
        <v>10.216189329341056</v>
      </c>
      <c r="DP294" s="314">
        <f t="shared" si="838"/>
        <v>390</v>
      </c>
      <c r="DQ294" s="144">
        <f t="shared" si="839"/>
        <v>146.4815892833403</v>
      </c>
      <c r="DS294">
        <f t="shared" si="840"/>
        <v>390</v>
      </c>
      <c r="DT294">
        <f t="shared" si="841"/>
        <v>146.4815892833403</v>
      </c>
      <c r="DV294" s="5">
        <f t="shared" si="870"/>
        <v>6.826796492941468</v>
      </c>
      <c r="DW294" s="5">
        <f t="shared" si="842"/>
        <v>2.3911114619947273</v>
      </c>
      <c r="DX294" s="5">
        <f t="shared" si="843"/>
        <v>4.4356850309467406</v>
      </c>
      <c r="DY294" s="150">
        <f t="shared" si="844"/>
        <v>0.35025380710659898</v>
      </c>
      <c r="EA294" s="5">
        <f t="shared" si="871"/>
        <v>0.54854910010467273</v>
      </c>
      <c r="EB294" s="5">
        <f t="shared" si="872"/>
        <v>7.7711122514828643</v>
      </c>
      <c r="EC294" s="5">
        <f t="shared" si="873"/>
        <v>30.633949744975922</v>
      </c>
      <c r="ED294" s="5"/>
      <c r="EE294" s="150">
        <f t="shared" si="874"/>
        <v>8.714838629826767</v>
      </c>
      <c r="EF294" s="150">
        <f t="shared" si="875"/>
        <v>0.55435418052099883</v>
      </c>
      <c r="EG294" s="150">
        <f t="shared" si="876"/>
        <v>0.52734979488900158</v>
      </c>
      <c r="EH294" s="150"/>
      <c r="EI294" s="456">
        <f t="shared" si="877"/>
        <v>0.25822460196933095</v>
      </c>
      <c r="EJ294" s="456">
        <f t="shared" si="878"/>
        <v>2.7968000000000006</v>
      </c>
      <c r="EK294" s="456">
        <f t="shared" si="879"/>
        <v>3.3544283945884927E-2</v>
      </c>
      <c r="EL294" s="456">
        <f t="shared" si="880"/>
        <v>6.0845167796414849E-2</v>
      </c>
      <c r="EM294">
        <f t="shared" si="881"/>
        <v>7.1999999999999998E-3</v>
      </c>
      <c r="EN294" s="144">
        <f t="shared" si="882"/>
        <v>40.744283945884924</v>
      </c>
      <c r="EP294" s="144">
        <f t="shared" si="883"/>
        <v>3156.6140537116316</v>
      </c>
      <c r="EQ294" s="150">
        <f t="shared" si="884"/>
        <v>0.97500000000000009</v>
      </c>
      <c r="ER294" s="150">
        <f t="shared" si="845"/>
        <v>0.27690000000000003</v>
      </c>
      <c r="ES294" s="456"/>
      <c r="EU294" s="144">
        <f t="shared" si="885"/>
        <v>1251.9000000000001</v>
      </c>
      <c r="EV294" s="456">
        <f t="shared" si="886"/>
        <v>0.11392261851588133</v>
      </c>
      <c r="EW294" s="456">
        <f t="shared" si="887"/>
        <v>6.1461711492221627E-2</v>
      </c>
      <c r="EX294" s="456">
        <f t="shared" si="888"/>
        <v>8.3429341850841613E-3</v>
      </c>
      <c r="EY294" s="456">
        <f t="shared" si="889"/>
        <v>42.657851179101598</v>
      </c>
      <c r="EZ294" s="456"/>
      <c r="FA294" s="538">
        <f t="shared" si="890"/>
        <v>9.528842157851071E-2</v>
      </c>
      <c r="FB294" s="144">
        <f t="shared" si="891"/>
        <v>42936.866864873293</v>
      </c>
      <c r="FC294" s="150">
        <f t="shared" si="892"/>
        <v>47.345380918584929</v>
      </c>
      <c r="FD294" s="5">
        <f t="shared" si="893"/>
        <v>70.97999999999999</v>
      </c>
      <c r="FE294" s="150">
        <f t="shared" si="894"/>
        <v>0.59987129936930905</v>
      </c>
      <c r="FF294" s="5">
        <f t="shared" si="895"/>
        <v>59.987129936930906</v>
      </c>
      <c r="FG294">
        <f t="shared" si="896"/>
        <v>78</v>
      </c>
      <c r="FI294" s="59">
        <f t="shared" si="846"/>
        <v>-50</v>
      </c>
    </row>
    <row r="295" spans="5:165">
      <c r="E295" s="147">
        <v>79</v>
      </c>
      <c r="F295" s="188">
        <f t="shared" si="847"/>
        <v>0.39500000000000002</v>
      </c>
      <c r="G295" s="188">
        <f t="shared" si="775"/>
        <v>0.39500000000000002</v>
      </c>
      <c r="H295" s="188">
        <f t="shared" si="776"/>
        <v>67.150000000000006</v>
      </c>
      <c r="I295" s="188">
        <f t="shared" si="777"/>
        <v>4.74</v>
      </c>
      <c r="J295" s="465">
        <f t="shared" si="778"/>
        <v>15.922845966786392</v>
      </c>
      <c r="K295" s="379">
        <f t="shared" si="779"/>
        <v>8.6700217932271961</v>
      </c>
      <c r="L295" s="149">
        <f t="shared" si="780"/>
        <v>24.59286776001359</v>
      </c>
      <c r="M295" s="379"/>
      <c r="N295" s="188">
        <f t="shared" si="781"/>
        <v>0.35254212228653098</v>
      </c>
      <c r="O295" s="149">
        <f t="shared" si="782"/>
        <v>174.77849170243752</v>
      </c>
      <c r="P295" s="149">
        <f t="shared" si="783"/>
        <v>12.337305296642649</v>
      </c>
      <c r="Q295" s="188">
        <f t="shared" si="784"/>
        <v>1.0281087747202207</v>
      </c>
      <c r="R295" s="188">
        <f t="shared" si="785"/>
        <v>14.56487430853646</v>
      </c>
      <c r="S295" s="188">
        <f t="shared" si="786"/>
        <v>170</v>
      </c>
      <c r="T295" s="188">
        <f t="shared" si="787"/>
        <v>25.613372807268789</v>
      </c>
      <c r="U295" s="188">
        <f t="shared" si="788"/>
        <v>2.4128889578561479</v>
      </c>
      <c r="V295" s="188">
        <f t="shared" si="789"/>
        <v>4.4313682395718974</v>
      </c>
      <c r="W295" s="172">
        <f t="shared" si="790"/>
        <v>280.67369549862025</v>
      </c>
      <c r="X295" s="379">
        <f t="shared" si="848"/>
        <v>141.95960936308711</v>
      </c>
      <c r="Z295" s="188">
        <f t="shared" si="791"/>
        <v>13.333333333333332</v>
      </c>
      <c r="AA295" s="150">
        <f t="shared" si="792"/>
        <v>2.3067992765166401</v>
      </c>
      <c r="AB295" s="150">
        <f t="shared" si="793"/>
        <v>0.20158944910492624</v>
      </c>
      <c r="AC295" s="150"/>
      <c r="AD295" s="150">
        <f t="shared" si="794"/>
        <v>2.3067992765166405</v>
      </c>
      <c r="AE295" s="314">
        <f t="shared" si="795"/>
        <v>549.95988239567907</v>
      </c>
      <c r="AF295" s="456">
        <f t="shared" si="796"/>
        <v>0.20158944910492629</v>
      </c>
      <c r="AH295" s="150">
        <f t="shared" si="797"/>
        <v>16.548917386544254</v>
      </c>
      <c r="AI295" s="150">
        <f t="shared" si="798"/>
        <v>25.613372807268789</v>
      </c>
      <c r="AJ295" s="150">
        <f t="shared" si="799"/>
        <v>10.296325536248483</v>
      </c>
      <c r="AL295" s="314">
        <f t="shared" si="800"/>
        <v>395</v>
      </c>
      <c r="AM295" s="144">
        <f t="shared" si="801"/>
        <v>141.95960936308711</v>
      </c>
      <c r="AO295">
        <f t="shared" si="802"/>
        <v>395</v>
      </c>
      <c r="AP295">
        <f t="shared" si="803"/>
        <v>141.95960936308711</v>
      </c>
      <c r="AR295" s="5">
        <f t="shared" si="774"/>
        <v>7.0442571974280446</v>
      </c>
      <c r="AS295" s="5">
        <f t="shared" si="739"/>
        <v>2.4128889578561479</v>
      </c>
      <c r="AT295" s="5">
        <f t="shared" si="740"/>
        <v>4.6313682395718967</v>
      </c>
      <c r="AU295" s="150">
        <f t="shared" si="741"/>
        <v>0.34253277389376513</v>
      </c>
      <c r="BA295" s="150">
        <f t="shared" si="849"/>
        <v>8.6548034436178582</v>
      </c>
      <c r="BB295" s="150">
        <f t="shared" si="850"/>
        <v>0.56000349246092762</v>
      </c>
      <c r="BC295" s="150">
        <f t="shared" si="851"/>
        <v>0.53272391056715085</v>
      </c>
      <c r="BD295" s="150"/>
      <c r="BE295" s="456">
        <f t="shared" si="852"/>
        <v>0.25467911700204243</v>
      </c>
      <c r="BF295" s="456">
        <f t="shared" si="804"/>
        <v>2.1416389593329286</v>
      </c>
      <c r="BG295" s="456">
        <f t="shared" si="805"/>
        <v>0.10352636549742703</v>
      </c>
      <c r="BH295" s="456">
        <f t="shared" si="853"/>
        <v>5.8813051892029559E-2</v>
      </c>
      <c r="BI295">
        <f t="shared" si="854"/>
        <v>7.165280685053876E-3</v>
      </c>
      <c r="BJ295" s="144">
        <f t="shared" si="855"/>
        <v>110.69164618248089</v>
      </c>
      <c r="BK295">
        <f t="shared" si="806"/>
        <v>2.6864567085811362</v>
      </c>
      <c r="BL295" s="144">
        <f t="shared" si="856"/>
        <v>2565.8227744094816</v>
      </c>
      <c r="BM295" s="150">
        <f t="shared" si="807"/>
        <v>0.87640624999999994</v>
      </c>
      <c r="BN295" s="150">
        <f t="shared" si="808"/>
        <v>0.28045000000000003</v>
      </c>
      <c r="BQ295" s="144">
        <f t="shared" si="857"/>
        <v>1156.8562499999998</v>
      </c>
      <c r="BR295" s="456">
        <f t="shared" si="858"/>
        <v>0.11235843397148931</v>
      </c>
      <c r="BS295" s="456">
        <f t="shared" si="859"/>
        <v>6.2720782313687246E-2</v>
      </c>
      <c r="BT295" s="456">
        <f t="shared" si="860"/>
        <v>8.5138429466987322E-3</v>
      </c>
      <c r="BU295" s="456">
        <f t="shared" si="861"/>
        <v>39.861067055821003</v>
      </c>
      <c r="BV295" s="456"/>
      <c r="BW295" s="538">
        <f t="shared" si="862"/>
        <v>9.3131872982103389E-2</v>
      </c>
      <c r="BX295" s="144">
        <f t="shared" si="863"/>
        <v>40137.79198803498</v>
      </c>
      <c r="BY295" s="150">
        <f t="shared" si="864"/>
        <v>43.860471012444464</v>
      </c>
      <c r="BZ295" s="5">
        <f t="shared" si="865"/>
        <v>71.89</v>
      </c>
      <c r="CA295" s="150">
        <f t="shared" si="866"/>
        <v>0.6210773863051583</v>
      </c>
      <c r="CB295" s="5">
        <f t="shared" si="867"/>
        <v>62.107738630515833</v>
      </c>
      <c r="CC295">
        <f t="shared" si="868"/>
        <v>79</v>
      </c>
      <c r="CE295" s="59">
        <f t="shared" si="809"/>
        <v>-50</v>
      </c>
      <c r="CG295" s="150">
        <f t="shared" si="810"/>
        <v>0.63502377808469523</v>
      </c>
      <c r="CH295" s="150">
        <f t="shared" si="811"/>
        <v>0.17735551404972849</v>
      </c>
      <c r="CI295" s="147">
        <v>79</v>
      </c>
      <c r="CJ295" s="188">
        <f t="shared" si="869"/>
        <v>0.39500000000000002</v>
      </c>
      <c r="CK295" s="188">
        <f t="shared" si="812"/>
        <v>0.39500000000000002</v>
      </c>
      <c r="CL295" s="188">
        <f t="shared" si="813"/>
        <v>67.150000000000006</v>
      </c>
      <c r="CM295" s="188">
        <f t="shared" si="814"/>
        <v>4.74</v>
      </c>
      <c r="CN295" s="465">
        <f t="shared" si="815"/>
        <v>16</v>
      </c>
      <c r="CO295" s="379">
        <f t="shared" si="816"/>
        <v>8.625</v>
      </c>
      <c r="CP295" s="379">
        <f t="shared" si="817"/>
        <v>24.625</v>
      </c>
      <c r="CQ295" s="379"/>
      <c r="CR295" s="188">
        <f t="shared" si="818"/>
        <v>0.34787038923986141</v>
      </c>
      <c r="CS295" s="149">
        <f t="shared" si="819"/>
        <v>173.29806936491266</v>
      </c>
      <c r="CT295" s="149">
        <f t="shared" si="820"/>
        <v>12.232804896346776</v>
      </c>
      <c r="CU295" s="188">
        <f t="shared" si="821"/>
        <v>1.0194004080288981</v>
      </c>
      <c r="CV295" s="188">
        <f t="shared" si="822"/>
        <v>14.441505780409388</v>
      </c>
      <c r="CW295" s="188">
        <f t="shared" si="823"/>
        <v>170</v>
      </c>
      <c r="CX295" s="188">
        <f t="shared" si="824"/>
        <v>25.832178529584066</v>
      </c>
      <c r="CY295" s="188">
        <f t="shared" si="825"/>
        <v>2.4217667371485061</v>
      </c>
      <c r="CZ295" s="188">
        <f t="shared" si="826"/>
        <v>4.492552787753751</v>
      </c>
      <c r="DA295" s="172">
        <f t="shared" si="827"/>
        <v>280.20304568527916</v>
      </c>
      <c r="DB295" s="379">
        <f t="shared" si="828"/>
        <v>144.62739195063975</v>
      </c>
      <c r="DD295" s="188">
        <f t="shared" si="829"/>
        <v>13.333333333333332</v>
      </c>
      <c r="DE295" s="150">
        <f t="shared" si="830"/>
        <v>2.318840579710145</v>
      </c>
      <c r="DF295" s="150">
        <f t="shared" si="831"/>
        <v>0.20230192819025303</v>
      </c>
      <c r="DG295" s="150"/>
      <c r="DH295" s="150">
        <f t="shared" si="832"/>
        <v>2.3188405797101455</v>
      </c>
      <c r="DI295" s="314">
        <f t="shared" si="833"/>
        <v>547.10404411764694</v>
      </c>
      <c r="DJ295" s="456">
        <f t="shared" si="834"/>
        <v>0.20230192819025311</v>
      </c>
      <c r="DL295" s="150">
        <f t="shared" si="835"/>
        <v>16.548917386544254</v>
      </c>
      <c r="DM295" s="150">
        <f t="shared" si="836"/>
        <v>25.832178529584066</v>
      </c>
      <c r="DN295" s="150">
        <f t="shared" si="837"/>
        <v>10.458403849074616</v>
      </c>
      <c r="DP295" s="314">
        <f t="shared" si="838"/>
        <v>395</v>
      </c>
      <c r="DQ295" s="144">
        <f t="shared" si="839"/>
        <v>144.62739195063975</v>
      </c>
      <c r="DS295">
        <f t="shared" si="840"/>
        <v>395</v>
      </c>
      <c r="DT295">
        <f t="shared" si="841"/>
        <v>144.62739195063975</v>
      </c>
      <c r="DV295" s="5">
        <f t="shared" si="870"/>
        <v>6.9143195249022575</v>
      </c>
      <c r="DW295" s="5">
        <f t="shared" si="842"/>
        <v>2.4217667371485061</v>
      </c>
      <c r="DX295" s="5">
        <f t="shared" si="843"/>
        <v>4.4925527877537519</v>
      </c>
      <c r="DY295" s="150">
        <f t="shared" si="844"/>
        <v>0.35025380710659892</v>
      </c>
      <c r="EA295" s="5">
        <f t="shared" si="871"/>
        <v>0.56270462421980005</v>
      </c>
      <c r="EB295" s="5">
        <f t="shared" si="872"/>
        <v>7.9716488431138339</v>
      </c>
      <c r="EC295" s="5">
        <f t="shared" si="873"/>
        <v>31.424470801840041</v>
      </c>
      <c r="ED295" s="5"/>
      <c r="EE295" s="150">
        <f t="shared" si="874"/>
        <v>8.8265673302091603</v>
      </c>
      <c r="EF295" s="150">
        <f t="shared" si="875"/>
        <v>0.56146128539947326</v>
      </c>
      <c r="EG295" s="150">
        <f t="shared" si="876"/>
        <v>0.53411068969527087</v>
      </c>
      <c r="EH295" s="150"/>
      <c r="EI295" s="456">
        <f t="shared" si="877"/>
        <v>0.26488818883803322</v>
      </c>
      <c r="EJ295" s="456">
        <f t="shared" si="878"/>
        <v>2.7967999999999997</v>
      </c>
      <c r="EK295" s="456">
        <f t="shared" si="879"/>
        <v>3.31196727566965E-2</v>
      </c>
      <c r="EL295" s="456">
        <f t="shared" si="880"/>
        <v>6.0074975798991855E-2</v>
      </c>
      <c r="EM295">
        <f t="shared" si="881"/>
        <v>7.1999999999999998E-3</v>
      </c>
      <c r="EN295" s="144">
        <f t="shared" si="882"/>
        <v>40.319672756696498</v>
      </c>
      <c r="EP295" s="144">
        <f t="shared" si="883"/>
        <v>3162.0828373937215</v>
      </c>
      <c r="EQ295" s="150">
        <f t="shared" si="884"/>
        <v>0.98750000000000004</v>
      </c>
      <c r="ER295" s="150">
        <f t="shared" si="845"/>
        <v>0.28045000000000003</v>
      </c>
      <c r="ES295" s="456"/>
      <c r="EU295" s="144">
        <f t="shared" si="885"/>
        <v>1267.95</v>
      </c>
      <c r="EV295" s="456">
        <f t="shared" si="886"/>
        <v>0.11686243625207349</v>
      </c>
      <c r="EW295" s="456">
        <f t="shared" si="887"/>
        <v>6.3047755000485747E-2</v>
      </c>
      <c r="EX295" s="456">
        <f t="shared" si="888"/>
        <v>8.558226865402736E-3</v>
      </c>
      <c r="EY295" s="456">
        <f t="shared" si="889"/>
        <v>42.65785117910152</v>
      </c>
      <c r="EZ295" s="456"/>
      <c r="FA295" s="538">
        <f t="shared" si="890"/>
        <v>9.6510068009004427E-2</v>
      </c>
      <c r="FB295" s="144">
        <f t="shared" si="891"/>
        <v>42942.829665228484</v>
      </c>
      <c r="FC295" s="150">
        <f t="shared" si="892"/>
        <v>47.372862502622205</v>
      </c>
      <c r="FD295" s="5">
        <f t="shared" si="893"/>
        <v>71.89</v>
      </c>
      <c r="FE295" s="150">
        <f t="shared" si="894"/>
        <v>0.60278613552831151</v>
      </c>
      <c r="FF295" s="5">
        <f t="shared" si="895"/>
        <v>60.278613552831153</v>
      </c>
      <c r="FG295">
        <f t="shared" si="896"/>
        <v>79</v>
      </c>
      <c r="FI295" s="59">
        <f t="shared" si="846"/>
        <v>-50</v>
      </c>
    </row>
    <row r="296" spans="5:165">
      <c r="E296" s="147">
        <v>80</v>
      </c>
      <c r="F296" s="188">
        <f t="shared" si="847"/>
        <v>0.4</v>
      </c>
      <c r="G296" s="188">
        <f t="shared" si="775"/>
        <v>0.4</v>
      </c>
      <c r="H296" s="188">
        <f t="shared" si="776"/>
        <v>68</v>
      </c>
      <c r="I296" s="188">
        <f t="shared" si="777"/>
        <v>4.8000000000000007</v>
      </c>
      <c r="J296" s="465">
        <f t="shared" si="778"/>
        <v>15.921869333454575</v>
      </c>
      <c r="K296" s="379">
        <f t="shared" si="779"/>
        <v>8.6705916893439969</v>
      </c>
      <c r="L296" s="149">
        <f t="shared" si="780"/>
        <v>24.592461022798574</v>
      </c>
      <c r="M296" s="379"/>
      <c r="N296" s="188">
        <f t="shared" si="781"/>
        <v>0.35257112662721629</v>
      </c>
      <c r="O296" s="149">
        <f t="shared" si="782"/>
        <v>174.78215009418662</v>
      </c>
      <c r="P296" s="149">
        <f t="shared" si="783"/>
        <v>12.337563536060232</v>
      </c>
      <c r="Q296" s="188">
        <f t="shared" si="784"/>
        <v>1.0281302946716859</v>
      </c>
      <c r="R296" s="188">
        <f t="shared" si="785"/>
        <v>14.565179174515551</v>
      </c>
      <c r="S296" s="188">
        <f t="shared" si="786"/>
        <v>170</v>
      </c>
      <c r="T296" s="188">
        <f t="shared" si="787"/>
        <v>25.937049812526109</v>
      </c>
      <c r="U296" s="188">
        <f t="shared" si="788"/>
        <v>2.4435305870173099</v>
      </c>
      <c r="V296" s="188">
        <f t="shared" si="789"/>
        <v>4.4870726373383976</v>
      </c>
      <c r="W296" s="172">
        <f t="shared" si="790"/>
        <v>280.67957044537025</v>
      </c>
      <c r="X296" s="379">
        <f t="shared" si="848"/>
        <v>140.24058954568406</v>
      </c>
      <c r="Z296" s="188">
        <f t="shared" si="791"/>
        <v>13.333333333333336</v>
      </c>
      <c r="AA296" s="150">
        <f t="shared" si="792"/>
        <v>2.3066476564199938</v>
      </c>
      <c r="AB296" s="150">
        <f t="shared" si="793"/>
        <v>0.20158041844940161</v>
      </c>
      <c r="AC296" s="150"/>
      <c r="AD296" s="150">
        <f t="shared" si="794"/>
        <v>2.3066476564199934</v>
      </c>
      <c r="AE296" s="314">
        <f t="shared" si="795"/>
        <v>556.95800733903775</v>
      </c>
      <c r="AF296" s="456">
        <f t="shared" si="796"/>
        <v>0.20158041844940155</v>
      </c>
      <c r="AH296" s="150">
        <f t="shared" si="797"/>
        <v>16.653327995729061</v>
      </c>
      <c r="AI296" s="150">
        <f t="shared" si="798"/>
        <v>25.937049812526109</v>
      </c>
      <c r="AJ296" s="150">
        <f t="shared" si="799"/>
        <v>10.536086280883536</v>
      </c>
      <c r="AL296" s="314">
        <f t="shared" si="800"/>
        <v>400</v>
      </c>
      <c r="AM296" s="144">
        <f t="shared" si="801"/>
        <v>140.24058954568406</v>
      </c>
      <c r="AO296">
        <f t="shared" si="802"/>
        <v>400</v>
      </c>
      <c r="AP296">
        <f t="shared" si="803"/>
        <v>140.24058954568406</v>
      </c>
      <c r="AR296" s="5">
        <f t="shared" si="774"/>
        <v>7.1306032243557071</v>
      </c>
      <c r="AS296" s="5">
        <f t="shared" si="739"/>
        <v>2.4435305870173099</v>
      </c>
      <c r="AT296" s="5">
        <f t="shared" si="740"/>
        <v>4.6870726373383977</v>
      </c>
      <c r="AU296" s="150">
        <f t="shared" si="741"/>
        <v>0.34268217009621899</v>
      </c>
      <c r="BA296" s="150">
        <f t="shared" si="849"/>
        <v>8.7660855152940726</v>
      </c>
      <c r="BB296" s="150">
        <f t="shared" si="850"/>
        <v>0.56701584191902865</v>
      </c>
      <c r="BC296" s="150">
        <f t="shared" si="851"/>
        <v>0.53939466579613482</v>
      </c>
      <c r="BD296" s="150"/>
      <c r="BE296" s="456">
        <f t="shared" si="852"/>
        <v>0.26127046788892505</v>
      </c>
      <c r="BF296" s="456">
        <f t="shared" si="804"/>
        <v>2.1424061895569424</v>
      </c>
      <c r="BG296" s="456">
        <f t="shared" si="805"/>
        <v>0.10226646926328019</v>
      </c>
      <c r="BH296" s="456">
        <f t="shared" si="853"/>
        <v>5.8098950017033343E-2</v>
      </c>
      <c r="BI296">
        <f t="shared" si="854"/>
        <v>7.1648412000545588E-3</v>
      </c>
      <c r="BJ296" s="144">
        <f t="shared" si="855"/>
        <v>109.43131046333475</v>
      </c>
      <c r="BK296">
        <f t="shared" si="806"/>
        <v>2.6999241561274725</v>
      </c>
      <c r="BL296" s="144">
        <f t="shared" si="856"/>
        <v>2571.2069179262353</v>
      </c>
      <c r="BM296" s="150">
        <f t="shared" si="807"/>
        <v>0.88749999999999996</v>
      </c>
      <c r="BN296" s="150">
        <f t="shared" si="808"/>
        <v>0.28400000000000003</v>
      </c>
      <c r="BQ296" s="144">
        <f t="shared" si="857"/>
        <v>1171.5</v>
      </c>
      <c r="BR296" s="456">
        <f t="shared" si="858"/>
        <v>0.11526638289217284</v>
      </c>
      <c r="BS296" s="456">
        <f t="shared" si="859"/>
        <v>6.4301392997428972E-2</v>
      </c>
      <c r="BT296" s="456">
        <f t="shared" si="860"/>
        <v>8.7283981646797196E-3</v>
      </c>
      <c r="BU296" s="456">
        <f t="shared" si="861"/>
        <v>39.898426323895073</v>
      </c>
      <c r="BV296" s="456"/>
      <c r="BW296" s="538">
        <f t="shared" si="862"/>
        <v>9.4344129354953135E-2</v>
      </c>
      <c r="BX296" s="144">
        <f t="shared" si="863"/>
        <v>40181.066627304303</v>
      </c>
      <c r="BY296" s="150">
        <f t="shared" si="864"/>
        <v>43.923773545230539</v>
      </c>
      <c r="BZ296" s="5">
        <f t="shared" si="865"/>
        <v>72.8</v>
      </c>
      <c r="CA296" s="150">
        <f t="shared" si="866"/>
        <v>0.6236947092169699</v>
      </c>
      <c r="CB296" s="5">
        <f t="shared" si="867"/>
        <v>62.369470921696987</v>
      </c>
      <c r="CC296">
        <f t="shared" si="868"/>
        <v>80</v>
      </c>
      <c r="CE296" s="59">
        <f t="shared" si="809"/>
        <v>-50</v>
      </c>
      <c r="CG296" s="150">
        <f t="shared" si="810"/>
        <v>0.63502377808469523</v>
      </c>
      <c r="CH296" s="150">
        <f t="shared" si="811"/>
        <v>0.17735551404972849</v>
      </c>
      <c r="CI296" s="147">
        <v>80</v>
      </c>
      <c r="CJ296" s="188">
        <f t="shared" si="869"/>
        <v>0.4</v>
      </c>
      <c r="CK296" s="188">
        <f t="shared" si="812"/>
        <v>0.4</v>
      </c>
      <c r="CL296" s="188">
        <f t="shared" si="813"/>
        <v>68</v>
      </c>
      <c r="CM296" s="188">
        <f t="shared" si="814"/>
        <v>4.8000000000000007</v>
      </c>
      <c r="CN296" s="465">
        <f t="shared" si="815"/>
        <v>16</v>
      </c>
      <c r="CO296" s="379">
        <f t="shared" si="816"/>
        <v>8.625</v>
      </c>
      <c r="CP296" s="379">
        <f t="shared" si="817"/>
        <v>24.625</v>
      </c>
      <c r="CQ296" s="379"/>
      <c r="CR296" s="188">
        <f t="shared" si="818"/>
        <v>0.34787038923986141</v>
      </c>
      <c r="CS296" s="149">
        <f t="shared" si="819"/>
        <v>173.29806936491266</v>
      </c>
      <c r="CT296" s="149">
        <f t="shared" si="820"/>
        <v>12.232804896346776</v>
      </c>
      <c r="CU296" s="188">
        <f t="shared" si="821"/>
        <v>1.0194004080288981</v>
      </c>
      <c r="CV296" s="188">
        <f t="shared" si="822"/>
        <v>14.441505780409388</v>
      </c>
      <c r="CW296" s="188">
        <f t="shared" si="823"/>
        <v>170</v>
      </c>
      <c r="CX296" s="188">
        <f t="shared" si="824"/>
        <v>26.159168131224369</v>
      </c>
      <c r="CY296" s="188">
        <f t="shared" si="825"/>
        <v>2.4524220123022848</v>
      </c>
      <c r="CZ296" s="188">
        <f t="shared" si="826"/>
        <v>4.5494205445607605</v>
      </c>
      <c r="DA296" s="172">
        <f t="shared" si="827"/>
        <v>280.20304568527916</v>
      </c>
      <c r="DB296" s="379">
        <f t="shared" si="828"/>
        <v>142.81954955125676</v>
      </c>
      <c r="DD296" s="188">
        <f t="shared" si="829"/>
        <v>13.333333333333332</v>
      </c>
      <c r="DE296" s="150">
        <f t="shared" si="830"/>
        <v>2.318840579710145</v>
      </c>
      <c r="DF296" s="150">
        <f t="shared" si="831"/>
        <v>0.20230192819025303</v>
      </c>
      <c r="DG296" s="150"/>
      <c r="DH296" s="150">
        <f t="shared" si="832"/>
        <v>2.3188405797101455</v>
      </c>
      <c r="DI296" s="314">
        <f t="shared" si="833"/>
        <v>554.02941176470563</v>
      </c>
      <c r="DJ296" s="456">
        <f t="shared" si="834"/>
        <v>0.20230192819025311</v>
      </c>
      <c r="DL296" s="150">
        <f t="shared" si="835"/>
        <v>16.653327995729061</v>
      </c>
      <c r="DM296" s="150">
        <f t="shared" si="836"/>
        <v>26.159168131224369</v>
      </c>
      <c r="DN296" s="150">
        <f t="shared" si="837"/>
        <v>10.700618368808174</v>
      </c>
      <c r="DP296" s="314">
        <f t="shared" si="838"/>
        <v>400</v>
      </c>
      <c r="DQ296" s="144">
        <f t="shared" si="839"/>
        <v>142.81954955125676</v>
      </c>
      <c r="DS296">
        <f t="shared" si="840"/>
        <v>400</v>
      </c>
      <c r="DT296">
        <f t="shared" si="841"/>
        <v>142.81954955125676</v>
      </c>
      <c r="DV296" s="5">
        <f t="shared" si="870"/>
        <v>7.0018425568630454</v>
      </c>
      <c r="DW296" s="5">
        <f t="shared" si="842"/>
        <v>2.4524220123022848</v>
      </c>
      <c r="DX296" s="5">
        <f t="shared" si="843"/>
        <v>4.5494205445607605</v>
      </c>
      <c r="DY296" s="150">
        <f t="shared" si="844"/>
        <v>0.35025380710659898</v>
      </c>
      <c r="EA296" s="5">
        <f t="shared" si="871"/>
        <v>0.57704047348289056</v>
      </c>
      <c r="EB296" s="5">
        <f t="shared" si="872"/>
        <v>8.1747400410076168</v>
      </c>
      <c r="EC296" s="5">
        <f t="shared" si="873"/>
        <v>32.225062190638717</v>
      </c>
      <c r="ED296" s="5"/>
      <c r="EE296" s="150">
        <f t="shared" si="874"/>
        <v>8.9382960305915571</v>
      </c>
      <c r="EF296" s="150">
        <f t="shared" si="875"/>
        <v>0.56856839027794748</v>
      </c>
      <c r="EG296" s="150">
        <f t="shared" si="876"/>
        <v>0.54087158450153994</v>
      </c>
      <c r="EH296" s="150"/>
      <c r="EI296" s="456">
        <f t="shared" si="877"/>
        <v>0.27163666216366184</v>
      </c>
      <c r="EJ296" s="456">
        <f t="shared" si="878"/>
        <v>2.7967999999999997</v>
      </c>
      <c r="EK296" s="456">
        <f t="shared" si="879"/>
        <v>3.2705676847237797E-2</v>
      </c>
      <c r="EL296" s="456">
        <f t="shared" si="880"/>
        <v>5.932403860150446E-2</v>
      </c>
      <c r="EM296">
        <f t="shared" si="881"/>
        <v>7.1999999999999998E-3</v>
      </c>
      <c r="EN296" s="144">
        <f t="shared" si="882"/>
        <v>39.905676847237793</v>
      </c>
      <c r="EP296" s="144">
        <f t="shared" si="883"/>
        <v>3167.6663776124037</v>
      </c>
      <c r="EQ296" s="150">
        <f t="shared" si="884"/>
        <v>1</v>
      </c>
      <c r="ER296" s="150">
        <f t="shared" si="845"/>
        <v>0.28400000000000003</v>
      </c>
      <c r="ES296" s="456"/>
      <c r="EU296" s="144">
        <f t="shared" si="885"/>
        <v>1284</v>
      </c>
      <c r="EV296" s="456">
        <f t="shared" si="886"/>
        <v>0.11983970389573317</v>
      </c>
      <c r="EW296" s="456">
        <f t="shared" si="887"/>
        <v>6.4654002884651285E-2</v>
      </c>
      <c r="EX296" s="456">
        <f t="shared" si="888"/>
        <v>8.7762621276361932E-3</v>
      </c>
      <c r="EY296" s="456">
        <f t="shared" si="889"/>
        <v>42.657851179101598</v>
      </c>
      <c r="EZ296" s="456"/>
      <c r="FA296" s="538">
        <f t="shared" si="890"/>
        <v>9.7731714439498144E-2</v>
      </c>
      <c r="FB296" s="144">
        <f t="shared" si="891"/>
        <v>42948.852862449115</v>
      </c>
      <c r="FC296" s="150">
        <f t="shared" si="892"/>
        <v>47.40051924006152</v>
      </c>
      <c r="FD296" s="5">
        <f t="shared" si="893"/>
        <v>72.8</v>
      </c>
      <c r="FE296" s="150">
        <f t="shared" si="894"/>
        <v>0.60565462162942607</v>
      </c>
      <c r="FF296" s="5">
        <f t="shared" si="895"/>
        <v>60.565462162942609</v>
      </c>
      <c r="FG296">
        <f t="shared" si="896"/>
        <v>80</v>
      </c>
      <c r="FI296" s="59">
        <f t="shared" si="846"/>
        <v>-50</v>
      </c>
    </row>
    <row r="297" spans="5:165">
      <c r="E297" s="147">
        <v>81</v>
      </c>
      <c r="F297" s="188">
        <f t="shared" si="847"/>
        <v>0.40500000000000003</v>
      </c>
      <c r="G297" s="188">
        <f t="shared" si="775"/>
        <v>0.40500000000000003</v>
      </c>
      <c r="H297" s="188">
        <f t="shared" si="776"/>
        <v>68.850000000000009</v>
      </c>
      <c r="I297" s="188">
        <f t="shared" si="777"/>
        <v>4.8600000000000003</v>
      </c>
      <c r="J297" s="465">
        <f t="shared" si="778"/>
        <v>15.920892700122756</v>
      </c>
      <c r="K297" s="379">
        <f t="shared" si="779"/>
        <v>8.6711615854607977</v>
      </c>
      <c r="L297" s="149">
        <f t="shared" si="780"/>
        <v>24.592054285583554</v>
      </c>
      <c r="M297" s="379"/>
      <c r="N297" s="188">
        <f t="shared" si="781"/>
        <v>0.35260013192732897</v>
      </c>
      <c r="O297" s="149">
        <f t="shared" si="782"/>
        <v>174.7858071976012</v>
      </c>
      <c r="P297" s="149">
        <f t="shared" si="783"/>
        <v>12.337821684536555</v>
      </c>
      <c r="Q297" s="188">
        <f t="shared" si="784"/>
        <v>1.0281518070447129</v>
      </c>
      <c r="R297" s="188">
        <f t="shared" si="785"/>
        <v>14.565483933133434</v>
      </c>
      <c r="S297" s="188">
        <f t="shared" si="786"/>
        <v>170</v>
      </c>
      <c r="T297" s="188">
        <f t="shared" si="787"/>
        <v>26.260713461767821</v>
      </c>
      <c r="U297" s="188">
        <f t="shared" si="788"/>
        <v>2.4741747171217359</v>
      </c>
      <c r="V297" s="188">
        <f t="shared" si="789"/>
        <v>4.542767402547307</v>
      </c>
      <c r="W297" s="172">
        <f t="shared" si="790"/>
        <v>280.68544332320658</v>
      </c>
      <c r="X297" s="379">
        <f t="shared" si="848"/>
        <v>138.56284052418843</v>
      </c>
      <c r="Z297" s="188">
        <f t="shared" si="791"/>
        <v>13.333333333333336</v>
      </c>
      <c r="AA297" s="150">
        <f t="shared" si="792"/>
        <v>2.3064960562532497</v>
      </c>
      <c r="AB297" s="150">
        <f t="shared" si="793"/>
        <v>0.20157138749515402</v>
      </c>
      <c r="AC297" s="150"/>
      <c r="AD297" s="150">
        <f t="shared" si="794"/>
        <v>2.3064960562532493</v>
      </c>
      <c r="AE297" s="314">
        <f t="shared" si="795"/>
        <v>563.95704746851345</v>
      </c>
      <c r="AF297" s="456">
        <f t="shared" si="796"/>
        <v>0.20157138749515396</v>
      </c>
      <c r="AH297" s="150">
        <f t="shared" si="797"/>
        <v>16.757088052522729</v>
      </c>
      <c r="AI297" s="150">
        <f t="shared" si="798"/>
        <v>26.260713461767821</v>
      </c>
      <c r="AJ297" s="150">
        <f t="shared" si="799"/>
        <v>10.775837132173693</v>
      </c>
      <c r="AL297" s="314">
        <f t="shared" si="800"/>
        <v>405</v>
      </c>
      <c r="AM297" s="144">
        <f t="shared" si="801"/>
        <v>138.56284052418843</v>
      </c>
      <c r="AO297">
        <f t="shared" si="802"/>
        <v>405</v>
      </c>
      <c r="AP297">
        <f t="shared" si="803"/>
        <v>138.56284052418843</v>
      </c>
      <c r="AR297" s="5">
        <f t="shared" si="774"/>
        <v>7.2169421196690422</v>
      </c>
      <c r="AS297" s="5">
        <f t="shared" si="739"/>
        <v>2.4741747171217359</v>
      </c>
      <c r="AT297" s="5">
        <f t="shared" si="740"/>
        <v>4.7427674025473063</v>
      </c>
      <c r="AU297" s="150">
        <f t="shared" si="741"/>
        <v>0.34282867675751816</v>
      </c>
      <c r="BA297" s="150">
        <f t="shared" si="849"/>
        <v>8.8773729358855267</v>
      </c>
      <c r="BB297" s="150">
        <f t="shared" si="850"/>
        <v>0.57402754585268789</v>
      </c>
      <c r="BC297" s="150">
        <f t="shared" si="851"/>
        <v>0.54606480694626092</v>
      </c>
      <c r="BD297" s="150"/>
      <c r="BE297" s="456">
        <f t="shared" si="852"/>
        <v>0.26794635082549556</v>
      </c>
      <c r="BF297" s="456">
        <f t="shared" si="804"/>
        <v>2.1431552150062934</v>
      </c>
      <c r="BG297" s="456">
        <f t="shared" si="805"/>
        <v>0.10103682052241</v>
      </c>
      <c r="BH297" s="456">
        <f t="shared" si="853"/>
        <v>5.7401992410434241E-2</v>
      </c>
      <c r="BI297">
        <f t="shared" si="854"/>
        <v>7.1644017150552406E-3</v>
      </c>
      <c r="BJ297" s="144">
        <f t="shared" si="855"/>
        <v>108.20122223746525</v>
      </c>
      <c r="BK297">
        <f t="shared" si="806"/>
        <v>2.713608380610514</v>
      </c>
      <c r="BL297" s="144">
        <f t="shared" si="856"/>
        <v>2576.7047804796889</v>
      </c>
      <c r="BM297" s="150">
        <f t="shared" si="807"/>
        <v>0.89859375000000008</v>
      </c>
      <c r="BN297" s="150">
        <f t="shared" si="808"/>
        <v>0.28755000000000003</v>
      </c>
      <c r="BQ297" s="144">
        <f t="shared" si="857"/>
        <v>1186.14375</v>
      </c>
      <c r="BR297" s="456">
        <f t="shared" si="858"/>
        <v>0.11821162536418924</v>
      </c>
      <c r="BS297" s="456">
        <f t="shared" si="859"/>
        <v>6.5901524679531948E-2</v>
      </c>
      <c r="BT297" s="456">
        <f t="shared" si="860"/>
        <v>8.9456032015577166E-3</v>
      </c>
      <c r="BU297" s="456">
        <f t="shared" si="861"/>
        <v>39.934959767424949</v>
      </c>
      <c r="BV297" s="456"/>
      <c r="BW297" s="538">
        <f t="shared" si="862"/>
        <v>9.5556408806656584E-2</v>
      </c>
      <c r="BX297" s="144">
        <f t="shared" si="863"/>
        <v>40223.57492947689</v>
      </c>
      <c r="BY297" s="150">
        <f t="shared" si="864"/>
        <v>43.986423459956576</v>
      </c>
      <c r="BZ297" s="5">
        <f t="shared" si="865"/>
        <v>73.710000000000008</v>
      </c>
      <c r="CA297" s="150">
        <f t="shared" si="866"/>
        <v>0.6262722165476684</v>
      </c>
      <c r="CB297" s="5">
        <f t="shared" si="867"/>
        <v>62.627221654766842</v>
      </c>
      <c r="CC297">
        <f t="shared" si="868"/>
        <v>81</v>
      </c>
      <c r="CE297" s="59">
        <f t="shared" si="809"/>
        <v>-50</v>
      </c>
      <c r="CG297" s="150">
        <f t="shared" si="810"/>
        <v>0.63502377808469523</v>
      </c>
      <c r="CH297" s="150">
        <f t="shared" si="811"/>
        <v>0.17735551404972849</v>
      </c>
      <c r="CI297" s="147">
        <v>81</v>
      </c>
      <c r="CJ297" s="188">
        <f t="shared" si="869"/>
        <v>0.40500000000000003</v>
      </c>
      <c r="CK297" s="188">
        <f t="shared" si="812"/>
        <v>0.40500000000000003</v>
      </c>
      <c r="CL297" s="188">
        <f t="shared" si="813"/>
        <v>68.850000000000009</v>
      </c>
      <c r="CM297" s="188">
        <f t="shared" si="814"/>
        <v>4.8600000000000003</v>
      </c>
      <c r="CN297" s="465">
        <f t="shared" si="815"/>
        <v>16</v>
      </c>
      <c r="CO297" s="379">
        <f t="shared" si="816"/>
        <v>8.625</v>
      </c>
      <c r="CP297" s="379">
        <f t="shared" si="817"/>
        <v>24.625</v>
      </c>
      <c r="CQ297" s="379"/>
      <c r="CR297" s="188">
        <f t="shared" si="818"/>
        <v>0.34787038923986141</v>
      </c>
      <c r="CS297" s="149">
        <f t="shared" si="819"/>
        <v>173.29806936491266</v>
      </c>
      <c r="CT297" s="149">
        <f t="shared" si="820"/>
        <v>12.232804896346776</v>
      </c>
      <c r="CU297" s="188">
        <f t="shared" si="821"/>
        <v>1.0194004080288981</v>
      </c>
      <c r="CV297" s="188">
        <f t="shared" si="822"/>
        <v>14.441505780409388</v>
      </c>
      <c r="CW297" s="188">
        <f t="shared" si="823"/>
        <v>170</v>
      </c>
      <c r="CX297" s="188">
        <f t="shared" si="824"/>
        <v>26.48615773286468</v>
      </c>
      <c r="CY297" s="188">
        <f t="shared" si="825"/>
        <v>2.4830772874560636</v>
      </c>
      <c r="CZ297" s="188">
        <f t="shared" si="826"/>
        <v>4.60628830136777</v>
      </c>
      <c r="DA297" s="172">
        <f t="shared" si="827"/>
        <v>280.20304568527916</v>
      </c>
      <c r="DB297" s="379">
        <f t="shared" si="828"/>
        <v>141.05634523580915</v>
      </c>
      <c r="DD297" s="188">
        <f t="shared" si="829"/>
        <v>13.333333333333332</v>
      </c>
      <c r="DE297" s="150">
        <f t="shared" si="830"/>
        <v>2.318840579710145</v>
      </c>
      <c r="DF297" s="150">
        <f t="shared" si="831"/>
        <v>0.20230192819025303</v>
      </c>
      <c r="DG297" s="150"/>
      <c r="DH297" s="150">
        <f t="shared" si="832"/>
        <v>2.3188405797101455</v>
      </c>
      <c r="DI297" s="314">
        <f t="shared" si="833"/>
        <v>560.95477941176466</v>
      </c>
      <c r="DJ297" s="456">
        <f t="shared" si="834"/>
        <v>0.20230192819025311</v>
      </c>
      <c r="DL297" s="150">
        <f t="shared" si="835"/>
        <v>16.757088052522729</v>
      </c>
      <c r="DM297" s="150">
        <f t="shared" si="836"/>
        <v>26.48615773286468</v>
      </c>
      <c r="DN297" s="150">
        <f t="shared" si="837"/>
        <v>10.942832888541737</v>
      </c>
      <c r="DP297" s="314">
        <f t="shared" si="838"/>
        <v>405</v>
      </c>
      <c r="DQ297" s="144">
        <f t="shared" si="839"/>
        <v>141.05634523580915</v>
      </c>
      <c r="DS297">
        <f t="shared" si="840"/>
        <v>405</v>
      </c>
      <c r="DT297">
        <f t="shared" si="841"/>
        <v>141.05634523580915</v>
      </c>
      <c r="DV297" s="5">
        <f t="shared" si="870"/>
        <v>7.0893655888238332</v>
      </c>
      <c r="DW297" s="5">
        <f t="shared" si="842"/>
        <v>2.4830772874560636</v>
      </c>
      <c r="DX297" s="5">
        <f t="shared" si="843"/>
        <v>4.6062883013677691</v>
      </c>
      <c r="DY297" s="150">
        <f t="shared" si="844"/>
        <v>0.35025380710659904</v>
      </c>
      <c r="EA297" s="5">
        <f t="shared" si="871"/>
        <v>0.59155664789394469</v>
      </c>
      <c r="EB297" s="5">
        <f t="shared" si="872"/>
        <v>8.3803858451642146</v>
      </c>
      <c r="EC297" s="5">
        <f t="shared" si="873"/>
        <v>33.035723911371967</v>
      </c>
      <c r="ED297" s="5"/>
      <c r="EE297" s="150">
        <f t="shared" si="874"/>
        <v>9.0500247309739521</v>
      </c>
      <c r="EF297" s="150">
        <f t="shared" si="875"/>
        <v>0.57567549515642191</v>
      </c>
      <c r="EG297" s="150">
        <f t="shared" si="876"/>
        <v>0.54763247930780956</v>
      </c>
      <c r="EH297" s="150"/>
      <c r="EI297" s="456">
        <f t="shared" si="877"/>
        <v>0.27847002194621651</v>
      </c>
      <c r="EJ297" s="456">
        <f t="shared" si="878"/>
        <v>2.7968000000000006</v>
      </c>
      <c r="EK297" s="456">
        <f t="shared" si="879"/>
        <v>3.2301903059000298E-2</v>
      </c>
      <c r="EL297" s="456">
        <f t="shared" si="880"/>
        <v>5.8591643063214287E-2</v>
      </c>
      <c r="EM297">
        <f t="shared" si="881"/>
        <v>7.1999999999999998E-3</v>
      </c>
      <c r="EN297" s="144">
        <f t="shared" si="882"/>
        <v>39.501903059000298</v>
      </c>
      <c r="EP297" s="144">
        <f t="shared" si="883"/>
        <v>3173.3635680684315</v>
      </c>
      <c r="EQ297" s="150">
        <f t="shared" si="884"/>
        <v>1.0125000000000002</v>
      </c>
      <c r="ER297" s="150">
        <f t="shared" si="845"/>
        <v>0.28755000000000003</v>
      </c>
      <c r="ES297" s="456"/>
      <c r="EU297" s="144">
        <f t="shared" si="885"/>
        <v>1300.0500000000002</v>
      </c>
      <c r="EV297" s="456">
        <f t="shared" si="886"/>
        <v>0.12285442144686023</v>
      </c>
      <c r="EW297" s="456">
        <f t="shared" si="887"/>
        <v>6.6280455144718309E-2</v>
      </c>
      <c r="EX297" s="456">
        <f t="shared" si="888"/>
        <v>8.9970399717845539E-3</v>
      </c>
      <c r="EY297" s="456">
        <f t="shared" si="889"/>
        <v>42.657851179101598</v>
      </c>
      <c r="EZ297" s="456"/>
      <c r="FA297" s="538">
        <f t="shared" si="890"/>
        <v>9.8953360869991916E-2</v>
      </c>
      <c r="FB297" s="144">
        <f t="shared" si="891"/>
        <v>42954.936456534953</v>
      </c>
      <c r="FC297" s="150">
        <f t="shared" si="892"/>
        <v>47.428350024603382</v>
      </c>
      <c r="FD297" s="5">
        <f t="shared" si="893"/>
        <v>73.710000000000008</v>
      </c>
      <c r="FE297" s="150">
        <f t="shared" si="894"/>
        <v>0.608477827088031</v>
      </c>
      <c r="FF297" s="5">
        <f t="shared" si="895"/>
        <v>60.847782708803102</v>
      </c>
      <c r="FG297">
        <f t="shared" si="896"/>
        <v>81</v>
      </c>
      <c r="FI297" s="59">
        <f t="shared" si="846"/>
        <v>-50</v>
      </c>
    </row>
    <row r="298" spans="5:165">
      <c r="E298" s="147">
        <v>82</v>
      </c>
      <c r="F298" s="188">
        <f t="shared" si="847"/>
        <v>0.41</v>
      </c>
      <c r="G298" s="188">
        <f t="shared" si="775"/>
        <v>0.41</v>
      </c>
      <c r="H298" s="188">
        <f t="shared" si="776"/>
        <v>69.7</v>
      </c>
      <c r="I298" s="188">
        <f t="shared" si="777"/>
        <v>4.92</v>
      </c>
      <c r="J298" s="465">
        <f t="shared" si="778"/>
        <v>15.91991606679094</v>
      </c>
      <c r="K298" s="379">
        <f t="shared" si="779"/>
        <v>8.6717314815775968</v>
      </c>
      <c r="L298" s="149">
        <f t="shared" si="780"/>
        <v>24.591647548368535</v>
      </c>
      <c r="M298" s="379"/>
      <c r="N298" s="188">
        <f t="shared" si="781"/>
        <v>0.3526291381869166</v>
      </c>
      <c r="O298" s="149">
        <f t="shared" si="782"/>
        <v>174.78946301261746</v>
      </c>
      <c r="P298" s="149">
        <f t="shared" si="783"/>
        <v>12.338079742067114</v>
      </c>
      <c r="Q298" s="188">
        <f t="shared" si="784"/>
        <v>1.0281733118389262</v>
      </c>
      <c r="R298" s="188">
        <f t="shared" si="785"/>
        <v>14.565788584384789</v>
      </c>
      <c r="S298" s="188">
        <f t="shared" si="786"/>
        <v>170</v>
      </c>
      <c r="T298" s="188">
        <f t="shared" si="787"/>
        <v>26.584363762998919</v>
      </c>
      <c r="U298" s="188">
        <f t="shared" si="788"/>
        <v>2.504821349383942</v>
      </c>
      <c r="V298" s="188">
        <f t="shared" si="789"/>
        <v>4.5984525384824151</v>
      </c>
      <c r="W298" s="172">
        <f t="shared" si="790"/>
        <v>280.69131413202678</v>
      </c>
      <c r="X298" s="379">
        <f t="shared" si="848"/>
        <v>136.92489359619904</v>
      </c>
      <c r="Z298" s="188">
        <f t="shared" si="791"/>
        <v>13.333333333333332</v>
      </c>
      <c r="AA298" s="150">
        <f t="shared" si="792"/>
        <v>2.3063444760124789</v>
      </c>
      <c r="AB298" s="150">
        <f t="shared" si="793"/>
        <v>0.20156235624216884</v>
      </c>
      <c r="AC298" s="150"/>
      <c r="AD298" s="150">
        <f t="shared" si="794"/>
        <v>2.3063444760124789</v>
      </c>
      <c r="AE298" s="314">
        <f t="shared" si="795"/>
        <v>570.95700278410607</v>
      </c>
      <c r="AF298" s="456">
        <f t="shared" si="796"/>
        <v>0.20156235624216884</v>
      </c>
      <c r="AH298" s="150">
        <f t="shared" si="797"/>
        <v>16.860209567697154</v>
      </c>
      <c r="AI298" s="150">
        <f t="shared" si="798"/>
        <v>26.584363762998919</v>
      </c>
      <c r="AJ298" s="150">
        <f t="shared" si="799"/>
        <v>11.015578096048582</v>
      </c>
      <c r="AL298" s="314">
        <f t="shared" si="800"/>
        <v>410</v>
      </c>
      <c r="AM298" s="144">
        <f t="shared" si="801"/>
        <v>136.92489359619904</v>
      </c>
      <c r="AO298">
        <f t="shared" si="802"/>
        <v>410</v>
      </c>
      <c r="AP298">
        <f t="shared" si="803"/>
        <v>136.92489359619904</v>
      </c>
      <c r="AR298" s="5">
        <f t="shared" si="774"/>
        <v>7.3032738878663581</v>
      </c>
      <c r="AS298" s="5">
        <f t="shared" si="739"/>
        <v>2.504821349383942</v>
      </c>
      <c r="AT298" s="5">
        <f t="shared" si="740"/>
        <v>4.7984525384824162</v>
      </c>
      <c r="AU298" s="150">
        <f t="shared" si="741"/>
        <v>0.34297239674188396</v>
      </c>
      <c r="BA298" s="150">
        <f t="shared" si="849"/>
        <v>8.9886656788066865</v>
      </c>
      <c r="BB298" s="150">
        <f t="shared" si="850"/>
        <v>0.58103860586326195</v>
      </c>
      <c r="BC298" s="150">
        <f t="shared" si="851"/>
        <v>0.5527343355408787</v>
      </c>
      <c r="BD298" s="150"/>
      <c r="BE298" s="456">
        <f t="shared" si="852"/>
        <v>0.27470677633021473</v>
      </c>
      <c r="BF298" s="456">
        <f t="shared" si="804"/>
        <v>2.1438866829012451</v>
      </c>
      <c r="BG298" s="456">
        <f t="shared" si="805"/>
        <v>9.9836342858564228E-2</v>
      </c>
      <c r="BH298" s="456">
        <f t="shared" si="853"/>
        <v>5.672156895982193E-2</v>
      </c>
      <c r="BI298">
        <f t="shared" si="854"/>
        <v>7.1639622300559225E-3</v>
      </c>
      <c r="BJ298" s="144">
        <f t="shared" si="855"/>
        <v>107.00030508862015</v>
      </c>
      <c r="BK298">
        <f t="shared" si="806"/>
        <v>2.7275114290031484</v>
      </c>
      <c r="BL298" s="144">
        <f t="shared" si="856"/>
        <v>2582.315333279902</v>
      </c>
      <c r="BM298" s="150">
        <f t="shared" si="807"/>
        <v>0.90968749999999987</v>
      </c>
      <c r="BN298" s="150">
        <f t="shared" si="808"/>
        <v>0.29110000000000003</v>
      </c>
      <c r="BQ298" s="144">
        <f t="shared" si="857"/>
        <v>1200.7874999999999</v>
      </c>
      <c r="BR298" s="456">
        <f t="shared" si="858"/>
        <v>0.12119416602803591</v>
      </c>
      <c r="BS298" s="456">
        <f t="shared" si="859"/>
        <v>6.7521172300704618E-2</v>
      </c>
      <c r="BT298" s="456">
        <f t="shared" si="860"/>
        <v>9.1654573705745E-3</v>
      </c>
      <c r="BU298" s="456">
        <f t="shared" si="861"/>
        <v>39.970696120331063</v>
      </c>
      <c r="BV298" s="456"/>
      <c r="BW298" s="538">
        <f t="shared" si="862"/>
        <v>9.6768710517293743E-2</v>
      </c>
      <c r="BX298" s="144">
        <f t="shared" si="863"/>
        <v>40265.345626547671</v>
      </c>
      <c r="BY298" s="150">
        <f t="shared" si="864"/>
        <v>44.048448459827576</v>
      </c>
      <c r="BZ298" s="5">
        <f t="shared" si="865"/>
        <v>74.62</v>
      </c>
      <c r="CA298" s="150">
        <f t="shared" si="866"/>
        <v>0.62881078305545435</v>
      </c>
      <c r="CB298" s="5">
        <f t="shared" si="867"/>
        <v>62.881078305545437</v>
      </c>
      <c r="CC298">
        <f t="shared" si="868"/>
        <v>82</v>
      </c>
      <c r="CE298" s="59">
        <f t="shared" si="809"/>
        <v>-50</v>
      </c>
      <c r="CG298" s="150">
        <f t="shared" si="810"/>
        <v>0.63502377808469512</v>
      </c>
      <c r="CH298" s="150">
        <f t="shared" si="811"/>
        <v>0.17735551404972849</v>
      </c>
      <c r="CI298" s="147">
        <v>82</v>
      </c>
      <c r="CJ298" s="188">
        <f t="shared" si="869"/>
        <v>0.41</v>
      </c>
      <c r="CK298" s="188">
        <f t="shared" si="812"/>
        <v>0.41</v>
      </c>
      <c r="CL298" s="188">
        <f t="shared" si="813"/>
        <v>69.7</v>
      </c>
      <c r="CM298" s="188">
        <f t="shared" si="814"/>
        <v>4.92</v>
      </c>
      <c r="CN298" s="465">
        <f t="shared" si="815"/>
        <v>16</v>
      </c>
      <c r="CO298" s="379">
        <f t="shared" si="816"/>
        <v>8.625</v>
      </c>
      <c r="CP298" s="379">
        <f t="shared" si="817"/>
        <v>24.625</v>
      </c>
      <c r="CQ298" s="379"/>
      <c r="CR298" s="188">
        <f t="shared" si="818"/>
        <v>0.34787038923986141</v>
      </c>
      <c r="CS298" s="149">
        <f t="shared" si="819"/>
        <v>173.29806936491266</v>
      </c>
      <c r="CT298" s="149">
        <f t="shared" si="820"/>
        <v>12.232804896346776</v>
      </c>
      <c r="CU298" s="188">
        <f t="shared" si="821"/>
        <v>1.0194004080288981</v>
      </c>
      <c r="CV298" s="188">
        <f t="shared" si="822"/>
        <v>14.441505780409388</v>
      </c>
      <c r="CW298" s="188">
        <f t="shared" si="823"/>
        <v>170</v>
      </c>
      <c r="CX298" s="188">
        <f t="shared" si="824"/>
        <v>26.813147334504983</v>
      </c>
      <c r="CY298" s="188">
        <f t="shared" si="825"/>
        <v>2.5137325626098419</v>
      </c>
      <c r="CZ298" s="188">
        <f t="shared" si="826"/>
        <v>4.6631560581747795</v>
      </c>
      <c r="DA298" s="172">
        <f t="shared" si="827"/>
        <v>280.20304568527916</v>
      </c>
      <c r="DB298" s="379">
        <f t="shared" si="828"/>
        <v>139.33614590366511</v>
      </c>
      <c r="DD298" s="188">
        <f t="shared" si="829"/>
        <v>13.333333333333332</v>
      </c>
      <c r="DE298" s="150">
        <f t="shared" si="830"/>
        <v>2.318840579710145</v>
      </c>
      <c r="DF298" s="150">
        <f t="shared" si="831"/>
        <v>0.20230192819025303</v>
      </c>
      <c r="DG298" s="150"/>
      <c r="DH298" s="150">
        <f t="shared" si="832"/>
        <v>2.3188405797101455</v>
      </c>
      <c r="DI298" s="314">
        <f t="shared" si="833"/>
        <v>567.88014705882324</v>
      </c>
      <c r="DJ298" s="456">
        <f t="shared" si="834"/>
        <v>0.20230192819025311</v>
      </c>
      <c r="DL298" s="150">
        <f t="shared" si="835"/>
        <v>16.860209567697154</v>
      </c>
      <c r="DM298" s="150">
        <f t="shared" si="836"/>
        <v>26.813147334504983</v>
      </c>
      <c r="DN298" s="150">
        <f t="shared" si="837"/>
        <v>11.185047408275295</v>
      </c>
      <c r="DP298" s="314">
        <f t="shared" si="838"/>
        <v>410</v>
      </c>
      <c r="DQ298" s="144">
        <f t="shared" si="839"/>
        <v>139.33614590366511</v>
      </c>
      <c r="DS298">
        <f t="shared" si="840"/>
        <v>410</v>
      </c>
      <c r="DT298">
        <f t="shared" si="841"/>
        <v>139.33614590366511</v>
      </c>
      <c r="DV298" s="5">
        <f t="shared" si="870"/>
        <v>7.1768886207846219</v>
      </c>
      <c r="DW298" s="5">
        <f t="shared" si="842"/>
        <v>2.5137325626098419</v>
      </c>
      <c r="DX298" s="5">
        <f t="shared" si="843"/>
        <v>4.6631560581747795</v>
      </c>
      <c r="DY298" s="150">
        <f t="shared" si="844"/>
        <v>0.35025380710659892</v>
      </c>
      <c r="EA298" s="5">
        <f t="shared" si="871"/>
        <v>0.60625314745296188</v>
      </c>
      <c r="EB298" s="5">
        <f t="shared" si="872"/>
        <v>8.5885862555836265</v>
      </c>
      <c r="EC298" s="5">
        <f t="shared" si="873"/>
        <v>33.856455964039803</v>
      </c>
      <c r="ED298" s="5"/>
      <c r="EE298" s="150">
        <f t="shared" si="874"/>
        <v>9.1617534313563453</v>
      </c>
      <c r="EF298" s="150">
        <f t="shared" si="875"/>
        <v>0.58278260003489635</v>
      </c>
      <c r="EG298" s="150">
        <f t="shared" si="876"/>
        <v>0.55439337411407874</v>
      </c>
      <c r="EH298" s="150"/>
      <c r="EI298" s="456">
        <f t="shared" si="877"/>
        <v>0.28538826818569718</v>
      </c>
      <c r="EJ298" s="456">
        <f t="shared" si="878"/>
        <v>2.7968000000000002</v>
      </c>
      <c r="EK298" s="456">
        <f t="shared" si="879"/>
        <v>3.1907977411939313E-2</v>
      </c>
      <c r="EL298" s="456">
        <f t="shared" si="880"/>
        <v>5.7877110830736059E-2</v>
      </c>
      <c r="EM298">
        <f t="shared" si="881"/>
        <v>7.1999999999999998E-3</v>
      </c>
      <c r="EN298" s="144">
        <f t="shared" si="882"/>
        <v>39.107977411939309</v>
      </c>
      <c r="EP298" s="144">
        <f t="shared" si="883"/>
        <v>3179.1733564283727</v>
      </c>
      <c r="EQ298" s="150">
        <f t="shared" si="884"/>
        <v>1.0249999999999999</v>
      </c>
      <c r="ER298" s="150">
        <f t="shared" si="845"/>
        <v>0.29110000000000003</v>
      </c>
      <c r="ES298" s="456"/>
      <c r="EU298" s="144">
        <f t="shared" si="885"/>
        <v>1316.1000000000001</v>
      </c>
      <c r="EV298" s="456">
        <f t="shared" si="886"/>
        <v>0.12590658890545467</v>
      </c>
      <c r="EW298" s="456">
        <f t="shared" si="887"/>
        <v>6.7927111780686791E-2</v>
      </c>
      <c r="EX298" s="456">
        <f t="shared" si="888"/>
        <v>9.2205603978477869E-3</v>
      </c>
      <c r="EY298" s="456">
        <f t="shared" si="889"/>
        <v>42.657851179101677</v>
      </c>
      <c r="EZ298" s="456"/>
      <c r="FA298" s="538">
        <f t="shared" si="890"/>
        <v>0.10017500730048562</v>
      </c>
      <c r="FB298" s="144">
        <f t="shared" si="891"/>
        <v>42961.080447486151</v>
      </c>
      <c r="FC298" s="150">
        <f t="shared" si="892"/>
        <v>47.456353803914524</v>
      </c>
      <c r="FD298" s="5">
        <f t="shared" si="893"/>
        <v>74.62</v>
      </c>
      <c r="FE298" s="150">
        <f t="shared" si="894"/>
        <v>0.6112567886804563</v>
      </c>
      <c r="FF298" s="5">
        <f t="shared" si="895"/>
        <v>61.125678868045632</v>
      </c>
      <c r="FG298">
        <f t="shared" si="896"/>
        <v>82</v>
      </c>
      <c r="FI298" s="59">
        <f t="shared" si="846"/>
        <v>-50</v>
      </c>
    </row>
    <row r="299" spans="5:165">
      <c r="E299" s="147">
        <v>83</v>
      </c>
      <c r="F299" s="188">
        <f t="shared" si="847"/>
        <v>0.41499999999999998</v>
      </c>
      <c r="G299" s="188">
        <f t="shared" si="775"/>
        <v>0.41499999999999998</v>
      </c>
      <c r="H299" s="188">
        <f t="shared" si="776"/>
        <v>70.55</v>
      </c>
      <c r="I299" s="188">
        <f t="shared" si="777"/>
        <v>4.9799999999999995</v>
      </c>
      <c r="J299" s="465">
        <f t="shared" si="778"/>
        <v>15.918939433459121</v>
      </c>
      <c r="K299" s="379">
        <f t="shared" si="779"/>
        <v>8.6723013776943993</v>
      </c>
      <c r="L299" s="149">
        <f t="shared" si="780"/>
        <v>24.591240811153519</v>
      </c>
      <c r="M299" s="379"/>
      <c r="N299" s="188">
        <f t="shared" si="781"/>
        <v>0.35265814540602686</v>
      </c>
      <c r="O299" s="149">
        <f t="shared" si="782"/>
        <v>174.79311753917133</v>
      </c>
      <c r="P299" s="149">
        <f t="shared" si="783"/>
        <v>12.338337708647389</v>
      </c>
      <c r="Q299" s="188">
        <f t="shared" si="784"/>
        <v>1.028194809053949</v>
      </c>
      <c r="R299" s="188">
        <f t="shared" si="785"/>
        <v>14.566093128264278</v>
      </c>
      <c r="S299" s="188">
        <f t="shared" si="786"/>
        <v>170</v>
      </c>
      <c r="T299" s="188">
        <f t="shared" si="787"/>
        <v>26.908000724223658</v>
      </c>
      <c r="U299" s="188">
        <f t="shared" si="788"/>
        <v>2.5354704850186738</v>
      </c>
      <c r="V299" s="188">
        <f t="shared" si="789"/>
        <v>4.6541280484265233</v>
      </c>
      <c r="W299" s="172">
        <f t="shared" si="790"/>
        <v>280.69718287172805</v>
      </c>
      <c r="X299" s="379">
        <f t="shared" si="848"/>
        <v>135.32534893120607</v>
      </c>
      <c r="Z299" s="188">
        <f t="shared" si="791"/>
        <v>13.333333333333336</v>
      </c>
      <c r="AA299" s="150">
        <f t="shared" si="792"/>
        <v>2.3061929156937535</v>
      </c>
      <c r="AB299" s="150">
        <f t="shared" si="793"/>
        <v>0.2015533246904313</v>
      </c>
      <c r="AC299" s="150"/>
      <c r="AD299" s="150">
        <f t="shared" si="794"/>
        <v>2.3061929156937535</v>
      </c>
      <c r="AE299" s="314">
        <f t="shared" si="795"/>
        <v>577.95787328581582</v>
      </c>
      <c r="AF299" s="456">
        <f t="shared" si="796"/>
        <v>0.20155332469043122</v>
      </c>
      <c r="AH299" s="150">
        <f t="shared" si="797"/>
        <v>16.962704186931202</v>
      </c>
      <c r="AI299" s="150">
        <f t="shared" si="798"/>
        <v>26.908000724223658</v>
      </c>
      <c r="AJ299" s="150">
        <f t="shared" si="799"/>
        <v>11.255309178437276</v>
      </c>
      <c r="AL299" s="314">
        <f t="shared" si="800"/>
        <v>415</v>
      </c>
      <c r="AM299" s="144">
        <f t="shared" si="801"/>
        <v>135.32534893120607</v>
      </c>
      <c r="AO299">
        <f t="shared" si="802"/>
        <v>415</v>
      </c>
      <c r="AP299">
        <f t="shared" si="803"/>
        <v>135.32534893120607</v>
      </c>
      <c r="AR299" s="5">
        <f t="shared" si="774"/>
        <v>7.3895985334451977</v>
      </c>
      <c r="AS299" s="5">
        <f t="shared" si="739"/>
        <v>2.5354704850186738</v>
      </c>
      <c r="AT299" s="5">
        <f t="shared" si="740"/>
        <v>4.8541280484265243</v>
      </c>
      <c r="AU299" s="150">
        <f t="shared" si="741"/>
        <v>0.34311342808992629</v>
      </c>
      <c r="BA299" s="150">
        <f t="shared" si="849"/>
        <v>9.0999637188222771</v>
      </c>
      <c r="BB299" s="150">
        <f t="shared" si="850"/>
        <v>0.58804902348507559</v>
      </c>
      <c r="BC299" s="150">
        <f t="shared" si="851"/>
        <v>0.55940325303957095</v>
      </c>
      <c r="BD299" s="150"/>
      <c r="BE299" s="456">
        <f t="shared" si="852"/>
        <v>0.28155175492519796</v>
      </c>
      <c r="BF299" s="456">
        <f t="shared" si="804"/>
        <v>2.1446012101119485</v>
      </c>
      <c r="BG299" s="456">
        <f t="shared" si="805"/>
        <v>9.8664010331899671E-2</v>
      </c>
      <c r="BH299" s="456">
        <f t="shared" si="853"/>
        <v>5.6057098162799607E-2</v>
      </c>
      <c r="BI299">
        <f t="shared" si="854"/>
        <v>7.1635227450566044E-3</v>
      </c>
      <c r="BJ299" s="144">
        <f t="shared" si="855"/>
        <v>105.82753307695627</v>
      </c>
      <c r="BK299">
        <f t="shared" si="806"/>
        <v>2.7416353888398177</v>
      </c>
      <c r="BL299" s="144">
        <f t="shared" si="856"/>
        <v>2588.0375962769021</v>
      </c>
      <c r="BM299" s="150">
        <f t="shared" si="807"/>
        <v>0.92078124999999988</v>
      </c>
      <c r="BN299" s="150">
        <f t="shared" si="808"/>
        <v>0.29465000000000002</v>
      </c>
      <c r="BQ299" s="144">
        <f t="shared" si="857"/>
        <v>1215.4312499999999</v>
      </c>
      <c r="BR299" s="456">
        <f t="shared" si="858"/>
        <v>0.12421400952582264</v>
      </c>
      <c r="BS299" s="456">
        <f t="shared" si="859"/>
        <v>6.9160330804350204E-2</v>
      </c>
      <c r="BT299" s="456">
        <f t="shared" si="860"/>
        <v>9.387959985337627E-3</v>
      </c>
      <c r="BU299" s="456">
        <f t="shared" si="861"/>
        <v>40.005662798121314</v>
      </c>
      <c r="BV299" s="456"/>
      <c r="BW299" s="538">
        <f t="shared" si="862"/>
        <v>9.7981033705393586E-2</v>
      </c>
      <c r="BX299" s="144">
        <f t="shared" si="863"/>
        <v>40306.40613214222</v>
      </c>
      <c r="BY299" s="150">
        <f t="shared" si="864"/>
        <v>44.109874978419121</v>
      </c>
      <c r="BZ299" s="5">
        <f t="shared" si="865"/>
        <v>75.53</v>
      </c>
      <c r="CA299" s="150">
        <f t="shared" si="866"/>
        <v>0.63131125817060785</v>
      </c>
      <c r="CB299" s="5">
        <f t="shared" si="867"/>
        <v>63.131125817060784</v>
      </c>
      <c r="CC299">
        <f t="shared" si="868"/>
        <v>83</v>
      </c>
      <c r="CE299" s="59">
        <f t="shared" si="809"/>
        <v>-50</v>
      </c>
      <c r="CG299" s="150">
        <f t="shared" si="810"/>
        <v>0.63502377808469523</v>
      </c>
      <c r="CH299" s="150">
        <f t="shared" si="811"/>
        <v>0.17735551404972849</v>
      </c>
      <c r="CI299" s="147">
        <v>83</v>
      </c>
      <c r="CJ299" s="188">
        <f t="shared" si="869"/>
        <v>0.41499999999999998</v>
      </c>
      <c r="CK299" s="188">
        <f t="shared" si="812"/>
        <v>0.41499999999999998</v>
      </c>
      <c r="CL299" s="188">
        <f t="shared" si="813"/>
        <v>70.55</v>
      </c>
      <c r="CM299" s="188">
        <f t="shared" si="814"/>
        <v>4.9799999999999995</v>
      </c>
      <c r="CN299" s="465">
        <f t="shared" si="815"/>
        <v>16</v>
      </c>
      <c r="CO299" s="379">
        <f t="shared" si="816"/>
        <v>8.625</v>
      </c>
      <c r="CP299" s="379">
        <f t="shared" si="817"/>
        <v>24.625</v>
      </c>
      <c r="CQ299" s="379"/>
      <c r="CR299" s="188">
        <f t="shared" si="818"/>
        <v>0.34787038923986141</v>
      </c>
      <c r="CS299" s="149">
        <f t="shared" si="819"/>
        <v>173.29806936491266</v>
      </c>
      <c r="CT299" s="149">
        <f t="shared" si="820"/>
        <v>12.232804896346776</v>
      </c>
      <c r="CU299" s="188">
        <f t="shared" si="821"/>
        <v>1.0194004080288981</v>
      </c>
      <c r="CV299" s="188">
        <f t="shared" si="822"/>
        <v>14.441505780409388</v>
      </c>
      <c r="CW299" s="188">
        <f t="shared" si="823"/>
        <v>170</v>
      </c>
      <c r="CX299" s="188">
        <f t="shared" si="824"/>
        <v>27.140136936145286</v>
      </c>
      <c r="CY299" s="188">
        <f t="shared" si="825"/>
        <v>2.5443878377636207</v>
      </c>
      <c r="CZ299" s="188">
        <f t="shared" si="826"/>
        <v>4.720023814981789</v>
      </c>
      <c r="DA299" s="172">
        <f t="shared" si="827"/>
        <v>280.20304568527916</v>
      </c>
      <c r="DB299" s="379">
        <f t="shared" si="828"/>
        <v>137.65739715783783</v>
      </c>
      <c r="DD299" s="188">
        <f t="shared" si="829"/>
        <v>13.333333333333332</v>
      </c>
      <c r="DE299" s="150">
        <f t="shared" si="830"/>
        <v>2.318840579710145</v>
      </c>
      <c r="DF299" s="150">
        <f t="shared" si="831"/>
        <v>0.20230192819025303</v>
      </c>
      <c r="DG299" s="150"/>
      <c r="DH299" s="150">
        <f t="shared" si="832"/>
        <v>2.3188405797101455</v>
      </c>
      <c r="DI299" s="314">
        <f t="shared" si="833"/>
        <v>574.80551470588205</v>
      </c>
      <c r="DJ299" s="456">
        <f t="shared" si="834"/>
        <v>0.20230192819025311</v>
      </c>
      <c r="DL299" s="150">
        <f t="shared" si="835"/>
        <v>16.962704186931202</v>
      </c>
      <c r="DM299" s="150">
        <f t="shared" si="836"/>
        <v>27.140136936145286</v>
      </c>
      <c r="DN299" s="150">
        <f t="shared" si="837"/>
        <v>11.427261928008852</v>
      </c>
      <c r="DP299" s="314">
        <f t="shared" si="838"/>
        <v>415</v>
      </c>
      <c r="DQ299" s="144">
        <f t="shared" si="839"/>
        <v>137.65739715783783</v>
      </c>
      <c r="DS299">
        <f t="shared" si="840"/>
        <v>415</v>
      </c>
      <c r="DT299">
        <f t="shared" si="841"/>
        <v>137.65739715783783</v>
      </c>
      <c r="DV299" s="5">
        <f t="shared" si="870"/>
        <v>7.2644116527454097</v>
      </c>
      <c r="DW299" s="5">
        <f t="shared" si="842"/>
        <v>2.5443878377636207</v>
      </c>
      <c r="DX299" s="5">
        <f t="shared" si="843"/>
        <v>4.720023814981789</v>
      </c>
      <c r="DY299" s="150">
        <f t="shared" si="844"/>
        <v>0.35025380710659898</v>
      </c>
      <c r="EA299" s="5">
        <f t="shared" si="871"/>
        <v>0.62112997215994259</v>
      </c>
      <c r="EB299" s="5">
        <f t="shared" si="872"/>
        <v>8.7993412722658544</v>
      </c>
      <c r="EC299" s="5">
        <f t="shared" si="873"/>
        <v>34.687258348642203</v>
      </c>
      <c r="ED299" s="5"/>
      <c r="EE299" s="150">
        <f t="shared" si="874"/>
        <v>9.2734821317387404</v>
      </c>
      <c r="EF299" s="150">
        <f t="shared" si="875"/>
        <v>0.58988970491337056</v>
      </c>
      <c r="EG299" s="150">
        <f t="shared" si="876"/>
        <v>0.56115426892034792</v>
      </c>
      <c r="EH299" s="150"/>
      <c r="EI299" s="456">
        <f t="shared" si="877"/>
        <v>0.29239140088210414</v>
      </c>
      <c r="EJ299" s="456">
        <f t="shared" si="878"/>
        <v>2.7968000000000002</v>
      </c>
      <c r="EK299" s="456">
        <f t="shared" si="879"/>
        <v>3.1523543949144868E-2</v>
      </c>
      <c r="EL299" s="456">
        <f t="shared" si="880"/>
        <v>5.7179796242413941E-2</v>
      </c>
      <c r="EM299">
        <f t="shared" si="881"/>
        <v>7.1999999999999998E-3</v>
      </c>
      <c r="EN299" s="144">
        <f t="shared" si="882"/>
        <v>38.723543949144869</v>
      </c>
      <c r="EP299" s="144">
        <f t="shared" si="883"/>
        <v>3185.094741073663</v>
      </c>
      <c r="EQ299" s="150">
        <f t="shared" si="884"/>
        <v>1.0374999999999999</v>
      </c>
      <c r="ER299" s="150">
        <f t="shared" si="845"/>
        <v>0.29465000000000002</v>
      </c>
      <c r="ES299" s="456"/>
      <c r="EU299" s="144">
        <f t="shared" si="885"/>
        <v>1332.1499999999999</v>
      </c>
      <c r="EV299" s="456">
        <f t="shared" si="886"/>
        <v>0.12899620627151653</v>
      </c>
      <c r="EW299" s="456">
        <f t="shared" si="887"/>
        <v>6.9593972792556677E-2</v>
      </c>
      <c r="EX299" s="456">
        <f t="shared" si="888"/>
        <v>9.4468234058259042E-3</v>
      </c>
      <c r="EY299" s="456">
        <f t="shared" si="889"/>
        <v>42.657851179101598</v>
      </c>
      <c r="EZ299" s="456"/>
      <c r="FA299" s="538">
        <f t="shared" si="890"/>
        <v>0.10139665373097935</v>
      </c>
      <c r="FB299" s="144">
        <f t="shared" si="891"/>
        <v>42967.284835302482</v>
      </c>
      <c r="FC299" s="150">
        <f t="shared" si="892"/>
        <v>47.48452957637614</v>
      </c>
      <c r="FD299" s="5">
        <f t="shared" si="893"/>
        <v>75.53</v>
      </c>
      <c r="FE299" s="150">
        <f t="shared" si="894"/>
        <v>0.61399251177972136</v>
      </c>
      <c r="FF299" s="5">
        <f t="shared" si="895"/>
        <v>61.399251177972133</v>
      </c>
      <c r="FG299">
        <f t="shared" si="896"/>
        <v>83</v>
      </c>
      <c r="FI299" s="59">
        <f t="shared" si="846"/>
        <v>-50</v>
      </c>
    </row>
    <row r="300" spans="5:165">
      <c r="E300" s="147">
        <v>84</v>
      </c>
      <c r="F300" s="188">
        <f t="shared" si="847"/>
        <v>0.42</v>
      </c>
      <c r="G300" s="188">
        <f t="shared" si="775"/>
        <v>0.42</v>
      </c>
      <c r="H300" s="188">
        <f t="shared" si="776"/>
        <v>71.399999999999991</v>
      </c>
      <c r="I300" s="188">
        <f t="shared" si="777"/>
        <v>5.04</v>
      </c>
      <c r="J300" s="465">
        <f t="shared" si="778"/>
        <v>15.917962800127304</v>
      </c>
      <c r="K300" s="379">
        <f t="shared" si="779"/>
        <v>8.6728712738111984</v>
      </c>
      <c r="L300" s="149">
        <f t="shared" si="780"/>
        <v>24.590834073938503</v>
      </c>
      <c r="M300" s="379"/>
      <c r="N300" s="188">
        <f t="shared" si="781"/>
        <v>0.35268715358470715</v>
      </c>
      <c r="O300" s="149">
        <f t="shared" si="782"/>
        <v>174.79677077719893</v>
      </c>
      <c r="P300" s="149">
        <f t="shared" si="783"/>
        <v>12.338595584272866</v>
      </c>
      <c r="Q300" s="188">
        <f t="shared" si="784"/>
        <v>1.0282162986894055</v>
      </c>
      <c r="R300" s="188">
        <f t="shared" si="785"/>
        <v>14.566397564766577</v>
      </c>
      <c r="S300" s="188">
        <f t="shared" si="786"/>
        <v>170</v>
      </c>
      <c r="T300" s="188">
        <f t="shared" si="787"/>
        <v>27.231624353445493</v>
      </c>
      <c r="U300" s="188">
        <f t="shared" si="788"/>
        <v>2.5661221252408981</v>
      </c>
      <c r="V300" s="188">
        <f t="shared" si="789"/>
        <v>4.709793935661434</v>
      </c>
      <c r="W300" s="172">
        <f t="shared" si="790"/>
        <v>280.70304954220762</v>
      </c>
      <c r="X300" s="379">
        <f t="shared" si="848"/>
        <v>133.76287158035603</v>
      </c>
      <c r="Z300" s="188">
        <f t="shared" si="791"/>
        <v>13.333333333333334</v>
      </c>
      <c r="AA300" s="150">
        <f t="shared" si="792"/>
        <v>2.3060413752931468</v>
      </c>
      <c r="AB300" s="150">
        <f t="shared" si="793"/>
        <v>0.20154429283992634</v>
      </c>
      <c r="AC300" s="150"/>
      <c r="AD300" s="150">
        <f t="shared" si="794"/>
        <v>2.3060413752931468</v>
      </c>
      <c r="AE300" s="314">
        <f t="shared" si="795"/>
        <v>584.95965897364226</v>
      </c>
      <c r="AF300" s="456">
        <f t="shared" si="796"/>
        <v>0.20154429283992634</v>
      </c>
      <c r="AH300" s="150">
        <f t="shared" si="797"/>
        <v>17.064583206161235</v>
      </c>
      <c r="AI300" s="150">
        <f t="shared" si="798"/>
        <v>27.231624353445493</v>
      </c>
      <c r="AJ300" s="150">
        <f t="shared" si="799"/>
        <v>11.495030385268265</v>
      </c>
      <c r="AL300" s="314">
        <f t="shared" si="800"/>
        <v>420</v>
      </c>
      <c r="AM300" s="144">
        <f t="shared" si="801"/>
        <v>133.76287158035603</v>
      </c>
      <c r="AO300">
        <f t="shared" si="802"/>
        <v>420</v>
      </c>
      <c r="AP300">
        <f t="shared" si="803"/>
        <v>133.76287158035603</v>
      </c>
      <c r="AR300" s="5">
        <f t="shared" si="774"/>
        <v>7.4759160609023336</v>
      </c>
      <c r="AS300" s="5">
        <f t="shared" si="739"/>
        <v>2.5661221252408981</v>
      </c>
      <c r="AT300" s="5">
        <f t="shared" si="740"/>
        <v>4.9097939356614351</v>
      </c>
      <c r="AU300" s="150">
        <f t="shared" si="741"/>
        <v>0.34325186429810856</v>
      </c>
      <c r="BA300" s="150">
        <f t="shared" si="849"/>
        <v>9.2112670319686849</v>
      </c>
      <c r="BB300" s="150">
        <f t="shared" si="850"/>
        <v>0.59505880018928736</v>
      </c>
      <c r="BC300" s="150">
        <f t="shared" si="851"/>
        <v>0.5660715608418313</v>
      </c>
      <c r="BD300" s="150"/>
      <c r="BE300" s="456">
        <f t="shared" si="852"/>
        <v>0.28848129713639281</v>
      </c>
      <c r="BF300" s="456">
        <f t="shared" si="804"/>
        <v>2.1452993849168331</v>
      </c>
      <c r="BG300" s="456">
        <f t="shared" si="805"/>
        <v>9.7518844554527542E-2</v>
      </c>
      <c r="BH300" s="456">
        <f t="shared" si="853"/>
        <v>5.5408025469403981E-2</v>
      </c>
      <c r="BI300">
        <f t="shared" si="854"/>
        <v>7.1630832600572862E-3</v>
      </c>
      <c r="BJ300" s="144">
        <f t="shared" si="855"/>
        <v>104.68192781458482</v>
      </c>
      <c r="BK300">
        <f t="shared" si="806"/>
        <v>2.75598238913103</v>
      </c>
      <c r="BL300" s="144">
        <f t="shared" si="856"/>
        <v>2593.8706353372149</v>
      </c>
      <c r="BM300" s="150">
        <f t="shared" si="807"/>
        <v>0.93187500000000001</v>
      </c>
      <c r="BN300" s="150">
        <f t="shared" si="808"/>
        <v>0.29820000000000002</v>
      </c>
      <c r="BQ300" s="144">
        <f t="shared" si="857"/>
        <v>1230.075</v>
      </c>
      <c r="BR300" s="456">
        <f t="shared" si="858"/>
        <v>0.12727116050134979</v>
      </c>
      <c r="BS300" s="456">
        <f t="shared" si="859"/>
        <v>7.0818995136542842E-2</v>
      </c>
      <c r="BT300" s="456">
        <f t="shared" si="860"/>
        <v>9.6131103598172136E-3</v>
      </c>
      <c r="BU300" s="456">
        <f t="shared" si="861"/>
        <v>40.03988597262277</v>
      </c>
      <c r="BV300" s="456"/>
      <c r="BW300" s="538">
        <f t="shared" si="862"/>
        <v>9.9193377625706E-2</v>
      </c>
      <c r="BX300" s="144">
        <f t="shared" si="863"/>
        <v>40346.782616246179</v>
      </c>
      <c r="BY300" s="150">
        <f t="shared" si="864"/>
        <v>44.170728251583398</v>
      </c>
      <c r="BZ300" s="5">
        <f t="shared" si="865"/>
        <v>76.44</v>
      </c>
      <c r="CA300" s="150">
        <f t="shared" si="866"/>
        <v>0.63377446689943584</v>
      </c>
      <c r="CB300" s="5">
        <f t="shared" si="867"/>
        <v>63.377446689943582</v>
      </c>
      <c r="CC300">
        <f t="shared" si="868"/>
        <v>84</v>
      </c>
      <c r="CE300" s="59">
        <f t="shared" si="809"/>
        <v>-50</v>
      </c>
      <c r="CG300" s="150">
        <f t="shared" si="810"/>
        <v>0.63502377808469523</v>
      </c>
      <c r="CH300" s="150">
        <f t="shared" si="811"/>
        <v>0.17735551404972852</v>
      </c>
      <c r="CI300" s="147">
        <v>84</v>
      </c>
      <c r="CJ300" s="188">
        <f t="shared" si="869"/>
        <v>0.42</v>
      </c>
      <c r="CK300" s="188">
        <f t="shared" si="812"/>
        <v>0.42</v>
      </c>
      <c r="CL300" s="188">
        <f t="shared" si="813"/>
        <v>71.399999999999991</v>
      </c>
      <c r="CM300" s="188">
        <f t="shared" si="814"/>
        <v>5.04</v>
      </c>
      <c r="CN300" s="465">
        <f t="shared" si="815"/>
        <v>16</v>
      </c>
      <c r="CO300" s="379">
        <f t="shared" si="816"/>
        <v>8.625</v>
      </c>
      <c r="CP300" s="379">
        <f t="shared" si="817"/>
        <v>24.625</v>
      </c>
      <c r="CQ300" s="379"/>
      <c r="CR300" s="188">
        <f t="shared" si="818"/>
        <v>0.34787038923986141</v>
      </c>
      <c r="CS300" s="149">
        <f t="shared" si="819"/>
        <v>173.29806936491266</v>
      </c>
      <c r="CT300" s="149">
        <f t="shared" si="820"/>
        <v>12.232804896346776</v>
      </c>
      <c r="CU300" s="188">
        <f t="shared" si="821"/>
        <v>1.0194004080288981</v>
      </c>
      <c r="CV300" s="188">
        <f t="shared" si="822"/>
        <v>14.441505780409388</v>
      </c>
      <c r="CW300" s="188">
        <f t="shared" si="823"/>
        <v>170</v>
      </c>
      <c r="CX300" s="188">
        <f t="shared" si="824"/>
        <v>27.467126537785589</v>
      </c>
      <c r="CY300" s="188">
        <f t="shared" si="825"/>
        <v>2.575043112917399</v>
      </c>
      <c r="CZ300" s="188">
        <f t="shared" si="826"/>
        <v>4.7768915717887976</v>
      </c>
      <c r="DA300" s="172">
        <f t="shared" si="827"/>
        <v>280.20304568527916</v>
      </c>
      <c r="DB300" s="379">
        <f t="shared" si="828"/>
        <v>136.01861862024455</v>
      </c>
      <c r="DD300" s="188">
        <f t="shared" si="829"/>
        <v>13.333333333333332</v>
      </c>
      <c r="DE300" s="150">
        <f t="shared" si="830"/>
        <v>2.318840579710145</v>
      </c>
      <c r="DF300" s="150">
        <f t="shared" si="831"/>
        <v>0.20230192819025303</v>
      </c>
      <c r="DG300" s="150"/>
      <c r="DH300" s="150">
        <f t="shared" si="832"/>
        <v>2.3188405797101455</v>
      </c>
      <c r="DI300" s="314">
        <f t="shared" si="833"/>
        <v>581.73088235294097</v>
      </c>
      <c r="DJ300" s="456">
        <f t="shared" si="834"/>
        <v>0.20230192819025311</v>
      </c>
      <c r="DL300" s="150">
        <f t="shared" si="835"/>
        <v>17.064583206161235</v>
      </c>
      <c r="DM300" s="150">
        <f t="shared" si="836"/>
        <v>27.467126537785589</v>
      </c>
      <c r="DN300" s="150">
        <f t="shared" si="837"/>
        <v>11.66947644774241</v>
      </c>
      <c r="DP300" s="314">
        <f t="shared" si="838"/>
        <v>420</v>
      </c>
      <c r="DQ300" s="144">
        <f t="shared" si="839"/>
        <v>136.01861862024455</v>
      </c>
      <c r="DS300">
        <f t="shared" si="840"/>
        <v>420</v>
      </c>
      <c r="DT300">
        <f t="shared" si="841"/>
        <v>136.01861862024455</v>
      </c>
      <c r="DV300" s="5">
        <f t="shared" si="870"/>
        <v>7.3519346847061966</v>
      </c>
      <c r="DW300" s="5">
        <f t="shared" si="842"/>
        <v>2.575043112917399</v>
      </c>
      <c r="DX300" s="5">
        <f t="shared" si="843"/>
        <v>4.7768915717887976</v>
      </c>
      <c r="DY300" s="150">
        <f t="shared" si="844"/>
        <v>0.35025380710659898</v>
      </c>
      <c r="EA300" s="5">
        <f t="shared" si="871"/>
        <v>0.63618712201488681</v>
      </c>
      <c r="EB300" s="5">
        <f t="shared" si="872"/>
        <v>9.0126508952108964</v>
      </c>
      <c r="EC300" s="5">
        <f t="shared" si="873"/>
        <v>35.528131065179174</v>
      </c>
      <c r="ED300" s="5"/>
      <c r="EE300" s="150">
        <f t="shared" si="874"/>
        <v>9.3852108321211354</v>
      </c>
      <c r="EF300" s="150">
        <f t="shared" si="875"/>
        <v>0.59699680979184488</v>
      </c>
      <c r="EG300" s="150">
        <f t="shared" si="876"/>
        <v>0.5679151637266171</v>
      </c>
      <c r="EH300" s="150"/>
      <c r="EI300" s="456">
        <f t="shared" si="877"/>
        <v>0.29947942003543726</v>
      </c>
      <c r="EJ300" s="456">
        <f t="shared" si="878"/>
        <v>2.7968000000000006</v>
      </c>
      <c r="EK300" s="456">
        <f t="shared" si="879"/>
        <v>3.1148263664036006E-2</v>
      </c>
      <c r="EL300" s="456">
        <f t="shared" si="880"/>
        <v>5.6499084382385212E-2</v>
      </c>
      <c r="EM300">
        <f t="shared" si="881"/>
        <v>7.1999999999999998E-3</v>
      </c>
      <c r="EN300" s="144">
        <f t="shared" si="882"/>
        <v>38.348263664036004</v>
      </c>
      <c r="EP300" s="144">
        <f t="shared" si="883"/>
        <v>3191.1267680818592</v>
      </c>
      <c r="EQ300" s="150">
        <f t="shared" si="884"/>
        <v>1.05</v>
      </c>
      <c r="ER300" s="150">
        <f t="shared" si="845"/>
        <v>0.29820000000000002</v>
      </c>
      <c r="ES300" s="456"/>
      <c r="EU300" s="144">
        <f t="shared" si="885"/>
        <v>1348.2</v>
      </c>
      <c r="EV300" s="456">
        <f t="shared" si="886"/>
        <v>0.13212327354504586</v>
      </c>
      <c r="EW300" s="456">
        <f t="shared" si="887"/>
        <v>7.1281038180328049E-2</v>
      </c>
      <c r="EX300" s="456">
        <f t="shared" si="888"/>
        <v>9.6758289957189093E-3</v>
      </c>
      <c r="EY300" s="456">
        <f t="shared" si="889"/>
        <v>42.657851179101598</v>
      </c>
      <c r="EZ300" s="456"/>
      <c r="FA300" s="538">
        <f t="shared" si="890"/>
        <v>0.10261830016147308</v>
      </c>
      <c r="FB300" s="144">
        <f t="shared" si="891"/>
        <v>42973.549619984165</v>
      </c>
      <c r="FC300" s="150">
        <f t="shared" si="892"/>
        <v>47.512876388066026</v>
      </c>
      <c r="FD300" s="5">
        <f t="shared" si="893"/>
        <v>76.44</v>
      </c>
      <c r="FE300" s="150">
        <f t="shared" si="894"/>
        <v>0.6166859715355465</v>
      </c>
      <c r="FF300" s="5">
        <f t="shared" si="895"/>
        <v>61.66859715355465</v>
      </c>
      <c r="FG300">
        <f t="shared" si="896"/>
        <v>84</v>
      </c>
      <c r="FI300" s="59">
        <f t="shared" si="846"/>
        <v>-50</v>
      </c>
    </row>
    <row r="301" spans="5:165">
      <c r="E301" s="147">
        <v>85</v>
      </c>
      <c r="F301" s="188">
        <f t="shared" si="847"/>
        <v>0.42499999999999999</v>
      </c>
      <c r="G301" s="188">
        <f t="shared" si="775"/>
        <v>0.42499999999999999</v>
      </c>
      <c r="H301" s="188">
        <f t="shared" si="776"/>
        <v>72.25</v>
      </c>
      <c r="I301" s="188">
        <f t="shared" si="777"/>
        <v>5.0999999999999996</v>
      </c>
      <c r="J301" s="465">
        <f t="shared" si="778"/>
        <v>15.916986166795486</v>
      </c>
      <c r="K301" s="379">
        <f t="shared" si="779"/>
        <v>8.6734411699279974</v>
      </c>
      <c r="L301" s="149">
        <f t="shared" si="780"/>
        <v>24.590427336723483</v>
      </c>
      <c r="M301" s="379"/>
      <c r="N301" s="188">
        <f t="shared" si="781"/>
        <v>0.35271616272300527</v>
      </c>
      <c r="O301" s="149">
        <f t="shared" si="782"/>
        <v>174.80042272663633</v>
      </c>
      <c r="P301" s="149">
        <f t="shared" si="783"/>
        <v>12.338853368939034</v>
      </c>
      <c r="Q301" s="188">
        <f t="shared" si="784"/>
        <v>1.0282377807449197</v>
      </c>
      <c r="R301" s="188">
        <f t="shared" si="785"/>
        <v>14.566701893886361</v>
      </c>
      <c r="S301" s="188">
        <f t="shared" si="786"/>
        <v>170</v>
      </c>
      <c r="T301" s="188">
        <f t="shared" si="787"/>
        <v>27.555234658667086</v>
      </c>
      <c r="U301" s="188">
        <f t="shared" si="788"/>
        <v>2.5967762712658082</v>
      </c>
      <c r="V301" s="188">
        <f t="shared" si="789"/>
        <v>4.7654502034679451</v>
      </c>
      <c r="W301" s="172">
        <f t="shared" si="790"/>
        <v>280.70891414336302</v>
      </c>
      <c r="X301" s="379">
        <f t="shared" si="848"/>
        <v>132.23618776045811</v>
      </c>
      <c r="Z301" s="188">
        <f t="shared" si="791"/>
        <v>13.333333333333334</v>
      </c>
      <c r="AA301" s="150">
        <f t="shared" si="792"/>
        <v>2.3058898548067321</v>
      </c>
      <c r="AB301" s="150">
        <f t="shared" si="793"/>
        <v>0.20153526069063943</v>
      </c>
      <c r="AC301" s="150"/>
      <c r="AD301" s="150">
        <f t="shared" si="794"/>
        <v>2.3058898548067321</v>
      </c>
      <c r="AE301" s="314">
        <f t="shared" si="795"/>
        <v>591.96235984758562</v>
      </c>
      <c r="AF301" s="456">
        <f t="shared" si="796"/>
        <v>0.20153526069063943</v>
      </c>
      <c r="AH301" s="150">
        <f t="shared" si="797"/>
        <v>17.165857586111642</v>
      </c>
      <c r="AI301" s="150">
        <f t="shared" si="798"/>
        <v>27.555234658667086</v>
      </c>
      <c r="AJ301" s="150">
        <f t="shared" si="799"/>
        <v>11.734741722469446</v>
      </c>
      <c r="AL301" s="314">
        <f t="shared" si="800"/>
        <v>425</v>
      </c>
      <c r="AM301" s="144">
        <f t="shared" si="801"/>
        <v>132.23618776045811</v>
      </c>
      <c r="AO301">
        <f t="shared" si="802"/>
        <v>425</v>
      </c>
      <c r="AP301">
        <f t="shared" si="803"/>
        <v>132.23618776045811</v>
      </c>
      <c r="AR301" s="5">
        <f t="shared" si="774"/>
        <v>7.5622264747337553</v>
      </c>
      <c r="AS301" s="5">
        <f t="shared" si="739"/>
        <v>2.5967762712658082</v>
      </c>
      <c r="AT301" s="5">
        <f t="shared" si="740"/>
        <v>4.9654502034679471</v>
      </c>
      <c r="AU301" s="150">
        <f t="shared" si="741"/>
        <v>0.3433877945790077</v>
      </c>
      <c r="BA301" s="150">
        <f t="shared" si="849"/>
        <v>9.3225755954808243</v>
      </c>
      <c r="BB301" s="150">
        <f t="shared" si="850"/>
        <v>0.6020679373874902</v>
      </c>
      <c r="BC301" s="150">
        <f t="shared" si="851"/>
        <v>0.57273926029048927</v>
      </c>
      <c r="BD301" s="150"/>
      <c r="BE301" s="456">
        <f t="shared" si="852"/>
        <v>0.29549541349374575</v>
      </c>
      <c r="BF301" s="456">
        <f t="shared" si="804"/>
        <v>2.1459817686401625</v>
      </c>
      <c r="BG301" s="456">
        <f t="shared" si="805"/>
        <v>9.6399911967050583E-2</v>
      </c>
      <c r="BH301" s="456">
        <f t="shared" si="853"/>
        <v>5.4773821738447394E-2</v>
      </c>
      <c r="BI301">
        <f t="shared" si="854"/>
        <v>7.1626437750579681E-3</v>
      </c>
      <c r="BJ301" s="144">
        <f t="shared" si="855"/>
        <v>103.56255574210856</v>
      </c>
      <c r="BK301">
        <f t="shared" si="806"/>
        <v>2.7705546012935236</v>
      </c>
      <c r="BL301" s="144">
        <f t="shared" si="856"/>
        <v>2599.8135596144643</v>
      </c>
      <c r="BM301" s="150">
        <f t="shared" si="807"/>
        <v>0.94296874999999991</v>
      </c>
      <c r="BN301" s="150">
        <f t="shared" si="808"/>
        <v>0.30175000000000002</v>
      </c>
      <c r="BQ301" s="144">
        <f t="shared" si="857"/>
        <v>1244.7187499999998</v>
      </c>
      <c r="BR301" s="456">
        <f t="shared" si="858"/>
        <v>0.13036562360018197</v>
      </c>
      <c r="BS301" s="456">
        <f t="shared" si="859"/>
        <v>7.2497160246005374E-2</v>
      </c>
      <c r="BT301" s="456">
        <f t="shared" si="860"/>
        <v>9.8409078083429042E-3</v>
      </c>
      <c r="BU301" s="456">
        <f t="shared" si="861"/>
        <v>40.073390641688526</v>
      </c>
      <c r="BV301" s="456"/>
      <c r="BW301" s="538">
        <f t="shared" si="862"/>
        <v>0.10040574156712762</v>
      </c>
      <c r="BX301" s="144">
        <f t="shared" si="863"/>
        <v>40386.500074910189</v>
      </c>
      <c r="BY301" s="150">
        <f t="shared" si="864"/>
        <v>44.231032384524653</v>
      </c>
      <c r="BZ301" s="5">
        <f t="shared" si="865"/>
        <v>77.349999999999994</v>
      </c>
      <c r="CA301" s="150">
        <f t="shared" si="866"/>
        <v>0.63620121069020819</v>
      </c>
      <c r="CB301" s="5">
        <f t="shared" si="867"/>
        <v>63.620121069020819</v>
      </c>
      <c r="CC301">
        <f t="shared" si="868"/>
        <v>85</v>
      </c>
      <c r="CE301" s="59">
        <f t="shared" si="809"/>
        <v>-50</v>
      </c>
      <c r="CG301" s="150">
        <f t="shared" si="810"/>
        <v>0.63502377808469523</v>
      </c>
      <c r="CH301" s="150">
        <f t="shared" si="811"/>
        <v>0.17735551404972849</v>
      </c>
      <c r="CI301" s="147">
        <v>85</v>
      </c>
      <c r="CJ301" s="188">
        <f t="shared" si="869"/>
        <v>0.42499999999999999</v>
      </c>
      <c r="CK301" s="188">
        <f t="shared" si="812"/>
        <v>0.42499999999999999</v>
      </c>
      <c r="CL301" s="188">
        <f t="shared" si="813"/>
        <v>72.25</v>
      </c>
      <c r="CM301" s="188">
        <f t="shared" si="814"/>
        <v>5.0999999999999996</v>
      </c>
      <c r="CN301" s="465">
        <f t="shared" si="815"/>
        <v>16</v>
      </c>
      <c r="CO301" s="379">
        <f t="shared" si="816"/>
        <v>8.625</v>
      </c>
      <c r="CP301" s="379">
        <f t="shared" si="817"/>
        <v>24.625</v>
      </c>
      <c r="CQ301" s="379"/>
      <c r="CR301" s="188">
        <f t="shared" si="818"/>
        <v>0.34787038923986141</v>
      </c>
      <c r="CS301" s="149">
        <f t="shared" si="819"/>
        <v>173.29806936491266</v>
      </c>
      <c r="CT301" s="149">
        <f t="shared" si="820"/>
        <v>12.232804896346776</v>
      </c>
      <c r="CU301" s="188">
        <f t="shared" si="821"/>
        <v>1.0194004080288981</v>
      </c>
      <c r="CV301" s="188">
        <f t="shared" si="822"/>
        <v>14.441505780409388</v>
      </c>
      <c r="CW301" s="188">
        <f t="shared" si="823"/>
        <v>170</v>
      </c>
      <c r="CX301" s="188">
        <f t="shared" si="824"/>
        <v>27.794116139425892</v>
      </c>
      <c r="CY301" s="188">
        <f t="shared" si="825"/>
        <v>2.6056983880711773</v>
      </c>
      <c r="CZ301" s="188">
        <f t="shared" si="826"/>
        <v>4.8337593285958071</v>
      </c>
      <c r="DA301" s="172">
        <f t="shared" si="827"/>
        <v>280.20304568527916</v>
      </c>
      <c r="DB301" s="379">
        <f t="shared" si="828"/>
        <v>134.41839957765345</v>
      </c>
      <c r="DD301" s="188">
        <f t="shared" si="829"/>
        <v>13.333333333333332</v>
      </c>
      <c r="DE301" s="150">
        <f t="shared" si="830"/>
        <v>2.318840579710145</v>
      </c>
      <c r="DF301" s="150">
        <f t="shared" si="831"/>
        <v>0.20230192819025303</v>
      </c>
      <c r="DG301" s="150"/>
      <c r="DH301" s="150">
        <f t="shared" si="832"/>
        <v>2.3188405797101455</v>
      </c>
      <c r="DI301" s="314">
        <f t="shared" si="833"/>
        <v>588.65624999999977</v>
      </c>
      <c r="DJ301" s="456">
        <f t="shared" si="834"/>
        <v>0.20230192819025311</v>
      </c>
      <c r="DL301" s="150">
        <f t="shared" si="835"/>
        <v>17.165857586111642</v>
      </c>
      <c r="DM301" s="150">
        <f t="shared" si="836"/>
        <v>27.794116139425892</v>
      </c>
      <c r="DN301" s="150">
        <f t="shared" si="837"/>
        <v>11.911690967475968</v>
      </c>
      <c r="DP301" s="314">
        <f t="shared" si="838"/>
        <v>425</v>
      </c>
      <c r="DQ301" s="144">
        <f t="shared" si="839"/>
        <v>134.41839957765345</v>
      </c>
      <c r="DS301">
        <f t="shared" si="840"/>
        <v>425</v>
      </c>
      <c r="DT301">
        <f t="shared" si="841"/>
        <v>134.41839957765345</v>
      </c>
      <c r="DV301" s="5">
        <f t="shared" si="870"/>
        <v>7.4394577166669844</v>
      </c>
      <c r="DW301" s="5">
        <f t="shared" si="842"/>
        <v>2.6056983880711773</v>
      </c>
      <c r="DX301" s="5">
        <f t="shared" si="843"/>
        <v>4.8337593285958071</v>
      </c>
      <c r="DY301" s="150">
        <f t="shared" si="844"/>
        <v>0.35025380710659898</v>
      </c>
      <c r="EA301" s="5">
        <f t="shared" si="871"/>
        <v>0.65142459701779432</v>
      </c>
      <c r="EB301" s="5">
        <f t="shared" si="872"/>
        <v>9.2285151244187524</v>
      </c>
      <c r="EC301" s="5">
        <f t="shared" si="873"/>
        <v>36.379074113650731</v>
      </c>
      <c r="ED301" s="5"/>
      <c r="EE301" s="150">
        <f t="shared" si="874"/>
        <v>9.4969395325035286</v>
      </c>
      <c r="EF301" s="150">
        <f t="shared" si="875"/>
        <v>0.6041039146703191</v>
      </c>
      <c r="EG301" s="150">
        <f t="shared" si="876"/>
        <v>0.57467605853288639</v>
      </c>
      <c r="EH301" s="150"/>
      <c r="EI301" s="456">
        <f t="shared" si="877"/>
        <v>0.30665232564569633</v>
      </c>
      <c r="EJ301" s="456">
        <f t="shared" si="878"/>
        <v>2.7968000000000002</v>
      </c>
      <c r="EK301" s="456">
        <f t="shared" si="879"/>
        <v>3.0781813503282636E-2</v>
      </c>
      <c r="EL301" s="456">
        <f t="shared" si="880"/>
        <v>5.5834389272004216E-2</v>
      </c>
      <c r="EM301">
        <f t="shared" si="881"/>
        <v>7.1999999999999998E-3</v>
      </c>
      <c r="EN301" s="144">
        <f t="shared" si="882"/>
        <v>37.981813503282631</v>
      </c>
      <c r="EP301" s="144">
        <f t="shared" si="883"/>
        <v>3197.2685284209838</v>
      </c>
      <c r="EQ301" s="150">
        <f t="shared" si="884"/>
        <v>1.0625</v>
      </c>
      <c r="ER301" s="150">
        <f t="shared" si="845"/>
        <v>0.30175000000000002</v>
      </c>
      <c r="ES301" s="456"/>
      <c r="EU301" s="144">
        <f t="shared" si="885"/>
        <v>1364.25</v>
      </c>
      <c r="EV301" s="456">
        <f t="shared" si="886"/>
        <v>0.13528779072604252</v>
      </c>
      <c r="EW301" s="456">
        <f t="shared" si="887"/>
        <v>7.2988307944000838E-2</v>
      </c>
      <c r="EX301" s="456">
        <f t="shared" si="888"/>
        <v>9.9075771675268022E-3</v>
      </c>
      <c r="EY301" s="456">
        <f t="shared" si="889"/>
        <v>42.657851179101598</v>
      </c>
      <c r="EZ301" s="456"/>
      <c r="FA301" s="538">
        <f t="shared" si="890"/>
        <v>0.1038399465919668</v>
      </c>
      <c r="FB301" s="144">
        <f t="shared" si="891"/>
        <v>42979.874801531136</v>
      </c>
      <c r="FC301" s="150">
        <f t="shared" si="892"/>
        <v>47.541393329952122</v>
      </c>
      <c r="FD301" s="5">
        <f t="shared" si="893"/>
        <v>77.349999999999994</v>
      </c>
      <c r="FE301" s="150">
        <f t="shared" si="894"/>
        <v>0.61933811400156358</v>
      </c>
      <c r="FF301" s="5">
        <f t="shared" si="895"/>
        <v>61.933811400156358</v>
      </c>
      <c r="FG301">
        <f t="shared" si="896"/>
        <v>85</v>
      </c>
      <c r="FI301" s="59">
        <f t="shared" si="846"/>
        <v>-50</v>
      </c>
    </row>
    <row r="302" spans="5:165">
      <c r="E302" s="147">
        <v>86</v>
      </c>
      <c r="F302" s="188">
        <f t="shared" si="847"/>
        <v>0.43</v>
      </c>
      <c r="G302" s="188">
        <f t="shared" si="775"/>
        <v>0.43</v>
      </c>
      <c r="H302" s="188">
        <f t="shared" si="776"/>
        <v>73.099999999999994</v>
      </c>
      <c r="I302" s="188">
        <f t="shared" si="777"/>
        <v>5.16</v>
      </c>
      <c r="J302" s="465">
        <f t="shared" si="778"/>
        <v>15.916009533463667</v>
      </c>
      <c r="K302" s="379">
        <f t="shared" si="779"/>
        <v>8.6740110660447964</v>
      </c>
      <c r="L302" s="149">
        <f t="shared" si="780"/>
        <v>24.590020599508463</v>
      </c>
      <c r="M302" s="379"/>
      <c r="N302" s="188">
        <f t="shared" si="781"/>
        <v>0.35274517282096884</v>
      </c>
      <c r="O302" s="149">
        <f t="shared" si="782"/>
        <v>174.80407338741958</v>
      </c>
      <c r="P302" s="149">
        <f t="shared" si="783"/>
        <v>12.339111062641383</v>
      </c>
      <c r="Q302" s="188">
        <f t="shared" si="784"/>
        <v>1.0282592552201151</v>
      </c>
      <c r="R302" s="188">
        <f t="shared" si="785"/>
        <v>14.567006115618298</v>
      </c>
      <c r="S302" s="188">
        <f t="shared" si="786"/>
        <v>170</v>
      </c>
      <c r="T302" s="188">
        <f t="shared" si="787"/>
        <v>27.878831647890308</v>
      </c>
      <c r="U302" s="188">
        <f t="shared" si="788"/>
        <v>2.6274329243088177</v>
      </c>
      <c r="V302" s="188">
        <f t="shared" si="789"/>
        <v>4.8210968551258588</v>
      </c>
      <c r="W302" s="172">
        <f t="shared" si="790"/>
        <v>280.7147766750914</v>
      </c>
      <c r="X302" s="379">
        <f t="shared" si="848"/>
        <v>130.74408139049078</v>
      </c>
      <c r="Z302" s="188">
        <f t="shared" si="791"/>
        <v>13.333333333333334</v>
      </c>
      <c r="AA302" s="150">
        <f t="shared" si="792"/>
        <v>2.3057383542305838</v>
      </c>
      <c r="AB302" s="150">
        <f t="shared" si="793"/>
        <v>0.20152622824255548</v>
      </c>
      <c r="AC302" s="150"/>
      <c r="AD302" s="150">
        <f t="shared" si="794"/>
        <v>2.3057383542305838</v>
      </c>
      <c r="AE302" s="314">
        <f t="shared" si="795"/>
        <v>598.96597590764623</v>
      </c>
      <c r="AF302" s="456">
        <f t="shared" si="796"/>
        <v>0.20152622824255551</v>
      </c>
      <c r="AH302" s="150">
        <f t="shared" si="797"/>
        <v>17.266537966058316</v>
      </c>
      <c r="AI302" s="150">
        <f t="shared" si="798"/>
        <v>27.878831647890308</v>
      </c>
      <c r="AJ302" s="150">
        <f t="shared" si="799"/>
        <v>11.974443195968128</v>
      </c>
      <c r="AL302" s="314">
        <f t="shared" si="800"/>
        <v>430</v>
      </c>
      <c r="AM302" s="144">
        <f t="shared" si="801"/>
        <v>130.74408139049078</v>
      </c>
      <c r="AO302">
        <f t="shared" si="802"/>
        <v>430</v>
      </c>
      <c r="AP302">
        <f t="shared" si="803"/>
        <v>130.74408139049078</v>
      </c>
      <c r="AR302" s="5">
        <f t="shared" si="774"/>
        <v>7.6485297794346776</v>
      </c>
      <c r="AS302" s="5">
        <f t="shared" si="739"/>
        <v>2.6274329243088177</v>
      </c>
      <c r="AT302" s="5">
        <f t="shared" si="740"/>
        <v>5.0210968551258599</v>
      </c>
      <c r="AU302" s="150">
        <f t="shared" si="741"/>
        <v>0.34352130410388726</v>
      </c>
      <c r="BA302" s="150">
        <f t="shared" si="849"/>
        <v>9.4338893877239549</v>
      </c>
      <c r="BB302" s="150">
        <f t="shared" si="850"/>
        <v>0.60907643643507081</v>
      </c>
      <c r="BC302" s="150">
        <f t="shared" si="851"/>
        <v>0.57940635267490648</v>
      </c>
      <c r="BD302" s="150"/>
      <c r="BE302" s="456">
        <f t="shared" si="852"/>
        <v>0.30259411453135621</v>
      </c>
      <c r="BF302" s="456">
        <f t="shared" si="804"/>
        <v>2.1466488971783</v>
      </c>
      <c r="BG302" s="456">
        <f t="shared" si="805"/>
        <v>9.5306321300159036E-2</v>
      </c>
      <c r="BH302" s="456">
        <f t="shared" si="853"/>
        <v>5.4153981798751138E-2</v>
      </c>
      <c r="BI302">
        <f t="shared" si="854"/>
        <v>7.16220429005865E-3</v>
      </c>
      <c r="BJ302" s="144">
        <f t="shared" si="855"/>
        <v>102.46852559021768</v>
      </c>
      <c r="BK302">
        <f t="shared" si="806"/>
        <v>2.7853542400972326</v>
      </c>
      <c r="BL302" s="144">
        <f t="shared" si="856"/>
        <v>2605.8655190986251</v>
      </c>
      <c r="BM302" s="150">
        <f t="shared" si="807"/>
        <v>0.95406249999999992</v>
      </c>
      <c r="BN302" s="150">
        <f t="shared" si="808"/>
        <v>0.30530000000000002</v>
      </c>
      <c r="BQ302" s="144">
        <f t="shared" si="857"/>
        <v>1259.3625</v>
      </c>
      <c r="BR302" s="456">
        <f t="shared" si="858"/>
        <v>0.133497403469716</v>
      </c>
      <c r="BS302" s="456">
        <f t="shared" si="859"/>
        <v>7.4194821084088966E-2</v>
      </c>
      <c r="BT302" s="456">
        <f t="shared" si="860"/>
        <v>1.0071351645601143E-2</v>
      </c>
      <c r="BU302" s="456">
        <f t="shared" si="861"/>
        <v>40.106200694269823</v>
      </c>
      <c r="BV302" s="456"/>
      <c r="BW302" s="538">
        <f t="shared" si="862"/>
        <v>0.10161812485076802</v>
      </c>
      <c r="BX302" s="144">
        <f t="shared" si="863"/>
        <v>40425.582395320002</v>
      </c>
      <c r="BY302" s="150">
        <f t="shared" si="864"/>
        <v>44.290810414418623</v>
      </c>
      <c r="BZ302" s="5">
        <f t="shared" si="865"/>
        <v>78.259999999999991</v>
      </c>
      <c r="CA302" s="150">
        <f t="shared" si="866"/>
        <v>0.63859226826289828</v>
      </c>
      <c r="CB302" s="5">
        <f t="shared" si="867"/>
        <v>63.859226826289827</v>
      </c>
      <c r="CC302">
        <f t="shared" si="868"/>
        <v>86</v>
      </c>
      <c r="CE302" s="59">
        <f t="shared" si="809"/>
        <v>-50</v>
      </c>
      <c r="CG302" s="150">
        <f t="shared" si="810"/>
        <v>0.63502377808469512</v>
      </c>
      <c r="CH302" s="150">
        <f t="shared" si="811"/>
        <v>0.17735551404972849</v>
      </c>
      <c r="CI302" s="147">
        <v>86</v>
      </c>
      <c r="CJ302" s="188">
        <f t="shared" si="869"/>
        <v>0.43</v>
      </c>
      <c r="CK302" s="188">
        <f t="shared" si="812"/>
        <v>0.43</v>
      </c>
      <c r="CL302" s="188">
        <f t="shared" si="813"/>
        <v>73.099999999999994</v>
      </c>
      <c r="CM302" s="188">
        <f t="shared" si="814"/>
        <v>5.16</v>
      </c>
      <c r="CN302" s="465">
        <f t="shared" si="815"/>
        <v>16</v>
      </c>
      <c r="CO302" s="379">
        <f t="shared" si="816"/>
        <v>8.625</v>
      </c>
      <c r="CP302" s="379">
        <f t="shared" si="817"/>
        <v>24.625</v>
      </c>
      <c r="CQ302" s="379"/>
      <c r="CR302" s="188">
        <f t="shared" si="818"/>
        <v>0.34787038923986141</v>
      </c>
      <c r="CS302" s="149">
        <f t="shared" si="819"/>
        <v>173.29806936491266</v>
      </c>
      <c r="CT302" s="149">
        <f t="shared" si="820"/>
        <v>12.232804896346776</v>
      </c>
      <c r="CU302" s="188">
        <f t="shared" si="821"/>
        <v>1.0194004080288981</v>
      </c>
      <c r="CV302" s="188">
        <f t="shared" si="822"/>
        <v>14.441505780409388</v>
      </c>
      <c r="CW302" s="188">
        <f t="shared" si="823"/>
        <v>170</v>
      </c>
      <c r="CX302" s="188">
        <f t="shared" si="824"/>
        <v>28.121105741066195</v>
      </c>
      <c r="CY302" s="188">
        <f t="shared" si="825"/>
        <v>2.636353663224956</v>
      </c>
      <c r="CZ302" s="188">
        <f t="shared" si="826"/>
        <v>4.8906270854028167</v>
      </c>
      <c r="DA302" s="172">
        <f t="shared" si="827"/>
        <v>280.20304568527916</v>
      </c>
      <c r="DB302" s="379">
        <f t="shared" si="828"/>
        <v>132.85539493140163</v>
      </c>
      <c r="DD302" s="188">
        <f t="shared" si="829"/>
        <v>13.333333333333332</v>
      </c>
      <c r="DE302" s="150">
        <f t="shared" si="830"/>
        <v>2.318840579710145</v>
      </c>
      <c r="DF302" s="150">
        <f t="shared" si="831"/>
        <v>0.20230192819025303</v>
      </c>
      <c r="DG302" s="150"/>
      <c r="DH302" s="150">
        <f t="shared" si="832"/>
        <v>2.3188405797101455</v>
      </c>
      <c r="DI302" s="314">
        <f t="shared" si="833"/>
        <v>595.58161764705858</v>
      </c>
      <c r="DJ302" s="456">
        <f t="shared" si="834"/>
        <v>0.20230192819025311</v>
      </c>
      <c r="DL302" s="150">
        <f t="shared" si="835"/>
        <v>17.266537966058316</v>
      </c>
      <c r="DM302" s="150">
        <f t="shared" si="836"/>
        <v>28.121105741066195</v>
      </c>
      <c r="DN302" s="150">
        <f t="shared" si="837"/>
        <v>12.153905487209526</v>
      </c>
      <c r="DP302" s="314">
        <f t="shared" si="838"/>
        <v>430</v>
      </c>
      <c r="DQ302" s="144">
        <f t="shared" si="839"/>
        <v>132.85539493140163</v>
      </c>
      <c r="DS302">
        <f t="shared" si="840"/>
        <v>430</v>
      </c>
      <c r="DT302">
        <f t="shared" si="841"/>
        <v>132.85539493140163</v>
      </c>
      <c r="DV302" s="5">
        <f t="shared" si="870"/>
        <v>7.5269807486277731</v>
      </c>
      <c r="DW302" s="5">
        <f t="shared" si="842"/>
        <v>2.636353663224956</v>
      </c>
      <c r="DX302" s="5">
        <f t="shared" si="843"/>
        <v>4.8906270854028175</v>
      </c>
      <c r="DY302" s="150">
        <f t="shared" si="844"/>
        <v>0.35025380710659898</v>
      </c>
      <c r="EA302" s="5">
        <f t="shared" si="871"/>
        <v>0.66684239716866534</v>
      </c>
      <c r="EB302" s="5">
        <f t="shared" si="872"/>
        <v>9.4469339598894262</v>
      </c>
      <c r="EC302" s="5">
        <f t="shared" si="873"/>
        <v>37.240087494056858</v>
      </c>
      <c r="ED302" s="5"/>
      <c r="EE302" s="150">
        <f t="shared" si="874"/>
        <v>9.6086682328859219</v>
      </c>
      <c r="EF302" s="150">
        <f t="shared" si="875"/>
        <v>0.61121101954879342</v>
      </c>
      <c r="EG302" s="150">
        <f t="shared" si="876"/>
        <v>0.58143695333915557</v>
      </c>
      <c r="EH302" s="150"/>
      <c r="EI302" s="456">
        <f t="shared" si="877"/>
        <v>0.31391011771288163</v>
      </c>
      <c r="EJ302" s="456">
        <f t="shared" si="878"/>
        <v>2.7967999999999997</v>
      </c>
      <c r="EK302" s="456">
        <f t="shared" si="879"/>
        <v>3.0423885439290973E-2</v>
      </c>
      <c r="EL302" s="456">
        <f t="shared" si="880"/>
        <v>5.5185152187446011E-2</v>
      </c>
      <c r="EM302">
        <f t="shared" si="881"/>
        <v>7.1999999999999998E-3</v>
      </c>
      <c r="EN302" s="144">
        <f t="shared" si="882"/>
        <v>37.623885439290973</v>
      </c>
      <c r="EP302" s="144">
        <f t="shared" si="883"/>
        <v>3203.5191553396185</v>
      </c>
      <c r="EQ302" s="150">
        <f t="shared" si="884"/>
        <v>1.075</v>
      </c>
      <c r="ER302" s="150">
        <f t="shared" si="845"/>
        <v>0.30530000000000002</v>
      </c>
      <c r="ES302" s="456"/>
      <c r="EU302" s="144">
        <f t="shared" si="885"/>
        <v>1380.3000000000002</v>
      </c>
      <c r="EV302" s="456">
        <f t="shared" si="886"/>
        <v>0.13848975781450662</v>
      </c>
      <c r="EW302" s="456">
        <f t="shared" si="887"/>
        <v>7.4715782083575114E-2</v>
      </c>
      <c r="EX302" s="456">
        <f t="shared" si="888"/>
        <v>1.0142067921249581E-2</v>
      </c>
      <c r="EY302" s="456">
        <f t="shared" si="889"/>
        <v>42.657851179101527</v>
      </c>
      <c r="EZ302" s="456"/>
      <c r="FA302" s="538">
        <f t="shared" si="890"/>
        <v>0.10506159302246049</v>
      </c>
      <c r="FB302" s="144">
        <f t="shared" si="891"/>
        <v>42986.260379943327</v>
      </c>
      <c r="FC302" s="150">
        <f t="shared" si="892"/>
        <v>47.570079535282936</v>
      </c>
      <c r="FD302" s="5">
        <f t="shared" si="893"/>
        <v>78.259999999999991</v>
      </c>
      <c r="FE302" s="150">
        <f t="shared" si="894"/>
        <v>0.62194985721244644</v>
      </c>
      <c r="FF302" s="5">
        <f t="shared" si="895"/>
        <v>62.194985721244642</v>
      </c>
      <c r="FG302">
        <f t="shared" si="896"/>
        <v>86</v>
      </c>
      <c r="FI302" s="59">
        <f t="shared" si="846"/>
        <v>-50</v>
      </c>
    </row>
    <row r="303" spans="5:165">
      <c r="E303" s="147">
        <v>87</v>
      </c>
      <c r="F303" s="188">
        <f t="shared" si="847"/>
        <v>0.435</v>
      </c>
      <c r="G303" s="188">
        <f t="shared" si="775"/>
        <v>0.435</v>
      </c>
      <c r="H303" s="188">
        <f t="shared" si="776"/>
        <v>73.95</v>
      </c>
      <c r="I303" s="188">
        <f t="shared" si="777"/>
        <v>5.22</v>
      </c>
      <c r="J303" s="465">
        <f t="shared" si="778"/>
        <v>15.91503290013185</v>
      </c>
      <c r="K303" s="379">
        <f t="shared" si="779"/>
        <v>8.6745809621615972</v>
      </c>
      <c r="L303" s="149">
        <f t="shared" si="780"/>
        <v>24.589613862293447</v>
      </c>
      <c r="M303" s="379"/>
      <c r="N303" s="188">
        <f t="shared" si="781"/>
        <v>0.35277418387864545</v>
      </c>
      <c r="O303" s="149">
        <f t="shared" si="782"/>
        <v>174.80772275948479</v>
      </c>
      <c r="P303" s="149">
        <f t="shared" si="783"/>
        <v>12.339368665375396</v>
      </c>
      <c r="Q303" s="188">
        <f t="shared" si="784"/>
        <v>1.0282807221146164</v>
      </c>
      <c r="R303" s="188">
        <f t="shared" si="785"/>
        <v>14.567310229957066</v>
      </c>
      <c r="S303" s="188">
        <f t="shared" si="786"/>
        <v>170</v>
      </c>
      <c r="T303" s="188">
        <f t="shared" si="787"/>
        <v>28.202415329116267</v>
      </c>
      <c r="U303" s="188">
        <f t="shared" si="788"/>
        <v>2.6580920855855679</v>
      </c>
      <c r="V303" s="188">
        <f t="shared" si="789"/>
        <v>4.876733893913979</v>
      </c>
      <c r="W303" s="172">
        <f t="shared" si="790"/>
        <v>280.72063713729023</v>
      </c>
      <c r="X303" s="379">
        <f t="shared" si="848"/>
        <v>129.2853908608169</v>
      </c>
      <c r="Z303" s="188">
        <f t="shared" si="791"/>
        <v>13.333333333333336</v>
      </c>
      <c r="AA303" s="150">
        <f t="shared" si="792"/>
        <v>2.3055868735607783</v>
      </c>
      <c r="AB303" s="150">
        <f t="shared" si="793"/>
        <v>0.20151719549565997</v>
      </c>
      <c r="AC303" s="150"/>
      <c r="AD303" s="150">
        <f t="shared" si="794"/>
        <v>2.3055868735607778</v>
      </c>
      <c r="AE303" s="314">
        <f t="shared" si="795"/>
        <v>605.97050715382363</v>
      </c>
      <c r="AF303" s="456">
        <f t="shared" si="796"/>
        <v>0.20151719549565986</v>
      </c>
      <c r="AH303" s="150">
        <f t="shared" si="797"/>
        <v>17.366634676873925</v>
      </c>
      <c r="AI303" s="150">
        <f t="shared" si="798"/>
        <v>28.202415329116267</v>
      </c>
      <c r="AJ303" s="150">
        <f t="shared" si="799"/>
        <v>12.214134811691061</v>
      </c>
      <c r="AL303" s="314">
        <f t="shared" si="800"/>
        <v>435</v>
      </c>
      <c r="AM303" s="144">
        <f t="shared" si="801"/>
        <v>129.2853908608169</v>
      </c>
      <c r="AO303">
        <f t="shared" si="802"/>
        <v>435</v>
      </c>
      <c r="AP303">
        <f t="shared" si="803"/>
        <v>129.2853908608169</v>
      </c>
      <c r="AR303" s="5">
        <f t="shared" si="774"/>
        <v>7.734825979499548</v>
      </c>
      <c r="AS303" s="5">
        <f t="shared" si="739"/>
        <v>2.6580920855855679</v>
      </c>
      <c r="AT303" s="5">
        <f t="shared" si="740"/>
        <v>5.0767338939139801</v>
      </c>
      <c r="AU303" s="150">
        <f t="shared" si="741"/>
        <v>0.3436524742289741</v>
      </c>
      <c r="BA303" s="150">
        <f t="shared" si="849"/>
        <v>9.5452083881301473</v>
      </c>
      <c r="BB303" s="150">
        <f t="shared" si="850"/>
        <v>0.61608429863434266</v>
      </c>
      <c r="BC303" s="150">
        <f t="shared" si="851"/>
        <v>0.58607283923395659</v>
      </c>
      <c r="BD303" s="150"/>
      <c r="BE303" s="456">
        <f t="shared" si="852"/>
        <v>0.30977741078762239</v>
      </c>
      <c r="BF303" s="456">
        <f t="shared" si="804"/>
        <v>2.1473012824234399</v>
      </c>
      <c r="BG303" s="456">
        <f t="shared" si="805"/>
        <v>9.423722120677884E-2</v>
      </c>
      <c r="BH303" s="456">
        <f t="shared" si="853"/>
        <v>5.3548023107047801E-2</v>
      </c>
      <c r="BI303">
        <f t="shared" si="854"/>
        <v>7.1617648050593327E-3</v>
      </c>
      <c r="BJ303" s="144">
        <f t="shared" si="855"/>
        <v>101.39898601183816</v>
      </c>
      <c r="BK303">
        <f t="shared" si="806"/>
        <v>2.8003835646303097</v>
      </c>
      <c r="BL303" s="144">
        <f t="shared" si="856"/>
        <v>2612.0257023299487</v>
      </c>
      <c r="BM303" s="150">
        <f t="shared" si="807"/>
        <v>0.96515624999999983</v>
      </c>
      <c r="BN303" s="150">
        <f t="shared" si="808"/>
        <v>0.30885000000000001</v>
      </c>
      <c r="BQ303" s="144">
        <f t="shared" si="857"/>
        <v>1274.0062499999997</v>
      </c>
      <c r="BR303" s="456">
        <f t="shared" si="858"/>
        <v>0.13666650475924519</v>
      </c>
      <c r="BS303" s="456">
        <f t="shared" si="859"/>
        <v>7.5911972604753991E-2</v>
      </c>
      <c r="BT303" s="456">
        <f t="shared" si="860"/>
        <v>1.0304441186632533E-2</v>
      </c>
      <c r="BU303" s="456">
        <f t="shared" si="861"/>
        <v>40.138338971208491</v>
      </c>
      <c r="BV303" s="456"/>
      <c r="BW303" s="538">
        <f t="shared" si="862"/>
        <v>0.10283052682814645</v>
      </c>
      <c r="BX303" s="144">
        <f t="shared" si="863"/>
        <v>40464.05241658727</v>
      </c>
      <c r="BY303" s="150">
        <f t="shared" si="864"/>
        <v>44.350084368917223</v>
      </c>
      <c r="BZ303" s="5">
        <f t="shared" si="865"/>
        <v>79.17</v>
      </c>
      <c r="CA303" s="150">
        <f t="shared" si="866"/>
        <v>0.64094839640445112</v>
      </c>
      <c r="CB303" s="5">
        <f t="shared" si="867"/>
        <v>64.094839640445116</v>
      </c>
      <c r="CC303">
        <f t="shared" si="868"/>
        <v>87</v>
      </c>
      <c r="CE303" s="59">
        <f t="shared" si="809"/>
        <v>-50</v>
      </c>
      <c r="CG303" s="150">
        <f t="shared" si="810"/>
        <v>0.63502377808469512</v>
      </c>
      <c r="CH303" s="150">
        <f t="shared" si="811"/>
        <v>0.17735551404972846</v>
      </c>
      <c r="CI303" s="147">
        <v>87</v>
      </c>
      <c r="CJ303" s="188">
        <f t="shared" si="869"/>
        <v>0.435</v>
      </c>
      <c r="CK303" s="188">
        <f t="shared" si="812"/>
        <v>0.435</v>
      </c>
      <c r="CL303" s="188">
        <f t="shared" si="813"/>
        <v>73.95</v>
      </c>
      <c r="CM303" s="188">
        <f t="shared" si="814"/>
        <v>5.22</v>
      </c>
      <c r="CN303" s="465">
        <f t="shared" si="815"/>
        <v>16</v>
      </c>
      <c r="CO303" s="379">
        <f t="shared" si="816"/>
        <v>8.625</v>
      </c>
      <c r="CP303" s="379">
        <f t="shared" si="817"/>
        <v>24.625</v>
      </c>
      <c r="CQ303" s="379"/>
      <c r="CR303" s="188">
        <f t="shared" si="818"/>
        <v>0.34787038923986141</v>
      </c>
      <c r="CS303" s="149">
        <f t="shared" si="819"/>
        <v>173.29806936491266</v>
      </c>
      <c r="CT303" s="149">
        <f t="shared" si="820"/>
        <v>12.232804896346776</v>
      </c>
      <c r="CU303" s="188">
        <f t="shared" si="821"/>
        <v>1.0194004080288981</v>
      </c>
      <c r="CV303" s="188">
        <f t="shared" si="822"/>
        <v>14.441505780409388</v>
      </c>
      <c r="CW303" s="188">
        <f t="shared" si="823"/>
        <v>170</v>
      </c>
      <c r="CX303" s="188">
        <f t="shared" si="824"/>
        <v>28.448095342706505</v>
      </c>
      <c r="CY303" s="188">
        <f t="shared" si="825"/>
        <v>2.6670089383787348</v>
      </c>
      <c r="CZ303" s="188">
        <f t="shared" si="826"/>
        <v>4.947494842209827</v>
      </c>
      <c r="DA303" s="172">
        <f t="shared" si="827"/>
        <v>280.20304568527916</v>
      </c>
      <c r="DB303" s="379">
        <f t="shared" si="828"/>
        <v>131.32832142644298</v>
      </c>
      <c r="DD303" s="188">
        <f t="shared" si="829"/>
        <v>13.333333333333332</v>
      </c>
      <c r="DE303" s="150">
        <f t="shared" si="830"/>
        <v>2.318840579710145</v>
      </c>
      <c r="DF303" s="150">
        <f t="shared" si="831"/>
        <v>0.20230192819025303</v>
      </c>
      <c r="DG303" s="150"/>
      <c r="DH303" s="150">
        <f t="shared" si="832"/>
        <v>2.3188405797101455</v>
      </c>
      <c r="DI303" s="314">
        <f t="shared" si="833"/>
        <v>602.50698529411738</v>
      </c>
      <c r="DJ303" s="456">
        <f t="shared" si="834"/>
        <v>0.20230192819025311</v>
      </c>
      <c r="DL303" s="150">
        <f t="shared" si="835"/>
        <v>17.366634676873925</v>
      </c>
      <c r="DM303" s="150">
        <f t="shared" si="836"/>
        <v>28.448095342706505</v>
      </c>
      <c r="DN303" s="150">
        <f t="shared" si="837"/>
        <v>12.396120006943089</v>
      </c>
      <c r="DP303" s="314">
        <f t="shared" si="838"/>
        <v>435</v>
      </c>
      <c r="DQ303" s="144">
        <f t="shared" si="839"/>
        <v>131.32832142644298</v>
      </c>
      <c r="DS303">
        <f t="shared" si="840"/>
        <v>435</v>
      </c>
      <c r="DT303">
        <f t="shared" si="841"/>
        <v>131.32832142644298</v>
      </c>
      <c r="DV303" s="5">
        <f t="shared" si="870"/>
        <v>7.6145037805885627</v>
      </c>
      <c r="DW303" s="5">
        <f t="shared" si="842"/>
        <v>2.6670089383787348</v>
      </c>
      <c r="DX303" s="5">
        <f t="shared" si="843"/>
        <v>4.9474948422098279</v>
      </c>
      <c r="DY303" s="150">
        <f t="shared" si="844"/>
        <v>0.35025380710659892</v>
      </c>
      <c r="EA303" s="5">
        <f t="shared" si="871"/>
        <v>0.68244052246749975</v>
      </c>
      <c r="EB303" s="5">
        <f t="shared" si="872"/>
        <v>9.6679074016229141</v>
      </c>
      <c r="EC303" s="5">
        <f t="shared" si="873"/>
        <v>38.111171206397579</v>
      </c>
      <c r="ED303" s="5"/>
      <c r="EE303" s="150">
        <f t="shared" si="874"/>
        <v>9.7203969332683169</v>
      </c>
      <c r="EF303" s="150">
        <f t="shared" si="875"/>
        <v>0.61831812442726797</v>
      </c>
      <c r="EG303" s="150">
        <f t="shared" si="876"/>
        <v>0.58819784814542497</v>
      </c>
      <c r="EH303" s="150"/>
      <c r="EI303" s="456">
        <f t="shared" si="877"/>
        <v>0.32125279623699315</v>
      </c>
      <c r="EJ303" s="456">
        <f t="shared" si="878"/>
        <v>2.7968000000000002</v>
      </c>
      <c r="EK303" s="456">
        <f t="shared" si="879"/>
        <v>3.0074185606655441E-2</v>
      </c>
      <c r="EL303" s="456">
        <f t="shared" si="880"/>
        <v>5.4550840093337431E-2</v>
      </c>
      <c r="EM303">
        <f t="shared" si="881"/>
        <v>7.1999999999999998E-3</v>
      </c>
      <c r="EN303" s="144">
        <f t="shared" si="882"/>
        <v>37.274185606655443</v>
      </c>
      <c r="EP303" s="144">
        <f t="shared" si="883"/>
        <v>3209.877821936986</v>
      </c>
      <c r="EQ303" s="150">
        <f t="shared" si="884"/>
        <v>1.0874999999999999</v>
      </c>
      <c r="ER303" s="150">
        <f t="shared" si="845"/>
        <v>0.30885000000000001</v>
      </c>
      <c r="ES303" s="456"/>
      <c r="EU303" s="144">
        <f t="shared" si="885"/>
        <v>1396.35</v>
      </c>
      <c r="EV303" s="456">
        <f t="shared" si="886"/>
        <v>0.14172917481043815</v>
      </c>
      <c r="EW303" s="456">
        <f t="shared" si="887"/>
        <v>7.6463460599050903E-2</v>
      </c>
      <c r="EX303" s="456">
        <f t="shared" si="888"/>
        <v>1.0379301256887252E-2</v>
      </c>
      <c r="EY303" s="456">
        <f t="shared" si="889"/>
        <v>42.65785117910152</v>
      </c>
      <c r="EZ303" s="456"/>
      <c r="FA303" s="538">
        <f t="shared" si="890"/>
        <v>0.10628323945295425</v>
      </c>
      <c r="FB303" s="144">
        <f t="shared" si="891"/>
        <v>42992.706355220856</v>
      </c>
      <c r="FC303" s="150">
        <f t="shared" si="892"/>
        <v>47.598934177157837</v>
      </c>
      <c r="FD303" s="5">
        <f t="shared" si="893"/>
        <v>79.17</v>
      </c>
      <c r="FE303" s="150">
        <f t="shared" si="894"/>
        <v>0.62452209221354671</v>
      </c>
      <c r="FF303" s="5">
        <f t="shared" si="895"/>
        <v>62.452209221354671</v>
      </c>
      <c r="FG303">
        <f t="shared" si="896"/>
        <v>87</v>
      </c>
      <c r="FI303" s="59">
        <f t="shared" si="846"/>
        <v>-50</v>
      </c>
    </row>
    <row r="304" spans="5:165">
      <c r="E304" s="147">
        <v>88</v>
      </c>
      <c r="F304" s="188">
        <f t="shared" si="847"/>
        <v>0.44</v>
      </c>
      <c r="G304" s="188">
        <f t="shared" si="775"/>
        <v>0.44</v>
      </c>
      <c r="H304" s="188">
        <f t="shared" si="776"/>
        <v>74.8</v>
      </c>
      <c r="I304" s="188">
        <f t="shared" si="777"/>
        <v>5.28</v>
      </c>
      <c r="J304" s="465">
        <f t="shared" si="778"/>
        <v>15.914056266800031</v>
      </c>
      <c r="K304" s="379">
        <f t="shared" si="779"/>
        <v>8.675150858278398</v>
      </c>
      <c r="L304" s="149">
        <f t="shared" si="780"/>
        <v>24.589207125078431</v>
      </c>
      <c r="M304" s="379"/>
      <c r="N304" s="188">
        <f t="shared" si="781"/>
        <v>0.35280319589608267</v>
      </c>
      <c r="O304" s="149">
        <f t="shared" si="782"/>
        <v>174.81137084276793</v>
      </c>
      <c r="P304" s="149">
        <f t="shared" si="783"/>
        <v>12.339626177136559</v>
      </c>
      <c r="Q304" s="188">
        <f t="shared" si="784"/>
        <v>1.0283021814280466</v>
      </c>
      <c r="R304" s="188">
        <f t="shared" si="785"/>
        <v>14.567614236897327</v>
      </c>
      <c r="S304" s="188">
        <f t="shared" si="786"/>
        <v>170</v>
      </c>
      <c r="T304" s="188">
        <f t="shared" si="787"/>
        <v>28.525985710345278</v>
      </c>
      <c r="U304" s="188">
        <f t="shared" si="788"/>
        <v>2.6887537563119253</v>
      </c>
      <c r="V304" s="188">
        <f t="shared" si="789"/>
        <v>4.9323613231101184</v>
      </c>
      <c r="W304" s="172">
        <f t="shared" si="790"/>
        <v>280.72649552985666</v>
      </c>
      <c r="X304" s="379">
        <f t="shared" si="848"/>
        <v>127.85900601706743</v>
      </c>
      <c r="Z304" s="188">
        <f t="shared" si="791"/>
        <v>13.333333333333336</v>
      </c>
      <c r="AA304" s="150">
        <f t="shared" si="792"/>
        <v>2.3054354127933916</v>
      </c>
      <c r="AB304" s="150">
        <f t="shared" si="793"/>
        <v>0.20150816244993769</v>
      </c>
      <c r="AC304" s="150"/>
      <c r="AD304" s="150">
        <f t="shared" si="794"/>
        <v>2.3054354127933911</v>
      </c>
      <c r="AE304" s="314">
        <f t="shared" si="795"/>
        <v>612.97595358611807</v>
      </c>
      <c r="AF304" s="456">
        <f t="shared" si="796"/>
        <v>0.20150816244993763</v>
      </c>
      <c r="AH304" s="150">
        <f t="shared" si="797"/>
        <v>17.466157753400335</v>
      </c>
      <c r="AI304" s="150">
        <f t="shared" si="798"/>
        <v>28.525985710345278</v>
      </c>
      <c r="AJ304" s="150">
        <f t="shared" si="799"/>
        <v>12.453816575564403</v>
      </c>
      <c r="AL304" s="314">
        <f t="shared" si="800"/>
        <v>440</v>
      </c>
      <c r="AM304" s="144">
        <f t="shared" si="801"/>
        <v>127.85900601706743</v>
      </c>
      <c r="AO304">
        <f t="shared" si="802"/>
        <v>440</v>
      </c>
      <c r="AP304">
        <f t="shared" si="803"/>
        <v>127.85900601706743</v>
      </c>
      <c r="AR304" s="5">
        <f t="shared" si="774"/>
        <v>7.8211150794220456</v>
      </c>
      <c r="AS304" s="5">
        <f t="shared" si="739"/>
        <v>2.6887537563119253</v>
      </c>
      <c r="AT304" s="5">
        <f t="shared" si="740"/>
        <v>5.1323613231101204</v>
      </c>
      <c r="AU304" s="150">
        <f t="shared" si="741"/>
        <v>0.34378138270669906</v>
      </c>
      <c r="BA304" s="150">
        <f t="shared" si="849"/>
        <v>9.6565325771389592</v>
      </c>
      <c r="BB304" s="150">
        <f t="shared" si="850"/>
        <v>0.62309152523747202</v>
      </c>
      <c r="BC304" s="150">
        <f t="shared" si="851"/>
        <v>0.59273872115880843</v>
      </c>
      <c r="BD304" s="150"/>
      <c r="BE304" s="456">
        <f t="shared" si="852"/>
        <v>0.31704531280537634</v>
      </c>
      <c r="BF304" s="456">
        <f t="shared" si="804"/>
        <v>2.1479394135927303</v>
      </c>
      <c r="BG304" s="456">
        <f t="shared" si="805"/>
        <v>9.3191798051551256E-2</v>
      </c>
      <c r="BH304" s="456">
        <f t="shared" si="853"/>
        <v>5.2955484495058887E-2</v>
      </c>
      <c r="BI304">
        <f t="shared" si="854"/>
        <v>7.1613253200600137E-3</v>
      </c>
      <c r="BJ304" s="144">
        <f t="shared" si="855"/>
        <v>100.35312337161128</v>
      </c>
      <c r="BK304">
        <f t="shared" si="806"/>
        <v>2.8156448792833104</v>
      </c>
      <c r="BL304" s="144">
        <f t="shared" si="856"/>
        <v>2618.2933342647771</v>
      </c>
      <c r="BM304" s="150">
        <f t="shared" si="807"/>
        <v>0.97625000000000006</v>
      </c>
      <c r="BN304" s="150">
        <f t="shared" si="808"/>
        <v>0.31240000000000001</v>
      </c>
      <c r="BQ304" s="144">
        <f t="shared" si="857"/>
        <v>1288.6500000000001</v>
      </c>
      <c r="BR304" s="456">
        <f t="shared" si="858"/>
        <v>0.13987293212001897</v>
      </c>
      <c r="BS304" s="456">
        <f t="shared" si="859"/>
        <v>7.7648609764551846E-2</v>
      </c>
      <c r="BT304" s="456">
        <f t="shared" si="860"/>
        <v>1.0540175746829389E-2</v>
      </c>
      <c r="BU304" s="456">
        <f t="shared" si="861"/>
        <v>40.169827322075967</v>
      </c>
      <c r="BV304" s="456"/>
      <c r="BW304" s="538">
        <f t="shared" si="862"/>
        <v>0.10404294687950753</v>
      </c>
      <c r="BX304" s="144">
        <f t="shared" si="863"/>
        <v>40501.931986586875</v>
      </c>
      <c r="BY304" s="150">
        <f t="shared" si="864"/>
        <v>44.408875320851656</v>
      </c>
      <c r="BZ304" s="5">
        <f t="shared" si="865"/>
        <v>80.08</v>
      </c>
      <c r="CA304" s="150">
        <f t="shared" si="866"/>
        <v>0.6432703307312051</v>
      </c>
      <c r="CB304" s="5">
        <f t="shared" si="867"/>
        <v>64.327033073120504</v>
      </c>
      <c r="CC304">
        <f t="shared" si="868"/>
        <v>88</v>
      </c>
      <c r="CE304" s="59">
        <f t="shared" si="809"/>
        <v>-50</v>
      </c>
      <c r="CG304" s="150">
        <f t="shared" si="810"/>
        <v>0.63502377808469523</v>
      </c>
      <c r="CH304" s="150">
        <f t="shared" si="811"/>
        <v>0.17735551404972849</v>
      </c>
      <c r="CI304" s="147">
        <v>88</v>
      </c>
      <c r="CJ304" s="188">
        <f t="shared" si="869"/>
        <v>0.44</v>
      </c>
      <c r="CK304" s="188">
        <f t="shared" si="812"/>
        <v>0.44</v>
      </c>
      <c r="CL304" s="188">
        <f t="shared" si="813"/>
        <v>74.8</v>
      </c>
      <c r="CM304" s="188">
        <f t="shared" si="814"/>
        <v>5.28</v>
      </c>
      <c r="CN304" s="465">
        <f t="shared" si="815"/>
        <v>16</v>
      </c>
      <c r="CO304" s="379">
        <f t="shared" si="816"/>
        <v>8.625</v>
      </c>
      <c r="CP304" s="379">
        <f t="shared" si="817"/>
        <v>24.625</v>
      </c>
      <c r="CQ304" s="379"/>
      <c r="CR304" s="188">
        <f t="shared" si="818"/>
        <v>0.34787038923986141</v>
      </c>
      <c r="CS304" s="149">
        <f t="shared" si="819"/>
        <v>173.29806936491266</v>
      </c>
      <c r="CT304" s="149">
        <f t="shared" si="820"/>
        <v>12.232804896346776</v>
      </c>
      <c r="CU304" s="188">
        <f t="shared" si="821"/>
        <v>1.0194004080288981</v>
      </c>
      <c r="CV304" s="188">
        <f t="shared" si="822"/>
        <v>14.441505780409388</v>
      </c>
      <c r="CW304" s="188">
        <f t="shared" si="823"/>
        <v>170</v>
      </c>
      <c r="CX304" s="188">
        <f t="shared" si="824"/>
        <v>28.775084944346808</v>
      </c>
      <c r="CY304" s="188">
        <f t="shared" si="825"/>
        <v>2.6976642135325131</v>
      </c>
      <c r="CZ304" s="188">
        <f t="shared" si="826"/>
        <v>5.0043625990168357</v>
      </c>
      <c r="DA304" s="172">
        <f t="shared" si="827"/>
        <v>280.20304568527916</v>
      </c>
      <c r="DB304" s="379">
        <f t="shared" si="828"/>
        <v>129.83595413750615</v>
      </c>
      <c r="DD304" s="188">
        <f t="shared" si="829"/>
        <v>13.333333333333332</v>
      </c>
      <c r="DE304" s="150">
        <f t="shared" si="830"/>
        <v>2.318840579710145</v>
      </c>
      <c r="DF304" s="150">
        <f t="shared" si="831"/>
        <v>0.20230192819025303</v>
      </c>
      <c r="DG304" s="150"/>
      <c r="DH304" s="150">
        <f t="shared" si="832"/>
        <v>2.3188405797101455</v>
      </c>
      <c r="DI304" s="314">
        <f t="shared" si="833"/>
        <v>609.43235294117619</v>
      </c>
      <c r="DJ304" s="456">
        <f t="shared" si="834"/>
        <v>0.20230192819025311</v>
      </c>
      <c r="DL304" s="150">
        <f t="shared" si="835"/>
        <v>17.466157753400335</v>
      </c>
      <c r="DM304" s="150">
        <f t="shared" si="836"/>
        <v>28.775084944346808</v>
      </c>
      <c r="DN304" s="150">
        <f t="shared" si="837"/>
        <v>12.638334526676648</v>
      </c>
      <c r="DP304" s="314">
        <f t="shared" si="838"/>
        <v>440</v>
      </c>
      <c r="DQ304" s="144">
        <f t="shared" si="839"/>
        <v>129.83595413750615</v>
      </c>
      <c r="DS304">
        <f t="shared" si="840"/>
        <v>440</v>
      </c>
      <c r="DT304">
        <f t="shared" si="841"/>
        <v>129.83595413750615</v>
      </c>
      <c r="DV304" s="5">
        <f t="shared" si="870"/>
        <v>7.7020268125493496</v>
      </c>
      <c r="DW304" s="5">
        <f t="shared" si="842"/>
        <v>2.6976642135325131</v>
      </c>
      <c r="DX304" s="5">
        <f t="shared" si="843"/>
        <v>5.0043625990168366</v>
      </c>
      <c r="DY304" s="150">
        <f t="shared" si="844"/>
        <v>0.35025380710659892</v>
      </c>
      <c r="EA304" s="5">
        <f t="shared" si="871"/>
        <v>0.69821897291429758</v>
      </c>
      <c r="EB304" s="5">
        <f t="shared" si="872"/>
        <v>9.8914354496192143</v>
      </c>
      <c r="EC304" s="5">
        <f t="shared" si="873"/>
        <v>38.992325250672849</v>
      </c>
      <c r="ED304" s="5"/>
      <c r="EE304" s="150">
        <f t="shared" si="874"/>
        <v>9.8321256336507119</v>
      </c>
      <c r="EF304" s="150">
        <f t="shared" si="875"/>
        <v>0.62542522930574229</v>
      </c>
      <c r="EG304" s="150">
        <f t="shared" si="876"/>
        <v>0.59495874295169426</v>
      </c>
      <c r="EH304" s="150"/>
      <c r="EI304" s="456">
        <f t="shared" si="877"/>
        <v>0.32868036121803079</v>
      </c>
      <c r="EJ304" s="456">
        <f t="shared" si="878"/>
        <v>2.7968000000000002</v>
      </c>
      <c r="EK304" s="456">
        <f t="shared" si="879"/>
        <v>2.9732433497488907E-2</v>
      </c>
      <c r="EL304" s="456">
        <f t="shared" si="880"/>
        <v>5.3930944183185878E-2</v>
      </c>
      <c r="EM304">
        <f t="shared" si="881"/>
        <v>7.1999999999999998E-3</v>
      </c>
      <c r="EN304" s="144">
        <f t="shared" si="882"/>
        <v>36.932433497488908</v>
      </c>
      <c r="EP304" s="144">
        <f t="shared" si="883"/>
        <v>3216.3437388987059</v>
      </c>
      <c r="EQ304" s="150">
        <f t="shared" si="884"/>
        <v>1.1000000000000001</v>
      </c>
      <c r="ER304" s="150">
        <f t="shared" si="845"/>
        <v>0.31240000000000001</v>
      </c>
      <c r="ES304" s="456"/>
      <c r="EU304" s="144">
        <f t="shared" si="885"/>
        <v>1412.4</v>
      </c>
      <c r="EV304" s="456">
        <f t="shared" si="886"/>
        <v>0.14500604171383713</v>
      </c>
      <c r="EW304" s="456">
        <f t="shared" si="887"/>
        <v>7.8231343490428068E-2</v>
      </c>
      <c r="EX304" s="456">
        <f t="shared" si="888"/>
        <v>1.0619277174439806E-2</v>
      </c>
      <c r="EY304" s="456">
        <f t="shared" si="889"/>
        <v>42.657851179101598</v>
      </c>
      <c r="EZ304" s="456"/>
      <c r="FA304" s="538">
        <f t="shared" si="890"/>
        <v>0.10750488588344799</v>
      </c>
      <c r="FB304" s="144">
        <f t="shared" si="891"/>
        <v>42999.212727363752</v>
      </c>
      <c r="FC304" s="150">
        <f t="shared" si="892"/>
        <v>47.627956466262461</v>
      </c>
      <c r="FD304" s="5">
        <f t="shared" si="893"/>
        <v>80.08</v>
      </c>
      <c r="FE304" s="150">
        <f t="shared" si="894"/>
        <v>0.62705568404545975</v>
      </c>
      <c r="FF304" s="5">
        <f t="shared" si="895"/>
        <v>62.705568404545971</v>
      </c>
      <c r="FG304">
        <f t="shared" si="896"/>
        <v>88</v>
      </c>
      <c r="FI304" s="59">
        <f t="shared" si="846"/>
        <v>-50</v>
      </c>
    </row>
    <row r="305" spans="5:169">
      <c r="E305" s="147">
        <v>89</v>
      </c>
      <c r="F305" s="188">
        <f t="shared" si="847"/>
        <v>0.44500000000000001</v>
      </c>
      <c r="G305" s="188">
        <f t="shared" si="775"/>
        <v>0.44500000000000001</v>
      </c>
      <c r="H305" s="188">
        <f t="shared" si="776"/>
        <v>75.650000000000006</v>
      </c>
      <c r="I305" s="188">
        <f t="shared" si="777"/>
        <v>5.34</v>
      </c>
      <c r="J305" s="465">
        <f t="shared" si="778"/>
        <v>15.913079633468215</v>
      </c>
      <c r="K305" s="379">
        <f t="shared" si="779"/>
        <v>8.6757207543951971</v>
      </c>
      <c r="L305" s="149">
        <f t="shared" si="780"/>
        <v>24.588800387863412</v>
      </c>
      <c r="M305" s="379"/>
      <c r="N305" s="188">
        <f t="shared" si="781"/>
        <v>0.35283220887332822</v>
      </c>
      <c r="O305" s="149">
        <f t="shared" si="782"/>
        <v>174.81501763720507</v>
      </c>
      <c r="P305" s="149">
        <f t="shared" si="783"/>
        <v>12.339883597920359</v>
      </c>
      <c r="Q305" s="188">
        <f t="shared" si="784"/>
        <v>1.0283236331600298</v>
      </c>
      <c r="R305" s="188">
        <f t="shared" si="785"/>
        <v>14.567918136433756</v>
      </c>
      <c r="S305" s="188">
        <f t="shared" si="786"/>
        <v>170</v>
      </c>
      <c r="T305" s="188">
        <f t="shared" si="787"/>
        <v>28.849542799576877</v>
      </c>
      <c r="U305" s="188">
        <f t="shared" si="788"/>
        <v>2.7194179377039789</v>
      </c>
      <c r="V305" s="188">
        <f t="shared" si="789"/>
        <v>4.9879791459910878</v>
      </c>
      <c r="W305" s="172">
        <f t="shared" si="790"/>
        <v>280.73235185268805</v>
      </c>
      <c r="X305" s="379">
        <f t="shared" si="848"/>
        <v>126.46386534223566</v>
      </c>
      <c r="Z305" s="188">
        <f t="shared" si="791"/>
        <v>13.333333333333334</v>
      </c>
      <c r="AA305" s="150">
        <f t="shared" si="792"/>
        <v>2.3052839719245029</v>
      </c>
      <c r="AB305" s="150">
        <f t="shared" si="793"/>
        <v>0.20149912910537404</v>
      </c>
      <c r="AC305" s="150"/>
      <c r="AD305" s="150">
        <f t="shared" si="794"/>
        <v>2.3052839719245029</v>
      </c>
      <c r="AE305" s="314">
        <f t="shared" si="795"/>
        <v>619.98231520452953</v>
      </c>
      <c r="AF305" s="456">
        <f t="shared" si="796"/>
        <v>0.20149912910537404</v>
      </c>
      <c r="AH305" s="150">
        <f t="shared" si="797"/>
        <v>17.565116946190063</v>
      </c>
      <c r="AI305" s="150">
        <f t="shared" si="798"/>
        <v>28.849542799576877</v>
      </c>
      <c r="AJ305" s="150">
        <f t="shared" si="799"/>
        <v>12.693488493513735</v>
      </c>
      <c r="AL305" s="314">
        <f t="shared" si="800"/>
        <v>445</v>
      </c>
      <c r="AM305" s="144">
        <f t="shared" si="801"/>
        <v>126.46386534223566</v>
      </c>
      <c r="AO305">
        <f t="shared" si="802"/>
        <v>445</v>
      </c>
      <c r="AP305">
        <f t="shared" si="803"/>
        <v>126.46386534223566</v>
      </c>
      <c r="AR305" s="5">
        <f t="shared" si="774"/>
        <v>7.9073970836950682</v>
      </c>
      <c r="AS305" s="5">
        <f t="shared" si="739"/>
        <v>2.7194179377039789</v>
      </c>
      <c r="AT305" s="5">
        <f t="shared" si="740"/>
        <v>5.1879791459910898</v>
      </c>
      <c r="AU305" s="150">
        <f t="shared" si="741"/>
        <v>0.34390810388305615</v>
      </c>
      <c r="BA305" s="150">
        <f t="shared" si="849"/>
        <v>9.7678619361420242</v>
      </c>
      <c r="BB305" s="150">
        <f t="shared" si="850"/>
        <v>0.63009811744921151</v>
      </c>
      <c r="BC305" s="150">
        <f t="shared" si="851"/>
        <v>0.59940399959552748</v>
      </c>
      <c r="BD305" s="150"/>
      <c r="BE305" s="456">
        <f t="shared" si="852"/>
        <v>0.32439783113200948</v>
      </c>
      <c r="BF305" s="456">
        <f t="shared" si="804"/>
        <v>2.1485637584700563</v>
      </c>
      <c r="BG305" s="456">
        <f t="shared" si="805"/>
        <v>9.2169273845581629E-2</v>
      </c>
      <c r="BH305" s="456">
        <f t="shared" si="853"/>
        <v>5.2375924998911118E-2</v>
      </c>
      <c r="BI305">
        <f t="shared" si="854"/>
        <v>7.1608858350606965E-3</v>
      </c>
      <c r="BJ305" s="144">
        <f t="shared" si="855"/>
        <v>99.330159680642325</v>
      </c>
      <c r="BK305">
        <f t="shared" si="806"/>
        <v>2.8311405347537373</v>
      </c>
      <c r="BL305" s="144">
        <f t="shared" si="856"/>
        <v>2624.6676742816189</v>
      </c>
      <c r="BM305" s="150">
        <f t="shared" si="807"/>
        <v>0.98734374999999996</v>
      </c>
      <c r="BN305" s="150">
        <f t="shared" si="808"/>
        <v>0.31595000000000001</v>
      </c>
      <c r="BQ305" s="144">
        <f t="shared" si="857"/>
        <v>1303.2937499999998</v>
      </c>
      <c r="BR305" s="456">
        <f t="shared" si="858"/>
        <v>0.14311669020529832</v>
      </c>
      <c r="BS305" s="456">
        <f t="shared" si="859"/>
        <v>7.9404727522608076E-2</v>
      </c>
      <c r="BT305" s="456">
        <f t="shared" si="860"/>
        <v>1.0778554641933454E-2</v>
      </c>
      <c r="BU305" s="456">
        <f t="shared" si="861"/>
        <v>40.200686658353163</v>
      </c>
      <c r="BV305" s="456"/>
      <c r="BW305" s="538">
        <f t="shared" si="862"/>
        <v>0.10525538441224863</v>
      </c>
      <c r="BX305" s="144">
        <f t="shared" si="863"/>
        <v>40539.242015135249</v>
      </c>
      <c r="BY305" s="150">
        <f t="shared" si="864"/>
        <v>44.46720343941687</v>
      </c>
      <c r="BZ305" s="5">
        <f t="shared" si="865"/>
        <v>80.990000000000009</v>
      </c>
      <c r="CA305" s="150">
        <f t="shared" si="866"/>
        <v>0.64555878642002396</v>
      </c>
      <c r="CB305" s="5">
        <f t="shared" si="867"/>
        <v>64.555878642002398</v>
      </c>
      <c r="CC305">
        <f t="shared" si="868"/>
        <v>89</v>
      </c>
      <c r="CE305" s="59">
        <f t="shared" si="809"/>
        <v>-50</v>
      </c>
      <c r="CG305" s="150">
        <f t="shared" si="810"/>
        <v>0.63502377808469523</v>
      </c>
      <c r="CH305" s="150">
        <f t="shared" si="811"/>
        <v>0.17735551404972849</v>
      </c>
      <c r="CI305" s="147">
        <v>89</v>
      </c>
      <c r="CJ305" s="188">
        <f t="shared" si="869"/>
        <v>0.44500000000000001</v>
      </c>
      <c r="CK305" s="188">
        <f t="shared" si="812"/>
        <v>0.44500000000000001</v>
      </c>
      <c r="CL305" s="188">
        <f t="shared" si="813"/>
        <v>75.650000000000006</v>
      </c>
      <c r="CM305" s="188">
        <f t="shared" si="814"/>
        <v>5.34</v>
      </c>
      <c r="CN305" s="465">
        <f t="shared" si="815"/>
        <v>16</v>
      </c>
      <c r="CO305" s="379">
        <f t="shared" si="816"/>
        <v>8.625</v>
      </c>
      <c r="CP305" s="379">
        <f t="shared" si="817"/>
        <v>24.625</v>
      </c>
      <c r="CQ305" s="379"/>
      <c r="CR305" s="188">
        <f t="shared" si="818"/>
        <v>0.34787038923986141</v>
      </c>
      <c r="CS305" s="149">
        <f t="shared" si="819"/>
        <v>173.29806936491266</v>
      </c>
      <c r="CT305" s="149">
        <f t="shared" si="820"/>
        <v>12.232804896346776</v>
      </c>
      <c r="CU305" s="188">
        <f t="shared" si="821"/>
        <v>1.0194004080288981</v>
      </c>
      <c r="CV305" s="188">
        <f t="shared" si="822"/>
        <v>14.441505780409388</v>
      </c>
      <c r="CW305" s="188">
        <f t="shared" si="823"/>
        <v>170</v>
      </c>
      <c r="CX305" s="188">
        <f t="shared" si="824"/>
        <v>29.102074545987115</v>
      </c>
      <c r="CY305" s="188">
        <f t="shared" si="825"/>
        <v>2.7283194886862923</v>
      </c>
      <c r="CZ305" s="188">
        <f t="shared" si="826"/>
        <v>5.0612303558238461</v>
      </c>
      <c r="DA305" s="172">
        <f t="shared" si="827"/>
        <v>280.20304568527916</v>
      </c>
      <c r="DB305" s="379">
        <f t="shared" si="828"/>
        <v>128.37712319214089</v>
      </c>
      <c r="DD305" s="188">
        <f t="shared" si="829"/>
        <v>13.333333333333332</v>
      </c>
      <c r="DE305" s="150">
        <f t="shared" si="830"/>
        <v>2.318840579710145</v>
      </c>
      <c r="DF305" s="150">
        <f t="shared" si="831"/>
        <v>0.20230192819025303</v>
      </c>
      <c r="DG305" s="150"/>
      <c r="DH305" s="150">
        <f t="shared" si="832"/>
        <v>2.3188405797101455</v>
      </c>
      <c r="DI305" s="314">
        <f t="shared" si="833"/>
        <v>616.357720588235</v>
      </c>
      <c r="DJ305" s="456">
        <f t="shared" si="834"/>
        <v>0.20230192819025311</v>
      </c>
      <c r="DL305" s="150">
        <f t="shared" si="835"/>
        <v>17.565116946190063</v>
      </c>
      <c r="DM305" s="150">
        <f t="shared" si="836"/>
        <v>29.102074545987115</v>
      </c>
      <c r="DN305" s="150">
        <f t="shared" si="837"/>
        <v>12.880549046410207</v>
      </c>
      <c r="DP305" s="314">
        <f t="shared" si="838"/>
        <v>445</v>
      </c>
      <c r="DQ305" s="144">
        <f t="shared" si="839"/>
        <v>128.37712319214089</v>
      </c>
      <c r="DS305">
        <f t="shared" si="840"/>
        <v>445</v>
      </c>
      <c r="DT305">
        <f t="shared" si="841"/>
        <v>128.37712319214089</v>
      </c>
      <c r="DV305" s="5">
        <f t="shared" si="870"/>
        <v>7.7895498445101383</v>
      </c>
      <c r="DW305" s="5">
        <f t="shared" si="842"/>
        <v>2.7283194886862923</v>
      </c>
      <c r="DX305" s="5">
        <f t="shared" si="843"/>
        <v>5.0612303558238461</v>
      </c>
      <c r="DY305" s="150">
        <f t="shared" si="844"/>
        <v>0.35025380710659898</v>
      </c>
      <c r="EA305" s="5">
        <f t="shared" si="871"/>
        <v>0.71417774850905891</v>
      </c>
      <c r="EB305" s="5">
        <f t="shared" si="872"/>
        <v>10.117518103878334</v>
      </c>
      <c r="EC305" s="5">
        <f t="shared" si="873"/>
        <v>39.883549626882704</v>
      </c>
      <c r="ED305" s="5"/>
      <c r="EE305" s="150">
        <f t="shared" si="874"/>
        <v>9.9438543340331087</v>
      </c>
      <c r="EF305" s="150">
        <f t="shared" si="875"/>
        <v>0.63253233418421662</v>
      </c>
      <c r="EG305" s="150">
        <f t="shared" si="876"/>
        <v>0.60171963775796344</v>
      </c>
      <c r="EH305" s="150"/>
      <c r="EI305" s="456">
        <f t="shared" si="877"/>
        <v>0.33619281265599471</v>
      </c>
      <c r="EJ305" s="456">
        <f t="shared" si="878"/>
        <v>2.7967999999999997</v>
      </c>
      <c r="EK305" s="456">
        <f t="shared" si="879"/>
        <v>2.9398361211000264E-2</v>
      </c>
      <c r="EL305" s="456">
        <f t="shared" si="880"/>
        <v>5.3324978518206251E-2</v>
      </c>
      <c r="EM305">
        <f t="shared" si="881"/>
        <v>7.1999999999999998E-3</v>
      </c>
      <c r="EN305" s="144">
        <f t="shared" si="882"/>
        <v>36.59836121100026</v>
      </c>
      <c r="EP305" s="144">
        <f t="shared" si="883"/>
        <v>3222.9161523852008</v>
      </c>
      <c r="EQ305" s="150">
        <f t="shared" si="884"/>
        <v>1.1125</v>
      </c>
      <c r="ER305" s="150">
        <f t="shared" si="845"/>
        <v>0.31595000000000001</v>
      </c>
      <c r="ES305" s="456"/>
      <c r="EU305" s="144">
        <f t="shared" si="885"/>
        <v>1428.45</v>
      </c>
      <c r="EV305" s="456">
        <f t="shared" si="886"/>
        <v>0.14832035852470354</v>
      </c>
      <c r="EW305" s="456">
        <f t="shared" si="887"/>
        <v>8.0019430757706705E-2</v>
      </c>
      <c r="EX305" s="456">
        <f t="shared" si="888"/>
        <v>1.0861995673907242E-2</v>
      </c>
      <c r="EY305" s="456">
        <f t="shared" si="889"/>
        <v>42.65785117910152</v>
      </c>
      <c r="EZ305" s="456"/>
      <c r="FA305" s="538">
        <f t="shared" si="890"/>
        <v>0.10872653231394171</v>
      </c>
      <c r="FB305" s="144">
        <f t="shared" si="891"/>
        <v>43005.779496371782</v>
      </c>
      <c r="FC305" s="150">
        <f t="shared" si="892"/>
        <v>47.65714564875698</v>
      </c>
      <c r="FD305" s="5">
        <f t="shared" si="893"/>
        <v>80.990000000000009</v>
      </c>
      <c r="FE305" s="150">
        <f t="shared" si="894"/>
        <v>0.62955147268580347</v>
      </c>
      <c r="FF305" s="5">
        <f t="shared" si="895"/>
        <v>62.955147268580347</v>
      </c>
      <c r="FG305">
        <f t="shared" si="896"/>
        <v>89</v>
      </c>
      <c r="FI305" s="59">
        <f t="shared" si="846"/>
        <v>-50</v>
      </c>
    </row>
    <row r="306" spans="5:169">
      <c r="E306" s="147">
        <v>90</v>
      </c>
      <c r="F306" s="188">
        <f t="shared" si="847"/>
        <v>0.45</v>
      </c>
      <c r="G306" s="188">
        <f t="shared" si="775"/>
        <v>0.45</v>
      </c>
      <c r="H306" s="188">
        <f t="shared" si="776"/>
        <v>76.5</v>
      </c>
      <c r="I306" s="188">
        <f t="shared" si="777"/>
        <v>5.4</v>
      </c>
      <c r="J306" s="465">
        <f t="shared" si="778"/>
        <v>15.912103000136396</v>
      </c>
      <c r="K306" s="379">
        <f t="shared" si="779"/>
        <v>8.6762906505119979</v>
      </c>
      <c r="L306" s="149">
        <f t="shared" si="780"/>
        <v>24.588393650648392</v>
      </c>
      <c r="M306" s="379"/>
      <c r="N306" s="188">
        <f t="shared" si="781"/>
        <v>0.35286122281042975</v>
      </c>
      <c r="O306" s="149">
        <f t="shared" si="782"/>
        <v>174.81866314273231</v>
      </c>
      <c r="P306" s="149">
        <f t="shared" si="783"/>
        <v>12.340140927722281</v>
      </c>
      <c r="Q306" s="188">
        <f t="shared" si="784"/>
        <v>1.0283450773101901</v>
      </c>
      <c r="R306" s="188">
        <f t="shared" si="785"/>
        <v>14.568221928561025</v>
      </c>
      <c r="S306" s="188">
        <f t="shared" si="786"/>
        <v>170</v>
      </c>
      <c r="T306" s="188">
        <f t="shared" si="787"/>
        <v>29.173086604809804</v>
      </c>
      <c r="U306" s="188">
        <f t="shared" si="788"/>
        <v>2.7500846309780429</v>
      </c>
      <c r="V306" s="188">
        <f t="shared" si="789"/>
        <v>5.0435873658327024</v>
      </c>
      <c r="W306" s="172">
        <f t="shared" si="790"/>
        <v>280.73820610568174</v>
      </c>
      <c r="X306" s="379">
        <f t="shared" si="848"/>
        <v>125.0989533219492</v>
      </c>
      <c r="Z306" s="188">
        <f t="shared" si="791"/>
        <v>13.333333333333336</v>
      </c>
      <c r="AA306" s="150">
        <f t="shared" si="792"/>
        <v>2.3051325509501899</v>
      </c>
      <c r="AB306" s="150">
        <f t="shared" si="793"/>
        <v>0.20149009546195421</v>
      </c>
      <c r="AC306" s="150"/>
      <c r="AD306" s="150">
        <f t="shared" si="794"/>
        <v>2.3051325509501894</v>
      </c>
      <c r="AE306" s="314">
        <f t="shared" si="795"/>
        <v>626.9895920090579</v>
      </c>
      <c r="AF306" s="456">
        <f t="shared" si="796"/>
        <v>0.20149009546195415</v>
      </c>
      <c r="AH306" s="150">
        <f t="shared" si="797"/>
        <v>17.663521732655695</v>
      </c>
      <c r="AI306" s="150">
        <f t="shared" si="798"/>
        <v>29.173086604809804</v>
      </c>
      <c r="AJ306" s="150">
        <f t="shared" si="799"/>
        <v>12.933150571464051</v>
      </c>
      <c r="AL306" s="314">
        <f t="shared" si="800"/>
        <v>450</v>
      </c>
      <c r="AM306" s="144">
        <f t="shared" si="801"/>
        <v>125.0989533219492</v>
      </c>
      <c r="AO306">
        <f t="shared" si="802"/>
        <v>450</v>
      </c>
      <c r="AP306">
        <f t="shared" si="803"/>
        <v>125.0989533219492</v>
      </c>
      <c r="AR306" s="5">
        <f t="shared" si="774"/>
        <v>7.9936719968107459</v>
      </c>
      <c r="AS306" s="5">
        <f t="shared" si="739"/>
        <v>2.7500846309780429</v>
      </c>
      <c r="AT306" s="5">
        <f t="shared" si="740"/>
        <v>5.2435873658327026</v>
      </c>
      <c r="AU306" s="150">
        <f t="shared" si="741"/>
        <v>0.34403270888213211</v>
      </c>
      <c r="BA306" s="150">
        <f t="shared" si="849"/>
        <v>9.8791964474312799</v>
      </c>
      <c r="BB306" s="150">
        <f t="shared" si="850"/>
        <v>0.63710407642945788</v>
      </c>
      <c r="BC306" s="150">
        <f t="shared" si="851"/>
        <v>0.6060686756475081</v>
      </c>
      <c r="BD306" s="150"/>
      <c r="BE306" s="456">
        <f t="shared" si="852"/>
        <v>0.33183497631959197</v>
      </c>
      <c r="BF306" s="456">
        <f t="shared" si="804"/>
        <v>2.1491747645670967</v>
      </c>
      <c r="BG306" s="456">
        <f t="shared" si="805"/>
        <v>9.1168904315439475E-2</v>
      </c>
      <c r="BH306" s="456">
        <f t="shared" si="853"/>
        <v>5.1808922764646263E-2</v>
      </c>
      <c r="BI306">
        <f t="shared" si="854"/>
        <v>7.1604463500613783E-3</v>
      </c>
      <c r="BJ306" s="144">
        <f t="shared" si="855"/>
        <v>98.329350665500854</v>
      </c>
      <c r="BK306">
        <f t="shared" si="806"/>
        <v>2.84687292907206</v>
      </c>
      <c r="BL306" s="144">
        <f t="shared" si="856"/>
        <v>2631.1480143168355</v>
      </c>
      <c r="BM306" s="150">
        <f t="shared" si="807"/>
        <v>0.99843749999999998</v>
      </c>
      <c r="BN306" s="150">
        <f t="shared" si="808"/>
        <v>0.31950000000000001</v>
      </c>
      <c r="BQ306" s="144">
        <f t="shared" si="857"/>
        <v>1317.9375</v>
      </c>
      <c r="BR306" s="456">
        <f t="shared" si="858"/>
        <v>0.14639778367040823</v>
      </c>
      <c r="BS306" s="456">
        <f t="shared" si="859"/>
        <v>8.1180320840606501E-2</v>
      </c>
      <c r="BT306" s="456">
        <f t="shared" si="860"/>
        <v>1.1019577188033732E-2</v>
      </c>
      <c r="BU306" s="456">
        <f t="shared" si="861"/>
        <v>40.230937003224952</v>
      </c>
      <c r="BV306" s="456"/>
      <c r="BW306" s="538">
        <f t="shared" si="862"/>
        <v>0.1064678388594486</v>
      </c>
      <c r="BX306" s="144">
        <f t="shared" si="863"/>
        <v>40576.002523783449</v>
      </c>
      <c r="BY306" s="150">
        <f t="shared" si="864"/>
        <v>44.525088038100286</v>
      </c>
      <c r="BZ306" s="5">
        <f t="shared" si="865"/>
        <v>81.900000000000006</v>
      </c>
      <c r="CA306" s="150">
        <f t="shared" si="866"/>
        <v>0.64781445890959621</v>
      </c>
      <c r="CB306" s="5">
        <f t="shared" si="867"/>
        <v>64.781445890959617</v>
      </c>
      <c r="CC306">
        <f t="shared" si="868"/>
        <v>90</v>
      </c>
      <c r="CE306" s="59">
        <f t="shared" si="809"/>
        <v>-50</v>
      </c>
      <c r="CG306" s="150">
        <f t="shared" si="810"/>
        <v>0.63502377808469512</v>
      </c>
      <c r="CH306" s="150">
        <f t="shared" si="811"/>
        <v>0.17735551404972849</v>
      </c>
      <c r="CI306" s="147">
        <v>90</v>
      </c>
      <c r="CJ306" s="188">
        <f t="shared" si="869"/>
        <v>0.45</v>
      </c>
      <c r="CK306" s="188">
        <f t="shared" si="812"/>
        <v>0.45</v>
      </c>
      <c r="CL306" s="188">
        <f t="shared" si="813"/>
        <v>76.5</v>
      </c>
      <c r="CM306" s="188">
        <f t="shared" si="814"/>
        <v>5.4</v>
      </c>
      <c r="CN306" s="465">
        <f t="shared" si="815"/>
        <v>16</v>
      </c>
      <c r="CO306" s="379">
        <f t="shared" si="816"/>
        <v>8.625</v>
      </c>
      <c r="CP306" s="379">
        <f t="shared" si="817"/>
        <v>24.625</v>
      </c>
      <c r="CQ306" s="379"/>
      <c r="CR306" s="188">
        <f t="shared" si="818"/>
        <v>0.34787038923986141</v>
      </c>
      <c r="CS306" s="149">
        <f t="shared" si="819"/>
        <v>173.29806936491266</v>
      </c>
      <c r="CT306" s="149">
        <f t="shared" si="820"/>
        <v>12.232804896346776</v>
      </c>
      <c r="CU306" s="188">
        <f t="shared" si="821"/>
        <v>1.0194004080288981</v>
      </c>
      <c r="CV306" s="188">
        <f t="shared" si="822"/>
        <v>14.441505780409388</v>
      </c>
      <c r="CW306" s="188">
        <f t="shared" si="823"/>
        <v>170</v>
      </c>
      <c r="CX306" s="188">
        <f t="shared" si="824"/>
        <v>29.429064147627418</v>
      </c>
      <c r="CY306" s="188">
        <f t="shared" si="825"/>
        <v>2.7589747638400706</v>
      </c>
      <c r="CZ306" s="188">
        <f t="shared" si="826"/>
        <v>5.1180981126308556</v>
      </c>
      <c r="DA306" s="172">
        <f t="shared" si="827"/>
        <v>280.20304568527916</v>
      </c>
      <c r="DB306" s="379">
        <f t="shared" si="828"/>
        <v>126.95071071222822</v>
      </c>
      <c r="DD306" s="188">
        <f t="shared" si="829"/>
        <v>13.333333333333332</v>
      </c>
      <c r="DE306" s="150">
        <f t="shared" si="830"/>
        <v>2.318840579710145</v>
      </c>
      <c r="DF306" s="150">
        <f t="shared" si="831"/>
        <v>0.20230192819025303</v>
      </c>
      <c r="DG306" s="150"/>
      <c r="DH306" s="150">
        <f t="shared" si="832"/>
        <v>2.3188405797101455</v>
      </c>
      <c r="DI306" s="314">
        <f t="shared" si="833"/>
        <v>623.28308823529392</v>
      </c>
      <c r="DJ306" s="456">
        <f t="shared" si="834"/>
        <v>0.20230192819025311</v>
      </c>
      <c r="DL306" s="150">
        <f t="shared" si="835"/>
        <v>17.663521732655695</v>
      </c>
      <c r="DM306" s="150">
        <f t="shared" si="836"/>
        <v>29.429064147627418</v>
      </c>
      <c r="DN306" s="150">
        <f t="shared" si="837"/>
        <v>13.122763566143766</v>
      </c>
      <c r="DP306" s="314">
        <f t="shared" si="838"/>
        <v>450</v>
      </c>
      <c r="DQ306" s="144">
        <f t="shared" si="839"/>
        <v>126.95071071222822</v>
      </c>
      <c r="DS306">
        <f t="shared" si="840"/>
        <v>450</v>
      </c>
      <c r="DT306">
        <f t="shared" si="841"/>
        <v>126.95071071222822</v>
      </c>
      <c r="DV306" s="5">
        <f t="shared" si="870"/>
        <v>7.8770728764709261</v>
      </c>
      <c r="DW306" s="5">
        <f t="shared" si="842"/>
        <v>2.7589747638400706</v>
      </c>
      <c r="DX306" s="5">
        <f t="shared" si="843"/>
        <v>5.1180981126308556</v>
      </c>
      <c r="DY306" s="150">
        <f t="shared" si="844"/>
        <v>0.35025380710659898</v>
      </c>
      <c r="EA306" s="5">
        <f t="shared" si="871"/>
        <v>0.73031684925178342</v>
      </c>
      <c r="EB306" s="5">
        <f t="shared" si="872"/>
        <v>10.346155364400264</v>
      </c>
      <c r="EC306" s="5">
        <f t="shared" si="873"/>
        <v>40.784844335027124</v>
      </c>
      <c r="ED306" s="5"/>
      <c r="EE306" s="150">
        <f t="shared" si="874"/>
        <v>10.055583034415502</v>
      </c>
      <c r="EF306" s="150">
        <f t="shared" si="875"/>
        <v>0.63963943906269105</v>
      </c>
      <c r="EG306" s="150">
        <f t="shared" si="876"/>
        <v>0.60848053256423262</v>
      </c>
      <c r="EH306" s="150"/>
      <c r="EI306" s="456">
        <f t="shared" si="877"/>
        <v>0.34379015055088458</v>
      </c>
      <c r="EJ306" s="456">
        <f t="shared" si="878"/>
        <v>2.7967999999999997</v>
      </c>
      <c r="EK306" s="456">
        <f t="shared" si="879"/>
        <v>2.9071712753100262E-2</v>
      </c>
      <c r="EL306" s="456">
        <f t="shared" si="880"/>
        <v>5.2732478756892853E-2</v>
      </c>
      <c r="EM306">
        <f t="shared" si="881"/>
        <v>7.1999999999999998E-3</v>
      </c>
      <c r="EN306" s="144">
        <f t="shared" si="882"/>
        <v>36.27171275310026</v>
      </c>
      <c r="EP306" s="144">
        <f t="shared" si="883"/>
        <v>3229.5943420608774</v>
      </c>
      <c r="EQ306" s="150">
        <f t="shared" si="884"/>
        <v>1.125</v>
      </c>
      <c r="ER306" s="150">
        <f t="shared" si="845"/>
        <v>0.31950000000000001</v>
      </c>
      <c r="ES306" s="456"/>
      <c r="EU306" s="144">
        <f t="shared" si="885"/>
        <v>1444.5000000000002</v>
      </c>
      <c r="EV306" s="456">
        <f t="shared" si="886"/>
        <v>0.1516721252430373</v>
      </c>
      <c r="EW306" s="456">
        <f t="shared" si="887"/>
        <v>8.1827722400886815E-2</v>
      </c>
      <c r="EX306" s="456">
        <f t="shared" si="888"/>
        <v>1.1107456755289565E-2</v>
      </c>
      <c r="EY306" s="456">
        <f t="shared" si="889"/>
        <v>42.657851179101591</v>
      </c>
      <c r="EZ306" s="456"/>
      <c r="FA306" s="538">
        <f t="shared" si="890"/>
        <v>0.10994817874443542</v>
      </c>
      <c r="FB306" s="144">
        <f t="shared" si="891"/>
        <v>43012.406662245245</v>
      </c>
      <c r="FC306" s="150">
        <f t="shared" si="892"/>
        <v>47.686501004306123</v>
      </c>
      <c r="FD306" s="5">
        <f t="shared" si="893"/>
        <v>81.900000000000006</v>
      </c>
      <c r="FE306" s="150">
        <f t="shared" si="894"/>
        <v>0.63201027395035925</v>
      </c>
      <c r="FF306" s="5">
        <f t="shared" si="895"/>
        <v>63.201027395035922</v>
      </c>
      <c r="FG306">
        <f t="shared" si="896"/>
        <v>90</v>
      </c>
      <c r="FI306" s="59">
        <f t="shared" si="846"/>
        <v>-50</v>
      </c>
    </row>
    <row r="307" spans="5:169">
      <c r="E307" s="147">
        <v>91</v>
      </c>
      <c r="F307" s="188">
        <f t="shared" si="847"/>
        <v>0.45500000000000002</v>
      </c>
      <c r="G307" s="188">
        <f t="shared" si="775"/>
        <v>0.45500000000000002</v>
      </c>
      <c r="H307" s="188">
        <f t="shared" si="776"/>
        <v>77.350000000000009</v>
      </c>
      <c r="I307" s="188">
        <f t="shared" si="777"/>
        <v>5.46</v>
      </c>
      <c r="J307" s="465">
        <f t="shared" si="778"/>
        <v>15.911126366804579</v>
      </c>
      <c r="K307" s="379">
        <f t="shared" si="779"/>
        <v>8.6768605466287969</v>
      </c>
      <c r="L307" s="149">
        <f t="shared" si="780"/>
        <v>24.587986913433376</v>
      </c>
      <c r="M307" s="379"/>
      <c r="N307" s="188">
        <f t="shared" si="781"/>
        <v>0.35289023770743466</v>
      </c>
      <c r="O307" s="149">
        <f t="shared" si="782"/>
        <v>174.82230735928553</v>
      </c>
      <c r="P307" s="149">
        <f t="shared" si="783"/>
        <v>12.340398166537803</v>
      </c>
      <c r="Q307" s="188">
        <f t="shared" si="784"/>
        <v>1.0283665138781501</v>
      </c>
      <c r="R307" s="188">
        <f t="shared" si="785"/>
        <v>14.568525613273794</v>
      </c>
      <c r="S307" s="188">
        <f t="shared" si="786"/>
        <v>170</v>
      </c>
      <c r="T307" s="188">
        <f t="shared" si="787"/>
        <v>29.496617134042051</v>
      </c>
      <c r="U307" s="188">
        <f t="shared" si="788"/>
        <v>2.7807538373506588</v>
      </c>
      <c r="V307" s="188">
        <f t="shared" si="789"/>
        <v>5.0991859859097852</v>
      </c>
      <c r="W307" s="172">
        <f t="shared" si="790"/>
        <v>280.74405828873495</v>
      </c>
      <c r="X307" s="379">
        <f t="shared" si="848"/>
        <v>123.76329797917685</v>
      </c>
      <c r="Z307" s="188">
        <f t="shared" si="791"/>
        <v>13.333333333333334</v>
      </c>
      <c r="AA307" s="150">
        <f t="shared" si="792"/>
        <v>2.3049811498665336</v>
      </c>
      <c r="AB307" s="150">
        <f t="shared" si="793"/>
        <v>0.20148106151966325</v>
      </c>
      <c r="AC307" s="150"/>
      <c r="AD307" s="150">
        <f t="shared" si="794"/>
        <v>2.3049811498665336</v>
      </c>
      <c r="AE307" s="314">
        <f t="shared" si="795"/>
        <v>633.99778399970342</v>
      </c>
      <c r="AF307" s="456">
        <f t="shared" si="796"/>
        <v>0.20148106151966325</v>
      </c>
      <c r="AH307" s="150">
        <f t="shared" si="797"/>
        <v>17.761381327663305</v>
      </c>
      <c r="AI307" s="150">
        <f t="shared" si="798"/>
        <v>29.496617134042051</v>
      </c>
      <c r="AJ307" s="150">
        <f t="shared" si="799"/>
        <v>13.172802815339791</v>
      </c>
      <c r="AL307" s="314">
        <f t="shared" si="800"/>
        <v>455</v>
      </c>
      <c r="AM307" s="144">
        <f t="shared" si="801"/>
        <v>123.76329797917685</v>
      </c>
      <c r="AO307">
        <f t="shared" si="802"/>
        <v>455</v>
      </c>
      <c r="AP307">
        <f t="shared" si="803"/>
        <v>123.76329797917685</v>
      </c>
      <c r="AR307" s="5">
        <f t="shared" si="774"/>
        <v>8.079939823260446</v>
      </c>
      <c r="AS307" s="5">
        <f t="shared" ref="AS307:AS316" si="897">L*AI307/J307*1000000</f>
        <v>2.7807538373506588</v>
      </c>
      <c r="AT307" s="5">
        <f t="shared" ref="AT307:AT316" si="898">AR307-AS307</f>
        <v>5.2991859859097872</v>
      </c>
      <c r="AU307" s="150">
        <f t="shared" ref="AU307:AU316" si="899">AS307/AR307</f>
        <v>0.34415526577876904</v>
      </c>
      <c r="BA307" s="150">
        <f t="shared" si="849"/>
        <v>9.9905360941505261</v>
      </c>
      <c r="BB307" s="150">
        <f t="shared" si="850"/>
        <v>0.64410940329564559</v>
      </c>
      <c r="BC307" s="150">
        <f t="shared" si="851"/>
        <v>0.6127327503777511</v>
      </c>
      <c r="BD307" s="150"/>
      <c r="BE307" s="456">
        <f t="shared" si="852"/>
        <v>0.33935675892498313</v>
      </c>
      <c r="BF307" s="456">
        <f t="shared" si="804"/>
        <v>2.149772860209719</v>
      </c>
      <c r="BG307" s="456">
        <f t="shared" si="805"/>
        <v>9.0189977096338109E-2</v>
      </c>
      <c r="BH307" s="456">
        <f t="shared" si="853"/>
        <v>5.1254074024115817E-2</v>
      </c>
      <c r="BI307">
        <f t="shared" si="854"/>
        <v>7.1600068650620602E-3</v>
      </c>
      <c r="BJ307" s="144">
        <f t="shared" si="855"/>
        <v>97.34998396140017</v>
      </c>
      <c r="BK307">
        <f t="shared" si="806"/>
        <v>2.86284450865036</v>
      </c>
      <c r="BL307" s="144">
        <f t="shared" si="856"/>
        <v>2637.7336771202185</v>
      </c>
      <c r="BM307" s="150">
        <f t="shared" si="807"/>
        <v>1.00953125</v>
      </c>
      <c r="BN307" s="150">
        <f t="shared" si="808"/>
        <v>0.32305</v>
      </c>
      <c r="BQ307" s="144">
        <f t="shared" si="857"/>
        <v>1332.58125</v>
      </c>
      <c r="BR307" s="456">
        <f t="shared" si="858"/>
        <v>0.14971621717278669</v>
      </c>
      <c r="BS307" s="456">
        <f t="shared" si="859"/>
        <v>8.2975384682774531E-2</v>
      </c>
      <c r="BT307" s="456">
        <f t="shared" si="860"/>
        <v>1.1263242701564502E-2</v>
      </c>
      <c r="BU307" s="456">
        <f t="shared" si="861"/>
        <v>40.260597538236716</v>
      </c>
      <c r="BV307" s="456"/>
      <c r="BW307" s="538">
        <f t="shared" si="862"/>
        <v>0.10768030967849182</v>
      </c>
      <c r="BX307" s="144">
        <f t="shared" si="863"/>
        <v>40612.232692472331</v>
      </c>
      <c r="BY307" s="150">
        <f t="shared" si="864"/>
        <v>44.582547619592553</v>
      </c>
      <c r="BZ307" s="5">
        <f t="shared" si="865"/>
        <v>82.81</v>
      </c>
      <c r="CA307" s="150">
        <f t="shared" si="866"/>
        <v>0.65003802457330007</v>
      </c>
      <c r="CB307" s="5">
        <f t="shared" si="867"/>
        <v>65.003802457330011</v>
      </c>
      <c r="CC307">
        <f t="shared" si="868"/>
        <v>91</v>
      </c>
      <c r="CE307" s="59">
        <f t="shared" si="809"/>
        <v>-50</v>
      </c>
      <c r="CG307" s="150">
        <f t="shared" si="810"/>
        <v>0.63502377808469535</v>
      </c>
      <c r="CH307" s="150">
        <f t="shared" si="811"/>
        <v>0.17735551404972849</v>
      </c>
      <c r="CI307" s="147">
        <v>91</v>
      </c>
      <c r="CJ307" s="188">
        <f t="shared" si="869"/>
        <v>0.45500000000000002</v>
      </c>
      <c r="CK307" s="188">
        <f t="shared" si="812"/>
        <v>0.45500000000000002</v>
      </c>
      <c r="CL307" s="188">
        <f t="shared" si="813"/>
        <v>77.350000000000009</v>
      </c>
      <c r="CM307" s="188">
        <f t="shared" si="814"/>
        <v>5.46</v>
      </c>
      <c r="CN307" s="465">
        <f t="shared" si="815"/>
        <v>16</v>
      </c>
      <c r="CO307" s="379">
        <f t="shared" si="816"/>
        <v>8.625</v>
      </c>
      <c r="CP307" s="379">
        <f t="shared" si="817"/>
        <v>24.625</v>
      </c>
      <c r="CQ307" s="379"/>
      <c r="CR307" s="188">
        <f t="shared" si="818"/>
        <v>0.34787038923986141</v>
      </c>
      <c r="CS307" s="149">
        <f t="shared" si="819"/>
        <v>173.29806936491266</v>
      </c>
      <c r="CT307" s="149">
        <f t="shared" si="820"/>
        <v>12.232804896346776</v>
      </c>
      <c r="CU307" s="188">
        <f t="shared" si="821"/>
        <v>1.0194004080288981</v>
      </c>
      <c r="CV307" s="188">
        <f t="shared" si="822"/>
        <v>14.441505780409388</v>
      </c>
      <c r="CW307" s="188">
        <f t="shared" si="823"/>
        <v>170</v>
      </c>
      <c r="CX307" s="188">
        <f t="shared" si="824"/>
        <v>29.756053749267721</v>
      </c>
      <c r="CY307" s="188">
        <f t="shared" si="825"/>
        <v>2.7896300389938489</v>
      </c>
      <c r="CZ307" s="188">
        <f t="shared" si="826"/>
        <v>5.1749658694378642</v>
      </c>
      <c r="DA307" s="172">
        <f t="shared" si="827"/>
        <v>280.20304568527916</v>
      </c>
      <c r="DB307" s="379">
        <f t="shared" si="828"/>
        <v>125.55564795714882</v>
      </c>
      <c r="DD307" s="188">
        <f t="shared" si="829"/>
        <v>13.333333333333332</v>
      </c>
      <c r="DE307" s="150">
        <f t="shared" si="830"/>
        <v>2.318840579710145</v>
      </c>
      <c r="DF307" s="150">
        <f t="shared" si="831"/>
        <v>0.20230192819025303</v>
      </c>
      <c r="DG307" s="150"/>
      <c r="DH307" s="150">
        <f t="shared" si="832"/>
        <v>2.3188405797101455</v>
      </c>
      <c r="DI307" s="314">
        <f t="shared" si="833"/>
        <v>630.20845588235272</v>
      </c>
      <c r="DJ307" s="456">
        <f t="shared" si="834"/>
        <v>0.20230192819025311</v>
      </c>
      <c r="DL307" s="150">
        <f t="shared" si="835"/>
        <v>17.761381327663305</v>
      </c>
      <c r="DM307" s="150">
        <f t="shared" si="836"/>
        <v>29.756053749267721</v>
      </c>
      <c r="DN307" s="150">
        <f t="shared" si="837"/>
        <v>13.364978085877322</v>
      </c>
      <c r="DP307" s="314">
        <f t="shared" si="838"/>
        <v>455</v>
      </c>
      <c r="DQ307" s="144">
        <f t="shared" si="839"/>
        <v>125.55564795714882</v>
      </c>
      <c r="DS307">
        <f t="shared" si="840"/>
        <v>455</v>
      </c>
      <c r="DT307">
        <f t="shared" si="841"/>
        <v>125.55564795714882</v>
      </c>
      <c r="DV307" s="5">
        <f t="shared" si="870"/>
        <v>7.9645959084317131</v>
      </c>
      <c r="DW307" s="5">
        <f t="shared" si="842"/>
        <v>2.7896300389938489</v>
      </c>
      <c r="DX307" s="5">
        <f t="shared" si="843"/>
        <v>5.1749658694378642</v>
      </c>
      <c r="DY307" s="150">
        <f t="shared" si="844"/>
        <v>0.35025380710659898</v>
      </c>
      <c r="EA307" s="5">
        <f t="shared" si="871"/>
        <v>0.74663627514247122</v>
      </c>
      <c r="EB307" s="5">
        <f t="shared" si="872"/>
        <v>10.57734723118501</v>
      </c>
      <c r="EC307" s="5">
        <f t="shared" si="873"/>
        <v>41.696209375106122</v>
      </c>
      <c r="ED307" s="5"/>
      <c r="EE307" s="150">
        <f t="shared" si="874"/>
        <v>10.167311734797895</v>
      </c>
      <c r="EF307" s="150">
        <f t="shared" si="875"/>
        <v>0.64674654394116515</v>
      </c>
      <c r="EG307" s="150">
        <f t="shared" si="876"/>
        <v>0.6152414273705018</v>
      </c>
      <c r="EH307" s="150"/>
      <c r="EI307" s="456">
        <f t="shared" si="877"/>
        <v>0.3514723749027005</v>
      </c>
      <c r="EJ307" s="456">
        <f t="shared" si="878"/>
        <v>2.7968000000000006</v>
      </c>
      <c r="EK307" s="456">
        <f t="shared" si="879"/>
        <v>2.8752243382187081E-2</v>
      </c>
      <c r="EL307" s="456">
        <f t="shared" si="880"/>
        <v>5.2153000968355574E-2</v>
      </c>
      <c r="EM307">
        <f t="shared" si="881"/>
        <v>7.1999999999999998E-3</v>
      </c>
      <c r="EN307" s="144">
        <f t="shared" si="882"/>
        <v>35.952243382187085</v>
      </c>
      <c r="EP307" s="144">
        <f t="shared" si="883"/>
        <v>3236.3776192532441</v>
      </c>
      <c r="EQ307" s="150">
        <f t="shared" si="884"/>
        <v>1.1375</v>
      </c>
      <c r="ER307" s="150">
        <f t="shared" si="845"/>
        <v>0.32305</v>
      </c>
      <c r="ES307" s="456"/>
      <c r="EU307" s="144">
        <f t="shared" si="885"/>
        <v>1460.55</v>
      </c>
      <c r="EV307" s="456">
        <f t="shared" si="886"/>
        <v>0.15506134186883846</v>
      </c>
      <c r="EW307" s="456">
        <f t="shared" si="887"/>
        <v>8.3656218419968301E-2</v>
      </c>
      <c r="EX307" s="456">
        <f t="shared" si="888"/>
        <v>1.1355660418586773E-2</v>
      </c>
      <c r="EY307" s="456">
        <f t="shared" si="889"/>
        <v>42.65785117910152</v>
      </c>
      <c r="EZ307" s="456"/>
      <c r="FA307" s="538">
        <f t="shared" si="890"/>
        <v>0.11116982517492918</v>
      </c>
      <c r="FB307" s="144">
        <f t="shared" si="891"/>
        <v>43019.094224983841</v>
      </c>
      <c r="FC307" s="150">
        <f t="shared" si="892"/>
        <v>47.716021844237083</v>
      </c>
      <c r="FD307" s="5">
        <f t="shared" si="893"/>
        <v>82.81</v>
      </c>
      <c r="FE307" s="150">
        <f t="shared" si="894"/>
        <v>0.63443288035562073</v>
      </c>
      <c r="FF307" s="5">
        <f t="shared" si="895"/>
        <v>63.443288035562077</v>
      </c>
      <c r="FG307">
        <f t="shared" si="896"/>
        <v>91</v>
      </c>
      <c r="FI307" s="59">
        <f t="shared" si="846"/>
        <v>-50</v>
      </c>
    </row>
    <row r="308" spans="5:169">
      <c r="E308" s="147">
        <v>92</v>
      </c>
      <c r="F308" s="188">
        <f t="shared" si="847"/>
        <v>0.46</v>
      </c>
      <c r="G308" s="188">
        <f t="shared" si="775"/>
        <v>0.46</v>
      </c>
      <c r="H308" s="188">
        <f t="shared" si="776"/>
        <v>78.2</v>
      </c>
      <c r="I308" s="188">
        <f t="shared" si="777"/>
        <v>5.5200000000000005</v>
      </c>
      <c r="J308" s="465">
        <f t="shared" si="778"/>
        <v>15.91014973347276</v>
      </c>
      <c r="K308" s="379">
        <f t="shared" si="779"/>
        <v>8.6774304427455977</v>
      </c>
      <c r="L308" s="149">
        <f t="shared" si="780"/>
        <v>24.58758017621836</v>
      </c>
      <c r="M308" s="379"/>
      <c r="N308" s="188">
        <f t="shared" si="781"/>
        <v>0.35291925356439086</v>
      </c>
      <c r="O308" s="149">
        <f t="shared" si="782"/>
        <v>174.82595028680086</v>
      </c>
      <c r="P308" s="149">
        <f t="shared" si="783"/>
        <v>12.340655314362415</v>
      </c>
      <c r="Q308" s="188">
        <f t="shared" si="784"/>
        <v>1.0283879428635345</v>
      </c>
      <c r="R308" s="188">
        <f t="shared" si="785"/>
        <v>14.568829190566738</v>
      </c>
      <c r="S308" s="188">
        <f t="shared" si="786"/>
        <v>170</v>
      </c>
      <c r="T308" s="188">
        <f t="shared" si="787"/>
        <v>29.820134395270795</v>
      </c>
      <c r="U308" s="188">
        <f t="shared" si="788"/>
        <v>2.8114255580385907</v>
      </c>
      <c r="V308" s="188">
        <f t="shared" si="789"/>
        <v>5.1547750094961584</v>
      </c>
      <c r="W308" s="172">
        <f t="shared" si="790"/>
        <v>280.74990840174496</v>
      </c>
      <c r="X308" s="379">
        <f t="shared" si="848"/>
        <v>122.45596856579348</v>
      </c>
      <c r="Z308" s="188">
        <f t="shared" si="791"/>
        <v>13.333333333333334</v>
      </c>
      <c r="AA308" s="150">
        <f t="shared" si="792"/>
        <v>2.304829768669614</v>
      </c>
      <c r="AB308" s="150">
        <f t="shared" si="793"/>
        <v>0.20147202727848637</v>
      </c>
      <c r="AC308" s="150"/>
      <c r="AD308" s="150">
        <f t="shared" si="794"/>
        <v>2.304829768669614</v>
      </c>
      <c r="AE308" s="314">
        <f t="shared" si="795"/>
        <v>641.00689117646584</v>
      </c>
      <c r="AF308" s="456">
        <f t="shared" si="796"/>
        <v>0.20147202727848637</v>
      </c>
      <c r="AH308" s="150">
        <f t="shared" si="797"/>
        <v>17.858704693603435</v>
      </c>
      <c r="AI308" s="150">
        <f t="shared" si="798"/>
        <v>29.820134395270795</v>
      </c>
      <c r="AJ308" s="150">
        <f t="shared" si="799"/>
        <v>13.412445231064787</v>
      </c>
      <c r="AL308" s="314">
        <f t="shared" si="800"/>
        <v>460</v>
      </c>
      <c r="AM308" s="144">
        <f t="shared" si="801"/>
        <v>122.45596856579348</v>
      </c>
      <c r="AO308">
        <f t="shared" si="802"/>
        <v>460</v>
      </c>
      <c r="AP308">
        <f t="shared" si="803"/>
        <v>122.45596856579348</v>
      </c>
      <c r="AR308" s="5">
        <f t="shared" si="774"/>
        <v>8.166200567534748</v>
      </c>
      <c r="AS308" s="5">
        <f t="shared" si="897"/>
        <v>2.8114255580385907</v>
      </c>
      <c r="AT308" s="5">
        <f t="shared" si="898"/>
        <v>5.3547750094961568</v>
      </c>
      <c r="AU308" s="150">
        <f t="shared" si="899"/>
        <v>0.34427583976024206</v>
      </c>
      <c r="BA308" s="150">
        <f t="shared" si="849"/>
        <v>10.101880860250077</v>
      </c>
      <c r="BB308" s="150">
        <f t="shared" si="850"/>
        <v>0.65111409912498719</v>
      </c>
      <c r="BC308" s="150">
        <f t="shared" si="851"/>
        <v>0.6193962248109941</v>
      </c>
      <c r="BD308" s="150"/>
      <c r="BE308" s="456">
        <f t="shared" si="852"/>
        <v>0.34696318950993521</v>
      </c>
      <c r="BF308" s="456">
        <f t="shared" si="804"/>
        <v>2.1503584555552462</v>
      </c>
      <c r="BG308" s="456">
        <f t="shared" si="805"/>
        <v>8.9231810040275708E-2</v>
      </c>
      <c r="BH308" s="456">
        <f t="shared" si="853"/>
        <v>5.0710992136035929E-2</v>
      </c>
      <c r="BI308">
        <f t="shared" si="854"/>
        <v>7.1595673800627421E-3</v>
      </c>
      <c r="BJ308" s="144">
        <f t="shared" si="855"/>
        <v>96.391377420338443</v>
      </c>
      <c r="BK308">
        <f t="shared" si="806"/>
        <v>2.8790577693547297</v>
      </c>
      <c r="BL308" s="144">
        <f t="shared" si="856"/>
        <v>2644.4240146215552</v>
      </c>
      <c r="BM308" s="150">
        <f t="shared" si="807"/>
        <v>1.0206250000000001</v>
      </c>
      <c r="BN308" s="150">
        <f t="shared" si="808"/>
        <v>0.3266</v>
      </c>
      <c r="BQ308" s="144">
        <f t="shared" si="857"/>
        <v>1347.2250000000001</v>
      </c>
      <c r="BR308" s="456">
        <f t="shared" si="858"/>
        <v>0.15307199537203026</v>
      </c>
      <c r="BS308" s="456">
        <f t="shared" si="859"/>
        <v>8.4789914015868731E-2</v>
      </c>
      <c r="BT308" s="456">
        <f t="shared" si="860"/>
        <v>1.1509550499303347E-2</v>
      </c>
      <c r="BU308" s="456">
        <f t="shared" si="861"/>
        <v>40.289686647042288</v>
      </c>
      <c r="BV308" s="456"/>
      <c r="BW308" s="538">
        <f t="shared" si="862"/>
        <v>0.10889279634977916</v>
      </c>
      <c r="BX308" s="144">
        <f t="shared" si="863"/>
        <v>40647.950903279263</v>
      </c>
      <c r="BY308" s="150">
        <f t="shared" si="864"/>
        <v>44.639599917900824</v>
      </c>
      <c r="BZ308" s="5">
        <f t="shared" si="865"/>
        <v>83.72</v>
      </c>
      <c r="CA308" s="150">
        <f t="shared" si="866"/>
        <v>0.65223014136494317</v>
      </c>
      <c r="CB308" s="5">
        <f t="shared" si="867"/>
        <v>65.223014136494314</v>
      </c>
      <c r="CC308">
        <f t="shared" si="868"/>
        <v>92</v>
      </c>
      <c r="CE308" s="59">
        <f t="shared" si="809"/>
        <v>-50</v>
      </c>
      <c r="CG308" s="150">
        <f t="shared" si="810"/>
        <v>0.63502377808469512</v>
      </c>
      <c r="CH308" s="150">
        <f t="shared" si="811"/>
        <v>0.17735551404972849</v>
      </c>
      <c r="CI308" s="147">
        <v>92</v>
      </c>
      <c r="CJ308" s="188">
        <f t="shared" si="869"/>
        <v>0.46</v>
      </c>
      <c r="CK308" s="188">
        <f t="shared" si="812"/>
        <v>0.46</v>
      </c>
      <c r="CL308" s="188">
        <f t="shared" si="813"/>
        <v>78.2</v>
      </c>
      <c r="CM308" s="188">
        <f t="shared" si="814"/>
        <v>5.5200000000000005</v>
      </c>
      <c r="CN308" s="465">
        <f t="shared" si="815"/>
        <v>16</v>
      </c>
      <c r="CO308" s="379">
        <f t="shared" si="816"/>
        <v>8.625</v>
      </c>
      <c r="CP308" s="379">
        <f t="shared" si="817"/>
        <v>24.625</v>
      </c>
      <c r="CQ308" s="379"/>
      <c r="CR308" s="188">
        <f t="shared" si="818"/>
        <v>0.34787038923986141</v>
      </c>
      <c r="CS308" s="149">
        <f t="shared" si="819"/>
        <v>173.29806936491266</v>
      </c>
      <c r="CT308" s="149">
        <f t="shared" si="820"/>
        <v>12.232804896346776</v>
      </c>
      <c r="CU308" s="188">
        <f t="shared" si="821"/>
        <v>1.0194004080288981</v>
      </c>
      <c r="CV308" s="188">
        <f t="shared" si="822"/>
        <v>14.441505780409388</v>
      </c>
      <c r="CW308" s="188">
        <f t="shared" si="823"/>
        <v>170</v>
      </c>
      <c r="CX308" s="188">
        <f t="shared" si="824"/>
        <v>30.083043350908028</v>
      </c>
      <c r="CY308" s="188">
        <f t="shared" si="825"/>
        <v>2.8202853141476281</v>
      </c>
      <c r="CZ308" s="188">
        <f t="shared" si="826"/>
        <v>5.2318336262448746</v>
      </c>
      <c r="DA308" s="172">
        <f t="shared" si="827"/>
        <v>280.20304568527916</v>
      </c>
      <c r="DB308" s="379">
        <f t="shared" si="828"/>
        <v>124.19091265326672</v>
      </c>
      <c r="DD308" s="188">
        <f t="shared" si="829"/>
        <v>13.333333333333332</v>
      </c>
      <c r="DE308" s="150">
        <f t="shared" si="830"/>
        <v>2.318840579710145</v>
      </c>
      <c r="DF308" s="150">
        <f t="shared" si="831"/>
        <v>0.20230192819025303</v>
      </c>
      <c r="DG308" s="150"/>
      <c r="DH308" s="150">
        <f t="shared" si="832"/>
        <v>2.3188405797101455</v>
      </c>
      <c r="DI308" s="314">
        <f t="shared" si="833"/>
        <v>637.13382352941153</v>
      </c>
      <c r="DJ308" s="456">
        <f t="shared" si="834"/>
        <v>0.20230192819025311</v>
      </c>
      <c r="DL308" s="150">
        <f t="shared" si="835"/>
        <v>17.858704693603435</v>
      </c>
      <c r="DM308" s="150">
        <f t="shared" si="836"/>
        <v>30.083043350908028</v>
      </c>
      <c r="DN308" s="150">
        <f t="shared" si="837"/>
        <v>13.607192605610882</v>
      </c>
      <c r="DP308" s="314">
        <f t="shared" si="838"/>
        <v>460</v>
      </c>
      <c r="DQ308" s="144">
        <f t="shared" si="839"/>
        <v>124.19091265326672</v>
      </c>
      <c r="DS308">
        <f t="shared" si="840"/>
        <v>460</v>
      </c>
      <c r="DT308">
        <f t="shared" si="841"/>
        <v>124.19091265326672</v>
      </c>
      <c r="DV308" s="5">
        <f t="shared" si="870"/>
        <v>8.0521189403925035</v>
      </c>
      <c r="DW308" s="5">
        <f t="shared" si="842"/>
        <v>2.8202853141476281</v>
      </c>
      <c r="DX308" s="5">
        <f t="shared" si="843"/>
        <v>5.2318336262448755</v>
      </c>
      <c r="DY308" s="150">
        <f t="shared" si="844"/>
        <v>0.35025380710659898</v>
      </c>
      <c r="EA308" s="5">
        <f t="shared" si="871"/>
        <v>0.76313602618112297</v>
      </c>
      <c r="EB308" s="5">
        <f t="shared" si="872"/>
        <v>10.811093704232576</v>
      </c>
      <c r="EC308" s="5">
        <f t="shared" si="873"/>
        <v>42.617644747119712</v>
      </c>
      <c r="ED308" s="5"/>
      <c r="EE308" s="150">
        <f t="shared" si="874"/>
        <v>10.27904043518029</v>
      </c>
      <c r="EF308" s="150">
        <f t="shared" si="875"/>
        <v>0.65385364881963959</v>
      </c>
      <c r="EG308" s="150">
        <f t="shared" si="876"/>
        <v>0.62200232217677109</v>
      </c>
      <c r="EH308" s="150"/>
      <c r="EI308" s="456">
        <f t="shared" si="877"/>
        <v>0.35923948571144276</v>
      </c>
      <c r="EJ308" s="456">
        <f t="shared" si="878"/>
        <v>2.7967999999999997</v>
      </c>
      <c r="EK308" s="456">
        <f t="shared" si="879"/>
        <v>2.843971899759808E-2</v>
      </c>
      <c r="EL308" s="456">
        <f t="shared" si="880"/>
        <v>5.1586120523047348E-2</v>
      </c>
      <c r="EM308">
        <f t="shared" si="881"/>
        <v>7.1999999999999998E-3</v>
      </c>
      <c r="EN308" s="144">
        <f t="shared" si="882"/>
        <v>35.639718997598081</v>
      </c>
      <c r="EP308" s="144">
        <f t="shared" si="883"/>
        <v>3243.2653252320879</v>
      </c>
      <c r="EQ308" s="150">
        <f t="shared" si="884"/>
        <v>1.1500000000000001</v>
      </c>
      <c r="ER308" s="150">
        <f t="shared" si="845"/>
        <v>0.3266</v>
      </c>
      <c r="ES308" s="456"/>
      <c r="EU308" s="144">
        <f t="shared" si="885"/>
        <v>1476.6000000000001</v>
      </c>
      <c r="EV308" s="456">
        <f t="shared" si="886"/>
        <v>0.15848800840210711</v>
      </c>
      <c r="EW308" s="456">
        <f t="shared" si="887"/>
        <v>8.5504918814951314E-2</v>
      </c>
      <c r="EX308" s="456">
        <f t="shared" si="888"/>
        <v>1.1606606663798872E-2</v>
      </c>
      <c r="EY308" s="456">
        <f t="shared" si="889"/>
        <v>42.65785117910152</v>
      </c>
      <c r="EZ308" s="456"/>
      <c r="FA308" s="538">
        <f t="shared" si="890"/>
        <v>0.11239147160542287</v>
      </c>
      <c r="FB308" s="144">
        <f t="shared" si="891"/>
        <v>43025.842184587797</v>
      </c>
      <c r="FC308" s="150">
        <f t="shared" si="892"/>
        <v>47.745707509819887</v>
      </c>
      <c r="FD308" s="5">
        <f t="shared" si="893"/>
        <v>83.72</v>
      </c>
      <c r="FE308" s="150">
        <f t="shared" si="894"/>
        <v>0.63682006194464436</v>
      </c>
      <c r="FF308" s="5">
        <f t="shared" si="895"/>
        <v>63.682006194464435</v>
      </c>
      <c r="FG308">
        <f t="shared" si="896"/>
        <v>92</v>
      </c>
      <c r="FI308" s="59">
        <f t="shared" si="846"/>
        <v>-50</v>
      </c>
    </row>
    <row r="309" spans="5:169">
      <c r="E309" s="147">
        <v>93</v>
      </c>
      <c r="F309" s="188">
        <f t="shared" si="847"/>
        <v>0.46500000000000002</v>
      </c>
      <c r="G309" s="188">
        <f t="shared" si="775"/>
        <v>0.46500000000000002</v>
      </c>
      <c r="H309" s="188">
        <f t="shared" si="776"/>
        <v>79.05</v>
      </c>
      <c r="I309" s="188">
        <f t="shared" si="777"/>
        <v>5.58</v>
      </c>
      <c r="J309" s="465">
        <f t="shared" si="778"/>
        <v>15.909173100140944</v>
      </c>
      <c r="K309" s="379">
        <f t="shared" si="779"/>
        <v>8.6780003388623967</v>
      </c>
      <c r="L309" s="149">
        <f t="shared" si="780"/>
        <v>24.58717343900334</v>
      </c>
      <c r="M309" s="379"/>
      <c r="N309" s="188">
        <f t="shared" si="781"/>
        <v>0.35294827038134585</v>
      </c>
      <c r="O309" s="149">
        <f t="shared" si="782"/>
        <v>174.82959192521443</v>
      </c>
      <c r="P309" s="149">
        <f t="shared" si="783"/>
        <v>12.340912371191607</v>
      </c>
      <c r="Q309" s="188">
        <f t="shared" si="784"/>
        <v>1.0284093642659673</v>
      </c>
      <c r="R309" s="188">
        <f t="shared" si="785"/>
        <v>14.569132660434535</v>
      </c>
      <c r="S309" s="188">
        <f t="shared" si="786"/>
        <v>170</v>
      </c>
      <c r="T309" s="188">
        <f t="shared" si="787"/>
        <v>30.143638396492456</v>
      </c>
      <c r="U309" s="188">
        <f t="shared" si="788"/>
        <v>2.8420997942588295</v>
      </c>
      <c r="V309" s="188">
        <f t="shared" si="789"/>
        <v>5.2103544398646573</v>
      </c>
      <c r="W309" s="172">
        <f t="shared" si="790"/>
        <v>280.75575644460901</v>
      </c>
      <c r="X309" s="379">
        <f t="shared" si="848"/>
        <v>121.17607339948034</v>
      </c>
      <c r="Z309" s="188">
        <f t="shared" si="791"/>
        <v>13.333333333333334</v>
      </c>
      <c r="AA309" s="150">
        <f t="shared" si="792"/>
        <v>2.3046784073555142</v>
      </c>
      <c r="AB309" s="150">
        <f t="shared" si="793"/>
        <v>0.20146299273840879</v>
      </c>
      <c r="AC309" s="150"/>
      <c r="AD309" s="150">
        <f t="shared" si="794"/>
        <v>2.3046784073555142</v>
      </c>
      <c r="AE309" s="314">
        <f t="shared" si="795"/>
        <v>648.01691353934507</v>
      </c>
      <c r="AF309" s="456">
        <f t="shared" si="796"/>
        <v>0.20146299273840887</v>
      </c>
      <c r="AH309" s="150">
        <f t="shared" si="797"/>
        <v>17.955500549970751</v>
      </c>
      <c r="AI309" s="150">
        <f t="shared" si="798"/>
        <v>30.143638396492456</v>
      </c>
      <c r="AJ309" s="150">
        <f t="shared" si="799"/>
        <v>13.65207782456231</v>
      </c>
      <c r="AL309" s="314">
        <f t="shared" si="800"/>
        <v>465</v>
      </c>
      <c r="AM309" s="144">
        <f t="shared" si="801"/>
        <v>121.17607339948034</v>
      </c>
      <c r="AO309">
        <f t="shared" si="802"/>
        <v>465</v>
      </c>
      <c r="AP309">
        <f t="shared" si="803"/>
        <v>121.17607339948034</v>
      </c>
      <c r="AR309" s="5">
        <f t="shared" si="774"/>
        <v>8.252454234123487</v>
      </c>
      <c r="AS309" s="5">
        <f t="shared" si="897"/>
        <v>2.8420997942588295</v>
      </c>
      <c r="AT309" s="5">
        <f t="shared" si="898"/>
        <v>5.4103544398646575</v>
      </c>
      <c r="AU309" s="150">
        <f t="shared" si="899"/>
        <v>0.3443944932777559</v>
      </c>
      <c r="BA309" s="150">
        <f t="shared" si="849"/>
        <v>10.213230730444275</v>
      </c>
      <c r="BB309" s="150">
        <f t="shared" si="850"/>
        <v>0.65811816495657605</v>
      </c>
      <c r="BC309" s="150">
        <f t="shared" si="851"/>
        <v>0.6260590999357134</v>
      </c>
      <c r="BD309" s="150"/>
      <c r="BE309" s="456">
        <f t="shared" si="852"/>
        <v>0.35465427864119042</v>
      </c>
      <c r="BF309" s="456">
        <f t="shared" si="804"/>
        <v>2.1509319435456784</v>
      </c>
      <c r="BG309" s="456">
        <f t="shared" si="805"/>
        <v>8.8293749630693447E-2</v>
      </c>
      <c r="BH309" s="456">
        <f t="shared" si="853"/>
        <v>5.0179306687416034E-2</v>
      </c>
      <c r="BI309">
        <f t="shared" si="854"/>
        <v>7.1591278950634248E-3</v>
      </c>
      <c r="BJ309" s="144">
        <f t="shared" si="855"/>
        <v>95.452877525756875</v>
      </c>
      <c r="BK309">
        <f t="shared" si="806"/>
        <v>2.895515257602558</v>
      </c>
      <c r="BL309" s="144">
        <f t="shared" si="856"/>
        <v>2651.2184064000417</v>
      </c>
      <c r="BM309" s="150">
        <f t="shared" si="807"/>
        <v>1.03171875</v>
      </c>
      <c r="BN309" s="150">
        <f t="shared" si="808"/>
        <v>0.33015000000000005</v>
      </c>
      <c r="BQ309" s="144">
        <f t="shared" si="857"/>
        <v>1361.8687500000001</v>
      </c>
      <c r="BR309" s="456">
        <f t="shared" si="858"/>
        <v>0.15646512292993695</v>
      </c>
      <c r="BS309" s="456">
        <f t="shared" si="859"/>
        <v>8.6623903809162212E-2</v>
      </c>
      <c r="BT309" s="456">
        <f t="shared" si="860"/>
        <v>1.1758499898369468E-2</v>
      </c>
      <c r="BU309" s="456">
        <f t="shared" si="861"/>
        <v>40.31822195645119</v>
      </c>
      <c r="BV309" s="456"/>
      <c r="BW309" s="538">
        <f t="shared" si="862"/>
        <v>0.11010529837552055</v>
      </c>
      <c r="BX309" s="144">
        <f t="shared" si="863"/>
        <v>40683.174781464179</v>
      </c>
      <c r="BY309" s="150">
        <f t="shared" si="864"/>
        <v>44.696261937864222</v>
      </c>
      <c r="BZ309" s="5">
        <f t="shared" si="865"/>
        <v>84.63</v>
      </c>
      <c r="CA309" s="150">
        <f t="shared" si="866"/>
        <v>0.65439144943863858</v>
      </c>
      <c r="CB309" s="5">
        <f t="shared" si="867"/>
        <v>65.439144943863852</v>
      </c>
      <c r="CC309">
        <f t="shared" si="868"/>
        <v>93</v>
      </c>
      <c r="CE309" s="59">
        <f t="shared" si="809"/>
        <v>-50</v>
      </c>
      <c r="CG309" s="150">
        <f t="shared" si="810"/>
        <v>0.63502377808469523</v>
      </c>
      <c r="CH309" s="150">
        <f t="shared" si="811"/>
        <v>0.17735551404972849</v>
      </c>
      <c r="CI309" s="147">
        <v>93</v>
      </c>
      <c r="CJ309" s="188">
        <f t="shared" si="869"/>
        <v>0.46500000000000002</v>
      </c>
      <c r="CK309" s="188">
        <f t="shared" si="812"/>
        <v>0.46500000000000002</v>
      </c>
      <c r="CL309" s="188">
        <f t="shared" si="813"/>
        <v>79.05</v>
      </c>
      <c r="CM309" s="188">
        <f t="shared" si="814"/>
        <v>5.58</v>
      </c>
      <c r="CN309" s="465">
        <f t="shared" si="815"/>
        <v>16</v>
      </c>
      <c r="CO309" s="379">
        <f t="shared" si="816"/>
        <v>8.625</v>
      </c>
      <c r="CP309" s="379">
        <f t="shared" si="817"/>
        <v>24.625</v>
      </c>
      <c r="CQ309" s="379"/>
      <c r="CR309" s="188">
        <f t="shared" si="818"/>
        <v>0.34787038923986141</v>
      </c>
      <c r="CS309" s="149">
        <f t="shared" si="819"/>
        <v>173.29806936491266</v>
      </c>
      <c r="CT309" s="149">
        <f t="shared" si="820"/>
        <v>12.232804896346776</v>
      </c>
      <c r="CU309" s="188">
        <f t="shared" si="821"/>
        <v>1.0194004080288981</v>
      </c>
      <c r="CV309" s="188">
        <f t="shared" si="822"/>
        <v>14.441505780409388</v>
      </c>
      <c r="CW309" s="188">
        <f t="shared" si="823"/>
        <v>170</v>
      </c>
      <c r="CX309" s="188">
        <f t="shared" si="824"/>
        <v>30.410032952548331</v>
      </c>
      <c r="CY309" s="188">
        <f t="shared" si="825"/>
        <v>2.8509405893014059</v>
      </c>
      <c r="CZ309" s="188">
        <f t="shared" si="826"/>
        <v>5.2887013830518832</v>
      </c>
      <c r="DA309" s="172">
        <f t="shared" si="827"/>
        <v>280.20304568527916</v>
      </c>
      <c r="DB309" s="379">
        <f t="shared" si="828"/>
        <v>122.85552649570477</v>
      </c>
      <c r="DD309" s="188">
        <f t="shared" si="829"/>
        <v>13.333333333333332</v>
      </c>
      <c r="DE309" s="150">
        <f t="shared" si="830"/>
        <v>2.318840579710145</v>
      </c>
      <c r="DF309" s="150">
        <f t="shared" si="831"/>
        <v>0.20230192819025303</v>
      </c>
      <c r="DG309" s="150"/>
      <c r="DH309" s="150">
        <f t="shared" si="832"/>
        <v>2.3188405797101455</v>
      </c>
      <c r="DI309" s="314">
        <f t="shared" si="833"/>
        <v>644.05919117647045</v>
      </c>
      <c r="DJ309" s="456">
        <f t="shared" si="834"/>
        <v>0.20230192819025311</v>
      </c>
      <c r="DL309" s="150">
        <f t="shared" si="835"/>
        <v>17.955500549970751</v>
      </c>
      <c r="DM309" s="150">
        <f t="shared" si="836"/>
        <v>30.410032952548331</v>
      </c>
      <c r="DN309" s="150">
        <f t="shared" si="837"/>
        <v>13.849407125344444</v>
      </c>
      <c r="DP309" s="314">
        <f t="shared" si="838"/>
        <v>465</v>
      </c>
      <c r="DQ309" s="144">
        <f t="shared" si="839"/>
        <v>122.85552649570477</v>
      </c>
      <c r="DS309">
        <f t="shared" si="840"/>
        <v>465</v>
      </c>
      <c r="DT309">
        <f t="shared" si="841"/>
        <v>122.85552649570477</v>
      </c>
      <c r="DV309" s="5">
        <f t="shared" si="870"/>
        <v>8.1396419723532869</v>
      </c>
      <c r="DW309" s="5">
        <f t="shared" si="842"/>
        <v>2.8509405893014059</v>
      </c>
      <c r="DX309" s="5">
        <f t="shared" si="843"/>
        <v>5.2887013830518814</v>
      </c>
      <c r="DY309" s="150">
        <f t="shared" si="844"/>
        <v>0.35025380710659909</v>
      </c>
      <c r="EA309" s="5">
        <f t="shared" si="871"/>
        <v>0.77981610236773757</v>
      </c>
      <c r="EB309" s="5">
        <f t="shared" si="872"/>
        <v>11.047394783542948</v>
      </c>
      <c r="EC309" s="5">
        <f t="shared" si="873"/>
        <v>43.549150451067831</v>
      </c>
      <c r="ED309" s="5"/>
      <c r="EE309" s="150">
        <f t="shared" si="874"/>
        <v>10.390769135562687</v>
      </c>
      <c r="EF309" s="150">
        <f t="shared" si="875"/>
        <v>0.66096075369811402</v>
      </c>
      <c r="EG309" s="150">
        <f t="shared" si="876"/>
        <v>0.62876321698304027</v>
      </c>
      <c r="EH309" s="150"/>
      <c r="EI309" s="456">
        <f t="shared" si="877"/>
        <v>0.36709148297711131</v>
      </c>
      <c r="EJ309" s="456">
        <f t="shared" si="878"/>
        <v>2.7968000000000006</v>
      </c>
      <c r="EK309" s="456">
        <f t="shared" si="879"/>
        <v>2.813391556751639E-2</v>
      </c>
      <c r="EL309" s="456">
        <f t="shared" si="880"/>
        <v>5.1031431055057613E-2</v>
      </c>
      <c r="EM309">
        <f t="shared" si="881"/>
        <v>7.1999999999999998E-3</v>
      </c>
      <c r="EN309" s="144">
        <f t="shared" si="882"/>
        <v>35.333915567516385</v>
      </c>
      <c r="EP309" s="144">
        <f t="shared" si="883"/>
        <v>3250.2568295996862</v>
      </c>
      <c r="EQ309" s="150">
        <f t="shared" si="884"/>
        <v>1.1625000000000001</v>
      </c>
      <c r="ER309" s="150">
        <f t="shared" si="845"/>
        <v>0.33015000000000005</v>
      </c>
      <c r="ES309" s="456"/>
      <c r="EU309" s="144">
        <f t="shared" si="885"/>
        <v>1492.6500000000003</v>
      </c>
      <c r="EV309" s="456">
        <f t="shared" si="886"/>
        <v>0.16195212484284324</v>
      </c>
      <c r="EW309" s="456">
        <f t="shared" si="887"/>
        <v>8.7373823585835786E-2</v>
      </c>
      <c r="EX309" s="456">
        <f t="shared" si="888"/>
        <v>1.1860295490925854E-2</v>
      </c>
      <c r="EY309" s="456">
        <f t="shared" si="889"/>
        <v>42.657851179101598</v>
      </c>
      <c r="EZ309" s="456"/>
      <c r="FA309" s="538">
        <f t="shared" si="890"/>
        <v>0.11361311803591664</v>
      </c>
      <c r="FB309" s="144">
        <f t="shared" si="891"/>
        <v>43032.650541057119</v>
      </c>
      <c r="FC309" s="150">
        <f t="shared" si="892"/>
        <v>47.775557370656806</v>
      </c>
      <c r="FD309" s="5">
        <f t="shared" si="893"/>
        <v>84.63</v>
      </c>
      <c r="FE309" s="150">
        <f t="shared" si="894"/>
        <v>0.63917256707802939</v>
      </c>
      <c r="FF309" s="5">
        <f t="shared" si="895"/>
        <v>63.917256707802942</v>
      </c>
      <c r="FG309">
        <f t="shared" si="896"/>
        <v>93</v>
      </c>
      <c r="FI309" s="59">
        <f t="shared" si="846"/>
        <v>-50</v>
      </c>
    </row>
    <row r="310" spans="5:169">
      <c r="E310" s="147">
        <v>94</v>
      </c>
      <c r="F310" s="188">
        <f t="shared" si="847"/>
        <v>0.47</v>
      </c>
      <c r="G310" s="188">
        <f t="shared" si="775"/>
        <v>0.47</v>
      </c>
      <c r="H310" s="188">
        <f t="shared" si="776"/>
        <v>79.899999999999991</v>
      </c>
      <c r="I310" s="188">
        <f t="shared" si="777"/>
        <v>5.64</v>
      </c>
      <c r="J310" s="465">
        <f t="shared" si="778"/>
        <v>15.908196466809125</v>
      </c>
      <c r="K310" s="379">
        <f t="shared" si="779"/>
        <v>8.6785702349791976</v>
      </c>
      <c r="L310" s="149">
        <f t="shared" si="780"/>
        <v>24.586766701788321</v>
      </c>
      <c r="M310" s="379"/>
      <c r="N310" s="188">
        <f t="shared" si="781"/>
        <v>0.35297728815834745</v>
      </c>
      <c r="O310" s="149">
        <f t="shared" si="782"/>
        <v>174.83323227446212</v>
      </c>
      <c r="P310" s="149">
        <f t="shared" si="783"/>
        <v>12.341169337020856</v>
      </c>
      <c r="Q310" s="188">
        <f t="shared" si="784"/>
        <v>1.0284307780850712</v>
      </c>
      <c r="R310" s="188">
        <f t="shared" si="785"/>
        <v>14.569436022871843</v>
      </c>
      <c r="S310" s="188">
        <f t="shared" si="786"/>
        <v>170</v>
      </c>
      <c r="T310" s="188">
        <f t="shared" si="787"/>
        <v>30.46712914570265</v>
      </c>
      <c r="U310" s="188">
        <f t="shared" si="788"/>
        <v>2.87277654722859</v>
      </c>
      <c r="V310" s="188">
        <f t="shared" si="789"/>
        <v>5.2659242802871109</v>
      </c>
      <c r="W310" s="172">
        <f t="shared" si="790"/>
        <v>280.76160241722437</v>
      </c>
      <c r="X310" s="379">
        <f t="shared" si="848"/>
        <v>119.92275783539822</v>
      </c>
      <c r="Z310" s="188">
        <f t="shared" si="791"/>
        <v>13.333333333333334</v>
      </c>
      <c r="AA310" s="150">
        <f t="shared" si="792"/>
        <v>2.3045270659203165</v>
      </c>
      <c r="AB310" s="150">
        <f t="shared" si="793"/>
        <v>0.20145395789941567</v>
      </c>
      <c r="AC310" s="150"/>
      <c r="AD310" s="150">
        <f t="shared" si="794"/>
        <v>2.3045270659203165</v>
      </c>
      <c r="AE310" s="314">
        <f t="shared" si="795"/>
        <v>655.02785108834132</v>
      </c>
      <c r="AF310" s="456">
        <f t="shared" si="796"/>
        <v>0.20145395789941567</v>
      </c>
      <c r="AH310" s="150">
        <f t="shared" si="797"/>
        <v>18.05177738248139</v>
      </c>
      <c r="AI310" s="150">
        <f t="shared" si="798"/>
        <v>30.46712914570265</v>
      </c>
      <c r="AJ310" s="150">
        <f t="shared" si="799"/>
        <v>13.891700601755046</v>
      </c>
      <c r="AL310" s="314">
        <f t="shared" si="800"/>
        <v>470</v>
      </c>
      <c r="AM310" s="144">
        <f t="shared" si="801"/>
        <v>119.92275783539822</v>
      </c>
      <c r="AO310">
        <f t="shared" si="802"/>
        <v>470</v>
      </c>
      <c r="AP310">
        <f t="shared" si="803"/>
        <v>119.92275783539822</v>
      </c>
      <c r="AR310" s="5">
        <f t="shared" si="774"/>
        <v>8.3387008275156997</v>
      </c>
      <c r="AS310" s="5">
        <f t="shared" si="897"/>
        <v>2.87277654722859</v>
      </c>
      <c r="AT310" s="5">
        <f t="shared" si="898"/>
        <v>5.4659242802871102</v>
      </c>
      <c r="AU310" s="150">
        <f t="shared" si="899"/>
        <v>0.34451128618850563</v>
      </c>
      <c r="BA310" s="150">
        <f t="shared" si="849"/>
        <v>10.324585690171691</v>
      </c>
      <c r="BB310" s="150">
        <f t="shared" si="850"/>
        <v>0.66512160179335489</v>
      </c>
      <c r="BC310" s="150">
        <f t="shared" si="851"/>
        <v>0.63272137670599471</v>
      </c>
      <c r="BD310" s="150"/>
      <c r="BE310" s="456">
        <f t="shared" si="852"/>
        <v>0.3624300368905734</v>
      </c>
      <c r="BF310" s="456">
        <f t="shared" si="804"/>
        <v>2.1514937008015353</v>
      </c>
      <c r="BG310" s="456">
        <f t="shared" si="805"/>
        <v>8.7375169495908636E-2</v>
      </c>
      <c r="BH310" s="456">
        <f t="shared" si="853"/>
        <v>4.965866265097333E-2</v>
      </c>
      <c r="BI310">
        <f t="shared" si="854"/>
        <v>7.1586884100641058E-3</v>
      </c>
      <c r="BJ310" s="144">
        <f t="shared" si="855"/>
        <v>94.533857905972738</v>
      </c>
      <c r="BK310">
        <f t="shared" si="806"/>
        <v>2.9122195714858914</v>
      </c>
      <c r="BL310" s="144">
        <f t="shared" si="856"/>
        <v>2658.1162582490547</v>
      </c>
      <c r="BM310" s="150">
        <f t="shared" si="807"/>
        <v>1.0428124999999997</v>
      </c>
      <c r="BN310" s="150">
        <f t="shared" si="808"/>
        <v>0.3337</v>
      </c>
      <c r="BQ310" s="144">
        <f t="shared" si="857"/>
        <v>1376.5124999999996</v>
      </c>
      <c r="BR310" s="456">
        <f t="shared" si="858"/>
        <v>0.1598956045105471</v>
      </c>
      <c r="BS310" s="456">
        <f t="shared" si="859"/>
        <v>8.8477349034431635E-2</v>
      </c>
      <c r="BT310" s="456">
        <f t="shared" si="860"/>
        <v>1.2010090216221877E-2</v>
      </c>
      <c r="BU310" s="456">
        <f t="shared" si="861"/>
        <v>40.346220374969512</v>
      </c>
      <c r="BV310" s="456"/>
      <c r="BW310" s="538">
        <f t="shared" si="862"/>
        <v>0.11131781527860268</v>
      </c>
      <c r="BX310" s="144">
        <f t="shared" si="863"/>
        <v>40717.921234009315</v>
      </c>
      <c r="BY310" s="150">
        <f t="shared" si="864"/>
        <v>44.752549992258373</v>
      </c>
      <c r="BZ310" s="5">
        <f t="shared" si="865"/>
        <v>85.539999999999992</v>
      </c>
      <c r="CA310" s="150">
        <f t="shared" si="866"/>
        <v>0.6565225717439912</v>
      </c>
      <c r="CB310" s="5">
        <f t="shared" si="867"/>
        <v>65.652257174399125</v>
      </c>
      <c r="CC310">
        <f t="shared" si="868"/>
        <v>94</v>
      </c>
      <c r="CE310" s="59">
        <f t="shared" si="809"/>
        <v>-50</v>
      </c>
      <c r="CG310" s="150">
        <f t="shared" si="810"/>
        <v>0.63502377808469523</v>
      </c>
      <c r="CH310" s="150">
        <f t="shared" si="811"/>
        <v>0.17735551404972849</v>
      </c>
      <c r="CI310" s="147">
        <v>94</v>
      </c>
      <c r="CJ310" s="188">
        <f t="shared" si="869"/>
        <v>0.47</v>
      </c>
      <c r="CK310" s="188">
        <f t="shared" si="812"/>
        <v>0.47</v>
      </c>
      <c r="CL310" s="188">
        <f t="shared" si="813"/>
        <v>79.899999999999991</v>
      </c>
      <c r="CM310" s="188">
        <f t="shared" si="814"/>
        <v>5.64</v>
      </c>
      <c r="CN310" s="465">
        <f t="shared" si="815"/>
        <v>16</v>
      </c>
      <c r="CO310" s="379">
        <f t="shared" si="816"/>
        <v>8.625</v>
      </c>
      <c r="CP310" s="379">
        <f t="shared" si="817"/>
        <v>24.625</v>
      </c>
      <c r="CQ310" s="379"/>
      <c r="CR310" s="188">
        <f t="shared" si="818"/>
        <v>0.34787038923986141</v>
      </c>
      <c r="CS310" s="149">
        <f t="shared" si="819"/>
        <v>173.29806936491266</v>
      </c>
      <c r="CT310" s="149">
        <f t="shared" si="820"/>
        <v>12.232804896346776</v>
      </c>
      <c r="CU310" s="188">
        <f t="shared" si="821"/>
        <v>1.0194004080288981</v>
      </c>
      <c r="CV310" s="188">
        <f t="shared" si="822"/>
        <v>14.441505780409388</v>
      </c>
      <c r="CW310" s="188">
        <f t="shared" si="823"/>
        <v>170</v>
      </c>
      <c r="CX310" s="188">
        <f t="shared" si="824"/>
        <v>30.737022554188634</v>
      </c>
      <c r="CY310" s="188">
        <f t="shared" si="825"/>
        <v>2.8815958644551842</v>
      </c>
      <c r="CZ310" s="188">
        <f t="shared" si="826"/>
        <v>5.3455691398588936</v>
      </c>
      <c r="DA310" s="172">
        <f t="shared" si="827"/>
        <v>280.20304568527916</v>
      </c>
      <c r="DB310" s="379">
        <f t="shared" si="828"/>
        <v>121.54855280958023</v>
      </c>
      <c r="DD310" s="188">
        <f t="shared" si="829"/>
        <v>13.333333333333332</v>
      </c>
      <c r="DE310" s="150">
        <f t="shared" si="830"/>
        <v>2.318840579710145</v>
      </c>
      <c r="DF310" s="150">
        <f t="shared" si="831"/>
        <v>0.20230192819025303</v>
      </c>
      <c r="DG310" s="150"/>
      <c r="DH310" s="150">
        <f t="shared" si="832"/>
        <v>2.3188405797101455</v>
      </c>
      <c r="DI310" s="314">
        <f t="shared" si="833"/>
        <v>650.98455882352914</v>
      </c>
      <c r="DJ310" s="456">
        <f t="shared" si="834"/>
        <v>0.20230192819025311</v>
      </c>
      <c r="DL310" s="150">
        <f t="shared" si="835"/>
        <v>18.05177738248139</v>
      </c>
      <c r="DM310" s="150">
        <f t="shared" si="836"/>
        <v>30.737022554188634</v>
      </c>
      <c r="DN310" s="150">
        <f t="shared" si="837"/>
        <v>14.091621645077998</v>
      </c>
      <c r="DP310" s="314">
        <f t="shared" si="838"/>
        <v>470</v>
      </c>
      <c r="DQ310" s="144">
        <f t="shared" si="839"/>
        <v>121.54855280958023</v>
      </c>
      <c r="DS310">
        <f t="shared" si="840"/>
        <v>470</v>
      </c>
      <c r="DT310">
        <f t="shared" si="841"/>
        <v>121.54855280958023</v>
      </c>
      <c r="DV310" s="5">
        <f t="shared" si="870"/>
        <v>8.2271650043140774</v>
      </c>
      <c r="DW310" s="5">
        <f t="shared" si="842"/>
        <v>2.8815958644551842</v>
      </c>
      <c r="DX310" s="5">
        <f t="shared" si="843"/>
        <v>5.3455691398588936</v>
      </c>
      <c r="DY310" s="150">
        <f t="shared" si="844"/>
        <v>0.35025380710659898</v>
      </c>
      <c r="EA310" s="5">
        <f t="shared" si="871"/>
        <v>0.79667650370231557</v>
      </c>
      <c r="EB310" s="5">
        <f t="shared" si="872"/>
        <v>11.286250469116137</v>
      </c>
      <c r="EC310" s="5">
        <f t="shared" si="873"/>
        <v>44.490726486950571</v>
      </c>
      <c r="ED310" s="5"/>
      <c r="EE310" s="150">
        <f t="shared" si="874"/>
        <v>10.502497835945078</v>
      </c>
      <c r="EF310" s="150">
        <f t="shared" si="875"/>
        <v>0.66806785857658824</v>
      </c>
      <c r="EG310" s="150">
        <f t="shared" si="876"/>
        <v>0.63552411178930956</v>
      </c>
      <c r="EH310" s="150"/>
      <c r="EI310" s="456">
        <f t="shared" si="877"/>
        <v>0.37502836669970557</v>
      </c>
      <c r="EJ310" s="456">
        <f t="shared" si="878"/>
        <v>2.7968000000000002</v>
      </c>
      <c r="EK310" s="456">
        <f t="shared" si="879"/>
        <v>2.7834618593393874E-2</v>
      </c>
      <c r="EL310" s="456">
        <f t="shared" si="880"/>
        <v>5.04885434906421E-2</v>
      </c>
      <c r="EM310">
        <f t="shared" si="881"/>
        <v>7.1999999999999998E-3</v>
      </c>
      <c r="EN310" s="144">
        <f t="shared" si="882"/>
        <v>35.034618593393873</v>
      </c>
      <c r="EP310" s="144">
        <f t="shared" si="883"/>
        <v>3257.3515287837417</v>
      </c>
      <c r="EQ310" s="150">
        <f t="shared" si="884"/>
        <v>1.1749999999999998</v>
      </c>
      <c r="ER310" s="150">
        <f t="shared" si="845"/>
        <v>0.3337</v>
      </c>
      <c r="ES310" s="456"/>
      <c r="EU310" s="144">
        <f t="shared" si="885"/>
        <v>1508.6999999999998</v>
      </c>
      <c r="EV310" s="456">
        <f t="shared" si="886"/>
        <v>0.16545369119104661</v>
      </c>
      <c r="EW310" s="456">
        <f t="shared" si="887"/>
        <v>8.9262932732621661E-2</v>
      </c>
      <c r="EX310" s="456">
        <f t="shared" si="888"/>
        <v>1.2116726899967725E-2</v>
      </c>
      <c r="EY310" s="456">
        <f t="shared" si="889"/>
        <v>42.65785117910152</v>
      </c>
      <c r="EZ310" s="456"/>
      <c r="FA310" s="538">
        <f t="shared" si="890"/>
        <v>0.11483476446641033</v>
      </c>
      <c r="FB310" s="144">
        <f t="shared" si="891"/>
        <v>43039.519294391568</v>
      </c>
      <c r="FC310" s="150">
        <f t="shared" si="892"/>
        <v>47.805570823175309</v>
      </c>
      <c r="FD310" s="5">
        <f t="shared" si="893"/>
        <v>85.539999999999992</v>
      </c>
      <c r="FE310" s="150">
        <f t="shared" si="894"/>
        <v>0.64149112319172163</v>
      </c>
      <c r="FF310" s="5">
        <f t="shared" si="895"/>
        <v>64.149112319172161</v>
      </c>
      <c r="FG310">
        <f t="shared" si="896"/>
        <v>94</v>
      </c>
      <c r="FI310" s="59">
        <f t="shared" si="846"/>
        <v>-50</v>
      </c>
    </row>
    <row r="311" spans="5:169">
      <c r="E311" s="147">
        <v>95</v>
      </c>
      <c r="F311" s="188">
        <f t="shared" si="847"/>
        <v>0.47499999999999998</v>
      </c>
      <c r="G311" s="188">
        <f t="shared" si="775"/>
        <v>0.47499999999999998</v>
      </c>
      <c r="H311" s="188">
        <f t="shared" si="776"/>
        <v>80.75</v>
      </c>
      <c r="I311" s="188">
        <f t="shared" si="777"/>
        <v>5.6999999999999993</v>
      </c>
      <c r="J311" s="465">
        <f t="shared" si="778"/>
        <v>15.907219833477308</v>
      </c>
      <c r="K311" s="379">
        <f t="shared" si="779"/>
        <v>8.6791401310959984</v>
      </c>
      <c r="L311" s="149">
        <f t="shared" si="780"/>
        <v>24.586359964573305</v>
      </c>
      <c r="M311" s="379"/>
      <c r="N311" s="188">
        <f t="shared" si="781"/>
        <v>0.35300630689544304</v>
      </c>
      <c r="O311" s="149">
        <f t="shared" si="782"/>
        <v>174.83687133448001</v>
      </c>
      <c r="P311" s="149">
        <f t="shared" si="783"/>
        <v>12.341426211845649</v>
      </c>
      <c r="Q311" s="188">
        <f t="shared" si="784"/>
        <v>1.0284521843204706</v>
      </c>
      <c r="R311" s="188">
        <f t="shared" si="785"/>
        <v>14.569739277873333</v>
      </c>
      <c r="S311" s="188">
        <f t="shared" si="786"/>
        <v>170</v>
      </c>
      <c r="T311" s="188">
        <f t="shared" si="787"/>
        <v>30.790606650896262</v>
      </c>
      <c r="U311" s="188">
        <f t="shared" si="788"/>
        <v>2.9034558181653156</v>
      </c>
      <c r="V311" s="188">
        <f t="shared" si="789"/>
        <v>5.3214845340343695</v>
      </c>
      <c r="W311" s="172">
        <f t="shared" si="790"/>
        <v>280.76744631948844</v>
      </c>
      <c r="X311" s="379">
        <f t="shared" si="848"/>
        <v>118.69520236293519</v>
      </c>
      <c r="Z311" s="188">
        <f t="shared" si="791"/>
        <v>13.333333333333332</v>
      </c>
      <c r="AA311" s="150">
        <f t="shared" si="792"/>
        <v>2.3043757443601045</v>
      </c>
      <c r="AB311" s="150">
        <f t="shared" si="793"/>
        <v>0.20144492276149203</v>
      </c>
      <c r="AC311" s="150"/>
      <c r="AD311" s="150">
        <f t="shared" si="794"/>
        <v>2.3043757443601049</v>
      </c>
      <c r="AE311" s="314">
        <f t="shared" si="795"/>
        <v>662.03970382345506</v>
      </c>
      <c r="AF311" s="456">
        <f t="shared" si="796"/>
        <v>0.20144492276149212</v>
      </c>
      <c r="AH311" s="150">
        <f t="shared" si="797"/>
        <v>18.147543451754931</v>
      </c>
      <c r="AI311" s="150">
        <f t="shared" si="798"/>
        <v>30.790606650896262</v>
      </c>
      <c r="AJ311" s="150">
        <f t="shared" si="799"/>
        <v>14.131313568565133</v>
      </c>
      <c r="AL311" s="314">
        <f t="shared" si="800"/>
        <v>475</v>
      </c>
      <c r="AM311" s="144">
        <f t="shared" si="801"/>
        <v>118.69520236293519</v>
      </c>
      <c r="AO311">
        <f t="shared" si="802"/>
        <v>475</v>
      </c>
      <c r="AP311">
        <f t="shared" si="803"/>
        <v>118.69520236293519</v>
      </c>
      <c r="AR311" s="5">
        <f t="shared" si="774"/>
        <v>8.4249403521996857</v>
      </c>
      <c r="AS311" s="5">
        <f t="shared" si="897"/>
        <v>2.9034558181653156</v>
      </c>
      <c r="AT311" s="5">
        <f t="shared" si="898"/>
        <v>5.5214845340343697</v>
      </c>
      <c r="AU311" s="150">
        <f t="shared" si="899"/>
        <v>0.34462627588897365</v>
      </c>
      <c r="BA311" s="150">
        <f t="shared" si="849"/>
        <v>10.435945725557755</v>
      </c>
      <c r="BB311" s="150">
        <f t="shared" si="850"/>
        <v>0.67212441060396799</v>
      </c>
      <c r="BC311" s="150">
        <f t="shared" si="851"/>
        <v>0.63938305604329682</v>
      </c>
      <c r="BD311" s="150"/>
      <c r="BE311" s="456">
        <f t="shared" si="852"/>
        <v>0.37029047483507632</v>
      </c>
      <c r="BF311" s="456">
        <f t="shared" si="804"/>
        <v>2.1520440884605603</v>
      </c>
      <c r="BG311" s="456">
        <f t="shared" si="805"/>
        <v>8.6475469014215864E-2</v>
      </c>
      <c r="BH311" s="456">
        <f t="shared" si="853"/>
        <v>4.9148719594504418E-2</v>
      </c>
      <c r="BI311">
        <f t="shared" si="854"/>
        <v>7.1582489250647885E-3</v>
      </c>
      <c r="BJ311" s="144">
        <f t="shared" si="855"/>
        <v>93.633717939280658</v>
      </c>
      <c r="BK311">
        <f t="shared" si="806"/>
        <v>2.9291733619219471</v>
      </c>
      <c r="BL311" s="144">
        <f t="shared" si="856"/>
        <v>2665.1170008294221</v>
      </c>
      <c r="BM311" s="150">
        <f t="shared" si="807"/>
        <v>1.05390625</v>
      </c>
      <c r="BN311" s="150">
        <f t="shared" si="808"/>
        <v>0.33724999999999999</v>
      </c>
      <c r="BQ311" s="144">
        <f t="shared" si="857"/>
        <v>1391.15625</v>
      </c>
      <c r="BR311" s="456">
        <f t="shared" si="858"/>
        <v>0.16336344478018075</v>
      </c>
      <c r="BS311" s="456">
        <f t="shared" si="859"/>
        <v>9.035024466594628E-2</v>
      </c>
      <c r="BT311" s="456">
        <f t="shared" si="860"/>
        <v>1.2264320770657968E-2</v>
      </c>
      <c r="BU311" s="456">
        <f t="shared" si="861"/>
        <v>40.373698129009156</v>
      </c>
      <c r="BV311" s="456"/>
      <c r="BW311" s="538">
        <f t="shared" si="862"/>
        <v>0.11253034660152648</v>
      </c>
      <c r="BX311" s="144">
        <f t="shared" si="863"/>
        <v>40752.206485827468</v>
      </c>
      <c r="BY311" s="150">
        <f t="shared" si="864"/>
        <v>44.808479736656885</v>
      </c>
      <c r="BZ311" s="5">
        <f t="shared" si="865"/>
        <v>86.45</v>
      </c>
      <c r="CA311" s="150">
        <f t="shared" si="866"/>
        <v>0.65862411459773218</v>
      </c>
      <c r="CB311" s="5">
        <f t="shared" si="867"/>
        <v>65.862411459773213</v>
      </c>
      <c r="CC311">
        <f t="shared" si="868"/>
        <v>95</v>
      </c>
      <c r="CE311" s="59">
        <f t="shared" si="809"/>
        <v>-50</v>
      </c>
      <c r="CG311" s="150">
        <f t="shared" si="810"/>
        <v>0.63502377808469512</v>
      </c>
      <c r="CH311" s="150">
        <f t="shared" si="811"/>
        <v>0.17735551404972846</v>
      </c>
      <c r="CI311" s="147">
        <v>95</v>
      </c>
      <c r="CJ311" s="188">
        <f t="shared" si="869"/>
        <v>0.47499999999999998</v>
      </c>
      <c r="CK311" s="188">
        <f t="shared" si="812"/>
        <v>0.47499999999999998</v>
      </c>
      <c r="CL311" s="188">
        <f t="shared" si="813"/>
        <v>80.75</v>
      </c>
      <c r="CM311" s="188">
        <f t="shared" si="814"/>
        <v>5.6999999999999993</v>
      </c>
      <c r="CN311" s="465">
        <f t="shared" si="815"/>
        <v>16</v>
      </c>
      <c r="CO311" s="379">
        <f t="shared" si="816"/>
        <v>8.625</v>
      </c>
      <c r="CP311" s="379">
        <f t="shared" si="817"/>
        <v>24.625</v>
      </c>
      <c r="CQ311" s="379"/>
      <c r="CR311" s="188">
        <f t="shared" si="818"/>
        <v>0.34787038923986141</v>
      </c>
      <c r="CS311" s="149">
        <f t="shared" si="819"/>
        <v>173.29806936491266</v>
      </c>
      <c r="CT311" s="149">
        <f t="shared" si="820"/>
        <v>12.232804896346776</v>
      </c>
      <c r="CU311" s="188">
        <f t="shared" si="821"/>
        <v>1.0194004080288981</v>
      </c>
      <c r="CV311" s="188">
        <f t="shared" si="822"/>
        <v>14.441505780409388</v>
      </c>
      <c r="CW311" s="188">
        <f t="shared" si="823"/>
        <v>170</v>
      </c>
      <c r="CX311" s="188">
        <f t="shared" si="824"/>
        <v>31.064012155828941</v>
      </c>
      <c r="CY311" s="188">
        <f t="shared" si="825"/>
        <v>2.9122511396089634</v>
      </c>
      <c r="CZ311" s="188">
        <f t="shared" si="826"/>
        <v>5.4024368966659031</v>
      </c>
      <c r="DA311" s="172">
        <f t="shared" si="827"/>
        <v>280.20304568527916</v>
      </c>
      <c r="DB311" s="379">
        <f t="shared" si="828"/>
        <v>120.26909435895305</v>
      </c>
      <c r="DD311" s="188">
        <f t="shared" si="829"/>
        <v>13.333333333333332</v>
      </c>
      <c r="DE311" s="150">
        <f t="shared" si="830"/>
        <v>2.318840579710145</v>
      </c>
      <c r="DF311" s="150">
        <f t="shared" si="831"/>
        <v>0.20230192819025303</v>
      </c>
      <c r="DG311" s="150"/>
      <c r="DH311" s="150">
        <f t="shared" si="832"/>
        <v>2.3188405797101455</v>
      </c>
      <c r="DI311" s="314">
        <f t="shared" si="833"/>
        <v>657.90992647058795</v>
      </c>
      <c r="DJ311" s="456">
        <f t="shared" si="834"/>
        <v>0.20230192819025311</v>
      </c>
      <c r="DL311" s="150">
        <f t="shared" si="835"/>
        <v>18.147543451754931</v>
      </c>
      <c r="DM311" s="150">
        <f t="shared" si="836"/>
        <v>31.064012155828941</v>
      </c>
      <c r="DN311" s="150">
        <f t="shared" si="837"/>
        <v>14.333836164811558</v>
      </c>
      <c r="DP311" s="314">
        <f t="shared" si="838"/>
        <v>475</v>
      </c>
      <c r="DQ311" s="144">
        <f t="shared" si="839"/>
        <v>120.26909435895305</v>
      </c>
      <c r="DS311">
        <f t="shared" si="840"/>
        <v>475</v>
      </c>
      <c r="DT311">
        <f t="shared" si="841"/>
        <v>120.26909435895305</v>
      </c>
      <c r="DV311" s="5">
        <f t="shared" si="870"/>
        <v>8.3146880362748661</v>
      </c>
      <c r="DW311" s="5">
        <f t="shared" si="842"/>
        <v>2.9122511396089634</v>
      </c>
      <c r="DX311" s="5">
        <f t="shared" si="843"/>
        <v>5.4024368966659022</v>
      </c>
      <c r="DY311" s="150">
        <f t="shared" si="844"/>
        <v>0.35025380710659898</v>
      </c>
      <c r="EA311" s="5">
        <f t="shared" si="871"/>
        <v>0.81371723018485742</v>
      </c>
      <c r="EB311" s="5">
        <f t="shared" si="872"/>
        <v>11.527660760952147</v>
      </c>
      <c r="EC311" s="5">
        <f t="shared" si="873"/>
        <v>45.442372854767868</v>
      </c>
      <c r="ED311" s="5"/>
      <c r="EE311" s="150">
        <f t="shared" si="874"/>
        <v>10.614226536327473</v>
      </c>
      <c r="EF311" s="150">
        <f t="shared" si="875"/>
        <v>0.67517496345506256</v>
      </c>
      <c r="EG311" s="150">
        <f t="shared" si="876"/>
        <v>0.64228500659557874</v>
      </c>
      <c r="EH311" s="150"/>
      <c r="EI311" s="456">
        <f t="shared" si="877"/>
        <v>0.38305013687922629</v>
      </c>
      <c r="EJ311" s="456">
        <f t="shared" si="878"/>
        <v>2.7967999999999997</v>
      </c>
      <c r="EK311" s="456">
        <f t="shared" si="879"/>
        <v>2.7541622608200249E-2</v>
      </c>
      <c r="EL311" s="456">
        <f t="shared" si="880"/>
        <v>4.9957085138109016E-2</v>
      </c>
      <c r="EM311">
        <f t="shared" si="881"/>
        <v>7.1999999999999998E-3</v>
      </c>
      <c r="EN311" s="144">
        <f t="shared" si="882"/>
        <v>34.741622608200245</v>
      </c>
      <c r="EP311" s="144">
        <f t="shared" si="883"/>
        <v>3264.5488446255358</v>
      </c>
      <c r="EQ311" s="150">
        <f t="shared" si="884"/>
        <v>1.1875</v>
      </c>
      <c r="ER311" s="150">
        <f t="shared" si="845"/>
        <v>0.33724999999999999</v>
      </c>
      <c r="ES311" s="456"/>
      <c r="EU311" s="144">
        <f t="shared" si="885"/>
        <v>1524.75</v>
      </c>
      <c r="EV311" s="456">
        <f t="shared" si="886"/>
        <v>0.16899270744671749</v>
      </c>
      <c r="EW311" s="456">
        <f t="shared" si="887"/>
        <v>9.1172246255309009E-2</v>
      </c>
      <c r="EX311" s="456">
        <f t="shared" si="888"/>
        <v>1.2375900890924479E-2</v>
      </c>
      <c r="EY311" s="456">
        <f t="shared" si="889"/>
        <v>42.657851179101598</v>
      </c>
      <c r="EZ311" s="456"/>
      <c r="FA311" s="538">
        <f t="shared" si="890"/>
        <v>0.11605641089690408</v>
      </c>
      <c r="FB311" s="144">
        <f t="shared" si="891"/>
        <v>43046.448444591457</v>
      </c>
      <c r="FC311" s="150">
        <f t="shared" si="892"/>
        <v>47.835747289216989</v>
      </c>
      <c r="FD311" s="5">
        <f t="shared" si="893"/>
        <v>86.45</v>
      </c>
      <c r="FE311" s="150">
        <f t="shared" si="894"/>
        <v>0.64377643752325342</v>
      </c>
      <c r="FF311" s="5">
        <f t="shared" si="895"/>
        <v>64.377643752325341</v>
      </c>
      <c r="FG311">
        <f t="shared" si="896"/>
        <v>95</v>
      </c>
      <c r="FI311" s="59">
        <f t="shared" si="846"/>
        <v>-50</v>
      </c>
    </row>
    <row r="312" spans="5:169">
      <c r="E312" s="147">
        <v>96</v>
      </c>
      <c r="F312" s="188">
        <f t="shared" si="847"/>
        <v>0.48</v>
      </c>
      <c r="G312" s="188">
        <f t="shared" si="775"/>
        <v>0.48</v>
      </c>
      <c r="H312" s="188">
        <f t="shared" si="776"/>
        <v>81.599999999999994</v>
      </c>
      <c r="I312" s="188">
        <f t="shared" si="777"/>
        <v>5.76</v>
      </c>
      <c r="J312" s="465">
        <f t="shared" si="778"/>
        <v>15.906243200145489</v>
      </c>
      <c r="K312" s="379">
        <f t="shared" si="779"/>
        <v>8.6797100272127974</v>
      </c>
      <c r="L312" s="149">
        <f t="shared" si="780"/>
        <v>24.585953227358289</v>
      </c>
      <c r="M312" s="379"/>
      <c r="N312" s="188">
        <f t="shared" si="781"/>
        <v>0.35303532659268039</v>
      </c>
      <c r="O312" s="149">
        <f>N312*J312*Isw_max*0.5*Efficiency*Pout/(Pout+Pout2)</f>
        <v>174.84050910520403</v>
      </c>
      <c r="P312" s="149">
        <f t="shared" si="783"/>
        <v>12.341682995661463</v>
      </c>
      <c r="Q312" s="188">
        <f t="shared" si="784"/>
        <v>1.0284735829717884</v>
      </c>
      <c r="R312" s="188">
        <f t="shared" si="785"/>
        <v>14.57004242543367</v>
      </c>
      <c r="S312" s="188">
        <f t="shared" si="786"/>
        <v>170</v>
      </c>
      <c r="T312" s="188">
        <f t="shared" si="787"/>
        <v>31.114070920067356</v>
      </c>
      <c r="U312" s="188">
        <f t="shared" si="788"/>
        <v>2.9341376082866724</v>
      </c>
      <c r="V312" s="188">
        <f t="shared" si="789"/>
        <v>5.3770352043762824</v>
      </c>
      <c r="W312" s="172">
        <f t="shared" si="790"/>
        <v>280.77328815129823</v>
      </c>
      <c r="X312" s="379">
        <f t="shared" si="848"/>
        <v>117.49262081862517</v>
      </c>
      <c r="Z312" s="188">
        <f t="shared" si="791"/>
        <v>13.333333333333334</v>
      </c>
      <c r="AA312" s="150">
        <f t="shared" si="792"/>
        <v>2.3042244426709662</v>
      </c>
      <c r="AB312" s="150">
        <f>0.5*AA312*Z312*Nps*W312/1000*(Pout/(Pout+Pout2))</f>
        <v>0.20143588732462342</v>
      </c>
      <c r="AC312" s="150"/>
      <c r="AD312" s="150">
        <f t="shared" si="794"/>
        <v>2.3042244426709662</v>
      </c>
      <c r="AE312" s="314">
        <f>MAX(10, F312/(0.5*AD312/1000000*Isw_min*Nps)/1000*Pout_total/Pout)</f>
        <v>669.05247174468525</v>
      </c>
      <c r="AF312" s="456">
        <f t="shared" si="796"/>
        <v>0.20143588732462336</v>
      </c>
      <c r="AH312" s="150">
        <f t="shared" si="797"/>
        <v>18.242806801586209</v>
      </c>
      <c r="AI312" s="150">
        <f>MAX(IF(F312&gt;AB312,T312,AH312),Isw_min)</f>
        <v>31.114070920067356</v>
      </c>
      <c r="AJ312" s="150">
        <f>IF(F312&gt;AF312, (AI312-Isw_min)/1.08*0.8+1.2, AE312*0.2/350+1)</f>
        <v>14.370916730914086</v>
      </c>
      <c r="AL312" s="314">
        <f t="shared" si="800"/>
        <v>480</v>
      </c>
      <c r="AM312" s="144">
        <f t="shared" si="801"/>
        <v>117.49262081862517</v>
      </c>
      <c r="AO312">
        <f t="shared" si="802"/>
        <v>480</v>
      </c>
      <c r="AP312">
        <f t="shared" si="803"/>
        <v>117.49262081862517</v>
      </c>
      <c r="AR312" s="5">
        <f t="shared" si="774"/>
        <v>8.5111728126629558</v>
      </c>
      <c r="AS312" s="5">
        <f t="shared" si="897"/>
        <v>2.9341376082866724</v>
      </c>
      <c r="AT312" s="5">
        <f t="shared" si="898"/>
        <v>5.5770352043762834</v>
      </c>
      <c r="AU312" s="150">
        <f t="shared" si="899"/>
        <v>0.34473951744009368</v>
      </c>
      <c r="BA312" s="150">
        <f t="shared" si="849"/>
        <v>10.547310823379693</v>
      </c>
      <c r="BB312" s="150">
        <f t="shared" si="850"/>
        <v>0.67912659232449502</v>
      </c>
      <c r="BC312" s="150">
        <f t="shared" si="851"/>
        <v>0.64604413883809952</v>
      </c>
      <c r="BD312" s="150"/>
      <c r="BE312" s="456">
        <f t="shared" si="852"/>
        <v>0.37823560305694015</v>
      </c>
      <c r="BF312" s="456">
        <f t="shared" si="804"/>
        <v>2.1525834529652474</v>
      </c>
      <c r="BG312" s="456">
        <f t="shared" si="805"/>
        <v>8.559407200412962E-2</v>
      </c>
      <c r="BH312" s="456">
        <f t="shared" si="853"/>
        <v>4.8649150938515184E-2</v>
      </c>
      <c r="BI312">
        <f t="shared" si="854"/>
        <v>7.1578094400654704E-3</v>
      </c>
      <c r="BJ312" s="144">
        <f t="shared" si="855"/>
        <v>92.751881444195092</v>
      </c>
      <c r="BK312">
        <f t="shared" si="806"/>
        <v>2.9463793338320281</v>
      </c>
      <c r="BL312" s="144">
        <f t="shared" si="856"/>
        <v>2672.220088404898</v>
      </c>
      <c r="BM312" s="150">
        <f t="shared" si="807"/>
        <v>1.0649999999999999</v>
      </c>
      <c r="BN312" s="150">
        <f t="shared" si="808"/>
        <v>0.34079999999999999</v>
      </c>
      <c r="BQ312" s="144">
        <f t="shared" si="857"/>
        <v>1405.8</v>
      </c>
      <c r="BR312" s="456">
        <f t="shared" si="858"/>
        <v>0.16686864840747362</v>
      </c>
      <c r="BS312" s="456">
        <f t="shared" si="859"/>
        <v>9.2242585680456179E-2</v>
      </c>
      <c r="BT312" s="456">
        <f t="shared" si="860"/>
        <v>1.2521190879811848E-2</v>
      </c>
      <c r="BU312" s="456">
        <f t="shared" si="861"/>
        <v>40.400670796929589</v>
      </c>
      <c r="BV312" s="456"/>
      <c r="BW312" s="538">
        <f t="shared" si="862"/>
        <v>0.11374289190540932</v>
      </c>
      <c r="BX312" s="144">
        <f t="shared" si="863"/>
        <v>40786.046113802739</v>
      </c>
      <c r="BY312" s="150">
        <f t="shared" si="864"/>
        <v>44.864066202207638</v>
      </c>
      <c r="BZ312" s="5">
        <f t="shared" si="865"/>
        <v>87.36</v>
      </c>
      <c r="CA312" s="150">
        <f t="shared" si="866"/>
        <v>0.66069666823286233</v>
      </c>
      <c r="CB312" s="5">
        <f t="shared" si="867"/>
        <v>66.069666823286227</v>
      </c>
      <c r="CC312">
        <f t="shared" si="868"/>
        <v>96</v>
      </c>
      <c r="CE312" s="59">
        <f t="shared" si="809"/>
        <v>-50</v>
      </c>
      <c r="CG312" s="150">
        <f t="shared" si="810"/>
        <v>0.63502377808469512</v>
      </c>
      <c r="CH312" s="150">
        <f t="shared" si="811"/>
        <v>0.17735551404972849</v>
      </c>
      <c r="CI312" s="147">
        <v>96</v>
      </c>
      <c r="CJ312" s="188">
        <f t="shared" si="869"/>
        <v>0.48</v>
      </c>
      <c r="CK312" s="188">
        <f t="shared" si="812"/>
        <v>0.48</v>
      </c>
      <c r="CL312" s="188">
        <f t="shared" si="813"/>
        <v>81.599999999999994</v>
      </c>
      <c r="CM312" s="188">
        <f t="shared" si="814"/>
        <v>5.76</v>
      </c>
      <c r="CN312" s="465">
        <f t="shared" si="815"/>
        <v>16</v>
      </c>
      <c r="CO312" s="379">
        <f t="shared" si="816"/>
        <v>8.625</v>
      </c>
      <c r="CP312" s="379">
        <f t="shared" si="817"/>
        <v>24.625</v>
      </c>
      <c r="CQ312" s="379"/>
      <c r="CR312" s="188">
        <f t="shared" si="818"/>
        <v>0.34787038923986141</v>
      </c>
      <c r="CS312" s="149">
        <f t="shared" si="819"/>
        <v>173.29806936491266</v>
      </c>
      <c r="CT312" s="149">
        <f t="shared" si="820"/>
        <v>12.232804896346776</v>
      </c>
      <c r="CU312" s="188">
        <f t="shared" si="821"/>
        <v>1.0194004080288981</v>
      </c>
      <c r="CV312" s="188">
        <f t="shared" si="822"/>
        <v>14.441505780409388</v>
      </c>
      <c r="CW312" s="188">
        <f t="shared" si="823"/>
        <v>170</v>
      </c>
      <c r="CX312" s="188">
        <f t="shared" si="824"/>
        <v>31.391001757469244</v>
      </c>
      <c r="CY312" s="188">
        <f t="shared" si="825"/>
        <v>2.9429064147627417</v>
      </c>
      <c r="CZ312" s="188">
        <f t="shared" si="826"/>
        <v>5.4593046534729126</v>
      </c>
      <c r="DA312" s="172">
        <f t="shared" si="827"/>
        <v>280.20304568527916</v>
      </c>
      <c r="DB312" s="379">
        <f t="shared" si="828"/>
        <v>119.01629129271396</v>
      </c>
      <c r="DD312" s="188">
        <f t="shared" si="829"/>
        <v>13.333333333333332</v>
      </c>
      <c r="DE312" s="150">
        <f t="shared" si="830"/>
        <v>2.318840579710145</v>
      </c>
      <c r="DF312" s="150">
        <f t="shared" si="831"/>
        <v>0.20230192819025303</v>
      </c>
      <c r="DG312" s="150"/>
      <c r="DH312" s="150">
        <f t="shared" si="832"/>
        <v>2.3188405797101455</v>
      </c>
      <c r="DI312" s="314">
        <f t="shared" si="833"/>
        <v>664.83529411764675</v>
      </c>
      <c r="DJ312" s="456">
        <f t="shared" si="834"/>
        <v>0.20230192819025311</v>
      </c>
      <c r="DL312" s="150">
        <f t="shared" si="835"/>
        <v>18.242806801586209</v>
      </c>
      <c r="DM312" s="150">
        <f t="shared" si="836"/>
        <v>31.391001757469244</v>
      </c>
      <c r="DN312" s="150">
        <f t="shared" si="837"/>
        <v>14.57605068454512</v>
      </c>
      <c r="DP312" s="314">
        <f t="shared" si="838"/>
        <v>480</v>
      </c>
      <c r="DQ312" s="144">
        <f t="shared" si="839"/>
        <v>119.01629129271396</v>
      </c>
      <c r="DS312">
        <f t="shared" si="840"/>
        <v>480</v>
      </c>
      <c r="DT312">
        <f t="shared" si="841"/>
        <v>119.01629129271396</v>
      </c>
      <c r="DV312" s="5">
        <f t="shared" si="870"/>
        <v>8.4022110682356548</v>
      </c>
      <c r="DW312" s="5">
        <f t="shared" si="842"/>
        <v>2.9429064147627417</v>
      </c>
      <c r="DX312" s="5">
        <f t="shared" si="843"/>
        <v>5.4593046534729126</v>
      </c>
      <c r="DY312" s="150">
        <f t="shared" si="844"/>
        <v>0.35025380710659892</v>
      </c>
      <c r="EA312" s="5">
        <f t="shared" si="871"/>
        <v>0.83093828181536233</v>
      </c>
      <c r="EB312" s="5">
        <f t="shared" si="872"/>
        <v>11.771625659050965</v>
      </c>
      <c r="EC312" s="5">
        <f t="shared" si="873"/>
        <v>46.40408955451975</v>
      </c>
      <c r="ED312" s="5"/>
      <c r="EE312" s="150">
        <f t="shared" si="874"/>
        <v>10.725955236709867</v>
      </c>
      <c r="EF312" s="150">
        <f t="shared" si="875"/>
        <v>0.68228206833353711</v>
      </c>
      <c r="EG312" s="150">
        <f t="shared" si="876"/>
        <v>0.64904590140184815</v>
      </c>
      <c r="EH312" s="150"/>
      <c r="EI312" s="456">
        <f t="shared" si="877"/>
        <v>0.39115679351567295</v>
      </c>
      <c r="EJ312" s="456">
        <f t="shared" si="878"/>
        <v>2.7967999999999997</v>
      </c>
      <c r="EK312" s="456">
        <f t="shared" si="879"/>
        <v>2.7254730706031495E-2</v>
      </c>
      <c r="EL312" s="456">
        <f t="shared" si="880"/>
        <v>4.9436698834587046E-2</v>
      </c>
      <c r="EM312">
        <f t="shared" si="881"/>
        <v>7.1999999999999998E-3</v>
      </c>
      <c r="EN312" s="144">
        <f t="shared" si="882"/>
        <v>34.454730706031491</v>
      </c>
      <c r="EP312" s="144">
        <f t="shared" si="883"/>
        <v>3271.8482230562909</v>
      </c>
      <c r="EQ312" s="150">
        <f t="shared" si="884"/>
        <v>1.2</v>
      </c>
      <c r="ER312" s="150">
        <f t="shared" si="845"/>
        <v>0.34079999999999999</v>
      </c>
      <c r="ES312" s="456"/>
      <c r="EU312" s="144">
        <f t="shared" si="885"/>
        <v>1540.8</v>
      </c>
      <c r="EV312" s="456">
        <f t="shared" si="886"/>
        <v>0.17256917360985571</v>
      </c>
      <c r="EW312" s="456">
        <f t="shared" si="887"/>
        <v>9.3101764153897884E-2</v>
      </c>
      <c r="EX312" s="456">
        <f t="shared" si="888"/>
        <v>1.2637817463796127E-2</v>
      </c>
      <c r="EY312" s="456">
        <f t="shared" si="889"/>
        <v>42.657851179101606</v>
      </c>
      <c r="EZ312" s="456"/>
      <c r="FA312" s="538">
        <f t="shared" si="890"/>
        <v>0.11727805732739778</v>
      </c>
      <c r="FB312" s="144">
        <f t="shared" si="891"/>
        <v>43053.437991656552</v>
      </c>
      <c r="FC312" s="150">
        <f t="shared" si="892"/>
        <v>47.866086214712844</v>
      </c>
      <c r="FD312" s="5">
        <f t="shared" si="893"/>
        <v>87.36</v>
      </c>
      <c r="FE312" s="150">
        <f t="shared" si="894"/>
        <v>0.64602919780795276</v>
      </c>
      <c r="FF312" s="5">
        <f t="shared" si="895"/>
        <v>64.602919780795276</v>
      </c>
      <c r="FG312">
        <f t="shared" si="896"/>
        <v>96</v>
      </c>
      <c r="FI312" s="59">
        <f t="shared" si="846"/>
        <v>-50</v>
      </c>
    </row>
    <row r="313" spans="5:169">
      <c r="E313" s="147">
        <v>97</v>
      </c>
      <c r="F313" s="188">
        <f>IF(PLOT_TYPE=1, E313/100*Iout_max, min_I*EXP(O313*rr/100))</f>
        <v>0.48499999999999999</v>
      </c>
      <c r="G313" s="188">
        <f t="shared" si="775"/>
        <v>0.48499999999999999</v>
      </c>
      <c r="H313" s="188">
        <f t="shared" si="776"/>
        <v>82.45</v>
      </c>
      <c r="I313" s="188">
        <f t="shared" si="777"/>
        <v>5.82</v>
      </c>
      <c r="J313" s="465">
        <f t="shared" si="778"/>
        <v>15.905266566813673</v>
      </c>
      <c r="K313" s="379">
        <f t="shared" si="779"/>
        <v>8.6802799233295964</v>
      </c>
      <c r="L313" s="149">
        <f t="shared" si="780"/>
        <v>24.585546490143269</v>
      </c>
      <c r="M313" s="379"/>
      <c r="N313" s="188">
        <f t="shared" si="781"/>
        <v>0.35306434725010716</v>
      </c>
      <c r="O313" s="149">
        <f>N313*J313*Isw_max*0.5*Efficiency*Pout/(Pout+Pout2)</f>
        <v>174.84414558657031</v>
      </c>
      <c r="P313" s="149">
        <f t="shared" si="783"/>
        <v>12.341939688463786</v>
      </c>
      <c r="Q313" s="188">
        <f t="shared" si="784"/>
        <v>1.0284949740386489</v>
      </c>
      <c r="R313" s="188">
        <f t="shared" si="785"/>
        <v>14.570345465547526</v>
      </c>
      <c r="S313" s="188">
        <f t="shared" si="786"/>
        <v>170</v>
      </c>
      <c r="T313" s="188">
        <f t="shared" si="787"/>
        <v>31.437521961209232</v>
      </c>
      <c r="U313" s="188">
        <f t="shared" si="788"/>
        <v>2.9648219188105527</v>
      </c>
      <c r="V313" s="188">
        <f t="shared" si="789"/>
        <v>5.4325762945817022</v>
      </c>
      <c r="W313" s="172">
        <f t="shared" si="790"/>
        <v>280.77912791255108</v>
      </c>
      <c r="X313" s="379">
        <f t="shared" si="848"/>
        <v>116.31425870704581</v>
      </c>
      <c r="Z313" s="188">
        <f t="shared" si="791"/>
        <v>13.333333333333334</v>
      </c>
      <c r="AA313" s="150">
        <f t="shared" si="792"/>
        <v>2.3040731608489842</v>
      </c>
      <c r="AB313" s="150">
        <f>0.5*AA313*Z313*Nps*W313/1000*(Pout/(Pout+Pout2))</f>
        <v>0.20142685158879448</v>
      </c>
      <c r="AC313" s="150"/>
      <c r="AD313" s="150">
        <f t="shared" si="794"/>
        <v>2.3040731608489842</v>
      </c>
      <c r="AE313" s="314">
        <f>MAX(10, F313/(0.5*AD313/1000000*Isw_min*Nps)/1000*Pout_total/Pout)</f>
        <v>676.06615485203235</v>
      </c>
      <c r="AF313" s="456">
        <f t="shared" si="796"/>
        <v>0.20142685158879448</v>
      </c>
      <c r="AH313" s="150">
        <f t="shared" si="797"/>
        <v>18.33757526683031</v>
      </c>
      <c r="AI313" s="150">
        <f>MAX(IF(F313&gt;AB313,T313,AH313),Isw_min)</f>
        <v>31.437521961209232</v>
      </c>
      <c r="AJ313" s="150">
        <f>IF(F313&gt;AF313, (AI313-Isw_min)/1.08*0.8+1.2, AE313*0.2/350+1)</f>
        <v>14.610510094722887</v>
      </c>
      <c r="AL313" s="314">
        <f t="shared" si="800"/>
        <v>485</v>
      </c>
      <c r="AM313" s="144">
        <f t="shared" si="801"/>
        <v>116.31425870704581</v>
      </c>
      <c r="AO313">
        <f t="shared" si="802"/>
        <v>485</v>
      </c>
      <c r="AP313">
        <f t="shared" si="803"/>
        <v>116.31425870704581</v>
      </c>
      <c r="AR313" s="5">
        <f t="shared" si="774"/>
        <v>8.5973982133922533</v>
      </c>
      <c r="AS313" s="5">
        <f t="shared" si="897"/>
        <v>2.9648219188105527</v>
      </c>
      <c r="AT313" s="5">
        <f t="shared" si="898"/>
        <v>5.6325762945817006</v>
      </c>
      <c r="AU313" s="150">
        <f t="shared" si="899"/>
        <v>0.34485106368485058</v>
      </c>
      <c r="BA313" s="150">
        <f t="shared" si="849"/>
        <v>10.658680971033585</v>
      </c>
      <c r="BB313" s="150">
        <f t="shared" si="850"/>
        <v>0.68612814786008502</v>
      </c>
      <c r="BC313" s="150">
        <f t="shared" si="851"/>
        <v>0.65270462595145962</v>
      </c>
      <c r="BD313" s="150"/>
      <c r="BE313" s="456">
        <f t="shared" si="852"/>
        <v>0.38626543214372966</v>
      </c>
      <c r="BF313" s="456">
        <f t="shared" si="804"/>
        <v>2.1531121268027804</v>
      </c>
      <c r="BG313" s="456">
        <f t="shared" si="805"/>
        <v>8.4730425493765638E-2</v>
      </c>
      <c r="BH313" s="456">
        <f t="shared" si="853"/>
        <v>4.8159643258706586E-2</v>
      </c>
      <c r="BI313">
        <f t="shared" si="854"/>
        <v>7.1573699550661523E-3</v>
      </c>
      <c r="BJ313" s="144">
        <f t="shared" si="855"/>
        <v>91.887795448831781</v>
      </c>
      <c r="BK313">
        <f t="shared" si="806"/>
        <v>2.9638402473499776</v>
      </c>
      <c r="BL313" s="144">
        <f t="shared" si="856"/>
        <v>2679.4249976540482</v>
      </c>
      <c r="BM313" s="150">
        <f t="shared" si="807"/>
        <v>1.0760937499999998</v>
      </c>
      <c r="BN313" s="150">
        <f t="shared" si="808"/>
        <v>0.34434999999999999</v>
      </c>
      <c r="BQ313" s="144">
        <f t="shared" si="857"/>
        <v>1420.4437499999997</v>
      </c>
      <c r="BR313" s="456">
        <f t="shared" si="858"/>
        <v>0.17041122006341017</v>
      </c>
      <c r="BS313" s="456">
        <f t="shared" si="859"/>
        <v>9.4154367057182151E-2</v>
      </c>
      <c r="BT313" s="456">
        <f t="shared" si="860"/>
        <v>1.2780699862153043E-2</v>
      </c>
      <c r="BU313" s="456">
        <f t="shared" si="861"/>
        <v>40.427153341061775</v>
      </c>
      <c r="BV313" s="456"/>
      <c r="BW313" s="538">
        <f t="shared" si="862"/>
        <v>0.11495545076904781</v>
      </c>
      <c r="BX313" s="144">
        <f t="shared" si="863"/>
        <v>40819.455078813568</v>
      </c>
      <c r="BY313" s="150">
        <f t="shared" si="864"/>
        <v>44.919323826467618</v>
      </c>
      <c r="BZ313" s="5">
        <f t="shared" si="865"/>
        <v>88.27000000000001</v>
      </c>
      <c r="CA313" s="150">
        <f t="shared" si="866"/>
        <v>0.66274080732632146</v>
      </c>
      <c r="CB313" s="5">
        <f t="shared" si="867"/>
        <v>66.274080732632143</v>
      </c>
      <c r="CC313">
        <f t="shared" si="868"/>
        <v>97</v>
      </c>
      <c r="CE313" s="59">
        <f t="shared" si="809"/>
        <v>-50</v>
      </c>
      <c r="CG313" s="150">
        <f t="shared" si="810"/>
        <v>0.63502377808469512</v>
      </c>
      <c r="CH313" s="150">
        <f t="shared" si="811"/>
        <v>0.17735551404972849</v>
      </c>
      <c r="CI313" s="147">
        <v>97</v>
      </c>
      <c r="CJ313" s="188">
        <f t="shared" si="869"/>
        <v>0.48499999999999999</v>
      </c>
      <c r="CK313" s="188">
        <f t="shared" si="812"/>
        <v>0.48499999999999999</v>
      </c>
      <c r="CL313" s="188">
        <f t="shared" si="813"/>
        <v>82.45</v>
      </c>
      <c r="CM313" s="188">
        <f t="shared" si="814"/>
        <v>5.82</v>
      </c>
      <c r="CN313" s="465">
        <f t="shared" si="815"/>
        <v>16</v>
      </c>
      <c r="CO313" s="379">
        <f t="shared" si="816"/>
        <v>8.625</v>
      </c>
      <c r="CP313" s="379">
        <f t="shared" si="817"/>
        <v>24.625</v>
      </c>
      <c r="CQ313" s="379"/>
      <c r="CR313" s="188">
        <f t="shared" si="818"/>
        <v>0.34787038923986141</v>
      </c>
      <c r="CS313" s="149">
        <f t="shared" si="819"/>
        <v>173.29806936491266</v>
      </c>
      <c r="CT313" s="149">
        <f t="shared" si="820"/>
        <v>12.232804896346776</v>
      </c>
      <c r="CU313" s="188">
        <f t="shared" si="821"/>
        <v>1.0194004080288981</v>
      </c>
      <c r="CV313" s="188">
        <f t="shared" si="822"/>
        <v>14.441505780409388</v>
      </c>
      <c r="CW313" s="188">
        <f t="shared" si="823"/>
        <v>170</v>
      </c>
      <c r="CX313" s="188">
        <f t="shared" si="824"/>
        <v>31.717991359109554</v>
      </c>
      <c r="CY313" s="188">
        <f t="shared" si="825"/>
        <v>2.9735616899165205</v>
      </c>
      <c r="CZ313" s="188">
        <f t="shared" si="826"/>
        <v>5.516172410279923</v>
      </c>
      <c r="DA313" s="172">
        <f t="shared" si="827"/>
        <v>280.20304568527916</v>
      </c>
      <c r="DB313" s="379">
        <f t="shared" si="828"/>
        <v>117.78931921753133</v>
      </c>
      <c r="DD313" s="188">
        <f t="shared" si="829"/>
        <v>13.333333333333332</v>
      </c>
      <c r="DE313" s="150">
        <f t="shared" si="830"/>
        <v>2.318840579710145</v>
      </c>
      <c r="DF313" s="150">
        <f t="shared" si="831"/>
        <v>0.20230192819025303</v>
      </c>
      <c r="DG313" s="150"/>
      <c r="DH313" s="150">
        <f t="shared" si="832"/>
        <v>2.3188405797101455</v>
      </c>
      <c r="DI313" s="314">
        <f t="shared" si="833"/>
        <v>671.76066176470567</v>
      </c>
      <c r="DJ313" s="456">
        <f t="shared" si="834"/>
        <v>0.20230192819025311</v>
      </c>
      <c r="DL313" s="150">
        <f t="shared" si="835"/>
        <v>18.33757526683031</v>
      </c>
      <c r="DM313" s="150">
        <f t="shared" si="836"/>
        <v>31.717991359109554</v>
      </c>
      <c r="DN313" s="150">
        <f t="shared" si="837"/>
        <v>14.81826520427868</v>
      </c>
      <c r="DP313" s="314">
        <f t="shared" si="838"/>
        <v>485</v>
      </c>
      <c r="DQ313" s="144">
        <f t="shared" si="839"/>
        <v>117.78931921753133</v>
      </c>
      <c r="DS313">
        <f t="shared" si="840"/>
        <v>485</v>
      </c>
      <c r="DT313">
        <f t="shared" si="841"/>
        <v>117.78931921753133</v>
      </c>
      <c r="DV313" s="5">
        <f t="shared" si="870"/>
        <v>8.4897341001964435</v>
      </c>
      <c r="DW313" s="5">
        <f t="shared" si="842"/>
        <v>2.9735616899165205</v>
      </c>
      <c r="DX313" s="5">
        <f t="shared" si="843"/>
        <v>5.516172410279923</v>
      </c>
      <c r="DY313" s="150">
        <f t="shared" si="844"/>
        <v>0.35025380710659892</v>
      </c>
      <c r="EA313" s="5">
        <f t="shared" si="871"/>
        <v>0.84833965859383076</v>
      </c>
      <c r="EB313" s="5">
        <f t="shared" si="872"/>
        <v>12.018145163412601</v>
      </c>
      <c r="EC313" s="5">
        <f t="shared" si="873"/>
        <v>47.375876586206203</v>
      </c>
      <c r="ED313" s="5"/>
      <c r="EE313" s="150">
        <f t="shared" si="874"/>
        <v>10.837683937092262</v>
      </c>
      <c r="EF313" s="150">
        <f t="shared" si="875"/>
        <v>0.68938917321201143</v>
      </c>
      <c r="EG313" s="150">
        <f t="shared" si="876"/>
        <v>0.65580679620811744</v>
      </c>
      <c r="EH313" s="150"/>
      <c r="EI313" s="456">
        <f t="shared" si="877"/>
        <v>0.39934833660904595</v>
      </c>
      <c r="EJ313" s="456">
        <f t="shared" si="878"/>
        <v>2.7968000000000002</v>
      </c>
      <c r="EK313" s="456">
        <f t="shared" si="879"/>
        <v>2.6973754100814675E-2</v>
      </c>
      <c r="EL313" s="456">
        <f t="shared" si="880"/>
        <v>4.8927042145570684E-2</v>
      </c>
      <c r="EM313">
        <f t="shared" si="881"/>
        <v>7.1999999999999998E-3</v>
      </c>
      <c r="EN313" s="144">
        <f t="shared" si="882"/>
        <v>34.173754100814676</v>
      </c>
      <c r="EP313" s="144">
        <f t="shared" si="883"/>
        <v>3279.2491328554311</v>
      </c>
      <c r="EQ313" s="150">
        <f t="shared" si="884"/>
        <v>1.2124999999999999</v>
      </c>
      <c r="ER313" s="150">
        <f t="shared" si="845"/>
        <v>0.34434999999999999</v>
      </c>
      <c r="ES313" s="456"/>
      <c r="EU313" s="144">
        <f t="shared" si="885"/>
        <v>1556.85</v>
      </c>
      <c r="EV313" s="456">
        <f t="shared" si="886"/>
        <v>0.17618308968046145</v>
      </c>
      <c r="EW313" s="456">
        <f t="shared" si="887"/>
        <v>9.5051486428388149E-2</v>
      </c>
      <c r="EX313" s="456">
        <f t="shared" si="888"/>
        <v>1.2902476618582659E-2</v>
      </c>
      <c r="EY313" s="456">
        <f t="shared" si="889"/>
        <v>42.657851179101598</v>
      </c>
      <c r="EZ313" s="456"/>
      <c r="FA313" s="538">
        <f t="shared" si="890"/>
        <v>0.11849970375789155</v>
      </c>
      <c r="FB313" s="144">
        <f t="shared" si="891"/>
        <v>43060.48793558692</v>
      </c>
      <c r="FC313" s="150">
        <f t="shared" si="892"/>
        <v>47.896587068442351</v>
      </c>
      <c r="FD313" s="5">
        <f t="shared" si="893"/>
        <v>88.27000000000001</v>
      </c>
      <c r="FE313" s="150">
        <f t="shared" si="894"/>
        <v>0.64825007294654624</v>
      </c>
      <c r="FF313" s="5">
        <f t="shared" si="895"/>
        <v>64.825007294654625</v>
      </c>
      <c r="FG313">
        <f t="shared" si="896"/>
        <v>97</v>
      </c>
      <c r="FI313" s="59">
        <f t="shared" si="846"/>
        <v>-50</v>
      </c>
    </row>
    <row r="314" spans="5:169">
      <c r="E314" s="147">
        <v>98</v>
      </c>
      <c r="F314" s="188">
        <f>IF(PLOT_TYPE=1, E314/100*Iout_max, min_I*EXP(O314*rr/100))</f>
        <v>0.49</v>
      </c>
      <c r="G314" s="188">
        <f t="shared" si="775"/>
        <v>0.49</v>
      </c>
      <c r="H314" s="188">
        <f t="shared" si="776"/>
        <v>83.3</v>
      </c>
      <c r="I314" s="188">
        <f t="shared" si="777"/>
        <v>5.88</v>
      </c>
      <c r="J314" s="465">
        <f t="shared" si="778"/>
        <v>15.904289933481854</v>
      </c>
      <c r="K314" s="379">
        <f t="shared" si="779"/>
        <v>8.6808498194463954</v>
      </c>
      <c r="L314" s="149">
        <f t="shared" si="780"/>
        <v>24.585139752928249</v>
      </c>
      <c r="M314" s="379"/>
      <c r="N314" s="188">
        <f t="shared" si="781"/>
        <v>0.35309336886777104</v>
      </c>
      <c r="O314" s="149">
        <f>N314*J314*Isw_max*0.5*Efficiency*Pout/(Pout+Pout2)</f>
        <v>174.84778077851479</v>
      </c>
      <c r="P314" s="149">
        <f t="shared" si="783"/>
        <v>12.342196290248102</v>
      </c>
      <c r="Q314" s="188">
        <f t="shared" si="784"/>
        <v>1.0285163575206753</v>
      </c>
      <c r="R314" s="188">
        <f t="shared" si="785"/>
        <v>14.570648398209565</v>
      </c>
      <c r="S314" s="188">
        <f t="shared" si="786"/>
        <v>170</v>
      </c>
      <c r="T314" s="188">
        <f t="shared" si="787"/>
        <v>31.760959782314405</v>
      </c>
      <c r="U314" s="188">
        <f t="shared" si="788"/>
        <v>2.9955087509550755</v>
      </c>
      <c r="V314" s="188">
        <f t="shared" si="789"/>
        <v>5.4881078079184942</v>
      </c>
      <c r="W314" s="172">
        <f t="shared" si="790"/>
        <v>280.78496560314426</v>
      </c>
      <c r="X314" s="379">
        <f t="shared" si="848"/>
        <v>115.15939162216061</v>
      </c>
      <c r="Z314" s="188">
        <f t="shared" si="791"/>
        <v>13.333333333333334</v>
      </c>
      <c r="AA314" s="150">
        <f t="shared" si="792"/>
        <v>2.3039218988902475</v>
      </c>
      <c r="AB314" s="150">
        <f>0.5*AA314*Z314*Nps*W314/1000*(Pout/(Pout+Pout2))</f>
        <v>0.20141781555399071</v>
      </c>
      <c r="AC314" s="150"/>
      <c r="AD314" s="150">
        <f t="shared" si="794"/>
        <v>2.3039218988902475</v>
      </c>
      <c r="AE314" s="314">
        <f>MAX(10, F314/(0.5*AD314/1000000*Isw_min*Nps)/1000*Pout_total/Pout)</f>
        <v>683.08075314549637</v>
      </c>
      <c r="AF314" s="456">
        <f t="shared" si="796"/>
        <v>0.20141781555399074</v>
      </c>
      <c r="AH314" s="150">
        <f t="shared" si="797"/>
        <v>18.431856480922733</v>
      </c>
      <c r="AI314" s="150">
        <f>MAX(IF(F314&gt;AB314,T314,AH314),Isw_min)</f>
        <v>31.760959782314405</v>
      </c>
      <c r="AJ314" s="150">
        <f>IF(F314&gt;AF314, (AI314-Isw_min)/1.08*0.8+1.2, AE314*0.2/350+1)</f>
        <v>14.850093665911904</v>
      </c>
      <c r="AL314" s="314">
        <f t="shared" si="800"/>
        <v>490</v>
      </c>
      <c r="AM314" s="144">
        <f t="shared" si="801"/>
        <v>115.15939162216061</v>
      </c>
      <c r="AO314">
        <f t="shared" si="802"/>
        <v>490</v>
      </c>
      <c r="AP314">
        <f t="shared" si="803"/>
        <v>115.15939162216061</v>
      </c>
      <c r="AR314" s="5">
        <f t="shared" si="774"/>
        <v>8.6836165588735685</v>
      </c>
      <c r="AS314" s="5">
        <f t="shared" si="897"/>
        <v>2.9955087509550755</v>
      </c>
      <c r="AT314" s="5">
        <f t="shared" si="898"/>
        <v>5.6881078079184935</v>
      </c>
      <c r="AU314" s="150">
        <f t="shared" si="899"/>
        <v>0.34496096535884474</v>
      </c>
      <c r="BA314" s="150">
        <f t="shared" si="849"/>
        <v>10.770056156503411</v>
      </c>
      <c r="BB314" s="150">
        <f t="shared" si="850"/>
        <v>0.69312907808649182</v>
      </c>
      <c r="BC314" s="150">
        <f t="shared" si="851"/>
        <v>0.65936451821646958</v>
      </c>
      <c r="BD314" s="150"/>
      <c r="BE314" s="456">
        <f t="shared" si="852"/>
        <v>0.39437997268840591</v>
      </c>
      <c r="BF314" s="456">
        <f t="shared" si="804"/>
        <v>2.1536304292007045</v>
      </c>
      <c r="BG314" s="456">
        <f t="shared" si="805"/>
        <v>8.3883998563837839E-2</v>
      </c>
      <c r="BH314" s="456">
        <f t="shared" si="853"/>
        <v>4.7679895630185674E-2</v>
      </c>
      <c r="BI314">
        <f t="shared" si="854"/>
        <v>7.1569304700668341E-3</v>
      </c>
      <c r="BJ314" s="144">
        <f t="shared" si="855"/>
        <v>91.040929033904675</v>
      </c>
      <c r="BK314">
        <f t="shared" si="806"/>
        <v>2.9815589190613951</v>
      </c>
      <c r="BL314" s="144">
        <f t="shared" si="856"/>
        <v>2686.7312265532009</v>
      </c>
      <c r="BM314" s="150">
        <f t="shared" si="807"/>
        <v>1.0871875</v>
      </c>
      <c r="BN314" s="150">
        <f t="shared" si="808"/>
        <v>0.34789999999999999</v>
      </c>
      <c r="BQ314" s="144">
        <f t="shared" si="857"/>
        <v>1435.0874999999999</v>
      </c>
      <c r="BR314" s="456">
        <f t="shared" si="858"/>
        <v>0.17399116442135557</v>
      </c>
      <c r="BS314" s="456">
        <f t="shared" si="859"/>
        <v>9.6085583777806016E-2</v>
      </c>
      <c r="BT314" s="456">
        <f t="shared" si="860"/>
        <v>1.3042847036485112E-2</v>
      </c>
      <c r="BU314" s="456">
        <f t="shared" si="861"/>
        <v>40.453160137851803</v>
      </c>
      <c r="BV314" s="456"/>
      <c r="BW314" s="538">
        <f t="shared" si="862"/>
        <v>0.1161680227880362</v>
      </c>
      <c r="BX314" s="144">
        <f t="shared" si="863"/>
        <v>40852.447755875488</v>
      </c>
      <c r="BY314" s="150">
        <f t="shared" si="864"/>
        <v>44.974266482428689</v>
      </c>
      <c r="BZ314" s="5">
        <f t="shared" si="865"/>
        <v>89.179999999999993</v>
      </c>
      <c r="CA314" s="150">
        <f t="shared" si="866"/>
        <v>0.66475709150614792</v>
      </c>
      <c r="CB314" s="5">
        <f t="shared" si="867"/>
        <v>66.47570915061479</v>
      </c>
      <c r="CC314">
        <f t="shared" si="868"/>
        <v>98</v>
      </c>
      <c r="CE314" s="59">
        <f t="shared" si="809"/>
        <v>-50</v>
      </c>
      <c r="CG314" s="150">
        <f t="shared" si="810"/>
        <v>0.63502377808469523</v>
      </c>
      <c r="CH314" s="150">
        <f t="shared" si="811"/>
        <v>0.17735551404972849</v>
      </c>
      <c r="CI314" s="147">
        <v>98</v>
      </c>
      <c r="CJ314" s="188">
        <f t="shared" si="869"/>
        <v>0.49</v>
      </c>
      <c r="CK314" s="188">
        <f t="shared" si="812"/>
        <v>0.49</v>
      </c>
      <c r="CL314" s="188">
        <f t="shared" si="813"/>
        <v>83.3</v>
      </c>
      <c r="CM314" s="188">
        <f t="shared" si="814"/>
        <v>5.88</v>
      </c>
      <c r="CN314" s="465">
        <f t="shared" si="815"/>
        <v>16</v>
      </c>
      <c r="CO314" s="379">
        <f t="shared" si="816"/>
        <v>8.625</v>
      </c>
      <c r="CP314" s="379">
        <f t="shared" si="817"/>
        <v>24.625</v>
      </c>
      <c r="CQ314" s="379"/>
      <c r="CR314" s="188">
        <f t="shared" si="818"/>
        <v>0.34787038923986141</v>
      </c>
      <c r="CS314" s="149">
        <f t="shared" si="819"/>
        <v>173.29806936491266</v>
      </c>
      <c r="CT314" s="149">
        <f t="shared" si="820"/>
        <v>12.232804896346776</v>
      </c>
      <c r="CU314" s="188">
        <f t="shared" si="821"/>
        <v>1.0194004080288981</v>
      </c>
      <c r="CV314" s="188">
        <f t="shared" si="822"/>
        <v>14.441505780409388</v>
      </c>
      <c r="CW314" s="188">
        <f t="shared" si="823"/>
        <v>170</v>
      </c>
      <c r="CX314" s="188">
        <f t="shared" si="824"/>
        <v>32.044980960749854</v>
      </c>
      <c r="CY314" s="188">
        <f t="shared" si="825"/>
        <v>3.0042169650702992</v>
      </c>
      <c r="CZ314" s="188">
        <f t="shared" si="826"/>
        <v>5.5730401670869316</v>
      </c>
      <c r="DA314" s="172">
        <f t="shared" si="827"/>
        <v>280.20304568527916</v>
      </c>
      <c r="DB314" s="379">
        <f t="shared" si="828"/>
        <v>116.58738738878102</v>
      </c>
      <c r="DD314" s="188">
        <f t="shared" si="829"/>
        <v>13.333333333333332</v>
      </c>
      <c r="DE314" s="150">
        <f t="shared" si="830"/>
        <v>2.318840579710145</v>
      </c>
      <c r="DF314" s="150">
        <f t="shared" si="831"/>
        <v>0.20230192819025303</v>
      </c>
      <c r="DG314" s="150"/>
      <c r="DH314" s="150">
        <f t="shared" si="832"/>
        <v>2.3188405797101455</v>
      </c>
      <c r="DI314" s="314">
        <f t="shared" si="833"/>
        <v>678.68602941176448</v>
      </c>
      <c r="DJ314" s="456">
        <f t="shared" si="834"/>
        <v>0.20230192819025311</v>
      </c>
      <c r="DL314" s="150">
        <f t="shared" si="835"/>
        <v>18.431856480922733</v>
      </c>
      <c r="DM314" s="150">
        <f t="shared" si="836"/>
        <v>32.044980960749854</v>
      </c>
      <c r="DN314" s="150">
        <f t="shared" si="837"/>
        <v>15.060479724012234</v>
      </c>
      <c r="DP314" s="314">
        <f t="shared" si="838"/>
        <v>490</v>
      </c>
      <c r="DQ314" s="144">
        <f t="shared" si="839"/>
        <v>116.58738738878102</v>
      </c>
      <c r="DS314">
        <f t="shared" si="840"/>
        <v>490</v>
      </c>
      <c r="DT314">
        <f t="shared" si="841"/>
        <v>116.58738738878102</v>
      </c>
      <c r="DV314" s="5">
        <f t="shared" si="870"/>
        <v>8.5772571321572304</v>
      </c>
      <c r="DW314" s="5">
        <f t="shared" si="842"/>
        <v>3.0042169650702992</v>
      </c>
      <c r="DX314" s="5">
        <f t="shared" si="843"/>
        <v>5.5730401670869316</v>
      </c>
      <c r="DY314" s="150">
        <f t="shared" si="844"/>
        <v>0.35025380710659904</v>
      </c>
      <c r="EA314" s="5">
        <f t="shared" si="871"/>
        <v>0.8659213605202627</v>
      </c>
      <c r="EB314" s="5">
        <f t="shared" si="872"/>
        <v>12.267219274037057</v>
      </c>
      <c r="EC314" s="5">
        <f t="shared" si="873"/>
        <v>48.357733949827221</v>
      </c>
      <c r="ED314" s="5"/>
      <c r="EE314" s="150">
        <f t="shared" si="874"/>
        <v>10.949412637474657</v>
      </c>
      <c r="EF314" s="150">
        <f t="shared" si="875"/>
        <v>0.69649627809048564</v>
      </c>
      <c r="EG314" s="150">
        <f t="shared" si="876"/>
        <v>0.66256769101438651</v>
      </c>
      <c r="EH314" s="150"/>
      <c r="EI314" s="456">
        <f t="shared" si="877"/>
        <v>0.40762476615934501</v>
      </c>
      <c r="EJ314" s="456">
        <f t="shared" si="878"/>
        <v>2.7967999999999997</v>
      </c>
      <c r="EK314" s="456">
        <f t="shared" si="879"/>
        <v>2.6698511712030856E-2</v>
      </c>
      <c r="EL314" s="456">
        <f t="shared" si="880"/>
        <v>4.842778661347303E-2</v>
      </c>
      <c r="EM314">
        <f t="shared" si="881"/>
        <v>7.1999999999999998E-3</v>
      </c>
      <c r="EN314" s="144">
        <f t="shared" si="882"/>
        <v>33.89851171203086</v>
      </c>
      <c r="EP314" s="144">
        <f t="shared" si="883"/>
        <v>3286.7510644848489</v>
      </c>
      <c r="EQ314" s="150">
        <f t="shared" si="884"/>
        <v>1.2250000000000001</v>
      </c>
      <c r="ER314" s="150">
        <f t="shared" si="845"/>
        <v>0.34789999999999999</v>
      </c>
      <c r="ES314" s="456"/>
      <c r="EU314" s="144">
        <f t="shared" si="885"/>
        <v>1572.9</v>
      </c>
      <c r="EV314" s="456">
        <f t="shared" si="886"/>
        <v>0.17983445565853456</v>
      </c>
      <c r="EW314" s="456">
        <f t="shared" si="887"/>
        <v>9.7021413078779817E-2</v>
      </c>
      <c r="EX314" s="456">
        <f t="shared" si="888"/>
        <v>1.3169878355284066E-2</v>
      </c>
      <c r="EY314" s="456">
        <f t="shared" si="889"/>
        <v>42.657851179101591</v>
      </c>
      <c r="EZ314" s="456"/>
      <c r="FA314" s="538">
        <f t="shared" si="890"/>
        <v>0.11972135018838524</v>
      </c>
      <c r="FB314" s="144">
        <f t="shared" si="891"/>
        <v>43067.598276382574</v>
      </c>
      <c r="FC314" s="150">
        <f t="shared" si="892"/>
        <v>47.927249340867426</v>
      </c>
      <c r="FD314" s="5">
        <f t="shared" si="893"/>
        <v>89.179999999999993</v>
      </c>
      <c r="FE314" s="150">
        <f t="shared" si="894"/>
        <v>0.65043971364552933</v>
      </c>
      <c r="FF314" s="5">
        <f t="shared" si="895"/>
        <v>65.043971364552931</v>
      </c>
      <c r="FG314">
        <f t="shared" si="896"/>
        <v>98</v>
      </c>
      <c r="FI314" s="59">
        <f t="shared" si="846"/>
        <v>-50</v>
      </c>
    </row>
    <row r="315" spans="5:169">
      <c r="E315" s="147">
        <v>99</v>
      </c>
      <c r="F315" s="188">
        <f>IF(PLOT_TYPE=1, E315/100*Iout_max, min_I*EXP(O315*rr/100))</f>
        <v>0.495</v>
      </c>
      <c r="G315" s="188">
        <f t="shared" si="775"/>
        <v>0.495</v>
      </c>
      <c r="H315" s="188">
        <f t="shared" si="776"/>
        <v>84.15</v>
      </c>
      <c r="I315" s="188">
        <f t="shared" si="777"/>
        <v>5.9399999999999995</v>
      </c>
      <c r="J315" s="465">
        <f t="shared" si="778"/>
        <v>15.903313300150035</v>
      </c>
      <c r="K315" s="379">
        <f t="shared" si="779"/>
        <v>8.6814197155631962</v>
      </c>
      <c r="L315" s="149">
        <f t="shared" si="780"/>
        <v>24.584733015713233</v>
      </c>
      <c r="M315" s="379"/>
      <c r="N315" s="188">
        <f t="shared" si="781"/>
        <v>0.35312239144571966</v>
      </c>
      <c r="O315" s="149">
        <f>N315*J315*Isw_max*0.5*Efficiency*Pout/(Pout+Pout2)</f>
        <v>174.85141468097348</v>
      </c>
      <c r="P315" s="149">
        <f t="shared" si="783"/>
        <v>12.342452801009893</v>
      </c>
      <c r="Q315" s="188">
        <f t="shared" si="784"/>
        <v>1.028537733417491</v>
      </c>
      <c r="R315" s="188">
        <f t="shared" si="785"/>
        <v>14.570951223414456</v>
      </c>
      <c r="S315" s="188">
        <f t="shared" si="786"/>
        <v>170</v>
      </c>
      <c r="T315" s="188">
        <f t="shared" si="787"/>
        <v>32.084384391374641</v>
      </c>
      <c r="U315" s="188">
        <f t="shared" si="788"/>
        <v>3.0261981059385863</v>
      </c>
      <c r="V315" s="188">
        <f t="shared" si="789"/>
        <v>5.5436297476535277</v>
      </c>
      <c r="W315" s="172">
        <f t="shared" si="790"/>
        <v>280.79080122297501</v>
      </c>
      <c r="X315" s="379">
        <f t="shared" si="848"/>
        <v>114.02732376216494</v>
      </c>
      <c r="Z315" s="188">
        <f t="shared" si="791"/>
        <v>13.333333333333334</v>
      </c>
      <c r="AA315" s="150">
        <f t="shared" si="792"/>
        <v>2.3037706567908436</v>
      </c>
      <c r="AB315" s="150">
        <f>0.5*AA315*Z315*Nps*W315/1000*(Pout/(Pout+Pout2))</f>
        <v>0.20140877922019718</v>
      </c>
      <c r="AC315" s="150"/>
      <c r="AD315" s="150">
        <f t="shared" si="794"/>
        <v>2.3037706567908436</v>
      </c>
      <c r="AE315" s="314">
        <f>MAX(10, F315/(0.5*AD315/1000000*Isw_min*Nps)/1000*Pout_total/Pout)</f>
        <v>690.09626662507776</v>
      </c>
      <c r="AF315" s="456">
        <f t="shared" si="796"/>
        <v>0.2014087792201972</v>
      </c>
      <c r="AH315" s="150">
        <f t="shared" si="797"/>
        <v>18.525657883055057</v>
      </c>
      <c r="AI315" s="150">
        <f>MAX(IF(F315&gt;AB315,T315,AH315),Isw_min)</f>
        <v>32.084384391374641</v>
      </c>
      <c r="AJ315" s="150">
        <f>IF(F315&gt;AF315, (AI315-Isw_min)/1.08*0.8+1.2, AE315*0.2/350+1)</f>
        <v>15.089667450400967</v>
      </c>
      <c r="AL315" s="314">
        <f t="shared" si="800"/>
        <v>495</v>
      </c>
      <c r="AM315" s="144">
        <f t="shared" si="801"/>
        <v>114.02732376216494</v>
      </c>
      <c r="AO315">
        <f t="shared" si="802"/>
        <v>495</v>
      </c>
      <c r="AP315">
        <f t="shared" si="803"/>
        <v>114.02732376216494</v>
      </c>
      <c r="AR315" s="5">
        <f t="shared" si="774"/>
        <v>8.7698278535921137</v>
      </c>
      <c r="AS315" s="5">
        <f t="shared" si="897"/>
        <v>3.0261981059385863</v>
      </c>
      <c r="AT315" s="5">
        <f t="shared" si="898"/>
        <v>5.743629747653527</v>
      </c>
      <c r="AU315" s="150">
        <f t="shared" si="899"/>
        <v>0.34506927119430952</v>
      </c>
      <c r="BA315" s="150">
        <f t="shared" si="849"/>
        <v>10.881436368331938</v>
      </c>
      <c r="BB315" s="150">
        <f t="shared" si="850"/>
        <v>0.70012938385151724</v>
      </c>
      <c r="BC315" s="150">
        <f t="shared" si="851"/>
        <v>0.66602381643963271</v>
      </c>
      <c r="BD315" s="150"/>
      <c r="BE315" s="456">
        <f t="shared" si="852"/>
        <v>0.40257923528939366</v>
      </c>
      <c r="BF315" s="456">
        <f t="shared" si="804"/>
        <v>2.1541386667814026</v>
      </c>
      <c r="BG315" s="456">
        <f t="shared" si="805"/>
        <v>8.3054281259184709E-2</v>
      </c>
      <c r="BH315" s="456">
        <f t="shared" si="853"/>
        <v>4.7209619010519045E-2</v>
      </c>
      <c r="BI315">
        <f t="shared" si="854"/>
        <v>7.156490985067516E-3</v>
      </c>
      <c r="BJ315" s="144">
        <f t="shared" si="855"/>
        <v>90.210772244252226</v>
      </c>
      <c r="BK315">
        <f t="shared" si="806"/>
        <v>2.9995382232748486</v>
      </c>
      <c r="BL315" s="144">
        <f t="shared" si="856"/>
        <v>2694.1382933255672</v>
      </c>
      <c r="BM315" s="150">
        <f t="shared" si="807"/>
        <v>1.0982812499999999</v>
      </c>
      <c r="BN315" s="150">
        <f t="shared" si="808"/>
        <v>0.35144999999999998</v>
      </c>
      <c r="BQ315" s="144">
        <f t="shared" si="857"/>
        <v>1449.7312499999998</v>
      </c>
      <c r="BR315" s="456">
        <f t="shared" si="858"/>
        <v>0.17760848615708544</v>
      </c>
      <c r="BS315" s="456">
        <f t="shared" si="859"/>
        <v>9.803623082646104E-2</v>
      </c>
      <c r="BT315" s="456">
        <f t="shared" si="860"/>
        <v>1.3307631721944406E-2</v>
      </c>
      <c r="BU315" s="456">
        <f t="shared" si="861"/>
        <v>40.47870500625227</v>
      </c>
      <c r="BV315" s="456"/>
      <c r="BW315" s="538">
        <f t="shared" si="862"/>
        <v>0.11738060757393777</v>
      </c>
      <c r="BX315" s="144">
        <f t="shared" si="863"/>
        <v>40885.0379625317</v>
      </c>
      <c r="BY315" s="150">
        <f t="shared" si="864"/>
        <v>45.028907505857262</v>
      </c>
      <c r="BZ315" s="5">
        <f t="shared" si="865"/>
        <v>90.09</v>
      </c>
      <c r="CA315" s="150">
        <f t="shared" si="866"/>
        <v>0.66674606583904394</v>
      </c>
      <c r="CB315" s="5">
        <f t="shared" si="867"/>
        <v>66.674606583904392</v>
      </c>
      <c r="CC315">
        <f t="shared" si="868"/>
        <v>99</v>
      </c>
      <c r="CE315" s="59">
        <f t="shared" si="809"/>
        <v>-50</v>
      </c>
      <c r="CG315" s="150">
        <f t="shared" si="810"/>
        <v>0.63502377808469523</v>
      </c>
      <c r="CH315" s="150">
        <f t="shared" si="811"/>
        <v>0.17735551404972849</v>
      </c>
      <c r="CI315" s="147">
        <v>99</v>
      </c>
      <c r="CJ315" s="188">
        <f t="shared" si="869"/>
        <v>0.495</v>
      </c>
      <c r="CK315" s="188">
        <f t="shared" si="812"/>
        <v>0.495</v>
      </c>
      <c r="CL315" s="188">
        <f t="shared" si="813"/>
        <v>84.15</v>
      </c>
      <c r="CM315" s="188">
        <f t="shared" si="814"/>
        <v>5.9399999999999995</v>
      </c>
      <c r="CN315" s="465">
        <f t="shared" si="815"/>
        <v>16</v>
      </c>
      <c r="CO315" s="379">
        <f t="shared" si="816"/>
        <v>8.625</v>
      </c>
      <c r="CP315" s="379">
        <f t="shared" si="817"/>
        <v>24.625</v>
      </c>
      <c r="CQ315" s="379"/>
      <c r="CR315" s="188">
        <f t="shared" si="818"/>
        <v>0.34787038923986141</v>
      </c>
      <c r="CS315" s="149">
        <f t="shared" si="819"/>
        <v>173.29806936491266</v>
      </c>
      <c r="CT315" s="149">
        <f t="shared" si="820"/>
        <v>12.232804896346776</v>
      </c>
      <c r="CU315" s="188">
        <f t="shared" si="821"/>
        <v>1.0194004080288981</v>
      </c>
      <c r="CV315" s="188">
        <f t="shared" si="822"/>
        <v>14.441505780409388</v>
      </c>
      <c r="CW315" s="188">
        <f t="shared" si="823"/>
        <v>170</v>
      </c>
      <c r="CX315" s="188">
        <f t="shared" si="824"/>
        <v>32.37197056239016</v>
      </c>
      <c r="CY315" s="188">
        <f t="shared" si="825"/>
        <v>3.0348722402240775</v>
      </c>
      <c r="CZ315" s="188">
        <f t="shared" si="826"/>
        <v>5.6299079238939411</v>
      </c>
      <c r="DA315" s="172">
        <f t="shared" si="827"/>
        <v>280.20304568527916</v>
      </c>
      <c r="DB315" s="379">
        <f t="shared" si="828"/>
        <v>115.40973701111656</v>
      </c>
      <c r="DD315" s="188">
        <f t="shared" si="829"/>
        <v>13.333333333333332</v>
      </c>
      <c r="DE315" s="150">
        <f t="shared" si="830"/>
        <v>2.318840579710145</v>
      </c>
      <c r="DF315" s="150">
        <f t="shared" si="831"/>
        <v>0.20230192819025303</v>
      </c>
      <c r="DG315" s="150"/>
      <c r="DH315" s="150">
        <f t="shared" si="832"/>
        <v>2.3188405797101455</v>
      </c>
      <c r="DI315" s="314">
        <f t="shared" si="833"/>
        <v>685.61139705882329</v>
      </c>
      <c r="DJ315" s="456">
        <f t="shared" si="834"/>
        <v>0.20230192819025311</v>
      </c>
      <c r="DL315" s="150">
        <f t="shared" si="835"/>
        <v>18.525657883055057</v>
      </c>
      <c r="DM315" s="150">
        <f t="shared" si="836"/>
        <v>32.37197056239016</v>
      </c>
      <c r="DN315" s="150">
        <f t="shared" si="837"/>
        <v>15.302694243745796</v>
      </c>
      <c r="DP315" s="314">
        <f t="shared" si="838"/>
        <v>495</v>
      </c>
      <c r="DQ315" s="144">
        <f t="shared" si="839"/>
        <v>115.40973701111656</v>
      </c>
      <c r="DS315">
        <f t="shared" si="840"/>
        <v>495</v>
      </c>
      <c r="DT315">
        <f t="shared" si="841"/>
        <v>115.40973701111656</v>
      </c>
      <c r="DV315" s="5">
        <f t="shared" si="870"/>
        <v>8.6647801641180191</v>
      </c>
      <c r="DW315" s="5">
        <f t="shared" si="842"/>
        <v>3.0348722402240775</v>
      </c>
      <c r="DX315" s="5">
        <f t="shared" si="843"/>
        <v>5.629907923893942</v>
      </c>
      <c r="DY315" s="150">
        <f t="shared" si="844"/>
        <v>0.35025380710659898</v>
      </c>
      <c r="EA315" s="5">
        <f t="shared" si="871"/>
        <v>0.88368338759465792</v>
      </c>
      <c r="EB315" s="5">
        <f t="shared" si="872"/>
        <v>12.51884799092432</v>
      </c>
      <c r="EC315" s="5">
        <f t="shared" si="873"/>
        <v>49.349661645382831</v>
      </c>
      <c r="ED315" s="5"/>
      <c r="EE315" s="150">
        <f t="shared" si="874"/>
        <v>11.061141337857052</v>
      </c>
      <c r="EF315" s="150">
        <f t="shared" si="875"/>
        <v>0.70360338296896008</v>
      </c>
      <c r="EG315" s="150">
        <f t="shared" si="876"/>
        <v>0.66932858582065591</v>
      </c>
      <c r="EH315" s="150"/>
      <c r="EI315" s="456">
        <f t="shared" si="877"/>
        <v>0.41598608216657029</v>
      </c>
      <c r="EJ315" s="456">
        <f t="shared" si="878"/>
        <v>2.7968000000000002</v>
      </c>
      <c r="EK315" s="456">
        <f t="shared" si="879"/>
        <v>2.6428829775545695E-2</v>
      </c>
      <c r="EL315" s="456">
        <f t="shared" si="880"/>
        <v>4.7938617051720776E-2</v>
      </c>
      <c r="EM315">
        <f t="shared" si="881"/>
        <v>7.1999999999999998E-3</v>
      </c>
      <c r="EN315" s="144">
        <f t="shared" si="882"/>
        <v>33.628829775545697</v>
      </c>
      <c r="EP315" s="144">
        <f t="shared" si="883"/>
        <v>3294.3535289938368</v>
      </c>
      <c r="EQ315" s="150">
        <f t="shared" si="884"/>
        <v>1.2375</v>
      </c>
      <c r="ER315" s="150">
        <f t="shared" si="845"/>
        <v>0.35144999999999998</v>
      </c>
      <c r="ES315" s="456"/>
      <c r="EU315" s="144">
        <f t="shared" si="885"/>
        <v>1588.95</v>
      </c>
      <c r="EV315" s="456">
        <f t="shared" si="886"/>
        <v>0.18352327154407513</v>
      </c>
      <c r="EW315" s="456">
        <f t="shared" si="887"/>
        <v>9.9011544105073027E-2</v>
      </c>
      <c r="EX315" s="456">
        <f t="shared" si="888"/>
        <v>1.3440022673900374E-2</v>
      </c>
      <c r="EY315" s="456">
        <f t="shared" si="889"/>
        <v>42.657851179101598</v>
      </c>
      <c r="EZ315" s="456"/>
      <c r="FA315" s="538">
        <f t="shared" si="890"/>
        <v>0.12094299661887897</v>
      </c>
      <c r="FB315" s="144">
        <f t="shared" si="891"/>
        <v>43074.769014043522</v>
      </c>
      <c r="FC315" s="150">
        <f t="shared" si="892"/>
        <v>47.95807254303736</v>
      </c>
      <c r="FD315" s="5">
        <f t="shared" si="893"/>
        <v>90.09</v>
      </c>
      <c r="FE315" s="150">
        <f t="shared" si="894"/>
        <v>0.65259875303158521</v>
      </c>
      <c r="FF315" s="5">
        <f t="shared" si="895"/>
        <v>65.259875303158523</v>
      </c>
      <c r="FG315">
        <f t="shared" si="896"/>
        <v>99</v>
      </c>
      <c r="FI315" s="59">
        <f t="shared" si="846"/>
        <v>-50</v>
      </c>
    </row>
    <row r="316" spans="5:169">
      <c r="E316" s="147">
        <v>100</v>
      </c>
      <c r="F316" s="188">
        <f>IF(PLOT_TYPE=1, E316/100*Iout_max, min_I*EXP(O316*rr/100))</f>
        <v>0.5</v>
      </c>
      <c r="G316" s="188">
        <f t="shared" si="775"/>
        <v>0.5</v>
      </c>
      <c r="H316" s="188">
        <f t="shared" si="776"/>
        <v>85</v>
      </c>
      <c r="I316" s="188">
        <f t="shared" si="777"/>
        <v>6</v>
      </c>
      <c r="J316" s="465">
        <f t="shared" si="778"/>
        <v>15.902336666818218</v>
      </c>
      <c r="K316" s="379">
        <f t="shared" si="779"/>
        <v>8.6819896116799971</v>
      </c>
      <c r="L316" s="149">
        <f t="shared" si="780"/>
        <v>24.584326278498217</v>
      </c>
      <c r="M316" s="379"/>
      <c r="N316" s="188">
        <f t="shared" si="781"/>
        <v>0.35315141498400066</v>
      </c>
      <c r="O316" s="149">
        <f>N316*J316*Isw_max*0.5*Efficiency*Pout/(Pout+Pout2)</f>
        <v>174.85504729388239</v>
      </c>
      <c r="P316" s="149">
        <f t="shared" si="783"/>
        <v>12.34270922074464</v>
      </c>
      <c r="Q316" s="188">
        <f t="shared" si="784"/>
        <v>1.0285591017287199</v>
      </c>
      <c r="R316" s="188">
        <f t="shared" si="785"/>
        <v>14.571253941156867</v>
      </c>
      <c r="S316" s="188">
        <f t="shared" si="786"/>
        <v>170</v>
      </c>
      <c r="T316" s="188">
        <f t="shared" si="787"/>
        <v>32.40779579638091</v>
      </c>
      <c r="U316" s="188">
        <f t="shared" si="788"/>
        <v>3.0568899849796556</v>
      </c>
      <c r="V316" s="188">
        <f t="shared" si="789"/>
        <v>5.5991421170526863</v>
      </c>
      <c r="W316" s="172">
        <f t="shared" si="790"/>
        <v>280.7966347719406</v>
      </c>
      <c r="X316" s="379">
        <f t="shared" si="848"/>
        <v>112.91738653143696</v>
      </c>
      <c r="Z316" s="188">
        <f t="shared" si="791"/>
        <v>13.333333333333334</v>
      </c>
      <c r="AA316" s="150">
        <f t="shared" si="792"/>
        <v>2.3036194345468615</v>
      </c>
      <c r="AB316" s="150">
        <f>0.5*AA316*Z316*Nps*W316/1000*(Pout/(Pout+Pout2))</f>
        <v>0.20139974258739912</v>
      </c>
      <c r="AC316" s="150"/>
      <c r="AD316" s="150">
        <f t="shared" si="794"/>
        <v>2.3036194345468615</v>
      </c>
      <c r="AE316" s="314">
        <f>MAX(10, F316/(0.5*AD316/1000000*Isw_min*Nps)/1000*Pout_total/Pout)</f>
        <v>697.11269529077617</v>
      </c>
      <c r="AF316" s="456">
        <f t="shared" si="796"/>
        <v>0.20139974258739912</v>
      </c>
      <c r="AH316" s="150">
        <f>SQRT((H316+I316)/(0.5*L*Fsw_DCM))</f>
        <v>18.618986725025255</v>
      </c>
      <c r="AI316" s="150">
        <f>MAX(IF(F316&gt;AB316,T316,AH316),Isw_min)</f>
        <v>32.40779579638091</v>
      </c>
      <c r="AJ316" s="150">
        <f>IF(F316&gt;AF316, (AI316-Isw_min)/1.08*0.8+1.2, AE316*0.2/350+1)</f>
        <v>15.329231454109314</v>
      </c>
      <c r="AL316" s="314">
        <f t="shared" si="800"/>
        <v>500</v>
      </c>
      <c r="AM316" s="144">
        <f t="shared" si="801"/>
        <v>112.91738653143696</v>
      </c>
      <c r="AO316">
        <f t="shared" si="802"/>
        <v>500</v>
      </c>
      <c r="AP316">
        <f t="shared" si="803"/>
        <v>112.91738653143696</v>
      </c>
      <c r="AR316" s="5">
        <f t="shared" si="774"/>
        <v>8.8560321020323407</v>
      </c>
      <c r="AS316" s="5">
        <f t="shared" si="897"/>
        <v>3.0568899849796556</v>
      </c>
      <c r="AT316" s="5">
        <f t="shared" si="898"/>
        <v>5.7991421170526856</v>
      </c>
      <c r="AU316" s="150">
        <f t="shared" si="899"/>
        <v>0.34517602801802633</v>
      </c>
      <c r="BA316" s="150">
        <f t="shared" si="849"/>
        <v>10.992821595593304</v>
      </c>
      <c r="BB316" s="150">
        <f t="shared" si="850"/>
        <v>0.70712906597637237</v>
      </c>
      <c r="BC316" s="150">
        <f t="shared" si="851"/>
        <v>0.67268252140215568</v>
      </c>
      <c r="BD316" s="150"/>
      <c r="BE316" s="456">
        <f>Rdson*BA316^2</f>
        <v>0.4108632305506445</v>
      </c>
      <c r="BF316" s="456">
        <f t="shared" si="804"/>
        <v>2.1546371341781718</v>
      </c>
      <c r="BG316" s="456">
        <f t="shared" si="805"/>
        <v>8.2240783564135125E-2</v>
      </c>
      <c r="BH316" s="456">
        <f t="shared" si="853"/>
        <v>4.6748535658970435E-2</v>
      </c>
      <c r="BI316">
        <f t="shared" si="854"/>
        <v>7.1560515000681979E-3</v>
      </c>
      <c r="BJ316" s="144">
        <f t="shared" si="855"/>
        <v>89.396835064203316</v>
      </c>
      <c r="BK316">
        <f t="shared" si="806"/>
        <v>3.0177810933263132</v>
      </c>
      <c r="BL316" s="144">
        <f t="shared" si="856"/>
        <v>2701.6457354519898</v>
      </c>
      <c r="BM316" s="150">
        <f t="shared" si="807"/>
        <v>1.109375</v>
      </c>
      <c r="BN316" s="150">
        <f t="shared" si="808"/>
        <v>0.35499999999999998</v>
      </c>
      <c r="BQ316" s="144">
        <f t="shared" si="857"/>
        <v>1464.375</v>
      </c>
      <c r="BR316" s="456">
        <f t="shared" si="858"/>
        <v>0.18126318994881377</v>
      </c>
      <c r="BS316" s="456">
        <f t="shared" si="859"/>
        <v>0.10000630318972337</v>
      </c>
      <c r="BT316" s="456">
        <f t="shared" si="860"/>
        <v>1.3575053237998848E-2</v>
      </c>
      <c r="BU316" s="456">
        <f t="shared" si="861"/>
        <v>40.503801234479212</v>
      </c>
      <c r="BV316" s="456"/>
      <c r="BW316" s="538">
        <f t="shared" si="862"/>
        <v>0.11859320475350381</v>
      </c>
      <c r="BX316" s="144">
        <f t="shared" si="863"/>
        <v>40917.238985609249</v>
      </c>
      <c r="BY316" s="150">
        <f>SUM(BE316:BI316,BM316:BP316,BR316:BW316)</f>
        <v>45.083259721061239</v>
      </c>
      <c r="BZ316" s="5">
        <f t="shared" si="865"/>
        <v>91</v>
      </c>
      <c r="CA316" s="150">
        <f t="shared" si="866"/>
        <v>0.66870826129921235</v>
      </c>
      <c r="CB316" s="5">
        <f t="shared" si="867"/>
        <v>66.870826129921241</v>
      </c>
      <c r="CC316">
        <f t="shared" si="868"/>
        <v>100</v>
      </c>
      <c r="CE316" s="59">
        <f t="shared" si="809"/>
        <v>-50</v>
      </c>
      <c r="CG316" s="150">
        <f t="shared" si="810"/>
        <v>0.63502377808469512</v>
      </c>
      <c r="CH316" s="150">
        <f t="shared" si="811"/>
        <v>0.17735551404972846</v>
      </c>
      <c r="CI316" s="147">
        <v>100</v>
      </c>
      <c r="CJ316" s="188">
        <f t="shared" si="869"/>
        <v>0.5</v>
      </c>
      <c r="CK316" s="188">
        <f t="shared" si="812"/>
        <v>0.5</v>
      </c>
      <c r="CL316" s="188">
        <f t="shared" si="813"/>
        <v>85</v>
      </c>
      <c r="CM316" s="188">
        <f t="shared" si="814"/>
        <v>6</v>
      </c>
      <c r="CN316" s="465">
        <f t="shared" si="815"/>
        <v>16</v>
      </c>
      <c r="CO316" s="379">
        <f t="shared" si="816"/>
        <v>8.625</v>
      </c>
      <c r="CP316" s="379">
        <f t="shared" si="817"/>
        <v>24.625</v>
      </c>
      <c r="CQ316" s="379"/>
      <c r="CR316" s="188">
        <f t="shared" si="818"/>
        <v>0.34787038923986141</v>
      </c>
      <c r="CS316" s="149">
        <f t="shared" si="819"/>
        <v>173.29806936491266</v>
      </c>
      <c r="CT316" s="149">
        <f t="shared" si="820"/>
        <v>12.232804896346776</v>
      </c>
      <c r="CU316" s="188">
        <f t="shared" si="821"/>
        <v>1.0194004080288981</v>
      </c>
      <c r="CV316" s="188">
        <f t="shared" si="822"/>
        <v>14.441505780409388</v>
      </c>
      <c r="CW316" s="188">
        <f t="shared" si="823"/>
        <v>170</v>
      </c>
      <c r="CX316" s="188">
        <f t="shared" si="824"/>
        <v>32.698960164030467</v>
      </c>
      <c r="CY316" s="188">
        <f t="shared" si="825"/>
        <v>3.0655275153778563</v>
      </c>
      <c r="CZ316" s="188">
        <f t="shared" si="826"/>
        <v>5.6867756807009515</v>
      </c>
      <c r="DA316" s="172">
        <f t="shared" si="827"/>
        <v>280.20304568527916</v>
      </c>
      <c r="DB316" s="379">
        <f t="shared" si="828"/>
        <v>114.25563964100539</v>
      </c>
      <c r="DD316" s="188">
        <f t="shared" si="829"/>
        <v>13.333333333333332</v>
      </c>
      <c r="DE316" s="150">
        <f t="shared" si="830"/>
        <v>2.318840579710145</v>
      </c>
      <c r="DF316" s="150">
        <f t="shared" si="831"/>
        <v>0.20230192819025303</v>
      </c>
      <c r="DG316" s="150"/>
      <c r="DH316" s="150">
        <f t="shared" si="832"/>
        <v>2.3188405797101455</v>
      </c>
      <c r="DI316" s="314">
        <f t="shared" si="833"/>
        <v>692.53676470588209</v>
      </c>
      <c r="DJ316" s="456">
        <f t="shared" si="834"/>
        <v>0.20230192819025311</v>
      </c>
      <c r="DL316" s="150">
        <f t="shared" si="835"/>
        <v>18.618986725025255</v>
      </c>
      <c r="DM316" s="150">
        <f t="shared" si="836"/>
        <v>32.698960164030467</v>
      </c>
      <c r="DN316" s="150">
        <f t="shared" si="837"/>
        <v>15.544908763479356</v>
      </c>
      <c r="DP316" s="314">
        <f t="shared" si="838"/>
        <v>500</v>
      </c>
      <c r="DQ316" s="144">
        <f t="shared" si="839"/>
        <v>114.25563964100539</v>
      </c>
      <c r="DS316">
        <f t="shared" si="840"/>
        <v>500</v>
      </c>
      <c r="DT316">
        <f t="shared" si="841"/>
        <v>114.25563964100539</v>
      </c>
      <c r="DV316" s="5">
        <f t="shared" si="870"/>
        <v>8.7523031960788078</v>
      </c>
      <c r="DW316" s="5">
        <f t="shared" si="842"/>
        <v>3.0655275153778563</v>
      </c>
      <c r="DX316" s="5">
        <f t="shared" si="843"/>
        <v>5.6867756807009515</v>
      </c>
      <c r="DY316" s="150">
        <f t="shared" si="844"/>
        <v>0.35025380710659898</v>
      </c>
      <c r="EA316" s="5">
        <f t="shared" si="871"/>
        <v>0.90162573981701655</v>
      </c>
      <c r="EB316" s="5">
        <f t="shared" si="872"/>
        <v>12.773031314074402</v>
      </c>
      <c r="EC316" s="5">
        <f t="shared" si="873"/>
        <v>50.351659672872998</v>
      </c>
      <c r="ED316" s="5"/>
      <c r="EE316" s="150">
        <f t="shared" si="874"/>
        <v>11.172870038239447</v>
      </c>
      <c r="EF316" s="150">
        <f t="shared" si="875"/>
        <v>0.7107104878474344</v>
      </c>
      <c r="EG316" s="150">
        <f t="shared" si="876"/>
        <v>0.6760894806269252</v>
      </c>
      <c r="EH316" s="150"/>
      <c r="EI316" s="456">
        <f t="shared" si="877"/>
        <v>0.42443228463072169</v>
      </c>
      <c r="EJ316" s="456">
        <f t="shared" si="878"/>
        <v>2.7968000000000002</v>
      </c>
      <c r="EK316" s="456">
        <f t="shared" si="879"/>
        <v>2.6164541477790234E-2</v>
      </c>
      <c r="EL316" s="456">
        <f t="shared" si="880"/>
        <v>4.745923088120356E-2</v>
      </c>
      <c r="EM316">
        <f t="shared" si="881"/>
        <v>7.1999999999999998E-3</v>
      </c>
      <c r="EN316" s="144">
        <f t="shared" si="882"/>
        <v>33.364541477790233</v>
      </c>
      <c r="EP316" s="144">
        <f t="shared" si="883"/>
        <v>3302.0560569897157</v>
      </c>
      <c r="EQ316" s="150">
        <f t="shared" si="884"/>
        <v>1.25</v>
      </c>
      <c r="ER316" s="150">
        <f t="shared" si="845"/>
        <v>0.35499999999999998</v>
      </c>
      <c r="ES316" s="456"/>
      <c r="EU316" s="144">
        <f t="shared" si="885"/>
        <v>1605</v>
      </c>
      <c r="EV316" s="456">
        <f t="shared" si="886"/>
        <v>0.18724953733708311</v>
      </c>
      <c r="EW316" s="456">
        <f t="shared" si="887"/>
        <v>0.10102187950726765</v>
      </c>
      <c r="EX316" s="456">
        <f t="shared" si="888"/>
        <v>1.3712909574431564E-2</v>
      </c>
      <c r="EY316" s="456">
        <f t="shared" si="889"/>
        <v>42.657851179101669</v>
      </c>
      <c r="EZ316" s="456"/>
      <c r="FA316" s="538">
        <f t="shared" si="890"/>
        <v>0.12216464304937272</v>
      </c>
      <c r="FB316" s="144">
        <f t="shared" si="891"/>
        <v>43082.000148569823</v>
      </c>
      <c r="FC316" s="150">
        <f t="shared" si="892"/>
        <v>47.989056205559542</v>
      </c>
      <c r="FD316" s="5">
        <f t="shared" si="893"/>
        <v>91</v>
      </c>
      <c r="FE316" s="150">
        <f t="shared" si="894"/>
        <v>0.65472780724127266</v>
      </c>
      <c r="FF316" s="5">
        <f t="shared" si="895"/>
        <v>65.472780724127261</v>
      </c>
      <c r="FG316">
        <f t="shared" si="896"/>
        <v>100</v>
      </c>
      <c r="FI316" s="59">
        <f t="shared" si="846"/>
        <v>-50</v>
      </c>
    </row>
    <row r="317" spans="5:169">
      <c r="E317" s="147"/>
      <c r="F317" s="188"/>
      <c r="G317" s="188"/>
      <c r="CI317" s="147"/>
      <c r="CJ317" s="188"/>
      <c r="CK317" s="188"/>
    </row>
    <row r="318" spans="5:169" ht="45" customHeight="1" thickBot="1">
      <c r="E318" s="211" t="s">
        <v>25</v>
      </c>
      <c r="F318" s="516" t="s">
        <v>580</v>
      </c>
      <c r="G318" s="380" t="s">
        <v>579</v>
      </c>
      <c r="H318" s="517" t="s">
        <v>581</v>
      </c>
      <c r="I318" s="518" t="s">
        <v>582</v>
      </c>
      <c r="J318" s="212" t="s">
        <v>412</v>
      </c>
      <c r="K318" s="213" t="s">
        <v>586</v>
      </c>
      <c r="L318" s="519" t="s">
        <v>413</v>
      </c>
      <c r="M318" s="520"/>
      <c r="N318" s="214" t="s">
        <v>48</v>
      </c>
      <c r="O318" s="520" t="s">
        <v>590</v>
      </c>
      <c r="P318" s="520" t="s">
        <v>606</v>
      </c>
      <c r="Q318" s="520" t="s">
        <v>583</v>
      </c>
      <c r="R318" s="520" t="s">
        <v>584</v>
      </c>
      <c r="S318" s="520" t="s">
        <v>585</v>
      </c>
      <c r="T318" s="520" t="s">
        <v>414</v>
      </c>
      <c r="U318" s="520" t="s">
        <v>466</v>
      </c>
      <c r="V318" s="520" t="s">
        <v>465</v>
      </c>
      <c r="W318" s="521" t="s">
        <v>420</v>
      </c>
      <c r="X318" s="522" t="s">
        <v>425</v>
      </c>
      <c r="Z318" s="215" t="s">
        <v>417</v>
      </c>
      <c r="AA318" s="215" t="s">
        <v>464</v>
      </c>
      <c r="AB318" s="215" t="s">
        <v>587</v>
      </c>
      <c r="AC318" s="468"/>
      <c r="AD318" s="215" t="s">
        <v>463</v>
      </c>
      <c r="AE318" s="521" t="s">
        <v>426</v>
      </c>
      <c r="AF318" s="215" t="s">
        <v>588</v>
      </c>
      <c r="AG318" s="468"/>
      <c r="AH318" s="215" t="s">
        <v>429</v>
      </c>
      <c r="AI318" s="470" t="s">
        <v>430</v>
      </c>
      <c r="AJ318" s="470" t="s">
        <v>431</v>
      </c>
      <c r="AL318" s="467" t="s">
        <v>275</v>
      </c>
      <c r="AM318" s="467" t="s">
        <v>432</v>
      </c>
      <c r="AO318" s="215" t="s">
        <v>275</v>
      </c>
      <c r="AP318" s="215" t="s">
        <v>432</v>
      </c>
      <c r="AQ318" s="471"/>
      <c r="AR318" s="215" t="s">
        <v>467</v>
      </c>
      <c r="AS318" s="215" t="s">
        <v>461</v>
      </c>
      <c r="AT318" s="215" t="s">
        <v>462</v>
      </c>
      <c r="AU318" s="215" t="s">
        <v>48</v>
      </c>
      <c r="AV318" s="468"/>
      <c r="AW318" s="215" t="s">
        <v>591</v>
      </c>
      <c r="AX318" s="215" t="s">
        <v>592</v>
      </c>
      <c r="AY318" s="215" t="s">
        <v>514</v>
      </c>
      <c r="AZ318" s="468"/>
      <c r="BA318" s="479" t="s">
        <v>456</v>
      </c>
      <c r="BB318" s="215" t="s">
        <v>599</v>
      </c>
      <c r="BC318" s="215" t="s">
        <v>598</v>
      </c>
      <c r="BD318" s="468"/>
      <c r="BE318" s="479" t="s">
        <v>474</v>
      </c>
      <c r="BF318" s="215" t="s">
        <v>475</v>
      </c>
      <c r="BG318" s="215" t="s">
        <v>473</v>
      </c>
      <c r="BH318" s="215" t="s">
        <v>469</v>
      </c>
      <c r="BI318" s="215" t="s">
        <v>478</v>
      </c>
      <c r="BJ318" s="215" t="s">
        <v>491</v>
      </c>
      <c r="BK318" s="215" t="s">
        <v>776</v>
      </c>
      <c r="BL318" s="215" t="s">
        <v>778</v>
      </c>
      <c r="BM318" s="479" t="s">
        <v>601</v>
      </c>
      <c r="BN318" s="215" t="s">
        <v>600</v>
      </c>
      <c r="BO318" s="215" t="s">
        <v>477</v>
      </c>
      <c r="BP318" s="215" t="s">
        <v>483</v>
      </c>
      <c r="BQ318" s="215" t="s">
        <v>487</v>
      </c>
      <c r="BR318" s="479" t="s">
        <v>458</v>
      </c>
      <c r="BS318" s="215" t="s">
        <v>603</v>
      </c>
      <c r="BT318" s="215" t="s">
        <v>602</v>
      </c>
      <c r="BU318" s="215" t="s">
        <v>468</v>
      </c>
      <c r="BV318" s="215" t="s">
        <v>673</v>
      </c>
      <c r="BW318" s="215" t="s">
        <v>484</v>
      </c>
      <c r="BX318" s="215" t="s">
        <v>486</v>
      </c>
      <c r="BY318" s="479" t="s">
        <v>482</v>
      </c>
      <c r="BZ318" s="215" t="s">
        <v>223</v>
      </c>
      <c r="CA318" s="215" t="s">
        <v>47</v>
      </c>
      <c r="CB318" s="215" t="s">
        <v>485</v>
      </c>
      <c r="CC318" s="215" t="s">
        <v>604</v>
      </c>
      <c r="CE318" s="490" t="s">
        <v>497</v>
      </c>
      <c r="CG318" s="668" t="s">
        <v>829</v>
      </c>
      <c r="CH318" s="669" t="s">
        <v>830</v>
      </c>
      <c r="CI318" s="211" t="s">
        <v>25</v>
      </c>
      <c r="CJ318" s="516" t="s">
        <v>580</v>
      </c>
      <c r="CK318" s="380" t="s">
        <v>579</v>
      </c>
      <c r="CL318" s="517" t="s">
        <v>581</v>
      </c>
      <c r="CM318" s="518" t="s">
        <v>582</v>
      </c>
      <c r="CN318" s="212" t="s">
        <v>412</v>
      </c>
      <c r="CO318" s="213" t="s">
        <v>586</v>
      </c>
      <c r="CP318" s="519" t="s">
        <v>413</v>
      </c>
      <c r="CQ318" s="520"/>
      <c r="CR318" s="214" t="s">
        <v>48</v>
      </c>
      <c r="CS318" s="520" t="s">
        <v>590</v>
      </c>
      <c r="CT318" s="520" t="s">
        <v>606</v>
      </c>
      <c r="CU318" s="520" t="s">
        <v>583</v>
      </c>
      <c r="CV318" s="520" t="s">
        <v>584</v>
      </c>
      <c r="CW318" s="520" t="s">
        <v>585</v>
      </c>
      <c r="CX318" s="520" t="s">
        <v>414</v>
      </c>
      <c r="CY318" s="520" t="s">
        <v>466</v>
      </c>
      <c r="CZ318" s="520" t="s">
        <v>465</v>
      </c>
      <c r="DA318" s="521" t="s">
        <v>420</v>
      </c>
      <c r="DB318" s="522" t="s">
        <v>425</v>
      </c>
      <c r="DD318" s="215" t="s">
        <v>417</v>
      </c>
      <c r="DE318" s="215" t="s">
        <v>464</v>
      </c>
      <c r="DF318" s="215" t="s">
        <v>587</v>
      </c>
      <c r="DG318" s="468"/>
      <c r="DH318" s="215" t="s">
        <v>463</v>
      </c>
      <c r="DI318" s="521" t="s">
        <v>426</v>
      </c>
      <c r="DJ318" s="215" t="s">
        <v>588</v>
      </c>
      <c r="DK318" s="468"/>
      <c r="DL318" s="215" t="s">
        <v>429</v>
      </c>
      <c r="DM318" s="470" t="s">
        <v>430</v>
      </c>
      <c r="DN318" s="470" t="s">
        <v>431</v>
      </c>
      <c r="DP318" s="467" t="s">
        <v>275</v>
      </c>
      <c r="DQ318" s="467" t="s">
        <v>432</v>
      </c>
      <c r="DS318" s="215" t="s">
        <v>275</v>
      </c>
      <c r="DT318" s="215" t="s">
        <v>432</v>
      </c>
      <c r="DU318" s="471"/>
      <c r="DV318" s="215" t="s">
        <v>467</v>
      </c>
      <c r="DW318" s="215" t="s">
        <v>461</v>
      </c>
      <c r="DX318" s="215" t="s">
        <v>462</v>
      </c>
      <c r="DY318" s="215" t="s">
        <v>48</v>
      </c>
      <c r="DZ318" s="468"/>
      <c r="EA318" s="215" t="s">
        <v>591</v>
      </c>
      <c r="EB318" s="215" t="s">
        <v>592</v>
      </c>
      <c r="EC318" s="215" t="s">
        <v>514</v>
      </c>
      <c r="ED318" s="468"/>
      <c r="EE318" s="479" t="s">
        <v>456</v>
      </c>
      <c r="EF318" s="215" t="s">
        <v>599</v>
      </c>
      <c r="EG318" s="215" t="s">
        <v>598</v>
      </c>
      <c r="EH318" s="468"/>
      <c r="EI318" s="479" t="s">
        <v>474</v>
      </c>
      <c r="EJ318" s="215" t="s">
        <v>475</v>
      </c>
      <c r="EK318" s="215" t="s">
        <v>473</v>
      </c>
      <c r="EL318" s="215" t="s">
        <v>469</v>
      </c>
      <c r="EM318" s="215" t="s">
        <v>478</v>
      </c>
      <c r="EN318" s="215" t="s">
        <v>491</v>
      </c>
      <c r="EO318" s="215" t="s">
        <v>776</v>
      </c>
      <c r="EP318" s="215" t="s">
        <v>778</v>
      </c>
      <c r="EQ318" s="479" t="s">
        <v>601</v>
      </c>
      <c r="ER318" s="215" t="s">
        <v>600</v>
      </c>
      <c r="ES318" s="215" t="s">
        <v>477</v>
      </c>
      <c r="ET318" s="215" t="s">
        <v>483</v>
      </c>
      <c r="EU318" s="215" t="s">
        <v>487</v>
      </c>
      <c r="EV318" s="479" t="s">
        <v>458</v>
      </c>
      <c r="EW318" s="215" t="s">
        <v>603</v>
      </c>
      <c r="EX318" s="215" t="s">
        <v>602</v>
      </c>
      <c r="EY318" s="215" t="s">
        <v>468</v>
      </c>
      <c r="EZ318" s="215" t="s">
        <v>673</v>
      </c>
      <c r="FA318" s="215" t="s">
        <v>484</v>
      </c>
      <c r="FB318" s="215" t="s">
        <v>486</v>
      </c>
      <c r="FC318" s="479" t="s">
        <v>482</v>
      </c>
      <c r="FD318" s="215" t="s">
        <v>223</v>
      </c>
      <c r="FE318" s="215" t="s">
        <v>47</v>
      </c>
      <c r="FF318" s="215" t="s">
        <v>485</v>
      </c>
      <c r="FG318" s="215" t="s">
        <v>604</v>
      </c>
      <c r="FI318" s="490" t="s">
        <v>497</v>
      </c>
      <c r="FL318" s="668" t="s">
        <v>876</v>
      </c>
      <c r="FM318" s="668" t="s">
        <v>875</v>
      </c>
    </row>
    <row r="320" spans="5:169">
      <c r="E320" s="59" t="s">
        <v>913</v>
      </c>
      <c r="K320" s="59"/>
      <c r="L320" s="59" t="s">
        <v>914</v>
      </c>
    </row>
    <row r="321" spans="5:20">
      <c r="F321" s="59" t="s">
        <v>915</v>
      </c>
      <c r="G321" s="59" t="s">
        <v>916</v>
      </c>
      <c r="M321" s="59" t="s">
        <v>917</v>
      </c>
      <c r="N321" s="59" t="s">
        <v>918</v>
      </c>
    </row>
    <row r="322" spans="5:20">
      <c r="F322">
        <f>'Design Converter'!E73</f>
        <v>0</v>
      </c>
      <c r="G322" s="754">
        <f>F322*Vout</f>
        <v>0</v>
      </c>
      <c r="M322">
        <f>'Design Converter'!L73</f>
        <v>0</v>
      </c>
      <c r="N322" s="754">
        <f>M322*Vout2</f>
        <v>0</v>
      </c>
      <c r="T322">
        <f>Vout*F316+Vout2*G316</f>
        <v>91</v>
      </c>
    </row>
    <row r="323" spans="5:20">
      <c r="E323" t="s">
        <v>907</v>
      </c>
      <c r="L323" t="s">
        <v>907</v>
      </c>
    </row>
    <row r="324" spans="5:20">
      <c r="F324" t="s">
        <v>908</v>
      </c>
      <c r="G324" t="s">
        <v>909</v>
      </c>
      <c r="H324" t="s">
        <v>910</v>
      </c>
      <c r="I324" s="59" t="s">
        <v>660</v>
      </c>
      <c r="M324" t="s">
        <v>908</v>
      </c>
      <c r="N324" t="s">
        <v>909</v>
      </c>
      <c r="O324" t="s">
        <v>910</v>
      </c>
      <c r="P324" s="59" t="s">
        <v>660</v>
      </c>
    </row>
    <row r="325" spans="5:20">
      <c r="F325" s="755">
        <v>1.9999999999999999E-7</v>
      </c>
      <c r="G325">
        <f>VIN_max</f>
        <v>16</v>
      </c>
      <c r="H325">
        <f>15000</f>
        <v>15000</v>
      </c>
      <c r="I325">
        <f>L*0.9</f>
        <v>1.35E-6</v>
      </c>
      <c r="M325" s="755">
        <v>1.9999999999999999E-7</v>
      </c>
      <c r="N325">
        <f>VIN_max</f>
        <v>16</v>
      </c>
      <c r="O325">
        <f>15000</f>
        <v>15000</v>
      </c>
      <c r="P325">
        <f>L*0.9</f>
        <v>1.35E-6</v>
      </c>
    </row>
    <row r="326" spans="5:20">
      <c r="G326" s="59" t="s">
        <v>911</v>
      </c>
      <c r="N326" s="59" t="s">
        <v>911</v>
      </c>
    </row>
    <row r="327" spans="5:20">
      <c r="G327" s="754">
        <f>0.5*(G325/I325*F325)^2*H325*I325</f>
        <v>5.6888888888888885E-2</v>
      </c>
      <c r="N327" s="754">
        <f>0.5*(N325/P325*M325)^2*O325*P325</f>
        <v>5.6888888888888885E-2</v>
      </c>
    </row>
    <row r="328" spans="5:20">
      <c r="E328" s="59" t="s">
        <v>919</v>
      </c>
      <c r="K328" s="59"/>
      <c r="L328" s="59" t="s">
        <v>920</v>
      </c>
    </row>
    <row r="329" spans="5:20">
      <c r="G329" t="str">
        <f>IF(G322+N322&lt;G327, "Yes", IF(G322&lt;G327, "Yes", "No"))</f>
        <v>Yes</v>
      </c>
      <c r="H329">
        <f>(Vout*1.05)^2/(G327-G322)</f>
        <v>560078.61328125</v>
      </c>
      <c r="N329" t="str">
        <f>IF(G322+N322&lt;N327, "Yes", IF(N322&lt;N327, "Yes", "No"))</f>
        <v>Yes</v>
      </c>
      <c r="O329">
        <f>(Vout2*1.05)^2/(N327-N322)</f>
        <v>2790.7031250000009</v>
      </c>
    </row>
  </sheetData>
  <sheetProtection algorithmName="SHA-512" hashValue="UtFeTGMjuV5UCpnZm+pfUsg6mgbxGknJ7UlwZbVIwvh5M3ivI7AM0VyBK+6HHZzOE63EnWpi4CqIIbodLKpn8w==" saltValue="GY0CJtGDyMdTsyujrreLCg==" spinCount="100000" sheet="1" selectLockedCells="1" selectUnlockedCells="1"/>
  <mergeCells count="2">
    <mergeCell ref="N3:Z3"/>
    <mergeCell ref="CR3:DD3"/>
  </mergeCells>
  <phoneticPr fontId="83"/>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0000"/>
  </sheetPr>
  <dimension ref="C3:S106"/>
  <sheetViews>
    <sheetView workbookViewId="0">
      <selection activeCell="V6" sqref="V6"/>
    </sheetView>
  </sheetViews>
  <sheetFormatPr defaultRowHeight="13.2"/>
  <cols>
    <col min="3" max="3" width="7.77734375" customWidth="1"/>
    <col min="5" max="5" width="10.21875" customWidth="1"/>
    <col min="7" max="7" width="10.77734375" customWidth="1"/>
    <col min="8" max="8" width="9.77734375" customWidth="1"/>
    <col min="9" max="9" width="9.5546875" customWidth="1"/>
    <col min="10" max="10" width="8.77734375" customWidth="1"/>
    <col min="11" max="11" width="9.77734375" customWidth="1"/>
    <col min="12" max="12" width="10.77734375" customWidth="1"/>
    <col min="13" max="13" width="15" customWidth="1"/>
    <col min="14" max="14" width="11.44140625" customWidth="1"/>
    <col min="15" max="16" width="11" customWidth="1"/>
    <col min="17" max="18" width="11.21875" customWidth="1"/>
    <col min="19" max="19" width="5.21875" customWidth="1"/>
  </cols>
  <sheetData>
    <row r="3" spans="3:19" ht="13.8" thickBot="1"/>
    <row r="4" spans="3:19">
      <c r="C4" s="191" t="s">
        <v>421</v>
      </c>
      <c r="D4" s="192"/>
      <c r="E4" s="193"/>
      <c r="F4" s="814" t="s">
        <v>189</v>
      </c>
      <c r="G4" s="815"/>
      <c r="H4" s="814"/>
      <c r="I4" s="814"/>
      <c r="J4" s="814"/>
      <c r="K4" s="815"/>
      <c r="L4" s="815"/>
      <c r="M4" s="815"/>
      <c r="N4" s="814"/>
      <c r="O4" s="816"/>
      <c r="P4" s="461"/>
      <c r="Q4" s="461"/>
      <c r="R4" s="461"/>
      <c r="S4" s="461"/>
    </row>
    <row r="5" spans="3:19" ht="45" customHeight="1" thickBot="1">
      <c r="C5" s="211" t="s">
        <v>25</v>
      </c>
      <c r="D5" s="212" t="s">
        <v>412</v>
      </c>
      <c r="E5" s="213" t="s">
        <v>418</v>
      </c>
      <c r="F5" s="214" t="s">
        <v>48</v>
      </c>
      <c r="G5" s="455" t="s">
        <v>402</v>
      </c>
      <c r="H5" s="455" t="s">
        <v>403</v>
      </c>
      <c r="I5" s="455" t="s">
        <v>413</v>
      </c>
      <c r="J5" s="455" t="s">
        <v>414</v>
      </c>
      <c r="K5" s="455" t="s">
        <v>415</v>
      </c>
      <c r="L5" s="455" t="s">
        <v>416</v>
      </c>
      <c r="M5" s="216" t="s">
        <v>419</v>
      </c>
      <c r="N5" s="215" t="s">
        <v>420</v>
      </c>
      <c r="O5" s="215" t="s">
        <v>417</v>
      </c>
      <c r="P5" s="215" t="s">
        <v>422</v>
      </c>
      <c r="Q5" s="215" t="s">
        <v>423</v>
      </c>
      <c r="R5" s="215" t="s">
        <v>424</v>
      </c>
      <c r="S5" s="215"/>
    </row>
    <row r="6" spans="3:19">
      <c r="C6" s="147">
        <v>0.1</v>
      </c>
      <c r="D6" s="457">
        <f>VIN_min</f>
        <v>9</v>
      </c>
      <c r="E6" s="379">
        <f t="shared" ref="E6:E37" si="0">(Vout+Vfwd1)*Nps</f>
        <v>8.5350000000000001</v>
      </c>
      <c r="F6" s="188">
        <f t="shared" ref="F6:F37" si="1">(Vout+Vfwd1)*Nps/((Vout+Vfwd1)*Nps+D6)</f>
        <v>0.48674080410607357</v>
      </c>
      <c r="G6" s="149">
        <f t="shared" ref="G6:G37" si="2">F6*D6*Isw_max*0.5*Efficiency</f>
        <v>146.02224123182208</v>
      </c>
      <c r="H6" s="188">
        <f t="shared" ref="H6:H37" si="3">G6/Vout</f>
        <v>0.85895436018718874</v>
      </c>
      <c r="I6" s="379">
        <f t="shared" ref="I6:I37" si="4">(Vout+Vfwd1)*Nps+D6</f>
        <v>17.535</v>
      </c>
      <c r="J6" s="149">
        <f t="shared" ref="J6:J37" si="5">MIN(2*Vout*Iout/(Efficiency*D6*F6), 1.35)</f>
        <v>1.35</v>
      </c>
      <c r="K6" s="149">
        <f t="shared" ref="K6:K37" si="6">L*J6/D6*1000000</f>
        <v>0.22500000000000001</v>
      </c>
      <c r="L6" s="149">
        <f t="shared" ref="L6:L37" si="7">L*J6/((Vout+Vfwd1)*Nps)*1000000</f>
        <v>0.23725834797891038</v>
      </c>
      <c r="M6" s="379">
        <f>MIN(1/(K6+L6)*1000, 350)</f>
        <v>350</v>
      </c>
      <c r="N6" s="172">
        <f t="shared" ref="N6:N37" si="8">IF(1/((350000*L)*(1/D6+1/E6))&gt;Isw_min, 350, 0.001/((Isw_min*L)*(1/D6+1/E6)))</f>
        <v>219.03336184773312</v>
      </c>
      <c r="O6" s="188">
        <f t="shared" ref="O6:O37" si="9">1/((N6*1000*L)*(1/D6+1/E6))</f>
        <v>13.333333333333334</v>
      </c>
      <c r="P6" s="150">
        <f t="shared" ref="P6:P37" si="10">L*O6/E6*1000000</f>
        <v>2.3432923257176337</v>
      </c>
      <c r="Q6" s="150">
        <f t="shared" ref="Q6:Q37" si="11">0.5*P6*O6*Nps*N6/1000</f>
        <v>0.17108639863130889</v>
      </c>
      <c r="R6" s="150">
        <f t="shared" ref="R6:R37" si="12">L*Isw_min/E6*1000000</f>
        <v>2.3432923257176337</v>
      </c>
    </row>
    <row r="7" spans="3:19">
      <c r="C7" s="147">
        <v>1</v>
      </c>
      <c r="D7" s="5">
        <f t="shared" ref="D7:D38" si="13">C7/100*(VIN_max-VIN_min)+VIN_min</f>
        <v>9.07</v>
      </c>
      <c r="E7" s="379">
        <f t="shared" si="0"/>
        <v>8.5350000000000001</v>
      </c>
      <c r="F7" s="188">
        <f t="shared" si="1"/>
        <v>0.48480545299630784</v>
      </c>
      <c r="G7" s="149">
        <f t="shared" si="2"/>
        <v>146.57284862255042</v>
      </c>
      <c r="H7" s="188">
        <f t="shared" si="3"/>
        <v>0.86219322719147307</v>
      </c>
      <c r="I7" s="379">
        <f t="shared" si="4"/>
        <v>17.605</v>
      </c>
      <c r="J7" s="149">
        <f t="shared" si="5"/>
        <v>1.35</v>
      </c>
      <c r="K7" s="149">
        <f t="shared" si="6"/>
        <v>0.2232635060639471</v>
      </c>
      <c r="L7" s="149">
        <f t="shared" si="7"/>
        <v>0.23725834797891038</v>
      </c>
      <c r="M7" s="379">
        <f t="shared" ref="M7:M70" si="14">MIN(1/(K7+L7)*1000, 350)</f>
        <v>350</v>
      </c>
      <c r="N7" s="172">
        <f t="shared" si="8"/>
        <v>219.85927293382559</v>
      </c>
      <c r="O7" s="188">
        <f t="shared" si="9"/>
        <v>13.333333333333336</v>
      </c>
      <c r="P7" s="150">
        <f t="shared" si="10"/>
        <v>2.3432923257176341</v>
      </c>
      <c r="Q7" s="150">
        <f t="shared" si="11"/>
        <v>0.17173151566789746</v>
      </c>
      <c r="R7" s="150">
        <f t="shared" si="12"/>
        <v>2.3432923257176337</v>
      </c>
    </row>
    <row r="8" spans="3:19">
      <c r="C8" s="147">
        <v>2</v>
      </c>
      <c r="D8" s="5">
        <f t="shared" si="13"/>
        <v>9.14</v>
      </c>
      <c r="E8" s="379">
        <f t="shared" si="0"/>
        <v>8.5350000000000001</v>
      </c>
      <c r="F8" s="188">
        <f t="shared" si="1"/>
        <v>0.48288543140028289</v>
      </c>
      <c r="G8" s="149">
        <f t="shared" si="2"/>
        <v>147.11909476661953</v>
      </c>
      <c r="H8" s="188">
        <f t="shared" si="3"/>
        <v>0.86540643980364429</v>
      </c>
      <c r="I8" s="379">
        <f t="shared" si="4"/>
        <v>17.675000000000001</v>
      </c>
      <c r="J8" s="149">
        <f t="shared" si="5"/>
        <v>1.35</v>
      </c>
      <c r="K8" s="149">
        <f t="shared" si="6"/>
        <v>0.22155361050328226</v>
      </c>
      <c r="L8" s="149">
        <f t="shared" si="7"/>
        <v>0.23725834797891038</v>
      </c>
      <c r="M8" s="379">
        <f t="shared" si="14"/>
        <v>350</v>
      </c>
      <c r="N8" s="172">
        <f t="shared" si="8"/>
        <v>220.67864214992926</v>
      </c>
      <c r="O8" s="188">
        <f t="shared" si="9"/>
        <v>13.333333333333334</v>
      </c>
      <c r="P8" s="150">
        <f t="shared" si="10"/>
        <v>2.3432923257176337</v>
      </c>
      <c r="Q8" s="150">
        <f t="shared" si="11"/>
        <v>0.17237152286657242</v>
      </c>
      <c r="R8" s="150">
        <f t="shared" si="12"/>
        <v>2.3432923257176337</v>
      </c>
    </row>
    <row r="9" spans="3:19">
      <c r="C9" s="147">
        <v>3</v>
      </c>
      <c r="D9" s="5">
        <f t="shared" si="13"/>
        <v>9.2100000000000009</v>
      </c>
      <c r="E9" s="379">
        <f t="shared" si="0"/>
        <v>8.5350000000000001</v>
      </c>
      <c r="F9" s="188">
        <f t="shared" si="1"/>
        <v>0.48098055790363481</v>
      </c>
      <c r="G9" s="149">
        <f t="shared" si="2"/>
        <v>147.66103127641591</v>
      </c>
      <c r="H9" s="188">
        <f t="shared" si="3"/>
        <v>0.86859430162597595</v>
      </c>
      <c r="I9" s="379">
        <f t="shared" si="4"/>
        <v>17.745000000000001</v>
      </c>
      <c r="J9" s="149">
        <f t="shared" si="5"/>
        <v>1.35</v>
      </c>
      <c r="K9" s="149">
        <f t="shared" si="6"/>
        <v>0.21986970684039087</v>
      </c>
      <c r="L9" s="149">
        <f t="shared" si="7"/>
        <v>0.23725834797891038</v>
      </c>
      <c r="M9" s="379">
        <f t="shared" si="14"/>
        <v>350</v>
      </c>
      <c r="N9" s="172">
        <f t="shared" si="8"/>
        <v>221.49154691462385</v>
      </c>
      <c r="O9" s="188">
        <f t="shared" si="9"/>
        <v>13.333333333333334</v>
      </c>
      <c r="P9" s="150">
        <f t="shared" si="10"/>
        <v>2.3432923257176337</v>
      </c>
      <c r="Q9" s="150">
        <f t="shared" si="11"/>
        <v>0.17300648069878846</v>
      </c>
      <c r="R9" s="150">
        <f t="shared" si="12"/>
        <v>2.3432923257176337</v>
      </c>
    </row>
    <row r="10" spans="3:19">
      <c r="C10" s="147">
        <v>4</v>
      </c>
      <c r="D10" s="5">
        <f t="shared" si="13"/>
        <v>9.2799999999999994</v>
      </c>
      <c r="E10" s="379">
        <f t="shared" si="0"/>
        <v>8.5350000000000001</v>
      </c>
      <c r="F10" s="188">
        <f t="shared" si="1"/>
        <v>0.4790906539433063</v>
      </c>
      <c r="G10" s="149">
        <f t="shared" si="2"/>
        <v>148.1987089531294</v>
      </c>
      <c r="H10" s="188">
        <f t="shared" si="3"/>
        <v>0.87175711148899648</v>
      </c>
      <c r="I10" s="379">
        <f t="shared" si="4"/>
        <v>17.814999999999998</v>
      </c>
      <c r="J10" s="149">
        <f t="shared" si="5"/>
        <v>1.35</v>
      </c>
      <c r="K10" s="149">
        <f t="shared" si="6"/>
        <v>0.21821120689655174</v>
      </c>
      <c r="L10" s="149">
        <f t="shared" si="7"/>
        <v>0.23725834797891038</v>
      </c>
      <c r="M10" s="379">
        <f t="shared" si="14"/>
        <v>350</v>
      </c>
      <c r="N10" s="172">
        <f t="shared" si="8"/>
        <v>222.29806342969405</v>
      </c>
      <c r="O10" s="188">
        <f t="shared" si="9"/>
        <v>13.333333333333334</v>
      </c>
      <c r="P10" s="150">
        <f t="shared" si="10"/>
        <v>2.3432923257176337</v>
      </c>
      <c r="Q10" s="150">
        <f t="shared" si="11"/>
        <v>0.17363644868556463</v>
      </c>
      <c r="R10" s="150">
        <f t="shared" si="12"/>
        <v>2.3432923257176337</v>
      </c>
    </row>
    <row r="11" spans="3:19">
      <c r="C11" s="147">
        <v>5</v>
      </c>
      <c r="D11" s="5">
        <f t="shared" si="13"/>
        <v>9.35</v>
      </c>
      <c r="E11" s="379">
        <f t="shared" si="0"/>
        <v>8.5350000000000001</v>
      </c>
      <c r="F11" s="188">
        <f t="shared" si="1"/>
        <v>0.47721554375174735</v>
      </c>
      <c r="G11" s="149">
        <f t="shared" si="2"/>
        <v>148.73217780262794</v>
      </c>
      <c r="H11" s="188">
        <f t="shared" si="3"/>
        <v>0.87489516354487029</v>
      </c>
      <c r="I11" s="379">
        <f t="shared" si="4"/>
        <v>17.884999999999998</v>
      </c>
      <c r="J11" s="149">
        <f t="shared" si="5"/>
        <v>1.35</v>
      </c>
      <c r="K11" s="149">
        <f t="shared" si="6"/>
        <v>0.21657754010695188</v>
      </c>
      <c r="L11" s="149">
        <f t="shared" si="7"/>
        <v>0.23725834797891038</v>
      </c>
      <c r="M11" s="379">
        <f t="shared" si="14"/>
        <v>350</v>
      </c>
      <c r="N11" s="172">
        <f t="shared" si="8"/>
        <v>223.09826670394182</v>
      </c>
      <c r="O11" s="188">
        <f t="shared" si="9"/>
        <v>13.333333333333334</v>
      </c>
      <c r="P11" s="150">
        <f t="shared" si="10"/>
        <v>2.3432923257176337</v>
      </c>
      <c r="Q11" s="150">
        <f t="shared" si="11"/>
        <v>0.17426148541608427</v>
      </c>
      <c r="R11" s="150">
        <f t="shared" si="12"/>
        <v>2.3432923257176337</v>
      </c>
    </row>
    <row r="12" spans="3:19">
      <c r="C12" s="147">
        <v>6</v>
      </c>
      <c r="D12" s="5">
        <f t="shared" si="13"/>
        <v>9.42</v>
      </c>
      <c r="E12" s="379">
        <f t="shared" si="0"/>
        <v>8.5350000000000001</v>
      </c>
      <c r="F12" s="188">
        <f t="shared" si="1"/>
        <v>0.47535505430242275</v>
      </c>
      <c r="G12" s="149">
        <f t="shared" si="2"/>
        <v>149.26148705096077</v>
      </c>
      <c r="H12" s="188">
        <f t="shared" si="3"/>
        <v>0.8780087473585928</v>
      </c>
      <c r="I12" s="379">
        <f t="shared" si="4"/>
        <v>17.954999999999998</v>
      </c>
      <c r="J12" s="149">
        <f t="shared" si="5"/>
        <v>1.35</v>
      </c>
      <c r="K12" s="149">
        <f t="shared" si="6"/>
        <v>0.21496815286624205</v>
      </c>
      <c r="L12" s="149">
        <f t="shared" si="7"/>
        <v>0.23725834797891038</v>
      </c>
      <c r="M12" s="379">
        <f t="shared" si="14"/>
        <v>350</v>
      </c>
      <c r="N12" s="172">
        <f t="shared" si="8"/>
        <v>223.89223057644105</v>
      </c>
      <c r="O12" s="188">
        <f t="shared" si="9"/>
        <v>13.333333333333336</v>
      </c>
      <c r="P12" s="150">
        <f t="shared" si="10"/>
        <v>2.3432923257176341</v>
      </c>
      <c r="Q12" s="150">
        <f t="shared" si="11"/>
        <v>0.17488164856585917</v>
      </c>
      <c r="R12" s="150">
        <f t="shared" si="12"/>
        <v>2.3432923257176337</v>
      </c>
    </row>
    <row r="13" spans="3:19">
      <c r="C13" s="147">
        <v>7</v>
      </c>
      <c r="D13" s="5">
        <f t="shared" si="13"/>
        <v>9.49</v>
      </c>
      <c r="E13" s="379">
        <f t="shared" si="0"/>
        <v>8.5350000000000001</v>
      </c>
      <c r="F13" s="188">
        <f t="shared" si="1"/>
        <v>0.47350901525658812</v>
      </c>
      <c r="G13" s="149">
        <f t="shared" si="2"/>
        <v>149.78668515950071</v>
      </c>
      <c r="H13" s="188">
        <f t="shared" si="3"/>
        <v>0.88109814799706299</v>
      </c>
      <c r="I13" s="379">
        <f t="shared" si="4"/>
        <v>18.024999999999999</v>
      </c>
      <c r="J13" s="149">
        <f t="shared" si="5"/>
        <v>1.35</v>
      </c>
      <c r="K13" s="149">
        <f t="shared" si="6"/>
        <v>0.21338250790305585</v>
      </c>
      <c r="L13" s="149">
        <f t="shared" si="7"/>
        <v>0.23725834797891038</v>
      </c>
      <c r="M13" s="379">
        <f t="shared" si="14"/>
        <v>350</v>
      </c>
      <c r="N13" s="172">
        <f t="shared" si="8"/>
        <v>224.68002773925102</v>
      </c>
      <c r="O13" s="188">
        <f t="shared" si="9"/>
        <v>13.333333333333336</v>
      </c>
      <c r="P13" s="150">
        <f t="shared" si="10"/>
        <v>2.3432923257176341</v>
      </c>
      <c r="Q13" s="150">
        <f t="shared" si="11"/>
        <v>0.17549699491447074</v>
      </c>
      <c r="R13" s="150">
        <f t="shared" si="12"/>
        <v>2.3432923257176337</v>
      </c>
    </row>
    <row r="14" spans="3:19" s="59" customFormat="1">
      <c r="C14" s="147">
        <v>8</v>
      </c>
      <c r="D14" s="167">
        <f t="shared" si="13"/>
        <v>9.56</v>
      </c>
      <c r="E14" s="379">
        <f t="shared" si="0"/>
        <v>8.5350000000000001</v>
      </c>
      <c r="F14" s="188">
        <f t="shared" si="1"/>
        <v>0.47167725891130152</v>
      </c>
      <c r="G14" s="149">
        <f t="shared" si="2"/>
        <v>150.30781983973475</v>
      </c>
      <c r="H14" s="188">
        <f t="shared" si="3"/>
        <v>0.88416364611608678</v>
      </c>
      <c r="I14" s="379">
        <f t="shared" si="4"/>
        <v>18.094999999999999</v>
      </c>
      <c r="J14" s="149">
        <f t="shared" si="5"/>
        <v>1.35</v>
      </c>
      <c r="K14" s="149">
        <f t="shared" si="6"/>
        <v>0.21182008368200836</v>
      </c>
      <c r="L14" s="149">
        <f t="shared" si="7"/>
        <v>0.23725834797891038</v>
      </c>
      <c r="M14" s="379">
        <f t="shared" si="14"/>
        <v>350</v>
      </c>
      <c r="N14" s="172">
        <f t="shared" si="8"/>
        <v>225.46172975960209</v>
      </c>
      <c r="O14" s="188">
        <f t="shared" si="9"/>
        <v>13.333333333333334</v>
      </c>
      <c r="P14" s="150">
        <f t="shared" si="10"/>
        <v>2.3432923257176337</v>
      </c>
      <c r="Q14" s="462">
        <f t="shared" si="11"/>
        <v>0.17610758036289956</v>
      </c>
      <c r="R14" s="150">
        <f t="shared" si="12"/>
        <v>2.3432923257176337</v>
      </c>
    </row>
    <row r="15" spans="3:19">
      <c r="C15" s="147">
        <v>9</v>
      </c>
      <c r="D15" s="5">
        <f t="shared" si="13"/>
        <v>9.6300000000000008</v>
      </c>
      <c r="E15" s="379">
        <f t="shared" si="0"/>
        <v>8.5350000000000001</v>
      </c>
      <c r="F15" s="188">
        <f t="shared" si="1"/>
        <v>0.46985962014863752</v>
      </c>
      <c r="G15" s="149">
        <f t="shared" si="2"/>
        <v>150.82493806771265</v>
      </c>
      <c r="H15" s="188">
        <f t="shared" si="3"/>
        <v>0.88720551804536851</v>
      </c>
      <c r="I15" s="379">
        <f t="shared" si="4"/>
        <v>18.164999999999999</v>
      </c>
      <c r="J15" s="149">
        <f t="shared" si="5"/>
        <v>1.35</v>
      </c>
      <c r="K15" s="149">
        <f t="shared" si="6"/>
        <v>0.2102803738317757</v>
      </c>
      <c r="L15" s="149">
        <f t="shared" si="7"/>
        <v>0.23725834797891038</v>
      </c>
      <c r="M15" s="379">
        <f t="shared" si="14"/>
        <v>350</v>
      </c>
      <c r="N15" s="172">
        <f t="shared" si="8"/>
        <v>226.23740710156895</v>
      </c>
      <c r="O15" s="188">
        <f t="shared" si="9"/>
        <v>13.333333333333334</v>
      </c>
      <c r="P15" s="150">
        <f t="shared" si="10"/>
        <v>2.3432923257176337</v>
      </c>
      <c r="Q15" s="150">
        <f t="shared" si="11"/>
        <v>0.17671345995045423</v>
      </c>
      <c r="R15" s="150">
        <f t="shared" si="12"/>
        <v>2.3432923257176337</v>
      </c>
    </row>
    <row r="16" spans="3:19">
      <c r="C16" s="147">
        <v>10</v>
      </c>
      <c r="D16" s="5">
        <f t="shared" si="13"/>
        <v>9.6999999999999993</v>
      </c>
      <c r="E16" s="379">
        <f t="shared" si="0"/>
        <v>8.5350000000000001</v>
      </c>
      <c r="F16" s="188">
        <f t="shared" si="1"/>
        <v>0.46805593638607079</v>
      </c>
      <c r="G16" s="149">
        <f t="shared" si="2"/>
        <v>151.3380860981629</v>
      </c>
      <c r="H16" s="188">
        <f t="shared" si="3"/>
        <v>0.89022403587154653</v>
      </c>
      <c r="I16" s="379">
        <f t="shared" si="4"/>
        <v>18.234999999999999</v>
      </c>
      <c r="J16" s="149">
        <f t="shared" si="5"/>
        <v>1.35</v>
      </c>
      <c r="K16" s="149">
        <f t="shared" si="6"/>
        <v>0.20876288659793818</v>
      </c>
      <c r="L16" s="149">
        <f t="shared" si="7"/>
        <v>0.23725834797891038</v>
      </c>
      <c r="M16" s="379">
        <f t="shared" si="14"/>
        <v>350</v>
      </c>
      <c r="N16" s="172">
        <f t="shared" si="8"/>
        <v>227.00712914724429</v>
      </c>
      <c r="O16" s="188">
        <f t="shared" si="9"/>
        <v>13.333333333333334</v>
      </c>
      <c r="P16" s="150">
        <f t="shared" si="10"/>
        <v>2.3432923257176337</v>
      </c>
      <c r="Q16" s="150">
        <f t="shared" si="11"/>
        <v>0.17731468787130977</v>
      </c>
      <c r="R16" s="150">
        <f t="shared" si="12"/>
        <v>2.3432923257176337</v>
      </c>
    </row>
    <row r="17" spans="3:18">
      <c r="C17" s="147">
        <v>11</v>
      </c>
      <c r="D17" s="5">
        <f t="shared" si="13"/>
        <v>9.77</v>
      </c>
      <c r="E17" s="379">
        <f t="shared" si="0"/>
        <v>8.5350000000000001</v>
      </c>
      <c r="F17" s="188">
        <f t="shared" si="1"/>
        <v>0.46626604752799783</v>
      </c>
      <c r="G17" s="149">
        <f t="shared" si="2"/>
        <v>151.84730947828461</v>
      </c>
      <c r="H17" s="188">
        <f t="shared" si="3"/>
        <v>0.89321946751932124</v>
      </c>
      <c r="I17" s="379">
        <f t="shared" si="4"/>
        <v>18.305</v>
      </c>
      <c r="J17" s="149">
        <f t="shared" si="5"/>
        <v>1.35</v>
      </c>
      <c r="K17" s="149">
        <f t="shared" si="6"/>
        <v>0.20726714431934493</v>
      </c>
      <c r="L17" s="149">
        <f t="shared" si="7"/>
        <v>0.23725834797891038</v>
      </c>
      <c r="M17" s="379">
        <f t="shared" si="14"/>
        <v>350</v>
      </c>
      <c r="N17" s="172">
        <f t="shared" si="8"/>
        <v>227.77096421742695</v>
      </c>
      <c r="O17" s="188">
        <f t="shared" si="9"/>
        <v>13.333333333333332</v>
      </c>
      <c r="P17" s="150">
        <f t="shared" si="10"/>
        <v>2.3432923257176332</v>
      </c>
      <c r="Q17" s="150">
        <f t="shared" si="11"/>
        <v>0.17791131749066738</v>
      </c>
      <c r="R17" s="150">
        <f t="shared" si="12"/>
        <v>2.3432923257176337</v>
      </c>
    </row>
    <row r="18" spans="3:18">
      <c r="C18" s="147">
        <v>12</v>
      </c>
      <c r="D18" s="5">
        <f t="shared" si="13"/>
        <v>9.84</v>
      </c>
      <c r="E18" s="379">
        <f t="shared" si="0"/>
        <v>8.5350000000000001</v>
      </c>
      <c r="F18" s="188">
        <f t="shared" si="1"/>
        <v>0.46448979591836737</v>
      </c>
      <c r="G18" s="149">
        <f t="shared" si="2"/>
        <v>152.35265306122449</v>
      </c>
      <c r="H18" s="188">
        <f t="shared" si="3"/>
        <v>0.89619207683073232</v>
      </c>
      <c r="I18" s="379">
        <f t="shared" si="4"/>
        <v>18.375</v>
      </c>
      <c r="J18" s="149">
        <f t="shared" si="5"/>
        <v>1.35</v>
      </c>
      <c r="K18" s="149">
        <f t="shared" si="6"/>
        <v>0.20579268292682928</v>
      </c>
      <c r="L18" s="149">
        <f t="shared" si="7"/>
        <v>0.23725834797891038</v>
      </c>
      <c r="M18" s="379">
        <f t="shared" si="14"/>
        <v>350</v>
      </c>
      <c r="N18" s="172">
        <f t="shared" si="8"/>
        <v>228.52897959183673</v>
      </c>
      <c r="O18" s="188">
        <f t="shared" si="9"/>
        <v>13.333333333333336</v>
      </c>
      <c r="P18" s="150">
        <f t="shared" si="10"/>
        <v>2.3432923257176341</v>
      </c>
      <c r="Q18" s="150">
        <f t="shared" si="11"/>
        <v>0.17850340136054432</v>
      </c>
      <c r="R18" s="150">
        <f t="shared" si="12"/>
        <v>2.3432923257176337</v>
      </c>
    </row>
    <row r="19" spans="3:18">
      <c r="C19" s="147">
        <v>13</v>
      </c>
      <c r="D19" s="5">
        <f t="shared" si="13"/>
        <v>9.91</v>
      </c>
      <c r="E19" s="379">
        <f t="shared" si="0"/>
        <v>8.5350000000000001</v>
      </c>
      <c r="F19" s="188">
        <f t="shared" si="1"/>
        <v>0.46272702629438872</v>
      </c>
      <c r="G19" s="149">
        <f t="shared" si="2"/>
        <v>152.85416101924642</v>
      </c>
      <c r="H19" s="188">
        <f t="shared" si="3"/>
        <v>0.89914212364262602</v>
      </c>
      <c r="I19" s="379">
        <f t="shared" si="4"/>
        <v>18.445</v>
      </c>
      <c r="J19" s="149">
        <f t="shared" si="5"/>
        <v>1.35</v>
      </c>
      <c r="K19" s="149">
        <f t="shared" si="6"/>
        <v>0.20433905146316853</v>
      </c>
      <c r="L19" s="149">
        <f t="shared" si="7"/>
        <v>0.23725834797891038</v>
      </c>
      <c r="M19" s="379">
        <f t="shared" si="14"/>
        <v>350</v>
      </c>
      <c r="N19" s="172">
        <f t="shared" si="8"/>
        <v>229.28124152886957</v>
      </c>
      <c r="O19" s="188">
        <f t="shared" si="9"/>
        <v>13.333333333333334</v>
      </c>
      <c r="P19" s="150">
        <f t="shared" si="10"/>
        <v>2.3432923257176337</v>
      </c>
      <c r="Q19" s="150">
        <f t="shared" si="11"/>
        <v>0.17909099123520381</v>
      </c>
      <c r="R19" s="150">
        <f t="shared" si="12"/>
        <v>2.3432923257176337</v>
      </c>
    </row>
    <row r="20" spans="3:18">
      <c r="C20" s="147">
        <v>14</v>
      </c>
      <c r="D20" s="5">
        <f t="shared" si="13"/>
        <v>9.98</v>
      </c>
      <c r="E20" s="379">
        <f t="shared" si="0"/>
        <v>8.5350000000000001</v>
      </c>
      <c r="F20" s="188">
        <f t="shared" si="1"/>
        <v>0.46097758574129083</v>
      </c>
      <c r="G20" s="149">
        <f t="shared" si="2"/>
        <v>153.35187685660279</v>
      </c>
      <c r="H20" s="188">
        <f t="shared" si="3"/>
        <v>0.90206986386236931</v>
      </c>
      <c r="I20" s="379">
        <f t="shared" si="4"/>
        <v>18.515000000000001</v>
      </c>
      <c r="J20" s="149">
        <f t="shared" si="5"/>
        <v>1.35</v>
      </c>
      <c r="K20" s="149">
        <f t="shared" si="6"/>
        <v>0.2029058116232465</v>
      </c>
      <c r="L20" s="149">
        <f t="shared" si="7"/>
        <v>0.23725834797891038</v>
      </c>
      <c r="M20" s="379">
        <f t="shared" si="14"/>
        <v>350</v>
      </c>
      <c r="N20" s="172">
        <f t="shared" si="8"/>
        <v>230.02781528490414</v>
      </c>
      <c r="O20" s="188">
        <f t="shared" si="9"/>
        <v>13.333333333333334</v>
      </c>
      <c r="P20" s="150">
        <f t="shared" si="10"/>
        <v>2.3432923257176337</v>
      </c>
      <c r="Q20" s="150">
        <f t="shared" si="11"/>
        <v>0.17967413808623647</v>
      </c>
      <c r="R20" s="150">
        <f t="shared" si="12"/>
        <v>2.3432923257176337</v>
      </c>
    </row>
    <row r="21" spans="3:18">
      <c r="C21" s="147">
        <v>15</v>
      </c>
      <c r="D21" s="5">
        <f t="shared" si="13"/>
        <v>10.050000000000001</v>
      </c>
      <c r="E21" s="379">
        <f t="shared" si="0"/>
        <v>8.5350000000000001</v>
      </c>
      <c r="F21" s="188">
        <f t="shared" si="1"/>
        <v>0.45924132364810327</v>
      </c>
      <c r="G21" s="149">
        <f t="shared" si="2"/>
        <v>153.84584342211463</v>
      </c>
      <c r="H21" s="188">
        <f t="shared" si="3"/>
        <v>0.90497554954185078</v>
      </c>
      <c r="I21" s="379">
        <f t="shared" si="4"/>
        <v>18.585000000000001</v>
      </c>
      <c r="J21" s="149">
        <f t="shared" si="5"/>
        <v>1.35</v>
      </c>
      <c r="K21" s="149">
        <f t="shared" si="6"/>
        <v>0.20149253731343281</v>
      </c>
      <c r="L21" s="149">
        <f t="shared" si="7"/>
        <v>0.23725834797891038</v>
      </c>
      <c r="M21" s="379">
        <f t="shared" si="14"/>
        <v>350</v>
      </c>
      <c r="N21" s="172">
        <f t="shared" si="8"/>
        <v>230.76876513317194</v>
      </c>
      <c r="O21" s="188">
        <f t="shared" si="9"/>
        <v>13.333333333333334</v>
      </c>
      <c r="P21" s="150">
        <f t="shared" si="10"/>
        <v>2.3432923257176337</v>
      </c>
      <c r="Q21" s="150">
        <f t="shared" si="11"/>
        <v>0.18025289211729897</v>
      </c>
      <c r="R21" s="150">
        <f t="shared" si="12"/>
        <v>2.3432923257176337</v>
      </c>
    </row>
    <row r="22" spans="3:18" s="3" customFormat="1">
      <c r="C22" s="235">
        <v>16</v>
      </c>
      <c r="D22" s="458">
        <f t="shared" si="13"/>
        <v>10.120000000000001</v>
      </c>
      <c r="E22" s="459">
        <f t="shared" si="0"/>
        <v>8.5350000000000001</v>
      </c>
      <c r="F22" s="460">
        <f t="shared" si="1"/>
        <v>0.45751809166443314</v>
      </c>
      <c r="G22" s="286">
        <f t="shared" si="2"/>
        <v>154.33610292146881</v>
      </c>
      <c r="H22" s="460">
        <f t="shared" si="3"/>
        <v>0.90785942894981653</v>
      </c>
      <c r="I22" s="459">
        <f t="shared" si="4"/>
        <v>18.655000000000001</v>
      </c>
      <c r="J22" s="149">
        <f t="shared" si="5"/>
        <v>1.35</v>
      </c>
      <c r="K22" s="286">
        <f t="shared" si="6"/>
        <v>0.20009881422924899</v>
      </c>
      <c r="L22" s="286">
        <f t="shared" si="7"/>
        <v>0.23725834797891038</v>
      </c>
      <c r="M22" s="459">
        <f t="shared" si="14"/>
        <v>350</v>
      </c>
      <c r="N22" s="288">
        <f t="shared" si="8"/>
        <v>231.50415438220318</v>
      </c>
      <c r="O22" s="460">
        <f t="shared" si="9"/>
        <v>13.333333333333334</v>
      </c>
      <c r="P22" s="150">
        <f t="shared" si="10"/>
        <v>2.3432923257176337</v>
      </c>
      <c r="Q22" s="463">
        <f t="shared" si="11"/>
        <v>0.18082730277852238</v>
      </c>
      <c r="R22" s="150">
        <f t="shared" si="12"/>
        <v>2.3432923257176337</v>
      </c>
    </row>
    <row r="23" spans="3:18">
      <c r="C23" s="147">
        <v>17</v>
      </c>
      <c r="D23" s="5">
        <f t="shared" si="13"/>
        <v>10.19</v>
      </c>
      <c r="E23" s="379">
        <f t="shared" si="0"/>
        <v>8.5350000000000001</v>
      </c>
      <c r="F23" s="188">
        <f t="shared" si="1"/>
        <v>0.45580774365821092</v>
      </c>
      <c r="G23" s="149">
        <f t="shared" si="2"/>
        <v>154.82269692923899</v>
      </c>
      <c r="H23" s="188">
        <f t="shared" si="3"/>
        <v>0.91072174664258232</v>
      </c>
      <c r="I23" s="379">
        <f t="shared" si="4"/>
        <v>18.725000000000001</v>
      </c>
      <c r="J23" s="149">
        <f t="shared" si="5"/>
        <v>1.35</v>
      </c>
      <c r="K23" s="149">
        <f t="shared" si="6"/>
        <v>0.19872423945044163</v>
      </c>
      <c r="L23" s="149">
        <f t="shared" si="7"/>
        <v>0.23725834797891038</v>
      </c>
      <c r="M23" s="379">
        <f t="shared" si="14"/>
        <v>350</v>
      </c>
      <c r="N23" s="172">
        <f t="shared" si="8"/>
        <v>232.23404539385845</v>
      </c>
      <c r="O23" s="188">
        <f t="shared" si="9"/>
        <v>13.333333333333334</v>
      </c>
      <c r="P23" s="150">
        <f t="shared" si="10"/>
        <v>2.3432923257176337</v>
      </c>
      <c r="Q23" s="150">
        <f t="shared" si="11"/>
        <v>0.18139741878059637</v>
      </c>
      <c r="R23" s="150">
        <f t="shared" si="12"/>
        <v>2.3432923257176337</v>
      </c>
    </row>
    <row r="24" spans="3:18">
      <c r="C24" s="147">
        <v>18</v>
      </c>
      <c r="D24" s="5">
        <f t="shared" si="13"/>
        <v>10.26</v>
      </c>
      <c r="E24" s="379">
        <f t="shared" si="0"/>
        <v>8.5350000000000001</v>
      </c>
      <c r="F24" s="188">
        <f t="shared" si="1"/>
        <v>0.45411013567438147</v>
      </c>
      <c r="G24" s="149">
        <f t="shared" si="2"/>
        <v>155.30566640063844</v>
      </c>
      <c r="H24" s="188">
        <f t="shared" si="3"/>
        <v>0.91356274353316735</v>
      </c>
      <c r="I24" s="379">
        <f t="shared" si="4"/>
        <v>18.795000000000002</v>
      </c>
      <c r="J24" s="149">
        <f t="shared" si="5"/>
        <v>1.35</v>
      </c>
      <c r="K24" s="149">
        <f t="shared" si="6"/>
        <v>0.19736842105263161</v>
      </c>
      <c r="L24" s="149">
        <f t="shared" si="7"/>
        <v>0.23725834797891038</v>
      </c>
      <c r="M24" s="379">
        <f t="shared" si="14"/>
        <v>350</v>
      </c>
      <c r="N24" s="172">
        <f t="shared" si="8"/>
        <v>232.95849960095768</v>
      </c>
      <c r="O24" s="188">
        <f t="shared" si="9"/>
        <v>13.333333333333334</v>
      </c>
      <c r="P24" s="150">
        <f t="shared" si="10"/>
        <v>2.3432923257176337</v>
      </c>
      <c r="Q24" s="150">
        <f t="shared" si="11"/>
        <v>0.18196328810853957</v>
      </c>
      <c r="R24" s="150">
        <f t="shared" si="12"/>
        <v>2.3432923257176337</v>
      </c>
    </row>
    <row r="25" spans="3:18">
      <c r="C25" s="147">
        <v>19</v>
      </c>
      <c r="D25" s="5">
        <f t="shared" si="13"/>
        <v>10.33</v>
      </c>
      <c r="E25" s="379">
        <f t="shared" si="0"/>
        <v>8.5350000000000001</v>
      </c>
      <c r="F25" s="188">
        <f t="shared" si="1"/>
        <v>0.45242512589451361</v>
      </c>
      <c r="G25" s="149">
        <f t="shared" si="2"/>
        <v>155.78505168301089</v>
      </c>
      <c r="H25" s="188">
        <f t="shared" si="3"/>
        <v>0.91638265695888754</v>
      </c>
      <c r="I25" s="379">
        <f t="shared" si="4"/>
        <v>18.865000000000002</v>
      </c>
      <c r="J25" s="149">
        <f t="shared" si="5"/>
        <v>1.35</v>
      </c>
      <c r="K25" s="149">
        <f t="shared" si="6"/>
        <v>0.19603097773475317</v>
      </c>
      <c r="L25" s="149">
        <f t="shared" si="7"/>
        <v>0.23725834797891038</v>
      </c>
      <c r="M25" s="379">
        <f t="shared" si="14"/>
        <v>350</v>
      </c>
      <c r="N25" s="172">
        <f t="shared" si="8"/>
        <v>233.67757752451627</v>
      </c>
      <c r="O25" s="188">
        <f t="shared" si="9"/>
        <v>13.333333333333336</v>
      </c>
      <c r="P25" s="150">
        <f t="shared" si="10"/>
        <v>2.3432923257176341</v>
      </c>
      <c r="Q25" s="150">
        <f t="shared" si="11"/>
        <v>0.18252495803516219</v>
      </c>
      <c r="R25" s="150">
        <f t="shared" si="12"/>
        <v>2.3432923257176337</v>
      </c>
    </row>
    <row r="26" spans="3:18">
      <c r="C26" s="147">
        <v>20</v>
      </c>
      <c r="D26" s="5">
        <f t="shared" si="13"/>
        <v>10.4</v>
      </c>
      <c r="E26" s="379">
        <f t="shared" si="0"/>
        <v>8.5350000000000001</v>
      </c>
      <c r="F26" s="188">
        <f t="shared" si="1"/>
        <v>0.45075257459730655</v>
      </c>
      <c r="G26" s="149">
        <f t="shared" si="2"/>
        <v>156.26089252706629</v>
      </c>
      <c r="H26" s="188">
        <f t="shared" si="3"/>
        <v>0.91918172074744875</v>
      </c>
      <c r="I26" s="379">
        <f t="shared" si="4"/>
        <v>18.935000000000002</v>
      </c>
      <c r="J26" s="149">
        <f t="shared" si="5"/>
        <v>1.35</v>
      </c>
      <c r="K26" s="149">
        <f t="shared" si="6"/>
        <v>0.19471153846153846</v>
      </c>
      <c r="L26" s="149">
        <f t="shared" si="7"/>
        <v>0.23725834797891038</v>
      </c>
      <c r="M26" s="379">
        <f t="shared" si="14"/>
        <v>350</v>
      </c>
      <c r="N26" s="172">
        <f t="shared" si="8"/>
        <v>234.39133879059941</v>
      </c>
      <c r="O26" s="188">
        <f t="shared" si="9"/>
        <v>13.333333333333336</v>
      </c>
      <c r="P26" s="150">
        <f t="shared" si="10"/>
        <v>2.3432923257176341</v>
      </c>
      <c r="Q26" s="150">
        <f t="shared" si="11"/>
        <v>0.18308247513423126</v>
      </c>
      <c r="R26" s="150">
        <f t="shared" si="12"/>
        <v>2.3432923257176337</v>
      </c>
    </row>
    <row r="27" spans="3:18">
      <c r="C27" s="147">
        <v>21</v>
      </c>
      <c r="D27" s="5">
        <f t="shared" si="13"/>
        <v>10.47</v>
      </c>
      <c r="E27" s="379">
        <f t="shared" si="0"/>
        <v>8.5350000000000001</v>
      </c>
      <c r="F27" s="188">
        <f t="shared" si="1"/>
        <v>0.4490923441199684</v>
      </c>
      <c r="G27" s="149">
        <f t="shared" si="2"/>
        <v>156.73322809786899</v>
      </c>
      <c r="H27" s="188">
        <f t="shared" si="3"/>
        <v>0.92196016528158231</v>
      </c>
      <c r="I27" s="379">
        <f t="shared" si="4"/>
        <v>19.005000000000003</v>
      </c>
      <c r="J27" s="149">
        <f t="shared" si="5"/>
        <v>1.35</v>
      </c>
      <c r="K27" s="149">
        <f t="shared" si="6"/>
        <v>0.19340974212034384</v>
      </c>
      <c r="L27" s="149">
        <f t="shared" si="7"/>
        <v>0.23725834797891038</v>
      </c>
      <c r="M27" s="379">
        <f t="shared" si="14"/>
        <v>350</v>
      </c>
      <c r="N27" s="172">
        <f t="shared" si="8"/>
        <v>235.09984214680347</v>
      </c>
      <c r="O27" s="188">
        <f t="shared" si="9"/>
        <v>13.333333333333332</v>
      </c>
      <c r="P27" s="150">
        <f t="shared" si="10"/>
        <v>2.3432923257176332</v>
      </c>
      <c r="Q27" s="150">
        <f t="shared" si="11"/>
        <v>0.18363588529334385</v>
      </c>
      <c r="R27" s="150">
        <f t="shared" si="12"/>
        <v>2.3432923257176337</v>
      </c>
    </row>
    <row r="28" spans="3:18">
      <c r="C28" s="147">
        <v>22</v>
      </c>
      <c r="D28" s="5">
        <f t="shared" si="13"/>
        <v>10.54</v>
      </c>
      <c r="E28" s="379">
        <f t="shared" si="0"/>
        <v>8.5350000000000001</v>
      </c>
      <c r="F28" s="188">
        <f t="shared" si="1"/>
        <v>0.44744429882044562</v>
      </c>
      <c r="G28" s="149">
        <f t="shared" si="2"/>
        <v>157.20209698558324</v>
      </c>
      <c r="H28" s="188">
        <f t="shared" si="3"/>
        <v>0.92471821756225436</v>
      </c>
      <c r="I28" s="379">
        <f t="shared" si="4"/>
        <v>19.074999999999999</v>
      </c>
      <c r="J28" s="149">
        <f t="shared" si="5"/>
        <v>1.35</v>
      </c>
      <c r="K28" s="149">
        <f t="shared" si="6"/>
        <v>0.19212523719165089</v>
      </c>
      <c r="L28" s="149">
        <f t="shared" si="7"/>
        <v>0.23725834797891038</v>
      </c>
      <c r="M28" s="379">
        <f t="shared" si="14"/>
        <v>350</v>
      </c>
      <c r="N28" s="172">
        <f t="shared" si="8"/>
        <v>235.8031454783748</v>
      </c>
      <c r="O28" s="188">
        <f t="shared" si="9"/>
        <v>13.333333333333334</v>
      </c>
      <c r="P28" s="150">
        <f t="shared" si="10"/>
        <v>2.3432923257176337</v>
      </c>
      <c r="Q28" s="150">
        <f t="shared" si="11"/>
        <v>0.18418523372651815</v>
      </c>
      <c r="R28" s="150">
        <f t="shared" si="12"/>
        <v>2.3432923257176337</v>
      </c>
    </row>
    <row r="29" spans="3:18">
      <c r="C29" s="147">
        <v>23</v>
      </c>
      <c r="D29" s="5">
        <f t="shared" si="13"/>
        <v>10.61</v>
      </c>
      <c r="E29" s="379">
        <f t="shared" si="0"/>
        <v>8.5350000000000001</v>
      </c>
      <c r="F29" s="188">
        <f t="shared" si="1"/>
        <v>0.44580830504048058</v>
      </c>
      <c r="G29" s="149">
        <f t="shared" si="2"/>
        <v>157.66753721598329</v>
      </c>
      <c r="H29" s="188">
        <f t="shared" si="3"/>
        <v>0.92745610127048994</v>
      </c>
      <c r="I29" s="379">
        <f t="shared" si="4"/>
        <v>19.145</v>
      </c>
      <c r="J29" s="149">
        <f t="shared" si="5"/>
        <v>1.35</v>
      </c>
      <c r="K29" s="149">
        <f t="shared" si="6"/>
        <v>0.19085768143261075</v>
      </c>
      <c r="L29" s="149">
        <f t="shared" si="7"/>
        <v>0.23725834797891038</v>
      </c>
      <c r="M29" s="379">
        <f t="shared" si="14"/>
        <v>350</v>
      </c>
      <c r="N29" s="172">
        <f t="shared" si="8"/>
        <v>236.50130582397492</v>
      </c>
      <c r="O29" s="188">
        <f t="shared" si="9"/>
        <v>13.333333333333334</v>
      </c>
      <c r="P29" s="150">
        <f t="shared" si="10"/>
        <v>2.3432923257176337</v>
      </c>
      <c r="Q29" s="150">
        <f t="shared" si="11"/>
        <v>0.18473056498650656</v>
      </c>
      <c r="R29" s="150">
        <f t="shared" si="12"/>
        <v>2.3432923257176337</v>
      </c>
    </row>
    <row r="30" spans="3:18">
      <c r="C30" s="147">
        <v>24</v>
      </c>
      <c r="D30" s="5">
        <f t="shared" si="13"/>
        <v>10.68</v>
      </c>
      <c r="E30" s="379">
        <f t="shared" si="0"/>
        <v>8.5350000000000001</v>
      </c>
      <c r="F30" s="188">
        <f t="shared" si="1"/>
        <v>0.44418423106947696</v>
      </c>
      <c r="G30" s="149">
        <f t="shared" si="2"/>
        <v>158.12958626073382</v>
      </c>
      <c r="H30" s="188">
        <f t="shared" si="3"/>
        <v>0.93017403682784594</v>
      </c>
      <c r="I30" s="379">
        <f t="shared" si="4"/>
        <v>19.215</v>
      </c>
      <c r="J30" s="149">
        <f t="shared" si="5"/>
        <v>1.35</v>
      </c>
      <c r="K30" s="149">
        <f t="shared" si="6"/>
        <v>0.18960674157303373</v>
      </c>
      <c r="L30" s="149">
        <f t="shared" si="7"/>
        <v>0.23725834797891038</v>
      </c>
      <c r="M30" s="379">
        <f t="shared" si="14"/>
        <v>350</v>
      </c>
      <c r="N30" s="172">
        <f t="shared" si="8"/>
        <v>237.19437939110068</v>
      </c>
      <c r="O30" s="188">
        <f t="shared" si="9"/>
        <v>13.333333333333334</v>
      </c>
      <c r="P30" s="150">
        <f t="shared" si="10"/>
        <v>2.3432923257176337</v>
      </c>
      <c r="Q30" s="150">
        <f t="shared" si="11"/>
        <v>0.18527192297684106</v>
      </c>
      <c r="R30" s="150">
        <f t="shared" si="12"/>
        <v>2.3432923257176337</v>
      </c>
    </row>
    <row r="31" spans="3:18">
      <c r="C31" s="147">
        <v>25</v>
      </c>
      <c r="D31" s="5">
        <f t="shared" si="13"/>
        <v>10.75</v>
      </c>
      <c r="E31" s="379">
        <f t="shared" si="0"/>
        <v>8.5350000000000001</v>
      </c>
      <c r="F31" s="188">
        <f t="shared" si="1"/>
        <v>0.44257194710915221</v>
      </c>
      <c r="G31" s="149">
        <f t="shared" si="2"/>
        <v>158.58828104744623</v>
      </c>
      <c r="H31" s="188">
        <f t="shared" si="3"/>
        <v>0.93287224145556602</v>
      </c>
      <c r="I31" s="379">
        <f t="shared" si="4"/>
        <v>19.285</v>
      </c>
      <c r="J31" s="149">
        <f t="shared" si="5"/>
        <v>1.35</v>
      </c>
      <c r="K31" s="149">
        <f t="shared" si="6"/>
        <v>0.18837209302325583</v>
      </c>
      <c r="L31" s="149">
        <f t="shared" si="7"/>
        <v>0.23725834797891038</v>
      </c>
      <c r="M31" s="379">
        <f t="shared" si="14"/>
        <v>350</v>
      </c>
      <c r="N31" s="172">
        <f t="shared" si="8"/>
        <v>237.88242157116929</v>
      </c>
      <c r="O31" s="188">
        <f t="shared" si="9"/>
        <v>13.333333333333336</v>
      </c>
      <c r="P31" s="150">
        <f t="shared" si="10"/>
        <v>2.3432923257176341</v>
      </c>
      <c r="Q31" s="150">
        <f t="shared" si="11"/>
        <v>0.18580935096361606</v>
      </c>
      <c r="R31" s="150">
        <f t="shared" si="12"/>
        <v>2.3432923257176337</v>
      </c>
    </row>
    <row r="32" spans="3:18">
      <c r="C32" s="147">
        <v>26</v>
      </c>
      <c r="D32" s="5">
        <f t="shared" si="13"/>
        <v>10.82</v>
      </c>
      <c r="E32" s="379">
        <f t="shared" si="0"/>
        <v>8.5350000000000001</v>
      </c>
      <c r="F32" s="188">
        <f t="shared" si="1"/>
        <v>0.44097132523895632</v>
      </c>
      <c r="G32" s="149">
        <f t="shared" si="2"/>
        <v>159.04365796951694</v>
      </c>
      <c r="H32" s="188">
        <f t="shared" si="3"/>
        <v>0.93555092923245264</v>
      </c>
      <c r="I32" s="379">
        <f t="shared" si="4"/>
        <v>19.355</v>
      </c>
      <c r="J32" s="149">
        <f t="shared" si="5"/>
        <v>1.35</v>
      </c>
      <c r="K32" s="149">
        <f t="shared" si="6"/>
        <v>0.18715341959334567</v>
      </c>
      <c r="L32" s="149">
        <f t="shared" si="7"/>
        <v>0.23725834797891038</v>
      </c>
      <c r="M32" s="379">
        <f t="shared" si="14"/>
        <v>350</v>
      </c>
      <c r="N32" s="172">
        <f t="shared" si="8"/>
        <v>238.56548695427537</v>
      </c>
      <c r="O32" s="188">
        <f t="shared" si="9"/>
        <v>13.333333333333334</v>
      </c>
      <c r="P32" s="150">
        <f t="shared" si="10"/>
        <v>2.3432923257176337</v>
      </c>
      <c r="Q32" s="150">
        <f t="shared" si="11"/>
        <v>0.18634289158701461</v>
      </c>
      <c r="R32" s="150">
        <f t="shared" si="12"/>
        <v>2.3432923257176337</v>
      </c>
    </row>
    <row r="33" spans="3:18">
      <c r="C33" s="147">
        <v>27</v>
      </c>
      <c r="D33" s="5">
        <f t="shared" si="13"/>
        <v>10.89</v>
      </c>
      <c r="E33" s="379">
        <f t="shared" si="0"/>
        <v>8.5350000000000001</v>
      </c>
      <c r="F33" s="188">
        <f t="shared" si="1"/>
        <v>0.43938223938223936</v>
      </c>
      <c r="G33" s="149">
        <f t="shared" si="2"/>
        <v>159.4957528957529</v>
      </c>
      <c r="H33" s="188">
        <f t="shared" si="3"/>
        <v>0.93821031115148767</v>
      </c>
      <c r="I33" s="379">
        <f t="shared" si="4"/>
        <v>19.425000000000001</v>
      </c>
      <c r="J33" s="149">
        <f t="shared" si="5"/>
        <v>1.35</v>
      </c>
      <c r="K33" s="149">
        <f t="shared" si="6"/>
        <v>0.18595041322314049</v>
      </c>
      <c r="L33" s="149">
        <f t="shared" si="7"/>
        <v>0.23725834797891038</v>
      </c>
      <c r="M33" s="379">
        <f t="shared" si="14"/>
        <v>350</v>
      </c>
      <c r="N33" s="172">
        <f t="shared" si="8"/>
        <v>239.24362934362932</v>
      </c>
      <c r="O33" s="188">
        <f t="shared" si="9"/>
        <v>13.333333333333334</v>
      </c>
      <c r="P33" s="150">
        <f t="shared" si="10"/>
        <v>2.3432923257176337</v>
      </c>
      <c r="Q33" s="150">
        <f t="shared" si="11"/>
        <v>0.18687258687258693</v>
      </c>
      <c r="R33" s="150">
        <f t="shared" si="12"/>
        <v>2.3432923257176337</v>
      </c>
    </row>
    <row r="34" spans="3:18">
      <c r="C34" s="147">
        <v>28</v>
      </c>
      <c r="D34" s="5">
        <f t="shared" si="13"/>
        <v>10.96</v>
      </c>
      <c r="E34" s="379">
        <f t="shared" si="0"/>
        <v>8.5350000000000001</v>
      </c>
      <c r="F34" s="188">
        <f t="shared" si="1"/>
        <v>0.43780456527314693</v>
      </c>
      <c r="G34" s="149">
        <f t="shared" si="2"/>
        <v>159.94460117978971</v>
      </c>
      <c r="H34" s="188">
        <f t="shared" si="3"/>
        <v>0.94085059517523362</v>
      </c>
      <c r="I34" s="379">
        <f t="shared" si="4"/>
        <v>19.495000000000001</v>
      </c>
      <c r="J34" s="149">
        <f t="shared" si="5"/>
        <v>1.35</v>
      </c>
      <c r="K34" s="149">
        <f t="shared" si="6"/>
        <v>0.18476277372262773</v>
      </c>
      <c r="L34" s="149">
        <f t="shared" si="7"/>
        <v>0.23725834797891038</v>
      </c>
      <c r="M34" s="379">
        <f t="shared" si="14"/>
        <v>350</v>
      </c>
      <c r="N34" s="172">
        <f t="shared" si="8"/>
        <v>239.91690176968456</v>
      </c>
      <c r="O34" s="188">
        <f t="shared" si="9"/>
        <v>13.333333333333332</v>
      </c>
      <c r="P34" s="150">
        <f t="shared" si="10"/>
        <v>2.3432923257176332</v>
      </c>
      <c r="Q34" s="150">
        <f t="shared" si="11"/>
        <v>0.18739847824228434</v>
      </c>
      <c r="R34" s="150">
        <f t="shared" si="12"/>
        <v>2.3432923257176337</v>
      </c>
    </row>
    <row r="35" spans="3:18">
      <c r="C35" s="147">
        <v>29</v>
      </c>
      <c r="D35" s="5">
        <f t="shared" si="13"/>
        <v>11.03</v>
      </c>
      <c r="E35" s="379">
        <f t="shared" si="0"/>
        <v>8.5350000000000001</v>
      </c>
      <c r="F35" s="188">
        <f t="shared" si="1"/>
        <v>0.43623818042422702</v>
      </c>
      <c r="G35" s="149">
        <f t="shared" si="2"/>
        <v>160.39023766930748</v>
      </c>
      <c r="H35" s="188">
        <f t="shared" si="3"/>
        <v>0.94347198629004403</v>
      </c>
      <c r="I35" s="379">
        <f t="shared" si="4"/>
        <v>19.564999999999998</v>
      </c>
      <c r="J35" s="149">
        <f t="shared" si="5"/>
        <v>1.35</v>
      </c>
      <c r="K35" s="149">
        <f t="shared" si="6"/>
        <v>0.18359020852221217</v>
      </c>
      <c r="L35" s="149">
        <f t="shared" si="7"/>
        <v>0.23725834797891038</v>
      </c>
      <c r="M35" s="379">
        <f t="shared" si="14"/>
        <v>350</v>
      </c>
      <c r="N35" s="172">
        <f t="shared" si="8"/>
        <v>240.58535650396115</v>
      </c>
      <c r="O35" s="188">
        <f t="shared" si="9"/>
        <v>13.333333333333334</v>
      </c>
      <c r="P35" s="150">
        <f t="shared" si="10"/>
        <v>2.3432923257176337</v>
      </c>
      <c r="Q35" s="150">
        <f t="shared" si="11"/>
        <v>0.18792060652525777</v>
      </c>
      <c r="R35" s="150">
        <f t="shared" si="12"/>
        <v>2.3432923257176337</v>
      </c>
    </row>
    <row r="36" spans="3:18">
      <c r="C36" s="147">
        <v>30</v>
      </c>
      <c r="D36" s="5">
        <f t="shared" si="13"/>
        <v>11.1</v>
      </c>
      <c r="E36" s="379">
        <f t="shared" si="0"/>
        <v>8.5350000000000001</v>
      </c>
      <c r="F36" s="188">
        <f t="shared" si="1"/>
        <v>0.43468296409472884</v>
      </c>
      <c r="G36" s="149">
        <f t="shared" si="2"/>
        <v>160.83269671504968</v>
      </c>
      <c r="H36" s="188">
        <f t="shared" si="3"/>
        <v>0.94607468655911575</v>
      </c>
      <c r="I36" s="379">
        <f t="shared" si="4"/>
        <v>19.634999999999998</v>
      </c>
      <c r="J36" s="149">
        <f t="shared" si="5"/>
        <v>1.35</v>
      </c>
      <c r="K36" s="149">
        <f t="shared" si="6"/>
        <v>0.18243243243243246</v>
      </c>
      <c r="L36" s="149">
        <f t="shared" si="7"/>
        <v>0.23725834797891038</v>
      </c>
      <c r="M36" s="379">
        <f t="shared" si="14"/>
        <v>350</v>
      </c>
      <c r="N36" s="172">
        <f t="shared" si="8"/>
        <v>241.24904507257449</v>
      </c>
      <c r="O36" s="188">
        <f t="shared" si="9"/>
        <v>13.333333333333332</v>
      </c>
      <c r="P36" s="150">
        <f t="shared" si="10"/>
        <v>2.3432923257176332</v>
      </c>
      <c r="Q36" s="150">
        <f t="shared" si="11"/>
        <v>0.18843901196842372</v>
      </c>
      <c r="R36" s="150">
        <f t="shared" si="12"/>
        <v>2.3432923257176337</v>
      </c>
    </row>
    <row r="37" spans="3:18">
      <c r="C37" s="147">
        <v>31</v>
      </c>
      <c r="D37" s="5">
        <f t="shared" si="13"/>
        <v>11.17</v>
      </c>
      <c r="E37" s="379">
        <f t="shared" si="0"/>
        <v>8.5350000000000001</v>
      </c>
      <c r="F37" s="188">
        <f t="shared" si="1"/>
        <v>0.43313879725957882</v>
      </c>
      <c r="G37" s="149">
        <f t="shared" si="2"/>
        <v>161.27201217964986</v>
      </c>
      <c r="H37" s="188">
        <f t="shared" si="3"/>
        <v>0.94865889517441093</v>
      </c>
      <c r="I37" s="379">
        <f t="shared" si="4"/>
        <v>19.704999999999998</v>
      </c>
      <c r="J37" s="149">
        <f t="shared" si="5"/>
        <v>1.35</v>
      </c>
      <c r="K37" s="149">
        <f t="shared" si="6"/>
        <v>0.18128916741271262</v>
      </c>
      <c r="L37" s="149">
        <f t="shared" si="7"/>
        <v>0.23725834797891038</v>
      </c>
      <c r="M37" s="379">
        <f t="shared" si="14"/>
        <v>350</v>
      </c>
      <c r="N37" s="172">
        <f t="shared" si="8"/>
        <v>241.90801826947472</v>
      </c>
      <c r="O37" s="188">
        <f t="shared" si="9"/>
        <v>13.333333333333336</v>
      </c>
      <c r="P37" s="150">
        <f t="shared" si="10"/>
        <v>2.3432923257176341</v>
      </c>
      <c r="Q37" s="150">
        <f t="shared" si="11"/>
        <v>0.18895373424680717</v>
      </c>
      <c r="R37" s="150">
        <f t="shared" si="12"/>
        <v>2.3432923257176337</v>
      </c>
    </row>
    <row r="38" spans="3:18">
      <c r="C38" s="147">
        <v>32</v>
      </c>
      <c r="D38" s="5">
        <f t="shared" si="13"/>
        <v>11.24</v>
      </c>
      <c r="E38" s="379">
        <f t="shared" ref="E38:E69" si="15">(Vout+Vfwd1)*Nps</f>
        <v>8.5350000000000001</v>
      </c>
      <c r="F38" s="188">
        <f t="shared" ref="F38:F69" si="16">(Vout+Vfwd1)*Nps/((Vout+Vfwd1)*Nps+D38)</f>
        <v>0.43160556257901395</v>
      </c>
      <c r="G38" s="149">
        <f t="shared" ref="G38:G69" si="17">F38*D38*Isw_max*0.5*Efficiency</f>
        <v>161.70821744627057</v>
      </c>
      <c r="H38" s="188">
        <f t="shared" ref="H38:H69" si="18">G38/Vout</f>
        <v>0.95122480850747393</v>
      </c>
      <c r="I38" s="379">
        <f t="shared" ref="I38:I69" si="19">(Vout+Vfwd1)*Nps+D38</f>
        <v>19.774999999999999</v>
      </c>
      <c r="J38" s="149">
        <f t="shared" ref="J38:J69" si="20">MIN(2*Vout*Iout/(Efficiency*D38*F38), 1.35)</f>
        <v>1.35</v>
      </c>
      <c r="K38" s="149">
        <f t="shared" ref="K38:K69" si="21">L*J38/D38*1000000</f>
        <v>0.18016014234875447</v>
      </c>
      <c r="L38" s="149">
        <f t="shared" ref="L38:L69" si="22">L*J38/((Vout+Vfwd1)*Nps)*1000000</f>
        <v>0.23725834797891038</v>
      </c>
      <c r="M38" s="379">
        <f t="shared" si="14"/>
        <v>350</v>
      </c>
      <c r="N38" s="172">
        <f t="shared" ref="N38:N69" si="23">IF(1/((350000*L)*(1/D38+1/E38))&gt;Isw_min, 350, 0.001/((Isw_min*L)*(1/D38+1/E38)))</f>
        <v>242.56232616940582</v>
      </c>
      <c r="O38" s="188">
        <f t="shared" ref="O38:O69" si="24">1/((N38*1000*L)*(1/D38+1/E38))</f>
        <v>13.333333333333332</v>
      </c>
      <c r="P38" s="150">
        <f t="shared" ref="P38:P69" si="25">L*O38/E38*1000000</f>
        <v>2.3432923257176332</v>
      </c>
      <c r="Q38" s="150">
        <f t="shared" ref="Q38:Q69" si="26">0.5*P38*O38*Nps*N38/1000</f>
        <v>0.18946481247366201</v>
      </c>
      <c r="R38" s="150">
        <f t="shared" ref="R38:R69" si="27">L*Isw_min/E38*1000000</f>
        <v>2.3432923257176337</v>
      </c>
    </row>
    <row r="39" spans="3:18">
      <c r="C39" s="147">
        <v>33</v>
      </c>
      <c r="D39" s="5">
        <f t="shared" ref="D39:D70" si="28">C39/100*(VIN_max-VIN_min)+VIN_min</f>
        <v>11.31</v>
      </c>
      <c r="E39" s="379">
        <f t="shared" si="15"/>
        <v>8.5350000000000001</v>
      </c>
      <c r="F39" s="188">
        <f t="shared" si="16"/>
        <v>0.43008314436885869</v>
      </c>
      <c r="G39" s="149">
        <f t="shared" si="17"/>
        <v>162.14134542705975</v>
      </c>
      <c r="H39" s="188">
        <f t="shared" si="18"/>
        <v>0.95377262015917497</v>
      </c>
      <c r="I39" s="379">
        <f t="shared" si="19"/>
        <v>19.844999999999999</v>
      </c>
      <c r="J39" s="149">
        <f t="shared" si="20"/>
        <v>1.35</v>
      </c>
      <c r="K39" s="149">
        <f t="shared" si="21"/>
        <v>0.17904509283819628</v>
      </c>
      <c r="L39" s="149">
        <f t="shared" si="22"/>
        <v>0.23725834797891038</v>
      </c>
      <c r="M39" s="379">
        <f t="shared" si="14"/>
        <v>350</v>
      </c>
      <c r="N39" s="172">
        <f t="shared" si="23"/>
        <v>243.21201814058955</v>
      </c>
      <c r="O39" s="188">
        <f t="shared" si="24"/>
        <v>13.333333333333334</v>
      </c>
      <c r="P39" s="150">
        <f t="shared" si="25"/>
        <v>2.3432923257176337</v>
      </c>
      <c r="Q39" s="150">
        <f t="shared" si="26"/>
        <v>0.18997228521038051</v>
      </c>
      <c r="R39" s="150">
        <f t="shared" si="27"/>
        <v>2.3432923257176337</v>
      </c>
    </row>
    <row r="40" spans="3:18">
      <c r="C40" s="147">
        <v>34</v>
      </c>
      <c r="D40" s="5">
        <f t="shared" si="28"/>
        <v>11.38</v>
      </c>
      <c r="E40" s="379">
        <f t="shared" si="15"/>
        <v>8.5350000000000001</v>
      </c>
      <c r="F40" s="188">
        <f t="shared" si="16"/>
        <v>0.4285714285714286</v>
      </c>
      <c r="G40" s="149">
        <f t="shared" si="17"/>
        <v>162.57142857142861</v>
      </c>
      <c r="H40" s="188">
        <f t="shared" si="18"/>
        <v>0.95630252100840363</v>
      </c>
      <c r="I40" s="379">
        <f t="shared" si="19"/>
        <v>19.914999999999999</v>
      </c>
      <c r="J40" s="149">
        <f t="shared" si="20"/>
        <v>1.35</v>
      </c>
      <c r="K40" s="149">
        <f t="shared" si="21"/>
        <v>0.17794376098418277</v>
      </c>
      <c r="L40" s="149">
        <f t="shared" si="22"/>
        <v>0.23725834797891038</v>
      </c>
      <c r="M40" s="379">
        <f t="shared" si="14"/>
        <v>350</v>
      </c>
      <c r="N40" s="172">
        <f t="shared" si="23"/>
        <v>243.85714285714289</v>
      </c>
      <c r="O40" s="188">
        <f t="shared" si="24"/>
        <v>13.333333333333332</v>
      </c>
      <c r="P40" s="150">
        <f t="shared" si="25"/>
        <v>2.3432923257176332</v>
      </c>
      <c r="Q40" s="150">
        <f t="shared" si="26"/>
        <v>0.19047619047619049</v>
      </c>
      <c r="R40" s="150">
        <f t="shared" si="27"/>
        <v>2.3432923257176337</v>
      </c>
    </row>
    <row r="41" spans="3:18">
      <c r="C41" s="147">
        <v>35</v>
      </c>
      <c r="D41" s="5">
        <f t="shared" si="28"/>
        <v>11.45</v>
      </c>
      <c r="E41" s="379">
        <f t="shared" si="15"/>
        <v>8.5350000000000001</v>
      </c>
      <c r="F41" s="188">
        <f t="shared" si="16"/>
        <v>0.42707030272704533</v>
      </c>
      <c r="G41" s="149">
        <f t="shared" si="17"/>
        <v>162.99849887415564</v>
      </c>
      <c r="H41" s="188">
        <f t="shared" si="18"/>
        <v>0.95881469925973906</v>
      </c>
      <c r="I41" s="379">
        <f t="shared" si="19"/>
        <v>19.984999999999999</v>
      </c>
      <c r="J41" s="149">
        <f t="shared" si="20"/>
        <v>1.35</v>
      </c>
      <c r="K41" s="149">
        <f t="shared" si="21"/>
        <v>0.17685589519650655</v>
      </c>
      <c r="L41" s="149">
        <f t="shared" si="22"/>
        <v>0.23725834797891038</v>
      </c>
      <c r="M41" s="379">
        <f t="shared" si="14"/>
        <v>350</v>
      </c>
      <c r="N41" s="172">
        <f t="shared" si="23"/>
        <v>244.49774831123338</v>
      </c>
      <c r="O41" s="188">
        <f t="shared" si="24"/>
        <v>13.333333333333334</v>
      </c>
      <c r="P41" s="150">
        <f t="shared" si="25"/>
        <v>2.3432923257176337</v>
      </c>
      <c r="Q41" s="150">
        <f t="shared" si="26"/>
        <v>0.1909765657576516</v>
      </c>
      <c r="R41" s="150">
        <f t="shared" si="27"/>
        <v>2.3432923257176337</v>
      </c>
    </row>
    <row r="42" spans="3:18">
      <c r="C42" s="147">
        <v>36</v>
      </c>
      <c r="D42" s="5">
        <f t="shared" si="28"/>
        <v>11.52</v>
      </c>
      <c r="E42" s="379">
        <f t="shared" si="15"/>
        <v>8.5350000000000001</v>
      </c>
      <c r="F42" s="188">
        <f t="shared" si="16"/>
        <v>0.42557965594614811</v>
      </c>
      <c r="G42" s="149">
        <f t="shared" si="17"/>
        <v>163.42258788332089</v>
      </c>
      <c r="H42" s="188">
        <f t="shared" si="18"/>
        <v>0.96130934049012284</v>
      </c>
      <c r="I42" s="379">
        <f t="shared" si="19"/>
        <v>20.055</v>
      </c>
      <c r="J42" s="149">
        <f t="shared" si="20"/>
        <v>1.35</v>
      </c>
      <c r="K42" s="149">
        <f t="shared" si="21"/>
        <v>0.17578125</v>
      </c>
      <c r="L42" s="149">
        <f t="shared" si="22"/>
        <v>0.23725834797891038</v>
      </c>
      <c r="M42" s="379">
        <f t="shared" si="14"/>
        <v>350</v>
      </c>
      <c r="N42" s="172">
        <f t="shared" si="23"/>
        <v>245.13388182498127</v>
      </c>
      <c r="O42" s="188">
        <f t="shared" si="24"/>
        <v>13.333333333333334</v>
      </c>
      <c r="P42" s="150">
        <f t="shared" si="25"/>
        <v>2.3432923257176337</v>
      </c>
      <c r="Q42" s="150">
        <f t="shared" si="26"/>
        <v>0.19147344801795069</v>
      </c>
      <c r="R42" s="150">
        <f t="shared" si="27"/>
        <v>2.3432923257176337</v>
      </c>
    </row>
    <row r="43" spans="3:18">
      <c r="C43" s="147">
        <v>37</v>
      </c>
      <c r="D43" s="5">
        <f t="shared" si="28"/>
        <v>11.59</v>
      </c>
      <c r="E43" s="379">
        <f t="shared" si="15"/>
        <v>8.5350000000000001</v>
      </c>
      <c r="F43" s="188">
        <f t="shared" si="16"/>
        <v>0.42409937888198757</v>
      </c>
      <c r="G43" s="149">
        <f t="shared" si="17"/>
        <v>163.84372670807454</v>
      </c>
      <c r="H43" s="188">
        <f t="shared" si="18"/>
        <v>0.96378662769455614</v>
      </c>
      <c r="I43" s="379">
        <f t="shared" si="19"/>
        <v>20.125</v>
      </c>
      <c r="J43" s="149">
        <f t="shared" si="20"/>
        <v>1.35</v>
      </c>
      <c r="K43" s="149">
        <f t="shared" si="21"/>
        <v>0.17471958584987057</v>
      </c>
      <c r="L43" s="149">
        <f t="shared" si="22"/>
        <v>0.23725834797891038</v>
      </c>
      <c r="M43" s="379">
        <f t="shared" si="14"/>
        <v>350</v>
      </c>
      <c r="N43" s="172">
        <f t="shared" si="23"/>
        <v>245.76559006211178</v>
      </c>
      <c r="O43" s="188">
        <f t="shared" si="24"/>
        <v>13.333333333333334</v>
      </c>
      <c r="P43" s="150">
        <f t="shared" si="25"/>
        <v>2.3432923257176337</v>
      </c>
      <c r="Q43" s="150">
        <f t="shared" si="26"/>
        <v>0.19196687370600421</v>
      </c>
      <c r="R43" s="150">
        <f t="shared" si="27"/>
        <v>2.3432923257176337</v>
      </c>
    </row>
    <row r="44" spans="3:18">
      <c r="C44" s="147">
        <v>38</v>
      </c>
      <c r="D44" s="5">
        <f t="shared" si="28"/>
        <v>11.66</v>
      </c>
      <c r="E44" s="379">
        <f t="shared" si="15"/>
        <v>8.5350000000000001</v>
      </c>
      <c r="F44" s="188">
        <f t="shared" si="16"/>
        <v>0.4226293637038871</v>
      </c>
      <c r="G44" s="149">
        <f t="shared" si="17"/>
        <v>164.26194602624415</v>
      </c>
      <c r="H44" s="188">
        <f t="shared" si="18"/>
        <v>0.96624674133084787</v>
      </c>
      <c r="I44" s="379">
        <f t="shared" si="19"/>
        <v>20.195</v>
      </c>
      <c r="J44" s="149">
        <f t="shared" si="20"/>
        <v>1.35</v>
      </c>
      <c r="K44" s="149">
        <f t="shared" si="21"/>
        <v>0.17367066895368782</v>
      </c>
      <c r="L44" s="149">
        <f t="shared" si="22"/>
        <v>0.23725834797891038</v>
      </c>
      <c r="M44" s="379">
        <f t="shared" si="14"/>
        <v>350</v>
      </c>
      <c r="N44" s="172">
        <f t="shared" si="23"/>
        <v>246.39291903936621</v>
      </c>
      <c r="O44" s="188">
        <f t="shared" si="24"/>
        <v>13.333333333333332</v>
      </c>
      <c r="P44" s="150">
        <f t="shared" si="25"/>
        <v>2.3432923257176332</v>
      </c>
      <c r="Q44" s="150">
        <f t="shared" si="26"/>
        <v>0.19245687876537099</v>
      </c>
      <c r="R44" s="150">
        <f t="shared" si="27"/>
        <v>2.3432923257176337</v>
      </c>
    </row>
    <row r="45" spans="3:18">
      <c r="C45" s="147">
        <v>39</v>
      </c>
      <c r="D45" s="5">
        <f t="shared" si="28"/>
        <v>11.73</v>
      </c>
      <c r="E45" s="379">
        <f t="shared" si="15"/>
        <v>8.5350000000000001</v>
      </c>
      <c r="F45" s="188">
        <f t="shared" si="16"/>
        <v>0.42116950407105846</v>
      </c>
      <c r="G45" s="149">
        <f t="shared" si="17"/>
        <v>164.67727609178388</v>
      </c>
      <c r="H45" s="188">
        <f t="shared" si="18"/>
        <v>0.96868985936343455</v>
      </c>
      <c r="I45" s="379">
        <f t="shared" si="19"/>
        <v>20.265000000000001</v>
      </c>
      <c r="J45" s="149">
        <f t="shared" si="20"/>
        <v>1.35</v>
      </c>
      <c r="K45" s="149">
        <f t="shared" si="21"/>
        <v>0.17263427109974425</v>
      </c>
      <c r="L45" s="149">
        <f t="shared" si="22"/>
        <v>0.23725834797891038</v>
      </c>
      <c r="M45" s="379">
        <f t="shared" si="14"/>
        <v>350</v>
      </c>
      <c r="N45" s="172">
        <f t="shared" si="23"/>
        <v>247.01591413767576</v>
      </c>
      <c r="O45" s="188">
        <f t="shared" si="24"/>
        <v>13.333333333333334</v>
      </c>
      <c r="P45" s="150">
        <f t="shared" si="25"/>
        <v>2.3432923257176337</v>
      </c>
      <c r="Q45" s="150">
        <f t="shared" si="26"/>
        <v>0.19294349864298055</v>
      </c>
      <c r="R45" s="150">
        <f t="shared" si="27"/>
        <v>2.3432923257176337</v>
      </c>
    </row>
    <row r="46" spans="3:18">
      <c r="C46" s="147">
        <v>40</v>
      </c>
      <c r="D46" s="5">
        <f t="shared" si="28"/>
        <v>11.8</v>
      </c>
      <c r="E46" s="379">
        <f t="shared" si="15"/>
        <v>8.5350000000000001</v>
      </c>
      <c r="F46" s="188">
        <f t="shared" si="16"/>
        <v>0.41971969510695845</v>
      </c>
      <c r="G46" s="149">
        <f t="shared" si="17"/>
        <v>165.08974674207033</v>
      </c>
      <c r="H46" s="188">
        <f t="shared" si="18"/>
        <v>0.97111615730629608</v>
      </c>
      <c r="I46" s="379">
        <f t="shared" si="19"/>
        <v>20.335000000000001</v>
      </c>
      <c r="J46" s="149">
        <f t="shared" si="20"/>
        <v>1.35</v>
      </c>
      <c r="K46" s="149">
        <f t="shared" si="21"/>
        <v>0.17161016949152544</v>
      </c>
      <c r="L46" s="149">
        <f t="shared" si="22"/>
        <v>0.23725834797891038</v>
      </c>
      <c r="M46" s="379">
        <f t="shared" si="14"/>
        <v>350</v>
      </c>
      <c r="N46" s="172">
        <f t="shared" si="23"/>
        <v>247.63462011310548</v>
      </c>
      <c r="O46" s="188">
        <f t="shared" si="24"/>
        <v>13.333333333333334</v>
      </c>
      <c r="P46" s="150">
        <f t="shared" si="25"/>
        <v>2.3432923257176337</v>
      </c>
      <c r="Q46" s="150">
        <f t="shared" si="26"/>
        <v>0.19342676829768057</v>
      </c>
      <c r="R46" s="150">
        <f t="shared" si="27"/>
        <v>2.3432923257176337</v>
      </c>
    </row>
    <row r="47" spans="3:18">
      <c r="C47" s="147">
        <v>41</v>
      </c>
      <c r="D47" s="5">
        <f t="shared" si="28"/>
        <v>11.87</v>
      </c>
      <c r="E47" s="379">
        <f t="shared" si="15"/>
        <v>8.5350000000000001</v>
      </c>
      <c r="F47" s="188">
        <f t="shared" si="16"/>
        <v>0.41827983337417296</v>
      </c>
      <c r="G47" s="149">
        <f t="shared" si="17"/>
        <v>165.49938740504777</v>
      </c>
      <c r="H47" s="188">
        <f t="shared" si="18"/>
        <v>0.97352580826498691</v>
      </c>
      <c r="I47" s="379">
        <f t="shared" si="19"/>
        <v>20.405000000000001</v>
      </c>
      <c r="J47" s="149">
        <f t="shared" si="20"/>
        <v>1.35</v>
      </c>
      <c r="K47" s="149">
        <f t="shared" si="21"/>
        <v>0.1705981465880371</v>
      </c>
      <c r="L47" s="149">
        <f t="shared" si="22"/>
        <v>0.23725834797891038</v>
      </c>
      <c r="M47" s="379">
        <f t="shared" si="14"/>
        <v>350</v>
      </c>
      <c r="N47" s="172">
        <f t="shared" si="23"/>
        <v>248.24908110757164</v>
      </c>
      <c r="O47" s="188">
        <f t="shared" si="24"/>
        <v>13.333333333333334</v>
      </c>
      <c r="P47" s="150">
        <f t="shared" si="25"/>
        <v>2.3432923257176337</v>
      </c>
      <c r="Q47" s="150">
        <f t="shared" si="26"/>
        <v>0.19390672220860905</v>
      </c>
      <c r="R47" s="150">
        <f t="shared" si="27"/>
        <v>2.3432923257176337</v>
      </c>
    </row>
    <row r="48" spans="3:18">
      <c r="C48" s="147">
        <v>42</v>
      </c>
      <c r="D48" s="5">
        <f t="shared" si="28"/>
        <v>11.94</v>
      </c>
      <c r="E48" s="379">
        <f t="shared" si="15"/>
        <v>8.5350000000000001</v>
      </c>
      <c r="F48" s="188">
        <f t="shared" si="16"/>
        <v>0.41684981684981681</v>
      </c>
      <c r="G48" s="149">
        <f t="shared" si="17"/>
        <v>165.90622710622711</v>
      </c>
      <c r="H48" s="188">
        <f t="shared" si="18"/>
        <v>0.97591898297780655</v>
      </c>
      <c r="I48" s="379">
        <f t="shared" si="19"/>
        <v>20.475000000000001</v>
      </c>
      <c r="J48" s="149">
        <f t="shared" si="20"/>
        <v>1.35</v>
      </c>
      <c r="K48" s="149">
        <f t="shared" si="21"/>
        <v>0.16959798994974876</v>
      </c>
      <c r="L48" s="149">
        <f t="shared" si="22"/>
        <v>0.23725834797891038</v>
      </c>
      <c r="M48" s="379">
        <f t="shared" si="14"/>
        <v>350</v>
      </c>
      <c r="N48" s="172">
        <f t="shared" si="23"/>
        <v>248.8593406593406</v>
      </c>
      <c r="O48" s="188">
        <f t="shared" si="24"/>
        <v>13.333333333333336</v>
      </c>
      <c r="P48" s="150">
        <f t="shared" si="25"/>
        <v>2.3432923257176341</v>
      </c>
      <c r="Q48" s="150">
        <f t="shared" si="26"/>
        <v>0.19438339438339447</v>
      </c>
      <c r="R48" s="150">
        <f t="shared" si="27"/>
        <v>2.3432923257176337</v>
      </c>
    </row>
    <row r="49" spans="3:18">
      <c r="C49" s="147">
        <v>43</v>
      </c>
      <c r="D49" s="5">
        <f t="shared" si="28"/>
        <v>12.01</v>
      </c>
      <c r="E49" s="379">
        <f t="shared" si="15"/>
        <v>8.5350000000000001</v>
      </c>
      <c r="F49" s="188">
        <f t="shared" si="16"/>
        <v>0.41542954490143585</v>
      </c>
      <c r="G49" s="149">
        <f t="shared" si="17"/>
        <v>166.3102944755415</v>
      </c>
      <c r="H49" s="188">
        <f t="shared" si="18"/>
        <v>0.9782958498561265</v>
      </c>
      <c r="I49" s="379">
        <f t="shared" si="19"/>
        <v>20.545000000000002</v>
      </c>
      <c r="J49" s="149">
        <f t="shared" si="20"/>
        <v>1.35</v>
      </c>
      <c r="K49" s="149">
        <f t="shared" si="21"/>
        <v>0.16860949208992507</v>
      </c>
      <c r="L49" s="149">
        <f t="shared" si="22"/>
        <v>0.23725834797891038</v>
      </c>
      <c r="M49" s="379">
        <f t="shared" si="14"/>
        <v>350</v>
      </c>
      <c r="N49" s="172">
        <f t="shared" si="23"/>
        <v>249.46544171331223</v>
      </c>
      <c r="O49" s="188">
        <f t="shared" si="24"/>
        <v>13.333333333333334</v>
      </c>
      <c r="P49" s="150">
        <f t="shared" si="25"/>
        <v>2.3432923257176337</v>
      </c>
      <c r="Q49" s="150">
        <f t="shared" si="26"/>
        <v>0.19485681836618809</v>
      </c>
      <c r="R49" s="150">
        <f t="shared" si="27"/>
        <v>2.3432923257176337</v>
      </c>
    </row>
    <row r="50" spans="3:18">
      <c r="C50" s="147">
        <v>44</v>
      </c>
      <c r="D50" s="5">
        <f t="shared" si="28"/>
        <v>12.08</v>
      </c>
      <c r="E50" s="379">
        <f t="shared" si="15"/>
        <v>8.5350000000000001</v>
      </c>
      <c r="F50" s="188">
        <f t="shared" si="16"/>
        <v>0.41401891826340043</v>
      </c>
      <c r="G50" s="149">
        <f t="shared" si="17"/>
        <v>166.71161775406259</v>
      </c>
      <c r="H50" s="188">
        <f t="shared" si="18"/>
        <v>0.98065657502389758</v>
      </c>
      <c r="I50" s="379">
        <f t="shared" si="19"/>
        <v>20.615000000000002</v>
      </c>
      <c r="J50" s="149">
        <f t="shared" si="20"/>
        <v>1.35</v>
      </c>
      <c r="K50" s="149">
        <f t="shared" si="21"/>
        <v>0.16763245033112584</v>
      </c>
      <c r="L50" s="149">
        <f t="shared" si="22"/>
        <v>0.23725834797891038</v>
      </c>
      <c r="M50" s="379">
        <f t="shared" si="14"/>
        <v>350</v>
      </c>
      <c r="N50" s="172">
        <f t="shared" si="23"/>
        <v>250.06742663109384</v>
      </c>
      <c r="O50" s="188">
        <f t="shared" si="24"/>
        <v>13.333333333333332</v>
      </c>
      <c r="P50" s="150">
        <f t="shared" si="25"/>
        <v>2.3432923257176332</v>
      </c>
      <c r="Q50" s="150">
        <f t="shared" si="26"/>
        <v>0.19532702724553314</v>
      </c>
      <c r="R50" s="150">
        <f t="shared" si="27"/>
        <v>2.3432923257176337</v>
      </c>
    </row>
    <row r="51" spans="3:18">
      <c r="C51" s="147">
        <v>45</v>
      </c>
      <c r="D51" s="5">
        <f t="shared" si="28"/>
        <v>12.15</v>
      </c>
      <c r="E51" s="379">
        <f t="shared" si="15"/>
        <v>8.5350000000000001</v>
      </c>
      <c r="F51" s="188">
        <f t="shared" si="16"/>
        <v>0.41261783901377808</v>
      </c>
      <c r="G51" s="149">
        <f t="shared" si="17"/>
        <v>167.11022480058014</v>
      </c>
      <c r="H51" s="188">
        <f t="shared" si="18"/>
        <v>0.98300132235635374</v>
      </c>
      <c r="I51" s="379">
        <f t="shared" si="19"/>
        <v>20.685000000000002</v>
      </c>
      <c r="J51" s="149">
        <f t="shared" si="20"/>
        <v>1.35</v>
      </c>
      <c r="K51" s="149">
        <f t="shared" si="21"/>
        <v>0.16666666666666669</v>
      </c>
      <c r="L51" s="149">
        <f t="shared" si="22"/>
        <v>0.23725834797891038</v>
      </c>
      <c r="M51" s="379">
        <f t="shared" si="14"/>
        <v>350</v>
      </c>
      <c r="N51" s="172">
        <f t="shared" si="23"/>
        <v>250.66533720087017</v>
      </c>
      <c r="O51" s="188">
        <f t="shared" si="24"/>
        <v>13.333333333333334</v>
      </c>
      <c r="P51" s="150">
        <f t="shared" si="25"/>
        <v>2.3432923257176337</v>
      </c>
      <c r="Q51" s="150">
        <f t="shared" si="26"/>
        <v>0.19579405366207403</v>
      </c>
      <c r="R51" s="150">
        <f t="shared" si="27"/>
        <v>2.3432923257176337</v>
      </c>
    </row>
    <row r="52" spans="3:18">
      <c r="C52" s="147">
        <v>46</v>
      </c>
      <c r="D52" s="5">
        <f t="shared" si="28"/>
        <v>12.22</v>
      </c>
      <c r="E52" s="379">
        <f t="shared" si="15"/>
        <v>8.5350000000000001</v>
      </c>
      <c r="F52" s="188">
        <f t="shared" si="16"/>
        <v>0.41122621055167424</v>
      </c>
      <c r="G52" s="149">
        <f t="shared" si="17"/>
        <v>167.50614309804868</v>
      </c>
      <c r="H52" s="188">
        <f t="shared" si="18"/>
        <v>0.98533025351793346</v>
      </c>
      <c r="I52" s="379">
        <f t="shared" si="19"/>
        <v>20.755000000000003</v>
      </c>
      <c r="J52" s="149">
        <f t="shared" si="20"/>
        <v>1.35</v>
      </c>
      <c r="K52" s="149">
        <f t="shared" si="21"/>
        <v>0.16571194762684124</v>
      </c>
      <c r="L52" s="149">
        <f t="shared" si="22"/>
        <v>0.23725834797891038</v>
      </c>
      <c r="M52" s="379">
        <f t="shared" si="14"/>
        <v>350</v>
      </c>
      <c r="N52" s="172">
        <f t="shared" si="23"/>
        <v>251.25921464707298</v>
      </c>
      <c r="O52" s="188">
        <f t="shared" si="24"/>
        <v>13.333333333333334</v>
      </c>
      <c r="P52" s="150">
        <f t="shared" si="25"/>
        <v>2.3432923257176337</v>
      </c>
      <c r="Q52" s="150">
        <f t="shared" si="26"/>
        <v>0.19625792981610862</v>
      </c>
      <c r="R52" s="150">
        <f t="shared" si="27"/>
        <v>2.3432923257176337</v>
      </c>
    </row>
    <row r="53" spans="3:18">
      <c r="C53" s="147">
        <v>47</v>
      </c>
      <c r="D53" s="5">
        <f t="shared" si="28"/>
        <v>12.29</v>
      </c>
      <c r="E53" s="379">
        <f t="shared" si="15"/>
        <v>8.5350000000000001</v>
      </c>
      <c r="F53" s="188">
        <f t="shared" si="16"/>
        <v>0.40984393757503002</v>
      </c>
      <c r="G53" s="149">
        <f t="shared" si="17"/>
        <v>167.89939975990396</v>
      </c>
      <c r="H53" s="188">
        <f t="shared" si="18"/>
        <v>0.987643527999435</v>
      </c>
      <c r="I53" s="379">
        <f t="shared" si="19"/>
        <v>20.824999999999999</v>
      </c>
      <c r="J53" s="149">
        <f t="shared" si="20"/>
        <v>1.35</v>
      </c>
      <c r="K53" s="149">
        <f t="shared" si="21"/>
        <v>0.16476810414971524</v>
      </c>
      <c r="L53" s="149">
        <f t="shared" si="22"/>
        <v>0.23725834797891038</v>
      </c>
      <c r="M53" s="379">
        <f t="shared" si="14"/>
        <v>350</v>
      </c>
      <c r="N53" s="172">
        <f t="shared" si="23"/>
        <v>251.84909963985589</v>
      </c>
      <c r="O53" s="188">
        <f t="shared" si="24"/>
        <v>13.333333333333334</v>
      </c>
      <c r="P53" s="150">
        <f t="shared" si="25"/>
        <v>2.3432923257176337</v>
      </c>
      <c r="Q53" s="150">
        <f t="shared" si="26"/>
        <v>0.19671868747499002</v>
      </c>
      <c r="R53" s="150">
        <f t="shared" si="27"/>
        <v>2.3432923257176337</v>
      </c>
    </row>
    <row r="54" spans="3:18">
      <c r="C54" s="147">
        <v>48</v>
      </c>
      <c r="D54" s="5">
        <f t="shared" si="28"/>
        <v>12.36</v>
      </c>
      <c r="E54" s="379">
        <f t="shared" si="15"/>
        <v>8.5350000000000001</v>
      </c>
      <c r="F54" s="188">
        <f t="shared" si="16"/>
        <v>0.40847092605886576</v>
      </c>
      <c r="G54" s="149">
        <f t="shared" si="17"/>
        <v>168.29002153625271</v>
      </c>
      <c r="H54" s="188">
        <f t="shared" si="18"/>
        <v>0.98994130315442774</v>
      </c>
      <c r="I54" s="379">
        <f t="shared" si="19"/>
        <v>20.895</v>
      </c>
      <c r="J54" s="149">
        <f t="shared" si="20"/>
        <v>1.35</v>
      </c>
      <c r="K54" s="149">
        <f t="shared" si="21"/>
        <v>0.16383495145631069</v>
      </c>
      <c r="L54" s="149">
        <f t="shared" si="22"/>
        <v>0.23725834797891038</v>
      </c>
      <c r="M54" s="379">
        <f t="shared" si="14"/>
        <v>350</v>
      </c>
      <c r="N54" s="172">
        <f t="shared" si="23"/>
        <v>252.43503230437901</v>
      </c>
      <c r="O54" s="188">
        <f t="shared" si="24"/>
        <v>13.333333333333332</v>
      </c>
      <c r="P54" s="150">
        <f t="shared" si="25"/>
        <v>2.3432923257176332</v>
      </c>
      <c r="Q54" s="150">
        <f t="shared" si="26"/>
        <v>0.19717635798037805</v>
      </c>
      <c r="R54" s="150">
        <f t="shared" si="27"/>
        <v>2.3432923257176337</v>
      </c>
    </row>
    <row r="55" spans="3:18">
      <c r="C55" s="147">
        <v>49</v>
      </c>
      <c r="D55" s="5">
        <f t="shared" si="28"/>
        <v>12.43</v>
      </c>
      <c r="E55" s="379">
        <f t="shared" si="15"/>
        <v>8.5350000000000001</v>
      </c>
      <c r="F55" s="188">
        <f t="shared" si="16"/>
        <v>0.40710708323396139</v>
      </c>
      <c r="G55" s="149">
        <f t="shared" si="17"/>
        <v>168.67803481993801</v>
      </c>
      <c r="H55" s="188">
        <f t="shared" si="18"/>
        <v>0.99222373423492949</v>
      </c>
      <c r="I55" s="379">
        <f t="shared" si="19"/>
        <v>20.965</v>
      </c>
      <c r="J55" s="149">
        <f t="shared" si="20"/>
        <v>1.35</v>
      </c>
      <c r="K55" s="149">
        <f t="shared" si="21"/>
        <v>0.16291230893000805</v>
      </c>
      <c r="L55" s="149">
        <f t="shared" si="22"/>
        <v>0.23725834797891038</v>
      </c>
      <c r="M55" s="379">
        <f t="shared" si="14"/>
        <v>350</v>
      </c>
      <c r="N55" s="172">
        <f t="shared" si="23"/>
        <v>253.01705222990694</v>
      </c>
      <c r="O55" s="188">
        <f t="shared" si="24"/>
        <v>13.333333333333336</v>
      </c>
      <c r="P55" s="150">
        <f t="shared" si="25"/>
        <v>2.3432923257176341</v>
      </c>
      <c r="Q55" s="150">
        <f t="shared" si="26"/>
        <v>0.19763097225534632</v>
      </c>
      <c r="R55" s="150">
        <f t="shared" si="27"/>
        <v>2.3432923257176337</v>
      </c>
    </row>
    <row r="56" spans="3:18">
      <c r="C56" s="147">
        <v>50</v>
      </c>
      <c r="D56" s="5">
        <f t="shared" si="28"/>
        <v>12.5</v>
      </c>
      <c r="E56" s="379">
        <f t="shared" si="15"/>
        <v>8.5350000000000001</v>
      </c>
      <c r="F56" s="188">
        <f t="shared" si="16"/>
        <v>0.40575231756596147</v>
      </c>
      <c r="G56" s="149">
        <f t="shared" si="17"/>
        <v>169.06346565248396</v>
      </c>
      <c r="H56" s="188">
        <f t="shared" si="18"/>
        <v>0.99449097442637624</v>
      </c>
      <c r="I56" s="379">
        <f t="shared" si="19"/>
        <v>21.035</v>
      </c>
      <c r="J56" s="149">
        <f t="shared" si="20"/>
        <v>1.35</v>
      </c>
      <c r="K56" s="149">
        <f t="shared" si="21"/>
        <v>0.16200000000000001</v>
      </c>
      <c r="L56" s="149">
        <f t="shared" si="22"/>
        <v>0.23725834797891038</v>
      </c>
      <c r="M56" s="379">
        <f t="shared" si="14"/>
        <v>350</v>
      </c>
      <c r="N56" s="172">
        <f t="shared" si="23"/>
        <v>253.59519847872593</v>
      </c>
      <c r="O56" s="188">
        <f t="shared" si="24"/>
        <v>13.333333333333332</v>
      </c>
      <c r="P56" s="150">
        <f t="shared" si="25"/>
        <v>2.3432923257176332</v>
      </c>
      <c r="Q56" s="150">
        <f t="shared" si="26"/>
        <v>0.19808256081134615</v>
      </c>
      <c r="R56" s="150">
        <f t="shared" si="27"/>
        <v>2.3432923257176337</v>
      </c>
    </row>
    <row r="57" spans="3:18">
      <c r="C57" s="147">
        <v>51</v>
      </c>
      <c r="D57" s="5">
        <f t="shared" si="28"/>
        <v>12.57</v>
      </c>
      <c r="E57" s="379">
        <f t="shared" si="15"/>
        <v>8.5350000000000001</v>
      </c>
      <c r="F57" s="188">
        <f t="shared" si="16"/>
        <v>0.40440653873489696</v>
      </c>
      <c r="G57" s="149">
        <f t="shared" si="17"/>
        <v>169.44633972992185</v>
      </c>
      <c r="H57" s="188">
        <f t="shared" si="18"/>
        <v>0.99674317488189323</v>
      </c>
      <c r="I57" s="379">
        <f t="shared" si="19"/>
        <v>21.105</v>
      </c>
      <c r="J57" s="149">
        <f t="shared" si="20"/>
        <v>1.35</v>
      </c>
      <c r="K57" s="149">
        <f t="shared" si="21"/>
        <v>0.1610978520286396</v>
      </c>
      <c r="L57" s="149">
        <f t="shared" si="22"/>
        <v>0.23725834797891038</v>
      </c>
      <c r="M57" s="379">
        <f t="shared" si="14"/>
        <v>350</v>
      </c>
      <c r="N57" s="172">
        <f t="shared" si="23"/>
        <v>254.16950959488273</v>
      </c>
      <c r="O57" s="188">
        <f t="shared" si="24"/>
        <v>13.333333333333334</v>
      </c>
      <c r="P57" s="150">
        <f t="shared" si="25"/>
        <v>2.3432923257176337</v>
      </c>
      <c r="Q57" s="150">
        <f t="shared" si="26"/>
        <v>0.19853115375503441</v>
      </c>
      <c r="R57" s="150">
        <f t="shared" si="27"/>
        <v>2.3432923257176337</v>
      </c>
    </row>
    <row r="58" spans="3:18">
      <c r="C58" s="147">
        <v>52</v>
      </c>
      <c r="D58" s="5">
        <f t="shared" si="28"/>
        <v>12.64</v>
      </c>
      <c r="E58" s="379">
        <f t="shared" si="15"/>
        <v>8.5350000000000001</v>
      </c>
      <c r="F58" s="188">
        <f t="shared" si="16"/>
        <v>0.40306965761511215</v>
      </c>
      <c r="G58" s="149">
        <f t="shared" si="17"/>
        <v>169.8266824085006</v>
      </c>
      <c r="H58" s="188">
        <f t="shared" si="18"/>
        <v>0.99898048475588586</v>
      </c>
      <c r="I58" s="379">
        <f t="shared" si="19"/>
        <v>21.175000000000001</v>
      </c>
      <c r="J58" s="149">
        <f t="shared" si="20"/>
        <v>1.35</v>
      </c>
      <c r="K58" s="149">
        <f t="shared" si="21"/>
        <v>0.16020569620253164</v>
      </c>
      <c r="L58" s="149">
        <f t="shared" si="22"/>
        <v>0.23725834797891038</v>
      </c>
      <c r="M58" s="379">
        <f t="shared" si="14"/>
        <v>350</v>
      </c>
      <c r="N58" s="172">
        <f t="shared" si="23"/>
        <v>254.74002361275086</v>
      </c>
      <c r="O58" s="188">
        <f t="shared" si="24"/>
        <v>13.333333333333334</v>
      </c>
      <c r="P58" s="150">
        <f t="shared" si="25"/>
        <v>2.3432923257176337</v>
      </c>
      <c r="Q58" s="150">
        <f t="shared" si="26"/>
        <v>0.19897678079496267</v>
      </c>
      <c r="R58" s="150">
        <f t="shared" si="27"/>
        <v>2.3432923257176337</v>
      </c>
    </row>
    <row r="59" spans="3:18">
      <c r="C59" s="147">
        <v>53</v>
      </c>
      <c r="D59" s="5">
        <f t="shared" si="28"/>
        <v>12.71</v>
      </c>
      <c r="E59" s="379">
        <f t="shared" si="15"/>
        <v>8.5350000000000001</v>
      </c>
      <c r="F59" s="188">
        <f t="shared" si="16"/>
        <v>0.40174158625558953</v>
      </c>
      <c r="G59" s="149">
        <f t="shared" si="17"/>
        <v>170.20451871028482</v>
      </c>
      <c r="H59" s="188">
        <f t="shared" si="18"/>
        <v>1.0012030512369694</v>
      </c>
      <c r="I59" s="379">
        <f t="shared" si="19"/>
        <v>21.245000000000001</v>
      </c>
      <c r="J59" s="149">
        <f t="shared" si="20"/>
        <v>1.35</v>
      </c>
      <c r="K59" s="149">
        <f t="shared" si="21"/>
        <v>0.15932336742722264</v>
      </c>
      <c r="L59" s="149">
        <f t="shared" si="22"/>
        <v>0.23725834797891038</v>
      </c>
      <c r="M59" s="379">
        <f t="shared" si="14"/>
        <v>350</v>
      </c>
      <c r="N59" s="172">
        <f t="shared" si="23"/>
        <v>255.30677806542715</v>
      </c>
      <c r="O59" s="188">
        <f t="shared" si="24"/>
        <v>13.333333333333334</v>
      </c>
      <c r="P59" s="150">
        <f t="shared" si="25"/>
        <v>2.3432923257176337</v>
      </c>
      <c r="Q59" s="150">
        <f t="shared" si="26"/>
        <v>0.19941947124813689</v>
      </c>
      <c r="R59" s="150">
        <f t="shared" si="27"/>
        <v>2.3432923257176337</v>
      </c>
    </row>
    <row r="60" spans="3:18">
      <c r="C60" s="147">
        <v>54</v>
      </c>
      <c r="D60" s="5">
        <f t="shared" si="28"/>
        <v>12.780000000000001</v>
      </c>
      <c r="E60" s="379">
        <f t="shared" si="15"/>
        <v>8.5350000000000001</v>
      </c>
      <c r="F60" s="188">
        <f t="shared" si="16"/>
        <v>0.4004222378606615</v>
      </c>
      <c r="G60" s="149">
        <f t="shared" si="17"/>
        <v>170.57987332864184</v>
      </c>
      <c r="H60" s="188">
        <f t="shared" si="18"/>
        <v>1.0034110195802461</v>
      </c>
      <c r="I60" s="379">
        <f t="shared" si="19"/>
        <v>21.315000000000001</v>
      </c>
      <c r="J60" s="149">
        <f t="shared" si="20"/>
        <v>1.35</v>
      </c>
      <c r="K60" s="149">
        <f t="shared" si="21"/>
        <v>0.15845070422535212</v>
      </c>
      <c r="L60" s="149">
        <f t="shared" si="22"/>
        <v>0.23725834797891038</v>
      </c>
      <c r="M60" s="379">
        <f t="shared" si="14"/>
        <v>350</v>
      </c>
      <c r="N60" s="172">
        <f t="shared" si="23"/>
        <v>255.86980999296267</v>
      </c>
      <c r="O60" s="188">
        <f t="shared" si="24"/>
        <v>13.333333333333334</v>
      </c>
      <c r="P60" s="150">
        <f t="shared" si="25"/>
        <v>2.3432923257176337</v>
      </c>
      <c r="Q60" s="150">
        <f t="shared" si="26"/>
        <v>0.19985925404644622</v>
      </c>
      <c r="R60" s="150">
        <f t="shared" si="27"/>
        <v>2.3432923257176337</v>
      </c>
    </row>
    <row r="61" spans="3:18">
      <c r="C61" s="147">
        <v>55</v>
      </c>
      <c r="D61" s="5">
        <f t="shared" si="28"/>
        <v>12.850000000000001</v>
      </c>
      <c r="E61" s="379">
        <f t="shared" si="15"/>
        <v>8.5350000000000001</v>
      </c>
      <c r="F61" s="188">
        <f t="shared" si="16"/>
        <v>0.39911152677110123</v>
      </c>
      <c r="G61" s="149">
        <f t="shared" si="17"/>
        <v>170.95277063362172</v>
      </c>
      <c r="H61" s="188">
        <f t="shared" si="18"/>
        <v>1.0056045331389514</v>
      </c>
      <c r="I61" s="379">
        <f t="shared" si="19"/>
        <v>21.385000000000002</v>
      </c>
      <c r="J61" s="149">
        <f t="shared" si="20"/>
        <v>1.35</v>
      </c>
      <c r="K61" s="149">
        <f t="shared" si="21"/>
        <v>0.15758754863813229</v>
      </c>
      <c r="L61" s="149">
        <f t="shared" si="22"/>
        <v>0.23725834797891038</v>
      </c>
      <c r="M61" s="379">
        <f t="shared" si="14"/>
        <v>350</v>
      </c>
      <c r="N61" s="172">
        <f t="shared" si="23"/>
        <v>256.42915595043257</v>
      </c>
      <c r="O61" s="188">
        <f t="shared" si="24"/>
        <v>13.333333333333332</v>
      </c>
      <c r="P61" s="150">
        <f t="shared" si="25"/>
        <v>2.3432923257176332</v>
      </c>
      <c r="Q61" s="150">
        <f t="shared" si="26"/>
        <v>0.20029615774296627</v>
      </c>
      <c r="R61" s="150">
        <f t="shared" si="27"/>
        <v>2.3432923257176337</v>
      </c>
    </row>
    <row r="62" spans="3:18">
      <c r="C62" s="147">
        <v>56</v>
      </c>
      <c r="D62" s="5">
        <f t="shared" si="28"/>
        <v>12.92</v>
      </c>
      <c r="E62" s="379">
        <f t="shared" si="15"/>
        <v>8.5350000000000001</v>
      </c>
      <c r="F62" s="188">
        <f t="shared" si="16"/>
        <v>0.39780936844558384</v>
      </c>
      <c r="G62" s="149">
        <f t="shared" si="17"/>
        <v>171.32323467723145</v>
      </c>
      <c r="H62" s="188">
        <f t="shared" si="18"/>
        <v>1.0077837333954791</v>
      </c>
      <c r="I62" s="379">
        <f t="shared" si="19"/>
        <v>21.454999999999998</v>
      </c>
      <c r="J62" s="149">
        <f t="shared" si="20"/>
        <v>1.35</v>
      </c>
      <c r="K62" s="149">
        <f t="shared" si="21"/>
        <v>0.15673374613003097</v>
      </c>
      <c r="L62" s="149">
        <f t="shared" si="22"/>
        <v>0.23725834797891038</v>
      </c>
      <c r="M62" s="379">
        <f t="shared" si="14"/>
        <v>350</v>
      </c>
      <c r="N62" s="172">
        <f t="shared" si="23"/>
        <v>256.98485201584714</v>
      </c>
      <c r="O62" s="188">
        <f t="shared" si="24"/>
        <v>13.333333333333332</v>
      </c>
      <c r="P62" s="150">
        <f t="shared" si="25"/>
        <v>2.3432923257176332</v>
      </c>
      <c r="Q62" s="150">
        <f t="shared" si="26"/>
        <v>0.20073021051813875</v>
      </c>
      <c r="R62" s="150">
        <f t="shared" si="27"/>
        <v>2.3432923257176337</v>
      </c>
    </row>
    <row r="63" spans="3:18">
      <c r="C63" s="147">
        <v>57</v>
      </c>
      <c r="D63" s="5">
        <f t="shared" si="28"/>
        <v>12.99</v>
      </c>
      <c r="E63" s="379">
        <f t="shared" si="15"/>
        <v>8.5350000000000001</v>
      </c>
      <c r="F63" s="188">
        <f t="shared" si="16"/>
        <v>0.39651567944250876</v>
      </c>
      <c r="G63" s="149">
        <f t="shared" si="17"/>
        <v>171.69128919860628</v>
      </c>
      <c r="H63" s="188">
        <f t="shared" si="18"/>
        <v>1.0099487599918018</v>
      </c>
      <c r="I63" s="379">
        <f t="shared" si="19"/>
        <v>21.524999999999999</v>
      </c>
      <c r="J63" s="149">
        <f t="shared" si="20"/>
        <v>1.35</v>
      </c>
      <c r="K63" s="149">
        <f t="shared" si="21"/>
        <v>0.15588914549653579</v>
      </c>
      <c r="L63" s="149">
        <f t="shared" si="22"/>
        <v>0.23725834797891038</v>
      </c>
      <c r="M63" s="379">
        <f t="shared" si="14"/>
        <v>350</v>
      </c>
      <c r="N63" s="172">
        <f t="shared" si="23"/>
        <v>257.53693379790934</v>
      </c>
      <c r="O63" s="188">
        <f t="shared" si="24"/>
        <v>13.333333333333336</v>
      </c>
      <c r="P63" s="150">
        <f t="shared" si="25"/>
        <v>2.3432923257176341</v>
      </c>
      <c r="Q63" s="150">
        <f t="shared" si="26"/>
        <v>0.20116144018583051</v>
      </c>
      <c r="R63" s="150">
        <f t="shared" si="27"/>
        <v>2.3432923257176337</v>
      </c>
    </row>
    <row r="64" spans="3:18">
      <c r="C64" s="147">
        <v>58</v>
      </c>
      <c r="D64" s="5">
        <f t="shared" si="28"/>
        <v>13.059999999999999</v>
      </c>
      <c r="E64" s="379">
        <f t="shared" si="15"/>
        <v>8.5350000000000001</v>
      </c>
      <c r="F64" s="188">
        <f t="shared" si="16"/>
        <v>0.39523037740217648</v>
      </c>
      <c r="G64" s="149">
        <f t="shared" si="17"/>
        <v>172.05695762908084</v>
      </c>
      <c r="H64" s="188">
        <f t="shared" si="18"/>
        <v>1.012099750759299</v>
      </c>
      <c r="I64" s="379">
        <f t="shared" si="19"/>
        <v>21.594999999999999</v>
      </c>
      <c r="J64" s="149">
        <f t="shared" si="20"/>
        <v>1.35</v>
      </c>
      <c r="K64" s="149">
        <f t="shared" si="21"/>
        <v>0.15505359877488517</v>
      </c>
      <c r="L64" s="149">
        <f t="shared" si="22"/>
        <v>0.23725834797891038</v>
      </c>
      <c r="M64" s="379">
        <f t="shared" si="14"/>
        <v>350</v>
      </c>
      <c r="N64" s="172">
        <f t="shared" si="23"/>
        <v>258.08543644362118</v>
      </c>
      <c r="O64" s="188">
        <f t="shared" si="24"/>
        <v>13.333333333333334</v>
      </c>
      <c r="P64" s="150">
        <f t="shared" si="25"/>
        <v>2.3432923257176337</v>
      </c>
      <c r="Q64" s="150">
        <f t="shared" si="26"/>
        <v>0.20158987419927457</v>
      </c>
      <c r="R64" s="150">
        <f t="shared" si="27"/>
        <v>2.3432923257176337</v>
      </c>
    </row>
    <row r="65" spans="3:18">
      <c r="C65" s="147">
        <v>59</v>
      </c>
      <c r="D65" s="5">
        <f t="shared" si="28"/>
        <v>13.129999999999999</v>
      </c>
      <c r="E65" s="379">
        <f t="shared" si="15"/>
        <v>8.5350000000000001</v>
      </c>
      <c r="F65" s="188">
        <f t="shared" si="16"/>
        <v>0.39395338102930999</v>
      </c>
      <c r="G65" s="149">
        <f t="shared" si="17"/>
        <v>172.42026309716135</v>
      </c>
      <c r="H65" s="188">
        <f t="shared" si="18"/>
        <v>1.0142368417480079</v>
      </c>
      <c r="I65" s="379">
        <f t="shared" si="19"/>
        <v>21.664999999999999</v>
      </c>
      <c r="J65" s="149">
        <f t="shared" si="20"/>
        <v>1.35</v>
      </c>
      <c r="K65" s="149">
        <f t="shared" si="21"/>
        <v>0.15422696115765425</v>
      </c>
      <c r="L65" s="149">
        <f t="shared" si="22"/>
        <v>0.23725834797891038</v>
      </c>
      <c r="M65" s="379">
        <f t="shared" si="14"/>
        <v>350</v>
      </c>
      <c r="N65" s="172">
        <f t="shared" si="23"/>
        <v>258.63039464574194</v>
      </c>
      <c r="O65" s="188">
        <f t="shared" si="24"/>
        <v>13.333333333333334</v>
      </c>
      <c r="P65" s="150">
        <f t="shared" si="25"/>
        <v>2.3432923257176337</v>
      </c>
      <c r="Q65" s="150">
        <f t="shared" si="26"/>
        <v>0.20201553965689673</v>
      </c>
      <c r="R65" s="150">
        <f t="shared" si="27"/>
        <v>2.3432923257176337</v>
      </c>
    </row>
    <row r="66" spans="3:18">
      <c r="C66" s="147">
        <v>60</v>
      </c>
      <c r="D66" s="5">
        <f t="shared" si="28"/>
        <v>13.2</v>
      </c>
      <c r="E66" s="379">
        <f t="shared" si="15"/>
        <v>8.5350000000000001</v>
      </c>
      <c r="F66" s="188">
        <f t="shared" si="16"/>
        <v>0.39268461007591443</v>
      </c>
      <c r="G66" s="149">
        <f t="shared" si="17"/>
        <v>172.78122843340236</v>
      </c>
      <c r="H66" s="188">
        <f t="shared" si="18"/>
        <v>1.016360167255308</v>
      </c>
      <c r="I66" s="379">
        <f t="shared" si="19"/>
        <v>21.734999999999999</v>
      </c>
      <c r="J66" s="149">
        <f t="shared" si="20"/>
        <v>1.35</v>
      </c>
      <c r="K66" s="149">
        <f t="shared" si="21"/>
        <v>0.15340909090909091</v>
      </c>
      <c r="L66" s="149">
        <f t="shared" si="22"/>
        <v>0.23725834797891038</v>
      </c>
      <c r="M66" s="379">
        <f t="shared" si="14"/>
        <v>350</v>
      </c>
      <c r="N66" s="172">
        <f t="shared" si="23"/>
        <v>259.17184265010349</v>
      </c>
      <c r="O66" s="188">
        <f t="shared" si="24"/>
        <v>13.333333333333334</v>
      </c>
      <c r="P66" s="150">
        <f t="shared" si="25"/>
        <v>2.3432923257176337</v>
      </c>
      <c r="Q66" s="150">
        <f t="shared" si="26"/>
        <v>0.20243846330802856</v>
      </c>
      <c r="R66" s="150">
        <f t="shared" si="27"/>
        <v>2.3432923257176337</v>
      </c>
    </row>
    <row r="67" spans="3:18">
      <c r="C67" s="147">
        <v>61</v>
      </c>
      <c r="D67" s="5">
        <f t="shared" si="28"/>
        <v>13.27</v>
      </c>
      <c r="E67" s="379">
        <f t="shared" si="15"/>
        <v>8.5350000000000001</v>
      </c>
      <c r="F67" s="188">
        <f t="shared" si="16"/>
        <v>0.39142398532446687</v>
      </c>
      <c r="G67" s="149">
        <f t="shared" si="17"/>
        <v>173.13987617518919</v>
      </c>
      <c r="H67" s="188">
        <f t="shared" si="18"/>
        <v>1.018469859854054</v>
      </c>
      <c r="I67" s="379">
        <f t="shared" si="19"/>
        <v>21.805</v>
      </c>
      <c r="J67" s="149">
        <f t="shared" si="20"/>
        <v>1.35</v>
      </c>
      <c r="K67" s="149">
        <f t="shared" si="21"/>
        <v>0.1525998492840995</v>
      </c>
      <c r="L67" s="149">
        <f t="shared" si="22"/>
        <v>0.23725834797891038</v>
      </c>
      <c r="M67" s="379">
        <f t="shared" si="14"/>
        <v>350</v>
      </c>
      <c r="N67" s="172">
        <f t="shared" si="23"/>
        <v>259.70981426278371</v>
      </c>
      <c r="O67" s="188">
        <f t="shared" si="24"/>
        <v>13.333333333333334</v>
      </c>
      <c r="P67" s="150">
        <f t="shared" si="25"/>
        <v>2.3432923257176337</v>
      </c>
      <c r="Q67" s="150">
        <f t="shared" si="26"/>
        <v>0.20285867155851109</v>
      </c>
      <c r="R67" s="150">
        <f t="shared" si="27"/>
        <v>2.3432923257176337</v>
      </c>
    </row>
    <row r="68" spans="3:18">
      <c r="C68" s="147">
        <v>62</v>
      </c>
      <c r="D68" s="5">
        <f t="shared" si="28"/>
        <v>13.34</v>
      </c>
      <c r="E68" s="379">
        <f t="shared" si="15"/>
        <v>8.5350000000000001</v>
      </c>
      <c r="F68" s="188">
        <f t="shared" si="16"/>
        <v>0.39017142857142856</v>
      </c>
      <c r="G68" s="149">
        <f t="shared" si="17"/>
        <v>173.49622857142859</v>
      </c>
      <c r="H68" s="188">
        <f t="shared" si="18"/>
        <v>1.0205660504201681</v>
      </c>
      <c r="I68" s="379">
        <f t="shared" si="19"/>
        <v>21.875</v>
      </c>
      <c r="J68" s="149">
        <f t="shared" si="20"/>
        <v>1.35</v>
      </c>
      <c r="K68" s="149">
        <f t="shared" si="21"/>
        <v>0.15179910044977513</v>
      </c>
      <c r="L68" s="149">
        <f t="shared" si="22"/>
        <v>0.23725834797891038</v>
      </c>
      <c r="M68" s="379">
        <f t="shared" si="14"/>
        <v>350</v>
      </c>
      <c r="N68" s="172">
        <f t="shared" si="23"/>
        <v>260.24434285714278</v>
      </c>
      <c r="O68" s="188">
        <f t="shared" si="24"/>
        <v>13.333333333333334</v>
      </c>
      <c r="P68" s="150">
        <f t="shared" si="25"/>
        <v>2.3432923257176337</v>
      </c>
      <c r="Q68" s="150">
        <f t="shared" si="26"/>
        <v>0.2032761904761905</v>
      </c>
      <c r="R68" s="150">
        <f t="shared" si="27"/>
        <v>2.3432923257176337</v>
      </c>
    </row>
    <row r="69" spans="3:18">
      <c r="C69" s="147">
        <v>63</v>
      </c>
      <c r="D69" s="5">
        <f t="shared" si="28"/>
        <v>13.41</v>
      </c>
      <c r="E69" s="379">
        <f t="shared" si="15"/>
        <v>8.5350000000000001</v>
      </c>
      <c r="F69" s="188">
        <f t="shared" si="16"/>
        <v>0.38892686261107312</v>
      </c>
      <c r="G69" s="149">
        <f t="shared" si="17"/>
        <v>173.8503075871497</v>
      </c>
      <c r="H69" s="188">
        <f t="shared" si="18"/>
        <v>1.0226488681597041</v>
      </c>
      <c r="I69" s="379">
        <f t="shared" si="19"/>
        <v>21.945</v>
      </c>
      <c r="J69" s="149">
        <f t="shared" si="20"/>
        <v>1.35</v>
      </c>
      <c r="K69" s="149">
        <f t="shared" si="21"/>
        <v>0.15100671140939601</v>
      </c>
      <c r="L69" s="149">
        <f t="shared" si="22"/>
        <v>0.23725834797891038</v>
      </c>
      <c r="M69" s="379">
        <f t="shared" si="14"/>
        <v>350</v>
      </c>
      <c r="N69" s="172">
        <f t="shared" si="23"/>
        <v>260.77546138072455</v>
      </c>
      <c r="O69" s="188">
        <f t="shared" si="24"/>
        <v>13.333333333333332</v>
      </c>
      <c r="P69" s="150">
        <f t="shared" si="25"/>
        <v>2.3432923257176332</v>
      </c>
      <c r="Q69" s="150">
        <f t="shared" si="26"/>
        <v>0.20369104579630895</v>
      </c>
      <c r="R69" s="150">
        <f t="shared" si="27"/>
        <v>2.3432923257176337</v>
      </c>
    </row>
    <row r="70" spans="3:18">
      <c r="C70" s="147">
        <v>64</v>
      </c>
      <c r="D70" s="5">
        <f t="shared" si="28"/>
        <v>13.48</v>
      </c>
      <c r="E70" s="379">
        <f t="shared" ref="E70:E106" si="29">(Vout+Vfwd1)*Nps</f>
        <v>8.5350000000000001</v>
      </c>
      <c r="F70" s="188">
        <f t="shared" ref="F70:F106" si="30">(Vout+Vfwd1)*Nps/((Vout+Vfwd1)*Nps+D70)</f>
        <v>0.38769021121962299</v>
      </c>
      <c r="G70" s="149">
        <f t="shared" ref="G70:G101" si="31">F70*D70*Isw_max*0.5*Efficiency</f>
        <v>174.20213490801729</v>
      </c>
      <c r="H70" s="188">
        <f t="shared" ref="H70:H101" si="32">G70/Vout</f>
        <v>1.0247184406353957</v>
      </c>
      <c r="I70" s="379">
        <f t="shared" ref="I70:I106" si="33">(Vout+Vfwd1)*Nps+D70</f>
        <v>22.015000000000001</v>
      </c>
      <c r="J70" s="149">
        <f t="shared" ref="J70:J106" si="34">MIN(2*Vout*Iout/(Efficiency*D70*F70), 1.35)</f>
        <v>1.35</v>
      </c>
      <c r="K70" s="149">
        <f t="shared" ref="K70:K101" si="35">L*J70/D70*1000000</f>
        <v>0.15022255192878337</v>
      </c>
      <c r="L70" s="149">
        <f t="shared" ref="L70:L106" si="36">L*J70/((Vout+Vfwd1)*Nps)*1000000</f>
        <v>0.23725834797891038</v>
      </c>
      <c r="M70" s="379">
        <f t="shared" si="14"/>
        <v>350</v>
      </c>
      <c r="N70" s="172">
        <f t="shared" ref="N70:N106" si="37">IF(1/((350000*L)*(1/D70+1/E70))&gt;Isw_min, 350, 0.001/((Isw_min*L)*(1/D70+1/E70)))</f>
        <v>261.3032023620259</v>
      </c>
      <c r="O70" s="188">
        <f t="shared" ref="O70:O101" si="38">1/((N70*1000*L)*(1/D70+1/E70))</f>
        <v>13.333333333333334</v>
      </c>
      <c r="P70" s="150">
        <f t="shared" ref="P70:P101" si="39">L*O70/E70*1000000</f>
        <v>2.3432923257176337</v>
      </c>
      <c r="Q70" s="150">
        <f t="shared" ref="Q70:Q101" si="40">0.5*P70*O70*Nps*N70/1000</f>
        <v>0.2041032629267924</v>
      </c>
      <c r="R70" s="150">
        <f t="shared" ref="R70:R106" si="41">L*Isw_min/E70*1000000</f>
        <v>2.3432923257176337</v>
      </c>
    </row>
    <row r="71" spans="3:18">
      <c r="C71" s="147">
        <v>65</v>
      </c>
      <c r="D71" s="5">
        <f t="shared" ref="D71:D102" si="42">C71/100*(VIN_max-VIN_min)+VIN_min</f>
        <v>13.55</v>
      </c>
      <c r="E71" s="379">
        <f t="shared" si="29"/>
        <v>8.5350000000000001</v>
      </c>
      <c r="F71" s="188">
        <f t="shared" si="30"/>
        <v>0.38646139913968758</v>
      </c>
      <c r="G71" s="149">
        <f t="shared" si="31"/>
        <v>174.55173194475893</v>
      </c>
      <c r="H71" s="188">
        <f t="shared" si="32"/>
        <v>1.0267748937926995</v>
      </c>
      <c r="I71" s="379">
        <f t="shared" si="33"/>
        <v>22.085000000000001</v>
      </c>
      <c r="J71" s="149">
        <f t="shared" si="34"/>
        <v>1.35</v>
      </c>
      <c r="K71" s="149">
        <f t="shared" si="35"/>
        <v>0.14944649446494462</v>
      </c>
      <c r="L71" s="149">
        <f t="shared" si="36"/>
        <v>0.23725834797891038</v>
      </c>
      <c r="M71" s="379">
        <f t="shared" ref="M71:M106" si="43">MIN(1/(K71+L71)*1000, 350)</f>
        <v>350</v>
      </c>
      <c r="N71" s="172">
        <f t="shared" si="37"/>
        <v>261.82759791713829</v>
      </c>
      <c r="O71" s="188">
        <f t="shared" si="38"/>
        <v>13.333333333333336</v>
      </c>
      <c r="P71" s="150">
        <f t="shared" si="39"/>
        <v>2.3432923257176341</v>
      </c>
      <c r="Q71" s="150">
        <f t="shared" si="40"/>
        <v>0.20451286695343757</v>
      </c>
      <c r="R71" s="150">
        <f t="shared" si="41"/>
        <v>2.3432923257176337</v>
      </c>
    </row>
    <row r="72" spans="3:18">
      <c r="C72" s="147">
        <v>66</v>
      </c>
      <c r="D72" s="5">
        <f t="shared" si="42"/>
        <v>13.620000000000001</v>
      </c>
      <c r="E72" s="379">
        <f t="shared" si="29"/>
        <v>8.5350000000000001</v>
      </c>
      <c r="F72" s="188">
        <f t="shared" si="30"/>
        <v>0.38524035206499663</v>
      </c>
      <c r="G72" s="149">
        <f t="shared" si="31"/>
        <v>174.89911983750849</v>
      </c>
      <c r="H72" s="188">
        <f t="shared" si="32"/>
        <v>1.028818351985344</v>
      </c>
      <c r="I72" s="379">
        <f t="shared" si="33"/>
        <v>22.155000000000001</v>
      </c>
      <c r="J72" s="149">
        <f t="shared" si="34"/>
        <v>1.35</v>
      </c>
      <c r="K72" s="149">
        <f t="shared" si="35"/>
        <v>0.14867841409691629</v>
      </c>
      <c r="L72" s="149">
        <f t="shared" si="36"/>
        <v>0.23725834797891038</v>
      </c>
      <c r="M72" s="379">
        <f t="shared" si="43"/>
        <v>350</v>
      </c>
      <c r="N72" s="172">
        <f t="shared" si="37"/>
        <v>262.3486797562627</v>
      </c>
      <c r="O72" s="188">
        <f t="shared" si="38"/>
        <v>13.333333333333332</v>
      </c>
      <c r="P72" s="150">
        <f t="shared" si="39"/>
        <v>2.3432923257176332</v>
      </c>
      <c r="Q72" s="150">
        <f t="shared" si="40"/>
        <v>0.20491988264500111</v>
      </c>
      <c r="R72" s="150">
        <f t="shared" si="41"/>
        <v>2.3432923257176337</v>
      </c>
    </row>
    <row r="73" spans="3:18">
      <c r="C73" s="147">
        <v>67</v>
      </c>
      <c r="D73" s="5">
        <f t="shared" si="42"/>
        <v>13.690000000000001</v>
      </c>
      <c r="E73" s="379">
        <f t="shared" si="29"/>
        <v>8.5350000000000001</v>
      </c>
      <c r="F73" s="188">
        <f t="shared" si="30"/>
        <v>0.38402699662542178</v>
      </c>
      <c r="G73" s="149">
        <f t="shared" si="31"/>
        <v>175.24431946006752</v>
      </c>
      <c r="H73" s="188">
        <f t="shared" si="32"/>
        <v>1.0308489380003971</v>
      </c>
      <c r="I73" s="379">
        <f t="shared" si="33"/>
        <v>22.225000000000001</v>
      </c>
      <c r="J73" s="149">
        <f t="shared" si="34"/>
        <v>1.35</v>
      </c>
      <c r="K73" s="149">
        <f t="shared" si="35"/>
        <v>0.14791818845872901</v>
      </c>
      <c r="L73" s="149">
        <f t="shared" si="36"/>
        <v>0.23725834797891038</v>
      </c>
      <c r="M73" s="379">
        <f t="shared" si="43"/>
        <v>350</v>
      </c>
      <c r="N73" s="172">
        <f t="shared" si="37"/>
        <v>262.86647919010124</v>
      </c>
      <c r="O73" s="188">
        <f t="shared" si="38"/>
        <v>13.333333333333332</v>
      </c>
      <c r="P73" s="150">
        <f t="shared" si="39"/>
        <v>2.3432923257176332</v>
      </c>
      <c r="Q73" s="150">
        <f t="shared" si="40"/>
        <v>0.2053243344581927</v>
      </c>
      <c r="R73" s="150">
        <f t="shared" si="41"/>
        <v>2.3432923257176337</v>
      </c>
    </row>
    <row r="74" spans="3:18">
      <c r="C74" s="147">
        <v>68</v>
      </c>
      <c r="D74" s="5">
        <f t="shared" si="42"/>
        <v>13.760000000000002</v>
      </c>
      <c r="E74" s="379">
        <f t="shared" si="29"/>
        <v>8.5350000000000001</v>
      </c>
      <c r="F74" s="188">
        <f t="shared" si="30"/>
        <v>0.38282126037228076</v>
      </c>
      <c r="G74" s="149">
        <f t="shared" si="31"/>
        <v>175.58735142408617</v>
      </c>
      <c r="H74" s="188">
        <f t="shared" si="32"/>
        <v>1.0328667730828598</v>
      </c>
      <c r="I74" s="379">
        <f t="shared" si="33"/>
        <v>22.295000000000002</v>
      </c>
      <c r="J74" s="149">
        <f t="shared" si="34"/>
        <v>1.35</v>
      </c>
      <c r="K74" s="149">
        <f t="shared" si="35"/>
        <v>0.14716569767441859</v>
      </c>
      <c r="L74" s="149">
        <f t="shared" si="36"/>
        <v>0.23725834797891038</v>
      </c>
      <c r="M74" s="379">
        <f t="shared" si="43"/>
        <v>350</v>
      </c>
      <c r="N74" s="172">
        <f t="shared" si="37"/>
        <v>263.38102713612915</v>
      </c>
      <c r="O74" s="188">
        <f t="shared" si="38"/>
        <v>13.333333333333334</v>
      </c>
      <c r="P74" s="150">
        <f t="shared" si="39"/>
        <v>2.3432923257176337</v>
      </c>
      <c r="Q74" s="150">
        <f t="shared" si="40"/>
        <v>0.20572624654257313</v>
      </c>
      <c r="R74" s="150">
        <f t="shared" si="41"/>
        <v>2.3432923257176337</v>
      </c>
    </row>
    <row r="75" spans="3:18">
      <c r="C75" s="147">
        <v>69</v>
      </c>
      <c r="D75" s="5">
        <f t="shared" si="42"/>
        <v>13.83</v>
      </c>
      <c r="E75" s="379">
        <f t="shared" si="29"/>
        <v>8.5350000000000001</v>
      </c>
      <c r="F75" s="188">
        <f t="shared" si="30"/>
        <v>0.3816230717639168</v>
      </c>
      <c r="G75" s="149">
        <f t="shared" si="31"/>
        <v>175.92823608316567</v>
      </c>
      <c r="H75" s="188">
        <f t="shared" si="32"/>
        <v>1.034871976959798</v>
      </c>
      <c r="I75" s="379">
        <f t="shared" si="33"/>
        <v>22.365000000000002</v>
      </c>
      <c r="J75" s="149">
        <f t="shared" si="34"/>
        <v>1.35</v>
      </c>
      <c r="K75" s="149">
        <f t="shared" si="35"/>
        <v>0.14642082429501085</v>
      </c>
      <c r="L75" s="149">
        <f t="shared" si="36"/>
        <v>0.23725834797891038</v>
      </c>
      <c r="M75" s="379">
        <f t="shared" si="43"/>
        <v>350</v>
      </c>
      <c r="N75" s="172">
        <f t="shared" si="37"/>
        <v>263.89235412474846</v>
      </c>
      <c r="O75" s="188">
        <f t="shared" si="38"/>
        <v>13.333333333333336</v>
      </c>
      <c r="P75" s="150">
        <f t="shared" si="39"/>
        <v>2.3432923257176341</v>
      </c>
      <c r="Q75" s="150">
        <f t="shared" si="40"/>
        <v>0.20612564274536119</v>
      </c>
      <c r="R75" s="150">
        <f t="shared" si="41"/>
        <v>2.3432923257176337</v>
      </c>
    </row>
    <row r="76" spans="3:18">
      <c r="C76" s="147">
        <v>70</v>
      </c>
      <c r="D76" s="5">
        <f t="shared" si="42"/>
        <v>13.899999999999999</v>
      </c>
      <c r="E76" s="379">
        <f t="shared" si="29"/>
        <v>8.5350000000000001</v>
      </c>
      <c r="F76" s="188">
        <f t="shared" si="30"/>
        <v>0.38043236015154897</v>
      </c>
      <c r="G76" s="149">
        <f t="shared" si="31"/>
        <v>176.26699353688434</v>
      </c>
      <c r="H76" s="188">
        <f t="shared" si="32"/>
        <v>1.0368646678640256</v>
      </c>
      <c r="I76" s="379">
        <f t="shared" si="33"/>
        <v>22.434999999999999</v>
      </c>
      <c r="J76" s="149">
        <f t="shared" si="34"/>
        <v>1.35</v>
      </c>
      <c r="K76" s="149">
        <f t="shared" si="35"/>
        <v>0.14568345323741011</v>
      </c>
      <c r="L76" s="149">
        <f t="shared" si="36"/>
        <v>0.23725834797891038</v>
      </c>
      <c r="M76" s="379">
        <f t="shared" si="43"/>
        <v>350</v>
      </c>
      <c r="N76" s="172">
        <f t="shared" si="37"/>
        <v>264.40049030532646</v>
      </c>
      <c r="O76" s="188">
        <f t="shared" si="38"/>
        <v>13.333333333333334</v>
      </c>
      <c r="P76" s="150">
        <f t="shared" si="39"/>
        <v>2.3432923257176337</v>
      </c>
      <c r="Q76" s="150">
        <f t="shared" si="40"/>
        <v>0.20652254661615041</v>
      </c>
      <c r="R76" s="150">
        <f t="shared" si="41"/>
        <v>2.3432923257176337</v>
      </c>
    </row>
    <row r="77" spans="3:18">
      <c r="C77" s="147">
        <v>71</v>
      </c>
      <c r="D77" s="5">
        <f t="shared" si="42"/>
        <v>13.969999999999999</v>
      </c>
      <c r="E77" s="379">
        <f t="shared" si="29"/>
        <v>8.5350000000000001</v>
      </c>
      <c r="F77" s="188">
        <f t="shared" si="30"/>
        <v>0.37924905576538548</v>
      </c>
      <c r="G77" s="149">
        <f t="shared" si="31"/>
        <v>176.60364363474784</v>
      </c>
      <c r="H77" s="188">
        <f t="shared" si="32"/>
        <v>1.0388449625573402</v>
      </c>
      <c r="I77" s="379">
        <f t="shared" si="33"/>
        <v>22.504999999999999</v>
      </c>
      <c r="J77" s="149">
        <f t="shared" si="34"/>
        <v>1.35</v>
      </c>
      <c r="K77" s="149">
        <f t="shared" si="35"/>
        <v>0.14495347172512529</v>
      </c>
      <c r="L77" s="149">
        <f t="shared" si="36"/>
        <v>0.23725834797891038</v>
      </c>
      <c r="M77" s="379">
        <f t="shared" si="43"/>
        <v>350</v>
      </c>
      <c r="N77" s="172">
        <f t="shared" si="37"/>
        <v>264.90546545212175</v>
      </c>
      <c r="O77" s="188">
        <f t="shared" si="38"/>
        <v>13.333333333333332</v>
      </c>
      <c r="P77" s="150">
        <f t="shared" si="39"/>
        <v>2.3432923257176332</v>
      </c>
      <c r="Q77" s="150">
        <f t="shared" si="40"/>
        <v>0.20691698141153816</v>
      </c>
      <c r="R77" s="150">
        <f t="shared" si="41"/>
        <v>2.3432923257176337</v>
      </c>
    </row>
    <row r="78" spans="3:18">
      <c r="C78" s="147">
        <v>72</v>
      </c>
      <c r="D78" s="5">
        <f t="shared" si="42"/>
        <v>14.04</v>
      </c>
      <c r="E78" s="379">
        <f t="shared" si="29"/>
        <v>8.5350000000000001</v>
      </c>
      <c r="F78" s="188">
        <f t="shared" si="30"/>
        <v>0.37807308970099668</v>
      </c>
      <c r="G78" s="149">
        <f t="shared" si="31"/>
        <v>176.93820598006644</v>
      </c>
      <c r="H78" s="188">
        <f t="shared" si="32"/>
        <v>1.040812976353332</v>
      </c>
      <c r="I78" s="379">
        <f t="shared" si="33"/>
        <v>22.574999999999999</v>
      </c>
      <c r="J78" s="149">
        <f t="shared" si="34"/>
        <v>1.35</v>
      </c>
      <c r="K78" s="149">
        <f t="shared" si="35"/>
        <v>0.14423076923076925</v>
      </c>
      <c r="L78" s="149">
        <f t="shared" si="36"/>
        <v>0.23725834797891038</v>
      </c>
      <c r="M78" s="379">
        <f t="shared" si="43"/>
        <v>350</v>
      </c>
      <c r="N78" s="172">
        <f t="shared" si="37"/>
        <v>265.40730897009968</v>
      </c>
      <c r="O78" s="188">
        <f t="shared" si="38"/>
        <v>13.333333333333334</v>
      </c>
      <c r="P78" s="150">
        <f t="shared" si="39"/>
        <v>2.3432923257176337</v>
      </c>
      <c r="Q78" s="150">
        <f t="shared" si="40"/>
        <v>0.20730897009966784</v>
      </c>
      <c r="R78" s="150">
        <f t="shared" si="41"/>
        <v>2.3432923257176337</v>
      </c>
    </row>
    <row r="79" spans="3:18">
      <c r="C79" s="147">
        <v>73</v>
      </c>
      <c r="D79" s="5">
        <f t="shared" si="42"/>
        <v>14.11</v>
      </c>
      <c r="E79" s="379">
        <f t="shared" si="29"/>
        <v>8.5350000000000001</v>
      </c>
      <c r="F79" s="188">
        <f t="shared" si="30"/>
        <v>0.37690439390593949</v>
      </c>
      <c r="G79" s="149">
        <f t="shared" si="31"/>
        <v>177.27069993376023</v>
      </c>
      <c r="H79" s="188">
        <f t="shared" si="32"/>
        <v>1.042768823139766</v>
      </c>
      <c r="I79" s="379">
        <f t="shared" si="33"/>
        <v>22.645</v>
      </c>
      <c r="J79" s="149">
        <f t="shared" si="34"/>
        <v>1.35</v>
      </c>
      <c r="K79" s="149">
        <f t="shared" si="35"/>
        <v>0.14351523742026934</v>
      </c>
      <c r="L79" s="149">
        <f t="shared" si="36"/>
        <v>0.23725834797891038</v>
      </c>
      <c r="M79" s="379">
        <f t="shared" si="43"/>
        <v>350</v>
      </c>
      <c r="N79" s="172">
        <f t="shared" si="37"/>
        <v>265.90604990064031</v>
      </c>
      <c r="O79" s="188">
        <f t="shared" si="38"/>
        <v>13.333333333333334</v>
      </c>
      <c r="P79" s="150">
        <f t="shared" si="39"/>
        <v>2.3432923257176337</v>
      </c>
      <c r="Q79" s="150">
        <f t="shared" si="40"/>
        <v>0.20769853536468691</v>
      </c>
      <c r="R79" s="150">
        <f t="shared" si="41"/>
        <v>2.3432923257176337</v>
      </c>
    </row>
    <row r="80" spans="3:18">
      <c r="C80" s="147">
        <v>74</v>
      </c>
      <c r="D80" s="5">
        <f t="shared" si="42"/>
        <v>14.18</v>
      </c>
      <c r="E80" s="379">
        <f t="shared" si="29"/>
        <v>8.5350000000000001</v>
      </c>
      <c r="F80" s="188">
        <f t="shared" si="30"/>
        <v>0.37574290116663001</v>
      </c>
      <c r="G80" s="149">
        <f t="shared" si="31"/>
        <v>177.60114461809377</v>
      </c>
      <c r="H80" s="188">
        <f t="shared" si="32"/>
        <v>1.0447126154005515</v>
      </c>
      <c r="I80" s="379">
        <f t="shared" si="33"/>
        <v>22.715</v>
      </c>
      <c r="J80" s="149">
        <f t="shared" si="34"/>
        <v>1.35</v>
      </c>
      <c r="K80" s="149">
        <f t="shared" si="35"/>
        <v>0.14280677009873061</v>
      </c>
      <c r="L80" s="149">
        <f t="shared" si="36"/>
        <v>0.23725834797891038</v>
      </c>
      <c r="M80" s="379">
        <f t="shared" si="43"/>
        <v>350</v>
      </c>
      <c r="N80" s="172">
        <f t="shared" si="37"/>
        <v>266.40171692714068</v>
      </c>
      <c r="O80" s="188">
        <f t="shared" si="38"/>
        <v>13.333333333333334</v>
      </c>
      <c r="P80" s="150">
        <f t="shared" si="39"/>
        <v>2.3432923257176337</v>
      </c>
      <c r="Q80" s="150">
        <f t="shared" si="40"/>
        <v>0.20808569961112344</v>
      </c>
      <c r="R80" s="150">
        <f t="shared" si="41"/>
        <v>2.3432923257176337</v>
      </c>
    </row>
    <row r="81" spans="3:18">
      <c r="C81" s="147">
        <v>75</v>
      </c>
      <c r="D81" s="5">
        <f t="shared" si="42"/>
        <v>14.25</v>
      </c>
      <c r="E81" s="379">
        <f t="shared" si="29"/>
        <v>8.5350000000000001</v>
      </c>
      <c r="F81" s="188">
        <f t="shared" si="30"/>
        <v>0.37458854509545753</v>
      </c>
      <c r="G81" s="149">
        <f t="shared" si="31"/>
        <v>177.92955892034234</v>
      </c>
      <c r="H81" s="188">
        <f t="shared" si="32"/>
        <v>1.0466444642373078</v>
      </c>
      <c r="I81" s="379">
        <f t="shared" si="33"/>
        <v>22.785</v>
      </c>
      <c r="J81" s="149">
        <f t="shared" si="34"/>
        <v>1.35</v>
      </c>
      <c r="K81" s="149">
        <f t="shared" si="35"/>
        <v>0.14210526315789473</v>
      </c>
      <c r="L81" s="149">
        <f t="shared" si="36"/>
        <v>0.23725834797891038</v>
      </c>
      <c r="M81" s="379">
        <f t="shared" si="43"/>
        <v>350</v>
      </c>
      <c r="N81" s="172">
        <f t="shared" si="37"/>
        <v>266.89433838051349</v>
      </c>
      <c r="O81" s="188">
        <f t="shared" si="38"/>
        <v>13.333333333333334</v>
      </c>
      <c r="P81" s="150">
        <f t="shared" si="39"/>
        <v>2.3432923257176337</v>
      </c>
      <c r="Q81" s="150">
        <f t="shared" si="40"/>
        <v>0.20847048496818091</v>
      </c>
      <c r="R81" s="150">
        <f t="shared" si="41"/>
        <v>2.3432923257176337</v>
      </c>
    </row>
    <row r="82" spans="3:18">
      <c r="C82" s="147">
        <v>76</v>
      </c>
      <c r="D82" s="5">
        <f t="shared" si="42"/>
        <v>14.32</v>
      </c>
      <c r="E82" s="379">
        <f t="shared" si="29"/>
        <v>8.5350000000000001</v>
      </c>
      <c r="F82" s="188">
        <f t="shared" si="30"/>
        <v>0.37344126011813605</v>
      </c>
      <c r="G82" s="149">
        <f t="shared" si="31"/>
        <v>178.25596149639031</v>
      </c>
      <c r="H82" s="188">
        <f t="shared" si="32"/>
        <v>1.0485644793905313</v>
      </c>
      <c r="I82" s="379">
        <f t="shared" si="33"/>
        <v>22.855</v>
      </c>
      <c r="J82" s="149">
        <f t="shared" si="34"/>
        <v>1.35</v>
      </c>
      <c r="K82" s="149">
        <f t="shared" si="35"/>
        <v>0.14141061452513967</v>
      </c>
      <c r="L82" s="149">
        <f t="shared" si="36"/>
        <v>0.23725834797891038</v>
      </c>
      <c r="M82" s="379">
        <f t="shared" si="43"/>
        <v>350</v>
      </c>
      <c r="N82" s="172">
        <f t="shared" si="37"/>
        <v>267.3839422445854</v>
      </c>
      <c r="O82" s="188">
        <f t="shared" si="38"/>
        <v>13.333333333333336</v>
      </c>
      <c r="P82" s="150">
        <f t="shared" si="39"/>
        <v>2.3432923257176341</v>
      </c>
      <c r="Q82" s="150">
        <f t="shared" si="40"/>
        <v>0.20885291329395475</v>
      </c>
      <c r="R82" s="150">
        <f t="shared" si="41"/>
        <v>2.3432923257176337</v>
      </c>
    </row>
    <row r="83" spans="3:18">
      <c r="C83" s="147">
        <v>77</v>
      </c>
      <c r="D83" s="5">
        <f t="shared" si="42"/>
        <v>14.39</v>
      </c>
      <c r="E83" s="379">
        <f t="shared" si="29"/>
        <v>8.5350000000000001</v>
      </c>
      <c r="F83" s="188">
        <f t="shared" si="30"/>
        <v>0.37230098146128682</v>
      </c>
      <c r="G83" s="149">
        <f t="shared" si="31"/>
        <v>178.58037077426394</v>
      </c>
      <c r="H83" s="188">
        <f t="shared" si="32"/>
        <v>1.0504727692603761</v>
      </c>
      <c r="I83" s="379">
        <f t="shared" si="33"/>
        <v>22.925000000000001</v>
      </c>
      <c r="J83" s="149">
        <f t="shared" si="34"/>
        <v>1.35</v>
      </c>
      <c r="K83" s="149">
        <f t="shared" si="35"/>
        <v>0.14072272411396802</v>
      </c>
      <c r="L83" s="149">
        <f t="shared" si="36"/>
        <v>0.23725834797891038</v>
      </c>
      <c r="M83" s="379">
        <f t="shared" si="43"/>
        <v>350</v>
      </c>
      <c r="N83" s="172">
        <f t="shared" si="37"/>
        <v>267.87055616139583</v>
      </c>
      <c r="O83" s="188">
        <f t="shared" si="38"/>
        <v>13.333333333333334</v>
      </c>
      <c r="P83" s="150">
        <f t="shared" si="39"/>
        <v>2.3432923257176337</v>
      </c>
      <c r="Q83" s="150">
        <f t="shared" si="40"/>
        <v>0.20923300617957111</v>
      </c>
      <c r="R83" s="150">
        <f t="shared" si="41"/>
        <v>2.3432923257176337</v>
      </c>
    </row>
    <row r="84" spans="3:18">
      <c r="C84" s="147">
        <v>78</v>
      </c>
      <c r="D84" s="5">
        <f t="shared" si="42"/>
        <v>14.46</v>
      </c>
      <c r="E84" s="379">
        <f t="shared" si="29"/>
        <v>8.5350000000000001</v>
      </c>
      <c r="F84" s="188">
        <f t="shared" si="30"/>
        <v>0.37116764514024786</v>
      </c>
      <c r="G84" s="149">
        <f t="shared" si="31"/>
        <v>178.9028049575995</v>
      </c>
      <c r="H84" s="188">
        <f t="shared" si="32"/>
        <v>1.0523694409270559</v>
      </c>
      <c r="I84" s="379">
        <f t="shared" si="33"/>
        <v>22.995000000000001</v>
      </c>
      <c r="J84" s="149">
        <f t="shared" si="34"/>
        <v>1.35</v>
      </c>
      <c r="K84" s="149">
        <f t="shared" si="35"/>
        <v>0.14004149377593361</v>
      </c>
      <c r="L84" s="149">
        <f t="shared" si="36"/>
        <v>0.23725834797891038</v>
      </c>
      <c r="M84" s="379">
        <f t="shared" si="43"/>
        <v>350</v>
      </c>
      <c r="N84" s="172">
        <f t="shared" si="37"/>
        <v>268.35420743639924</v>
      </c>
      <c r="O84" s="188">
        <f t="shared" si="38"/>
        <v>13.333333333333332</v>
      </c>
      <c r="P84" s="150">
        <f t="shared" si="39"/>
        <v>2.3432923257176332</v>
      </c>
      <c r="Q84" s="150">
        <f t="shared" si="40"/>
        <v>0.20961078495325072</v>
      </c>
      <c r="R84" s="150">
        <f t="shared" si="41"/>
        <v>2.3432923257176337</v>
      </c>
    </row>
    <row r="85" spans="3:18">
      <c r="C85" s="147">
        <v>79</v>
      </c>
      <c r="D85" s="5">
        <f t="shared" si="42"/>
        <v>14.530000000000001</v>
      </c>
      <c r="E85" s="379">
        <f t="shared" si="29"/>
        <v>8.5350000000000001</v>
      </c>
      <c r="F85" s="188">
        <f t="shared" si="30"/>
        <v>0.370041187947106</v>
      </c>
      <c r="G85" s="149">
        <f t="shared" si="31"/>
        <v>179.22328202904836</v>
      </c>
      <c r="H85" s="188">
        <f t="shared" si="32"/>
        <v>1.0542546001708728</v>
      </c>
      <c r="I85" s="379">
        <f t="shared" si="33"/>
        <v>23.065000000000001</v>
      </c>
      <c r="J85" s="149">
        <f t="shared" si="34"/>
        <v>1.35</v>
      </c>
      <c r="K85" s="149">
        <f t="shared" si="35"/>
        <v>0.13936682725395733</v>
      </c>
      <c r="L85" s="149">
        <f t="shared" si="36"/>
        <v>0.23725834797891038</v>
      </c>
      <c r="M85" s="379">
        <f t="shared" si="43"/>
        <v>350</v>
      </c>
      <c r="N85" s="172">
        <f t="shared" si="37"/>
        <v>268.83492304357247</v>
      </c>
      <c r="O85" s="188">
        <f t="shared" si="38"/>
        <v>13.333333333333334</v>
      </c>
      <c r="P85" s="150">
        <f t="shared" si="39"/>
        <v>2.3432923257176337</v>
      </c>
      <c r="Q85" s="150">
        <f t="shared" si="40"/>
        <v>0.20998627068429804</v>
      </c>
      <c r="R85" s="150">
        <f t="shared" si="41"/>
        <v>2.3432923257176337</v>
      </c>
    </row>
    <row r="86" spans="3:18">
      <c r="C86" s="147">
        <v>80</v>
      </c>
      <c r="D86" s="5">
        <f t="shared" si="42"/>
        <v>14.600000000000001</v>
      </c>
      <c r="E86" s="379">
        <f t="shared" si="29"/>
        <v>8.5350000000000001</v>
      </c>
      <c r="F86" s="188">
        <f t="shared" si="30"/>
        <v>0.36892154743894529</v>
      </c>
      <c r="G86" s="149">
        <f t="shared" si="31"/>
        <v>179.54181975362005</v>
      </c>
      <c r="H86" s="188">
        <f t="shared" si="32"/>
        <v>1.0561283514918827</v>
      </c>
      <c r="I86" s="379">
        <f t="shared" si="33"/>
        <v>23.135000000000002</v>
      </c>
      <c r="J86" s="149">
        <f t="shared" si="34"/>
        <v>1.35</v>
      </c>
      <c r="K86" s="149">
        <f t="shared" si="35"/>
        <v>0.1386986301369863</v>
      </c>
      <c r="L86" s="149">
        <f t="shared" si="36"/>
        <v>0.23725834797891038</v>
      </c>
      <c r="M86" s="379">
        <f t="shared" si="43"/>
        <v>350</v>
      </c>
      <c r="N86" s="172">
        <f t="shared" si="37"/>
        <v>269.31272963043006</v>
      </c>
      <c r="O86" s="188">
        <f t="shared" si="38"/>
        <v>13.333333333333336</v>
      </c>
      <c r="P86" s="150">
        <f t="shared" si="39"/>
        <v>2.3432923257176341</v>
      </c>
      <c r="Q86" s="150">
        <f t="shared" si="40"/>
        <v>0.21035948418701836</v>
      </c>
      <c r="R86" s="150">
        <f t="shared" si="41"/>
        <v>2.3432923257176337</v>
      </c>
    </row>
    <row r="87" spans="3:18">
      <c r="C87" s="147">
        <v>81</v>
      </c>
      <c r="D87" s="5">
        <f t="shared" si="42"/>
        <v>14.67</v>
      </c>
      <c r="E87" s="379">
        <f t="shared" si="29"/>
        <v>8.5350000000000001</v>
      </c>
      <c r="F87" s="188">
        <f t="shared" si="30"/>
        <v>0.36780866192630901</v>
      </c>
      <c r="G87" s="149">
        <f t="shared" si="31"/>
        <v>179.85843568196512</v>
      </c>
      <c r="H87" s="188">
        <f t="shared" si="32"/>
        <v>1.0579907981292065</v>
      </c>
      <c r="I87" s="379">
        <f t="shared" si="33"/>
        <v>23.204999999999998</v>
      </c>
      <c r="J87" s="149">
        <f t="shared" si="34"/>
        <v>1.35</v>
      </c>
      <c r="K87" s="149">
        <f t="shared" si="35"/>
        <v>0.13803680981595093</v>
      </c>
      <c r="L87" s="149">
        <f t="shared" si="36"/>
        <v>0.23725834797891038</v>
      </c>
      <c r="M87" s="379">
        <f t="shared" si="43"/>
        <v>350</v>
      </c>
      <c r="N87" s="172">
        <f t="shared" si="37"/>
        <v>269.78765352294761</v>
      </c>
      <c r="O87" s="188">
        <f t="shared" si="38"/>
        <v>13.333333333333332</v>
      </c>
      <c r="P87" s="150">
        <f t="shared" si="39"/>
        <v>2.3432923257176332</v>
      </c>
      <c r="Q87" s="150">
        <f t="shared" si="40"/>
        <v>0.21073044602456364</v>
      </c>
      <c r="R87" s="150">
        <f t="shared" si="41"/>
        <v>2.3432923257176337</v>
      </c>
    </row>
    <row r="88" spans="3:18">
      <c r="C88" s="147">
        <v>82</v>
      </c>
      <c r="D88" s="5">
        <f t="shared" si="42"/>
        <v>14.739999999999998</v>
      </c>
      <c r="E88" s="379">
        <f t="shared" si="29"/>
        <v>8.5350000000000001</v>
      </c>
      <c r="F88" s="188">
        <f t="shared" si="30"/>
        <v>0.36670247046186899</v>
      </c>
      <c r="G88" s="149">
        <f t="shared" si="31"/>
        <v>180.17314715359831</v>
      </c>
      <c r="H88" s="188">
        <f t="shared" si="32"/>
        <v>1.0598420420799901</v>
      </c>
      <c r="I88" s="379">
        <f t="shared" si="33"/>
        <v>23.274999999999999</v>
      </c>
      <c r="J88" s="149">
        <f t="shared" si="34"/>
        <v>1.35</v>
      </c>
      <c r="K88" s="149">
        <f t="shared" si="35"/>
        <v>0.13738127544097695</v>
      </c>
      <c r="L88" s="149">
        <f t="shared" si="36"/>
        <v>0.23725834797891038</v>
      </c>
      <c r="M88" s="379">
        <f t="shared" si="43"/>
        <v>350</v>
      </c>
      <c r="N88" s="172">
        <f t="shared" si="37"/>
        <v>270.25972073039736</v>
      </c>
      <c r="O88" s="188">
        <f t="shared" si="38"/>
        <v>13.333333333333334</v>
      </c>
      <c r="P88" s="150">
        <f t="shared" si="39"/>
        <v>2.3432923257176337</v>
      </c>
      <c r="Q88" s="150">
        <f t="shared" si="40"/>
        <v>0.21109917651271037</v>
      </c>
      <c r="R88" s="150">
        <f t="shared" si="41"/>
        <v>2.3432923257176337</v>
      </c>
    </row>
    <row r="89" spans="3:18">
      <c r="C89" s="147">
        <v>83</v>
      </c>
      <c r="D89" s="5">
        <f t="shared" si="42"/>
        <v>14.809999999999999</v>
      </c>
      <c r="E89" s="379">
        <f t="shared" si="29"/>
        <v>8.5350000000000001</v>
      </c>
      <c r="F89" s="188">
        <f t="shared" si="30"/>
        <v>0.36560291282929969</v>
      </c>
      <c r="G89" s="149">
        <f t="shared" si="31"/>
        <v>180.48597130006428</v>
      </c>
      <c r="H89" s="188">
        <f t="shared" si="32"/>
        <v>1.0616821841180251</v>
      </c>
      <c r="I89" s="379">
        <f t="shared" si="33"/>
        <v>23.344999999999999</v>
      </c>
      <c r="J89" s="149">
        <f t="shared" si="34"/>
        <v>1.35</v>
      </c>
      <c r="K89" s="149">
        <f t="shared" si="35"/>
        <v>0.13673193787981094</v>
      </c>
      <c r="L89" s="149">
        <f t="shared" si="36"/>
        <v>0.23725834797891038</v>
      </c>
      <c r="M89" s="379">
        <f t="shared" si="43"/>
        <v>350</v>
      </c>
      <c r="N89" s="172">
        <f t="shared" si="37"/>
        <v>270.72895695009635</v>
      </c>
      <c r="O89" s="188">
        <f t="shared" si="38"/>
        <v>13.333333333333334</v>
      </c>
      <c r="P89" s="150">
        <f t="shared" si="39"/>
        <v>2.3432923257176337</v>
      </c>
      <c r="Q89" s="150">
        <f t="shared" si="40"/>
        <v>0.21146569572356685</v>
      </c>
      <c r="R89" s="150">
        <f t="shared" si="41"/>
        <v>2.3432923257176337</v>
      </c>
    </row>
    <row r="90" spans="3:18">
      <c r="C90" s="147">
        <v>84</v>
      </c>
      <c r="D90" s="5">
        <f t="shared" si="42"/>
        <v>14.879999999999999</v>
      </c>
      <c r="E90" s="379">
        <f t="shared" si="29"/>
        <v>8.5350000000000001</v>
      </c>
      <c r="F90" s="188">
        <f t="shared" si="30"/>
        <v>0.36450992953235106</v>
      </c>
      <c r="G90" s="149">
        <f t="shared" si="31"/>
        <v>180.79692504804612</v>
      </c>
      <c r="H90" s="188">
        <f t="shared" si="32"/>
        <v>1.0635113238120359</v>
      </c>
      <c r="I90" s="379">
        <f t="shared" si="33"/>
        <v>23.414999999999999</v>
      </c>
      <c r="J90" s="149">
        <f t="shared" si="34"/>
        <v>1.35</v>
      </c>
      <c r="K90" s="149">
        <f t="shared" si="35"/>
        <v>0.13608870967741937</v>
      </c>
      <c r="L90" s="149">
        <f t="shared" si="36"/>
        <v>0.23725834797891038</v>
      </c>
      <c r="M90" s="379">
        <f t="shared" si="43"/>
        <v>350</v>
      </c>
      <c r="N90" s="172">
        <f t="shared" si="37"/>
        <v>271.19538757206914</v>
      </c>
      <c r="O90" s="188">
        <f t="shared" si="38"/>
        <v>13.333333333333334</v>
      </c>
      <c r="P90" s="150">
        <f t="shared" si="39"/>
        <v>2.3432923257176337</v>
      </c>
      <c r="Q90" s="150">
        <f t="shared" si="40"/>
        <v>0.21183002348921637</v>
      </c>
      <c r="R90" s="150">
        <f t="shared" si="41"/>
        <v>2.3432923257176337</v>
      </c>
    </row>
    <row r="91" spans="3:18">
      <c r="C91" s="147">
        <v>85</v>
      </c>
      <c r="D91" s="5">
        <f t="shared" si="42"/>
        <v>14.95</v>
      </c>
      <c r="E91" s="379">
        <f t="shared" si="29"/>
        <v>8.5350000000000001</v>
      </c>
      <c r="F91" s="188">
        <f t="shared" si="30"/>
        <v>0.36342346178411755</v>
      </c>
      <c r="G91" s="149">
        <f t="shared" si="31"/>
        <v>181.1060251224186</v>
      </c>
      <c r="H91" s="188">
        <f t="shared" si="32"/>
        <v>1.0653295595436387</v>
      </c>
      <c r="I91" s="379">
        <f t="shared" si="33"/>
        <v>23.484999999999999</v>
      </c>
      <c r="J91" s="149">
        <f t="shared" si="34"/>
        <v>1.35</v>
      </c>
      <c r="K91" s="149">
        <f t="shared" si="35"/>
        <v>0.1354515050167224</v>
      </c>
      <c r="L91" s="149">
        <f t="shared" si="36"/>
        <v>0.23725834797891038</v>
      </c>
      <c r="M91" s="379">
        <f t="shared" si="43"/>
        <v>350</v>
      </c>
      <c r="N91" s="172">
        <f t="shared" si="37"/>
        <v>271.65903768362784</v>
      </c>
      <c r="O91" s="188">
        <f t="shared" si="38"/>
        <v>13.333333333333332</v>
      </c>
      <c r="P91" s="150">
        <f t="shared" si="39"/>
        <v>2.3432923257176332</v>
      </c>
      <c r="Q91" s="150">
        <f t="shared" si="40"/>
        <v>0.21219217940529417</v>
      </c>
      <c r="R91" s="150">
        <f t="shared" si="41"/>
        <v>2.3432923257176337</v>
      </c>
    </row>
    <row r="92" spans="3:18">
      <c r="C92" s="147">
        <v>86</v>
      </c>
      <c r="D92" s="5">
        <f t="shared" si="42"/>
        <v>15.02</v>
      </c>
      <c r="E92" s="379">
        <f t="shared" si="29"/>
        <v>8.5350000000000001</v>
      </c>
      <c r="F92" s="188">
        <f t="shared" si="30"/>
        <v>0.36234345149649755</v>
      </c>
      <c r="G92" s="149">
        <f t="shared" si="31"/>
        <v>181.41328804924643</v>
      </c>
      <c r="H92" s="188">
        <f t="shared" si="32"/>
        <v>1.0671369885249791</v>
      </c>
      <c r="I92" s="379">
        <f t="shared" si="33"/>
        <v>23.555</v>
      </c>
      <c r="J92" s="149">
        <f t="shared" si="34"/>
        <v>1.35</v>
      </c>
      <c r="K92" s="149">
        <f t="shared" si="35"/>
        <v>0.13482023968042608</v>
      </c>
      <c r="L92" s="149">
        <f t="shared" si="36"/>
        <v>0.23725834797891038</v>
      </c>
      <c r="M92" s="379">
        <f t="shared" si="43"/>
        <v>350</v>
      </c>
      <c r="N92" s="172">
        <f t="shared" si="37"/>
        <v>272.11993207386968</v>
      </c>
      <c r="O92" s="188">
        <f t="shared" si="38"/>
        <v>13.333333333333334</v>
      </c>
      <c r="P92" s="150">
        <f t="shared" si="39"/>
        <v>2.3432923257176337</v>
      </c>
      <c r="Q92" s="150">
        <f t="shared" si="40"/>
        <v>0.21255218283450092</v>
      </c>
      <c r="R92" s="150">
        <f t="shared" si="41"/>
        <v>2.3432923257176337</v>
      </c>
    </row>
    <row r="93" spans="3:18">
      <c r="C93" s="147">
        <v>87</v>
      </c>
      <c r="D93" s="5">
        <f t="shared" si="42"/>
        <v>15.09</v>
      </c>
      <c r="E93" s="379">
        <f t="shared" si="29"/>
        <v>8.5350000000000001</v>
      </c>
      <c r="F93" s="188">
        <f t="shared" si="30"/>
        <v>0.3612698412698413</v>
      </c>
      <c r="G93" s="149">
        <f t="shared" si="31"/>
        <v>181.71873015873018</v>
      </c>
      <c r="H93" s="188">
        <f t="shared" si="32"/>
        <v>1.0689337068160598</v>
      </c>
      <c r="I93" s="379">
        <f t="shared" si="33"/>
        <v>23.625</v>
      </c>
      <c r="J93" s="149">
        <f t="shared" si="34"/>
        <v>1.35</v>
      </c>
      <c r="K93" s="149">
        <f t="shared" si="35"/>
        <v>0.13419483101391649</v>
      </c>
      <c r="L93" s="149">
        <f t="shared" si="36"/>
        <v>0.23725834797891038</v>
      </c>
      <c r="M93" s="379">
        <f t="shared" si="43"/>
        <v>350</v>
      </c>
      <c r="N93" s="172">
        <f t="shared" si="37"/>
        <v>272.57809523809522</v>
      </c>
      <c r="O93" s="188">
        <f t="shared" si="38"/>
        <v>13.333333333333334</v>
      </c>
      <c r="P93" s="150">
        <f t="shared" si="39"/>
        <v>2.3432923257176337</v>
      </c>
      <c r="Q93" s="150">
        <f t="shared" si="40"/>
        <v>0.21291005291005297</v>
      </c>
      <c r="R93" s="150">
        <f t="shared" si="41"/>
        <v>2.3432923257176337</v>
      </c>
    </row>
    <row r="94" spans="3:18">
      <c r="C94" s="147">
        <v>88</v>
      </c>
      <c r="D94" s="5">
        <f t="shared" si="42"/>
        <v>15.16</v>
      </c>
      <c r="E94" s="379">
        <f t="shared" si="29"/>
        <v>8.5350000000000001</v>
      </c>
      <c r="F94" s="188">
        <f t="shared" si="30"/>
        <v>0.36020257438278119</v>
      </c>
      <c r="G94" s="149">
        <f t="shared" si="31"/>
        <v>182.02236758809877</v>
      </c>
      <c r="H94" s="188">
        <f t="shared" si="32"/>
        <v>1.0707198093417576</v>
      </c>
      <c r="I94" s="379">
        <f t="shared" si="33"/>
        <v>23.695</v>
      </c>
      <c r="J94" s="149">
        <f t="shared" si="34"/>
        <v>1.35</v>
      </c>
      <c r="K94" s="149">
        <f t="shared" si="35"/>
        <v>0.13357519788918204</v>
      </c>
      <c r="L94" s="149">
        <f t="shared" si="36"/>
        <v>0.23725834797891038</v>
      </c>
      <c r="M94" s="379">
        <f t="shared" si="43"/>
        <v>350</v>
      </c>
      <c r="N94" s="172">
        <f t="shared" si="37"/>
        <v>273.03355138214812</v>
      </c>
      <c r="O94" s="188">
        <f t="shared" si="38"/>
        <v>13.333333333333334</v>
      </c>
      <c r="P94" s="150">
        <f t="shared" si="39"/>
        <v>2.3432923257176337</v>
      </c>
      <c r="Q94" s="150">
        <f t="shared" si="40"/>
        <v>0.21326580853907301</v>
      </c>
      <c r="R94" s="150">
        <f t="shared" si="41"/>
        <v>2.3432923257176337</v>
      </c>
    </row>
    <row r="95" spans="3:18">
      <c r="C95" s="147">
        <v>89</v>
      </c>
      <c r="D95" s="5">
        <f t="shared" si="42"/>
        <v>15.23</v>
      </c>
      <c r="E95" s="379">
        <f t="shared" si="29"/>
        <v>8.5350000000000001</v>
      </c>
      <c r="F95" s="188">
        <f t="shared" si="30"/>
        <v>0.35914159478224278</v>
      </c>
      <c r="G95" s="149">
        <f t="shared" si="31"/>
        <v>182.32421628445192</v>
      </c>
      <c r="H95" s="188">
        <f t="shared" si="32"/>
        <v>1.0724953899085408</v>
      </c>
      <c r="I95" s="379">
        <f t="shared" si="33"/>
        <v>23.765000000000001</v>
      </c>
      <c r="J95" s="149">
        <f t="shared" si="34"/>
        <v>1.35</v>
      </c>
      <c r="K95" s="149">
        <f t="shared" si="35"/>
        <v>0.1329612606697308</v>
      </c>
      <c r="L95" s="149">
        <f t="shared" si="36"/>
        <v>0.23725834797891038</v>
      </c>
      <c r="M95" s="379">
        <f t="shared" si="43"/>
        <v>350</v>
      </c>
      <c r="N95" s="172">
        <f t="shared" si="37"/>
        <v>273.48632442667787</v>
      </c>
      <c r="O95" s="188">
        <f t="shared" si="38"/>
        <v>13.333333333333334</v>
      </c>
      <c r="P95" s="150">
        <f t="shared" si="39"/>
        <v>2.3432923257176337</v>
      </c>
      <c r="Q95" s="150">
        <f t="shared" si="40"/>
        <v>0.21361946840591911</v>
      </c>
      <c r="R95" s="150">
        <f t="shared" si="41"/>
        <v>2.3432923257176337</v>
      </c>
    </row>
    <row r="96" spans="3:18">
      <c r="C96" s="147">
        <v>90</v>
      </c>
      <c r="D96" s="5">
        <f t="shared" si="42"/>
        <v>15.3</v>
      </c>
      <c r="E96" s="379">
        <f t="shared" si="29"/>
        <v>8.5350000000000001</v>
      </c>
      <c r="F96" s="188">
        <f t="shared" si="30"/>
        <v>0.3580868470736312</v>
      </c>
      <c r="G96" s="149">
        <f t="shared" si="31"/>
        <v>182.62429200755193</v>
      </c>
      <c r="H96" s="188">
        <f t="shared" si="32"/>
        <v>1.0742605412208936</v>
      </c>
      <c r="I96" s="379">
        <f t="shared" si="33"/>
        <v>23.835000000000001</v>
      </c>
      <c r="J96" s="149">
        <f t="shared" si="34"/>
        <v>1.35</v>
      </c>
      <c r="K96" s="149">
        <f t="shared" si="35"/>
        <v>0.13235294117647059</v>
      </c>
      <c r="L96" s="149">
        <f t="shared" si="36"/>
        <v>0.23725834797891038</v>
      </c>
      <c r="M96" s="379">
        <f t="shared" si="43"/>
        <v>350</v>
      </c>
      <c r="N96" s="172">
        <f t="shared" si="37"/>
        <v>273.93643801132782</v>
      </c>
      <c r="O96" s="188">
        <f t="shared" si="38"/>
        <v>13.333333333333336</v>
      </c>
      <c r="P96" s="150">
        <f t="shared" si="39"/>
        <v>2.3432923257176341</v>
      </c>
      <c r="Q96" s="150">
        <f t="shared" si="40"/>
        <v>0.21397105097545638</v>
      </c>
      <c r="R96" s="150">
        <f t="shared" si="41"/>
        <v>2.3432923257176337</v>
      </c>
    </row>
    <row r="97" spans="3:18">
      <c r="C97" s="147">
        <v>91</v>
      </c>
      <c r="D97" s="5">
        <f t="shared" si="42"/>
        <v>15.370000000000001</v>
      </c>
      <c r="E97" s="379">
        <f t="shared" si="29"/>
        <v>8.5350000000000001</v>
      </c>
      <c r="F97" s="188">
        <f t="shared" si="30"/>
        <v>0.35703827651119013</v>
      </c>
      <c r="G97" s="149">
        <f t="shared" si="31"/>
        <v>182.92261033256642</v>
      </c>
      <c r="H97" s="188">
        <f t="shared" si="32"/>
        <v>1.0760153548974496</v>
      </c>
      <c r="I97" s="379">
        <f t="shared" si="33"/>
        <v>23.905000000000001</v>
      </c>
      <c r="J97" s="149">
        <f t="shared" si="34"/>
        <v>1.35</v>
      </c>
      <c r="K97" s="149">
        <f t="shared" si="35"/>
        <v>0.1317501626545218</v>
      </c>
      <c r="L97" s="149">
        <f t="shared" si="36"/>
        <v>0.23725834797891038</v>
      </c>
      <c r="M97" s="379">
        <f t="shared" si="43"/>
        <v>350</v>
      </c>
      <c r="N97" s="172">
        <f t="shared" si="37"/>
        <v>274.3839154988496</v>
      </c>
      <c r="O97" s="188">
        <f t="shared" si="38"/>
        <v>13.333333333333334</v>
      </c>
      <c r="P97" s="150">
        <f t="shared" si="39"/>
        <v>2.3432923257176337</v>
      </c>
      <c r="Q97" s="150">
        <f t="shared" si="40"/>
        <v>0.21432057449627004</v>
      </c>
      <c r="R97" s="150">
        <f t="shared" si="41"/>
        <v>2.3432923257176337</v>
      </c>
    </row>
    <row r="98" spans="3:18">
      <c r="C98" s="147">
        <v>92</v>
      </c>
      <c r="D98" s="5">
        <f t="shared" si="42"/>
        <v>15.440000000000001</v>
      </c>
      <c r="E98" s="379">
        <f t="shared" si="29"/>
        <v>8.5350000000000001</v>
      </c>
      <c r="F98" s="188">
        <f t="shared" si="30"/>
        <v>0.35599582898852972</v>
      </c>
      <c r="G98" s="149">
        <f t="shared" si="31"/>
        <v>183.21918665276331</v>
      </c>
      <c r="H98" s="188">
        <f t="shared" si="32"/>
        <v>1.077759921486843</v>
      </c>
      <c r="I98" s="379">
        <f t="shared" si="33"/>
        <v>23.975000000000001</v>
      </c>
      <c r="J98" s="149">
        <f t="shared" si="34"/>
        <v>1.35</v>
      </c>
      <c r="K98" s="149">
        <f t="shared" si="35"/>
        <v>0.13115284974093264</v>
      </c>
      <c r="L98" s="149">
        <f t="shared" si="36"/>
        <v>0.23725834797891038</v>
      </c>
      <c r="M98" s="379">
        <f t="shared" si="43"/>
        <v>350</v>
      </c>
      <c r="N98" s="172">
        <f t="shared" si="37"/>
        <v>274.82877997914494</v>
      </c>
      <c r="O98" s="188">
        <f t="shared" si="38"/>
        <v>13.333333333333334</v>
      </c>
      <c r="P98" s="150">
        <f t="shared" si="39"/>
        <v>2.3432923257176337</v>
      </c>
      <c r="Q98" s="150">
        <f t="shared" si="40"/>
        <v>0.21466805700382349</v>
      </c>
      <c r="R98" s="150">
        <f t="shared" si="41"/>
        <v>2.3432923257176337</v>
      </c>
    </row>
    <row r="99" spans="3:18">
      <c r="C99" s="147">
        <v>93</v>
      </c>
      <c r="D99" s="5">
        <f t="shared" si="42"/>
        <v>15.510000000000002</v>
      </c>
      <c r="E99" s="379">
        <f t="shared" si="29"/>
        <v>8.5350000000000001</v>
      </c>
      <c r="F99" s="188">
        <f t="shared" si="30"/>
        <v>0.35495945102932003</v>
      </c>
      <c r="G99" s="149">
        <f t="shared" si="31"/>
        <v>183.51403618215849</v>
      </c>
      <c r="H99" s="188">
        <f t="shared" si="32"/>
        <v>1.0794943304832851</v>
      </c>
      <c r="I99" s="379">
        <f t="shared" si="33"/>
        <v>24.045000000000002</v>
      </c>
      <c r="J99" s="149">
        <f t="shared" si="34"/>
        <v>1.35</v>
      </c>
      <c r="K99" s="149">
        <f t="shared" si="35"/>
        <v>0.13056092843326886</v>
      </c>
      <c r="L99" s="149">
        <f t="shared" si="36"/>
        <v>0.23725834797891038</v>
      </c>
      <c r="M99" s="379">
        <f t="shared" si="43"/>
        <v>350</v>
      </c>
      <c r="N99" s="172">
        <f t="shared" si="37"/>
        <v>275.27105427323767</v>
      </c>
      <c r="O99" s="188">
        <f t="shared" si="38"/>
        <v>13.333333333333336</v>
      </c>
      <c r="P99" s="150">
        <f t="shared" si="39"/>
        <v>2.3432923257176341</v>
      </c>
      <c r="Q99" s="150">
        <f t="shared" si="40"/>
        <v>0.21501351632356011</v>
      </c>
      <c r="R99" s="150">
        <f t="shared" si="41"/>
        <v>2.3432923257176337</v>
      </c>
    </row>
    <row r="100" spans="3:18">
      <c r="C100" s="147">
        <v>94</v>
      </c>
      <c r="D100" s="5">
        <f t="shared" si="42"/>
        <v>15.58</v>
      </c>
      <c r="E100" s="379">
        <f t="shared" si="29"/>
        <v>8.5350000000000001</v>
      </c>
      <c r="F100" s="188">
        <f t="shared" si="30"/>
        <v>0.35392908977814636</v>
      </c>
      <c r="G100" s="149">
        <f t="shared" si="31"/>
        <v>183.80717395811735</v>
      </c>
      <c r="H100" s="188">
        <f t="shared" si="32"/>
        <v>1.0812186703418667</v>
      </c>
      <c r="I100" s="379">
        <f t="shared" si="33"/>
        <v>24.115000000000002</v>
      </c>
      <c r="J100" s="149">
        <f t="shared" si="34"/>
        <v>1.35</v>
      </c>
      <c r="K100" s="149">
        <f t="shared" si="35"/>
        <v>0.12997432605905007</v>
      </c>
      <c r="L100" s="149">
        <f t="shared" si="36"/>
        <v>0.23725834797891038</v>
      </c>
      <c r="M100" s="379">
        <f t="shared" si="43"/>
        <v>350</v>
      </c>
      <c r="N100" s="172">
        <f t="shared" si="37"/>
        <v>275.71076093717596</v>
      </c>
      <c r="O100" s="188">
        <f t="shared" si="38"/>
        <v>13.333333333333336</v>
      </c>
      <c r="P100" s="150">
        <f t="shared" si="39"/>
        <v>2.3432923257176341</v>
      </c>
      <c r="Q100" s="150">
        <f t="shared" si="40"/>
        <v>0.2153569700739513</v>
      </c>
      <c r="R100" s="150">
        <f t="shared" si="41"/>
        <v>2.3432923257176337</v>
      </c>
    </row>
    <row r="101" spans="3:18">
      <c r="C101" s="147">
        <v>95</v>
      </c>
      <c r="D101" s="5">
        <f t="shared" si="42"/>
        <v>15.649999999999999</v>
      </c>
      <c r="E101" s="379">
        <f t="shared" si="29"/>
        <v>8.5350000000000001</v>
      </c>
      <c r="F101" s="188">
        <f t="shared" si="30"/>
        <v>0.35290469299152372</v>
      </c>
      <c r="G101" s="149">
        <f t="shared" si="31"/>
        <v>184.09861484391155</v>
      </c>
      <c r="H101" s="188">
        <f t="shared" si="32"/>
        <v>1.0829330284935974</v>
      </c>
      <c r="I101" s="379">
        <f t="shared" si="33"/>
        <v>24.184999999999999</v>
      </c>
      <c r="J101" s="149">
        <f t="shared" si="34"/>
        <v>1.35</v>
      </c>
      <c r="K101" s="149">
        <f t="shared" si="35"/>
        <v>0.12939297124600641</v>
      </c>
      <c r="L101" s="149">
        <f t="shared" si="36"/>
        <v>0.23725834797891038</v>
      </c>
      <c r="M101" s="379">
        <f t="shared" si="43"/>
        <v>350</v>
      </c>
      <c r="N101" s="172">
        <f t="shared" si="37"/>
        <v>276.14792226586724</v>
      </c>
      <c r="O101" s="188">
        <f t="shared" si="38"/>
        <v>13.333333333333334</v>
      </c>
      <c r="P101" s="150">
        <f t="shared" si="39"/>
        <v>2.3432923257176337</v>
      </c>
      <c r="Q101" s="150">
        <f t="shared" si="40"/>
        <v>0.21569843566949218</v>
      </c>
      <c r="R101" s="150">
        <f t="shared" si="41"/>
        <v>2.3432923257176337</v>
      </c>
    </row>
    <row r="102" spans="3:18">
      <c r="C102" s="147">
        <v>96</v>
      </c>
      <c r="D102" s="5">
        <f t="shared" si="42"/>
        <v>15.719999999999999</v>
      </c>
      <c r="E102" s="379">
        <f t="shared" si="29"/>
        <v>8.5350000000000001</v>
      </c>
      <c r="F102" s="188">
        <f t="shared" si="30"/>
        <v>0.3518862090290662</v>
      </c>
      <c r="G102" s="149">
        <f>F102*D102*Isw_max*0.5*Efficiency</f>
        <v>184.38837353123068</v>
      </c>
      <c r="H102" s="188">
        <f>G102/Vout</f>
        <v>1.0846374913601804</v>
      </c>
      <c r="I102" s="379">
        <f t="shared" si="33"/>
        <v>24.254999999999999</v>
      </c>
      <c r="J102" s="149">
        <f t="shared" si="34"/>
        <v>1.35</v>
      </c>
      <c r="K102" s="149">
        <f>L*J102/D102*1000000</f>
        <v>0.12881679389312978</v>
      </c>
      <c r="L102" s="149">
        <f t="shared" si="36"/>
        <v>0.23725834797891038</v>
      </c>
      <c r="M102" s="379">
        <f t="shared" si="43"/>
        <v>350</v>
      </c>
      <c r="N102" s="172">
        <f t="shared" si="37"/>
        <v>276.582560296846</v>
      </c>
      <c r="O102" s="188">
        <f>1/((N102*1000*L)*(1/D102+1/E102))</f>
        <v>13.333333333333334</v>
      </c>
      <c r="P102" s="150">
        <f>L*O102/E102*1000000</f>
        <v>2.3432923257176337</v>
      </c>
      <c r="Q102" s="150">
        <f>0.5*P102*O102*Nps*N102/1000</f>
        <v>0.21603793032364468</v>
      </c>
      <c r="R102" s="150">
        <f t="shared" si="41"/>
        <v>2.3432923257176337</v>
      </c>
    </row>
    <row r="103" spans="3:18">
      <c r="C103" s="147">
        <v>97</v>
      </c>
      <c r="D103" s="5">
        <f>C103/100*(VIN_max-VIN_min)+VIN_min</f>
        <v>15.79</v>
      </c>
      <c r="E103" s="379">
        <f t="shared" si="29"/>
        <v>8.5350000000000001</v>
      </c>
      <c r="F103" s="188">
        <f t="shared" si="30"/>
        <v>0.3508735868448099</v>
      </c>
      <c r="G103" s="149">
        <f>F103*D103*Isw_max*0.5*Efficiency</f>
        <v>184.67646454265162</v>
      </c>
      <c r="H103" s="188">
        <f>G103/Vout</f>
        <v>1.086332144368539</v>
      </c>
      <c r="I103" s="379">
        <f t="shared" si="33"/>
        <v>24.324999999999999</v>
      </c>
      <c r="J103" s="149">
        <f t="shared" si="34"/>
        <v>1.35</v>
      </c>
      <c r="K103" s="149">
        <f>L*J103/D103*1000000</f>
        <v>0.12824572514249527</v>
      </c>
      <c r="L103" s="149">
        <f t="shared" si="36"/>
        <v>0.23725834797891038</v>
      </c>
      <c r="M103" s="379">
        <f t="shared" si="43"/>
        <v>350</v>
      </c>
      <c r="N103" s="172">
        <f t="shared" si="37"/>
        <v>277.01469681397742</v>
      </c>
      <c r="O103" s="188">
        <f>1/((N103*1000*L)*(1/D103+1/E103))</f>
        <v>13.333333333333332</v>
      </c>
      <c r="P103" s="150">
        <f>L*O103/E103*1000000</f>
        <v>2.3432923257176332</v>
      </c>
      <c r="Q103" s="150">
        <f>0.5*P103*O103*Nps*N103/1000</f>
        <v>0.21637547105173005</v>
      </c>
      <c r="R103" s="150">
        <f t="shared" si="41"/>
        <v>2.3432923257176337</v>
      </c>
    </row>
    <row r="104" spans="3:18">
      <c r="C104" s="147">
        <v>98</v>
      </c>
      <c r="D104" s="5">
        <f>C104/100*(VIN_max-VIN_min)+VIN_min</f>
        <v>15.86</v>
      </c>
      <c r="E104" s="379">
        <f t="shared" si="29"/>
        <v>8.5350000000000001</v>
      </c>
      <c r="F104" s="188">
        <f t="shared" si="30"/>
        <v>0.34986677597868415</v>
      </c>
      <c r="G104" s="149">
        <f>F104*D104*Isw_max*0.5*Efficiency</f>
        <v>184.96290223406439</v>
      </c>
      <c r="H104" s="188">
        <f>G104/Vout</f>
        <v>1.0880170719650846</v>
      </c>
      <c r="I104" s="379">
        <f t="shared" si="33"/>
        <v>24.395</v>
      </c>
      <c r="J104" s="149">
        <f t="shared" si="34"/>
        <v>1.35</v>
      </c>
      <c r="K104" s="149">
        <f>L*J104/D104*1000000</f>
        <v>0.12767969735182849</v>
      </c>
      <c r="L104" s="149">
        <f t="shared" si="36"/>
        <v>0.23725834797891038</v>
      </c>
      <c r="M104" s="379">
        <f t="shared" si="43"/>
        <v>350</v>
      </c>
      <c r="N104" s="172">
        <f t="shared" si="37"/>
        <v>277.44435335109654</v>
      </c>
      <c r="O104" s="188">
        <f>1/((N104*1000*L)*(1/D104+1/E104))</f>
        <v>13.333333333333334</v>
      </c>
      <c r="P104" s="150">
        <f>L*O104/E104*1000000</f>
        <v>2.3432923257176337</v>
      </c>
      <c r="Q104" s="150">
        <f>0.5*P104*O104*Nps*N104/1000</f>
        <v>0.21671107467377204</v>
      </c>
      <c r="R104" s="150">
        <f t="shared" si="41"/>
        <v>2.3432923257176337</v>
      </c>
    </row>
    <row r="105" spans="3:18">
      <c r="C105" s="147">
        <v>99</v>
      </c>
      <c r="D105" s="5">
        <f>C105/100*(VIN_max-VIN_min)+VIN_min</f>
        <v>15.93</v>
      </c>
      <c r="E105" s="379">
        <f t="shared" si="29"/>
        <v>8.5350000000000001</v>
      </c>
      <c r="F105" s="188">
        <f t="shared" si="30"/>
        <v>0.34886572654812997</v>
      </c>
      <c r="G105" s="149">
        <f>F105*D105*Isw_max*0.5*Efficiency</f>
        <v>185.24770079705701</v>
      </c>
      <c r="H105" s="188">
        <f>G105/Vout</f>
        <v>1.089692357629747</v>
      </c>
      <c r="I105" s="379">
        <f t="shared" si="33"/>
        <v>24.465</v>
      </c>
      <c r="J105" s="149">
        <f t="shared" si="34"/>
        <v>1.35</v>
      </c>
      <c r="K105" s="149">
        <f>L*J105/D105*1000000</f>
        <v>0.1271186440677966</v>
      </c>
      <c r="L105" s="149">
        <f t="shared" si="36"/>
        <v>0.23725834797891038</v>
      </c>
      <c r="M105" s="379">
        <f t="shared" si="43"/>
        <v>350</v>
      </c>
      <c r="N105" s="172">
        <f t="shared" si="37"/>
        <v>277.87155119558554</v>
      </c>
      <c r="O105" s="188">
        <f>1/((N105*1000*L)*(1/D105+1/E105))</f>
        <v>13.333333333333334</v>
      </c>
      <c r="P105" s="150">
        <f>L*O105/E105*1000000</f>
        <v>2.3432923257176337</v>
      </c>
      <c r="Q105" s="150">
        <f>0.5*P105*O105*Nps*N105/1000</f>
        <v>0.2170447578172901</v>
      </c>
      <c r="R105" s="150">
        <f t="shared" si="41"/>
        <v>2.3432923257176337</v>
      </c>
    </row>
    <row r="106" spans="3:18">
      <c r="C106" s="147">
        <v>100</v>
      </c>
      <c r="D106" s="5">
        <f>C106/100*(VIN_max-VIN_min)+VIN_min</f>
        <v>16</v>
      </c>
      <c r="E106" s="379">
        <f t="shared" si="29"/>
        <v>8.5350000000000001</v>
      </c>
      <c r="F106" s="188">
        <f t="shared" si="30"/>
        <v>0.34787038923986141</v>
      </c>
      <c r="G106" s="149">
        <f>F106*D106*Isw_max*0.5*Efficiency</f>
        <v>185.53087426125944</v>
      </c>
      <c r="H106" s="188">
        <f>G106/Vout</f>
        <v>1.0913580838897614</v>
      </c>
      <c r="I106" s="379">
        <f t="shared" si="33"/>
        <v>24.535</v>
      </c>
      <c r="J106" s="149">
        <f t="shared" si="34"/>
        <v>1.35</v>
      </c>
      <c r="K106" s="149">
        <f>L*J106/D106*1000000</f>
        <v>0.12656249999999999</v>
      </c>
      <c r="L106" s="149">
        <f t="shared" si="36"/>
        <v>0.23725834797891038</v>
      </c>
      <c r="M106" s="379">
        <f t="shared" si="43"/>
        <v>350</v>
      </c>
      <c r="N106" s="172">
        <f t="shared" si="37"/>
        <v>278.29631139188916</v>
      </c>
      <c r="O106" s="188">
        <f>1/((N106*1000*L)*(1/D106+1/E106))</f>
        <v>13.333333333333332</v>
      </c>
      <c r="P106" s="150">
        <f>L*O106/E106*1000000</f>
        <v>2.3432923257176332</v>
      </c>
      <c r="Q106" s="150">
        <f>0.5*P106*O106*Nps*N106/1000</f>
        <v>0.21737653692004619</v>
      </c>
      <c r="R106" s="150">
        <f t="shared" si="41"/>
        <v>2.3432923257176337</v>
      </c>
    </row>
  </sheetData>
  <sheetProtection sheet="1" objects="1" scenarios="1"/>
  <mergeCells count="1">
    <mergeCell ref="F4:O4"/>
  </mergeCells>
  <phoneticPr fontId="83"/>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0000"/>
  </sheetPr>
  <dimension ref="A1:Q64"/>
  <sheetViews>
    <sheetView topLeftCell="A25" zoomScale="70" zoomScaleNormal="70" workbookViewId="0">
      <selection activeCell="Q36" sqref="Q36"/>
    </sheetView>
  </sheetViews>
  <sheetFormatPr defaultRowHeight="13.2"/>
  <cols>
    <col min="1" max="1" width="9.5546875" style="92" customWidth="1"/>
    <col min="2" max="2" width="11.44140625" style="92" customWidth="1"/>
    <col min="3" max="3" width="13.44140625" style="92" customWidth="1"/>
    <col min="4" max="4" width="20.21875" style="92" customWidth="1"/>
    <col min="5" max="5" width="17.21875" style="92" customWidth="1"/>
    <col min="6" max="6" width="13.5546875" style="92" customWidth="1"/>
    <col min="7" max="7" width="16.21875" style="92" customWidth="1"/>
    <col min="8" max="8" width="18.21875" style="92" customWidth="1"/>
    <col min="9" max="9" width="10.77734375" style="92" customWidth="1"/>
    <col min="10" max="10" width="15.77734375" style="92" customWidth="1"/>
    <col min="11" max="11" width="11.77734375" style="393" customWidth="1"/>
    <col min="12" max="12" width="7.77734375" style="392" customWidth="1"/>
    <col min="13" max="13" width="11.77734375" style="92" customWidth="1"/>
    <col min="14" max="254" width="9.21875" style="92"/>
    <col min="255" max="255" width="8.77734375" style="92" bestFit="1" customWidth="1"/>
    <col min="256" max="256" width="13.21875" style="92" customWidth="1"/>
    <col min="257" max="257" width="16.21875" style="92" bestFit="1" customWidth="1"/>
    <col min="258" max="258" width="23.5546875" style="92" customWidth="1"/>
    <col min="259" max="259" width="17.21875" style="92" customWidth="1"/>
    <col min="260" max="260" width="20.5546875" style="92" bestFit="1" customWidth="1"/>
    <col min="261" max="261" width="17.21875" style="92" customWidth="1"/>
    <col min="262" max="262" width="21.77734375" style="92" bestFit="1" customWidth="1"/>
    <col min="263" max="263" width="17.21875" style="92" bestFit="1" customWidth="1"/>
    <col min="264" max="264" width="18.21875" style="92" bestFit="1" customWidth="1"/>
    <col min="265" max="265" width="26.44140625" style="92" customWidth="1"/>
    <col min="266" max="510" width="9.21875" style="92"/>
    <col min="511" max="511" width="8.77734375" style="92" bestFit="1" customWidth="1"/>
    <col min="512" max="512" width="13.21875" style="92" customWidth="1"/>
    <col min="513" max="513" width="16.21875" style="92" bestFit="1" customWidth="1"/>
    <col min="514" max="514" width="23.5546875" style="92" customWidth="1"/>
    <col min="515" max="515" width="17.21875" style="92" customWidth="1"/>
    <col min="516" max="516" width="20.5546875" style="92" bestFit="1" customWidth="1"/>
    <col min="517" max="517" width="17.21875" style="92" customWidth="1"/>
    <col min="518" max="518" width="21.77734375" style="92" bestFit="1" customWidth="1"/>
    <col min="519" max="519" width="17.21875" style="92" bestFit="1" customWidth="1"/>
    <col min="520" max="520" width="18.21875" style="92" bestFit="1" customWidth="1"/>
    <col min="521" max="521" width="26.44140625" style="92" customWidth="1"/>
    <col min="522" max="766" width="9.21875" style="92"/>
    <col min="767" max="767" width="8.77734375" style="92" bestFit="1" customWidth="1"/>
    <col min="768" max="768" width="13.21875" style="92" customWidth="1"/>
    <col min="769" max="769" width="16.21875" style="92" bestFit="1" customWidth="1"/>
    <col min="770" max="770" width="23.5546875" style="92" customWidth="1"/>
    <col min="771" max="771" width="17.21875" style="92" customWidth="1"/>
    <col min="772" max="772" width="20.5546875" style="92" bestFit="1" customWidth="1"/>
    <col min="773" max="773" width="17.21875" style="92" customWidth="1"/>
    <col min="774" max="774" width="21.77734375" style="92" bestFit="1" customWidth="1"/>
    <col min="775" max="775" width="17.21875" style="92" bestFit="1" customWidth="1"/>
    <col min="776" max="776" width="18.21875" style="92" bestFit="1" customWidth="1"/>
    <col min="777" max="777" width="26.44140625" style="92" customWidth="1"/>
    <col min="778" max="1022" width="9.21875" style="92"/>
    <col min="1023" max="1023" width="8.77734375" style="92" bestFit="1" customWidth="1"/>
    <col min="1024" max="1024" width="13.21875" style="92" customWidth="1"/>
    <col min="1025" max="1025" width="16.21875" style="92" bestFit="1" customWidth="1"/>
    <col min="1026" max="1026" width="23.5546875" style="92" customWidth="1"/>
    <col min="1027" max="1027" width="17.21875" style="92" customWidth="1"/>
    <col min="1028" max="1028" width="20.5546875" style="92" bestFit="1" customWidth="1"/>
    <col min="1029" max="1029" width="17.21875" style="92" customWidth="1"/>
    <col min="1030" max="1030" width="21.77734375" style="92" bestFit="1" customWidth="1"/>
    <col min="1031" max="1031" width="17.21875" style="92" bestFit="1" customWidth="1"/>
    <col min="1032" max="1032" width="18.21875" style="92" bestFit="1" customWidth="1"/>
    <col min="1033" max="1033" width="26.44140625" style="92" customWidth="1"/>
    <col min="1034" max="1278" width="9.21875" style="92"/>
    <col min="1279" max="1279" width="8.77734375" style="92" bestFit="1" customWidth="1"/>
    <col min="1280" max="1280" width="13.21875" style="92" customWidth="1"/>
    <col min="1281" max="1281" width="16.21875" style="92" bestFit="1" customWidth="1"/>
    <col min="1282" max="1282" width="23.5546875" style="92" customWidth="1"/>
    <col min="1283" max="1283" width="17.21875" style="92" customWidth="1"/>
    <col min="1284" max="1284" width="20.5546875" style="92" bestFit="1" customWidth="1"/>
    <col min="1285" max="1285" width="17.21875" style="92" customWidth="1"/>
    <col min="1286" max="1286" width="21.77734375" style="92" bestFit="1" customWidth="1"/>
    <col min="1287" max="1287" width="17.21875" style="92" bestFit="1" customWidth="1"/>
    <col min="1288" max="1288" width="18.21875" style="92" bestFit="1" customWidth="1"/>
    <col min="1289" max="1289" width="26.44140625" style="92" customWidth="1"/>
    <col min="1290" max="1534" width="9.21875" style="92"/>
    <col min="1535" max="1535" width="8.77734375" style="92" bestFit="1" customWidth="1"/>
    <col min="1536" max="1536" width="13.21875" style="92" customWidth="1"/>
    <col min="1537" max="1537" width="16.21875" style="92" bestFit="1" customWidth="1"/>
    <col min="1538" max="1538" width="23.5546875" style="92" customWidth="1"/>
    <col min="1539" max="1539" width="17.21875" style="92" customWidth="1"/>
    <col min="1540" max="1540" width="20.5546875" style="92" bestFit="1" customWidth="1"/>
    <col min="1541" max="1541" width="17.21875" style="92" customWidth="1"/>
    <col min="1542" max="1542" width="21.77734375" style="92" bestFit="1" customWidth="1"/>
    <col min="1543" max="1543" width="17.21875" style="92" bestFit="1" customWidth="1"/>
    <col min="1544" max="1544" width="18.21875" style="92" bestFit="1" customWidth="1"/>
    <col min="1545" max="1545" width="26.44140625" style="92" customWidth="1"/>
    <col min="1546" max="1790" width="9.21875" style="92"/>
    <col min="1791" max="1791" width="8.77734375" style="92" bestFit="1" customWidth="1"/>
    <col min="1792" max="1792" width="13.21875" style="92" customWidth="1"/>
    <col min="1793" max="1793" width="16.21875" style="92" bestFit="1" customWidth="1"/>
    <col min="1794" max="1794" width="23.5546875" style="92" customWidth="1"/>
    <col min="1795" max="1795" width="17.21875" style="92" customWidth="1"/>
    <col min="1796" max="1796" width="20.5546875" style="92" bestFit="1" customWidth="1"/>
    <col min="1797" max="1797" width="17.21875" style="92" customWidth="1"/>
    <col min="1798" max="1798" width="21.77734375" style="92" bestFit="1" customWidth="1"/>
    <col min="1799" max="1799" width="17.21875" style="92" bestFit="1" customWidth="1"/>
    <col min="1800" max="1800" width="18.21875" style="92" bestFit="1" customWidth="1"/>
    <col min="1801" max="1801" width="26.44140625" style="92" customWidth="1"/>
    <col min="1802" max="2046" width="9.21875" style="92"/>
    <col min="2047" max="2047" width="8.77734375" style="92" bestFit="1" customWidth="1"/>
    <col min="2048" max="2048" width="13.21875" style="92" customWidth="1"/>
    <col min="2049" max="2049" width="16.21875" style="92" bestFit="1" customWidth="1"/>
    <col min="2050" max="2050" width="23.5546875" style="92" customWidth="1"/>
    <col min="2051" max="2051" width="17.21875" style="92" customWidth="1"/>
    <col min="2052" max="2052" width="20.5546875" style="92" bestFit="1" customWidth="1"/>
    <col min="2053" max="2053" width="17.21875" style="92" customWidth="1"/>
    <col min="2054" max="2054" width="21.77734375" style="92" bestFit="1" customWidth="1"/>
    <col min="2055" max="2055" width="17.21875" style="92" bestFit="1" customWidth="1"/>
    <col min="2056" max="2056" width="18.21875" style="92" bestFit="1" customWidth="1"/>
    <col min="2057" max="2057" width="26.44140625" style="92" customWidth="1"/>
    <col min="2058" max="2302" width="9.21875" style="92"/>
    <col min="2303" max="2303" width="8.77734375" style="92" bestFit="1" customWidth="1"/>
    <col min="2304" max="2304" width="13.21875" style="92" customWidth="1"/>
    <col min="2305" max="2305" width="16.21875" style="92" bestFit="1" customWidth="1"/>
    <col min="2306" max="2306" width="23.5546875" style="92" customWidth="1"/>
    <col min="2307" max="2307" width="17.21875" style="92" customWidth="1"/>
    <col min="2308" max="2308" width="20.5546875" style="92" bestFit="1" customWidth="1"/>
    <col min="2309" max="2309" width="17.21875" style="92" customWidth="1"/>
    <col min="2310" max="2310" width="21.77734375" style="92" bestFit="1" customWidth="1"/>
    <col min="2311" max="2311" width="17.21875" style="92" bestFit="1" customWidth="1"/>
    <col min="2312" max="2312" width="18.21875" style="92" bestFit="1" customWidth="1"/>
    <col min="2313" max="2313" width="26.44140625" style="92" customWidth="1"/>
    <col min="2314" max="2558" width="9.21875" style="92"/>
    <col min="2559" max="2559" width="8.77734375" style="92" bestFit="1" customWidth="1"/>
    <col min="2560" max="2560" width="13.21875" style="92" customWidth="1"/>
    <col min="2561" max="2561" width="16.21875" style="92" bestFit="1" customWidth="1"/>
    <col min="2562" max="2562" width="23.5546875" style="92" customWidth="1"/>
    <col min="2563" max="2563" width="17.21875" style="92" customWidth="1"/>
    <col min="2564" max="2564" width="20.5546875" style="92" bestFit="1" customWidth="1"/>
    <col min="2565" max="2565" width="17.21875" style="92" customWidth="1"/>
    <col min="2566" max="2566" width="21.77734375" style="92" bestFit="1" customWidth="1"/>
    <col min="2567" max="2567" width="17.21875" style="92" bestFit="1" customWidth="1"/>
    <col min="2568" max="2568" width="18.21875" style="92" bestFit="1" customWidth="1"/>
    <col min="2569" max="2569" width="26.44140625" style="92" customWidth="1"/>
    <col min="2570" max="2814" width="9.21875" style="92"/>
    <col min="2815" max="2815" width="8.77734375" style="92" bestFit="1" customWidth="1"/>
    <col min="2816" max="2816" width="13.21875" style="92" customWidth="1"/>
    <col min="2817" max="2817" width="16.21875" style="92" bestFit="1" customWidth="1"/>
    <col min="2818" max="2818" width="23.5546875" style="92" customWidth="1"/>
    <col min="2819" max="2819" width="17.21875" style="92" customWidth="1"/>
    <col min="2820" max="2820" width="20.5546875" style="92" bestFit="1" customWidth="1"/>
    <col min="2821" max="2821" width="17.21875" style="92" customWidth="1"/>
    <col min="2822" max="2822" width="21.77734375" style="92" bestFit="1" customWidth="1"/>
    <col min="2823" max="2823" width="17.21875" style="92" bestFit="1" customWidth="1"/>
    <col min="2824" max="2824" width="18.21875" style="92" bestFit="1" customWidth="1"/>
    <col min="2825" max="2825" width="26.44140625" style="92" customWidth="1"/>
    <col min="2826" max="3070" width="9.21875" style="92"/>
    <col min="3071" max="3071" width="8.77734375" style="92" bestFit="1" customWidth="1"/>
    <col min="3072" max="3072" width="13.21875" style="92" customWidth="1"/>
    <col min="3073" max="3073" width="16.21875" style="92" bestFit="1" customWidth="1"/>
    <col min="3074" max="3074" width="23.5546875" style="92" customWidth="1"/>
    <col min="3075" max="3075" width="17.21875" style="92" customWidth="1"/>
    <col min="3076" max="3076" width="20.5546875" style="92" bestFit="1" customWidth="1"/>
    <col min="3077" max="3077" width="17.21875" style="92" customWidth="1"/>
    <col min="3078" max="3078" width="21.77734375" style="92" bestFit="1" customWidth="1"/>
    <col min="3079" max="3079" width="17.21875" style="92" bestFit="1" customWidth="1"/>
    <col min="3080" max="3080" width="18.21875" style="92" bestFit="1" customWidth="1"/>
    <col min="3081" max="3081" width="26.44140625" style="92" customWidth="1"/>
    <col min="3082" max="3326" width="9.21875" style="92"/>
    <col min="3327" max="3327" width="8.77734375" style="92" bestFit="1" customWidth="1"/>
    <col min="3328" max="3328" width="13.21875" style="92" customWidth="1"/>
    <col min="3329" max="3329" width="16.21875" style="92" bestFit="1" customWidth="1"/>
    <col min="3330" max="3330" width="23.5546875" style="92" customWidth="1"/>
    <col min="3331" max="3331" width="17.21875" style="92" customWidth="1"/>
    <col min="3332" max="3332" width="20.5546875" style="92" bestFit="1" customWidth="1"/>
    <col min="3333" max="3333" width="17.21875" style="92" customWidth="1"/>
    <col min="3334" max="3334" width="21.77734375" style="92" bestFit="1" customWidth="1"/>
    <col min="3335" max="3335" width="17.21875" style="92" bestFit="1" customWidth="1"/>
    <col min="3336" max="3336" width="18.21875" style="92" bestFit="1" customWidth="1"/>
    <col min="3337" max="3337" width="26.44140625" style="92" customWidth="1"/>
    <col min="3338" max="3582" width="9.21875" style="92"/>
    <col min="3583" max="3583" width="8.77734375" style="92" bestFit="1" customWidth="1"/>
    <col min="3584" max="3584" width="13.21875" style="92" customWidth="1"/>
    <col min="3585" max="3585" width="16.21875" style="92" bestFit="1" customWidth="1"/>
    <col min="3586" max="3586" width="23.5546875" style="92" customWidth="1"/>
    <col min="3587" max="3587" width="17.21875" style="92" customWidth="1"/>
    <col min="3588" max="3588" width="20.5546875" style="92" bestFit="1" customWidth="1"/>
    <col min="3589" max="3589" width="17.21875" style="92" customWidth="1"/>
    <col min="3590" max="3590" width="21.77734375" style="92" bestFit="1" customWidth="1"/>
    <col min="3591" max="3591" width="17.21875" style="92" bestFit="1" customWidth="1"/>
    <col min="3592" max="3592" width="18.21875" style="92" bestFit="1" customWidth="1"/>
    <col min="3593" max="3593" width="26.44140625" style="92" customWidth="1"/>
    <col min="3594" max="3838" width="9.21875" style="92"/>
    <col min="3839" max="3839" width="8.77734375" style="92" bestFit="1" customWidth="1"/>
    <col min="3840" max="3840" width="13.21875" style="92" customWidth="1"/>
    <col min="3841" max="3841" width="16.21875" style="92" bestFit="1" customWidth="1"/>
    <col min="3842" max="3842" width="23.5546875" style="92" customWidth="1"/>
    <col min="3843" max="3843" width="17.21875" style="92" customWidth="1"/>
    <col min="3844" max="3844" width="20.5546875" style="92" bestFit="1" customWidth="1"/>
    <col min="3845" max="3845" width="17.21875" style="92" customWidth="1"/>
    <col min="3846" max="3846" width="21.77734375" style="92" bestFit="1" customWidth="1"/>
    <col min="3847" max="3847" width="17.21875" style="92" bestFit="1" customWidth="1"/>
    <col min="3848" max="3848" width="18.21875" style="92" bestFit="1" customWidth="1"/>
    <col min="3849" max="3849" width="26.44140625" style="92" customWidth="1"/>
    <col min="3850" max="4094" width="9.21875" style="92"/>
    <col min="4095" max="4095" width="8.77734375" style="92" bestFit="1" customWidth="1"/>
    <col min="4096" max="4096" width="13.21875" style="92" customWidth="1"/>
    <col min="4097" max="4097" width="16.21875" style="92" bestFit="1" customWidth="1"/>
    <col min="4098" max="4098" width="23.5546875" style="92" customWidth="1"/>
    <col min="4099" max="4099" width="17.21875" style="92" customWidth="1"/>
    <col min="4100" max="4100" width="20.5546875" style="92" bestFit="1" customWidth="1"/>
    <col min="4101" max="4101" width="17.21875" style="92" customWidth="1"/>
    <col min="4102" max="4102" width="21.77734375" style="92" bestFit="1" customWidth="1"/>
    <col min="4103" max="4103" width="17.21875" style="92" bestFit="1" customWidth="1"/>
    <col min="4104" max="4104" width="18.21875" style="92" bestFit="1" customWidth="1"/>
    <col min="4105" max="4105" width="26.44140625" style="92" customWidth="1"/>
    <col min="4106" max="4350" width="9.21875" style="92"/>
    <col min="4351" max="4351" width="8.77734375" style="92" bestFit="1" customWidth="1"/>
    <col min="4352" max="4352" width="13.21875" style="92" customWidth="1"/>
    <col min="4353" max="4353" width="16.21875" style="92" bestFit="1" customWidth="1"/>
    <col min="4354" max="4354" width="23.5546875" style="92" customWidth="1"/>
    <col min="4355" max="4355" width="17.21875" style="92" customWidth="1"/>
    <col min="4356" max="4356" width="20.5546875" style="92" bestFit="1" customWidth="1"/>
    <col min="4357" max="4357" width="17.21875" style="92" customWidth="1"/>
    <col min="4358" max="4358" width="21.77734375" style="92" bestFit="1" customWidth="1"/>
    <col min="4359" max="4359" width="17.21875" style="92" bestFit="1" customWidth="1"/>
    <col min="4360" max="4360" width="18.21875" style="92" bestFit="1" customWidth="1"/>
    <col min="4361" max="4361" width="26.44140625" style="92" customWidth="1"/>
    <col min="4362" max="4606" width="9.21875" style="92"/>
    <col min="4607" max="4607" width="8.77734375" style="92" bestFit="1" customWidth="1"/>
    <col min="4608" max="4608" width="13.21875" style="92" customWidth="1"/>
    <col min="4609" max="4609" width="16.21875" style="92" bestFit="1" customWidth="1"/>
    <col min="4610" max="4610" width="23.5546875" style="92" customWidth="1"/>
    <col min="4611" max="4611" width="17.21875" style="92" customWidth="1"/>
    <col min="4612" max="4612" width="20.5546875" style="92" bestFit="1" customWidth="1"/>
    <col min="4613" max="4613" width="17.21875" style="92" customWidth="1"/>
    <col min="4614" max="4614" width="21.77734375" style="92" bestFit="1" customWidth="1"/>
    <col min="4615" max="4615" width="17.21875" style="92" bestFit="1" customWidth="1"/>
    <col min="4616" max="4616" width="18.21875" style="92" bestFit="1" customWidth="1"/>
    <col min="4617" max="4617" width="26.44140625" style="92" customWidth="1"/>
    <col min="4618" max="4862" width="9.21875" style="92"/>
    <col min="4863" max="4863" width="8.77734375" style="92" bestFit="1" customWidth="1"/>
    <col min="4864" max="4864" width="13.21875" style="92" customWidth="1"/>
    <col min="4865" max="4865" width="16.21875" style="92" bestFit="1" customWidth="1"/>
    <col min="4866" max="4866" width="23.5546875" style="92" customWidth="1"/>
    <col min="4867" max="4867" width="17.21875" style="92" customWidth="1"/>
    <col min="4868" max="4868" width="20.5546875" style="92" bestFit="1" customWidth="1"/>
    <col min="4869" max="4869" width="17.21875" style="92" customWidth="1"/>
    <col min="4870" max="4870" width="21.77734375" style="92" bestFit="1" customWidth="1"/>
    <col min="4871" max="4871" width="17.21875" style="92" bestFit="1" customWidth="1"/>
    <col min="4872" max="4872" width="18.21875" style="92" bestFit="1" customWidth="1"/>
    <col min="4873" max="4873" width="26.44140625" style="92" customWidth="1"/>
    <col min="4874" max="5118" width="9.21875" style="92"/>
    <col min="5119" max="5119" width="8.77734375" style="92" bestFit="1" customWidth="1"/>
    <col min="5120" max="5120" width="13.21875" style="92" customWidth="1"/>
    <col min="5121" max="5121" width="16.21875" style="92" bestFit="1" customWidth="1"/>
    <col min="5122" max="5122" width="23.5546875" style="92" customWidth="1"/>
    <col min="5123" max="5123" width="17.21875" style="92" customWidth="1"/>
    <col min="5124" max="5124" width="20.5546875" style="92" bestFit="1" customWidth="1"/>
    <col min="5125" max="5125" width="17.21875" style="92" customWidth="1"/>
    <col min="5126" max="5126" width="21.77734375" style="92" bestFit="1" customWidth="1"/>
    <col min="5127" max="5127" width="17.21875" style="92" bestFit="1" customWidth="1"/>
    <col min="5128" max="5128" width="18.21875" style="92" bestFit="1" customWidth="1"/>
    <col min="5129" max="5129" width="26.44140625" style="92" customWidth="1"/>
    <col min="5130" max="5374" width="9.21875" style="92"/>
    <col min="5375" max="5375" width="8.77734375" style="92" bestFit="1" customWidth="1"/>
    <col min="5376" max="5376" width="13.21875" style="92" customWidth="1"/>
    <col min="5377" max="5377" width="16.21875" style="92" bestFit="1" customWidth="1"/>
    <col min="5378" max="5378" width="23.5546875" style="92" customWidth="1"/>
    <col min="5379" max="5379" width="17.21875" style="92" customWidth="1"/>
    <col min="5380" max="5380" width="20.5546875" style="92" bestFit="1" customWidth="1"/>
    <col min="5381" max="5381" width="17.21875" style="92" customWidth="1"/>
    <col min="5382" max="5382" width="21.77734375" style="92" bestFit="1" customWidth="1"/>
    <col min="5383" max="5383" width="17.21875" style="92" bestFit="1" customWidth="1"/>
    <col min="5384" max="5384" width="18.21875" style="92" bestFit="1" customWidth="1"/>
    <col min="5385" max="5385" width="26.44140625" style="92" customWidth="1"/>
    <col min="5386" max="5630" width="9.21875" style="92"/>
    <col min="5631" max="5631" width="8.77734375" style="92" bestFit="1" customWidth="1"/>
    <col min="5632" max="5632" width="13.21875" style="92" customWidth="1"/>
    <col min="5633" max="5633" width="16.21875" style="92" bestFit="1" customWidth="1"/>
    <col min="5634" max="5634" width="23.5546875" style="92" customWidth="1"/>
    <col min="5635" max="5635" width="17.21875" style="92" customWidth="1"/>
    <col min="5636" max="5636" width="20.5546875" style="92" bestFit="1" customWidth="1"/>
    <col min="5637" max="5637" width="17.21875" style="92" customWidth="1"/>
    <col min="5638" max="5638" width="21.77734375" style="92" bestFit="1" customWidth="1"/>
    <col min="5639" max="5639" width="17.21875" style="92" bestFit="1" customWidth="1"/>
    <col min="5640" max="5640" width="18.21875" style="92" bestFit="1" customWidth="1"/>
    <col min="5641" max="5641" width="26.44140625" style="92" customWidth="1"/>
    <col min="5642" max="5886" width="9.21875" style="92"/>
    <col min="5887" max="5887" width="8.77734375" style="92" bestFit="1" customWidth="1"/>
    <col min="5888" max="5888" width="13.21875" style="92" customWidth="1"/>
    <col min="5889" max="5889" width="16.21875" style="92" bestFit="1" customWidth="1"/>
    <col min="5890" max="5890" width="23.5546875" style="92" customWidth="1"/>
    <col min="5891" max="5891" width="17.21875" style="92" customWidth="1"/>
    <col min="5892" max="5892" width="20.5546875" style="92" bestFit="1" customWidth="1"/>
    <col min="5893" max="5893" width="17.21875" style="92" customWidth="1"/>
    <col min="5894" max="5894" width="21.77734375" style="92" bestFit="1" customWidth="1"/>
    <col min="5895" max="5895" width="17.21875" style="92" bestFit="1" customWidth="1"/>
    <col min="5896" max="5896" width="18.21875" style="92" bestFit="1" customWidth="1"/>
    <col min="5897" max="5897" width="26.44140625" style="92" customWidth="1"/>
    <col min="5898" max="6142" width="9.21875" style="92"/>
    <col min="6143" max="6143" width="8.77734375" style="92" bestFit="1" customWidth="1"/>
    <col min="6144" max="6144" width="13.21875" style="92" customWidth="1"/>
    <col min="6145" max="6145" width="16.21875" style="92" bestFit="1" customWidth="1"/>
    <col min="6146" max="6146" width="23.5546875" style="92" customWidth="1"/>
    <col min="6147" max="6147" width="17.21875" style="92" customWidth="1"/>
    <col min="6148" max="6148" width="20.5546875" style="92" bestFit="1" customWidth="1"/>
    <col min="6149" max="6149" width="17.21875" style="92" customWidth="1"/>
    <col min="6150" max="6150" width="21.77734375" style="92" bestFit="1" customWidth="1"/>
    <col min="6151" max="6151" width="17.21875" style="92" bestFit="1" customWidth="1"/>
    <col min="6152" max="6152" width="18.21875" style="92" bestFit="1" customWidth="1"/>
    <col min="6153" max="6153" width="26.44140625" style="92" customWidth="1"/>
    <col min="6154" max="6398" width="9.21875" style="92"/>
    <col min="6399" max="6399" width="8.77734375" style="92" bestFit="1" customWidth="1"/>
    <col min="6400" max="6400" width="13.21875" style="92" customWidth="1"/>
    <col min="6401" max="6401" width="16.21875" style="92" bestFit="1" customWidth="1"/>
    <col min="6402" max="6402" width="23.5546875" style="92" customWidth="1"/>
    <col min="6403" max="6403" width="17.21875" style="92" customWidth="1"/>
    <col min="6404" max="6404" width="20.5546875" style="92" bestFit="1" customWidth="1"/>
    <col min="6405" max="6405" width="17.21875" style="92" customWidth="1"/>
    <col min="6406" max="6406" width="21.77734375" style="92" bestFit="1" customWidth="1"/>
    <col min="6407" max="6407" width="17.21875" style="92" bestFit="1" customWidth="1"/>
    <col min="6408" max="6408" width="18.21875" style="92" bestFit="1" customWidth="1"/>
    <col min="6409" max="6409" width="26.44140625" style="92" customWidth="1"/>
    <col min="6410" max="6654" width="9.21875" style="92"/>
    <col min="6655" max="6655" width="8.77734375" style="92" bestFit="1" customWidth="1"/>
    <col min="6656" max="6656" width="13.21875" style="92" customWidth="1"/>
    <col min="6657" max="6657" width="16.21875" style="92" bestFit="1" customWidth="1"/>
    <col min="6658" max="6658" width="23.5546875" style="92" customWidth="1"/>
    <col min="6659" max="6659" width="17.21875" style="92" customWidth="1"/>
    <col min="6660" max="6660" width="20.5546875" style="92" bestFit="1" customWidth="1"/>
    <col min="6661" max="6661" width="17.21875" style="92" customWidth="1"/>
    <col min="6662" max="6662" width="21.77734375" style="92" bestFit="1" customWidth="1"/>
    <col min="6663" max="6663" width="17.21875" style="92" bestFit="1" customWidth="1"/>
    <col min="6664" max="6664" width="18.21875" style="92" bestFit="1" customWidth="1"/>
    <col min="6665" max="6665" width="26.44140625" style="92" customWidth="1"/>
    <col min="6666" max="6910" width="9.21875" style="92"/>
    <col min="6911" max="6911" width="8.77734375" style="92" bestFit="1" customWidth="1"/>
    <col min="6912" max="6912" width="13.21875" style="92" customWidth="1"/>
    <col min="6913" max="6913" width="16.21875" style="92" bestFit="1" customWidth="1"/>
    <col min="6914" max="6914" width="23.5546875" style="92" customWidth="1"/>
    <col min="6915" max="6915" width="17.21875" style="92" customWidth="1"/>
    <col min="6916" max="6916" width="20.5546875" style="92" bestFit="1" customWidth="1"/>
    <col min="6917" max="6917" width="17.21875" style="92" customWidth="1"/>
    <col min="6918" max="6918" width="21.77734375" style="92" bestFit="1" customWidth="1"/>
    <col min="6919" max="6919" width="17.21875" style="92" bestFit="1" customWidth="1"/>
    <col min="6920" max="6920" width="18.21875" style="92" bestFit="1" customWidth="1"/>
    <col min="6921" max="6921" width="26.44140625" style="92" customWidth="1"/>
    <col min="6922" max="7166" width="9.21875" style="92"/>
    <col min="7167" max="7167" width="8.77734375" style="92" bestFit="1" customWidth="1"/>
    <col min="7168" max="7168" width="13.21875" style="92" customWidth="1"/>
    <col min="7169" max="7169" width="16.21875" style="92" bestFit="1" customWidth="1"/>
    <col min="7170" max="7170" width="23.5546875" style="92" customWidth="1"/>
    <col min="7171" max="7171" width="17.21875" style="92" customWidth="1"/>
    <col min="7172" max="7172" width="20.5546875" style="92" bestFit="1" customWidth="1"/>
    <col min="7173" max="7173" width="17.21875" style="92" customWidth="1"/>
    <col min="7174" max="7174" width="21.77734375" style="92" bestFit="1" customWidth="1"/>
    <col min="7175" max="7175" width="17.21875" style="92" bestFit="1" customWidth="1"/>
    <col min="7176" max="7176" width="18.21875" style="92" bestFit="1" customWidth="1"/>
    <col min="7177" max="7177" width="26.44140625" style="92" customWidth="1"/>
    <col min="7178" max="7422" width="9.21875" style="92"/>
    <col min="7423" max="7423" width="8.77734375" style="92" bestFit="1" customWidth="1"/>
    <col min="7424" max="7424" width="13.21875" style="92" customWidth="1"/>
    <col min="7425" max="7425" width="16.21875" style="92" bestFit="1" customWidth="1"/>
    <col min="7426" max="7426" width="23.5546875" style="92" customWidth="1"/>
    <col min="7427" max="7427" width="17.21875" style="92" customWidth="1"/>
    <col min="7428" max="7428" width="20.5546875" style="92" bestFit="1" customWidth="1"/>
    <col min="7429" max="7429" width="17.21875" style="92" customWidth="1"/>
    <col min="7430" max="7430" width="21.77734375" style="92" bestFit="1" customWidth="1"/>
    <col min="7431" max="7431" width="17.21875" style="92" bestFit="1" customWidth="1"/>
    <col min="7432" max="7432" width="18.21875" style="92" bestFit="1" customWidth="1"/>
    <col min="7433" max="7433" width="26.44140625" style="92" customWidth="1"/>
    <col min="7434" max="7678" width="9.21875" style="92"/>
    <col min="7679" max="7679" width="8.77734375" style="92" bestFit="1" customWidth="1"/>
    <col min="7680" max="7680" width="13.21875" style="92" customWidth="1"/>
    <col min="7681" max="7681" width="16.21875" style="92" bestFit="1" customWidth="1"/>
    <col min="7682" max="7682" width="23.5546875" style="92" customWidth="1"/>
    <col min="7683" max="7683" width="17.21875" style="92" customWidth="1"/>
    <col min="7684" max="7684" width="20.5546875" style="92" bestFit="1" customWidth="1"/>
    <col min="7685" max="7685" width="17.21875" style="92" customWidth="1"/>
    <col min="7686" max="7686" width="21.77734375" style="92" bestFit="1" customWidth="1"/>
    <col min="7687" max="7687" width="17.21875" style="92" bestFit="1" customWidth="1"/>
    <col min="7688" max="7688" width="18.21875" style="92" bestFit="1" customWidth="1"/>
    <col min="7689" max="7689" width="26.44140625" style="92" customWidth="1"/>
    <col min="7690" max="7934" width="9.21875" style="92"/>
    <col min="7935" max="7935" width="8.77734375" style="92" bestFit="1" customWidth="1"/>
    <col min="7936" max="7936" width="13.21875" style="92" customWidth="1"/>
    <col min="7937" max="7937" width="16.21875" style="92" bestFit="1" customWidth="1"/>
    <col min="7938" max="7938" width="23.5546875" style="92" customWidth="1"/>
    <col min="7939" max="7939" width="17.21875" style="92" customWidth="1"/>
    <col min="7940" max="7940" width="20.5546875" style="92" bestFit="1" customWidth="1"/>
    <col min="7941" max="7941" width="17.21875" style="92" customWidth="1"/>
    <col min="7942" max="7942" width="21.77734375" style="92" bestFit="1" customWidth="1"/>
    <col min="7943" max="7943" width="17.21875" style="92" bestFit="1" customWidth="1"/>
    <col min="7944" max="7944" width="18.21875" style="92" bestFit="1" customWidth="1"/>
    <col min="7945" max="7945" width="26.44140625" style="92" customWidth="1"/>
    <col min="7946" max="8190" width="9.21875" style="92"/>
    <col min="8191" max="8191" width="8.77734375" style="92" bestFit="1" customWidth="1"/>
    <col min="8192" max="8192" width="13.21875" style="92" customWidth="1"/>
    <col min="8193" max="8193" width="16.21875" style="92" bestFit="1" customWidth="1"/>
    <col min="8194" max="8194" width="23.5546875" style="92" customWidth="1"/>
    <col min="8195" max="8195" width="17.21875" style="92" customWidth="1"/>
    <col min="8196" max="8196" width="20.5546875" style="92" bestFit="1" customWidth="1"/>
    <col min="8197" max="8197" width="17.21875" style="92" customWidth="1"/>
    <col min="8198" max="8198" width="21.77734375" style="92" bestFit="1" customWidth="1"/>
    <col min="8199" max="8199" width="17.21875" style="92" bestFit="1" customWidth="1"/>
    <col min="8200" max="8200" width="18.21875" style="92" bestFit="1" customWidth="1"/>
    <col min="8201" max="8201" width="26.44140625" style="92" customWidth="1"/>
    <col min="8202" max="8446" width="9.21875" style="92"/>
    <col min="8447" max="8447" width="8.77734375" style="92" bestFit="1" customWidth="1"/>
    <col min="8448" max="8448" width="13.21875" style="92" customWidth="1"/>
    <col min="8449" max="8449" width="16.21875" style="92" bestFit="1" customWidth="1"/>
    <col min="8450" max="8450" width="23.5546875" style="92" customWidth="1"/>
    <col min="8451" max="8451" width="17.21875" style="92" customWidth="1"/>
    <col min="8452" max="8452" width="20.5546875" style="92" bestFit="1" customWidth="1"/>
    <col min="8453" max="8453" width="17.21875" style="92" customWidth="1"/>
    <col min="8454" max="8454" width="21.77734375" style="92" bestFit="1" customWidth="1"/>
    <col min="8455" max="8455" width="17.21875" style="92" bestFit="1" customWidth="1"/>
    <col min="8456" max="8456" width="18.21875" style="92" bestFit="1" customWidth="1"/>
    <col min="8457" max="8457" width="26.44140625" style="92" customWidth="1"/>
    <col min="8458" max="8702" width="9.21875" style="92"/>
    <col min="8703" max="8703" width="8.77734375" style="92" bestFit="1" customWidth="1"/>
    <col min="8704" max="8704" width="13.21875" style="92" customWidth="1"/>
    <col min="8705" max="8705" width="16.21875" style="92" bestFit="1" customWidth="1"/>
    <col min="8706" max="8706" width="23.5546875" style="92" customWidth="1"/>
    <col min="8707" max="8707" width="17.21875" style="92" customWidth="1"/>
    <col min="8708" max="8708" width="20.5546875" style="92" bestFit="1" customWidth="1"/>
    <col min="8709" max="8709" width="17.21875" style="92" customWidth="1"/>
    <col min="8710" max="8710" width="21.77734375" style="92" bestFit="1" customWidth="1"/>
    <col min="8711" max="8711" width="17.21875" style="92" bestFit="1" customWidth="1"/>
    <col min="8712" max="8712" width="18.21875" style="92" bestFit="1" customWidth="1"/>
    <col min="8713" max="8713" width="26.44140625" style="92" customWidth="1"/>
    <col min="8714" max="8958" width="9.21875" style="92"/>
    <col min="8959" max="8959" width="8.77734375" style="92" bestFit="1" customWidth="1"/>
    <col min="8960" max="8960" width="13.21875" style="92" customWidth="1"/>
    <col min="8961" max="8961" width="16.21875" style="92" bestFit="1" customWidth="1"/>
    <col min="8962" max="8962" width="23.5546875" style="92" customWidth="1"/>
    <col min="8963" max="8963" width="17.21875" style="92" customWidth="1"/>
    <col min="8964" max="8964" width="20.5546875" style="92" bestFit="1" customWidth="1"/>
    <col min="8965" max="8965" width="17.21875" style="92" customWidth="1"/>
    <col min="8966" max="8966" width="21.77734375" style="92" bestFit="1" customWidth="1"/>
    <col min="8967" max="8967" width="17.21875" style="92" bestFit="1" customWidth="1"/>
    <col min="8968" max="8968" width="18.21875" style="92" bestFit="1" customWidth="1"/>
    <col min="8969" max="8969" width="26.44140625" style="92" customWidth="1"/>
    <col min="8970" max="9214" width="9.21875" style="92"/>
    <col min="9215" max="9215" width="8.77734375" style="92" bestFit="1" customWidth="1"/>
    <col min="9216" max="9216" width="13.21875" style="92" customWidth="1"/>
    <col min="9217" max="9217" width="16.21875" style="92" bestFit="1" customWidth="1"/>
    <col min="9218" max="9218" width="23.5546875" style="92" customWidth="1"/>
    <col min="9219" max="9219" width="17.21875" style="92" customWidth="1"/>
    <col min="9220" max="9220" width="20.5546875" style="92" bestFit="1" customWidth="1"/>
    <col min="9221" max="9221" width="17.21875" style="92" customWidth="1"/>
    <col min="9222" max="9222" width="21.77734375" style="92" bestFit="1" customWidth="1"/>
    <col min="9223" max="9223" width="17.21875" style="92" bestFit="1" customWidth="1"/>
    <col min="9224" max="9224" width="18.21875" style="92" bestFit="1" customWidth="1"/>
    <col min="9225" max="9225" width="26.44140625" style="92" customWidth="1"/>
    <col min="9226" max="9470" width="9.21875" style="92"/>
    <col min="9471" max="9471" width="8.77734375" style="92" bestFit="1" customWidth="1"/>
    <col min="9472" max="9472" width="13.21875" style="92" customWidth="1"/>
    <col min="9473" max="9473" width="16.21875" style="92" bestFit="1" customWidth="1"/>
    <col min="9474" max="9474" width="23.5546875" style="92" customWidth="1"/>
    <col min="9475" max="9475" width="17.21875" style="92" customWidth="1"/>
    <col min="9476" max="9476" width="20.5546875" style="92" bestFit="1" customWidth="1"/>
    <col min="9477" max="9477" width="17.21875" style="92" customWidth="1"/>
    <col min="9478" max="9478" width="21.77734375" style="92" bestFit="1" customWidth="1"/>
    <col min="9479" max="9479" width="17.21875" style="92" bestFit="1" customWidth="1"/>
    <col min="9480" max="9480" width="18.21875" style="92" bestFit="1" customWidth="1"/>
    <col min="9481" max="9481" width="26.44140625" style="92" customWidth="1"/>
    <col min="9482" max="9726" width="9.21875" style="92"/>
    <col min="9727" max="9727" width="8.77734375" style="92" bestFit="1" customWidth="1"/>
    <col min="9728" max="9728" width="13.21875" style="92" customWidth="1"/>
    <col min="9729" max="9729" width="16.21875" style="92" bestFit="1" customWidth="1"/>
    <col min="9730" max="9730" width="23.5546875" style="92" customWidth="1"/>
    <col min="9731" max="9731" width="17.21875" style="92" customWidth="1"/>
    <col min="9732" max="9732" width="20.5546875" style="92" bestFit="1" customWidth="1"/>
    <col min="9733" max="9733" width="17.21875" style="92" customWidth="1"/>
    <col min="9734" max="9734" width="21.77734375" style="92" bestFit="1" customWidth="1"/>
    <col min="9735" max="9735" width="17.21875" style="92" bestFit="1" customWidth="1"/>
    <col min="9736" max="9736" width="18.21875" style="92" bestFit="1" customWidth="1"/>
    <col min="9737" max="9737" width="26.44140625" style="92" customWidth="1"/>
    <col min="9738" max="9982" width="9.21875" style="92"/>
    <col min="9983" max="9983" width="8.77734375" style="92" bestFit="1" customWidth="1"/>
    <col min="9984" max="9984" width="13.21875" style="92" customWidth="1"/>
    <col min="9985" max="9985" width="16.21875" style="92" bestFit="1" customWidth="1"/>
    <col min="9986" max="9986" width="23.5546875" style="92" customWidth="1"/>
    <col min="9987" max="9987" width="17.21875" style="92" customWidth="1"/>
    <col min="9988" max="9988" width="20.5546875" style="92" bestFit="1" customWidth="1"/>
    <col min="9989" max="9989" width="17.21875" style="92" customWidth="1"/>
    <col min="9990" max="9990" width="21.77734375" style="92" bestFit="1" customWidth="1"/>
    <col min="9991" max="9991" width="17.21875" style="92" bestFit="1" customWidth="1"/>
    <col min="9992" max="9992" width="18.21875" style="92" bestFit="1" customWidth="1"/>
    <col min="9993" max="9993" width="26.44140625" style="92" customWidth="1"/>
    <col min="9994" max="10238" width="9.21875" style="92"/>
    <col min="10239" max="10239" width="8.77734375" style="92" bestFit="1" customWidth="1"/>
    <col min="10240" max="10240" width="13.21875" style="92" customWidth="1"/>
    <col min="10241" max="10241" width="16.21875" style="92" bestFit="1" customWidth="1"/>
    <col min="10242" max="10242" width="23.5546875" style="92" customWidth="1"/>
    <col min="10243" max="10243" width="17.21875" style="92" customWidth="1"/>
    <col min="10244" max="10244" width="20.5546875" style="92" bestFit="1" customWidth="1"/>
    <col min="10245" max="10245" width="17.21875" style="92" customWidth="1"/>
    <col min="10246" max="10246" width="21.77734375" style="92" bestFit="1" customWidth="1"/>
    <col min="10247" max="10247" width="17.21875" style="92" bestFit="1" customWidth="1"/>
    <col min="10248" max="10248" width="18.21875" style="92" bestFit="1" customWidth="1"/>
    <col min="10249" max="10249" width="26.44140625" style="92" customWidth="1"/>
    <col min="10250" max="10494" width="9.21875" style="92"/>
    <col min="10495" max="10495" width="8.77734375" style="92" bestFit="1" customWidth="1"/>
    <col min="10496" max="10496" width="13.21875" style="92" customWidth="1"/>
    <col min="10497" max="10497" width="16.21875" style="92" bestFit="1" customWidth="1"/>
    <col min="10498" max="10498" width="23.5546875" style="92" customWidth="1"/>
    <col min="10499" max="10499" width="17.21875" style="92" customWidth="1"/>
    <col min="10500" max="10500" width="20.5546875" style="92" bestFit="1" customWidth="1"/>
    <col min="10501" max="10501" width="17.21875" style="92" customWidth="1"/>
    <col min="10502" max="10502" width="21.77734375" style="92" bestFit="1" customWidth="1"/>
    <col min="10503" max="10503" width="17.21875" style="92" bestFit="1" customWidth="1"/>
    <col min="10504" max="10504" width="18.21875" style="92" bestFit="1" customWidth="1"/>
    <col min="10505" max="10505" width="26.44140625" style="92" customWidth="1"/>
    <col min="10506" max="10750" width="9.21875" style="92"/>
    <col min="10751" max="10751" width="8.77734375" style="92" bestFit="1" customWidth="1"/>
    <col min="10752" max="10752" width="13.21875" style="92" customWidth="1"/>
    <col min="10753" max="10753" width="16.21875" style="92" bestFit="1" customWidth="1"/>
    <col min="10754" max="10754" width="23.5546875" style="92" customWidth="1"/>
    <col min="10755" max="10755" width="17.21875" style="92" customWidth="1"/>
    <col min="10756" max="10756" width="20.5546875" style="92" bestFit="1" customWidth="1"/>
    <col min="10757" max="10757" width="17.21875" style="92" customWidth="1"/>
    <col min="10758" max="10758" width="21.77734375" style="92" bestFit="1" customWidth="1"/>
    <col min="10759" max="10759" width="17.21875" style="92" bestFit="1" customWidth="1"/>
    <col min="10760" max="10760" width="18.21875" style="92" bestFit="1" customWidth="1"/>
    <col min="10761" max="10761" width="26.44140625" style="92" customWidth="1"/>
    <col min="10762" max="11006" width="9.21875" style="92"/>
    <col min="11007" max="11007" width="8.77734375" style="92" bestFit="1" customWidth="1"/>
    <col min="11008" max="11008" width="13.21875" style="92" customWidth="1"/>
    <col min="11009" max="11009" width="16.21875" style="92" bestFit="1" customWidth="1"/>
    <col min="11010" max="11010" width="23.5546875" style="92" customWidth="1"/>
    <col min="11011" max="11011" width="17.21875" style="92" customWidth="1"/>
    <col min="11012" max="11012" width="20.5546875" style="92" bestFit="1" customWidth="1"/>
    <col min="11013" max="11013" width="17.21875" style="92" customWidth="1"/>
    <col min="11014" max="11014" width="21.77734375" style="92" bestFit="1" customWidth="1"/>
    <col min="11015" max="11015" width="17.21875" style="92" bestFit="1" customWidth="1"/>
    <col min="11016" max="11016" width="18.21875" style="92" bestFit="1" customWidth="1"/>
    <col min="11017" max="11017" width="26.44140625" style="92" customWidth="1"/>
    <col min="11018" max="11262" width="9.21875" style="92"/>
    <col min="11263" max="11263" width="8.77734375" style="92" bestFit="1" customWidth="1"/>
    <col min="11264" max="11264" width="13.21875" style="92" customWidth="1"/>
    <col min="11265" max="11265" width="16.21875" style="92" bestFit="1" customWidth="1"/>
    <col min="11266" max="11266" width="23.5546875" style="92" customWidth="1"/>
    <col min="11267" max="11267" width="17.21875" style="92" customWidth="1"/>
    <col min="11268" max="11268" width="20.5546875" style="92" bestFit="1" customWidth="1"/>
    <col min="11269" max="11269" width="17.21875" style="92" customWidth="1"/>
    <col min="11270" max="11270" width="21.77734375" style="92" bestFit="1" customWidth="1"/>
    <col min="11271" max="11271" width="17.21875" style="92" bestFit="1" customWidth="1"/>
    <col min="11272" max="11272" width="18.21875" style="92" bestFit="1" customWidth="1"/>
    <col min="11273" max="11273" width="26.44140625" style="92" customWidth="1"/>
    <col min="11274" max="11518" width="9.21875" style="92"/>
    <col min="11519" max="11519" width="8.77734375" style="92" bestFit="1" customWidth="1"/>
    <col min="11520" max="11520" width="13.21875" style="92" customWidth="1"/>
    <col min="11521" max="11521" width="16.21875" style="92" bestFit="1" customWidth="1"/>
    <col min="11522" max="11522" width="23.5546875" style="92" customWidth="1"/>
    <col min="11523" max="11523" width="17.21875" style="92" customWidth="1"/>
    <col min="11524" max="11524" width="20.5546875" style="92" bestFit="1" customWidth="1"/>
    <col min="11525" max="11525" width="17.21875" style="92" customWidth="1"/>
    <col min="11526" max="11526" width="21.77734375" style="92" bestFit="1" customWidth="1"/>
    <col min="11527" max="11527" width="17.21875" style="92" bestFit="1" customWidth="1"/>
    <col min="11528" max="11528" width="18.21875" style="92" bestFit="1" customWidth="1"/>
    <col min="11529" max="11529" width="26.44140625" style="92" customWidth="1"/>
    <col min="11530" max="11774" width="9.21875" style="92"/>
    <col min="11775" max="11775" width="8.77734375" style="92" bestFit="1" customWidth="1"/>
    <col min="11776" max="11776" width="13.21875" style="92" customWidth="1"/>
    <col min="11777" max="11777" width="16.21875" style="92" bestFit="1" customWidth="1"/>
    <col min="11778" max="11778" width="23.5546875" style="92" customWidth="1"/>
    <col min="11779" max="11779" width="17.21875" style="92" customWidth="1"/>
    <col min="11780" max="11780" width="20.5546875" style="92" bestFit="1" customWidth="1"/>
    <col min="11781" max="11781" width="17.21875" style="92" customWidth="1"/>
    <col min="11782" max="11782" width="21.77734375" style="92" bestFit="1" customWidth="1"/>
    <col min="11783" max="11783" width="17.21875" style="92" bestFit="1" customWidth="1"/>
    <col min="11784" max="11784" width="18.21875" style="92" bestFit="1" customWidth="1"/>
    <col min="11785" max="11785" width="26.44140625" style="92" customWidth="1"/>
    <col min="11786" max="12030" width="9.21875" style="92"/>
    <col min="12031" max="12031" width="8.77734375" style="92" bestFit="1" customWidth="1"/>
    <col min="12032" max="12032" width="13.21875" style="92" customWidth="1"/>
    <col min="12033" max="12033" width="16.21875" style="92" bestFit="1" customWidth="1"/>
    <col min="12034" max="12034" width="23.5546875" style="92" customWidth="1"/>
    <col min="12035" max="12035" width="17.21875" style="92" customWidth="1"/>
    <col min="12036" max="12036" width="20.5546875" style="92" bestFit="1" customWidth="1"/>
    <col min="12037" max="12037" width="17.21875" style="92" customWidth="1"/>
    <col min="12038" max="12038" width="21.77734375" style="92" bestFit="1" customWidth="1"/>
    <col min="12039" max="12039" width="17.21875" style="92" bestFit="1" customWidth="1"/>
    <col min="12040" max="12040" width="18.21875" style="92" bestFit="1" customWidth="1"/>
    <col min="12041" max="12041" width="26.44140625" style="92" customWidth="1"/>
    <col min="12042" max="12286" width="9.21875" style="92"/>
    <col min="12287" max="12287" width="8.77734375" style="92" bestFit="1" customWidth="1"/>
    <col min="12288" max="12288" width="13.21875" style="92" customWidth="1"/>
    <col min="12289" max="12289" width="16.21875" style="92" bestFit="1" customWidth="1"/>
    <col min="12290" max="12290" width="23.5546875" style="92" customWidth="1"/>
    <col min="12291" max="12291" width="17.21875" style="92" customWidth="1"/>
    <col min="12292" max="12292" width="20.5546875" style="92" bestFit="1" customWidth="1"/>
    <col min="12293" max="12293" width="17.21875" style="92" customWidth="1"/>
    <col min="12294" max="12294" width="21.77734375" style="92" bestFit="1" customWidth="1"/>
    <col min="12295" max="12295" width="17.21875" style="92" bestFit="1" customWidth="1"/>
    <col min="12296" max="12296" width="18.21875" style="92" bestFit="1" customWidth="1"/>
    <col min="12297" max="12297" width="26.44140625" style="92" customWidth="1"/>
    <col min="12298" max="12542" width="9.21875" style="92"/>
    <col min="12543" max="12543" width="8.77734375" style="92" bestFit="1" customWidth="1"/>
    <col min="12544" max="12544" width="13.21875" style="92" customWidth="1"/>
    <col min="12545" max="12545" width="16.21875" style="92" bestFit="1" customWidth="1"/>
    <col min="12546" max="12546" width="23.5546875" style="92" customWidth="1"/>
    <col min="12547" max="12547" width="17.21875" style="92" customWidth="1"/>
    <col min="12548" max="12548" width="20.5546875" style="92" bestFit="1" customWidth="1"/>
    <col min="12549" max="12549" width="17.21875" style="92" customWidth="1"/>
    <col min="12550" max="12550" width="21.77734375" style="92" bestFit="1" customWidth="1"/>
    <col min="12551" max="12551" width="17.21875" style="92" bestFit="1" customWidth="1"/>
    <col min="12552" max="12552" width="18.21875" style="92" bestFit="1" customWidth="1"/>
    <col min="12553" max="12553" width="26.44140625" style="92" customWidth="1"/>
    <col min="12554" max="12798" width="9.21875" style="92"/>
    <col min="12799" max="12799" width="8.77734375" style="92" bestFit="1" customWidth="1"/>
    <col min="12800" max="12800" width="13.21875" style="92" customWidth="1"/>
    <col min="12801" max="12801" width="16.21875" style="92" bestFit="1" customWidth="1"/>
    <col min="12802" max="12802" width="23.5546875" style="92" customWidth="1"/>
    <col min="12803" max="12803" width="17.21875" style="92" customWidth="1"/>
    <col min="12804" max="12804" width="20.5546875" style="92" bestFit="1" customWidth="1"/>
    <col min="12805" max="12805" width="17.21875" style="92" customWidth="1"/>
    <col min="12806" max="12806" width="21.77734375" style="92" bestFit="1" customWidth="1"/>
    <col min="12807" max="12807" width="17.21875" style="92" bestFit="1" customWidth="1"/>
    <col min="12808" max="12808" width="18.21875" style="92" bestFit="1" customWidth="1"/>
    <col min="12809" max="12809" width="26.44140625" style="92" customWidth="1"/>
    <col min="12810" max="13054" width="9.21875" style="92"/>
    <col min="13055" max="13055" width="8.77734375" style="92" bestFit="1" customWidth="1"/>
    <col min="13056" max="13056" width="13.21875" style="92" customWidth="1"/>
    <col min="13057" max="13057" width="16.21875" style="92" bestFit="1" customWidth="1"/>
    <col min="13058" max="13058" width="23.5546875" style="92" customWidth="1"/>
    <col min="13059" max="13059" width="17.21875" style="92" customWidth="1"/>
    <col min="13060" max="13060" width="20.5546875" style="92" bestFit="1" customWidth="1"/>
    <col min="13061" max="13061" width="17.21875" style="92" customWidth="1"/>
    <col min="13062" max="13062" width="21.77734375" style="92" bestFit="1" customWidth="1"/>
    <col min="13063" max="13063" width="17.21875" style="92" bestFit="1" customWidth="1"/>
    <col min="13064" max="13064" width="18.21875" style="92" bestFit="1" customWidth="1"/>
    <col min="13065" max="13065" width="26.44140625" style="92" customWidth="1"/>
    <col min="13066" max="13310" width="9.21875" style="92"/>
    <col min="13311" max="13311" width="8.77734375" style="92" bestFit="1" customWidth="1"/>
    <col min="13312" max="13312" width="13.21875" style="92" customWidth="1"/>
    <col min="13313" max="13313" width="16.21875" style="92" bestFit="1" customWidth="1"/>
    <col min="13314" max="13314" width="23.5546875" style="92" customWidth="1"/>
    <col min="13315" max="13315" width="17.21875" style="92" customWidth="1"/>
    <col min="13316" max="13316" width="20.5546875" style="92" bestFit="1" customWidth="1"/>
    <col min="13317" max="13317" width="17.21875" style="92" customWidth="1"/>
    <col min="13318" max="13318" width="21.77734375" style="92" bestFit="1" customWidth="1"/>
    <col min="13319" max="13319" width="17.21875" style="92" bestFit="1" customWidth="1"/>
    <col min="13320" max="13320" width="18.21875" style="92" bestFit="1" customWidth="1"/>
    <col min="13321" max="13321" width="26.44140625" style="92" customWidth="1"/>
    <col min="13322" max="13566" width="9.21875" style="92"/>
    <col min="13567" max="13567" width="8.77734375" style="92" bestFit="1" customWidth="1"/>
    <col min="13568" max="13568" width="13.21875" style="92" customWidth="1"/>
    <col min="13569" max="13569" width="16.21875" style="92" bestFit="1" customWidth="1"/>
    <col min="13570" max="13570" width="23.5546875" style="92" customWidth="1"/>
    <col min="13571" max="13571" width="17.21875" style="92" customWidth="1"/>
    <col min="13572" max="13572" width="20.5546875" style="92" bestFit="1" customWidth="1"/>
    <col min="13573" max="13573" width="17.21875" style="92" customWidth="1"/>
    <col min="13574" max="13574" width="21.77734375" style="92" bestFit="1" customWidth="1"/>
    <col min="13575" max="13575" width="17.21875" style="92" bestFit="1" customWidth="1"/>
    <col min="13576" max="13576" width="18.21875" style="92" bestFit="1" customWidth="1"/>
    <col min="13577" max="13577" width="26.44140625" style="92" customWidth="1"/>
    <col min="13578" max="13822" width="9.21875" style="92"/>
    <col min="13823" max="13823" width="8.77734375" style="92" bestFit="1" customWidth="1"/>
    <col min="13824" max="13824" width="13.21875" style="92" customWidth="1"/>
    <col min="13825" max="13825" width="16.21875" style="92" bestFit="1" customWidth="1"/>
    <col min="13826" max="13826" width="23.5546875" style="92" customWidth="1"/>
    <col min="13827" max="13827" width="17.21875" style="92" customWidth="1"/>
    <col min="13828" max="13828" width="20.5546875" style="92" bestFit="1" customWidth="1"/>
    <col min="13829" max="13829" width="17.21875" style="92" customWidth="1"/>
    <col min="13830" max="13830" width="21.77734375" style="92" bestFit="1" customWidth="1"/>
    <col min="13831" max="13831" width="17.21875" style="92" bestFit="1" customWidth="1"/>
    <col min="13832" max="13832" width="18.21875" style="92" bestFit="1" customWidth="1"/>
    <col min="13833" max="13833" width="26.44140625" style="92" customWidth="1"/>
    <col min="13834" max="14078" width="9.21875" style="92"/>
    <col min="14079" max="14079" width="8.77734375" style="92" bestFit="1" customWidth="1"/>
    <col min="14080" max="14080" width="13.21875" style="92" customWidth="1"/>
    <col min="14081" max="14081" width="16.21875" style="92" bestFit="1" customWidth="1"/>
    <col min="14082" max="14082" width="23.5546875" style="92" customWidth="1"/>
    <col min="14083" max="14083" width="17.21875" style="92" customWidth="1"/>
    <col min="14084" max="14084" width="20.5546875" style="92" bestFit="1" customWidth="1"/>
    <col min="14085" max="14085" width="17.21875" style="92" customWidth="1"/>
    <col min="14086" max="14086" width="21.77734375" style="92" bestFit="1" customWidth="1"/>
    <col min="14087" max="14087" width="17.21875" style="92" bestFit="1" customWidth="1"/>
    <col min="14088" max="14088" width="18.21875" style="92" bestFit="1" customWidth="1"/>
    <col min="14089" max="14089" width="26.44140625" style="92" customWidth="1"/>
    <col min="14090" max="14334" width="9.21875" style="92"/>
    <col min="14335" max="14335" width="8.77734375" style="92" bestFit="1" customWidth="1"/>
    <col min="14336" max="14336" width="13.21875" style="92" customWidth="1"/>
    <col min="14337" max="14337" width="16.21875" style="92" bestFit="1" customWidth="1"/>
    <col min="14338" max="14338" width="23.5546875" style="92" customWidth="1"/>
    <col min="14339" max="14339" width="17.21875" style="92" customWidth="1"/>
    <col min="14340" max="14340" width="20.5546875" style="92" bestFit="1" customWidth="1"/>
    <col min="14341" max="14341" width="17.21875" style="92" customWidth="1"/>
    <col min="14342" max="14342" width="21.77734375" style="92" bestFit="1" customWidth="1"/>
    <col min="14343" max="14343" width="17.21875" style="92" bestFit="1" customWidth="1"/>
    <col min="14344" max="14344" width="18.21875" style="92" bestFit="1" customWidth="1"/>
    <col min="14345" max="14345" width="26.44140625" style="92" customWidth="1"/>
    <col min="14346" max="14590" width="9.21875" style="92"/>
    <col min="14591" max="14591" width="8.77734375" style="92" bestFit="1" customWidth="1"/>
    <col min="14592" max="14592" width="13.21875" style="92" customWidth="1"/>
    <col min="14593" max="14593" width="16.21875" style="92" bestFit="1" customWidth="1"/>
    <col min="14594" max="14594" width="23.5546875" style="92" customWidth="1"/>
    <col min="14595" max="14595" width="17.21875" style="92" customWidth="1"/>
    <col min="14596" max="14596" width="20.5546875" style="92" bestFit="1" customWidth="1"/>
    <col min="14597" max="14597" width="17.21875" style="92" customWidth="1"/>
    <col min="14598" max="14598" width="21.77734375" style="92" bestFit="1" customWidth="1"/>
    <col min="14599" max="14599" width="17.21875" style="92" bestFit="1" customWidth="1"/>
    <col min="14600" max="14600" width="18.21875" style="92" bestFit="1" customWidth="1"/>
    <col min="14601" max="14601" width="26.44140625" style="92" customWidth="1"/>
    <col min="14602" max="14846" width="9.21875" style="92"/>
    <col min="14847" max="14847" width="8.77734375" style="92" bestFit="1" customWidth="1"/>
    <col min="14848" max="14848" width="13.21875" style="92" customWidth="1"/>
    <col min="14849" max="14849" width="16.21875" style="92" bestFit="1" customWidth="1"/>
    <col min="14850" max="14850" width="23.5546875" style="92" customWidth="1"/>
    <col min="14851" max="14851" width="17.21875" style="92" customWidth="1"/>
    <col min="14852" max="14852" width="20.5546875" style="92" bestFit="1" customWidth="1"/>
    <col min="14853" max="14853" width="17.21875" style="92" customWidth="1"/>
    <col min="14854" max="14854" width="21.77734375" style="92" bestFit="1" customWidth="1"/>
    <col min="14855" max="14855" width="17.21875" style="92" bestFit="1" customWidth="1"/>
    <col min="14856" max="14856" width="18.21875" style="92" bestFit="1" customWidth="1"/>
    <col min="14857" max="14857" width="26.44140625" style="92" customWidth="1"/>
    <col min="14858" max="15102" width="9.21875" style="92"/>
    <col min="15103" max="15103" width="8.77734375" style="92" bestFit="1" customWidth="1"/>
    <col min="15104" max="15104" width="13.21875" style="92" customWidth="1"/>
    <col min="15105" max="15105" width="16.21875" style="92" bestFit="1" customWidth="1"/>
    <col min="15106" max="15106" width="23.5546875" style="92" customWidth="1"/>
    <col min="15107" max="15107" width="17.21875" style="92" customWidth="1"/>
    <col min="15108" max="15108" width="20.5546875" style="92" bestFit="1" customWidth="1"/>
    <col min="15109" max="15109" width="17.21875" style="92" customWidth="1"/>
    <col min="15110" max="15110" width="21.77734375" style="92" bestFit="1" customWidth="1"/>
    <col min="15111" max="15111" width="17.21875" style="92" bestFit="1" customWidth="1"/>
    <col min="15112" max="15112" width="18.21875" style="92" bestFit="1" customWidth="1"/>
    <col min="15113" max="15113" width="26.44140625" style="92" customWidth="1"/>
    <col min="15114" max="15358" width="9.21875" style="92"/>
    <col min="15359" max="15359" width="8.77734375" style="92" bestFit="1" customWidth="1"/>
    <col min="15360" max="15360" width="13.21875" style="92" customWidth="1"/>
    <col min="15361" max="15361" width="16.21875" style="92" bestFit="1" customWidth="1"/>
    <col min="15362" max="15362" width="23.5546875" style="92" customWidth="1"/>
    <col min="15363" max="15363" width="17.21875" style="92" customWidth="1"/>
    <col min="15364" max="15364" width="20.5546875" style="92" bestFit="1" customWidth="1"/>
    <col min="15365" max="15365" width="17.21875" style="92" customWidth="1"/>
    <col min="15366" max="15366" width="21.77734375" style="92" bestFit="1" customWidth="1"/>
    <col min="15367" max="15367" width="17.21875" style="92" bestFit="1" customWidth="1"/>
    <col min="15368" max="15368" width="18.21875" style="92" bestFit="1" customWidth="1"/>
    <col min="15369" max="15369" width="26.44140625" style="92" customWidth="1"/>
    <col min="15370" max="15614" width="9.21875" style="92"/>
    <col min="15615" max="15615" width="8.77734375" style="92" bestFit="1" customWidth="1"/>
    <col min="15616" max="15616" width="13.21875" style="92" customWidth="1"/>
    <col min="15617" max="15617" width="16.21875" style="92" bestFit="1" customWidth="1"/>
    <col min="15618" max="15618" width="23.5546875" style="92" customWidth="1"/>
    <col min="15619" max="15619" width="17.21875" style="92" customWidth="1"/>
    <col min="15620" max="15620" width="20.5546875" style="92" bestFit="1" customWidth="1"/>
    <col min="15621" max="15621" width="17.21875" style="92" customWidth="1"/>
    <col min="15622" max="15622" width="21.77734375" style="92" bestFit="1" customWidth="1"/>
    <col min="15623" max="15623" width="17.21875" style="92" bestFit="1" customWidth="1"/>
    <col min="15624" max="15624" width="18.21875" style="92" bestFit="1" customWidth="1"/>
    <col min="15625" max="15625" width="26.44140625" style="92" customWidth="1"/>
    <col min="15626" max="15870" width="9.21875" style="92"/>
    <col min="15871" max="15871" width="8.77734375" style="92" bestFit="1" customWidth="1"/>
    <col min="15872" max="15872" width="13.21875" style="92" customWidth="1"/>
    <col min="15873" max="15873" width="16.21875" style="92" bestFit="1" customWidth="1"/>
    <col min="15874" max="15874" width="23.5546875" style="92" customWidth="1"/>
    <col min="15875" max="15875" width="17.21875" style="92" customWidth="1"/>
    <col min="15876" max="15876" width="20.5546875" style="92" bestFit="1" customWidth="1"/>
    <col min="15877" max="15877" width="17.21875" style="92" customWidth="1"/>
    <col min="15878" max="15878" width="21.77734375" style="92" bestFit="1" customWidth="1"/>
    <col min="15879" max="15879" width="17.21875" style="92" bestFit="1" customWidth="1"/>
    <col min="15880" max="15880" width="18.21875" style="92" bestFit="1" customWidth="1"/>
    <col min="15881" max="15881" width="26.44140625" style="92" customWidth="1"/>
    <col min="15882" max="16126" width="9.21875" style="92"/>
    <col min="16127" max="16127" width="8.77734375" style="92" bestFit="1" customWidth="1"/>
    <col min="16128" max="16128" width="13.21875" style="92" customWidth="1"/>
    <col min="16129" max="16129" width="16.21875" style="92" bestFit="1" customWidth="1"/>
    <col min="16130" max="16130" width="23.5546875" style="92" customWidth="1"/>
    <col min="16131" max="16131" width="17.21875" style="92" customWidth="1"/>
    <col min="16132" max="16132" width="20.5546875" style="92" bestFit="1" customWidth="1"/>
    <col min="16133" max="16133" width="17.21875" style="92" customWidth="1"/>
    <col min="16134" max="16134" width="21.77734375" style="92" bestFit="1" customWidth="1"/>
    <col min="16135" max="16135" width="17.21875" style="92" bestFit="1" customWidth="1"/>
    <col min="16136" max="16136" width="18.21875" style="92" bestFit="1" customWidth="1"/>
    <col min="16137" max="16137" width="26.44140625" style="92" customWidth="1"/>
    <col min="16138" max="16384" width="9.21875" style="92"/>
  </cols>
  <sheetData>
    <row r="1" spans="11:12" s="109" customFormat="1">
      <c r="K1" s="401"/>
      <c r="L1" s="400"/>
    </row>
    <row r="2" spans="11:12" s="109" customFormat="1">
      <c r="K2" s="401"/>
      <c r="L2" s="400"/>
    </row>
    <row r="3" spans="11:12" s="109" customFormat="1">
      <c r="K3" s="401"/>
      <c r="L3" s="400"/>
    </row>
    <row r="4" spans="11:12" s="109" customFormat="1">
      <c r="K4" s="401"/>
      <c r="L4" s="400"/>
    </row>
    <row r="5" spans="11:12" s="109" customFormat="1">
      <c r="K5" s="401"/>
      <c r="L5" s="400"/>
    </row>
    <row r="6" spans="11:12" s="109" customFormat="1">
      <c r="K6" s="401"/>
      <c r="L6" s="400"/>
    </row>
    <row r="7" spans="11:12" s="109" customFormat="1">
      <c r="K7" s="401"/>
      <c r="L7" s="400"/>
    </row>
    <row r="8" spans="11:12" s="109" customFormat="1">
      <c r="K8" s="401"/>
      <c r="L8" s="400"/>
    </row>
    <row r="9" spans="11:12" s="109" customFormat="1">
      <c r="K9" s="401"/>
      <c r="L9" s="400"/>
    </row>
    <row r="10" spans="11:12" s="109" customFormat="1">
      <c r="K10" s="401"/>
      <c r="L10" s="400"/>
    </row>
    <row r="11" spans="11:12" s="109" customFormat="1">
      <c r="K11" s="401"/>
      <c r="L11" s="400"/>
    </row>
    <row r="12" spans="11:12" s="109" customFormat="1">
      <c r="K12" s="401"/>
      <c r="L12" s="400"/>
    </row>
    <row r="13" spans="11:12" s="109" customFormat="1">
      <c r="K13" s="401"/>
      <c r="L13" s="400"/>
    </row>
    <row r="14" spans="11:12" s="109" customFormat="1">
      <c r="K14" s="401"/>
      <c r="L14" s="400"/>
    </row>
    <row r="15" spans="11:12" s="109" customFormat="1">
      <c r="K15" s="401"/>
      <c r="L15" s="400"/>
    </row>
    <row r="16" spans="11:12" s="109" customFormat="1">
      <c r="K16" s="401"/>
      <c r="L16" s="400"/>
    </row>
    <row r="17" spans="1:17" s="109" customFormat="1">
      <c r="K17" s="401"/>
      <c r="L17" s="400"/>
    </row>
    <row r="18" spans="1:17" s="109" customFormat="1">
      <c r="K18" s="401"/>
      <c r="L18" s="400"/>
    </row>
    <row r="19" spans="1:17" s="109" customFormat="1">
      <c r="K19" s="401"/>
      <c r="L19" s="400"/>
    </row>
    <row r="20" spans="1:17" s="109" customFormat="1">
      <c r="K20" s="401"/>
      <c r="L20" s="400"/>
    </row>
    <row r="21" spans="1:17" s="109" customFormat="1">
      <c r="K21" s="401"/>
      <c r="L21" s="400"/>
    </row>
    <row r="22" spans="1:17" s="109" customFormat="1">
      <c r="K22" s="401"/>
      <c r="L22" s="400"/>
    </row>
    <row r="23" spans="1:17" s="109" customFormat="1">
      <c r="K23" s="401"/>
      <c r="L23" s="400"/>
    </row>
    <row r="24" spans="1:17" s="109" customFormat="1">
      <c r="K24" s="401"/>
      <c r="L24" s="400"/>
    </row>
    <row r="25" spans="1:17" s="109" customFormat="1">
      <c r="K25" s="401"/>
      <c r="L25" s="400"/>
    </row>
    <row r="26" spans="1:17" s="109" customFormat="1">
      <c r="K26" s="401"/>
      <c r="L26" s="400"/>
    </row>
    <row r="27" spans="1:17" s="109" customFormat="1">
      <c r="K27" s="401"/>
      <c r="L27" s="400"/>
    </row>
    <row r="28" spans="1:17" s="109" customFormat="1" ht="24.75" customHeight="1">
      <c r="A28" s="426" t="str">
        <f>CHOOSE(MODE, 'Variable Mgmt'!K11,'Variable Mgmt'!K12)</f>
        <v>DUAL Output PSR Flyback Converter, VIN = 12 V, VOUT1 = 170 V, IOUT1 = 0.5 A, VOUT2 = 12 V, IOUT2 = 0.5 A</v>
      </c>
      <c r="K28" s="400"/>
      <c r="L28" s="400"/>
    </row>
    <row r="29" spans="1:17" ht="24.75" customHeight="1" thickBot="1">
      <c r="A29" s="93" t="s">
        <v>937</v>
      </c>
    </row>
    <row r="30" spans="1:17" ht="18" customHeight="1">
      <c r="A30" s="174" t="s">
        <v>123</v>
      </c>
      <c r="B30" s="175" t="s">
        <v>122</v>
      </c>
      <c r="C30" s="175" t="s">
        <v>6</v>
      </c>
      <c r="D30" s="818" t="s">
        <v>41</v>
      </c>
      <c r="E30" s="819"/>
      <c r="F30" s="820"/>
      <c r="G30" s="175" t="s">
        <v>116</v>
      </c>
      <c r="H30" s="175" t="s">
        <v>67</v>
      </c>
      <c r="I30" s="418" t="s">
        <v>117</v>
      </c>
      <c r="J30" s="419" t="s">
        <v>346</v>
      </c>
      <c r="K30" s="420" t="s">
        <v>354</v>
      </c>
      <c r="L30" s="394"/>
      <c r="N30" s="95"/>
      <c r="Q30" s="425"/>
    </row>
    <row r="31" spans="1:17" s="95" customFormat="1" ht="17.100000000000001" customHeight="1">
      <c r="A31" s="94">
        <f>ROUNDUP('Design Converter'!E30/10,0)</f>
        <v>12</v>
      </c>
      <c r="B31" s="105" t="s">
        <v>120</v>
      </c>
      <c r="C31" s="108">
        <f>Cin</f>
        <v>120</v>
      </c>
      <c r="D31" s="832" t="str">
        <f>IF(VIN_max&gt;35, "Capacitor, Ceramic, "&amp;'Variable Mgmt'!B250&amp;", 100V, X7R, 10%", "Capacitor, Ceramic, "&amp;'Variable Mgmt'!B250&amp;", 50V, X7R, 10%")</f>
        <v>Capacitor, Ceramic, 120µF, 50V, X7R, 10%</v>
      </c>
      <c r="E31" s="833"/>
      <c r="F31" s="833"/>
      <c r="G31" s="106"/>
      <c r="H31" s="107" t="s">
        <v>118</v>
      </c>
      <c r="I31" s="405" t="s">
        <v>118</v>
      </c>
      <c r="J31" s="414" t="str">
        <f>CHOOSE(Q31,'Variable Mgmt'!T78,'Variable Mgmt'!T79,'Variable Mgmt'!T80,'Variable Mgmt'!T81,'Variable Mgmt'!T82)</f>
        <v>1.0 x 0.5</v>
      </c>
      <c r="K31" s="412">
        <f>CHOOSE(Q31,'Variable Mgmt'!U78,'Variable Mgmt'!U79,'Variable Mgmt'!U80,'Variable Mgmt'!U81,'Variable Mgmt'!U82)</f>
        <v>0.5</v>
      </c>
      <c r="L31" s="417"/>
      <c r="Q31" s="423">
        <v>1</v>
      </c>
    </row>
    <row r="32" spans="1:17" s="95" customFormat="1" ht="17.100000000000001" customHeight="1">
      <c r="A32" s="94">
        <v>1</v>
      </c>
      <c r="B32" s="105" t="s">
        <v>121</v>
      </c>
      <c r="C32" s="108">
        <f>Cout</f>
        <v>6</v>
      </c>
      <c r="D32" s="827" t="str">
        <f>CHOOSE(Cout_Voltage_Rating, "Capacitor, Ceramic, "&amp;'Variable Mgmt'!B245&amp;", 6.3V, X7R, 10%", "Capacitor, Ceramic, "&amp;'Variable Mgmt'!B245&amp;", 10V, X7R, 10%", "Capacitor, Ceramic, "&amp;'Variable Mgmt'!B245&amp;", 16V, X7R, 10%", "Capacitor, Ceramic, "&amp;'Variable Mgmt'!B245&amp;", 25V, X7R, 10%",  "Capacitor, Ceramic, "&amp;'Variable Mgmt'!B245&amp;", 50V, X7R, 10%")</f>
        <v>Capacitor, Ceramic, 6µF, 50V, X7R, 10%</v>
      </c>
      <c r="E32" s="828"/>
      <c r="F32" s="828"/>
      <c r="G32" s="106"/>
      <c r="H32" s="107" t="s">
        <v>118</v>
      </c>
      <c r="I32" s="405" t="s">
        <v>118</v>
      </c>
      <c r="J32" s="414" t="str">
        <f>CHOOSE(Q32,'Variable Mgmt'!T78,'Variable Mgmt'!T79,'Variable Mgmt'!T80,'Variable Mgmt'!T81,'Variable Mgmt'!T82)</f>
        <v>3.2 x 2.5</v>
      </c>
      <c r="K32" s="412">
        <f>CHOOSE(Q32,'Variable Mgmt'!U78,'Variable Mgmt'!U79,'Variable Mgmt'!U80,'Variable Mgmt'!U81,'Variable Mgmt'!U82)</f>
        <v>8</v>
      </c>
      <c r="L32" s="417"/>
      <c r="Q32" s="423">
        <v>5</v>
      </c>
    </row>
    <row r="33" spans="1:17" s="95" customFormat="1" ht="17.100000000000001" customHeight="1">
      <c r="A33" s="94" t="str">
        <f>CHOOSE(MODE, "-", "1")</f>
        <v>1</v>
      </c>
      <c r="B33" s="105" t="s">
        <v>625</v>
      </c>
      <c r="C33" s="108">
        <f>CHOOSE(MODE, "-", Cout2)</f>
        <v>30</v>
      </c>
      <c r="D33" s="512" t="str">
        <f>CHOOSE(MODE, "-", CHOOSE(Cout_Voltage_Rating, "Capacitor, Ceramic, "&amp;'Variable Mgmt'!F245&amp;", 6.3V, X7R, 10%", "Capacitor, Ceramic, "&amp;'Variable Mgmt'!F245&amp;", 10V, X7R, 10%", "Capacitor, Ceramic, "&amp;'Variable Mgmt'!F245&amp;", 16V, X7R, 10%", "Capacitor, Ceramic, "&amp;'Variable Mgmt'!F245&amp;", 25V, X7R, 10%",  "Capacitor, Ceramic, "&amp;'Variable Mgmt'!F245&amp;", 50V, X7R, 10%"))</f>
        <v>Capacitor, Ceramic, 30µF, 50V, X7R, 10%</v>
      </c>
      <c r="E33" s="513"/>
      <c r="F33" s="513"/>
      <c r="G33" s="106"/>
      <c r="H33" s="107" t="str">
        <f>CHOOSE(MODE, "-", "Std")</f>
        <v>Std</v>
      </c>
      <c r="I33" s="405" t="str">
        <f>CHOOSE(MODE, "-", "Std")</f>
        <v>Std</v>
      </c>
      <c r="J33" s="414" t="str">
        <f>CHOOSE(MODE, "-", CHOOSE(Q33,'Variable Mgmt'!T78,'Variable Mgmt'!T79,'Variable Mgmt'!T80,'Variable Mgmt'!T81,'Variable Mgmt'!T82))</f>
        <v>3.2 x 2.5</v>
      </c>
      <c r="K33" s="412">
        <f>CHOOSE(MODE, "-", CHOOSE(Q33,'Variable Mgmt'!U78,'Variable Mgmt'!U79,'Variable Mgmt'!U80,'Variable Mgmt'!U81,'Variable Mgmt'!U82))</f>
        <v>8</v>
      </c>
      <c r="L33" s="417"/>
      <c r="Q33" s="423">
        <v>5</v>
      </c>
    </row>
    <row r="34" spans="1:17" s="95" customFormat="1" ht="17.100000000000001" customHeight="1">
      <c r="A34" s="96" t="str">
        <f>CHOOSE(MODE_SS, "1", "-", "1")</f>
        <v>1</v>
      </c>
      <c r="B34" s="97" t="str">
        <f>CHOOSE(MODE_SS, "Css", "-")</f>
        <v>Css</v>
      </c>
      <c r="C34" s="534" t="str">
        <f>CHOOSE(MODE_SS, 'Standard Value Calculator'!B4*1000000000&amp;"nF", "-", "100k")</f>
        <v>100nF</v>
      </c>
      <c r="D34" s="829" t="str">
        <f>CHOOSE(MODE_SS, "Capacitor, Ceramic, "&amp;'Standard Value Calculator'!B4*1000000000&amp;"nF"&amp;", 16V, X7R, 10%", "-")</f>
        <v>Capacitor, Ceramic, 100nF, 16V, X7R, 10%</v>
      </c>
      <c r="E34" s="830"/>
      <c r="F34" s="830"/>
      <c r="G34" s="98"/>
      <c r="H34" s="99" t="str">
        <f>CHOOSE(MODE_SS, "Std", "-")</f>
        <v>Std</v>
      </c>
      <c r="I34" s="406" t="str">
        <f>CHOOSE(MODE_SS, "Std", "-")</f>
        <v>Std</v>
      </c>
      <c r="J34" s="414" t="e">
        <f>CHOOSE(MODE_SS,CHOOSE(Q34,'Variable Mgmt'!T78,'Variable Mgmt'!T79,'Variable Mgmt'!T80),"-",CHOOSE(Q34,'Variable Mgmt'!T78,'Variable Mgmt'!T79,'Variable Mgmt'!T80))</f>
        <v>#VALUE!</v>
      </c>
      <c r="K34" s="412" t="e">
        <f>CHOOSE(MODE_SS, CHOOSE(Q34,'Variable Mgmt'!U78,'Variable Mgmt'!U79,'Variable Mgmt'!U80), "-", CHOOSE(Q34,'Variable Mgmt'!U78,'Variable Mgmt'!U79,'Variable Mgmt'!U80))</f>
        <v>#VALUE!</v>
      </c>
      <c r="L34" s="417"/>
      <c r="Q34" s="423">
        <v>5</v>
      </c>
    </row>
    <row r="35" spans="1:17" s="95" customFormat="1" ht="17.100000000000001" customHeight="1">
      <c r="A35" s="96">
        <v>1</v>
      </c>
      <c r="B35" s="97" t="s">
        <v>929</v>
      </c>
      <c r="C35" s="534" t="str">
        <f>'Design Converter'!E62&amp;"nF"</f>
        <v>10nF</v>
      </c>
      <c r="D35" s="769" t="str">
        <f>"Capacitor, Ceramic, "&amp;C35&amp;", 16V, X7R, 10%"</f>
        <v>Capacitor, Ceramic, 10nF, 16V, X7R, 10%</v>
      </c>
      <c r="E35" s="770"/>
      <c r="F35" s="770"/>
      <c r="G35" s="106"/>
      <c r="H35" s="107" t="str">
        <f>CHOOSE(MODE, "-", "Std")</f>
        <v>Std</v>
      </c>
      <c r="I35" s="405" t="str">
        <f>CHOOSE(MODE, "-", "Std")</f>
        <v>Std</v>
      </c>
      <c r="J35" s="414" t="str">
        <f>CHOOSE(Q35,'Variable Mgmt'!T78,'Variable Mgmt'!T79,'Variable Mgmt'!T80,'Variable Mgmt'!T81,'Variable Mgmt'!T82)</f>
        <v>2.0 x 1.25</v>
      </c>
      <c r="K35" s="412">
        <f>CHOOSE(Q35,'Variable Mgmt'!U78,'Variable Mgmt'!U79,'Variable Mgmt'!U80,'Variable Mgmt'!U81,'Variable Mgmt'!U82)</f>
        <v>2.5</v>
      </c>
      <c r="L35" s="417"/>
      <c r="Q35" s="423">
        <v>3</v>
      </c>
    </row>
    <row r="36" spans="1:17" s="95" customFormat="1" ht="17.100000000000001" customHeight="1">
      <c r="A36" s="96">
        <v>1</v>
      </c>
      <c r="B36" s="97" t="s">
        <v>930</v>
      </c>
      <c r="C36" s="534" t="str">
        <f>'Design Converter'!E64&amp;"pF"</f>
        <v>56pF</v>
      </c>
      <c r="D36" s="769" t="str">
        <f>"Capacitor, Ceramic, "&amp;C36&amp;", 50V, X7R, 10%"</f>
        <v>Capacitor, Ceramic, 56pF, 50V, X7R, 10%</v>
      </c>
      <c r="E36" s="770"/>
      <c r="F36" s="770"/>
      <c r="G36" s="106"/>
      <c r="H36" s="107" t="str">
        <f>CHOOSE(MODE, "-", "Std")</f>
        <v>Std</v>
      </c>
      <c r="I36" s="405" t="str">
        <f>CHOOSE(MODE, "-", "Std")</f>
        <v>Std</v>
      </c>
      <c r="J36" s="414" t="str">
        <f>CHOOSE(Q36,'Variable Mgmt'!T78,'Variable Mgmt'!T79,'Variable Mgmt'!T80,'Variable Mgmt'!T81,'Variable Mgmt'!T82)</f>
        <v>3.2 x 1.6</v>
      </c>
      <c r="K36" s="412">
        <f>CHOOSE(Q36,'Variable Mgmt'!U78,'Variable Mgmt'!U79,'Variable Mgmt'!U80,'Variable Mgmt'!U81,'Variable Mgmt'!U82)</f>
        <v>5.0999999999999996</v>
      </c>
      <c r="L36" s="417"/>
      <c r="Q36" s="423">
        <v>4</v>
      </c>
    </row>
    <row r="37" spans="1:17" s="95" customFormat="1" ht="17.100000000000001" customHeight="1">
      <c r="A37" s="96">
        <v>1</v>
      </c>
      <c r="B37" s="97" t="s">
        <v>927</v>
      </c>
      <c r="C37" s="108">
        <v>1</v>
      </c>
      <c r="D37" s="827" t="s">
        <v>928</v>
      </c>
      <c r="E37" s="828"/>
      <c r="F37" s="828"/>
      <c r="G37" s="106"/>
      <c r="H37" s="107" t="s">
        <v>118</v>
      </c>
      <c r="I37" s="405" t="s">
        <v>118</v>
      </c>
      <c r="J37" s="414" t="str">
        <f>CHOOSE(Q37,'Variable Mgmt'!T78,'Variable Mgmt'!T79,'Variable Mgmt'!T80,'Variable Mgmt'!T81,'Variable Mgmt'!T82)</f>
        <v>1.6 x 0.8</v>
      </c>
      <c r="K37" s="412">
        <f>CHOOSE(Q37,'Variable Mgmt'!U78,'Variable Mgmt'!U79,'Variable Mgmt'!U80,'Variable Mgmt'!U81,'Variable Mgmt'!U82)</f>
        <v>1.3</v>
      </c>
      <c r="L37" s="417"/>
      <c r="Q37" s="423">
        <v>2</v>
      </c>
    </row>
    <row r="38" spans="1:17" s="95" customFormat="1" ht="17.100000000000001" customHeight="1">
      <c r="A38" s="96">
        <v>1</v>
      </c>
      <c r="B38" s="97" t="s">
        <v>934</v>
      </c>
      <c r="C38" s="108" t="s">
        <v>869</v>
      </c>
      <c r="D38" s="827" t="s">
        <v>935</v>
      </c>
      <c r="E38" s="828"/>
      <c r="F38" s="828"/>
      <c r="G38" s="106"/>
      <c r="H38" s="107" t="str">
        <f>CHOOSE(MODE, "-", "Std")</f>
        <v>Std</v>
      </c>
      <c r="I38" s="405" t="str">
        <f>CHOOSE(MODE, "-", "Std")</f>
        <v>Std</v>
      </c>
      <c r="J38" s="414" t="str">
        <f>CHOOSE(Q38,'Variable Mgmt'!T78,'Variable Mgmt'!T79,'Variable Mgmt'!T80,'Variable Mgmt'!T81,'Variable Mgmt'!T82)</f>
        <v>1.0 x 0.5</v>
      </c>
      <c r="K38" s="412">
        <f>CHOOSE(Q38,'Variable Mgmt'!U78,'Variable Mgmt'!U79,'Variable Mgmt'!U80,'Variable Mgmt'!U81,'Variable Mgmt'!U82)</f>
        <v>0.5</v>
      </c>
      <c r="L38" s="417"/>
      <c r="Q38" s="423">
        <v>1</v>
      </c>
    </row>
    <row r="39" spans="1:17" s="95" customFormat="1" ht="17.100000000000001" customHeight="1">
      <c r="A39" s="100">
        <v>1</v>
      </c>
      <c r="B39" s="101" t="s">
        <v>627</v>
      </c>
      <c r="C39" s="102" t="s">
        <v>193</v>
      </c>
      <c r="D39" s="825" t="str">
        <f>"Rectifying Diode, Schottky"</f>
        <v>Rectifying Diode, Schottky</v>
      </c>
      <c r="E39" s="826"/>
      <c r="F39" s="826"/>
      <c r="G39" s="103"/>
      <c r="H39" s="104" t="s">
        <v>118</v>
      </c>
      <c r="I39" s="407" t="s">
        <v>118</v>
      </c>
      <c r="J39" s="527" t="str">
        <f>CHOOSE(Q39,'Variable Mgmt'!Y88,'Variable Mgmt'!Y89,'Variable Mgmt'!Y90,'Variable Mgmt'!Y91)</f>
        <v>3.6 x 1.8</v>
      </c>
      <c r="K39" s="528">
        <f>CHOOSE(Q39,'Variable Mgmt'!Z88,'Variable Mgmt'!Z89,'Variable Mgmt'!Z90,'Variable Mgmt'!Z91)</f>
        <v>6.5</v>
      </c>
      <c r="L39" s="417"/>
      <c r="Q39" s="424">
        <v>3</v>
      </c>
    </row>
    <row r="40" spans="1:17" s="95" customFormat="1" ht="17.100000000000001" customHeight="1">
      <c r="A40" s="100" t="str">
        <f>CHOOSE(MODE, "-", "1")</f>
        <v>1</v>
      </c>
      <c r="B40" s="101" t="s">
        <v>626</v>
      </c>
      <c r="C40" s="102" t="str">
        <f>CHOOSE(MODE, "-", "Diode")</f>
        <v>Diode</v>
      </c>
      <c r="D40" s="823" t="str">
        <f>CHOOSE(MODE, "-", "Rectifying Diode, Schottky")</f>
        <v>Rectifying Diode, Schottky</v>
      </c>
      <c r="E40" s="824"/>
      <c r="F40" s="824"/>
      <c r="G40" s="103" t="s">
        <v>119</v>
      </c>
      <c r="H40" s="104" t="str">
        <f>CHOOSE(MODE, "-", "Std")</f>
        <v>Std</v>
      </c>
      <c r="I40" s="407" t="str">
        <f>CHOOSE(MODE, "-", "Std")</f>
        <v>Std</v>
      </c>
      <c r="J40" s="527" t="str">
        <f>CHOOSE(MODE, "-", CHOOSE(Q40,'Variable Mgmt'!Y88,'Variable Mgmt'!Y89,'Variable Mgmt'!Y90,'Variable Mgmt'!Y91))</f>
        <v>3.6 x 1.8</v>
      </c>
      <c r="K40" s="528">
        <f>CHOOSE(MODE, "-", CHOOSE(Q40,'Variable Mgmt'!Z88,'Variable Mgmt'!Z89,'Variable Mgmt'!Z90,'Variable Mgmt'!Z91))</f>
        <v>6.5</v>
      </c>
      <c r="L40" s="417"/>
      <c r="Q40" s="424">
        <v>3</v>
      </c>
    </row>
    <row r="41" spans="1:17" s="95" customFormat="1" ht="17.100000000000001" customHeight="1">
      <c r="A41" s="100">
        <v>1</v>
      </c>
      <c r="B41" s="101" t="s">
        <v>628</v>
      </c>
      <c r="C41" s="102" t="str">
        <f>"Diode"</f>
        <v>Diode</v>
      </c>
      <c r="D41" s="532" t="str">
        <f>"Clamp Circuit Diode, Fast Recovery"</f>
        <v>Clamp Circuit Diode, Fast Recovery</v>
      </c>
      <c r="E41" s="533"/>
      <c r="F41" s="533"/>
      <c r="G41" s="103"/>
      <c r="H41" s="104" t="s">
        <v>118</v>
      </c>
      <c r="I41" s="407" t="s">
        <v>118</v>
      </c>
      <c r="J41" s="527" t="str">
        <f>CHOOSE(Q41,'Variable Mgmt'!Y88,'Variable Mgmt'!Y89,'Variable Mgmt'!Y90,'Variable Mgmt'!Y91)</f>
        <v>1.6 x 0.8</v>
      </c>
      <c r="K41" s="528">
        <f>CHOOSE(Q41,'Variable Mgmt'!Z88,'Variable Mgmt'!Z89,'Variable Mgmt'!Z90,'Variable Mgmt'!Z91)</f>
        <v>1.3</v>
      </c>
      <c r="L41" s="417"/>
      <c r="Q41" s="424">
        <v>1</v>
      </c>
    </row>
    <row r="42" spans="1:17" s="95" customFormat="1" ht="17.100000000000001" customHeight="1">
      <c r="A42" s="100">
        <v>1</v>
      </c>
      <c r="B42" s="101" t="s">
        <v>623</v>
      </c>
      <c r="C42" s="102" t="s">
        <v>624</v>
      </c>
      <c r="D42" s="823" t="str">
        <f>"Clamp Circuit Diode, Zener, 24V"</f>
        <v>Clamp Circuit Diode, Zener, 24V</v>
      </c>
      <c r="E42" s="824"/>
      <c r="F42" s="824"/>
      <c r="G42" s="103" t="s">
        <v>119</v>
      </c>
      <c r="H42" s="104" t="s">
        <v>118</v>
      </c>
      <c r="I42" s="407" t="s">
        <v>118</v>
      </c>
      <c r="J42" s="527" t="str">
        <f>CHOOSE(Q42,'Variable Mgmt'!Y88,'Variable Mgmt'!Y89,'Variable Mgmt'!Y90,'Variable Mgmt'!Y91)</f>
        <v>5.0 x 2.5</v>
      </c>
      <c r="K42" s="528">
        <f>CHOOSE(Q42,'Variable Mgmt'!Z88,'Variable Mgmt'!Z89,'Variable Mgmt'!Z90,'Variable Mgmt'!Z91)</f>
        <v>12.5</v>
      </c>
      <c r="L42" s="417"/>
      <c r="Q42" s="424">
        <v>4</v>
      </c>
    </row>
    <row r="43" spans="1:17" s="95" customFormat="1" ht="17.100000000000001" customHeight="1">
      <c r="A43" s="100">
        <v>1</v>
      </c>
      <c r="B43" s="101" t="s">
        <v>941</v>
      </c>
      <c r="C43" s="102" t="str">
        <f>Vout*1.1&amp;"V"</f>
        <v>187V</v>
      </c>
      <c r="D43" s="532" t="str">
        <f>"Output Clamp Diode, Zener, "&amp;ROUND(Vout*1.125,0)&amp;"V"</f>
        <v>Output Clamp Diode, Zener, 191V</v>
      </c>
      <c r="E43" s="533"/>
      <c r="F43" s="533"/>
      <c r="G43" s="103"/>
      <c r="H43" s="104" t="s">
        <v>118</v>
      </c>
      <c r="I43" s="407" t="s">
        <v>118</v>
      </c>
      <c r="J43" s="527" t="str">
        <f>CHOOSE(Q43,'Variable Mgmt'!Y88,'Variable Mgmt'!Y89,'Variable Mgmt'!Y90,'Variable Mgmt'!Y91)</f>
        <v>3.6 x 1.8</v>
      </c>
      <c r="K43" s="528">
        <f>CHOOSE(Q43,'Variable Mgmt'!Z88,'Variable Mgmt'!Z89,'Variable Mgmt'!Z90,'Variable Mgmt'!Z91)</f>
        <v>6.5</v>
      </c>
      <c r="L43" s="417"/>
      <c r="Q43" s="424">
        <v>3</v>
      </c>
    </row>
    <row r="44" spans="1:17" s="95" customFormat="1" ht="17.100000000000001" customHeight="1">
      <c r="A44" s="100" t="str">
        <f>CHOOSE(MODE, "-", "1")</f>
        <v>1</v>
      </c>
      <c r="B44" s="101" t="s">
        <v>942</v>
      </c>
      <c r="C44" s="102" t="str">
        <f>Vout2*1.1&amp;"V"</f>
        <v>13.2V</v>
      </c>
      <c r="D44" s="823" t="str">
        <f>CHOOSE(MODE, "-", "Output Clamp Diode, Zener, "&amp;ROUND(Vout2*1.125,0)&amp;"V")</f>
        <v>Output Clamp Diode, Zener, 14V</v>
      </c>
      <c r="E44" s="824"/>
      <c r="F44" s="824"/>
      <c r="G44" s="103"/>
      <c r="H44" s="104" t="str">
        <f>CHOOSE(MODE, "-", "Std")</f>
        <v>Std</v>
      </c>
      <c r="I44" s="407" t="str">
        <f>CHOOSE(MODE, "-", "Std")</f>
        <v>Std</v>
      </c>
      <c r="J44" s="527" t="str">
        <f>CHOOSE(MODE, "-", CHOOSE(Q44,'Variable Mgmt'!Y88,'Variable Mgmt'!Y89,'Variable Mgmt'!Y90,'Variable Mgmt'!Y91))</f>
        <v>3.6 x 1.8</v>
      </c>
      <c r="K44" s="528">
        <f>CHOOSE(MODE, "-", CHOOSE(Q44,'Variable Mgmt'!Z88,'Variable Mgmt'!Z89,'Variable Mgmt'!Z90,'Variable Mgmt'!Z91))</f>
        <v>6.5</v>
      </c>
      <c r="L44" s="417"/>
      <c r="Q44" s="424">
        <v>3</v>
      </c>
    </row>
    <row r="45" spans="1:17" s="95" customFormat="1" ht="17.100000000000001" customHeight="1">
      <c r="A45" s="96">
        <v>1</v>
      </c>
      <c r="B45" s="97" t="s">
        <v>949</v>
      </c>
      <c r="C45" s="776" t="str">
        <f>IF(Vds_req&lt;30,30,IF(Vds_req&lt;40,40,IF(Vds_req&lt;50,50,IF(Vds_req&lt;60,60,IF(Vds_req&lt;80,80,IF(Vds_req&lt;100,100,IF(Vds_req&lt;120,120,IF(Vds_req&lt;150,150,IF(Vds_req&lt;200,200,IF(Vds_req&lt;250,250,IF(Vds_req&lt;300,300,500)))))))))))&amp;"V"</f>
        <v>40V</v>
      </c>
      <c r="D45" s="774" t="s">
        <v>950</v>
      </c>
      <c r="E45" s="775"/>
      <c r="F45" s="775"/>
      <c r="G45" s="98" t="s">
        <v>951</v>
      </c>
      <c r="H45" s="99" t="s">
        <v>118</v>
      </c>
      <c r="I45" s="406" t="s">
        <v>118</v>
      </c>
      <c r="J45" s="414" t="s">
        <v>952</v>
      </c>
      <c r="K45" s="412">
        <v>30</v>
      </c>
      <c r="L45" s="417"/>
      <c r="Q45" s="424"/>
    </row>
    <row r="46" spans="1:17" s="95" customFormat="1" ht="17.100000000000001" customHeight="1">
      <c r="A46" s="100">
        <v>1</v>
      </c>
      <c r="B46" s="101" t="s">
        <v>629</v>
      </c>
      <c r="C46" s="102">
        <v>12.1</v>
      </c>
      <c r="D46" s="821">
        <f>C46</f>
        <v>12.1</v>
      </c>
      <c r="E46" s="822"/>
      <c r="F46" s="822"/>
      <c r="G46" s="103" t="s">
        <v>119</v>
      </c>
      <c r="H46" s="104" t="s">
        <v>118</v>
      </c>
      <c r="I46" s="407" t="s">
        <v>118</v>
      </c>
      <c r="J46" s="527" t="str">
        <f>CHOOSE(Q46,'Variable Mgmt'!T78,'Variable Mgmt'!T79,'Variable Mgmt'!T80)</f>
        <v>1.6 x 0.8</v>
      </c>
      <c r="K46" s="528">
        <f>CHOOSE(Q46,'Variable Mgmt'!U78,'Variable Mgmt'!U79,'Variable Mgmt'!U80,'Variable Mgmt'!U81,'Variable Mgmt'!U82)</f>
        <v>1.3</v>
      </c>
      <c r="L46" s="417"/>
      <c r="Q46" s="424">
        <v>2</v>
      </c>
    </row>
    <row r="47" spans="1:17" s="95" customFormat="1" ht="17.100000000000001" customHeight="1">
      <c r="A47" s="100">
        <v>1</v>
      </c>
      <c r="B47" s="101" t="s">
        <v>524</v>
      </c>
      <c r="C47" s="102">
        <f>Rfb/1000</f>
        <v>84.5</v>
      </c>
      <c r="D47" s="821">
        <f>C47</f>
        <v>84.5</v>
      </c>
      <c r="E47" s="822"/>
      <c r="F47" s="822"/>
      <c r="G47" s="103" t="s">
        <v>119</v>
      </c>
      <c r="H47" s="104" t="s">
        <v>118</v>
      </c>
      <c r="I47" s="407" t="s">
        <v>118</v>
      </c>
      <c r="J47" s="527" t="str">
        <f>CHOOSE(Q47,'Variable Mgmt'!T78,'Variable Mgmt'!T79,'Variable Mgmt'!T80)</f>
        <v>2.0 x 1.25</v>
      </c>
      <c r="K47" s="528">
        <f>CHOOSE(Q47,'Variable Mgmt'!U78,'Variable Mgmt'!U79,'Variable Mgmt'!U80,'Variable Mgmt'!U81,'Variable Mgmt'!U82)</f>
        <v>2.5</v>
      </c>
      <c r="L47" s="417"/>
      <c r="Q47" s="424">
        <v>3</v>
      </c>
    </row>
    <row r="48" spans="1:17" s="95" customFormat="1" ht="17.100000000000001" customHeight="1">
      <c r="A48" s="100" t="str">
        <f>CHOOSE(MODE_UVLO, "1", "-")</f>
        <v>1</v>
      </c>
      <c r="B48" s="101" t="s">
        <v>126</v>
      </c>
      <c r="C48" s="777" t="str">
        <f>CHOOSE(MODE_UVLO, 'Variable Mgmt'!H269, "-")</f>
        <v>43.2k</v>
      </c>
      <c r="D48" s="823" t="str">
        <f>CHOOSE(MODE_UVLO, "Resistor, Chip, "&amp;'Variable Mgmt'!C269&amp;", 1/16W, 1%", "-")</f>
        <v>Resistor, Chip, 43.2kΩ, 1/16W, 1%</v>
      </c>
      <c r="E48" s="824"/>
      <c r="F48" s="824"/>
      <c r="G48" s="103" t="s">
        <v>119</v>
      </c>
      <c r="H48" s="104" t="str">
        <f>CHOOSE(MODE_UVLO, "Std", "-")</f>
        <v>Std</v>
      </c>
      <c r="I48" s="407" t="str">
        <f>CHOOSE(MODE_UVLO, "Std", "-")</f>
        <v>Std</v>
      </c>
      <c r="J48" s="527" t="str">
        <f>CHOOSE(MODE_UVLO, CHOOSE(Q48,'Variable Mgmt'!T78,'Variable Mgmt'!T79,'Variable Mgmt'!T80), "-")</f>
        <v>1.0 x 0.5</v>
      </c>
      <c r="K48" s="528">
        <f>CHOOSE(MODE_UVLO, CHOOSE(Q48,'Variable Mgmt'!U78,'Variable Mgmt'!U79,'Variable Mgmt'!U80,'Variable Mgmt'!U81,'Variable Mgmt'!U82),"-")</f>
        <v>0.5</v>
      </c>
      <c r="L48" s="417"/>
      <c r="Q48" s="424">
        <v>1</v>
      </c>
    </row>
    <row r="49" spans="1:17" s="95" customFormat="1" ht="17.100000000000001" customHeight="1">
      <c r="A49" s="100" t="str">
        <f>CHOOSE(MODE_UVLO, "1", "-")</f>
        <v>1</v>
      </c>
      <c r="B49" s="101" t="s">
        <v>127</v>
      </c>
      <c r="C49" s="777" t="str">
        <f>CHOOSE(MODE_UVLO, 'Variable Mgmt'!H270, "-")</f>
        <v>9.31k</v>
      </c>
      <c r="D49" s="823" t="str">
        <f>CHOOSE(MODE_UVLO, "Resistor, Chip, "&amp;'Variable Mgmt'!C270&amp;", 1/16W, 1%", "-")</f>
        <v>Resistor, Chip, 9.31kΩ, 1/16W, 1%</v>
      </c>
      <c r="E49" s="824"/>
      <c r="F49" s="824"/>
      <c r="G49" s="103" t="s">
        <v>119</v>
      </c>
      <c r="H49" s="104" t="str">
        <f>CHOOSE(MODE_UVLO, "Std", "-")</f>
        <v>Std</v>
      </c>
      <c r="I49" s="407" t="str">
        <f>CHOOSE(MODE_UVLO, "Std", "-")</f>
        <v>Std</v>
      </c>
      <c r="J49" s="527" t="str">
        <f>CHOOSE(MODE_UVLO, CHOOSE(Q49,'Variable Mgmt'!T78,'Variable Mgmt'!T79,'Variable Mgmt'!T80), "-")</f>
        <v>1.0 x 0.5</v>
      </c>
      <c r="K49" s="528">
        <f>CHOOSE(MODE_UVLO, CHOOSE(Q49,'Variable Mgmt'!U78,'Variable Mgmt'!U79,'Variable Mgmt'!U80,'Variable Mgmt'!U81,'Variable Mgmt'!U82),"-")</f>
        <v>0.5</v>
      </c>
      <c r="L49" s="417"/>
      <c r="Q49" s="424">
        <v>1</v>
      </c>
    </row>
    <row r="50" spans="1:17" s="95" customFormat="1" ht="17.100000000000001" customHeight="1">
      <c r="A50" s="100" t="str">
        <f>CHOOSE(MODE_TC, "1", "-")</f>
        <v>-</v>
      </c>
      <c r="B50" s="101" t="s">
        <v>516</v>
      </c>
      <c r="C50" s="102" t="str">
        <f>CHOOSE(MODE_TC, RTC, "-")</f>
        <v>-</v>
      </c>
      <c r="D50" s="821" t="str">
        <f>CHOOSE(MODE_TC, "Resistor, Chip, "&amp;'Variable Mgmt'!B265&amp;", 1/16W, 1%", "-")</f>
        <v>-</v>
      </c>
      <c r="E50" s="822"/>
      <c r="F50" s="822"/>
      <c r="G50" s="103" t="s">
        <v>119</v>
      </c>
      <c r="H50" s="104" t="str">
        <f>CHOOSE(MODE_TC, "Std", "-")</f>
        <v>-</v>
      </c>
      <c r="I50" s="407" t="str">
        <f>CHOOSE(MODE_TC, "Std", "-")</f>
        <v>-</v>
      </c>
      <c r="J50" s="527" t="str">
        <f>CHOOSE(MODE_TC, CHOOSE(Q50,'Variable Mgmt'!T78,'Variable Mgmt'!T409,'Variable Mgmt'!T80), "-")</f>
        <v>-</v>
      </c>
      <c r="K50" s="528" t="str">
        <f>CHOOSE(MODE_TC, CHOOSE(Q50,'Variable Mgmt'!U78,'Variable Mgmt'!U79,'Variable Mgmt'!U80,'Variable Mgmt'!U81,'Variable Mgmt'!U82),"-")</f>
        <v>-</v>
      </c>
      <c r="L50" s="417"/>
      <c r="Q50" s="424">
        <v>1</v>
      </c>
    </row>
    <row r="51" spans="1:17" s="95" customFormat="1" ht="17.100000000000001" customHeight="1">
      <c r="A51" s="100">
        <v>1</v>
      </c>
      <c r="B51" s="101" t="s">
        <v>932</v>
      </c>
      <c r="C51" s="102" t="str">
        <f>'Variable Mgmt'!D313</f>
        <v>1.5mΩ</v>
      </c>
      <c r="D51" s="837" t="s">
        <v>933</v>
      </c>
      <c r="E51" s="822"/>
      <c r="F51" s="822"/>
      <c r="G51" s="103" t="s">
        <v>119</v>
      </c>
      <c r="H51" s="104" t="s">
        <v>118</v>
      </c>
      <c r="I51" s="407" t="s">
        <v>118</v>
      </c>
      <c r="J51" s="527" t="str">
        <f>CHOOSE(Q51,'Variable Mgmt'!T79,'Variable Mgmt'!T80,'Variable Mgmt'!T81,'Variable Mgmt'!T82,'Variable Mgmt'!T83,'Variable Mgmt'!T84)</f>
        <v>9.3 x 2.7</v>
      </c>
      <c r="K51" s="528">
        <f>CHOOSE(Q51,'Variable Mgmt'!U79,'Variable Mgmt'!U80,'Variable Mgmt'!U81,'Variable Mgmt'!U82,'Variable Mgmt'!U83,'Variable Mgmt'!U84)</f>
        <v>25.1</v>
      </c>
      <c r="L51" s="417"/>
      <c r="Q51" s="424">
        <v>6</v>
      </c>
    </row>
    <row r="52" spans="1:17" s="95" customFormat="1" ht="17.100000000000001" customHeight="1">
      <c r="A52" s="100">
        <v>1</v>
      </c>
      <c r="B52" s="101" t="s">
        <v>931</v>
      </c>
      <c r="C52" s="102">
        <f>'Design Converter'!E60</f>
        <v>56</v>
      </c>
      <c r="D52" s="773" t="str">
        <f>"Resistor, Chip, "&amp;C52&amp;"kΩ, 1/16W, 1%"</f>
        <v>Resistor, Chip, 56kΩ, 1/16W, 1%</v>
      </c>
      <c r="E52" s="778"/>
      <c r="F52" s="778"/>
      <c r="G52" s="103" t="s">
        <v>119</v>
      </c>
      <c r="H52" s="104" t="s">
        <v>118</v>
      </c>
      <c r="I52" s="407" t="s">
        <v>118</v>
      </c>
      <c r="J52" s="527" t="str">
        <f>CHOOSE(Q52,'Variable Mgmt'!T78,'Variable Mgmt'!T79,'Variable Mgmt'!T80)</f>
        <v>1.6 x 0.8</v>
      </c>
      <c r="K52" s="528">
        <f>CHOOSE(Q52,'Variable Mgmt'!U78,'Variable Mgmt'!U79,'Variable Mgmt'!U80,'Variable Mgmt'!U81,'Variable Mgmt'!U82)</f>
        <v>1.3</v>
      </c>
      <c r="L52" s="417"/>
      <c r="Q52" s="424">
        <v>2</v>
      </c>
    </row>
    <row r="53" spans="1:17" s="95" customFormat="1" ht="17.100000000000001" customHeight="1">
      <c r="A53" s="100">
        <v>1</v>
      </c>
      <c r="B53" s="101" t="s">
        <v>936</v>
      </c>
      <c r="C53" s="102" t="str">
        <f>'Variable Mgmt'!D315</f>
        <v>100Ω</v>
      </c>
      <c r="D53" s="821" t="str">
        <f>"Resistor, Chip, "&amp;C53&amp;", 1/16W, 1%"</f>
        <v>Resistor, Chip, 100Ω, 1/16W, 1%</v>
      </c>
      <c r="E53" s="822"/>
      <c r="F53" s="822"/>
      <c r="G53" s="103" t="s">
        <v>119</v>
      </c>
      <c r="H53" s="104" t="s">
        <v>118</v>
      </c>
      <c r="I53" s="407" t="s">
        <v>118</v>
      </c>
      <c r="J53" s="527" t="str">
        <f>CHOOSE(Q53,'Variable Mgmt'!T78,'Variable Mgmt'!T79,'Variable Mgmt'!T80)</f>
        <v>1.0 x 0.5</v>
      </c>
      <c r="K53" s="528">
        <f>CHOOSE(Q53,'Variable Mgmt'!U78,'Variable Mgmt'!U79,'Variable Mgmt'!U80,'Variable Mgmt'!U81,'Variable Mgmt'!U82)</f>
        <v>0.5</v>
      </c>
      <c r="L53" s="417"/>
      <c r="Q53" s="424">
        <v>1</v>
      </c>
    </row>
    <row r="54" spans="1:17" s="530" customFormat="1" ht="16.5" customHeight="1">
      <c r="A54" s="96">
        <v>1</v>
      </c>
      <c r="B54" s="97" t="s">
        <v>523</v>
      </c>
      <c r="C54" s="779" t="str">
        <f>'Design Converter'!L7&amp;"k"</f>
        <v>1.5k</v>
      </c>
      <c r="D54" s="834" t="str">
        <f>"Transformer, "&amp;L*1000000&amp;"µH, "&amp;'Variable Mgmt'!W66&amp;", "&amp;Rdcr_pri*1000&amp;"mΩ Pri DCR"</f>
        <v>Transformer, 1.5µH, 1 : 20 : 1.48, 1.5mΩ Pri DCR</v>
      </c>
      <c r="E54" s="835"/>
      <c r="F54" s="836"/>
      <c r="G54" s="99" t="s">
        <v>125</v>
      </c>
      <c r="H54" s="99" t="s">
        <v>124</v>
      </c>
      <c r="I54" s="406" t="s">
        <v>124</v>
      </c>
      <c r="J54" s="414" t="str">
        <f>CHOOSE(Q54,'Variable Mgmt'!T89,'Variable Mgmt'!T90,'Variable Mgmt'!T91,'Variable Mgmt'!T92,'Variable Mgmt'!T93,'Variable Mgmt'!T94, 'Variable Mgmt'!T95, 'Variable Mgmt'!T96)</f>
        <v>23 x 17</v>
      </c>
      <c r="K54" s="776">
        <f>CHOOSE(Q54,'Variable Mgmt'!U89,'Variable Mgmt'!U90,'Variable Mgmt'!U91,'Variable Mgmt'!U92,'Variable Mgmt'!U93,'Variable Mgmt'!U94, 'Variable Mgmt'!U95,'Variable Mgmt'!U96)</f>
        <v>391</v>
      </c>
      <c r="L54" s="529"/>
      <c r="Q54" s="531">
        <v>8</v>
      </c>
    </row>
    <row r="55" spans="1:17" ht="17.100000000000001" customHeight="1">
      <c r="A55" s="391">
        <v>1</v>
      </c>
      <c r="B55" s="396" t="s">
        <v>128</v>
      </c>
      <c r="C55" s="416" t="s">
        <v>938</v>
      </c>
      <c r="D55" s="397" t="s">
        <v>939</v>
      </c>
      <c r="E55" s="398"/>
      <c r="F55" s="399"/>
      <c r="G55" s="395" t="s">
        <v>940</v>
      </c>
      <c r="H55" s="395" t="s">
        <v>938</v>
      </c>
      <c r="I55" s="397" t="s">
        <v>355</v>
      </c>
      <c r="J55" s="415" t="s">
        <v>953</v>
      </c>
      <c r="K55" s="413">
        <f>32</f>
        <v>32</v>
      </c>
      <c r="L55" s="394"/>
      <c r="M55" s="394"/>
      <c r="N55" s="95"/>
      <c r="Q55" s="427"/>
    </row>
    <row r="56" spans="1:17" ht="17.100000000000001" customHeight="1">
      <c r="J56" s="95"/>
      <c r="K56" s="404"/>
      <c r="L56" s="394"/>
      <c r="M56" s="394"/>
      <c r="N56" s="95"/>
    </row>
    <row r="57" spans="1:17" ht="17.25" hidden="1" customHeight="1">
      <c r="H57" s="831" t="s">
        <v>357</v>
      </c>
      <c r="I57" s="831"/>
      <c r="J57" s="831"/>
      <c r="K57" s="421" t="e">
        <f>SUM(K31:K55)*1.25</f>
        <v>#VALUE!</v>
      </c>
      <c r="L57" s="428" t="s">
        <v>358</v>
      </c>
      <c r="M57" s="422" t="e">
        <f>K57/25.4/25.4</f>
        <v>#VALUE!</v>
      </c>
      <c r="N57" s="428" t="s">
        <v>356</v>
      </c>
    </row>
    <row r="58" spans="1:17" ht="17.100000000000001" customHeight="1">
      <c r="J58" s="408"/>
      <c r="K58" s="409"/>
      <c r="L58" s="410"/>
      <c r="M58" s="411"/>
      <c r="N58" s="410"/>
    </row>
    <row r="59" spans="1:17" ht="20.25" customHeight="1">
      <c r="A59" s="403" t="s">
        <v>137</v>
      </c>
    </row>
    <row r="60" spans="1:17">
      <c r="A60" s="92" t="s">
        <v>947</v>
      </c>
    </row>
    <row r="61" spans="1:17">
      <c r="A61" s="92" t="s">
        <v>677</v>
      </c>
      <c r="K61" s="402"/>
    </row>
    <row r="62" spans="1:17">
      <c r="A62" s="92" t="s">
        <v>676</v>
      </c>
    </row>
    <row r="63" spans="1:17">
      <c r="A63" s="92" t="s">
        <v>674</v>
      </c>
    </row>
    <row r="64" spans="1:17">
      <c r="A64" s="92" t="s">
        <v>675</v>
      </c>
    </row>
  </sheetData>
  <sheetProtection algorithmName="SHA-512" hashValue="LDB4IK7WyDQAJv8vPYNHmpeIcJchZtvJGk7AGokZ+o84M8XParPHLMtS2RIXTD1m393K8OHh8N2HD1gBIJAsWw==" saltValue="oU8kR652ub4qmJSrMqH4Kg==" spinCount="100000" sheet="1" objects="1" scenarios="1" selectLockedCells="1" selectUnlockedCells="1"/>
  <mergeCells count="19">
    <mergeCell ref="D53:F53"/>
    <mergeCell ref="H57:J57"/>
    <mergeCell ref="D31:F31"/>
    <mergeCell ref="D54:F54"/>
    <mergeCell ref="D48:F48"/>
    <mergeCell ref="D49:F49"/>
    <mergeCell ref="D50:F50"/>
    <mergeCell ref="D51:F51"/>
    <mergeCell ref="D30:F30"/>
    <mergeCell ref="D46:F46"/>
    <mergeCell ref="D47:F47"/>
    <mergeCell ref="D42:F42"/>
    <mergeCell ref="D40:F40"/>
    <mergeCell ref="D39:F39"/>
    <mergeCell ref="D32:F32"/>
    <mergeCell ref="D34:F34"/>
    <mergeCell ref="D37:F37"/>
    <mergeCell ref="D44:F44"/>
    <mergeCell ref="D38:F38"/>
  </mergeCells>
  <phoneticPr fontId="83"/>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40 G42 G48:G49 G46" numberStoredAsText="1"/>
    <ignoredError sqref="J40:K4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15240</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15240</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39</xdr:row>
                    <xdr:rowOff>15240</xdr:rowOff>
                  </from>
                  <to>
                    <xdr:col>6</xdr:col>
                    <xdr:colOff>876300</xdr:colOff>
                    <xdr:row>40</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46</xdr:row>
                    <xdr:rowOff>15240</xdr:rowOff>
                  </from>
                  <to>
                    <xdr:col>6</xdr:col>
                    <xdr:colOff>876300</xdr:colOff>
                    <xdr:row>47</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41</xdr:row>
                    <xdr:rowOff>15240</xdr:rowOff>
                  </from>
                  <to>
                    <xdr:col>6</xdr:col>
                    <xdr:colOff>876300</xdr:colOff>
                    <xdr:row>42</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40</xdr:row>
                    <xdr:rowOff>15240</xdr:rowOff>
                  </from>
                  <to>
                    <xdr:col>6</xdr:col>
                    <xdr:colOff>876300</xdr:colOff>
                    <xdr:row>41</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45</xdr:row>
                    <xdr:rowOff>15240</xdr:rowOff>
                  </from>
                  <to>
                    <xdr:col>6</xdr:col>
                    <xdr:colOff>876300</xdr:colOff>
                    <xdr:row>46</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47</xdr:row>
                    <xdr:rowOff>15240</xdr:rowOff>
                  </from>
                  <to>
                    <xdr:col>6</xdr:col>
                    <xdr:colOff>876300</xdr:colOff>
                    <xdr:row>48</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48</xdr:row>
                    <xdr:rowOff>15240</xdr:rowOff>
                  </from>
                  <to>
                    <xdr:col>6</xdr:col>
                    <xdr:colOff>876300</xdr:colOff>
                    <xdr:row>49</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49</xdr:row>
                    <xdr:rowOff>15240</xdr:rowOff>
                  </from>
                  <to>
                    <xdr:col>6</xdr:col>
                    <xdr:colOff>876300</xdr:colOff>
                    <xdr:row>50</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38</xdr:row>
                    <xdr:rowOff>15240</xdr:rowOff>
                  </from>
                  <to>
                    <xdr:col>6</xdr:col>
                    <xdr:colOff>876300</xdr:colOff>
                    <xdr:row>39</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53</xdr:row>
                    <xdr:rowOff>15240</xdr:rowOff>
                  </from>
                  <to>
                    <xdr:col>6</xdr:col>
                    <xdr:colOff>876300</xdr:colOff>
                    <xdr:row>54</xdr:row>
                    <xdr:rowOff>0</xdr:rowOff>
                  </to>
                </anchor>
              </controlPr>
            </control>
          </mc:Choice>
        </mc:AlternateContent>
        <mc:AlternateContent xmlns:mc="http://schemas.openxmlformats.org/markup-compatibility/2006">
          <mc:Choice Requires="x14">
            <control shapeId="706019" r:id="rId16" name="Drop Down 1507">
              <controlPr defaultSize="0" autoLine="0" autoPict="0">
                <anchor moveWithCells="1">
                  <from>
                    <xdr:col>5</xdr:col>
                    <xdr:colOff>899160</xdr:colOff>
                    <xdr:row>32</xdr:row>
                    <xdr:rowOff>15240</xdr:rowOff>
                  </from>
                  <to>
                    <xdr:col>6</xdr:col>
                    <xdr:colOff>868680</xdr:colOff>
                    <xdr:row>33</xdr:row>
                    <xdr:rowOff>0</xdr:rowOff>
                  </to>
                </anchor>
              </controlPr>
            </control>
          </mc:Choice>
        </mc:AlternateContent>
        <mc:AlternateContent xmlns:mc="http://schemas.openxmlformats.org/markup-compatibility/2006">
          <mc:Choice Requires="x14">
            <control shapeId="706028" r:id="rId17" name="Drop Down 1516">
              <controlPr defaultSize="0" autoLine="0" autoPict="0">
                <anchor moveWithCells="1">
                  <from>
                    <xdr:col>6</xdr:col>
                    <xdr:colOff>0</xdr:colOff>
                    <xdr:row>42</xdr:row>
                    <xdr:rowOff>15240</xdr:rowOff>
                  </from>
                  <to>
                    <xdr:col>6</xdr:col>
                    <xdr:colOff>883920</xdr:colOff>
                    <xdr:row>43</xdr:row>
                    <xdr:rowOff>0</xdr:rowOff>
                  </to>
                </anchor>
              </controlPr>
            </control>
          </mc:Choice>
        </mc:AlternateContent>
        <mc:AlternateContent xmlns:mc="http://schemas.openxmlformats.org/markup-compatibility/2006">
          <mc:Choice Requires="x14">
            <control shapeId="764426" r:id="rId18" name="Drop Down 2570">
              <controlPr defaultSize="0" autoLine="0" autoPict="0">
                <anchor moveWithCells="1">
                  <from>
                    <xdr:col>6</xdr:col>
                    <xdr:colOff>0</xdr:colOff>
                    <xdr:row>51</xdr:row>
                    <xdr:rowOff>15240</xdr:rowOff>
                  </from>
                  <to>
                    <xdr:col>6</xdr:col>
                    <xdr:colOff>876300</xdr:colOff>
                    <xdr:row>51</xdr:row>
                    <xdr:rowOff>213360</xdr:rowOff>
                  </to>
                </anchor>
              </controlPr>
            </control>
          </mc:Choice>
        </mc:AlternateContent>
        <mc:AlternateContent xmlns:mc="http://schemas.openxmlformats.org/markup-compatibility/2006">
          <mc:Choice Requires="x14">
            <control shapeId="764430" r:id="rId19" name="Drop Down 2574">
              <controlPr defaultSize="0" autoLine="0" autoPict="0">
                <anchor moveWithCells="1">
                  <from>
                    <xdr:col>6</xdr:col>
                    <xdr:colOff>0</xdr:colOff>
                    <xdr:row>52</xdr:row>
                    <xdr:rowOff>15240</xdr:rowOff>
                  </from>
                  <to>
                    <xdr:col>6</xdr:col>
                    <xdr:colOff>876300</xdr:colOff>
                    <xdr:row>52</xdr:row>
                    <xdr:rowOff>213360</xdr:rowOff>
                  </to>
                </anchor>
              </controlPr>
            </control>
          </mc:Choice>
        </mc:AlternateContent>
        <mc:AlternateContent xmlns:mc="http://schemas.openxmlformats.org/markup-compatibility/2006">
          <mc:Choice Requires="x14">
            <control shapeId="764447" r:id="rId20" name="Drop Down 2591">
              <controlPr defaultSize="0" autoLine="0" autoPict="0">
                <anchor moveWithCells="1">
                  <from>
                    <xdr:col>6</xdr:col>
                    <xdr:colOff>0</xdr:colOff>
                    <xdr:row>34</xdr:row>
                    <xdr:rowOff>15240</xdr:rowOff>
                  </from>
                  <to>
                    <xdr:col>6</xdr:col>
                    <xdr:colOff>883920</xdr:colOff>
                    <xdr:row>35</xdr:row>
                    <xdr:rowOff>0</xdr:rowOff>
                  </to>
                </anchor>
              </controlPr>
            </control>
          </mc:Choice>
        </mc:AlternateContent>
        <mc:AlternateContent xmlns:mc="http://schemas.openxmlformats.org/markup-compatibility/2006">
          <mc:Choice Requires="x14">
            <control shapeId="764451" r:id="rId21" name="Drop Down 2595">
              <controlPr defaultSize="0" autoLine="0" autoPict="0">
                <anchor moveWithCells="1">
                  <from>
                    <xdr:col>6</xdr:col>
                    <xdr:colOff>0</xdr:colOff>
                    <xdr:row>43</xdr:row>
                    <xdr:rowOff>15240</xdr:rowOff>
                  </from>
                  <to>
                    <xdr:col>6</xdr:col>
                    <xdr:colOff>876300</xdr:colOff>
                    <xdr:row>44</xdr:row>
                    <xdr:rowOff>0</xdr:rowOff>
                  </to>
                </anchor>
              </controlPr>
            </control>
          </mc:Choice>
        </mc:AlternateContent>
        <mc:AlternateContent xmlns:mc="http://schemas.openxmlformats.org/markup-compatibility/2006">
          <mc:Choice Requires="x14">
            <control shapeId="764454" r:id="rId22" name="Drop Down 2598">
              <controlPr defaultSize="0" autoLine="0" autoPict="0">
                <anchor moveWithCells="1">
                  <from>
                    <xdr:col>6</xdr:col>
                    <xdr:colOff>0</xdr:colOff>
                    <xdr:row>35</xdr:row>
                    <xdr:rowOff>15240</xdr:rowOff>
                  </from>
                  <to>
                    <xdr:col>6</xdr:col>
                    <xdr:colOff>876300</xdr:colOff>
                    <xdr:row>36</xdr:row>
                    <xdr:rowOff>0</xdr:rowOff>
                  </to>
                </anchor>
              </controlPr>
            </control>
          </mc:Choice>
        </mc:AlternateContent>
        <mc:AlternateContent xmlns:mc="http://schemas.openxmlformats.org/markup-compatibility/2006">
          <mc:Choice Requires="x14">
            <control shapeId="764455" r:id="rId23" name="Drop Down 2599">
              <controlPr defaultSize="0" autoLine="0" autoPict="0">
                <anchor moveWithCells="1">
                  <from>
                    <xdr:col>6</xdr:col>
                    <xdr:colOff>0</xdr:colOff>
                    <xdr:row>36</xdr:row>
                    <xdr:rowOff>15240</xdr:rowOff>
                  </from>
                  <to>
                    <xdr:col>6</xdr:col>
                    <xdr:colOff>876300</xdr:colOff>
                    <xdr:row>37</xdr:row>
                    <xdr:rowOff>0</xdr:rowOff>
                  </to>
                </anchor>
              </controlPr>
            </control>
          </mc:Choice>
        </mc:AlternateContent>
        <mc:AlternateContent xmlns:mc="http://schemas.openxmlformats.org/markup-compatibility/2006">
          <mc:Choice Requires="x14">
            <control shapeId="764456" r:id="rId24" name="Drop Down 2600">
              <controlPr defaultSize="0" autoLine="0" autoPict="0">
                <anchor moveWithCells="1">
                  <from>
                    <xdr:col>6</xdr:col>
                    <xdr:colOff>0</xdr:colOff>
                    <xdr:row>37</xdr:row>
                    <xdr:rowOff>15240</xdr:rowOff>
                  </from>
                  <to>
                    <xdr:col>6</xdr:col>
                    <xdr:colOff>876300</xdr:colOff>
                    <xdr:row>38</xdr:row>
                    <xdr:rowOff>0</xdr:rowOff>
                  </to>
                </anchor>
              </controlPr>
            </control>
          </mc:Choice>
        </mc:AlternateContent>
        <mc:AlternateContent xmlns:mc="http://schemas.openxmlformats.org/markup-compatibility/2006">
          <mc:Choice Requires="x14">
            <control shapeId="764458" r:id="rId25" name="Drop Down 2602">
              <controlPr defaultSize="0" autoLine="0" autoPict="0">
                <anchor moveWithCells="1">
                  <from>
                    <xdr:col>6</xdr:col>
                    <xdr:colOff>0</xdr:colOff>
                    <xdr:row>50</xdr:row>
                    <xdr:rowOff>15240</xdr:rowOff>
                  </from>
                  <to>
                    <xdr:col>6</xdr:col>
                    <xdr:colOff>876300</xdr:colOff>
                    <xdr:row>51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8521D621-BE3D-4AAE-900E-18DA0D0FAC8E}">
            <xm:f>'Variable Mgmt'!$B$74=TRUE</xm:f>
            <x14:dxf>
              <font>
                <color rgb="FFFFFF99"/>
              </font>
            </x14:dxf>
          </x14:cfRule>
          <xm:sqref>B33</xm:sqref>
        </x14:conditionalFormatting>
        <x14:conditionalFormatting xmlns:xm="http://schemas.microsoft.com/office/excel/2006/main">
          <x14:cfRule type="expression" priority="2" id="{4B8E3D35-A815-4471-905F-8419AAA9FC23}">
            <xm:f>'Variable Mgmt'!$B$74=TRUE</xm:f>
            <x14:dxf>
              <font>
                <color theme="0"/>
              </font>
            </x14:dxf>
          </x14:cfRule>
          <xm:sqref>B40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7030A0"/>
    <pageSetUpPr fitToPage="1"/>
  </sheetPr>
  <dimension ref="A1:Q6"/>
  <sheetViews>
    <sheetView topLeftCell="A40" zoomScaleNormal="100" workbookViewId="0">
      <selection activeCell="M15" sqref="M15"/>
    </sheetView>
  </sheetViews>
  <sheetFormatPr defaultColWidth="9.21875" defaultRowHeight="13.2"/>
  <cols>
    <col min="1" max="13" width="9.21875" style="65"/>
    <col min="14" max="14" width="11.77734375" style="65" customWidth="1"/>
    <col min="15" max="16" width="9.21875" style="65"/>
    <col min="17" max="17" width="15.77734375" style="65" customWidth="1"/>
    <col min="18" max="16384" width="9.21875" style="65"/>
  </cols>
  <sheetData>
    <row r="1" spans="1:17" s="58" customFormat="1" ht="47.25" customHeight="1">
      <c r="A1" s="838" t="s">
        <v>948</v>
      </c>
      <c r="B1" s="839"/>
      <c r="C1" s="839"/>
      <c r="D1" s="839"/>
      <c r="E1" s="839"/>
      <c r="F1" s="839"/>
      <c r="G1" s="839"/>
      <c r="H1" s="839"/>
      <c r="I1" s="839"/>
      <c r="J1" s="839"/>
      <c r="K1" s="839"/>
      <c r="L1" s="839"/>
      <c r="M1" s="839"/>
      <c r="N1" s="839"/>
      <c r="O1" s="839"/>
      <c r="P1" s="839"/>
      <c r="Q1" s="839"/>
    </row>
    <row r="6" spans="1:17" ht="20.399999999999999">
      <c r="B6" s="66" t="s">
        <v>921</v>
      </c>
      <c r="N6" s="66" t="s">
        <v>946</v>
      </c>
    </row>
  </sheetData>
  <sheetProtection algorithmName="SHA-512" hashValue="tPvl2fh3glKsM+U9wmutkl9ZVBAqXCTdyJPzqtmwYjcUBHnYNN/9332VpUYstDE7h8BljUFt0E7mrD0NWOKCXQ==" saltValue="syN6z4runAzyyZkZejHLoQ==" spinCount="100000" sheet="1" objects="1" scenarios="1" selectLockedCells="1" selectUnlockedCells="1"/>
  <mergeCells count="1">
    <mergeCell ref="A1:Q1"/>
  </mergeCells>
  <phoneticPr fontId="83"/>
  <pageMargins left="0.19" right="0.2" top="0.75" bottom="0.75" header="0.3" footer="0.3"/>
  <pageSetup scale="5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13</vt:i4>
      </vt:variant>
      <vt:variant>
        <vt:lpstr>命名范围</vt:lpstr>
      </vt:variant>
      <vt:variant>
        <vt:i4>209</vt:i4>
      </vt:variant>
    </vt:vector>
  </HeadingPairs>
  <TitlesOfParts>
    <vt:vector size="222" baseType="lpstr">
      <vt:lpstr>Design Converter</vt:lpstr>
      <vt:lpstr>Stability Calculations</vt:lpstr>
      <vt:lpstr>Variable Mgmt</vt:lpstr>
      <vt:lpstr>Parameters</vt:lpstr>
      <vt:lpstr>Calculations - Single</vt:lpstr>
      <vt:lpstr>Calculations - Dual</vt:lpstr>
      <vt:lpstr>Fsw vs VIN</vt:lpstr>
      <vt:lpstr>BOM &amp; Schematic</vt:lpstr>
      <vt:lpstr>EVMs</vt:lpstr>
      <vt:lpstr>Efficiency Plots</vt:lpstr>
      <vt:lpstr>Fsw Plots</vt:lpstr>
      <vt:lpstr>Schematic Mgmt</vt:lpstr>
      <vt:lpstr>Standard Value Calculator</vt:lpstr>
      <vt:lpstr>_Don1</vt:lpstr>
      <vt:lpstr>Acs</vt:lpstr>
      <vt:lpstr>Adc</vt:lpstr>
      <vt:lpstr>Aea</vt:lpstr>
      <vt:lpstr>Afb</vt:lpstr>
      <vt:lpstr>Am</vt:lpstr>
      <vt:lpstr>BDserR</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Fco_desire</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IpkCAL</vt:lpstr>
      <vt:lpstr>IQ</vt:lpstr>
      <vt:lpstr>Iripple</vt:lpstr>
      <vt:lpstr>Iss</vt:lpstr>
      <vt:lpstr>Isw_max</vt:lpstr>
      <vt:lpstr>Isw_min</vt:lpstr>
      <vt:lpstr>Iuvlo_hys</vt:lpstr>
      <vt:lpstr>Iuvlo1</vt:lpstr>
      <vt:lpstr>Iuvlo2</vt:lpstr>
      <vt:lpstr>k_core</vt:lpstr>
      <vt:lpstr>ktr_rcmd</vt:lpstr>
      <vt:lpstr>L</vt:lpstr>
      <vt:lpstr>Lleak</vt:lpstr>
      <vt:lpstr>Lmag</vt:lpstr>
      <vt:lpstr>Lmin</vt:lpstr>
      <vt:lpstr>Lmin_abs</vt:lpstr>
      <vt:lpstr>Ls1_</vt:lpstr>
      <vt:lpstr>Ls2_</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Pomax_allowed</vt:lpstr>
      <vt:lpstr>Pout</vt:lpstr>
      <vt:lpstr>Pout_total</vt:lpstr>
      <vt:lpstr>Pout2</vt:lpstr>
      <vt:lpstr>'BOM &amp; Schematic'!Print_Area</vt:lpstr>
      <vt:lpstr>'Design Converter'!Print_Area</vt:lpstr>
      <vt:lpstr>pterm1</vt:lpstr>
      <vt:lpstr>pterm2</vt:lpstr>
      <vt:lpstr>Qg</vt:lpstr>
      <vt:lpstr>radconv</vt:lpstr>
      <vt:lpstr>Parameters!RCinEsr</vt:lpstr>
      <vt:lpstr>RCinEsr</vt:lpstr>
      <vt:lpstr>Rcomp</vt:lpstr>
      <vt:lpstr>Parameters!RCoutEsr</vt:lpstr>
      <vt:lpstr>RCoutEsr</vt:lpstr>
      <vt:lpstr>RCS</vt:lpstr>
      <vt:lpstr>Rcs_gain</vt:lpstr>
      <vt:lpstr>RCSmin</vt:lpstr>
      <vt:lpstr>Rdcr_pri</vt:lpstr>
      <vt:lpstr>Rdcr_sec</vt:lpstr>
      <vt:lpstr>Rdcr_sec2</vt:lpstr>
      <vt:lpstr>Rdson</vt:lpstr>
      <vt:lpstr>RdsonTC</vt:lpstr>
      <vt:lpstr>REAout</vt:lpstr>
      <vt:lpstr>Rfb</vt:lpstr>
      <vt:lpstr>Rfb_recommend</vt:lpstr>
      <vt:lpstr>Rfb2_u</vt:lpstr>
      <vt:lpstr>Rload_pri</vt:lpstr>
      <vt:lpstr>Rload_sec</vt:lpstr>
      <vt:lpstr>RON</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Vdd</vt:lpstr>
      <vt:lpstr>Vds_req</vt:lpstr>
      <vt:lpstr>Vfwd1</vt:lpstr>
      <vt:lpstr>Vfwd2</vt:lpstr>
      <vt:lpstr>Vfwd22</vt:lpstr>
      <vt:lpstr>Vin</vt:lpstr>
      <vt:lpstr>Vin_eff</vt:lpstr>
      <vt:lpstr>VIN_max</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HJEE</cp:lastModifiedBy>
  <cp:lastPrinted>2016-03-02T21:18:53Z</cp:lastPrinted>
  <dcterms:created xsi:type="dcterms:W3CDTF">1996-10-14T23:33:28Z</dcterms:created>
  <dcterms:modified xsi:type="dcterms:W3CDTF">2025-09-09T08:17:55Z</dcterms:modified>
</cp:coreProperties>
</file>